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동정렬" sheetId="1" r:id="rId5"/>
    <sheet state="visible" name="전적확인" sheetId="2" r:id="rId6"/>
    <sheet state="hidden" name="전적확인_시즌14" sheetId="3" r:id="rId7"/>
    <sheet state="visible" name="전적이력" sheetId="4" r:id="rId8"/>
    <sheet state="visible" name="시즌목록" sheetId="5" r:id="rId9"/>
    <sheet state="visible" name="듀오전적" sheetId="6" r:id="rId10"/>
    <sheet state="visible" name="듀오전적전체" sheetId="7" r:id="rId11"/>
    <sheet state="visible" name="포인트변동" sheetId="8" r:id="rId12"/>
    <sheet state="visible" name="점수MMR" sheetId="9" r:id="rId13"/>
    <sheet state="visible" name="디스코드 연동" sheetId="10" r:id="rId14"/>
    <sheet state="visible" name="기록입력_디스코드" sheetId="11" r:id="rId15"/>
    <sheet state="visible" name="점수MMR_디스코드" sheetId="12" r:id="rId16"/>
    <sheet state="hidden" name="점수MMR_디스코드Test" sheetId="13" r:id="rId17"/>
    <sheet state="visible" name="사용자목록" sheetId="14" r:id="rId18"/>
    <sheet state="hidden" name="전적확인_시즌13" sheetId="15" r:id="rId19"/>
    <sheet state="visible" name="블럭사용자" sheetId="16" r:id="rId20"/>
    <sheet state="hidden" name="전적확인_시즌12" sheetId="17" r:id="rId21"/>
    <sheet state="hidden" name="전적확인_베타시즌" sheetId="18" r:id="rId22"/>
    <sheet state="hidden" name="전적확인_시즌1" sheetId="19" r:id="rId23"/>
    <sheet state="hidden" name="전적확인_시즌2" sheetId="20" r:id="rId24"/>
    <sheet state="hidden" name="전적확인_시즌3" sheetId="21" r:id="rId25"/>
    <sheet state="hidden" name="전적확인_시즌4" sheetId="22" r:id="rId26"/>
    <sheet state="hidden" name="전적확인_시즌5" sheetId="23" r:id="rId27"/>
    <sheet state="hidden" name="전적확인_시즌6" sheetId="24" r:id="rId28"/>
    <sheet state="hidden" name="전적확인_시즌7" sheetId="25" r:id="rId29"/>
    <sheet state="hidden" name="전적확인_시즌8" sheetId="26" r:id="rId30"/>
    <sheet state="hidden" name="전적확인_시즌9" sheetId="27" r:id="rId31"/>
    <sheet state="hidden" name="전적확인_시즌10" sheetId="28" r:id="rId32"/>
    <sheet state="hidden" name="전적확인_시즌11" sheetId="29" r:id="rId33"/>
  </sheets>
  <definedNames>
    <definedName hidden="1" localSheetId="5" name="_xlnm._FilterDatabase">'듀오전적'!$A$1:$E$3367</definedName>
    <definedName hidden="1" localSheetId="7" name="_xlnm._FilterDatabase">'포인트변동'!$A$1:$F$8372</definedName>
  </definedNames>
  <calcPr/>
</workbook>
</file>

<file path=xl/sharedStrings.xml><?xml version="1.0" encoding="utf-8"?>
<sst xmlns="http://schemas.openxmlformats.org/spreadsheetml/2006/main" count="30497" uniqueCount="9782">
  <si>
    <t>ID</t>
  </si>
  <si>
    <t>드루_승</t>
  </si>
  <si>
    <t>드루_패</t>
  </si>
  <si>
    <t>어쎄_승</t>
  </si>
  <si>
    <t>어쎄_패</t>
  </si>
  <si>
    <t>네크_승</t>
  </si>
  <si>
    <t>네크_패</t>
  </si>
  <si>
    <t>슴딘_승</t>
  </si>
  <si>
    <t>슴딘_패</t>
  </si>
  <si>
    <t>종합_승</t>
  </si>
  <si>
    <t>종합_패</t>
  </si>
  <si>
    <t>종합_승률</t>
  </si>
  <si>
    <t>드루_승률</t>
  </si>
  <si>
    <t>어쎄_승률</t>
  </si>
  <si>
    <t>네크_승률</t>
  </si>
  <si>
    <t>슴딘_승률</t>
  </si>
  <si>
    <t>순위</t>
  </si>
  <si>
    <t>점수</t>
  </si>
  <si>
    <t>날짜</t>
  </si>
  <si>
    <t>히든여부</t>
  </si>
  <si>
    <t>배치승리수</t>
  </si>
  <si>
    <t>티어</t>
  </si>
  <si>
    <t xml:space="preserve">  이전 순위</t>
  </si>
  <si>
    <t>순위 증감</t>
  </si>
  <si>
    <t>원</t>
  </si>
  <si>
    <t>N</t>
  </si>
  <si>
    <t>깡패</t>
  </si>
  <si>
    <t>테리</t>
  </si>
  <si>
    <t>규식</t>
  </si>
  <si>
    <t>참치</t>
  </si>
  <si>
    <t>신형만</t>
  </si>
  <si>
    <t>넘버</t>
  </si>
  <si>
    <t>학생</t>
  </si>
  <si>
    <t>기재</t>
  </si>
  <si>
    <t>ACDC</t>
  </si>
  <si>
    <t>짱구</t>
  </si>
  <si>
    <t>한메</t>
  </si>
  <si>
    <t>ovo</t>
  </si>
  <si>
    <t>박서</t>
  </si>
  <si>
    <t>솔</t>
  </si>
  <si>
    <t>터미</t>
  </si>
  <si>
    <t>혀니</t>
  </si>
  <si>
    <t>노인</t>
  </si>
  <si>
    <t>민우</t>
  </si>
  <si>
    <t>오딘</t>
  </si>
  <si>
    <t>노픽업</t>
  </si>
  <si>
    <t>미등록</t>
  </si>
  <si>
    <t>Y</t>
  </si>
  <si>
    <t>웅</t>
  </si>
  <si>
    <t>수련</t>
  </si>
  <si>
    <t>유즈</t>
  </si>
  <si>
    <t>필찌</t>
  </si>
  <si>
    <t>GYUL</t>
  </si>
  <si>
    <t>재우</t>
  </si>
  <si>
    <t>찹쌀</t>
  </si>
  <si>
    <t>용이</t>
  </si>
  <si>
    <t>태식</t>
  </si>
  <si>
    <t>퍼플</t>
  </si>
  <si>
    <t>새출발</t>
  </si>
  <si>
    <t>뼈해장국</t>
  </si>
  <si>
    <t>강화</t>
  </si>
  <si>
    <t>조네</t>
  </si>
  <si>
    <t>#</t>
  </si>
  <si>
    <t>경기날짜</t>
  </si>
  <si>
    <t>승리팀(스코어)</t>
  </si>
  <si>
    <t>WP</t>
  </si>
  <si>
    <t>패배팀(스코어)</t>
  </si>
  <si>
    <t>LP</t>
  </si>
  <si>
    <t>기록입력일</t>
  </si>
  <si>
    <t>시즌</t>
  </si>
  <si>
    <t>올캐릭</t>
  </si>
  <si>
    <t>승리_드루</t>
  </si>
  <si>
    <t>승리_어쎄</t>
  </si>
  <si>
    <t>승리_네크</t>
  </si>
  <si>
    <t>승리_슴딘</t>
  </si>
  <si>
    <t>패배_드루</t>
  </si>
  <si>
    <t>패배_어쎄</t>
  </si>
  <si>
    <t>패배_네크</t>
  </si>
  <si>
    <t>패배_슴딘</t>
  </si>
  <si>
    <t>G260210002636</t>
  </si>
  <si>
    <t>2026-02-10 00:26</t>
  </si>
  <si>
    <t>신형만 (22)&lt;br&gt;박서 (-)&lt;br&gt;학생 (23)&lt;br&gt;규식 (16)</t>
  </si>
  <si>
    <t>깡패 (-16)&lt;br&gt;혀니 (-)&lt;br&gt;터미 (-)&lt;br&gt;민우 (-)</t>
  </si>
  <si>
    <t>시즌15</t>
  </si>
  <si>
    <t>깡패,신형만,학생,박서</t>
  </si>
  <si>
    <t>G260209233706</t>
  </si>
  <si>
    <t>2026-02-09 23:37</t>
  </si>
  <si>
    <t>학생 (27)&lt;br&gt;혀니 (-)&lt;br&gt;테리 (18)&lt;br&gt;박서 (-)</t>
  </si>
  <si>
    <t>한메 (-)&lt;br&gt;깡패 (-19)&lt;br&gt;터미 (-)&lt;br&gt;신형만 (-17)</t>
  </si>
  <si>
    <t>G260209230157</t>
  </si>
  <si>
    <t>2026-02-09 23:01</t>
  </si>
  <si>
    <t>박서 (-)&lt;br&gt;신형만 (27)&lt;br&gt;학생 (29)&lt;br&gt;터미 (-)</t>
  </si>
  <si>
    <t>깡패 (-13)&lt;br&gt;테리 (-12)&lt;br&gt;한메 (-)&lt;br&gt;혀니 (-)</t>
  </si>
  <si>
    <t>G260209221951</t>
  </si>
  <si>
    <t>2026-02-09 22:19</t>
  </si>
  <si>
    <t>테리 (18)&lt;br&gt;박서 (-)&lt;br&gt;터미 (-)&lt;br&gt;한메 (-)</t>
  </si>
  <si>
    <t>학생 (-14)&lt;br&gt;깡패 (-17)&lt;br&gt;혀니 (-)&lt;br&gt;신형만 (-15)</t>
  </si>
  <si>
    <t>G260209213936</t>
  </si>
  <si>
    <t>2026-02-09 21:39</t>
  </si>
  <si>
    <t>테리 (16)&lt;br&gt;깡패 (16)&lt;br&gt;규식 (17)&lt;br&gt;터미 (-)</t>
  </si>
  <si>
    <t>박서 (-)&lt;br&gt;학생 (-15)&lt;br&gt;한메 (-)&lt;br&gt;기재 (-16)</t>
  </si>
  <si>
    <t>깡패,학생,박서</t>
  </si>
  <si>
    <t>G260209211138</t>
  </si>
  <si>
    <t>2026-02-09 21:11</t>
  </si>
  <si>
    <t>깡패 (19)&lt;br&gt;규식 (20)&lt;br&gt;기재 (22)&lt;br&gt;한메 (-)</t>
  </si>
  <si>
    <t>터미 (-)&lt;br&gt;테리 (-15)&lt;br&gt;박서 (-)&lt;br&gt;학생 (-14)</t>
  </si>
  <si>
    <t>G260209050234</t>
  </si>
  <si>
    <t>2026-02-09 05:02</t>
  </si>
  <si>
    <t>참치 (264)&lt;br&gt;신형만 (25)&lt;br&gt;ACDC (22)&lt;br&gt;깡패 (21)</t>
  </si>
  <si>
    <t>민우 (-)&lt;br&gt;짱구 (-16)&lt;br&gt;수련 (-)&lt;br&gt;학생 (-18)</t>
  </si>
  <si>
    <t>깡패,신형만,참치,학생</t>
  </si>
  <si>
    <t>G260209043628</t>
  </si>
  <si>
    <t>2026-02-09 04:36</t>
  </si>
  <si>
    <t>ACDC (23)&lt;br&gt;학생 (25)&lt;br&gt;참치 (-)&lt;br&gt;민우 (-)</t>
  </si>
  <si>
    <t>깡패 (-11)&lt;br&gt;수련 (-)&lt;br&gt;짱구 (-10)&lt;br&gt;신형만 (-10)</t>
  </si>
  <si>
    <t>G260209010449</t>
  </si>
  <si>
    <t>2026-02-09 01:04</t>
  </si>
  <si>
    <t>참치 (-)&lt;br&gt;테리 (18)&lt;br&gt;학생 (25)&lt;br&gt;규식 (21)</t>
  </si>
  <si>
    <t>짱구 (-17)&lt;br&gt;깡패 (-19)&lt;br&gt;신형만 (-17)&lt;br&gt;ACDC (-16)</t>
  </si>
  <si>
    <t>깡패,짱구,신형만,학생,참치</t>
  </si>
  <si>
    <t>G260209004432</t>
  </si>
  <si>
    <t>2026-02-09 00:44</t>
  </si>
  <si>
    <t>테리 (22)&lt;br&gt;짱구 (32)&lt;br&gt;ACDC (26)&lt;br&gt;참치 (-)</t>
  </si>
  <si>
    <t>학생 (-18)&lt;br&gt;신형만 (-18)&lt;br&gt;기재 (-21)&lt;br&gt;깡패 (-20)</t>
  </si>
  <si>
    <t>G260209001550</t>
  </si>
  <si>
    <t>2026-02-09 00:15</t>
  </si>
  <si>
    <t>깡패 (23)&lt;br&gt;테리 (22)&lt;br&gt;짱구 (32)&lt;br&gt;신형만 (27)</t>
  </si>
  <si>
    <t>ACDC (-17)&lt;br&gt;참치 (-)&lt;br&gt;학생 (-18)&lt;br&gt;기재 (192)</t>
  </si>
  <si>
    <t>G260208235257</t>
  </si>
  <si>
    <t>2026-02-08 23:52</t>
  </si>
  <si>
    <t>참치 (-)&lt;br&gt;짱구 (33)&lt;br&gt;테리 (23)&lt;br&gt;학생 (28)</t>
  </si>
  <si>
    <t>기재 (-)&lt;br&gt;깡패 (-20)&lt;br&gt;신형만 (-18)&lt;br&gt;ACDC (-17)</t>
  </si>
  <si>
    <t>G260208232521</t>
  </si>
  <si>
    <t>2026-02-08 23:25</t>
  </si>
  <si>
    <t>ovo (-)&lt;br&gt;혀니 (-)&lt;br&gt;원 (19)&lt;br&gt;깡패 (22)</t>
  </si>
  <si>
    <t>신형만 (-10)&lt;br&gt;학생 (-10)&lt;br&gt;웅 (-)&lt;br&gt;기재 (-)</t>
  </si>
  <si>
    <t>깡패,원,신형만,학생,웅</t>
  </si>
  <si>
    <t>G260208225927</t>
  </si>
  <si>
    <t>2026-02-08 22:59</t>
  </si>
  <si>
    <t>테리 (23)&lt;br&gt;깡패 (23)&lt;br&gt;ovo (-)&lt;br&gt;신형만 (27)</t>
  </si>
  <si>
    <t>학생 (-14)&lt;br&gt;원 (-16)&lt;br&gt;혀니 (-)&lt;br&gt;웅 (-)</t>
  </si>
  <si>
    <t>G260208215520</t>
  </si>
  <si>
    <t>2026-02-08 21:55</t>
  </si>
  <si>
    <t>원 (17)&lt;br&gt;혀니 (-)&lt;br&gt;테리 (22)&lt;br&gt;깡패 (22)</t>
  </si>
  <si>
    <t>신형만 (-10)&lt;br&gt;학생 (-11)&lt;br&gt;짱구 (-9)&lt;br&gt;ovo (-)</t>
  </si>
  <si>
    <t>깡패,원,신형만,학생</t>
  </si>
  <si>
    <t>G260208210823</t>
  </si>
  <si>
    <t>2026-02-08 21:08</t>
  </si>
  <si>
    <t>학생 (23)&lt;br&gt;깡패 (21)&lt;br&gt;ovo (-)&lt;br&gt;원 (16)</t>
  </si>
  <si>
    <t>짱구 (-11)&lt;br&gt;테리 (-12)&lt;br&gt;혀니 (-)&lt;br&gt;신형만 (-12)</t>
  </si>
  <si>
    <t>G260130213052</t>
  </si>
  <si>
    <t>2026-01-30 21:30</t>
  </si>
  <si>
    <t>참치 (-)&lt;br&gt;테리 (24)&lt;br&gt;신형만 (26)&lt;br&gt;ACDC (24)</t>
  </si>
  <si>
    <t>원 (-21)&lt;br&gt;학생 (-19)&lt;br&gt;짱구 (-17)&lt;br&gt;넘버 (-20)</t>
  </si>
  <si>
    <t>신형만,짱구,학생,원,넘버,참치</t>
  </si>
  <si>
    <t>G260130211002</t>
  </si>
  <si>
    <t>2026-01-30 21:10</t>
  </si>
  <si>
    <t>짱구 (31)&lt;br&gt;신형만 (26)&lt;br&gt;테리 (23)&lt;br&gt;원 (360)</t>
  </si>
  <si>
    <t>학생 (-19)&lt;br&gt;규식 (-18)&lt;br&gt;넘버 (-20)&lt;br&gt;참치 (-)</t>
  </si>
  <si>
    <t>G260130204929</t>
  </si>
  <si>
    <t>2026-01-30 20:49</t>
  </si>
  <si>
    <t>원 (-)&lt;br&gt;테리 (22)&lt;br&gt;학생 (22)&lt;br&gt;규식 (20)</t>
  </si>
  <si>
    <t>넘버 (244)&lt;br&gt;참치 (-)&lt;br&gt;짱구 (-10)&lt;br&gt;신형만 (-11)</t>
  </si>
  <si>
    <t>G260127220153</t>
  </si>
  <si>
    <t>2026-01-27 22:01</t>
  </si>
  <si>
    <t>학생 (23)&lt;br&gt;규식 (20)&lt;br&gt;원 (-)&lt;br&gt;넘버 (-)</t>
  </si>
  <si>
    <t>테리 (-12)&lt;br&gt;ACDC (-12)&lt;br&gt;신형만 (-12)&lt;br&gt;참치 (-)</t>
  </si>
  <si>
    <t>ACDC,신형만,넘버,원,학생,참치</t>
  </si>
  <si>
    <t>G260127220038</t>
  </si>
  <si>
    <t>2026-01-27 22:00</t>
  </si>
  <si>
    <t>신형만 (23)&lt;br&gt;원 (-)&lt;br&gt;참치 (-)&lt;br&gt;학생 (23)</t>
  </si>
  <si>
    <t>넘버 (-)&lt;br&gt;테리 (-14)&lt;br&gt;오딘 (-)&lt;br&gt;ACDC (-14)</t>
  </si>
  <si>
    <t>ACDC,오딘,신형만,넘버,원,학생,참치</t>
  </si>
  <si>
    <t>G260127215629</t>
  </si>
  <si>
    <t>2026-01-27 21:56</t>
  </si>
  <si>
    <t>ACDC (27)&lt;br&gt;참치 (-)&lt;br&gt;테리 (23)&lt;br&gt;신형만 (26)</t>
  </si>
  <si>
    <t>원 (-)&lt;br&gt;넘버 (-)&lt;br&gt;학생 (-19)&lt;br&gt;오딘 (-)</t>
  </si>
  <si>
    <t>G260127215141</t>
  </si>
  <si>
    <t>2026-01-27 21:51</t>
  </si>
  <si>
    <t>테리 (22)&lt;br&gt;원 (-)&lt;br&gt;신형만 (25)&lt;br&gt;넘버 (-)</t>
  </si>
  <si>
    <t>학생 (-19)&lt;br&gt;오딘 (-)&lt;br&gt;참치 (-)&lt;br&gt;ACDC (-18)</t>
  </si>
  <si>
    <t>G260121221414</t>
  </si>
  <si>
    <t>2026-01-21 22:14</t>
  </si>
  <si>
    <t>ACDC (25)&lt;br&gt;넘버 (-)&lt;br&gt;학생 (22)&lt;br&gt;깡패 (20)</t>
  </si>
  <si>
    <t>테리 (-12)&lt;br&gt;원 (-)&lt;br&gt;규식 (-13)&lt;br&gt;한메 (-)</t>
  </si>
  <si>
    <t>깡패,넘버,원,ACDC,학생</t>
  </si>
  <si>
    <t>G260121212258</t>
  </si>
  <si>
    <t>2026-01-21 21:22</t>
  </si>
  <si>
    <t>원 (-)&lt;br&gt;학생 (23)&lt;br&gt;깡패 (21)&lt;br&gt;한메 (-)</t>
  </si>
  <si>
    <t>테리 (-12)&lt;br&gt;넘버 (-)&lt;br&gt;ACDC (-12)&lt;br&gt;규식 (-13)</t>
  </si>
  <si>
    <t>G260121020028</t>
  </si>
  <si>
    <t>2026-01-21 02:00</t>
  </si>
  <si>
    <t>ACDC (21)&lt;br&gt;깡패 (22)&lt;br&gt;넘버 (-)&lt;br&gt;짱구 (28)</t>
  </si>
  <si>
    <t>솔 (-)&lt;br&gt;학생 (-13)&lt;br&gt;테리 (-13)&lt;br&gt;신형만 (-13)</t>
  </si>
  <si>
    <t>깡패,넘버,신형만,솔,짱구,학생</t>
  </si>
  <si>
    <t>G260121005515</t>
  </si>
  <si>
    <t>2026-01-21 00:55</t>
  </si>
  <si>
    <t>테리 (22)&lt;br&gt;짱구 (30)&lt;br&gt;솔 (-)&lt;br&gt;ACDC (27)</t>
  </si>
  <si>
    <t>학생 (-18)&lt;br&gt;신형만 (-18)&lt;br&gt;깡패 (-18)&lt;br&gt;넘버 (-)</t>
  </si>
  <si>
    <t>깡패,넘버,신형만,솔,짱구,학생,ACDC</t>
  </si>
  <si>
    <t>G260121002833</t>
  </si>
  <si>
    <t>2026-01-21 00:28</t>
  </si>
  <si>
    <t>깡패 (22)&lt;br&gt;넘버 (-)&lt;br&gt;ACDC (27)&lt;br&gt;솔 (-)</t>
  </si>
  <si>
    <t>신형만 (-14)&lt;br&gt;학생 (-14)&lt;br&gt;테리 (-13)&lt;br&gt;짱구 (-12)</t>
  </si>
  <si>
    <t>G260120234022</t>
  </si>
  <si>
    <t>2026-01-20 23:40</t>
  </si>
  <si>
    <t>학생 (21)&lt;br&gt;솔 (-)&lt;br&gt;넘버 (-)&lt;br&gt;원 (-)</t>
  </si>
  <si>
    <t>테리 (-11)&lt;br&gt;짱구 (-10)&lt;br&gt;깡패 (-12)&lt;br&gt;ACDC (-11)</t>
  </si>
  <si>
    <t>깡패,넘버,원,솔,짱구,학생,ACDC</t>
  </si>
  <si>
    <t>G260120230308</t>
  </si>
  <si>
    <t>2026-01-20 23:03</t>
  </si>
  <si>
    <t>신형만 (23)&lt;br&gt;깡패 (21)&lt;br&gt;원 (-)&lt;br&gt;짱구 (28)</t>
  </si>
  <si>
    <t>솔 (-)&lt;br&gt;ACDC (-16)&lt;br&gt;테리 (-17)&lt;br&gt;학생 (-17)</t>
  </si>
  <si>
    <t>깡패,신형만,원,솔,짱구,학생,ACDC</t>
  </si>
  <si>
    <t>G260120222632</t>
  </si>
  <si>
    <t>2026-01-20 22:26</t>
  </si>
  <si>
    <t>ACDC (27)&lt;br&gt;테리 (20)&lt;br&gt;깡패 (23)&lt;br&gt;원 (-)</t>
  </si>
  <si>
    <t>한메 (-)&lt;br&gt;학생 (-14)&lt;br&gt;신형만 (-13)&lt;br&gt;솔 (-)</t>
  </si>
  <si>
    <t>깡패,신형만,원,솔,학생,ACDC</t>
  </si>
  <si>
    <t>G260120213946</t>
  </si>
  <si>
    <t>2026-01-20 21:39</t>
  </si>
  <si>
    <t>깡패 (24)&lt;br&gt;넘버 (-)&lt;br&gt;신형만 (23)&lt;br&gt;ACDC (28)</t>
  </si>
  <si>
    <t>테리 (-15)&lt;br&gt;솔 (-)&lt;br&gt;학생 (-16)&lt;br&gt;한메 (-)</t>
  </si>
  <si>
    <t>깡패,신형만,넘버,솔,학생,ACDC</t>
  </si>
  <si>
    <t>G260120210203</t>
  </si>
  <si>
    <t>2026-01-20 21:02</t>
  </si>
  <si>
    <t>ACDC (27)&lt;br&gt;테리 (19)&lt;br&gt;학생 (288)&lt;br&gt;신형만 (22)</t>
  </si>
  <si>
    <t>한메 (-)&lt;br&gt;깡패 (-19)&lt;br&gt;솔 (-)&lt;br&gt;넘버 (-)</t>
  </si>
  <si>
    <t>G260120204202</t>
  </si>
  <si>
    <t>2026-01-20 20:41</t>
  </si>
  <si>
    <t>학생 (-)&lt;br&gt;신형만 (22)&lt;br&gt;깡패 (21)&lt;br&gt;한메 (-)</t>
  </si>
  <si>
    <t>넘버 (-)&lt;br&gt;솔 (-)&lt;br&gt;테리 (-11)&lt;br&gt;ACDC (-10)</t>
  </si>
  <si>
    <t>G260114231046</t>
  </si>
  <si>
    <t>2026-01-14 23:10</t>
  </si>
  <si>
    <t>테리 (19)&lt;br&gt;신형만 (24)&lt;br&gt;규식 (17)&lt;br&gt;솔 (-)</t>
  </si>
  <si>
    <t>짱구 (-10)&lt;br&gt;깡패 (-12)&lt;br&gt;ACDC (-11)&lt;br&gt;학생 (-)</t>
  </si>
  <si>
    <t>신형만,짱구,학생,깡패,ACDC,솔</t>
  </si>
  <si>
    <t>G260114230908</t>
  </si>
  <si>
    <t>2026-01-14 23:09</t>
  </si>
  <si>
    <t>신형만 (23)&lt;br&gt;테리 (18)&lt;br&gt;넘버 (-)&lt;br&gt;ACDC (25)</t>
  </si>
  <si>
    <t>솔 (-)&lt;br&gt;학생 (-)&lt;br&gt;짱구 (-18)&lt;br&gt;규식 (308)</t>
  </si>
  <si>
    <t>신형만,짱구,학생,넘버,ACDC,솔</t>
  </si>
  <si>
    <t>G260114230641</t>
  </si>
  <si>
    <t>2026-01-14 23:06</t>
  </si>
  <si>
    <t>테리 (17)&lt;br&gt;규식 (-)&lt;br&gt;ACDC (24)&lt;br&gt;짱구 (23)</t>
  </si>
  <si>
    <t>학생 (-)&lt;br&gt;신형만 (-13)&lt;br&gt;솔 (-)&lt;br&gt;넘버 (-)</t>
  </si>
  <si>
    <t>G251210212447</t>
  </si>
  <si>
    <t>2025-12-10 21:24</t>
  </si>
  <si>
    <t>테리 (19)&lt;br&gt;학생 (-)&lt;br&gt;한메 (-)&lt;br&gt;신형만 (23)</t>
  </si>
  <si>
    <t>노인 (-)&lt;br&gt;오딘 (-)&lt;br&gt;규식 (-)&lt;br&gt;깡패 (-12)</t>
  </si>
  <si>
    <t>깡패,신형만,학생</t>
  </si>
  <si>
    <t>G251210203915</t>
  </si>
  <si>
    <t>2025-12-10 20:39</t>
  </si>
  <si>
    <t>학생 (-)&lt;br&gt;깡패 (20)&lt;br&gt;테리 (20)&lt;br&gt;오딘 (-)</t>
  </si>
  <si>
    <t>한메 (-)&lt;br&gt;신형만 (-14)&lt;br&gt;노인 (-)&lt;br&gt;규식 (-)</t>
  </si>
  <si>
    <t>G251208223057</t>
  </si>
  <si>
    <t>2025-12-08 22:30</t>
  </si>
  <si>
    <t>노인 (-)&lt;br&gt;신형만 (25)&lt;br&gt;한메 (-)&lt;br&gt;원 (-)</t>
  </si>
  <si>
    <t>깡패 (-14)&lt;br&gt;테리 (-13)&lt;br&gt;기재 (-)&lt;br&gt;ACDC (-13)</t>
  </si>
  <si>
    <t>깡패,신형만,원,ACDC</t>
  </si>
  <si>
    <t>G251208213848</t>
  </si>
  <si>
    <t>2025-12-08 21:38</t>
  </si>
  <si>
    <t>원 (-)&lt;br&gt;깡패 (20)&lt;br&gt;ACDC (26)&lt;br&gt;신형만 (168)</t>
  </si>
  <si>
    <t>기재 (-)&lt;br&gt;짱구 (-13)&lt;br&gt;테리 (-13)&lt;br&gt;한메 (-)</t>
  </si>
  <si>
    <t>G251203014255</t>
  </si>
  <si>
    <t>2025-12-03 01:42</t>
  </si>
  <si>
    <t>깡패 (47)&lt;br&gt;학생 (-)&lt;br&gt;짱구 (39)&lt;br&gt;규식 (-)</t>
  </si>
  <si>
    <t>신형만 (-)&lt;br&gt;참치 (-)&lt;br&gt;테리 (-4)&lt;br&gt;ovo (-)</t>
  </si>
  <si>
    <t>깡패,신형만,참치</t>
  </si>
  <si>
    <t>G251203004539</t>
  </si>
  <si>
    <t>2025-12-03 00:45</t>
  </si>
  <si>
    <t>테리 (39)&lt;br&gt;깡패 (47)&lt;br&gt;학생 (-)&lt;br&gt;ACDC (47)</t>
  </si>
  <si>
    <t>ovo (-)&lt;br&gt;규식 (-)&lt;br&gt;신형만 (-)&lt;br&gt;짱구 (200)</t>
  </si>
  <si>
    <t>깡패,신형만,ACDC</t>
  </si>
  <si>
    <t>G251202230058</t>
  </si>
  <si>
    <t>2025-12-02 23:00</t>
  </si>
  <si>
    <t>신형만 (-)&lt;br&gt;참치 (-)&lt;br&gt;원 (-)&lt;br&gt;학생 (-)</t>
  </si>
  <si>
    <t>깡패 (288)&lt;br&gt;규식 (-)&lt;br&gt;기재 (-)&lt;br&gt;ACDC (-6)</t>
  </si>
  <si>
    <t>깡패,신형만,참치,원,ACDC</t>
  </si>
  <si>
    <t>G251202223702</t>
  </si>
  <si>
    <t>2025-12-02 22:36</t>
  </si>
  <si>
    <t>기재 (-)&lt;br&gt;학생 (-)&lt;br&gt;신형만 (-)&lt;br&gt;깡패 (-)</t>
  </si>
  <si>
    <t>참치 (-)&lt;br&gt;테리 (-4)&lt;br&gt;ACDC (156)&lt;br&gt;원 (-)</t>
  </si>
  <si>
    <t>G251202214936</t>
  </si>
  <si>
    <t>2025-12-02 21:49</t>
  </si>
  <si>
    <t>깡패 (-)&lt;br&gt;참치 (-)&lt;br&gt;테리 (240)&lt;br&gt;신형만 (-)</t>
  </si>
  <si>
    <t>원 (-)&lt;br&gt;ACDC (-)&lt;br&gt;기재 (-)&lt;br&gt;학생 (-)</t>
  </si>
  <si>
    <t>G251202210700</t>
  </si>
  <si>
    <t>2025-12-02 21:06</t>
  </si>
  <si>
    <t>참치 (-)&lt;br&gt;깡패 (-)&lt;br&gt;원 (-)&lt;br&gt;ACDC (-)</t>
  </si>
  <si>
    <t>테리 (-)&lt;br&gt;학생 (-)&lt;br&gt;신형만 (-)&lt;br&gt;기재 (-)</t>
  </si>
  <si>
    <t>G251126211522</t>
  </si>
  <si>
    <t>2025-11-26 21:15</t>
  </si>
  <si>
    <t>테리 (-)&lt;br&gt;신형만 (-)&lt;br&gt;깡패 (-)&lt;br&gt;규식 (-)</t>
  </si>
  <si>
    <t>ACDC (-)&lt;br&gt;짱구 (-)&lt;br&gt;노인 (-)&lt;br&gt;노픽업 (-)</t>
  </si>
  <si>
    <t>깡패,ACDC,신형만</t>
  </si>
  <si>
    <t>G251126203634</t>
  </si>
  <si>
    <t>2025-11-26 20:36</t>
  </si>
  <si>
    <t>노인 (-)&lt;br&gt;규식 (-)&lt;br&gt;넘버 (-)&lt;br&gt;깡패 (-)</t>
  </si>
  <si>
    <t>테리 (-)&lt;br&gt;신형만 (-)&lt;br&gt;ACDC (-)&lt;br&gt;짱구 (-)</t>
  </si>
  <si>
    <t>깡패,신형만,ACDC,넘버</t>
  </si>
  <si>
    <t>G251126010023</t>
  </si>
  <si>
    <t>2025-11-26 01:00</t>
  </si>
  <si>
    <t>테리 (-)&lt;br&gt;넘버 (-)&lt;br&gt;짱구 (-)&lt;br&gt;깡패 (-)</t>
  </si>
  <si>
    <t>신형만 (-)&lt;br&gt;학생 (-)&lt;br&gt;ACDC (-)&lt;br&gt;ovo (-)</t>
  </si>
  <si>
    <t>신형만,깡패,ACDC,넘버</t>
  </si>
  <si>
    <t>G251126003556</t>
  </si>
  <si>
    <t>2025-11-26 00:35</t>
  </si>
  <si>
    <t>ovo (-)&lt;br&gt;짱구 (-)&lt;br&gt;테리 (-)&lt;br&gt;ACDC (-)</t>
  </si>
  <si>
    <t>넘버 (-)&lt;br&gt;깡패 (-)&lt;br&gt;학생 (-)&lt;br&gt;신형만 (-)</t>
  </si>
  <si>
    <t>G251125231444</t>
  </si>
  <si>
    <t>2025-11-25 23:14</t>
  </si>
  <si>
    <t>기재 (-)&lt;br&gt;짱구 (-)&lt;br&gt;ACDC (-)&lt;br&gt;규식 (-)</t>
  </si>
  <si>
    <t>유즈 (-)&lt;br&gt;넘버 (-)&lt;br&gt;학생 (-)&lt;br&gt;신형만 (-)</t>
  </si>
  <si>
    <t>신형만,ACDC,넘버</t>
  </si>
  <si>
    <t>G251125224419</t>
  </si>
  <si>
    <t>2025-11-25 22:44</t>
  </si>
  <si>
    <t>ACDC (-)&lt;br&gt;신형만 (-)&lt;br&gt;규식 (-)&lt;br&gt;학생 (-)</t>
  </si>
  <si>
    <t>테리 (-)&lt;br&gt;유즈 (-)&lt;br&gt;기재 (-)&lt;br&gt;짱구 (-)</t>
  </si>
  <si>
    <t>신형만,ACDC</t>
  </si>
  <si>
    <t>G251125215307</t>
  </si>
  <si>
    <t>2025-11-25 21:53</t>
  </si>
  <si>
    <t>기재 (-)&lt;br&gt;학생 (-)&lt;br&gt;테리 (-)&lt;br&gt;규식 (-)</t>
  </si>
  <si>
    <t>유즈 (-)&lt;br&gt;짱구 (-)&lt;br&gt;신형만 (-)&lt;br&gt;ACDC (-)</t>
  </si>
  <si>
    <t>G251124223252</t>
  </si>
  <si>
    <t>2025-11-24 22:32</t>
  </si>
  <si>
    <t>원 (-)&lt;br&gt;깡패 (-)&lt;br&gt;한메 (-)&lt;br&gt;기재 (-)</t>
  </si>
  <si>
    <t>ACDC (-)&lt;br&gt;노픽업 (-)&lt;br&gt;테리 (-)&lt;br&gt;짱구 (-)</t>
  </si>
  <si>
    <t>ACDC,깡패,원</t>
  </si>
  <si>
    <t>G251124214920</t>
  </si>
  <si>
    <t>2025-11-24 21:49</t>
  </si>
  <si>
    <t>테리 (-)&lt;br&gt;짱구 (-)&lt;br&gt;기재 (-)&lt;br&gt;한메 (-)</t>
  </si>
  <si>
    <t>깡패 (-)&lt;br&gt;ACDC (-)&lt;br&gt;노픽업 (-)&lt;br&gt;원 (-)</t>
  </si>
  <si>
    <t>G251124213241</t>
  </si>
  <si>
    <t>2025-11-24 21:32</t>
  </si>
  <si>
    <t>깡패 (-)&lt;br&gt;짱구 (-)&lt;br&gt;원 (-)&lt;br&gt;한메 (-)</t>
  </si>
  <si>
    <t>ACDC (-)&lt;br&gt;테리 (-)&lt;br&gt;노픽업 (-)&lt;br&gt;기재 (-)</t>
  </si>
  <si>
    <t>G251123223315</t>
  </si>
  <si>
    <t>2025-11-23 22:33</t>
  </si>
  <si>
    <t>ACDC (-)&lt;br&gt;짱구 (-)&lt;br&gt;규식 (-)&lt;br&gt;ovo (-)</t>
  </si>
  <si>
    <t>깡패 (-)&lt;br&gt;테리 (-)&lt;br&gt;노픽업 (-)&lt;br&gt;신형만 (-)</t>
  </si>
  <si>
    <t>깡패,신형만</t>
  </si>
  <si>
    <t>G251123215719</t>
  </si>
  <si>
    <t>2025-11-23 21:57</t>
  </si>
  <si>
    <t>기재 (-)&lt;br&gt;깡패 (-)&lt;br&gt;테리 (-)&lt;br&gt;짱구 (-)</t>
  </si>
  <si>
    <t>신형만 (-)&lt;br&gt;노픽업 (-)&lt;br&gt;ovo (-)&lt;br&gt;ACDC (-)</t>
  </si>
  <si>
    <t>G251123213202</t>
  </si>
  <si>
    <t>2025-11-23 21:32</t>
  </si>
  <si>
    <t>ovo (-)&lt;br&gt;짱구 (-)&lt;br&gt;규식 (-)&lt;br&gt;노픽업 (-)</t>
  </si>
  <si>
    <t>ACDC (-)&lt;br&gt;테리 (-)&lt;br&gt;신형만 (-)&lt;br&gt;깡패 (-)</t>
  </si>
  <si>
    <t>G251123203503</t>
  </si>
  <si>
    <t>2025-11-23 20:35</t>
  </si>
  <si>
    <t>깡패 (-)&lt;br&gt;ACDC (-)&lt;br&gt;ovo (-)&lt;br&gt;규식 (-)</t>
  </si>
  <si>
    <t>신형만 (-)&lt;br&gt;노픽업 (-)&lt;br&gt;테리 (-)&lt;br&gt;짱구 (-)</t>
  </si>
  <si>
    <t>G251119220517</t>
  </si>
  <si>
    <t>2025-11-19 22:05</t>
  </si>
  <si>
    <t>ACDC (-)&lt;br&gt;규식 (-)&lt;br&gt;테리 (-)&lt;br&gt;짱구 (-)</t>
  </si>
  <si>
    <t>노인 (-)&lt;br&gt;유즈 (-)&lt;br&gt;기재 (-)&lt;br&gt;깡패 (-)</t>
  </si>
  <si>
    <t>G251119211320</t>
  </si>
  <si>
    <t>2025-11-19 21:13</t>
  </si>
  <si>
    <t>기재 (-)&lt;br&gt;테리 (-)&lt;br&gt;짱구 (-)&lt;br&gt;신형만 (-)</t>
  </si>
  <si>
    <t>깡패 (-)&lt;br&gt;노인 (-)&lt;br&gt;ACDC (-)&lt;br&gt;규식 (-)</t>
  </si>
  <si>
    <t>G251119202916</t>
  </si>
  <si>
    <t>2025-11-19 20:29</t>
  </si>
  <si>
    <t>테리 (-)&lt;br&gt;규식 (-)&lt;br&gt;깡패 (-)&lt;br&gt;한메 (-)</t>
  </si>
  <si>
    <t>노인 (-)&lt;br&gt;신형만 (-)&lt;br&gt;짱구 (-)&lt;br&gt;ACDC (-)</t>
  </si>
  <si>
    <t>G251110220811</t>
  </si>
  <si>
    <t>2025-11-10 22:08</t>
  </si>
  <si>
    <t>테리 (-)&lt;br&gt;학생 (-)&lt;br&gt;기재 (-)&lt;br&gt;규식 (-)</t>
  </si>
  <si>
    <t>깡패 (-)&lt;br&gt;노인 (-)&lt;br&gt;짱구 (-)&lt;br&gt;참치 (-)</t>
  </si>
  <si>
    <t>깡패,참치</t>
  </si>
  <si>
    <t>G251110211300</t>
  </si>
  <si>
    <t>2025-11-10 21:12</t>
  </si>
  <si>
    <t>노인 (-)&lt;br&gt;테리 (-)&lt;br&gt;깡패 (-)&lt;br&gt;학생 (-)</t>
  </si>
  <si>
    <t>참치 (-)&lt;br&gt;짱구 (-)&lt;br&gt;규식 (-)&lt;br&gt;기재 (-)</t>
  </si>
  <si>
    <t>G251109233241</t>
  </si>
  <si>
    <t>2025-11-09 23:32</t>
  </si>
  <si>
    <t>넘버 (18)&lt;br&gt;신형만 (28)&lt;br&gt;원 (20)&lt;br&gt;깡패 (17)</t>
  </si>
  <si>
    <t>테리 (-15)&lt;br&gt;노픽업 (-10)&lt;br&gt;짱구 (-14)&lt;br&gt;규식 (-14)</t>
  </si>
  <si>
    <t>시즌14</t>
  </si>
  <si>
    <t>신형만,깡패,넘버,원</t>
  </si>
  <si>
    <t>G251109230337</t>
  </si>
  <si>
    <t>2025-11-09 23:03</t>
  </si>
  <si>
    <t>깡패 (16)&lt;br&gt;원 (19)&lt;br&gt;테리 (14)&lt;br&gt;짱구 (18)</t>
  </si>
  <si>
    <t>솔 (-16)&lt;br&gt;규식 (-16)&lt;br&gt;신형만 (-14)&lt;br&gt;노픽업 (-11)</t>
  </si>
  <si>
    <t>신형만,깡패,솔,원</t>
  </si>
  <si>
    <t>G251109223705</t>
  </si>
  <si>
    <t>2025-11-09 22:37</t>
  </si>
  <si>
    <t>솔 (19)&lt;br&gt;원 (21)&lt;br&gt;테리 (14)&lt;br&gt;신형만 (27)</t>
  </si>
  <si>
    <t>깡패 (-16)&lt;br&gt;짱구 (-14)&lt;br&gt;기재 (-13)&lt;br&gt;노픽업 (-10)</t>
  </si>
  <si>
    <t>G251109214722</t>
  </si>
  <si>
    <t>2025-11-09 21:47</t>
  </si>
  <si>
    <t>테리 (13)&lt;br&gt;깡패 (15)&lt;br&gt;솔 (18)&lt;br&gt;짱구 (17)</t>
  </si>
  <si>
    <t>신형만 (-11)&lt;br&gt;노픽업 (-9)&lt;br&gt;원 (-12)&lt;br&gt;기재 (-11)</t>
  </si>
  <si>
    <t>G251109205318</t>
  </si>
  <si>
    <t>2025-11-09 20:53</t>
  </si>
  <si>
    <t>솔 (23)&lt;br&gt;짱구 (22)&lt;br&gt;기재 (23)&lt;br&gt;신형만 (31)</t>
  </si>
  <si>
    <t>깡패 (-15)&lt;br&gt;테리 (-14)&lt;br&gt;노픽업 (-10)&lt;br&gt;원 (-14)</t>
  </si>
  <si>
    <t>G251109201842</t>
  </si>
  <si>
    <t>2025-11-09 20:18</t>
  </si>
  <si>
    <t>기재 (25)&lt;br&gt;솔 (26)&lt;br&gt;원 (25)&lt;br&gt;노픽업 (32)</t>
  </si>
  <si>
    <t>테리 (-19)&lt;br&gt;신형만 (-16)&lt;br&gt;깡패 (-20)&lt;br&gt;짱구 (-17)</t>
  </si>
  <si>
    <t>G251109161017</t>
  </si>
  <si>
    <t>2025-11-09 16:10</t>
  </si>
  <si>
    <t>ovo (-)&lt;br&gt;규식 (11)&lt;br&gt;신형만 (21)&lt;br&gt;기재 (17)</t>
  </si>
  <si>
    <t>넘버 (-13)&lt;br&gt;GYUL (-10)&lt;br&gt;용이 (-)&lt;br&gt;노픽업 (-9)</t>
  </si>
  <si>
    <t>신형만,넘버,GYUL</t>
  </si>
  <si>
    <t>G251109153051</t>
  </si>
  <si>
    <t>2025-11-09 15:30</t>
  </si>
  <si>
    <t>기재 (14)&lt;br&gt;넘버 (9)&lt;br&gt;규식 (9)&lt;br&gt;GYUL (23)</t>
  </si>
  <si>
    <t>용이 (-)&lt;br&gt;신형만 (-17)&lt;br&gt;노픽업 (-14)&lt;br&gt;ovo (-)</t>
  </si>
  <si>
    <t>G251106023211</t>
  </si>
  <si>
    <t>2025-11-06 02:32</t>
  </si>
  <si>
    <t>넘버 (21)&lt;br&gt;학생 (31)&lt;br&gt;ACDC (31)&lt;br&gt;규식 (20)</t>
  </si>
  <si>
    <t>깡패 (-18)&lt;br&gt;신형만 (-14)&lt;br&gt;솔 (-16)&lt;br&gt;짱구 (-16)</t>
  </si>
  <si>
    <t>깡패,신형만,넘버,솔</t>
  </si>
  <si>
    <t>G251106013851</t>
  </si>
  <si>
    <t>2025-11-06 01:38</t>
  </si>
  <si>
    <t>신형만 (29)&lt;br&gt;깡패 (16)&lt;br&gt;규식 (19)&lt;br&gt;학생 (30)</t>
  </si>
  <si>
    <t>솔 (-18)&lt;br&gt;ACDC (-13)&lt;br&gt;짱구 (-18)&lt;br&gt;넘버 (-19)</t>
  </si>
  <si>
    <t>G251106010856</t>
  </si>
  <si>
    <t>2025-11-06 01:08</t>
  </si>
  <si>
    <t>한메 (19)&lt;br&gt;짱구 (14)&lt;br&gt;테리 (11)&lt;br&gt;깡패 (12)</t>
  </si>
  <si>
    <t>솔 (-13)&lt;br&gt;유즈 (-9)&lt;br&gt;ACDC (-9)&lt;br&gt;신형만 (-11)</t>
  </si>
  <si>
    <t>깡패,신형만,솔</t>
  </si>
  <si>
    <t>G251106000523</t>
  </si>
  <si>
    <t>2025-11-06 00:05</t>
  </si>
  <si>
    <t>ACDC (27)&lt;br&gt;신형만 (26)&lt;br&gt;깡패 (14)&lt;br&gt;짱구 (16)</t>
  </si>
  <si>
    <t>유즈 (-10)&lt;br&gt;솔 (-14)&lt;br&gt;한메 (-12)&lt;br&gt;기재 (-12)</t>
  </si>
  <si>
    <t>G251105220051</t>
  </si>
  <si>
    <t>2025-11-05 22:00</t>
  </si>
  <si>
    <t>노인 (23)&lt;br&gt;짱구 (23)&lt;br&gt;깡패 (21)&lt;br&gt;신형만 (34)</t>
  </si>
  <si>
    <t>기재 (-10)&lt;br&gt;테리 (-12)&lt;br&gt;넘버 (-12)&lt;br&gt;규식 (-11)</t>
  </si>
  <si>
    <t>넘버,신형만,깡패</t>
  </si>
  <si>
    <t>G251105205502</t>
  </si>
  <si>
    <t>2025-11-05 20:54</t>
  </si>
  <si>
    <t>테리 (15)&lt;br&gt;노인 (21)&lt;br&gt;짱구 (21)&lt;br&gt;넘버 (19)</t>
  </si>
  <si>
    <t>깡패 (-20)&lt;br&gt;신형만 (-15)&lt;br&gt;규식 (-18)&lt;br&gt;기재 (-16)</t>
  </si>
  <si>
    <t>G251105033348</t>
  </si>
  <si>
    <t>2025-11-05 03:33</t>
  </si>
  <si>
    <t>민우 (-)&lt;br&gt;솔 (14)&lt;br&gt;ovo (-)&lt;br&gt;깡패 (12)</t>
  </si>
  <si>
    <t>신형만 (-13)&lt;br&gt;학생 (-11)&lt;br&gt;노픽업 (-11)&lt;br&gt;짱구 (-14)</t>
  </si>
  <si>
    <t>G251105030727</t>
  </si>
  <si>
    <t>2025-11-05 03:07</t>
  </si>
  <si>
    <t>솔 (14)&lt;br&gt;신형만 (23)&lt;br&gt;짱구 (14)&lt;br&gt;민우 (-)</t>
  </si>
  <si>
    <t>ovo (-)&lt;br&gt;노픽업 (-9)&lt;br&gt;깡패 (-13)&lt;br&gt;학생 (-9)</t>
  </si>
  <si>
    <t>G251105020012</t>
  </si>
  <si>
    <t>2025-11-05 02:00</t>
  </si>
  <si>
    <t>신형만 (30)&lt;br&gt;짱구 (20)&lt;br&gt;테리 (14)&lt;br&gt;솔 (20)</t>
  </si>
  <si>
    <t>넘버 (-14)&lt;br&gt;학생 (-10)&lt;br&gt;노픽업 (-10)&lt;br&gt;깡패 (-15)</t>
  </si>
  <si>
    <t>G251105011555</t>
  </si>
  <si>
    <t>2025-11-05 01:15</t>
  </si>
  <si>
    <t>신형만 (30)&lt;br&gt;참치 (26)&lt;br&gt;기재 (21)&lt;br&gt;깡패 (15)</t>
  </si>
  <si>
    <t>솔 (-20)&lt;br&gt;노픽업 (-15)&lt;br&gt;학생 (-15)&lt;br&gt;넘버 (-21)</t>
  </si>
  <si>
    <t>깡패,신형만,참치,솔,넘버</t>
  </si>
  <si>
    <t>G251105004305</t>
  </si>
  <si>
    <t>2025-11-05 00:43</t>
  </si>
  <si>
    <t>신형만 (37)&lt;br&gt;참치 (34)&lt;br&gt;규식 (22)&lt;br&gt;넘버 (22)</t>
  </si>
  <si>
    <t>깡패 (-15)&lt;br&gt;테리 (-15)&lt;br&gt;기재 (-12)&lt;br&gt;솔 (-14)</t>
  </si>
  <si>
    <t>G251104234956</t>
  </si>
  <si>
    <t>2025-11-04 23:49</t>
  </si>
  <si>
    <t>솔 (15)&lt;br&gt;규식 (13)&lt;br&gt;넘버 (12)&lt;br&gt;깡패 (11)</t>
  </si>
  <si>
    <t>기재 (-14)&lt;br&gt;ACDC (-11)&lt;br&gt;신형만 (-12)&lt;br&gt;참치 (-13)</t>
  </si>
  <si>
    <t>G251104232722</t>
  </si>
  <si>
    <t>2025-11-04 23:27</t>
  </si>
  <si>
    <t>깡패 (16)&lt;br&gt;원 (20)&lt;br&gt;ACDC (29)&lt;br&gt;기재 (21)</t>
  </si>
  <si>
    <t>참치 (-15)&lt;br&gt;신형만 (-14)&lt;br&gt;규식 (-17)&lt;br&gt;솔 (-18)</t>
  </si>
  <si>
    <t>깡패,신형만,참치,솔,원</t>
  </si>
  <si>
    <t>G251104221633</t>
  </si>
  <si>
    <t>2025-11-04 22:16</t>
  </si>
  <si>
    <t>ACDC (31)&lt;br&gt;솔 (22)&lt;br&gt;참치 (30)&lt;br&gt;원 (23)</t>
  </si>
  <si>
    <t>기재 (-15)&lt;br&gt;테리 (-18)&lt;br&gt;한메 (-15)&lt;br&gt;짱구 (-15)</t>
  </si>
  <si>
    <t>원,참치,솔</t>
  </si>
  <si>
    <t>G251104213501</t>
  </si>
  <si>
    <t>2025-11-04 21:34</t>
  </si>
  <si>
    <t>테리 (13)&lt;br&gt;넘버 (16)&lt;br&gt;한메 (21)&lt;br&gt;참치 (28)</t>
  </si>
  <si>
    <t>기재 (-16)&lt;br&gt;짱구 (-16)&lt;br&gt;ACDC (-12)&lt;br&gt;솔 (-17)</t>
  </si>
  <si>
    <t>넘버,참치,솔</t>
  </si>
  <si>
    <t>G251104210742</t>
  </si>
  <si>
    <t>2025-11-04 21:07</t>
  </si>
  <si>
    <t>테리 (13)&lt;br&gt;짱구 (19)&lt;br&gt;기재 (21)&lt;br&gt;한메 (23)</t>
  </si>
  <si>
    <t>솔 (-12)&lt;br&gt;ACDC (-8)&lt;br&gt;넘버 (-12)&lt;br&gt;참치 (-10)</t>
  </si>
  <si>
    <t>넘버,솔,참치</t>
  </si>
  <si>
    <t>G251104012750</t>
  </si>
  <si>
    <t>2025-11-04 01:27</t>
  </si>
  <si>
    <t>솔 (15)&lt;br&gt;넘버 (14)&lt;br&gt;기재 (18)&lt;br&gt;짱구 (17)</t>
  </si>
  <si>
    <t>신형만 (-9)&lt;br&gt;깡패 (-12)&lt;br&gt;ACDC (-8)&lt;br&gt;노픽업 (-9)</t>
  </si>
  <si>
    <t>깡패,신형만,솔,넘버</t>
  </si>
  <si>
    <t>G251104011342</t>
  </si>
  <si>
    <t>2025-11-04 01:13</t>
  </si>
  <si>
    <t>ACDC (32)&lt;br&gt;짱구 (24)&lt;br&gt;노픽업 (30)&lt;br&gt;기재 (25)</t>
  </si>
  <si>
    <t>넘버 (-16)&lt;br&gt;노인 (-15)&lt;br&gt;신형만 (-13)&lt;br&gt;깡패 (-16)</t>
  </si>
  <si>
    <t>깡패,신형만,넘버</t>
  </si>
  <si>
    <t>G251104000421</t>
  </si>
  <si>
    <t>2025-11-04 00:04</t>
  </si>
  <si>
    <t>ACDC (32)&lt;br&gt;깡패 (17)&lt;br&gt;학생 (30)&lt;br&gt;신형만 (34)</t>
  </si>
  <si>
    <t>솔 (-18)&lt;br&gt;노인 (-17)&lt;br&gt;기재 (-16)&lt;br&gt;짱구 (-16)</t>
  </si>
  <si>
    <t>G251103231146</t>
  </si>
  <si>
    <t>2025-11-03 23:11</t>
  </si>
  <si>
    <t>노인 (15)&lt;br&gt;학생 (200)&lt;br&gt;솔 (14)&lt;br&gt;깡패 (12)</t>
  </si>
  <si>
    <t>신형만 (-12)&lt;br&gt;짱구 (-14)&lt;br&gt;ACDC (-10)&lt;br&gt;기재 (-14)</t>
  </si>
  <si>
    <t>G251103222910</t>
  </si>
  <si>
    <t>2025-11-03 22:29</t>
  </si>
  <si>
    <t>솔 (15)&lt;br&gt;테리 (10)&lt;br&gt;기재 (17)&lt;br&gt;짱구 (16)</t>
  </si>
  <si>
    <t>깡패 (-16)&lt;br&gt;ACDC (-10)&lt;br&gt;신형만 (-12)&lt;br&gt;학생 (-)</t>
  </si>
  <si>
    <t>G251103214553</t>
  </si>
  <si>
    <t>2025-11-03 21:45</t>
  </si>
  <si>
    <t>테리 (11)&lt;br&gt;규식 (13)&lt;br&gt;짱구 (16)&lt;br&gt;기재 (18)</t>
  </si>
  <si>
    <t>오딘 (-11)&lt;br&gt;학생 (-)&lt;br&gt;신형만 (-14)&lt;br&gt;깡패 (-19)</t>
  </si>
  <si>
    <t>G251103211400</t>
  </si>
  <si>
    <t>2025-11-03 21:13</t>
  </si>
  <si>
    <t>깡패 (13)&lt;br&gt;짱구 (19)&lt;br&gt;규식 (15)&lt;br&gt;학생 (-)</t>
  </si>
  <si>
    <t>기재 (-17)&lt;br&gt;오딘 (-13)&lt;br&gt;테리 (-21)&lt;br&gt;신형만 (-16)</t>
  </si>
  <si>
    <t>G251103012919</t>
  </si>
  <si>
    <t>2025-11-03 01:29</t>
  </si>
  <si>
    <t>신형만 (26)&lt;br&gt;짱구 (22)&lt;br&gt;노픽업 (28)&lt;br&gt;깡패 (16)</t>
  </si>
  <si>
    <t>기재 (-13)&lt;br&gt;넘버 (-15)&lt;br&gt;ACDC (-10)&lt;br&gt;규식 (-14)</t>
  </si>
  <si>
    <t>깡패,넘버</t>
  </si>
  <si>
    <t>G251103003336</t>
  </si>
  <si>
    <t>2025-11-03 00:33</t>
  </si>
  <si>
    <t>넘버 (12)&lt;br&gt;깡패 (12)&lt;br&gt;기재 (17)&lt;br&gt;짱구 (18)</t>
  </si>
  <si>
    <t>ACDC (-13)&lt;br&gt;규식 (-19)&lt;br&gt;신형만 (-15)&lt;br&gt;노픽업 (-14)</t>
  </si>
  <si>
    <t>G251102235614</t>
  </si>
  <si>
    <t>2025-11-02 23:56</t>
  </si>
  <si>
    <t>솔 (21)&lt;br&gt;짱구 (24)&lt;br&gt;노픽업 (29)&lt;br&gt;넘버 (18)</t>
  </si>
  <si>
    <t>기재 (-11)&lt;br&gt;ACDC (-9)&lt;br&gt;깡패 (-13)&lt;br&gt;규식 (-12)</t>
  </si>
  <si>
    <t>깡패,솔,넘버</t>
  </si>
  <si>
    <t>G251102232156</t>
  </si>
  <si>
    <t>2025-11-02 23:21</t>
  </si>
  <si>
    <t>넘버 (12)&lt;br&gt;규식 (12)&lt;br&gt;솔 (15)&lt;br&gt;깡패 (11)</t>
  </si>
  <si>
    <t>ACDC (-12)&lt;br&gt;노픽업 (-12)&lt;br&gt;기재 (-16)&lt;br&gt;짱구 (-15)</t>
  </si>
  <si>
    <t>G251102225325</t>
  </si>
  <si>
    <t>2025-11-02 22:53</t>
  </si>
  <si>
    <t>솔 (19)&lt;br&gt;깡패 (14)&lt;br&gt;짱구 (21)&lt;br&gt;기재 (19)</t>
  </si>
  <si>
    <t>노인 (-15)&lt;br&gt;ACDC (-11)&lt;br&gt;규식 (-15)&lt;br&gt;노픽업 (-11)</t>
  </si>
  <si>
    <t>깡패,솔</t>
  </si>
  <si>
    <t>G251102221648</t>
  </si>
  <si>
    <t>2025-11-02 22:16</t>
  </si>
  <si>
    <t>기재 (22)&lt;br&gt;규식 (17)&lt;br&gt;ACDC (29)&lt;br&gt;솔 (22)</t>
  </si>
  <si>
    <t>깡패 (-13)&lt;br&gt;노픽업 (-9)&lt;br&gt;노인 (-12)&lt;br&gt;짱구 (-10)</t>
  </si>
  <si>
    <t>G251102213520</t>
  </si>
  <si>
    <t>2025-11-02 21:35</t>
  </si>
  <si>
    <t>테리 (12)&lt;br&gt;깡패 (14)&lt;br&gt;짱구 (22)&lt;br&gt;기재 (21)</t>
  </si>
  <si>
    <t>ACDC (-12)&lt;br&gt;노인 (-17)&lt;br&gt;노픽업 (-13)&lt;br&gt;규식 (-17)</t>
  </si>
  <si>
    <t>G251102210420</t>
  </si>
  <si>
    <t>2025-11-02 21:04</t>
  </si>
  <si>
    <t>노인 (16)&lt;br&gt;ACDC (29)&lt;br&gt;테리 (13)&lt;br&gt;깡패 (15)</t>
  </si>
  <si>
    <t>기재 (-17)&lt;br&gt;노픽업 (-15)&lt;br&gt;규식 (-20)&lt;br&gt;짱구 (-16)</t>
  </si>
  <si>
    <t>G251102204326</t>
  </si>
  <si>
    <t>2025-11-02 20:43</t>
  </si>
  <si>
    <t>깡패 (18)&lt;br&gt;노인 (18)&lt;br&gt;짱구 (25)&lt;br&gt;솔 (24)</t>
  </si>
  <si>
    <t>ACDC (-11)&lt;br&gt;테리 (-16)&lt;br&gt;기재 (-13)&lt;br&gt;규식 (-16)</t>
  </si>
  <si>
    <t>솔,깡패</t>
  </si>
  <si>
    <t>G251102174220</t>
  </si>
  <si>
    <t>2025-11-02 17:42</t>
  </si>
  <si>
    <t>ACDC (25)&lt;br&gt;깡패 (12)&lt;br&gt;규식 (10)&lt;br&gt;짱구 (19)</t>
  </si>
  <si>
    <t>기재 (-14)&lt;br&gt;퍼플 (-)&lt;br&gt;노인 (-16)&lt;br&gt;ovo (-)</t>
  </si>
  <si>
    <t>G251102170210</t>
  </si>
  <si>
    <t>2025-11-02 17:02</t>
  </si>
  <si>
    <t>테리 (10)&lt;br&gt;노인 (14)&lt;br&gt;ovo (-)&lt;br&gt;규식 (11)</t>
  </si>
  <si>
    <t>퍼플 (-)&lt;br&gt;ACDC (-8)&lt;br&gt;기재 (-11)&lt;br&gt;깡패 (-12)</t>
  </si>
  <si>
    <t>G251102161015</t>
  </si>
  <si>
    <t>2025-11-02 16:10</t>
  </si>
  <si>
    <t>노인 (16)&lt;br&gt;테리 (12)&lt;br&gt;ovo (-)&lt;br&gt;퍼플 (-)</t>
  </si>
  <si>
    <t>깡패 (-14)&lt;br&gt;짱구 (-11)&lt;br&gt;용이 (-)&lt;br&gt;기재 (-12)</t>
  </si>
  <si>
    <t>G251102151749</t>
  </si>
  <si>
    <t>2025-11-02 15:17</t>
  </si>
  <si>
    <t>테리 (8)&lt;br&gt;노인 (11)&lt;br&gt;짱구 (17)&lt;br&gt;깡패 (10)</t>
  </si>
  <si>
    <t>용이 (-)&lt;br&gt;퍼플 (-)&lt;br&gt;기재 (-14)&lt;br&gt;ovo (-)</t>
  </si>
  <si>
    <t>G251101011931</t>
  </si>
  <si>
    <t>2025-11-01 01:19</t>
  </si>
  <si>
    <t>한메 (24)&lt;br&gt;넘버 (18)&lt;br&gt;짱구 (26)&lt;br&gt;규식 (16)</t>
  </si>
  <si>
    <t>테리 (-19)&lt;br&gt;참치 (-15)&lt;br&gt;ACDC (-12)&lt;br&gt;깡패 (-19)</t>
  </si>
  <si>
    <t>깡패,참치,넘버</t>
  </si>
  <si>
    <t>G251101002944</t>
  </si>
  <si>
    <t>2025-11-01 00:29</t>
  </si>
  <si>
    <t>넘버 (18)&lt;br&gt;깡패 (16)&lt;br&gt;한메 (24)&lt;br&gt;참치 (28)</t>
  </si>
  <si>
    <t>ACDC (-8)&lt;br&gt;규식 (-12)&lt;br&gt;테리 (-12)&lt;br&gt;짱구 (-9)</t>
  </si>
  <si>
    <t>G251029220605</t>
  </si>
  <si>
    <t>2025-10-29 22:06</t>
  </si>
  <si>
    <t>깡패 (13)&lt;br&gt;규식 (12)&lt;br&gt;테리 (10)&lt;br&gt;원 (16)</t>
  </si>
  <si>
    <t>ACDC (-11)&lt;br&gt;짱구 (-13)&lt;br&gt;노인 (-15)&lt;br&gt;GYUL (-12)</t>
  </si>
  <si>
    <t>깡패,원,GYUL</t>
  </si>
  <si>
    <t>G251029213503</t>
  </si>
  <si>
    <t>2025-10-29 21:34</t>
  </si>
  <si>
    <t>GYUL (29)&lt;br&gt;노인 (15)&lt;br&gt;깡패 (14)&lt;br&gt;규식 (13)</t>
  </si>
  <si>
    <t>테리 (-21)&lt;br&gt;오딘 (-13)&lt;br&gt;ACDC (-14)&lt;br&gt;짱구 (-16)</t>
  </si>
  <si>
    <t>깡패,GYUL</t>
  </si>
  <si>
    <t>G251029210158</t>
  </si>
  <si>
    <t>2025-10-29 21:01</t>
  </si>
  <si>
    <t>노인 (15)&lt;br&gt;ACDC (26)&lt;br&gt;테리 (10)&lt;br&gt;깡패 (14)</t>
  </si>
  <si>
    <t>오딘 (-12)&lt;br&gt;짱구 (-14)&lt;br&gt;규식 (-18)&lt;br&gt;GYUL (-13)</t>
  </si>
  <si>
    <t>G251027003824</t>
  </si>
  <si>
    <t>2025-10-27 00:38</t>
  </si>
  <si>
    <t>깡패 (16)&lt;br&gt;학생 (-)&lt;br&gt;노인 (17)&lt;br&gt;짱구 (22)</t>
  </si>
  <si>
    <t>신형만 (-14)&lt;br&gt;노픽업 (-13)&lt;br&gt;솔 (-16)&lt;br&gt;한메 (-14)</t>
  </si>
  <si>
    <t>깡패,솔,신형만</t>
  </si>
  <si>
    <t>G251026233933</t>
  </si>
  <si>
    <t>2025-10-26 23:39</t>
  </si>
  <si>
    <t>GYUL (29)&lt;br&gt;깡패 (15)&lt;br&gt;원 (17)&lt;br&gt;짱구 (21)</t>
  </si>
  <si>
    <t>노인 (-11)&lt;br&gt;학생 (-)&lt;br&gt;노픽업 (-10)&lt;br&gt;한메 (-11)</t>
  </si>
  <si>
    <t>깡패,GYUL,원</t>
  </si>
  <si>
    <t>G251026225819</t>
  </si>
  <si>
    <t>2025-10-26 22:58</t>
  </si>
  <si>
    <t>노인 (16)&lt;br&gt;깡패 (16)&lt;br&gt;GYUL (31)&lt;br&gt;노픽업 (23)</t>
  </si>
  <si>
    <t>한메 (-15)&lt;br&gt;원 (-16)&lt;br&gt;학생 (-)&lt;br&gt;짱구 (-14)</t>
  </si>
  <si>
    <t>G251026222615</t>
  </si>
  <si>
    <t>2025-10-26 22:26</t>
  </si>
  <si>
    <t>깡패 (15)&lt;br&gt;짱구 (20)&lt;br&gt;노인 (15)&lt;br&gt;한메 (18)</t>
  </si>
  <si>
    <t>원 (-20)&lt;br&gt;학생 (-)&lt;br&gt;노픽업 (-16)&lt;br&gt;GYUL (-15)</t>
  </si>
  <si>
    <t>G251026220614</t>
  </si>
  <si>
    <t>2025-10-26 22:06</t>
  </si>
  <si>
    <t>깡패 (15)&lt;br&gt;규식 (11)&lt;br&gt;한메 (18)&lt;br&gt;원 (14)</t>
  </si>
  <si>
    <t>노인 (-18)&lt;br&gt;오딘 (-13)&lt;br&gt;학생 (-)&lt;br&gt;짱구 (-15)</t>
  </si>
  <si>
    <t>깡패,원</t>
  </si>
  <si>
    <t>G251026214444</t>
  </si>
  <si>
    <t>2025-10-26 21:44</t>
  </si>
  <si>
    <t>한메 (21)&lt;br&gt;짱구 (22)&lt;br&gt;원 (17)&lt;br&gt;규식 (13)</t>
  </si>
  <si>
    <t>오딘 (-13)&lt;br&gt;깡패 (-18)&lt;br&gt;노인 (-17)&lt;br&gt;학생 (-)</t>
  </si>
  <si>
    <t>G251026211244</t>
  </si>
  <si>
    <t>2025-10-26 21:12</t>
  </si>
  <si>
    <t>노인 (16)&lt;br&gt;오딘 (27)&lt;br&gt;규식 (13)&lt;br&gt;원 (18)</t>
  </si>
  <si>
    <t>깡패 (-16)&lt;br&gt;학생 (-)&lt;br&gt;한메 (-14)&lt;br&gt;짱구 (-13)</t>
  </si>
  <si>
    <t>G251026204250</t>
  </si>
  <si>
    <t>2025-10-26 20:42</t>
  </si>
  <si>
    <t>오딘 (29)&lt;br&gt;짱구 (24)&lt;br&gt;깡패 (18)&lt;br&gt;규식 (15)</t>
  </si>
  <si>
    <t>원 (-16)&lt;br&gt;노인 (-16)&lt;br&gt;학생 (-)&lt;br&gt;한메 (-14)</t>
  </si>
  <si>
    <t>G251025020506</t>
  </si>
  <si>
    <t>2025-10-25 02:05</t>
  </si>
  <si>
    <t>신형만 (33)&lt;br&gt;테리 (16)&lt;br&gt;규식 (20)&lt;br&gt;노픽업 (29)</t>
  </si>
  <si>
    <t>넘버 (-14)&lt;br&gt;깡패 (-14)&lt;br&gt;노인 (-13)&lt;br&gt;한메 (-12)</t>
  </si>
  <si>
    <t>G251025012154</t>
  </si>
  <si>
    <t>2025-10-25 01:21</t>
  </si>
  <si>
    <t>노인 (20)&lt;br&gt;노픽업 (28)&lt;br&gt;테리 (15)&lt;br&gt;깡패 (22)</t>
  </si>
  <si>
    <t>한메 (-15)&lt;br&gt;넘버 (-18)&lt;br&gt;신형만 (-14)&lt;br&gt;규식 (-17)</t>
  </si>
  <si>
    <t>G251025004523</t>
  </si>
  <si>
    <t>2025-10-25 00:45</t>
  </si>
  <si>
    <t>테리 (14)&lt;br&gt;노인 (19)&lt;br&gt;규식 (17)&lt;br&gt;한메 (23)</t>
  </si>
  <si>
    <t>신형만 (-14)&lt;br&gt;ACDC (-12)&lt;br&gt;깡패 (-17)&lt;br&gt;넘버 (-18)</t>
  </si>
  <si>
    <t>G251025001518</t>
  </si>
  <si>
    <t>2025-10-25 00:15</t>
  </si>
  <si>
    <t>넘버 (13)&lt;br&gt;규식 (14)&lt;br&gt;노인 (16)&lt;br&gt;깡패 (16)</t>
  </si>
  <si>
    <t>ACDC (-11)&lt;br&gt;신형만 (-12)&lt;br&gt;테리 (-16)&lt;br&gt;용이 (-)</t>
  </si>
  <si>
    <t>G251025001300</t>
  </si>
  <si>
    <t>2025-10-25 00:12</t>
  </si>
  <si>
    <t>노인 (21)&lt;br&gt;ACDC (29)&lt;br&gt;용이 (-)&lt;br&gt;넘버 (17)</t>
  </si>
  <si>
    <t>깡패 (-13)&lt;br&gt;짱구 (-10)&lt;br&gt;규식 (-12)&lt;br&gt;신형만 (-11)</t>
  </si>
  <si>
    <t>G251024223637</t>
  </si>
  <si>
    <t>2025-10-24 22:36</t>
  </si>
  <si>
    <t>ACDC (28)&lt;br&gt;넘버 (15)&lt;br&gt;짱구 (24)&lt;br&gt;깡패 (18)</t>
  </si>
  <si>
    <t>신형만 (-16)&lt;br&gt;규식 (-18)&lt;br&gt;노인 (-17)&lt;br&gt;용이 (-)</t>
  </si>
  <si>
    <t>G251024210301</t>
  </si>
  <si>
    <t>2025-10-24 21:02</t>
  </si>
  <si>
    <t>ACDC (32)&lt;br&gt;노인 (23)&lt;br&gt;규식 (19)&lt;br&gt;신형만 (31)</t>
  </si>
  <si>
    <t>깡패 (-17)&lt;br&gt;짱구 (-14)&lt;br&gt;테리 (-18)&lt;br&gt;기재 (-16)</t>
  </si>
  <si>
    <t>G251024001239</t>
  </si>
  <si>
    <t>2025-10-24 00:12</t>
  </si>
  <si>
    <t>한메 (26)&lt;br&gt;참치 (31)&lt;br&gt;테리 (16)&lt;br&gt;넘버 (21)</t>
  </si>
  <si>
    <t>솔 (-13)&lt;br&gt;깡패 (-14)&lt;br&gt;원 (-13)&lt;br&gt;신형만 (-11)</t>
  </si>
  <si>
    <t>깡패,솔,원,신형만,넘버,참치</t>
  </si>
  <si>
    <t>G251023232934</t>
  </si>
  <si>
    <t>2025-10-23 23:29</t>
  </si>
  <si>
    <t>테리 (14)&lt;br&gt;신형만 (28)&lt;br&gt;넘버 (18)&lt;br&gt;깡패 (19)</t>
  </si>
  <si>
    <t>참치 (-14)&lt;br&gt;원 (-17)&lt;br&gt;노인 (-15)&lt;br&gt;한메 (-14)</t>
  </si>
  <si>
    <t>깡패,원,신형만,넘버,참치</t>
  </si>
  <si>
    <t>G251023224907</t>
  </si>
  <si>
    <t>2025-10-23 22:49</t>
  </si>
  <si>
    <t>한메 (19)&lt;br&gt;규식 (14)&lt;br&gt;넘버 (15)&lt;br&gt;깡패 (16)</t>
  </si>
  <si>
    <t>참치 (-13)&lt;br&gt;노인 (-14)&lt;br&gt;ovo (-)&lt;br&gt;신형만 (-13)</t>
  </si>
  <si>
    <t>깡패,신형만,넘버,참치</t>
  </si>
  <si>
    <t>G251023222541</t>
  </si>
  <si>
    <t>2025-10-23 22:25</t>
  </si>
  <si>
    <t>한메 (23)&lt;br&gt;노인 (19)&lt;br&gt;참치 (27)&lt;br&gt;규식 (17)</t>
  </si>
  <si>
    <t>솔 (-18)&lt;br&gt;오딘 (-13)&lt;br&gt;깡패 (-18)&lt;br&gt;신형만 (-16)</t>
  </si>
  <si>
    <t>깡패,신형만,솔,참치</t>
  </si>
  <si>
    <t>G251023215622</t>
  </si>
  <si>
    <t>2025-10-23 21:56</t>
  </si>
  <si>
    <t>테리 (13)&lt;br&gt;솔 (18)&lt;br&gt;신형만 (26)&lt;br&gt;깡패 (18)</t>
  </si>
  <si>
    <t>노인 (-10)&lt;br&gt;규식 (-11)&lt;br&gt;유즈 (-8)&lt;br&gt;한메 (-9)</t>
  </si>
  <si>
    <t>G251023211010</t>
  </si>
  <si>
    <t>2025-10-23 21:10</t>
  </si>
  <si>
    <t>솔 (22)&lt;br&gt;노인 (21)&lt;br&gt;깡패 (22)&lt;br&gt;규식 (19)</t>
  </si>
  <si>
    <t>유즈 (-11)&lt;br&gt;신형만 (-13)&lt;br&gt;테리 (-16)&lt;br&gt;넘버 (-15)</t>
  </si>
  <si>
    <t>G251023203039</t>
  </si>
  <si>
    <t>2025-10-23 20:30</t>
  </si>
  <si>
    <t>짱구 (22)&lt;br&gt;깡패 (18)&lt;br&gt;규식 (15)&lt;br&gt;한메 (21)</t>
  </si>
  <si>
    <t>신형만 (-11)&lt;br&gt;필찌 (-10)&lt;br&gt;ACDC (-9)&lt;br&gt;솔 (-12)</t>
  </si>
  <si>
    <t>G251023202918</t>
  </si>
  <si>
    <t>2025-10-23 20:29</t>
  </si>
  <si>
    <t>신형만 (28)&lt;br&gt;필찌 (25)&lt;br&gt;ACDC (30)&lt;br&gt;솔 (21)</t>
  </si>
  <si>
    <t>짱구 (-14)&lt;br&gt;깡패 (-17)&lt;br&gt;규식 (-17)&lt;br&gt;한메 (-15)</t>
  </si>
  <si>
    <t>G251022221647</t>
  </si>
  <si>
    <t>2025-10-22 22:16</t>
  </si>
  <si>
    <t>ACDC (30)&lt;br&gt;필찌 (25)&lt;br&gt;테리 (12)&lt;br&gt;깡패 (20)</t>
  </si>
  <si>
    <t>짱구 (-14)&lt;br&gt;신형만 (-14)&lt;br&gt;한메 (-14)&lt;br&gt;솔 (-16)</t>
  </si>
  <si>
    <t>G251022211011</t>
  </si>
  <si>
    <t>2025-10-22 21:10</t>
  </si>
  <si>
    <t>솔 (23)&lt;br&gt;테리 (15)&lt;br&gt;짱구 (26)&lt;br&gt;규식 (20)</t>
  </si>
  <si>
    <t>깡패 (-19)&lt;br&gt;넘버 (-20)&lt;br&gt;한메 (-16)&lt;br&gt;신형만 (-16)</t>
  </si>
  <si>
    <t>G251022204937</t>
  </si>
  <si>
    <t>2025-10-22 20:49</t>
  </si>
  <si>
    <t>테리 (15)&lt;br&gt;규식 (19)&lt;br&gt;넘버 (18)&lt;br&gt;한메 (24)</t>
  </si>
  <si>
    <t>짱구 (-14)&lt;br&gt;신형만 (-15)&lt;br&gt;솔 (-16)&lt;br&gt;깡패 (-17)</t>
  </si>
  <si>
    <t>G251022202401</t>
  </si>
  <si>
    <t>2025-10-22 20:23</t>
  </si>
  <si>
    <t>신형만 (27)&lt;br&gt;깡패 (21)&lt;br&gt;테리 (15)&lt;br&gt;넘버 (18)</t>
  </si>
  <si>
    <t>한메 (-16)&lt;br&gt;짱구 (-15)&lt;br&gt;규식 (-18)&lt;br&gt;솔 (-18)</t>
  </si>
  <si>
    <t>G251021021645</t>
  </si>
  <si>
    <t>2025-10-21 02:16</t>
  </si>
  <si>
    <t>민우 (-)&lt;br&gt;깡패 (13)&lt;br&gt;재우 (-)&lt;br&gt;ovo (-)</t>
  </si>
  <si>
    <t>ACDC (-15)&lt;br&gt;조네 (-)&lt;br&gt;노픽업 (-17)&lt;br&gt;신형만 (-18)</t>
  </si>
  <si>
    <t>G251021014317</t>
  </si>
  <si>
    <t>2025-10-21 01:43</t>
  </si>
  <si>
    <t>재우 (-)&lt;br&gt;ACDC (22)&lt;br&gt;신형만 (16)&lt;br&gt;깡패 (11)</t>
  </si>
  <si>
    <t>조네 (-)&lt;br&gt;노픽업 (-11)&lt;br&gt;ovo (-)&lt;br&gt;민우 (-)</t>
  </si>
  <si>
    <t>G251020235725</t>
  </si>
  <si>
    <t>2025-10-20 23:57</t>
  </si>
  <si>
    <t>테리 (12)&lt;br&gt;규식 (16)&lt;br&gt;학생 (-)&lt;br&gt;한메 (20)</t>
  </si>
  <si>
    <t>재우 (-)&lt;br&gt;짱구 (-12)&lt;br&gt;신형만 (-12)&lt;br&gt;깡패 (-14)</t>
  </si>
  <si>
    <t>깡패,신형만,재우</t>
  </si>
  <si>
    <t>G251020230546</t>
  </si>
  <si>
    <t>2025-10-20 23:05</t>
  </si>
  <si>
    <t>한메 (22)&lt;br&gt;규식 (18)&lt;br&gt;학생 (-)&lt;br&gt;기재 (17)</t>
  </si>
  <si>
    <t>노인 (-12)&lt;br&gt;신형만 (-11)&lt;br&gt;깡패 (-12)&lt;br&gt;재우 (-)</t>
  </si>
  <si>
    <t>G251020004253</t>
  </si>
  <si>
    <t>2025-10-20 00:42</t>
  </si>
  <si>
    <t>노인 (20)&lt;br&gt;깡패 (21)&lt;br&gt;솔 (20)&lt;br&gt;넘버 (19)</t>
  </si>
  <si>
    <t>한메 (-11)&lt;br&gt;규식 (-12)&lt;br&gt;기재 (-13)&lt;br&gt;참치 (-11)</t>
  </si>
  <si>
    <t>깡패,솔,참치,넘버</t>
  </si>
  <si>
    <t>G251019235801</t>
  </si>
  <si>
    <t>2025-10-19 23:57</t>
  </si>
  <si>
    <t>깡패 (24)&lt;br&gt;노인 (22)&lt;br&gt;한메 (26)&lt;br&gt;기재 (20)</t>
  </si>
  <si>
    <t>넘버 (-18)&lt;br&gt;솔 (-18)&lt;br&gt;GYUL (-14)&lt;br&gt;규식 (-17)</t>
  </si>
  <si>
    <t>깡패,솔,GYUL,넘버</t>
  </si>
  <si>
    <t>G251019233623</t>
  </si>
  <si>
    <t>2025-10-19 23:36</t>
  </si>
  <si>
    <t>노인 (21)&lt;br&gt;규식 (19)&lt;br&gt;깡패 (23)&lt;br&gt;솔 (20)</t>
  </si>
  <si>
    <t>한메 (-13)&lt;br&gt;넘버 (-16)&lt;br&gt;기재 (-15)&lt;br&gt;GYUL (-12)</t>
  </si>
  <si>
    <t>G251019230829</t>
  </si>
  <si>
    <t>2025-10-19 23:08</t>
  </si>
  <si>
    <t>기재 (16)&lt;br&gt;노인 (20)&lt;br&gt;필찌 (25)&lt;br&gt;GYUL (30)</t>
  </si>
  <si>
    <t>한메 (-16)&lt;br&gt;ACDC (-13)&lt;br&gt;깡패 (-18)&lt;br&gt;솔 (-19)</t>
  </si>
  <si>
    <t>깡패,솔,GYUL</t>
  </si>
  <si>
    <t>G251019223708</t>
  </si>
  <si>
    <t>2025-10-19 22:37</t>
  </si>
  <si>
    <t>노인 (20)&lt;br&gt;필찌 (25)&lt;br&gt;솔 (17)&lt;br&gt;한메 (21)</t>
  </si>
  <si>
    <t>깡패 (-14)&lt;br&gt;GYUL (-11)&lt;br&gt;ACDC (-10)&lt;br&gt;기재 (-14)</t>
  </si>
  <si>
    <t>G251019214720</t>
  </si>
  <si>
    <t>2025-10-19 21:47</t>
  </si>
  <si>
    <t>솔 (16)&lt;br&gt;GYUL (28)&lt;br&gt;노픽업 (22)&lt;br&gt;깡패 (18)</t>
  </si>
  <si>
    <t>ACDC (-13)&lt;br&gt;노인 (-16)&lt;br&gt;필찌 (-14)&lt;br&gt;규식 (-18)</t>
  </si>
  <si>
    <t>G251019213037</t>
  </si>
  <si>
    <t>2025-10-19 21:30</t>
  </si>
  <si>
    <t>노인 (20)&lt;br&gt;필찌 (25)&lt;br&gt;솔 (18)&lt;br&gt;노픽업 (24)</t>
  </si>
  <si>
    <t>깡패 (-21)&lt;br&gt;규식 (-21)&lt;br&gt;ACDC (-15)&lt;br&gt;GYUL (-17)</t>
  </si>
  <si>
    <t>G251019210510</t>
  </si>
  <si>
    <t>2025-10-19 21:05</t>
  </si>
  <si>
    <t>테리 (13)&lt;br&gt;규식 (16)&lt;br&gt;노인 (21)&lt;br&gt;노픽업 (25)</t>
  </si>
  <si>
    <t>솔 (-18)&lt;br&gt;ACDC (-13)&lt;br&gt;필찌 (-14)&lt;br&gt;깡패 (-18)</t>
  </si>
  <si>
    <t>G251019203949</t>
  </si>
  <si>
    <t>2025-10-19 20:39</t>
  </si>
  <si>
    <t>ACDC (30)&lt;br&gt;테리 (15)&lt;br&gt;노픽업 (28)&lt;br&gt;솔 (21)</t>
  </si>
  <si>
    <t>필찌 (-10)&lt;br&gt;노인 (-11)&lt;br&gt;깡패 (-12)&lt;br&gt;규식 (-12)</t>
  </si>
  <si>
    <t>G251019162038</t>
  </si>
  <si>
    <t>2025-10-19 16:20</t>
  </si>
  <si>
    <t>용이 (-)&lt;br&gt;원 (14)&lt;br&gt;넘버 (13)&lt;br&gt;신형만 (21)</t>
  </si>
  <si>
    <t>기재 (-18)&lt;br&gt;필찌 (-14)&lt;br&gt;노픽업 (-14)&lt;br&gt;오딘 (-13)</t>
  </si>
  <si>
    <t>신형만,넘버,원</t>
  </si>
  <si>
    <t>G251019155903</t>
  </si>
  <si>
    <t>2025-10-19 15:58</t>
  </si>
  <si>
    <t>신형만 (22)&lt;br&gt;노픽업 (24)&lt;br&gt;기재 (13)&lt;br&gt;원 (14)</t>
  </si>
  <si>
    <t>오딘 (-15)&lt;br&gt;넘버 (-21)&lt;br&gt;필찌 (-16)&lt;br&gt;용이 (-)</t>
  </si>
  <si>
    <t>G251019153555</t>
  </si>
  <si>
    <t>2025-10-19 15:35</t>
  </si>
  <si>
    <t>넘버 (14)&lt;br&gt;필찌 (23)&lt;br&gt;노픽업 (26)&lt;br&gt;기재 (14)</t>
  </si>
  <si>
    <t>용이 (-)&lt;br&gt;오딘 (-9)&lt;br&gt;원 (-12)&lt;br&gt;신형만 (-11)</t>
  </si>
  <si>
    <t>G251019145702</t>
  </si>
  <si>
    <t>2025-10-19 14:56</t>
  </si>
  <si>
    <t>오딘 (24)&lt;br&gt;신형만 (22)&lt;br&gt;기재 (14)&lt;br&gt;넘버 (13)</t>
  </si>
  <si>
    <t>필찌 (-11)&lt;br&gt;노픽업 (-10)&lt;br&gt;용이 (-)&lt;br&gt;원 (-14)</t>
  </si>
  <si>
    <t>G251019140445</t>
  </si>
  <si>
    <t>2025-10-19 14:04</t>
  </si>
  <si>
    <t>신형만 (20)&lt;br&gt;테리 (10)&lt;br&gt;기재 (13)&lt;br&gt;넘버 (12)</t>
  </si>
  <si>
    <t>짱구 (-13)&lt;br&gt;필찌 (-12)&lt;br&gt;용이 (-)&lt;br&gt;노픽업 (-11)</t>
  </si>
  <si>
    <t>신형만,넘버</t>
  </si>
  <si>
    <t>G251019133536</t>
  </si>
  <si>
    <t>2025-10-19 13:35</t>
  </si>
  <si>
    <t>필찌 (22)&lt;br&gt;짱구 (19)&lt;br&gt;넘버 (14)&lt;br&gt;규식 (13)</t>
  </si>
  <si>
    <t>용이 (-)&lt;br&gt;노픽업 (-10)&lt;br&gt;신형만 (-12)&lt;br&gt;기재 (-13)</t>
  </si>
  <si>
    <t>G251019124333</t>
  </si>
  <si>
    <t>2025-10-19 12:43</t>
  </si>
  <si>
    <t>기재 (14)&lt;br&gt;규식 (14)&lt;br&gt;용이 (-)&lt;br&gt;넘버 (14)</t>
  </si>
  <si>
    <t>신형만 (-14)&lt;br&gt;필찌 (-13)&lt;br&gt;짱구 (-14)&lt;br&gt;노픽업 (-12)</t>
  </si>
  <si>
    <t>G251019014940</t>
  </si>
  <si>
    <t>2025-10-19 01:49</t>
  </si>
  <si>
    <t>ACDC (31)&lt;br&gt;참치 (29)&lt;br&gt;원 (20)&lt;br&gt;한메 (26)</t>
  </si>
  <si>
    <t>기재 (-20)&lt;br&gt;신형만 (-19)&lt;br&gt;짱구 (-19)&lt;br&gt;넘버 (-21)</t>
  </si>
  <si>
    <t>신형만,원,참치,넘버</t>
  </si>
  <si>
    <t>G251019012456</t>
  </si>
  <si>
    <t>2025-10-19 01:24</t>
  </si>
  <si>
    <t>참치 (25)&lt;br&gt;넘버 (15)&lt;br&gt;짱구 (19)&lt;br&gt;원 (15)</t>
  </si>
  <si>
    <t>필찌 (-14)&lt;br&gt;ACDC (-12)&lt;br&gt;신형만 (-15)&lt;br&gt;기재 (-17)</t>
  </si>
  <si>
    <t>G251019010121</t>
  </si>
  <si>
    <t>2025-10-19 01:01</t>
  </si>
  <si>
    <t>신형만 (25)&lt;br&gt;짱구 (22)&lt;br&gt;기재 (17)&lt;br&gt;참치 (28)</t>
  </si>
  <si>
    <t>ACDC (-9)&lt;br&gt;원 (-12)&lt;br&gt;필찌 (-10)&lt;br&gt;넘버 (-13)</t>
  </si>
  <si>
    <t>G251019001028</t>
  </si>
  <si>
    <t>2025-10-19 00:10</t>
  </si>
  <si>
    <t>기재 (16)&lt;br&gt;필찌 (23)&lt;br&gt;규식 (16)&lt;br&gt;원 (16)</t>
  </si>
  <si>
    <t>참치 (240)&lt;br&gt;넘버 (-16)&lt;br&gt;ACDC (-11)&lt;br&gt;신형만 (-14)</t>
  </si>
  <si>
    <t>G251018234012</t>
  </si>
  <si>
    <t>2025-10-18 23:40</t>
  </si>
  <si>
    <t>신형만 (22)&lt;br&gt;원 (15)&lt;br&gt;넘버 (14)&lt;br&gt;기재 (15)</t>
  </si>
  <si>
    <t>필찌 (-12)&lt;br&gt;ACDC (-11)&lt;br&gt;참치 (-)&lt;br&gt;규식 (-14)</t>
  </si>
  <si>
    <t>G251018231129</t>
  </si>
  <si>
    <t>2025-10-18 23:11</t>
  </si>
  <si>
    <t>넘버 (15)&lt;br&gt;테리 (13)&lt;br&gt;규식 (15)&lt;br&gt;원 (16)</t>
  </si>
  <si>
    <t>기재 (-16)&lt;br&gt;신형만 (-14)&lt;br&gt;ACDC (-11)&lt;br&gt;참치 (-)</t>
  </si>
  <si>
    <t>G251018225648</t>
  </si>
  <si>
    <t>2025-10-18 22:56</t>
  </si>
  <si>
    <t>테리 (17)&lt;br&gt;참치 (-)&lt;br&gt;넘버 (20)&lt;br&gt;신형만 (28)</t>
  </si>
  <si>
    <t>원 (-20)&lt;br&gt;ACDC (-15)&lt;br&gt;기재 (-19)&lt;br&gt;규식 (-19)</t>
  </si>
  <si>
    <t>G251018223127</t>
  </si>
  <si>
    <t>2025-10-18 22:31</t>
  </si>
  <si>
    <t>기재 (18)&lt;br&gt;테리 (16)&lt;br&gt;원 (20)&lt;br&gt;참치 (-)</t>
  </si>
  <si>
    <t>ACDC (-11)&lt;br&gt;규식 (-15)&lt;br&gt;신형만 (-13)&lt;br&gt;넘버 (-16)</t>
  </si>
  <si>
    <t>G251018012618</t>
  </si>
  <si>
    <t>2025-10-18 01:26</t>
  </si>
  <si>
    <t>기재 (18)&lt;br&gt;짱구 (23)&lt;br&gt;넘버 (18)&lt;br&gt;GYUL (31)</t>
  </si>
  <si>
    <t>참치 (-)&lt;br&gt;깡패 (-18)&lt;br&gt;규식 (-18)&lt;br&gt;노픽업 (-14)</t>
  </si>
  <si>
    <t>깡패,참치,GYUL,넘버</t>
  </si>
  <si>
    <t>G251018005201</t>
  </si>
  <si>
    <t>2025-10-18 00:51</t>
  </si>
  <si>
    <t>짱구 (24)&lt;br&gt;참치 (-)&lt;br&gt;기재 (19)&lt;br&gt;깡패 (19)</t>
  </si>
  <si>
    <t>필찌 (-15)&lt;br&gt;넘버 (-19)&lt;br&gt;GYUL (156)&lt;br&gt;규식 (-18)</t>
  </si>
  <si>
    <t>G251018002026</t>
  </si>
  <si>
    <t>2025-10-18 00:20</t>
  </si>
  <si>
    <t>넘버 (18)&lt;br&gt;짱구 (24)&lt;br&gt;깡패 (19)&lt;br&gt;GYUL (-)</t>
  </si>
  <si>
    <t>기재 (-19)&lt;br&gt;필찌 (-17)&lt;br&gt;규식 (-21)&lt;br&gt;참치 (-)</t>
  </si>
  <si>
    <t>G251018000056</t>
  </si>
  <si>
    <t>2025-10-18 00:00</t>
  </si>
  <si>
    <t>깡패 (18)&lt;br&gt;참치 (-)&lt;br&gt;넘버 (17)&lt;br&gt;기재 (17)</t>
  </si>
  <si>
    <t>짱구 (-11)&lt;br&gt;GYUL (-)&lt;br&gt;필찌 (-12)&lt;br&gt;규식 (-14)</t>
  </si>
  <si>
    <t>G251017232422</t>
  </si>
  <si>
    <t>2025-10-17 23:24</t>
  </si>
  <si>
    <t>참치 (-)&lt;br&gt;짱구 (23)&lt;br&gt;기재 (17)&lt;br&gt;규식 (13)</t>
  </si>
  <si>
    <t>노인 (-18)&lt;br&gt;깡패 (-20)&lt;br&gt;ACDC (-16)&lt;br&gt;GYUL (-)</t>
  </si>
  <si>
    <t>깡패,GYUL,참치</t>
  </si>
  <si>
    <t>G251017225914</t>
  </si>
  <si>
    <t>2025-10-17 22:59</t>
  </si>
  <si>
    <t>ACDC (26)&lt;br&gt;신형만 (24)&lt;br&gt;규식 (13)&lt;br&gt;참치 (-)</t>
  </si>
  <si>
    <t>짱구 (-10)&lt;br&gt;GYUL (-)&lt;br&gt;노인 (-12)&lt;br&gt;기재 (-12)</t>
  </si>
  <si>
    <t>신형만,GYUL,참치</t>
  </si>
  <si>
    <t>G251017214645</t>
  </si>
  <si>
    <t>2025-10-17 21:46</t>
  </si>
  <si>
    <t>기재 (17)&lt;br&gt;짱구 (23)&lt;br&gt;신형만 (25)&lt;br&gt;넘버 (17)</t>
  </si>
  <si>
    <t>참치 (-)&lt;br&gt;노인 (-13)&lt;br&gt;GYUL (-)&lt;br&gt;규식 (-15)</t>
  </si>
  <si>
    <t>신형만,GYUL,넘버,참치</t>
  </si>
  <si>
    <t>G251017211536</t>
  </si>
  <si>
    <t>2025-10-17 21:15</t>
  </si>
  <si>
    <t>신형만 (23)&lt;br&gt;노인 (15)&lt;br&gt;기재 (15)&lt;br&gt;넘버 (15)</t>
  </si>
  <si>
    <t>짱구 (-14)&lt;br&gt;GYUL (-)&lt;br&gt;필찌 (-15)&lt;br&gt;오딘 (-14)</t>
  </si>
  <si>
    <t>신형만,GYUL,넘버</t>
  </si>
  <si>
    <t>G251017204702</t>
  </si>
  <si>
    <t>2025-10-17 20:47</t>
  </si>
  <si>
    <t>기재 (19)&lt;br&gt;오딘 (27)&lt;br&gt;짱구 (25)&lt;br&gt;신형만 (28)</t>
  </si>
  <si>
    <t>필찌 (-13)&lt;br&gt;넘버 (-15)&lt;br&gt;노인 (-14)&lt;br&gt;GYUL (-)</t>
  </si>
  <si>
    <t>G251017013750</t>
  </si>
  <si>
    <t>2025-10-17 01:37</t>
  </si>
  <si>
    <t>ovo (-)&lt;br&gt;깡패 (16)&lt;br&gt;신형만 (26)&lt;br&gt;기재 (17)</t>
  </si>
  <si>
    <t>넘버 (-13)&lt;br&gt;참치 (-)&lt;br&gt;짱구 (-10)&lt;br&gt;노픽업 (-10)</t>
  </si>
  <si>
    <t>신형만,깡패,참치,넘버</t>
  </si>
  <si>
    <t>G251017010404</t>
  </si>
  <si>
    <t>2025-10-17 01:04</t>
  </si>
  <si>
    <t>기재 (15)&lt;br&gt;짱구 (20)&lt;br&gt;넘버 (13)&lt;br&gt;깡패 (14)</t>
  </si>
  <si>
    <t>참치 (-)&lt;br&gt;신형만 (-16)&lt;br&gt;노픽업 (-16)&lt;br&gt;ovo (-)</t>
  </si>
  <si>
    <t>G251017003854</t>
  </si>
  <si>
    <t>2025-10-17 00:38</t>
  </si>
  <si>
    <t>테리 (14)&lt;br&gt;규식 (12)&lt;br&gt;기재 (19)&lt;br&gt;넘버 (17)</t>
  </si>
  <si>
    <t>신형만 (-10)&lt;br&gt;깡패 (-13)&lt;br&gt;참치 (-)&lt;br&gt;한메 (-11)</t>
  </si>
  <si>
    <t>G251016233032</t>
  </si>
  <si>
    <t>2025-10-16 23:30</t>
  </si>
  <si>
    <t>참치 (-)&lt;br&gt;넘버 (21)&lt;br&gt;한메 (23)&lt;br&gt;규식 (15)</t>
  </si>
  <si>
    <t>기재 (-13)&lt;br&gt;신형만 (-12)&lt;br&gt;필찌 (-13)&lt;br&gt;깡패 (-14)</t>
  </si>
  <si>
    <t>G251016224828</t>
  </si>
  <si>
    <t>2025-10-16 22:48</t>
  </si>
  <si>
    <t>깡패 (18)&lt;br&gt;참치 (-)&lt;br&gt;기재 (21)&lt;br&gt;한메 (23)</t>
  </si>
  <si>
    <t>필찌 (-17)&lt;br&gt;오딘 (-15)&lt;br&gt;규식 (-19)&lt;br&gt;신형만 (-16)</t>
  </si>
  <si>
    <t>신형만,깡패,참치</t>
  </si>
  <si>
    <t>G251016220233</t>
  </si>
  <si>
    <t>2025-10-16 22:02</t>
  </si>
  <si>
    <t>테리 (15)&lt;br&gt;필찌 (20)&lt;br&gt;한메 (24)&lt;br&gt;규식 (14)</t>
  </si>
  <si>
    <t>기재 (-14)&lt;br&gt;깡패 (-16)&lt;br&gt;신형만 (-13)&lt;br&gt;오딘 (-12)</t>
  </si>
  <si>
    <t>신형만,깡패</t>
  </si>
  <si>
    <t>G251016211109</t>
  </si>
  <si>
    <t>2025-10-16 21:11</t>
  </si>
  <si>
    <t>신형만 (29)&lt;br&gt;테리 (18)&lt;br&gt;필찌 (23)&lt;br&gt;기재 (23)</t>
  </si>
  <si>
    <t>오딘 (-11)&lt;br&gt;규식 (-15)&lt;br&gt;깡패 (-14)&lt;br&gt;한메 (-12)</t>
  </si>
  <si>
    <t>G251016202917</t>
  </si>
  <si>
    <t>2025-10-16 20:29</t>
  </si>
  <si>
    <t>테리 (15)&lt;br&gt;깡패 (16)&lt;br&gt;신형만 (26)&lt;br&gt;규식 (12)</t>
  </si>
  <si>
    <t>한메 (-14)&lt;br&gt;필찌 (-15)&lt;br&gt;기재 (-15)&lt;br&gt;오딘 (-13)</t>
  </si>
  <si>
    <t>G251016003056</t>
  </si>
  <si>
    <t>2025-10-16 00:30</t>
  </si>
  <si>
    <t>원 (21)&lt;br&gt;솔 (22)&lt;br&gt;짱구 (28)&lt;br&gt;넘버 (23)</t>
  </si>
  <si>
    <t>한메 (-16)&lt;br&gt;깡패 (-20)&lt;br&gt;노픽업 (-16)&lt;br&gt;규식 (-20)</t>
  </si>
  <si>
    <t>깡패,넘버,솔,원</t>
  </si>
  <si>
    <t>G251016000804</t>
  </si>
  <si>
    <t>2025-10-16 00:08</t>
  </si>
  <si>
    <t>넘버 (17)&lt;br&gt;원 (15)&lt;br&gt;깡패 (14)&lt;br&gt;한메 (20)</t>
  </si>
  <si>
    <t>짱구 (-12)&lt;br&gt;재우 (-)&lt;br&gt;솔 (-15)&lt;br&gt;GYUL (-)</t>
  </si>
  <si>
    <t>깡패,넘버,재우,솔,원,GYUL</t>
  </si>
  <si>
    <t>G251015233627</t>
  </si>
  <si>
    <t>2025-10-15 23:36</t>
  </si>
  <si>
    <t>원 (17)&lt;br&gt;깡패 (16)&lt;br&gt;재우 (-)&lt;br&gt;솔 (16)</t>
  </si>
  <si>
    <t>한메 (-10)&lt;br&gt;짱구 (-9)&lt;br&gt;GYUL (-)&lt;br&gt;넘버 (-11)</t>
  </si>
  <si>
    <t>G251015224933</t>
  </si>
  <si>
    <t>2025-10-15 22:49</t>
  </si>
  <si>
    <t>짱구 (28)&lt;br&gt;GYUL (-)&lt;br&gt;깡패 (21)&lt;br&gt;규식 (15)</t>
  </si>
  <si>
    <t>필찌 (-11)&lt;br&gt;원 (-12)&lt;br&gt;솔 (-12)&lt;br&gt;한메 (-10)</t>
  </si>
  <si>
    <t>깡패,솔,원,GYUL</t>
  </si>
  <si>
    <t>G251015214320</t>
  </si>
  <si>
    <t>2025-10-15 21:43</t>
  </si>
  <si>
    <t>한메 (27)&lt;br&gt;솔 (24)&lt;br&gt;짱구 (30)&lt;br&gt;GYUL (-)</t>
  </si>
  <si>
    <t>노인 (-14)&lt;br&gt;규식 (-16)&lt;br&gt;필찌 (-14)&lt;br&gt;깡패 (-15)</t>
  </si>
  <si>
    <t>G251015205747</t>
  </si>
  <si>
    <t>2025-10-15 20:57</t>
  </si>
  <si>
    <t>필찌 (20)&lt;br&gt;짱구 (100)&lt;br&gt;솔 (20)&lt;br&gt;규식 (13)</t>
  </si>
  <si>
    <t>GYUL (-)&lt;br&gt;노인 (-13)&lt;br&gt;깡패 (-14)&lt;br&gt;한메 (-12)</t>
  </si>
  <si>
    <t>G251015011139</t>
  </si>
  <si>
    <t>2025-10-15 01:11</t>
  </si>
  <si>
    <t>깡패 (18)&lt;br&gt;짱구 (-)&lt;br&gt;넘버 (21)&lt;br&gt;솔 (21)</t>
  </si>
  <si>
    <t>기재 (-16)&lt;br&gt;노픽업 (-15)&lt;br&gt;테리 (-18)&lt;br&gt;신형만 (-15)</t>
  </si>
  <si>
    <t>G251015003123</t>
  </si>
  <si>
    <t>2025-10-15 00:31</t>
  </si>
  <si>
    <t>신형만 (29)&lt;br&gt;솔 (22)&lt;br&gt;깡패 (19)&lt;br&gt;노픽업 (24)</t>
  </si>
  <si>
    <t>테리 (-14)&lt;br&gt;재우 (-)&lt;br&gt;기재 (-13)&lt;br&gt;넘버 (-14)</t>
  </si>
  <si>
    <t>깡패,신형만,솔,넘버,재우</t>
  </si>
  <si>
    <t>G251014235747</t>
  </si>
  <si>
    <t>2025-10-14 23:57</t>
  </si>
  <si>
    <t>솔 (21)&lt;br&gt;깡패 (18)&lt;br&gt;GYUL (-)&lt;br&gt;기재 (19)</t>
  </si>
  <si>
    <t>재우 (-)&lt;br&gt;필찌 (-15)&lt;br&gt;테리 (-16)&lt;br&gt;신형만 (-13)</t>
  </si>
  <si>
    <t>깡패,신형만,솔,재우</t>
  </si>
  <si>
    <t>G251014231200</t>
  </si>
  <si>
    <t>2025-10-14 23:11</t>
  </si>
  <si>
    <t>GYUL (-)&lt;br&gt;규식 (13)&lt;br&gt;필찌 (20)&lt;br&gt;재우 (-)</t>
  </si>
  <si>
    <t>신형만 (-16)&lt;br&gt;오딘 (-16)&lt;br&gt;기재 (-17)&lt;br&gt;솔 (-18)</t>
  </si>
  <si>
    <t>신형만,솔,재우</t>
  </si>
  <si>
    <t>G251014222718</t>
  </si>
  <si>
    <t>2025-10-14 22:27</t>
  </si>
  <si>
    <t>필찌 (22)&lt;br&gt;솔 (23)&lt;br&gt;규식 (15)&lt;br&gt;기재 (21)</t>
  </si>
  <si>
    <t>오딘 (-9)&lt;br&gt;넘버 (-11)&lt;br&gt;노인 (-11)&lt;br&gt;신형만 (-10)</t>
  </si>
  <si>
    <t>신형만,솔,넘버</t>
  </si>
  <si>
    <t>G251014211644</t>
  </si>
  <si>
    <t>2025-10-14 21:16</t>
  </si>
  <si>
    <t>넘버 (23)&lt;br&gt;노인 (19)&lt;br&gt;기재 (22)&lt;br&gt;규식 (16)</t>
  </si>
  <si>
    <t>신형만 (-13)&lt;br&gt;테리 (-16)&lt;br&gt;필찌 (-13)&lt;br&gt;솔 (-14)</t>
  </si>
  <si>
    <t>G251014203319</t>
  </si>
  <si>
    <t>2025-10-14 20:33</t>
  </si>
  <si>
    <t>노인 (22)&lt;br&gt;필찌 (25)&lt;br&gt;솔 (27)&lt;br&gt;넘버 (26)</t>
  </si>
  <si>
    <t>테리 (-18)&lt;br&gt;규식 (-18)&lt;br&gt;신형만 (-15)&lt;br&gt;기재 (-16)</t>
  </si>
  <si>
    <t>G251014011707</t>
  </si>
  <si>
    <t>2025-10-14 01:17</t>
  </si>
  <si>
    <t>깡패 (18)&lt;br&gt;넘버 (20)&lt;br&gt;필찌 (20)&lt;br&gt;한메 (21)</t>
  </si>
  <si>
    <t>ACDC (-16)&lt;br&gt;노인 (-19)&lt;br&gt;민우 (-)&lt;br&gt;신형만 (-18)</t>
  </si>
  <si>
    <t>넘버,깡패,신형만</t>
  </si>
  <si>
    <t>G251014010143</t>
  </si>
  <si>
    <t>2025-10-14 01:01</t>
  </si>
  <si>
    <t>한메 (25)&lt;br&gt;유즈 (25)&lt;br&gt;깡패 (22)&lt;br&gt;민우 (-)</t>
  </si>
  <si>
    <t>필찌 (-13)&lt;br&gt;신형만 (-13)&lt;br&gt;노인 (-14)&lt;br&gt;넘버 (-14)</t>
  </si>
  <si>
    <t>G251014000749</t>
  </si>
  <si>
    <t>2025-10-14 00:07</t>
  </si>
  <si>
    <t>넘버 (21)&lt;br&gt;규식 (13)&lt;br&gt;한메 (23)&lt;br&gt;깡패 (20)</t>
  </si>
  <si>
    <t>유즈 (-15)&lt;br&gt;노인 (-17)&lt;br&gt;짱구 (-)&lt;br&gt;신형만 (-16)</t>
  </si>
  <si>
    <t>G251013234513</t>
  </si>
  <si>
    <t>2025-10-13 23:45</t>
  </si>
  <si>
    <t>노인 (14)&lt;br&gt;깡패 (19)&lt;br&gt;신형만 (21)&lt;br&gt;규식 (12)</t>
  </si>
  <si>
    <t>짱구 (-)&lt;br&gt;유즈 (-14)&lt;br&gt;넘버 (-16)&lt;br&gt;한메 (-14)</t>
  </si>
  <si>
    <t>G251013231811</t>
  </si>
  <si>
    <t>2025-10-13 23:18</t>
  </si>
  <si>
    <t>깡패 (24)&lt;br&gt;테리 (14)&lt;br&gt;필찌 (23)&lt;br&gt;오딘 (25)</t>
  </si>
  <si>
    <t>유즈 (-10)&lt;br&gt;신형만 (-11)&lt;br&gt;한메 (-10)&lt;br&gt;규식 (-12)</t>
  </si>
  <si>
    <t>G251013221834</t>
  </si>
  <si>
    <t>2025-10-13 22:18</t>
  </si>
  <si>
    <t>테리 (12)&lt;br&gt;규식 (13)&lt;br&gt;신형만 (22)&lt;br&gt;깡패 (21)</t>
  </si>
  <si>
    <t>오딘 (-11)&lt;br&gt;필찌 (-11)&lt;br&gt;유즈 (-11)&lt;br&gt;한메 (-11)</t>
  </si>
  <si>
    <t>G251013204824</t>
  </si>
  <si>
    <t>2025-10-13 20:48</t>
  </si>
  <si>
    <t>유즈 (22)&lt;br&gt;노인 (17)&lt;br&gt;테리 (14)&lt;br&gt;규식 (14)</t>
  </si>
  <si>
    <t>한메 (-11)&lt;br&gt;오딘 (-11)&lt;br&gt;넘버 (-12)&lt;br&gt;신형만 (-12)</t>
  </si>
  <si>
    <t>넘버,신형만</t>
  </si>
  <si>
    <t>G251012235932</t>
  </si>
  <si>
    <t>2025-10-12 23:59</t>
  </si>
  <si>
    <t>깡패 (27)&lt;br&gt;원 (21)&lt;br&gt;학생 (-)&lt;br&gt;규식 (17)</t>
  </si>
  <si>
    <t>테리 (-16)&lt;br&gt;노픽업 (-13)&lt;br&gt;신형만 (-14)&lt;br&gt;넘버 (-15)</t>
  </si>
  <si>
    <t>깡패,원,넘버,신형만</t>
  </si>
  <si>
    <t>G251012230828</t>
  </si>
  <si>
    <t>2025-10-12 23:08</t>
  </si>
  <si>
    <t>ACDC (28)&lt;br&gt;규식 (18)&lt;br&gt;노픽업 (26)&lt;br&gt;학생 (-)</t>
  </si>
  <si>
    <t>원 (-13)&lt;br&gt;신형만 (-12)&lt;br&gt;넘버 (-12)&lt;br&gt;깡패 (-12)</t>
  </si>
  <si>
    <t>G251012221624</t>
  </si>
  <si>
    <t>2025-10-12 22:16</t>
  </si>
  <si>
    <t>깡패 (29)&lt;br&gt;넘버 (25)&lt;br&gt;ACDC (29)&lt;br&gt;규식 (19)</t>
  </si>
  <si>
    <t>신형만 (-13)&lt;br&gt;노픽업 (-12)&lt;br&gt;테리 (-15)&lt;br&gt;원 (-14)</t>
  </si>
  <si>
    <t>G251012211513</t>
  </si>
  <si>
    <t>2025-10-12 21:15</t>
  </si>
  <si>
    <t>테리 (13)&lt;br&gt;규식 (16)&lt;br&gt;노픽업 (22)&lt;br&gt;깡패 (25)</t>
  </si>
  <si>
    <t>원 (-14)&lt;br&gt;ACDC (-10)&lt;br&gt;짱구 (-)&lt;br&gt;신형만 (-13)</t>
  </si>
  <si>
    <t>깡패,원,신형만</t>
  </si>
  <si>
    <t>G251012203044</t>
  </si>
  <si>
    <t>2025-10-12 20:30</t>
  </si>
  <si>
    <t>ACDC (27)&lt;br&gt;깡패 (26)&lt;br&gt;테리 (14)&lt;br&gt;원 (17)</t>
  </si>
  <si>
    <t>신형만 (-19)&lt;br&gt;짱구 (-)&lt;br&gt;규식 (-20)&lt;br&gt;노픽업 (-17)</t>
  </si>
  <si>
    <t>G251012180530</t>
  </si>
  <si>
    <t>2025-10-12 18:05</t>
  </si>
  <si>
    <t>테리 (15)&lt;br&gt;노픽업 (24)&lt;br&gt;규식 (17)&lt;br&gt;원 (19)</t>
  </si>
  <si>
    <t>짱구 (-)&lt;br&gt;노인 (-11)&lt;br&gt;신형만 (-11)&lt;br&gt;기재 (-10)</t>
  </si>
  <si>
    <t>원,신형만</t>
  </si>
  <si>
    <t>G251011173627</t>
  </si>
  <si>
    <t>2025-10-11 17:36</t>
  </si>
  <si>
    <t>신형만 (19)&lt;br&gt;오딘 (25)&lt;br&gt;원 (16)&lt;br&gt;넘버 (19)</t>
  </si>
  <si>
    <t>필찌 (-14)&lt;br&gt;GYUL (-)&lt;br&gt;용이 (-)&lt;br&gt;규식 (-15)</t>
  </si>
  <si>
    <t>오딘,넘버,원,신형만</t>
  </si>
  <si>
    <t>G251011171519</t>
  </si>
  <si>
    <t>2025-10-11 17:15</t>
  </si>
  <si>
    <t>원 (21)&lt;br&gt;넘버 (24)&lt;br&gt;GYUL (-)&lt;br&gt;용이 (-)</t>
  </si>
  <si>
    <t>오딘 (-16)&lt;br&gt;규식 (-19)&lt;br&gt;필찌 (-17)&lt;br&gt;신형만 (-18)</t>
  </si>
  <si>
    <t>G251011165309</t>
  </si>
  <si>
    <t>2025-10-11 16:53</t>
  </si>
  <si>
    <t>필찌 (20)&lt;br&gt;노픽업 (23)&lt;br&gt;넘버 (22)&lt;br&gt;규식 (15)</t>
  </si>
  <si>
    <t>용이 (-)&lt;br&gt;오딘 (-10)&lt;br&gt;신형만 (-12)&lt;br&gt;원 (384)</t>
  </si>
  <si>
    <t>G251011160350</t>
  </si>
  <si>
    <t>2025-10-11 16:03</t>
  </si>
  <si>
    <t>원 (-)&lt;br&gt;규식 (16)&lt;br&gt;필찌 (21)&lt;br&gt;용이 (-)</t>
  </si>
  <si>
    <t>신형만 (-13)&lt;br&gt;넘버 (-13)&lt;br&gt;오딘 (-12)&lt;br&gt;노픽업 (140)</t>
  </si>
  <si>
    <t>G251011153540</t>
  </si>
  <si>
    <t>2025-10-11 15:35</t>
  </si>
  <si>
    <t>넘버 (24)&lt;br&gt;필찌 (22)&lt;br&gt;신형만 (20)&lt;br&gt;원 (-)</t>
  </si>
  <si>
    <t>오딘 (-17)&lt;br&gt;노픽업 (-)&lt;br&gt;용이 (-)&lt;br&gt;규식 (-20)</t>
  </si>
  <si>
    <t>G251010235735</t>
  </si>
  <si>
    <t>2025-10-10 23:57</t>
  </si>
  <si>
    <t>신형만 (19)&lt;br&gt;테리 (13)&lt;br&gt;학생 (-)&lt;br&gt;규식 (14)</t>
  </si>
  <si>
    <t>깡패 (-15)&lt;br&gt;짱구 (-)&lt;br&gt;한메 (-15)&lt;br&gt;기재 (-16)</t>
  </si>
  <si>
    <t>G251010231805</t>
  </si>
  <si>
    <t>2025-10-10 23:18</t>
  </si>
  <si>
    <t>노인 (17)&lt;br&gt;규식 (16)&lt;br&gt;기재 (19)&lt;br&gt;학생 (-)</t>
  </si>
  <si>
    <t>솔 (-17)&lt;br&gt;신형만 (-17)&lt;br&gt;짱구 (-)&lt;br&gt;깡패 (-16)</t>
  </si>
  <si>
    <t>G251010224657</t>
  </si>
  <si>
    <t>2025-10-10 22:46</t>
  </si>
  <si>
    <t>깡패 (27)&lt;br&gt;솔 (22)&lt;br&gt;학생 (-)&lt;br&gt;기재 (20)</t>
  </si>
  <si>
    <t>짱구 (-)&lt;br&gt;노인 (-12)&lt;br&gt;규식 (-12)&lt;br&gt;한메 (-11)</t>
  </si>
  <si>
    <t>G251010213834</t>
  </si>
  <si>
    <t>2025-10-10 21:38</t>
  </si>
  <si>
    <t>기재 (18)&lt;br&gt;규식 (14)&lt;br&gt;짱구 (-)&lt;br&gt;솔 (20)</t>
  </si>
  <si>
    <t>태식 (-)&lt;br&gt;깡패 (-16)&lt;br&gt;한메 (-16)&lt;br&gt;학생 (-)</t>
  </si>
  <si>
    <t>깡패,솔,태식</t>
  </si>
  <si>
    <t>G251010211318</t>
  </si>
  <si>
    <t>2025-10-10 21:13</t>
  </si>
  <si>
    <t>솔 (19)&lt;br&gt;테리 (12)&lt;br&gt;필찌 (19)&lt;br&gt;규식 (14)</t>
  </si>
  <si>
    <t>ACDC (-15)&lt;br&gt;짱구 (-)&lt;br&gt;깡패 (-17)&lt;br&gt;한메 (-17)</t>
  </si>
  <si>
    <t>G251010204053</t>
  </si>
  <si>
    <t>2025-10-10 20:40</t>
  </si>
  <si>
    <t>필찌 (24)&lt;br&gt;오딘 (216)&lt;br&gt;노인 (18)&lt;br&gt;솔 (26)</t>
  </si>
  <si>
    <t>테리 (-12)&lt;br&gt;ACDC (-10)&lt;br&gt;신형만 (-12)&lt;br&gt;깡패 (-11)</t>
  </si>
  <si>
    <t>신형만,깡패,솔,오딘</t>
  </si>
  <si>
    <t>G251010194405</t>
  </si>
  <si>
    <t>2025-10-10 19:44</t>
  </si>
  <si>
    <t>노인 (16)&lt;br&gt;필찌 (22)&lt;br&gt;테리 (13)&lt;br&gt;신형만 (18)</t>
  </si>
  <si>
    <t>깡패 (-12)&lt;br&gt;솔 (-12)&lt;br&gt;ACDC (-10)&lt;br&gt;오딘 (-)</t>
  </si>
  <si>
    <t>G251010004319</t>
  </si>
  <si>
    <t>2025-10-10 00:43</t>
  </si>
  <si>
    <t>깡패 (22)&lt;br&gt;재우 (-)&lt;br&gt;노인 (15)&lt;br&gt;규식 (15)</t>
  </si>
  <si>
    <t>짱구 (-)&lt;br&gt;ACDC (-16)&lt;br&gt;신형만 (-20)&lt;br&gt;노픽업 (-)</t>
  </si>
  <si>
    <t>깡패,재우,신형만</t>
  </si>
  <si>
    <t>G251010002228</t>
  </si>
  <si>
    <t>2025-10-10 00:22</t>
  </si>
  <si>
    <t>ACDC (24)&lt;br&gt;노인 (16)&lt;br&gt;노픽업 (-)&lt;br&gt;원 (-)</t>
  </si>
  <si>
    <t>신형만 (-17)&lt;br&gt;깡패 (-15)&lt;br&gt;짱구 (-)&lt;br&gt;재우 (-)</t>
  </si>
  <si>
    <t>깡패,재우,원,신형만</t>
  </si>
  <si>
    <t>G251009234645</t>
  </si>
  <si>
    <t>2025-10-09 23:46</t>
  </si>
  <si>
    <t>테리 (13)&lt;br&gt;원 (-)&lt;br&gt;노인 (16)&lt;br&gt;신형만 (17)</t>
  </si>
  <si>
    <t>한메 (-17)&lt;br&gt;재우 (-)&lt;br&gt;깡패 (-17)&lt;br&gt;노픽업 (-)</t>
  </si>
  <si>
    <t>G251009233224</t>
  </si>
  <si>
    <t>2025-10-09 23:32</t>
  </si>
  <si>
    <t>깡패 (25)&lt;br&gt;테리 (16)&lt;br&gt;원 (-)&lt;br&gt;규식 (18)</t>
  </si>
  <si>
    <t>재우 (-)&lt;br&gt;노인 (-18)&lt;br&gt;신형만 (-19)&lt;br&gt;한메 (-18)</t>
  </si>
  <si>
    <t>G251009230750</t>
  </si>
  <si>
    <t>2025-10-09 23:07</t>
  </si>
  <si>
    <t>원 (-)&lt;br&gt;규식 (21)&lt;br&gt;한메 (22)&lt;br&gt;솔 (264)</t>
  </si>
  <si>
    <t>유즈 (-16)&lt;br&gt;신형만 (-18)&lt;br&gt;노인 (-17)&lt;br&gt;깡패 (-16)</t>
  </si>
  <si>
    <t>깡패,솔,원,신형만</t>
  </si>
  <si>
    <t>G251009224344</t>
  </si>
  <si>
    <t>2025-10-09 22:43</t>
  </si>
  <si>
    <t>솔 (-)&lt;br&gt;테리 (17)&lt;br&gt;원 (-)&lt;br&gt;신형만 (20)</t>
  </si>
  <si>
    <t>한메 (-13)&lt;br&gt;유즈 (-12)&lt;br&gt;깡패 (-12)&lt;br&gt;규식 (-13)</t>
  </si>
  <si>
    <t>G251009221405</t>
  </si>
  <si>
    <t>2025-10-09 22:14</t>
  </si>
  <si>
    <t>신형만 (20)&lt;br&gt;원 (-)&lt;br&gt;규식 (19)&lt;br&gt;한메 (20)</t>
  </si>
  <si>
    <t>깡패 (-18)&lt;br&gt;솔 (-)&lt;br&gt;유즈 (240)&lt;br&gt;기재 (-18)</t>
  </si>
  <si>
    <t>G251009214447</t>
  </si>
  <si>
    <t>2025-10-09 21:44</t>
  </si>
  <si>
    <t>한메 (22)&lt;br&gt;유즈 (-)&lt;br&gt;기재 (280)&lt;br&gt;원 (-)</t>
  </si>
  <si>
    <t>솔 (-)&lt;br&gt;규식 (-16)&lt;br&gt;깡패 (-15)&lt;br&gt;신형만 (-16)</t>
  </si>
  <si>
    <t>G251009211605</t>
  </si>
  <si>
    <t>2025-10-09 21:16</t>
  </si>
  <si>
    <t>원 (-)&lt;br&gt;솔 (-)&lt;br&gt;신형만 (21)&lt;br&gt;기재 (-)</t>
  </si>
  <si>
    <t>노인 (-14)&lt;br&gt;깡패 (-14)&lt;br&gt;유즈 (-)&lt;br&gt;한메 (-13)</t>
  </si>
  <si>
    <t>G251009203156</t>
  </si>
  <si>
    <t>2025-10-09 20:31</t>
  </si>
  <si>
    <t>기재 (-)&lt;br&gt;테리 (16)&lt;br&gt;노인 (17)&lt;br&gt;한메 (20)</t>
  </si>
  <si>
    <t>필찌 (-13)&lt;br&gt;유즈 (-)&lt;br&gt;신형만 (-15)&lt;br&gt;솔 (-)</t>
  </si>
  <si>
    <t>솔,신형만</t>
  </si>
  <si>
    <t>G251009195521</t>
  </si>
  <si>
    <t>2025-10-09 19:55</t>
  </si>
  <si>
    <t>노인 (21)&lt;br&gt;솔 (-)&lt;br&gt;필찌 (27)&lt;br&gt;기재 (-)</t>
  </si>
  <si>
    <t>유즈 (-)&lt;br&gt;깡패 (-12)&lt;br&gt;테리 (-12)&lt;br&gt;신형만 (-12)</t>
  </si>
  <si>
    <t>솔,깡패,신형만</t>
  </si>
  <si>
    <t>G251009034141</t>
  </si>
  <si>
    <t>2025-10-09 03:41</t>
  </si>
  <si>
    <t>노인 (18)&lt;br&gt;태식 (-)&lt;br&gt;민우 (-)&lt;br&gt;기재 (-)</t>
  </si>
  <si>
    <t>필찌 (-16)&lt;br&gt;테리 (-19)&lt;br&gt;짱구 (-)&lt;br&gt;한메 (-17)</t>
  </si>
  <si>
    <t>G251009032117</t>
  </si>
  <si>
    <t>2025-10-09 03:21</t>
  </si>
  <si>
    <t>한메 (18)&lt;br&gt;필찌 (22)&lt;br&gt;노인 (17)&lt;br&gt;민우 (-)</t>
  </si>
  <si>
    <t>기재 (-)&lt;br&gt;짱구 (-)&lt;br&gt;테리 (-13)&lt;br&gt;태식 (-)</t>
  </si>
  <si>
    <t>G251009022633</t>
  </si>
  <si>
    <t>2025-10-09 02:26</t>
  </si>
  <si>
    <t>한메 (17)&lt;br&gt;짱구 (-)&lt;br&gt;노인 (15)&lt;br&gt;기재 (-)</t>
  </si>
  <si>
    <t>필찌 (120)&lt;br&gt;ACDC (-17)&lt;br&gt;노픽업 (-)&lt;br&gt;태식 (-)</t>
  </si>
  <si>
    <t>G251009020432</t>
  </si>
  <si>
    <t>2025-10-09 02:04</t>
  </si>
  <si>
    <t>한메 (19)&lt;br&gt;노인 (17)&lt;br&gt;태식 (-)&lt;br&gt;노픽업 (-)</t>
  </si>
  <si>
    <t>필찌 (-)&lt;br&gt;ACDC (-16)&lt;br&gt;짱구 (-)&lt;br&gt;넘버 (-18)</t>
  </si>
  <si>
    <t>G251009014101</t>
  </si>
  <si>
    <t>2025-10-09 01:40</t>
  </si>
  <si>
    <t>신형만 (16)&lt;br&gt;필찌 (-)&lt;br&gt;노인 (18)&lt;br&gt;한메 (19)</t>
  </si>
  <si>
    <t>ACDC (-13)&lt;br&gt;노픽업 (-)&lt;br&gt;넘버 (-15)&lt;br&gt;태식 (-)</t>
  </si>
  <si>
    <t>G251009010847</t>
  </si>
  <si>
    <t>2025-10-09 01:08</t>
  </si>
  <si>
    <t>노인 (20)&lt;br&gt;신형만 (18)&lt;br&gt;태식 (-)&lt;br&gt;노픽업 (-)</t>
  </si>
  <si>
    <t>필찌 (-)&lt;br&gt;ACDC (-12)&lt;br&gt;한메 (-12)&lt;br&gt;넘버 (-14)</t>
  </si>
  <si>
    <t>G251009003348</t>
  </si>
  <si>
    <t>2025-10-09 00:33</t>
  </si>
  <si>
    <t>노인 (21)&lt;br&gt;테리 (14)&lt;br&gt;오딘 (-)&lt;br&gt;노픽업 (-)</t>
  </si>
  <si>
    <t>ACDC (-12)&lt;br&gt;넘버 (-14)&lt;br&gt;한메 (-13)&lt;br&gt;찹쌀 (-)</t>
  </si>
  <si>
    <t>넘버,찹쌀,오딘</t>
  </si>
  <si>
    <t>G251009003043</t>
  </si>
  <si>
    <t>2025-10-09 00:30</t>
  </si>
  <si>
    <t>넘버 (16)&lt;br&gt;노인 (20)&lt;br&gt;테리 (13)&lt;br&gt;한메 (18)</t>
  </si>
  <si>
    <t>찹쌀 (-)&lt;br&gt;ACDC (-17)&lt;br&gt;노픽업 (-)&lt;br&gt;오딘 (-)</t>
  </si>
  <si>
    <t>G251008232801</t>
  </si>
  <si>
    <t>2025-10-08 23:27</t>
  </si>
  <si>
    <t>노인 (24)&lt;br&gt;ACDC (24)&lt;br&gt;한메 (23)&lt;br&gt;신형만 (21)</t>
  </si>
  <si>
    <t>찹쌀 (-)&lt;br&gt;테리 (-12)&lt;br&gt;넘버 (-12)&lt;br&gt;오딘 (-)</t>
  </si>
  <si>
    <t>넘버,오딘,신형만</t>
  </si>
  <si>
    <t>G251008225028</t>
  </si>
  <si>
    <t>2025-10-08 22:50</t>
  </si>
  <si>
    <t>테리 (14)&lt;br&gt;넘버 (19)&lt;br&gt;ACDC (23)&lt;br&gt;한메 (22)</t>
  </si>
  <si>
    <t>오딘 (-)&lt;br&gt;노인 (-17)&lt;br&gt;신형만 (-20)&lt;br&gt;찹쌀 (-)</t>
  </si>
  <si>
    <t>G251007015727</t>
  </si>
  <si>
    <t>2025-10-07 01:57</t>
  </si>
  <si>
    <t>유즈 (-)&lt;br&gt;테리 (14)&lt;br&gt;신형만 (17)&lt;br&gt;노픽업 (-)</t>
  </si>
  <si>
    <t>넘버 (-17)&lt;br&gt;노인 (-15)&lt;br&gt;강화 (-)&lt;br&gt;찹쌀 (-)</t>
  </si>
  <si>
    <t>G251007013950</t>
  </si>
  <si>
    <t>2025-10-07 01:39</t>
  </si>
  <si>
    <t>테리 (16)&lt;br&gt;유즈 (-)&lt;br&gt;찹쌀 (-)&lt;br&gt;넘버 (20)</t>
  </si>
  <si>
    <t>신형만 (-14)&lt;br&gt;노픽업 (-)&lt;br&gt;노인 (-12)&lt;br&gt;강화 (-)</t>
  </si>
  <si>
    <t>G251007004128</t>
  </si>
  <si>
    <t>2025-10-07 00:41</t>
  </si>
  <si>
    <t>넘버 (17)&lt;br&gt;노인 (180)&lt;br&gt;테리 (13)&lt;br&gt;신형만 (16)</t>
  </si>
  <si>
    <t>유즈 (-)&lt;br&gt;ACDC (120)&lt;br&gt;노픽업 (-)&lt;br&gt;찹쌀 (-)</t>
  </si>
  <si>
    <t>G251007002420</t>
  </si>
  <si>
    <t>2025-10-07 00:24</t>
  </si>
  <si>
    <t>테리 (17)&lt;br&gt;유즈 (-)&lt;br&gt;노인 (-)&lt;br&gt;노픽업 (-)</t>
  </si>
  <si>
    <t>찹쌀 (-)&lt;br&gt;신형만 (-17)&lt;br&gt;ACDC (-)&lt;br&gt;넘버 (-16)</t>
  </si>
  <si>
    <t>G251007000329</t>
  </si>
  <si>
    <t>2025-10-07 00:03</t>
  </si>
  <si>
    <t>ACDC (-)&lt;br&gt;테리 (15)&lt;br&gt;유즈 (-)&lt;br&gt;신형만 (16)</t>
  </si>
  <si>
    <t>노인 (-)&lt;br&gt;노픽업 (-)&lt;br&gt;넘버 (312)&lt;br&gt;찹쌀 (-)</t>
  </si>
  <si>
    <t>G251003011827</t>
  </si>
  <si>
    <t>2025-10-03 01:18</t>
  </si>
  <si>
    <t>테리 (14)&lt;br&gt;넘버 (-)&lt;br&gt;GYUL (-)&lt;br&gt;깡패 (16)</t>
  </si>
  <si>
    <t>한메 (-16)&lt;br&gt;ACDC (-)&lt;br&gt;노픽업 (-)&lt;br&gt;참치 (-)</t>
  </si>
  <si>
    <t>깡패,넘버,참치,GYUL</t>
  </si>
  <si>
    <t>G251003004722</t>
  </si>
  <si>
    <t>2025-10-03 00:47</t>
  </si>
  <si>
    <t>넘버 (-)&lt;br&gt;테리 (15)&lt;br&gt;참치 (-)&lt;br&gt;한메 (20)</t>
  </si>
  <si>
    <t>ACDC (-)&lt;br&gt;깡패 (-18)&lt;br&gt;재우 (-)&lt;br&gt;GYUL (-)</t>
  </si>
  <si>
    <t>깡패,넘버,참치,재우,GYUL</t>
  </si>
  <si>
    <t>G251003002730</t>
  </si>
  <si>
    <t>2025-10-03 00:27</t>
  </si>
  <si>
    <t>테리 (16)&lt;br&gt;참치 (-)&lt;br&gt;ACDC (-)&lt;br&gt;깡패 (17)</t>
  </si>
  <si>
    <t>GYUL (-)&lt;br&gt;재우 (-)&lt;br&gt;한메 (-10)&lt;br&gt;넘버 (-)</t>
  </si>
  <si>
    <t>G251002003455</t>
  </si>
  <si>
    <t>2025-10-02 00:34</t>
  </si>
  <si>
    <t>신형만 (17)&lt;br&gt;깡패 (17)&lt;br&gt;한메 (20)&lt;br&gt;재우 (-)</t>
  </si>
  <si>
    <t>필찌 (-)&lt;br&gt;짱구 (-)&lt;br&gt;규식 (-16)&lt;br&gt;뼈해장국 (-)</t>
  </si>
  <si>
    <t>G251001235046</t>
  </si>
  <si>
    <t>2025-10-01 23:50</t>
  </si>
  <si>
    <t>한메 (124)&lt;br&gt;신형만 (21)&lt;br&gt;짱구 (-)&lt;br&gt;규식 (17)</t>
  </si>
  <si>
    <t>재우 (-)&lt;br&gt;필찌 (-)&lt;br&gt;뼈해장국 (-)&lt;br&gt;깡패 (-11)</t>
  </si>
  <si>
    <t>G251001224551</t>
  </si>
  <si>
    <t>2025-10-01 22:45</t>
  </si>
  <si>
    <t>오딘 (-)&lt;br&gt;테리 (18)&lt;br&gt;찹쌀 (-)&lt;br&gt;깡패 (20)</t>
  </si>
  <si>
    <t>한메 (-)&lt;br&gt;노인 (-)&lt;br&gt;필찌 (-)&lt;br&gt;신형만 (-12)</t>
  </si>
  <si>
    <t>깡패,신형만,오딘</t>
  </si>
  <si>
    <t>G251001220420</t>
  </si>
  <si>
    <t>2025-10-01 22:04</t>
  </si>
  <si>
    <t>테리 (18)&lt;br&gt;신형만 (19)&lt;br&gt;노인 (-)&lt;br&gt;찹쌀 (-)</t>
  </si>
  <si>
    <t>깡패 (288)&lt;br&gt;필찌 (-)&lt;br&gt;한메 (-)&lt;br&gt;오딘 (-)</t>
  </si>
  <si>
    <t>G251001211549</t>
  </si>
  <si>
    <t>2025-10-01 21:15</t>
  </si>
  <si>
    <t>필찌 (-)&lt;br&gt;테리 (19)&lt;br&gt;찹쌀 (-)&lt;br&gt;깡패 (-)</t>
  </si>
  <si>
    <t>신형만 (-12)&lt;br&gt;노인 (-)&lt;br&gt;오딘 (-)&lt;br&gt;한메 (-)</t>
  </si>
  <si>
    <t>G251001004055</t>
  </si>
  <si>
    <t>2025-10-01 00:40</t>
  </si>
  <si>
    <t>솔 (-)&lt;br&gt;규식 (15)&lt;br&gt;한메 (-)&lt;br&gt;깡패 (-)</t>
  </si>
  <si>
    <t>테리 (200)&lt;br&gt;새출발 (-)&lt;br&gt;필찌 (-)&lt;br&gt;넘버 (-)</t>
  </si>
  <si>
    <t>깡패,넘버,솔</t>
  </si>
  <si>
    <t>G250930235032</t>
  </si>
  <si>
    <t>2025-09-30 23:50</t>
  </si>
  <si>
    <t>넘버 (-)&lt;br&gt;테리 (-)&lt;br&gt;솔 (-)&lt;br&gt;규식 (14)</t>
  </si>
  <si>
    <t>필찌 (-)&lt;br&gt;깡패 (-)&lt;br&gt;새출발 (-)&lt;br&gt;한메 (-)</t>
  </si>
  <si>
    <t>G250930224018</t>
  </si>
  <si>
    <t>2025-09-30 22:40</t>
  </si>
  <si>
    <t>필찌 (-)&lt;br&gt;규식 (15)&lt;br&gt;테리 (-)&lt;br&gt;신형만 (17)</t>
  </si>
  <si>
    <t>솔 (-)&lt;br&gt;새출발 (-)&lt;br&gt;깡패 (-)&lt;br&gt;한메 (-)</t>
  </si>
  <si>
    <t>G250930221826</t>
  </si>
  <si>
    <t>2025-09-30 22:18</t>
  </si>
  <si>
    <t>민우 (-)&lt;br&gt;신형만 (19)&lt;br&gt;새출발 (-)&lt;br&gt;솔 (-)</t>
  </si>
  <si>
    <t>테리 (-)&lt;br&gt;필찌 (-)&lt;br&gt;한메 (-)&lt;br&gt;기재 (-)</t>
  </si>
  <si>
    <t>G250930212709</t>
  </si>
  <si>
    <t>2025-09-30 21:27</t>
  </si>
  <si>
    <t>한메 (-)&lt;br&gt;테리 (-)&lt;br&gt;솔 (-)&lt;br&gt;민우 (-)</t>
  </si>
  <si>
    <t>새출발 (-)&lt;br&gt;넘버 (-)&lt;br&gt;기재 (-)&lt;br&gt;신형만 (-19)</t>
  </si>
  <si>
    <t>넘버,솔,신형만</t>
  </si>
  <si>
    <t>G250930210003</t>
  </si>
  <si>
    <t>2025-09-30 21:00</t>
  </si>
  <si>
    <t>기재 (-)&lt;br&gt;테리 (-)&lt;br&gt;신형만 (17)&lt;br&gt;규식 (15)</t>
  </si>
  <si>
    <t>새출발 (-)&lt;br&gt;넘버 (-)&lt;br&gt;솔 (-)&lt;br&gt;민우 (-)</t>
  </si>
  <si>
    <t>G250930203236</t>
  </si>
  <si>
    <t>2025-09-30 20:32</t>
  </si>
  <si>
    <t>민우 (-)&lt;br&gt;규식 (15)&lt;br&gt;넘버 (-)&lt;br&gt;신형만 (18)</t>
  </si>
  <si>
    <t>솔 (-)&lt;br&gt;새출발 (-)&lt;br&gt;테리 (-)&lt;br&gt;기재 (-)</t>
  </si>
  <si>
    <t>G250930010734</t>
  </si>
  <si>
    <t>2025-09-30 01:07</t>
  </si>
  <si>
    <t>깡패 (-)&lt;br&gt;넘버 (-)&lt;br&gt;유즈 (-)&lt;br&gt;신형만 (18)</t>
  </si>
  <si>
    <t>테리 (-)&lt;br&gt;노픽업 (-)&lt;br&gt;ACDC (-)&lt;br&gt;한메 (-)</t>
  </si>
  <si>
    <t>G250930002802</t>
  </si>
  <si>
    <t>2025-09-30 00:27</t>
  </si>
  <si>
    <t>신형만 (20)&lt;br&gt;테리 (-)&lt;br&gt;깡패 (-)&lt;br&gt;기재 (-)</t>
  </si>
  <si>
    <t>ACDC (-)&lt;br&gt;유즈 (-)&lt;br&gt;한메 (-)&lt;br&gt;넘버 (-)</t>
  </si>
  <si>
    <t>G250929234658</t>
  </si>
  <si>
    <t>2025-09-29 23:46</t>
  </si>
  <si>
    <t>유즈 (-)&lt;br&gt;신형만 (21)&lt;br&gt;기재 (-)&lt;br&gt;한메 (-)</t>
  </si>
  <si>
    <t>테리 (-)&lt;br&gt;필찌 (-)&lt;br&gt;ACDC (-)&lt;br&gt;깡패 (-)</t>
  </si>
  <si>
    <t>G250929225253</t>
  </si>
  <si>
    <t>2025-09-29 22:52</t>
  </si>
  <si>
    <t>ACDC (-)&lt;br&gt;깡패 (-)&lt;br&gt;규식 (240)&lt;br&gt;기재 (-)</t>
  </si>
  <si>
    <t>한메 (-)&lt;br&gt;오딘 (-)&lt;br&gt;필찌 (-)&lt;br&gt;신형만 (192)</t>
  </si>
  <si>
    <t>G250929220905</t>
  </si>
  <si>
    <t>2025-09-29 22:09</t>
  </si>
  <si>
    <t>오딘 (-)&lt;br&gt;필찌 (-)&lt;br&gt;깡패 (-)&lt;br&gt;규식 (-)</t>
  </si>
  <si>
    <t>기재 (-)&lt;br&gt;ACDC (-)&lt;br&gt;신형만 (-)&lt;br&gt;한메 (-)</t>
  </si>
  <si>
    <t>G250929213626</t>
  </si>
  <si>
    <t>2025-09-29 21:36</t>
  </si>
  <si>
    <t>한메 (-)&lt;br&gt;규식 (-)&lt;br&gt;테리 (-)&lt;br&gt;오딘 (-)</t>
  </si>
  <si>
    <t>필찌 (-)&lt;br&gt;신형만 (-)&lt;br&gt;ACDC (-)&lt;br&gt;깡패 (-)</t>
  </si>
  <si>
    <t>G250929211540</t>
  </si>
  <si>
    <t>2025-09-29 21:15</t>
  </si>
  <si>
    <t>ACDC (-)&lt;br&gt;테리 (-)&lt;br&gt;신형만 (-)&lt;br&gt;넘버 (-)</t>
  </si>
  <si>
    <t>깡패 (-)&lt;br&gt;필찌 (-)&lt;br&gt;오딘 (-)&lt;br&gt;규식 (-)</t>
  </si>
  <si>
    <t>깡패,신형만,넘버,오딘</t>
  </si>
  <si>
    <t>G250929204844</t>
  </si>
  <si>
    <t>2025-09-29 20:48</t>
  </si>
  <si>
    <t>넘버 (-)&lt;br&gt;신형만 (-)&lt;br&gt;필찌 (-)&lt;br&gt;깡패 (-)</t>
  </si>
  <si>
    <t>테리 (-)&lt;br&gt;ACDC (-)&lt;br&gt;규식 (-)&lt;br&gt;오딘 (-)</t>
  </si>
  <si>
    <t>G250929203321</t>
  </si>
  <si>
    <t>2025-09-29 20:33</t>
  </si>
  <si>
    <t>오딘 (-)&lt;br&gt;필찌 (-)&lt;br&gt;테리 (-)&lt;br&gt;넘버 (-)</t>
  </si>
  <si>
    <t>깡패 (-)&lt;br&gt;규식 (-)&lt;br&gt;ACDC (-)&lt;br&gt;신형만 (-)</t>
  </si>
  <si>
    <t>G250929003218</t>
  </si>
  <si>
    <t>2025-09-29 00:32</t>
  </si>
  <si>
    <t>넘버 (-)&lt;br&gt;솔 (-)&lt;br&gt;규식 (-)&lt;br&gt;신형만 (-)</t>
  </si>
  <si>
    <t>깡패 (-)&lt;br&gt;테리 (-)&lt;br&gt;노인 (-)&lt;br&gt;한메 (-)</t>
  </si>
  <si>
    <t>깡패,넘버,솔,신형만</t>
  </si>
  <si>
    <t>G250928233528</t>
  </si>
  <si>
    <t>2025-09-28 23:35</t>
  </si>
  <si>
    <t>한메 (-)&lt;br&gt;넘버 (-)&lt;br&gt;신형만 (-)&lt;br&gt;깡패 (-)</t>
  </si>
  <si>
    <t>솔 (-)&lt;br&gt;노인 (-)&lt;br&gt;테리 (-)&lt;br&gt;규식 (-)</t>
  </si>
  <si>
    <t>G250928225820</t>
  </si>
  <si>
    <t>2025-09-28 22:58</t>
  </si>
  <si>
    <t>ACDC (-)&lt;br&gt;깡패 (-)&lt;br&gt;규식 (-)&lt;br&gt;솔 (-)</t>
  </si>
  <si>
    <t>노인 (-)&lt;br&gt;테리 (-)&lt;br&gt;한메 (-)&lt;br&gt;신형만 (-)</t>
  </si>
  <si>
    <t>G250928214501</t>
  </si>
  <si>
    <t>2025-09-28 21:44</t>
  </si>
  <si>
    <t>오딘 (-)&lt;br&gt;깡패 (-)&lt;br&gt;규식 (-)&lt;br&gt;신형만 (-)</t>
  </si>
  <si>
    <t>한메 (-)&lt;br&gt;테리 (-)&lt;br&gt;ACDC (-)&lt;br&gt;솔 (-)</t>
  </si>
  <si>
    <t>깡패,솔,한메,오딘,신형만</t>
  </si>
  <si>
    <t>G250928204323</t>
  </si>
  <si>
    <t>2025-09-28 20:43</t>
  </si>
  <si>
    <t>깡패 (-)&lt;br&gt;솔 (-)&lt;br&gt;넘버 (-)&lt;br&gt;오딘 (-)</t>
  </si>
  <si>
    <t>노인 (-)&lt;br&gt;ACDC (-)&lt;br&gt;신형만 (-)&lt;br&gt;한메 (-)</t>
  </si>
  <si>
    <t>깡패,솔,넘버,오딘,신형만</t>
  </si>
  <si>
    <t>G250928200317</t>
  </si>
  <si>
    <t>2025-09-28 20:03</t>
  </si>
  <si>
    <t>오딘 (-)&lt;br&gt;테리 (-)&lt;br&gt;규식 (-)&lt;br&gt;깡패 (-)</t>
  </si>
  <si>
    <t>넘버 (-)&lt;br&gt;노인 (-)&lt;br&gt;ACDC (-)&lt;br&gt;솔 (-)</t>
  </si>
  <si>
    <t>깡패,솔,넘버,오딘</t>
  </si>
  <si>
    <t>G250928151230</t>
  </si>
  <si>
    <t>2025-09-28 15:12</t>
  </si>
  <si>
    <t>노인 (-)&lt;br&gt;ACDC (-)&lt;br&gt;넘버 (-)&lt;br&gt;원 (-)</t>
  </si>
  <si>
    <t>오딘 (-)&lt;br&gt;노픽업 (-)&lt;br&gt;규식 (-)&lt;br&gt;신형만 (-)</t>
  </si>
  <si>
    <t>신형만,오딘,넘버,원</t>
  </si>
  <si>
    <t>G250928144333</t>
  </si>
  <si>
    <t>2025-09-28 14:43</t>
  </si>
  <si>
    <t>넘버 (-)&lt;br&gt;테리 (-)&lt;br&gt;노픽업 (-)&lt;br&gt;규식 (-)</t>
  </si>
  <si>
    <t>오딘 (-)&lt;br&gt;원 (-)&lt;br&gt;노인 (-)&lt;br&gt;신형만 (-)</t>
  </si>
  <si>
    <t>G250927172806</t>
  </si>
  <si>
    <t>2025-09-27 17:28</t>
  </si>
  <si>
    <t>원 (-)&lt;br&gt;노인 (-)&lt;br&gt;미등록 (-)&lt;br&gt;기재 (-)</t>
  </si>
  <si>
    <t>찹쌀 (-)&lt;br&gt;유즈 (-)&lt;br&gt;규식 (-)&lt;br&gt;신형만 (-)</t>
  </si>
  <si>
    <t>신형만,원</t>
  </si>
  <si>
    <t>G250927170157</t>
  </si>
  <si>
    <t>2025-09-27 17:01</t>
  </si>
  <si>
    <t>기재 (-)&lt;br&gt;신형만 (-)&lt;br&gt;노인 (-)&lt;br&gt;규식 (-)</t>
  </si>
  <si>
    <t>유즈 (-)&lt;br&gt;미등록 (-)&lt;br&gt;찹쌀 (-)&lt;br&gt;원 (-)</t>
  </si>
  <si>
    <t>G250927164058</t>
  </si>
  <si>
    <t>2025-09-27 16:40</t>
  </si>
  <si>
    <t>원 (-)&lt;br&gt;노인 (-)&lt;br&gt;유즈 (-)&lt;br&gt;기재 (-)</t>
  </si>
  <si>
    <t>미등록 (-)&lt;br&gt;규식 (-)&lt;br&gt;신형만 (-)&lt;br&gt;찹쌀 (-)</t>
  </si>
  <si>
    <t>G250927161229</t>
  </si>
  <si>
    <t>2025-09-27 16:12</t>
  </si>
  <si>
    <t>노인 (-)&lt;br&gt;유즈 (-)&lt;br&gt;규식 (-)&lt;br&gt;신형만 (-)</t>
  </si>
  <si>
    <t>기재 (-)&lt;br&gt;미등록 (-)&lt;br&gt;찹쌀 (-)&lt;br&gt;원 (-)</t>
  </si>
  <si>
    <t>G250927153434</t>
  </si>
  <si>
    <t>2025-09-27 15:34</t>
  </si>
  <si>
    <t>유즈 (-)&lt;br&gt;규식 (-)&lt;br&gt;원 (-)&lt;br&gt;기재 (-)</t>
  </si>
  <si>
    <t>미등록 (-)&lt;br&gt;노인 (-)&lt;br&gt;신형만 (-)&lt;br&gt;찹쌀 (-)</t>
  </si>
  <si>
    <t>G250927150007</t>
  </si>
  <si>
    <t>2025-09-27 15:00</t>
  </si>
  <si>
    <t>찹쌀 (-)&lt;br&gt;원 (-)&lt;br&gt;유즈 (-)&lt;br&gt;신형만 (-)</t>
  </si>
  <si>
    <t>조네 (-)&lt;br&gt;미등록 (-)&lt;br&gt;노인 (-)&lt;br&gt;규식 (-)</t>
  </si>
  <si>
    <t>G250927142924</t>
  </si>
  <si>
    <t>2025-09-27 14:29</t>
  </si>
  <si>
    <t>노인 (-)&lt;br&gt;유즈 (-)&lt;br&gt;규식 (-)&lt;br&gt;원 (-)</t>
  </si>
  <si>
    <t>미등록 (-)&lt;br&gt;조네 (-)&lt;br&gt;신형만 (-)&lt;br&gt;찹쌀 (-)</t>
  </si>
  <si>
    <t>G250926172453</t>
  </si>
  <si>
    <t>2025-09-26 17:24</t>
  </si>
  <si>
    <t>참치 (16)&lt;br&gt;ACDC (29)&lt;br&gt;테리 (11)&lt;br&gt;신형만 (15)</t>
  </si>
  <si>
    <t>마법거북이 (-)&lt;br&gt;깡패 (-15)&lt;br&gt;오딘 (-11)&lt;br&gt;찹쌀 (-11)</t>
  </si>
  <si>
    <t>시즌13</t>
  </si>
  <si>
    <t>신형만,오딘,깡패,참치</t>
  </si>
  <si>
    <t>G250926164316</t>
  </si>
  <si>
    <t>2025-09-26 16:43</t>
  </si>
  <si>
    <t>찹쌀 (21)&lt;br&gt;테리 (9)&lt;br&gt;참치 (14)&lt;br&gt;깡패 (11)</t>
  </si>
  <si>
    <t>ACDC (-9)&lt;br&gt;신형만 (-15)&lt;br&gt;마법거북이 (-)&lt;br&gt;오딘 (-12)</t>
  </si>
  <si>
    <t>G250926160129</t>
  </si>
  <si>
    <t>2025-09-26 16:01</t>
  </si>
  <si>
    <t>신형만 (13)&lt;br&gt;새출발 (19)&lt;br&gt;깡패 (11)&lt;br&gt;참치 (15)</t>
  </si>
  <si>
    <t>테리 (-14)&lt;br&gt;ACDC (-8)&lt;br&gt;찹쌀 (-10)&lt;br&gt;마법거북이 (-)</t>
  </si>
  <si>
    <t>G250926153353</t>
  </si>
  <si>
    <t>2025-09-26 15:33</t>
  </si>
  <si>
    <t>마법거북이 (-)&lt;br&gt;신형만 (19)&lt;br&gt;테리 (13)&lt;br&gt;깡패 (16)</t>
  </si>
  <si>
    <t>한메 (-17)&lt;br&gt;참치 (-17)&lt;br&gt;새출발 (-14)&lt;br&gt;찹쌀 (-14)</t>
  </si>
  <si>
    <t>G250926151428</t>
  </si>
  <si>
    <t>2025-09-26 15:14</t>
  </si>
  <si>
    <t>신형만 (20)&lt;br&gt;테리 (14)&lt;br&gt;한메 (18)&lt;br&gt;참치 (21)</t>
  </si>
  <si>
    <t>깡패 (-17)&lt;br&gt;새출발 (-14)&lt;br&gt;찹쌀 (-13)&lt;br&gt;마법거북이 (-)</t>
  </si>
  <si>
    <t>G250926144702</t>
  </si>
  <si>
    <t>2025-09-26 14:46</t>
  </si>
  <si>
    <t>참치 (21)&lt;br&gt;깡패 (16)&lt;br&gt;새출발 (24)&lt;br&gt;한메 (18)</t>
  </si>
  <si>
    <t>테리 (-18)&lt;br&gt;신형만 (-17)&lt;br&gt;짱구 (-)&lt;br&gt;찹쌀 (-14)</t>
  </si>
  <si>
    <t>G250926142532</t>
  </si>
  <si>
    <t>2025-09-26 14:25</t>
  </si>
  <si>
    <t>깡패 (13)&lt;br&gt;테리 (11)&lt;br&gt;한메 (16)&lt;br&gt;신형만 (16)</t>
  </si>
  <si>
    <t>짱구 (-)&lt;br&gt;새출발 (-10)&lt;br&gt;찹쌀 (-10)&lt;br&gt;참치 (-12)</t>
  </si>
  <si>
    <t>G250926012350</t>
  </si>
  <si>
    <t>2025-09-26 01:23</t>
  </si>
  <si>
    <t>새출발 (27)&lt;br&gt;테리 (16)&lt;br&gt;필찌 (-)&lt;br&gt;넘버 (18)</t>
  </si>
  <si>
    <t>신형만 (-12)&lt;br&gt;재우 (-10)&lt;br&gt;깡패 (-12)&lt;br&gt;한메 (-11)</t>
  </si>
  <si>
    <t>신형만,넘버,깡패</t>
  </si>
  <si>
    <t>G250926004130</t>
  </si>
  <si>
    <t>2025-09-26 00:41</t>
  </si>
  <si>
    <t>강화 (27)&lt;br&gt;신형만 (19)&lt;br&gt;규식 (23)&lt;br&gt;넘버 (15)</t>
  </si>
  <si>
    <t>재우 (-11)&lt;br&gt;필찌 (-)&lt;br&gt;테리 (-15)&lt;br&gt;한메 (-13)</t>
  </si>
  <si>
    <t>G250925235500</t>
  </si>
  <si>
    <t>2025-09-25 23:54</t>
  </si>
  <si>
    <t>테리 (11)&lt;br&gt;넘버 (13)&lt;br&gt;한메 (15)&lt;br&gt;규식 (20)</t>
  </si>
  <si>
    <t>신형만 (-19)&lt;br&gt;재우 (-15)&lt;br&gt;필찌 (-)&lt;br&gt;강화 (-14)</t>
  </si>
  <si>
    <t>G250925233633</t>
  </si>
  <si>
    <t>2025-09-25 23:36</t>
  </si>
  <si>
    <t>재우 (25)&lt;br&gt;신형만 (20)&lt;br&gt;ACDC (32)&lt;br&gt;오딘 (30)</t>
  </si>
  <si>
    <t>한메 (-12)&lt;br&gt;규식 (-11)&lt;br&gt;강화 (-10)&lt;br&gt;깡패 (-14)</t>
  </si>
  <si>
    <t>G250925225047</t>
  </si>
  <si>
    <t>2025-09-25 22:50</t>
  </si>
  <si>
    <t>강화 (26)&lt;br&gt;테리 (12)&lt;br&gt;오딘 (29)&lt;br&gt;규식 (22)</t>
  </si>
  <si>
    <t>ACDC (-8)&lt;br&gt;필찌 (-)&lt;br&gt;깡패 (-13)&lt;br&gt;신형만 (-13)</t>
  </si>
  <si>
    <t>G250925214132</t>
  </si>
  <si>
    <t>2025-09-25 21:41</t>
  </si>
  <si>
    <t>새출발 (26)&lt;br&gt;신형만 (21)&lt;br&gt;ACDC (33)&lt;br&gt;넘버 (18)</t>
  </si>
  <si>
    <t>테리 (-17)&lt;br&gt;오딘 (-13)&lt;br&gt;필찌 (-)&lt;br&gt;깡패 (-18)</t>
  </si>
  <si>
    <t>G250925210137</t>
  </si>
  <si>
    <t>2025-09-25 21:01</t>
  </si>
  <si>
    <t>ACDC (33)&lt;br&gt;넘버 (18)&lt;br&gt;테리 (14)&lt;br&gt;오딘 (188)</t>
  </si>
  <si>
    <t>깡패 (-20)&lt;br&gt;필찌 (-)&lt;br&gt;새출발 (-15)&lt;br&gt;신형만 (-19)</t>
  </si>
  <si>
    <t>G250925202259</t>
  </si>
  <si>
    <t>2025-09-25 20:22</t>
  </si>
  <si>
    <t>신형만 (20)&lt;br&gt;테리 (14)&lt;br&gt;필찌 (-)&lt;br&gt;한메 (18)</t>
  </si>
  <si>
    <t>넘버 (-14)&lt;br&gt;새출발 (-11)&lt;br&gt;ACDC (-8)&lt;br&gt;깡패 (-15)</t>
  </si>
  <si>
    <t>G250925013149</t>
  </si>
  <si>
    <t>2025-09-25 01:31</t>
  </si>
  <si>
    <t>테리 (15)&lt;br&gt;재우 (25)&lt;br&gt;키키 (25)&lt;br&gt;규식 (25)</t>
  </si>
  <si>
    <t>깡패 (-16)&lt;br&gt;신형만 (-14)&lt;br&gt;강화 (-11)&lt;br&gt;노픽업 (-)</t>
  </si>
  <si>
    <t>G250925005846</t>
  </si>
  <si>
    <t>2025-09-25 00:58</t>
  </si>
  <si>
    <t>키키 (23)&lt;br&gt;깡패 (12)&lt;br&gt;테리 (13)&lt;br&gt;신형만 (18)</t>
  </si>
  <si>
    <t>재우 (-10)&lt;br&gt;넘버 (-14)&lt;br&gt;규식 (-10)&lt;br&gt;강화 (-10)</t>
  </si>
  <si>
    <t>G250925002854</t>
  </si>
  <si>
    <t>2025-09-25 00:28</t>
  </si>
  <si>
    <t>넘버 (15)&lt;br&gt;테리 (14)&lt;br&gt;노인 (19)&lt;br&gt;깡패 (12)</t>
  </si>
  <si>
    <t>신형만 (-12)&lt;br&gt;재우 (220)&lt;br&gt;키키 (-10)&lt;br&gt;규식 (-10)</t>
  </si>
  <si>
    <t>G250924235001</t>
  </si>
  <si>
    <t>2025-09-24 23:49</t>
  </si>
  <si>
    <t>테리 (17)&lt;br&gt;신형만 (21)&lt;br&gt;넘버 (18)&lt;br&gt;재우 (-)</t>
  </si>
  <si>
    <t>깡패 (-15)&lt;br&gt;노인 (-12)&lt;br&gt;규식 (-11)&lt;br&gt;키키 (-11)</t>
  </si>
  <si>
    <t>깡패,넘버,신형만,규식</t>
  </si>
  <si>
    <t>G250924231557</t>
  </si>
  <si>
    <t>2025-09-24 23:15</t>
  </si>
  <si>
    <t>키키 (23)&lt;br&gt;깡패 (12)&lt;br&gt;테리 (14)&lt;br&gt;한메 (17)</t>
  </si>
  <si>
    <t>필찌 (-)&lt;br&gt;재우 (-)&lt;br&gt;노인 (-10)&lt;br&gt;신형만 (-11)</t>
  </si>
  <si>
    <t>G250924223354</t>
  </si>
  <si>
    <t>2025-09-24 22:33</t>
  </si>
  <si>
    <t>한메 (20)&lt;br&gt;노인 (21)&lt;br&gt;필찌 (-)&lt;br&gt;깡패 (14)</t>
  </si>
  <si>
    <t>신형만 (-16)&lt;br&gt;테리 (-16)&lt;br&gt;찹쌀 (-13)&lt;br&gt;키키 (-13)</t>
  </si>
  <si>
    <t>G250924214757</t>
  </si>
  <si>
    <t>2025-09-24 21:47</t>
  </si>
  <si>
    <t>깡패 (12)&lt;br&gt;신형만 (17)&lt;br&gt;테리 (14)&lt;br&gt;찹쌀 (22)</t>
  </si>
  <si>
    <t>유즈 (-14)&lt;br&gt;필찌 (-)&lt;br&gt;규식 (-14)&lt;br&gt;한메 (-16)</t>
  </si>
  <si>
    <t>G250924211545</t>
  </si>
  <si>
    <t>2025-09-24 21:15</t>
  </si>
  <si>
    <t>넘버 (21)&lt;br&gt;규식 (26)&lt;br&gt;필찌 (-)&lt;br&gt;깡패 (18)</t>
  </si>
  <si>
    <t>한메 (-17)&lt;br&gt;테리 (-18)&lt;br&gt;유즈 (-16)&lt;br&gt;신형만 (-18)</t>
  </si>
  <si>
    <t>G250924204701</t>
  </si>
  <si>
    <t>2025-09-24 20:46</t>
  </si>
  <si>
    <t>깡패 (14)&lt;br&gt;유즈 (21)&lt;br&gt;넘버 (17)&lt;br&gt;한메 (18)</t>
  </si>
  <si>
    <t>신형만 (-15)&lt;br&gt;ACDC (-9)&lt;br&gt;테리 (-15)&lt;br&gt;규식 (-12)</t>
  </si>
  <si>
    <t>G250924005954</t>
  </si>
  <si>
    <t>2025-09-24 00:59</t>
  </si>
  <si>
    <t>필찌 (-)&lt;br&gt;깡패 (13)&lt;br&gt;한메 (16)&lt;br&gt;조드 (-)</t>
  </si>
  <si>
    <t>유즈 (-11)&lt;br&gt;테리 (-12)&lt;br&gt;ACDC (-8)&lt;br&gt;재우 (-)</t>
  </si>
  <si>
    <t>G250923235735</t>
  </si>
  <si>
    <t>2025-09-23 23:57</t>
  </si>
  <si>
    <t>테리 (10)&lt;br&gt;재우 (-)&lt;br&gt;규식 (19)&lt;br&gt;깡패 (11)</t>
  </si>
  <si>
    <t>ACDC (-10)&lt;br&gt;필찌 (-)&lt;br&gt;유즈 (-14)&lt;br&gt;한메 (-15)</t>
  </si>
  <si>
    <t>G250923231443</t>
  </si>
  <si>
    <t>2025-09-23 23:14</t>
  </si>
  <si>
    <t>필찌 (-)&lt;br&gt;깡패 (11)&lt;br&gt;한메 (14)&lt;br&gt;규식 (19)</t>
  </si>
  <si>
    <t>재우 (-)&lt;br&gt;유즈 (-13)&lt;br&gt;ACDC (-9)&lt;br&gt;오딘 (-)</t>
  </si>
  <si>
    <t>깡패,오딘</t>
  </si>
  <si>
    <t>G250923222847</t>
  </si>
  <si>
    <t>2025-09-23 22:28</t>
  </si>
  <si>
    <t>한메 (15)&lt;br&gt;규식 (20)&lt;br&gt;테리 (11)&lt;br&gt;찹쌀 (20)</t>
  </si>
  <si>
    <t>ACDC (-12)&lt;br&gt;오딘 (-)&lt;br&gt;필찌 (-)&lt;br&gt;깡패 (-19)</t>
  </si>
  <si>
    <t>G250923215643</t>
  </si>
  <si>
    <t>2025-09-23 21:56</t>
  </si>
  <si>
    <t>찹쌀 (24)&lt;br&gt;ACDC (30)&lt;br&gt;깡패 (14)&lt;br&gt;규식 (24)</t>
  </si>
  <si>
    <t>필찌 (-)&lt;br&gt;테리 (-22)&lt;br&gt;오딘 (-)&lt;br&gt;한메 (-20)</t>
  </si>
  <si>
    <t>G250923004302</t>
  </si>
  <si>
    <t>2025-09-23 00:42</t>
  </si>
  <si>
    <t>깡패 (12)&lt;br&gt;재우 (-)&lt;br&gt;한메 (15)&lt;br&gt;신형만 (13)</t>
  </si>
  <si>
    <t>노인 (-11)&lt;br&gt;ACDC (-7)&lt;br&gt;규식 (-9)&lt;br&gt;키키 (-9)</t>
  </si>
  <si>
    <t>G250923000238</t>
  </si>
  <si>
    <t>2025-09-23 00:02</t>
  </si>
  <si>
    <t>신형만 (15)&lt;br&gt;노인 (16)&lt;br&gt;키키 (21)&lt;br&gt;한메 (16)</t>
  </si>
  <si>
    <t>재우 (-)&lt;br&gt;규식 (-11)&lt;br&gt;ACDC (-9)&lt;br&gt;깡패 (-15)</t>
  </si>
  <si>
    <t>G250922230352</t>
  </si>
  <si>
    <t>2025-09-22 23:03</t>
  </si>
  <si>
    <t>키키 (22)&lt;br&gt;깡패 (13)&lt;br&gt;테리 (12)&lt;br&gt;규식 (23)</t>
  </si>
  <si>
    <t>ACDC (-13)&lt;br&gt;오딘 (-)&lt;br&gt;한메 (-18)&lt;br&gt;신형만 (-20)</t>
  </si>
  <si>
    <t>G250922224316</t>
  </si>
  <si>
    <t>2025-09-22 22:43</t>
  </si>
  <si>
    <t>한메 (17)&lt;br&gt;신형만 (16)&lt;br&gt;키키 (180)&lt;br&gt;깡패 (14)</t>
  </si>
  <si>
    <t>테리 (-18)&lt;br&gt;규식 (-14)&lt;br&gt;오딘 (-)&lt;br&gt;찹쌀 (156)</t>
  </si>
  <si>
    <t>G250922221047</t>
  </si>
  <si>
    <t>2025-09-22 22:10</t>
  </si>
  <si>
    <t>신형만 (16)&lt;br&gt;오딘 (-)&lt;br&gt;테리 (12)&lt;br&gt;한메 (17)</t>
  </si>
  <si>
    <t>찹쌀 (-)&lt;br&gt;깡패 (-12)&lt;br&gt;짱구 (-)&lt;br&gt;키키 (-)</t>
  </si>
  <si>
    <t>G250922212632</t>
  </si>
  <si>
    <t>2025-09-22 21:26</t>
  </si>
  <si>
    <t>테리 (14)&lt;br&gt;신형만 (19)&lt;br&gt;유즈 (20)&lt;br&gt;찹쌀 (-)</t>
  </si>
  <si>
    <t>노인 (-15)&lt;br&gt;짱구 (-)&lt;br&gt;새출발 (-13)&lt;br&gt;깡패 (-17)</t>
  </si>
  <si>
    <t>G250922205329</t>
  </si>
  <si>
    <t>2025-09-22 20:53</t>
  </si>
  <si>
    <t>새출발 (29)&lt;br&gt;유즈 (27)&lt;br&gt;짱구 (-)&lt;br&gt;찹쌀 (-)</t>
  </si>
  <si>
    <t>테리 (-14)&lt;br&gt;노인 (-13)&lt;br&gt;신형만 (-13)&lt;br&gt;깡패 (-14)</t>
  </si>
  <si>
    <t>G250922010926</t>
  </si>
  <si>
    <t>2025-09-22 01:09</t>
  </si>
  <si>
    <t>깡패 (17)&lt;br&gt;재우 (-)&lt;br&gt;테리 (16)&lt;br&gt;노픽업 (-)</t>
  </si>
  <si>
    <t>신형만 (-12)&lt;br&gt;참치 (-12)&lt;br&gt;ACDC (-8)&lt;br&gt;넘버 (-12)</t>
  </si>
  <si>
    <t>신형만,넘버,참치,깡패</t>
  </si>
  <si>
    <t>G250922000353</t>
  </si>
  <si>
    <t>2025-09-22 00:03</t>
  </si>
  <si>
    <t>ACDC (33)&lt;br&gt;넘버 (21)&lt;br&gt;새출발 (27)&lt;br&gt;규식 (180)</t>
  </si>
  <si>
    <t>참치 (-13)&lt;br&gt;테리 (-13)&lt;br&gt;신형만 (-13)&lt;br&gt;재우 (-)</t>
  </si>
  <si>
    <t>신형만,넘버,참치</t>
  </si>
  <si>
    <t>G250921225824</t>
  </si>
  <si>
    <t>2025-09-21 22:58</t>
  </si>
  <si>
    <t>깡패 (17)&lt;br&gt;참치 (20)&lt;br&gt;규식 (-)&lt;br&gt;신형만 (20)</t>
  </si>
  <si>
    <t>원 (-20)&lt;br&gt;노인 (-18)&lt;br&gt;ACDC (-12)&lt;br&gt;넘버 (-20)</t>
  </si>
  <si>
    <t>신형만,깡패,원,넘버,참치</t>
  </si>
  <si>
    <t>G250921223302</t>
  </si>
  <si>
    <t>2025-09-21 22:32</t>
  </si>
  <si>
    <t>노인 (19)&lt;br&gt;깡패 (17)&lt;br&gt;원 (18)&lt;br&gt;한메 (21)</t>
  </si>
  <si>
    <t>테리 (-16)&lt;br&gt;신형만 (-15)&lt;br&gt;새출발 (-12)&lt;br&gt;규식 (-)</t>
  </si>
  <si>
    <t>신형만,깡패,원</t>
  </si>
  <si>
    <t>G250921212841</t>
  </si>
  <si>
    <t>2025-09-21 21:28</t>
  </si>
  <si>
    <t>한메 (21)&lt;br&gt;테리 (14)&lt;br&gt;깡패 (17)&lt;br&gt;신형만 (19)</t>
  </si>
  <si>
    <t>새출발 (-9)&lt;br&gt;노인 (-10)&lt;br&gt;규식 (-)&lt;br&gt;원 (-11)</t>
  </si>
  <si>
    <t>G250921210859</t>
  </si>
  <si>
    <t>2025-09-21 21:08</t>
  </si>
  <si>
    <t>테리 (13)&lt;br&gt;원 (16)&lt;br&gt;노인 (18)&lt;br&gt;깡패 (16)</t>
  </si>
  <si>
    <t>신형만 (-11)&lt;br&gt;규식 (-)&lt;br&gt;새출발 (-9)&lt;br&gt;한메 (-9)</t>
  </si>
  <si>
    <t>G250921202707</t>
  </si>
  <si>
    <t>2025-09-21 20:27</t>
  </si>
  <si>
    <t>노인 (21)&lt;br&gt;새출발 (26)&lt;br&gt;원 (20)&lt;br&gt;신형만 (22)</t>
  </si>
  <si>
    <t>한메 (-10)&lt;br&gt;테리 (-12)&lt;br&gt;깡패 (-12)&lt;br&gt;규식 (-)</t>
  </si>
  <si>
    <t>G250921145551</t>
  </si>
  <si>
    <t>2025-09-21 14:55</t>
  </si>
  <si>
    <t>노인 (24)&lt;br&gt;테리 (18)&lt;br&gt;규식 (-)&lt;br&gt;노픽업 (-)</t>
  </si>
  <si>
    <t>새출발 (-14)&lt;br&gt;넘버 (-17)&lt;br&gt;원 (-17)&lt;br&gt;신형만 (-17)</t>
  </si>
  <si>
    <t>신형만,원,넘버</t>
  </si>
  <si>
    <t>G250921142726</t>
  </si>
  <si>
    <t>2025-09-21 14:27</t>
  </si>
  <si>
    <t>테리 (15)&lt;br&gt;노인 (21)&lt;br&gt;새출발 (24)&lt;br&gt;원 (17)</t>
  </si>
  <si>
    <t>신형만 (-20)&lt;br&gt;규식 (-)&lt;br&gt;노픽업 (-)&lt;br&gt;넘버 (-21)</t>
  </si>
  <si>
    <t>G250921141220</t>
  </si>
  <si>
    <t>2025-09-21 14:12</t>
  </si>
  <si>
    <t>노인 (22)&lt;br&gt;넘버 (17)&lt;br&gt;테리 (16)&lt;br&gt;노픽업 (-)</t>
  </si>
  <si>
    <t>원 (-12)&lt;br&gt;새출발 (180)&lt;br&gt;신형만 (-12)&lt;br&gt;규식 (-)</t>
  </si>
  <si>
    <t>G250919172928</t>
  </si>
  <si>
    <t>2025-09-19 17:29</t>
  </si>
  <si>
    <t>키키 (-)&lt;br&gt;깡패 (17)&lt;br&gt;유즈 (21)&lt;br&gt;찹쌀 (-)</t>
  </si>
  <si>
    <t>신형만 (-17)&lt;br&gt;테리 (-17)&lt;br&gt;강화 (-14)&lt;br&gt;ACDC (-11)</t>
  </si>
  <si>
    <t>ACDC,찹쌀,깡패</t>
  </si>
  <si>
    <t>G250919171442</t>
  </si>
  <si>
    <t>2025-09-19 17:14</t>
  </si>
  <si>
    <t>깡패 (17)&lt;br&gt;ACDC (36)&lt;br&gt;신형만 (13)&lt;br&gt;키키 (-)</t>
  </si>
  <si>
    <t>찹쌀 (-)&lt;br&gt;유즈 (-15)&lt;br&gt;테리 (-17)&lt;br&gt;강화 (-14)</t>
  </si>
  <si>
    <t>G250919161916</t>
  </si>
  <si>
    <t>2025-09-19 16:19</t>
  </si>
  <si>
    <t>신형만 (12)&lt;br&gt;깡패 (15)&lt;br&gt;유즈 (18)&lt;br&gt;찹쌀 (-)</t>
  </si>
  <si>
    <t>테리 (-12)&lt;br&gt;오딘 (-)&lt;br&gt;강화 (180)&lt;br&gt;ACDC (-8)</t>
  </si>
  <si>
    <t>ACDC,오딘,찹쌀,깡패</t>
  </si>
  <si>
    <t>G250919154423</t>
  </si>
  <si>
    <t>2025-09-19 15:44</t>
  </si>
  <si>
    <t>찹쌀 (-)&lt;br&gt;유즈 (22)&lt;br&gt;테리 (14)&lt;br&gt;오딘 (-)</t>
  </si>
  <si>
    <t>깡패 (-21)&lt;br&gt;ACDC (-14)&lt;br&gt;신형만 (-22)&lt;br&gt;강화 (-)</t>
  </si>
  <si>
    <t>G250919150935</t>
  </si>
  <si>
    <t>2025-09-19 15:09</t>
  </si>
  <si>
    <t>신형만 (11)&lt;br&gt;재우 (-)&lt;br&gt;유즈 (19)&lt;br&gt;깡패 (14)</t>
  </si>
  <si>
    <t>강화 (-)&lt;br&gt;테리 (-12)&lt;br&gt;ACDC (-8)&lt;br&gt;찹쌀 (-)</t>
  </si>
  <si>
    <t>ACDC,깡패</t>
  </si>
  <si>
    <t>G250919005515</t>
  </si>
  <si>
    <t>2025-09-19 00:55</t>
  </si>
  <si>
    <t>키키 (-)&lt;br&gt;노인 (29)&lt;br&gt;넘버 (19)&lt;br&gt;재우 (-)</t>
  </si>
  <si>
    <t>깡패 (-13)&lt;br&gt;신형만 (-13)&lt;br&gt;한메 (-11)&lt;br&gt;강화 (-)</t>
  </si>
  <si>
    <t>깡패,신형만,넘버,노인</t>
  </si>
  <si>
    <t>G250918235635</t>
  </si>
  <si>
    <t>2025-09-18 23:56</t>
  </si>
  <si>
    <t>신형만 (14)&lt;br&gt;깡패 (15)&lt;br&gt;키키 (-)&lt;br&gt;넘버 (14)</t>
  </si>
  <si>
    <t>한메 (-14)&lt;br&gt;재우 (-)&lt;br&gt;강화 (-)&lt;br&gt;노인 (-13)</t>
  </si>
  <si>
    <t>G250918232447</t>
  </si>
  <si>
    <t>2025-09-18 23:24</t>
  </si>
  <si>
    <t>강화 (-)&lt;br&gt;신형만 (19)&lt;br&gt;한메 (21)&lt;br&gt;키키 (-)</t>
  </si>
  <si>
    <t>넘버 (-13)&lt;br&gt;노인 (-11)&lt;br&gt;깡패 (-13)&lt;br&gt;재우 (-)</t>
  </si>
  <si>
    <t>G250918223543</t>
  </si>
  <si>
    <t>2025-09-18 22:35</t>
  </si>
  <si>
    <t>한메 (23)&lt;br&gt;넘버 (20)&lt;br&gt;키키 (-)&lt;br&gt;깡패 (21)</t>
  </si>
  <si>
    <t>신형만 (-14)&lt;br&gt;테리 (-15)&lt;br&gt;노인 (-12)&lt;br&gt;강화 (-)</t>
  </si>
  <si>
    <t>G250918220323</t>
  </si>
  <si>
    <t>2025-09-18 22:03</t>
  </si>
  <si>
    <t>테리 (9)&lt;br&gt;신형만 (12)&lt;br&gt;깡패 (13)&lt;br&gt;한메 (15)</t>
  </si>
  <si>
    <t>ACDC (-10)&lt;br&gt;노인 (-13)&lt;br&gt;강화 (-)&lt;br&gt;키키 (-)</t>
  </si>
  <si>
    <t>깡패,신형만,노인</t>
  </si>
  <si>
    <t>G250918212948</t>
  </si>
  <si>
    <t>2025-09-18 21:29</t>
  </si>
  <si>
    <t>강화 (-)&lt;br&gt;테리 (10)&lt;br&gt;필찌 (-)&lt;br&gt;깡패 (14)</t>
  </si>
  <si>
    <t>키키 (-)&lt;br&gt;ACDC (-11)&lt;br&gt;신형만 (-17)&lt;br&gt;기재 (-)</t>
  </si>
  <si>
    <t>G250918204541</t>
  </si>
  <si>
    <t>2025-09-18 20:45</t>
  </si>
  <si>
    <t>테리 (8)&lt;br&gt;깡패 (11)&lt;br&gt;기재 (-)&lt;br&gt;신형만 (10)</t>
  </si>
  <si>
    <t>ACDC (-12)&lt;br&gt;필찌 (-)&lt;br&gt;키키 (-)&lt;br&gt;강화 (-)</t>
  </si>
  <si>
    <t>G250918202506</t>
  </si>
  <si>
    <t>2025-09-18 20:25</t>
  </si>
  <si>
    <t>키키 (-)&lt;br&gt;ACDC (32)&lt;br&gt;테리 (17)&lt;br&gt;기재 (-)</t>
  </si>
  <si>
    <t>필찌 (-)&lt;br&gt;신형만 (-23)&lt;br&gt;강화 (-)&lt;br&gt;깡패 (-22)</t>
  </si>
  <si>
    <t>G250918010257</t>
  </si>
  <si>
    <t>2025-09-18 01:02</t>
  </si>
  <si>
    <t>깡패 (17)&lt;br&gt;신형만 (14)&lt;br&gt;유즈 (21)&lt;br&gt;원 (15)</t>
  </si>
  <si>
    <t>찹쌀 (-)&lt;br&gt;테리 (-17)&lt;br&gt;짱구 (-)&lt;br&gt;한메 (-15)</t>
  </si>
  <si>
    <t>깡패,신형만,원</t>
  </si>
  <si>
    <t>G250918004340</t>
  </si>
  <si>
    <t>2025-09-18 00:43</t>
  </si>
  <si>
    <t>한메 (22)&lt;br&gt;짱구 (-)&lt;br&gt;원 (18)&lt;br&gt;신형만 (18)</t>
  </si>
  <si>
    <t>테리 (-15)&lt;br&gt;유즈 (-12)&lt;br&gt;깡패 (-14)&lt;br&gt;찹쌀 (-)</t>
  </si>
  <si>
    <t>G250918001520</t>
  </si>
  <si>
    <t>2025-09-18 00:15</t>
  </si>
  <si>
    <t>신형만 (14)&lt;br&gt;원 (14)&lt;br&gt;노인 (20)&lt;br&gt;깡패 (15)</t>
  </si>
  <si>
    <t>찹쌀 (-)&lt;br&gt;재우 (-)&lt;br&gt;유즈 (-11)&lt;br&gt;한메 (-11)</t>
  </si>
  <si>
    <t>깡패,신형만,노인,원</t>
  </si>
  <si>
    <t>G250917234407</t>
  </si>
  <si>
    <t>2025-09-17 23:44</t>
  </si>
  <si>
    <t>노인 (27)&lt;br&gt;유즈 (24)&lt;br&gt;신형만 (20)&lt;br&gt;재우 (-)</t>
  </si>
  <si>
    <t>원 (-17)&lt;br&gt;깡패 (-17)&lt;br&gt;한메 (-15)&lt;br&gt;찹쌀 (-)</t>
  </si>
  <si>
    <t>G250917231535</t>
  </si>
  <si>
    <t>2025-09-17 23:15</t>
  </si>
  <si>
    <t>한메 (21)&lt;br&gt;재우 (-)&lt;br&gt;유즈 (200)&lt;br&gt;원 (19)</t>
  </si>
  <si>
    <t>깡패 (-17)&lt;br&gt;신형만 (-17)&lt;br&gt;찹쌀 (-)&lt;br&gt;노인 (-15)</t>
  </si>
  <si>
    <t>G250917224610</t>
  </si>
  <si>
    <t>2025-09-17 22:46</t>
  </si>
  <si>
    <t>테리 (14)&lt;br&gt;오딘 (-)&lt;br&gt;신형만 (19)&lt;br&gt;찹쌀 (-)</t>
  </si>
  <si>
    <t>유즈 (-)&lt;br&gt;노인 (-16)&lt;br&gt;한메 (-17)&lt;br&gt;깡패 (-19)</t>
  </si>
  <si>
    <t>깡패,신형만,노인,오딘</t>
  </si>
  <si>
    <t>G250917224432</t>
  </si>
  <si>
    <t>2025-09-17 22:44</t>
  </si>
  <si>
    <t>오딘 (-)&lt;br&gt;유즈 (-)&lt;br&gt;노인 (28)&lt;br&gt;신형만 (21)</t>
  </si>
  <si>
    <t>깡패 (-17)&lt;br&gt;테리 (-18)&lt;br&gt;찹쌀 (-)&lt;br&gt;한메 (-15)</t>
  </si>
  <si>
    <t>G250917212842</t>
  </si>
  <si>
    <t>2025-09-17 21:28</t>
  </si>
  <si>
    <t>신형만 (17)&lt;br&gt;오딘 (-)&lt;br&gt;테리 (11)&lt;br&gt;깡패 (14)</t>
  </si>
  <si>
    <t>유즈 (-)&lt;br&gt;노인 (-17)&lt;br&gt;한메 (-18)&lt;br&gt;찹쌀 (-)</t>
  </si>
  <si>
    <t>G250916230158</t>
  </si>
  <si>
    <t>2025-09-16 23:01</t>
  </si>
  <si>
    <t>강화 (-)&lt;br&gt;노인 (20)&lt;br&gt;한메 (18)&lt;br&gt;참치 (17)</t>
  </si>
  <si>
    <t>랄 (-)&lt;br&gt;신형만 (-14)&lt;br&gt;깡패 (-15)&lt;br&gt;키키 (-)</t>
  </si>
  <si>
    <t>G250916222336</t>
  </si>
  <si>
    <t>2025-09-16 22:23</t>
  </si>
  <si>
    <t>신형만 (18)&lt;br&gt;깡패 (15)&lt;br&gt;노인 (20)&lt;br&gt;강화 (-)</t>
  </si>
  <si>
    <t>키키 (-)&lt;br&gt;넘버 (-17)&lt;br&gt;랄 (-)&lt;br&gt;한메 (-15)</t>
  </si>
  <si>
    <t>G250916214054</t>
  </si>
  <si>
    <t>2025-09-16 21:40</t>
  </si>
  <si>
    <t>강화 (-)&lt;br&gt;테리 (13)&lt;br&gt;깡패 (16)&lt;br&gt;넘버 (15)</t>
  </si>
  <si>
    <t>랄 (-)&lt;br&gt;노인 (-11)&lt;br&gt;한메 (-12)&lt;br&gt;신형만 (-13)</t>
  </si>
  <si>
    <t>G250916210509</t>
  </si>
  <si>
    <t>2025-09-16 21:05</t>
  </si>
  <si>
    <t>노인 (21)&lt;br&gt;오딘 (-)&lt;br&gt;테리 (13)&lt;br&gt;한메 (18)</t>
  </si>
  <si>
    <t>신형만 (-16)&lt;br&gt;깡패 (-17)&lt;br&gt;랄 (-)&lt;br&gt;강화 (-)</t>
  </si>
  <si>
    <t>G250916011006</t>
  </si>
  <si>
    <t>2025-09-16 01:10</t>
  </si>
  <si>
    <t>노인 (22)&lt;br&gt;유즈 (-)&lt;br&gt;깡패 (16)&lt;br&gt;넘버 (15)</t>
  </si>
  <si>
    <t>테리 (-12)&lt;br&gt;신형만 (-12)&lt;br&gt;ACDC (-8)&lt;br&gt;키키 (-)</t>
  </si>
  <si>
    <t>G250916002221</t>
  </si>
  <si>
    <t>2025-09-16 00:22</t>
  </si>
  <si>
    <t>유즈 (-)&lt;br&gt;넘버 (18)&lt;br&gt;한메 (20)&lt;br&gt;재우 (-)</t>
  </si>
  <si>
    <t>깡패 (-15)&lt;br&gt;노인 (-12)&lt;br&gt;키키 (-)&lt;br&gt;신형만 (-15)</t>
  </si>
  <si>
    <t>G250915232912</t>
  </si>
  <si>
    <t>2025-09-15 23:29</t>
  </si>
  <si>
    <t>신형만 (14)&lt;br&gt;재우 (-)&lt;br&gt;테리 (11)&lt;br&gt;깡패 (13)</t>
  </si>
  <si>
    <t>노인 (-10)&lt;br&gt;ACDC (-8)&lt;br&gt;유즈 (-)&lt;br&gt;한메 (-10)</t>
  </si>
  <si>
    <t>G250915223821</t>
  </si>
  <si>
    <t>2025-09-15 22:38</t>
  </si>
  <si>
    <t>테리 (16)&lt;br&gt;유즈 (-)&lt;br&gt;강화 (-)&lt;br&gt;재우 (-)</t>
  </si>
  <si>
    <t>깡패 (-17)&lt;br&gt;신형만 (-17)&lt;br&gt;한메 (-16)&lt;br&gt;ACDC (-12)</t>
  </si>
  <si>
    <t>G250915220753</t>
  </si>
  <si>
    <t>2025-09-15 22:07</t>
  </si>
  <si>
    <t>강화 (-)&lt;br&gt;깡패 (20)&lt;br&gt;ACDC (38)&lt;br&gt;넘버 (21)</t>
  </si>
  <si>
    <t>유즈 (-)&lt;br&gt;테리 (-15)&lt;br&gt;신형만 (-15)&lt;br&gt;한메 (-14)</t>
  </si>
  <si>
    <t>G250912233148</t>
  </si>
  <si>
    <t>2025-09-12 23:31</t>
  </si>
  <si>
    <t>신형만 (18)&lt;br&gt;솔 (-)&lt;br&gt;짱구 (-)&lt;br&gt;한메 (19)</t>
  </si>
  <si>
    <t>깡패 (-15)&lt;br&gt;ACDC (-10)&lt;br&gt;노인 (-13)&lt;br&gt;원 (-15)</t>
  </si>
  <si>
    <t>깡패,신형만,원,솔</t>
  </si>
  <si>
    <t>G250910010117</t>
  </si>
  <si>
    <t>2025-09-10 01:01</t>
  </si>
  <si>
    <t>넘버 (23)&lt;br&gt;깡패 (22)&lt;br&gt;테리 (18)&lt;br&gt;참치 (23)</t>
  </si>
  <si>
    <t>노인 (-11)&lt;br&gt;원 (-13)&lt;br&gt;신형만 (-13)&lt;br&gt;한메 (-12)</t>
  </si>
  <si>
    <t>깡패,신형만,넘버,참치,원</t>
  </si>
  <si>
    <t>G250909234800</t>
  </si>
  <si>
    <t>2025-09-09 23:47</t>
  </si>
  <si>
    <t>넘버 (25)&lt;br&gt;테리 (19)&lt;br&gt;신형만 (22)&lt;br&gt;참치 (25)</t>
  </si>
  <si>
    <t>한메 (-14)&lt;br&gt;깡패 (-15)&lt;br&gt;노인 (-13)&lt;br&gt;원 (-15)</t>
  </si>
  <si>
    <t>G250909231319</t>
  </si>
  <si>
    <t>2025-09-09 23:13</t>
  </si>
  <si>
    <t>넘버 (26)&lt;br&gt;신형만 (24)&lt;br&gt;테리 (20)&lt;br&gt;참치 (26)</t>
  </si>
  <si>
    <t>깡패 (-12)&lt;br&gt;노인 (-10)&lt;br&gt;원 (-12)&lt;br&gt;한메 (-10)</t>
  </si>
  <si>
    <t>G250909215630</t>
  </si>
  <si>
    <t>2025-09-09 21:56</t>
  </si>
  <si>
    <t>노인 (26)&lt;br&gt;깡패 (22)&lt;br&gt;원 (21)&lt;br&gt;한메 (23)</t>
  </si>
  <si>
    <t>신형만 (-13)&lt;br&gt;테리 (-13)&lt;br&gt;넘버 (-13)&lt;br&gt;참치 (-13)</t>
  </si>
  <si>
    <t>G250909002053</t>
  </si>
  <si>
    <t>2025-09-09 00:20</t>
  </si>
  <si>
    <t>ACDC (31)&lt;br&gt;테리 (16)&lt;br&gt;넘버 (22)&lt;br&gt;신형만 (19)</t>
  </si>
  <si>
    <t>강화 (-)&lt;br&gt;깡패 (-17)&lt;br&gt;노인 (-14)&lt;br&gt;한메 (-15)</t>
  </si>
  <si>
    <t>G250908232711</t>
  </si>
  <si>
    <t>2025-09-08 23:27</t>
  </si>
  <si>
    <t>강화 (-)&lt;br&gt;넘버 (23)&lt;br&gt;한메 (19)&lt;br&gt;신형만 (20)</t>
  </si>
  <si>
    <t>테리 (-16)&lt;br&gt;노인 (-14)&lt;br&gt;ACDC (-11)&lt;br&gt;깡패 (-17)</t>
  </si>
  <si>
    <t>신형만,깡패,넘버</t>
  </si>
  <si>
    <t>G250908230048</t>
  </si>
  <si>
    <t>2025-09-08 23:00</t>
  </si>
  <si>
    <t>테리 (17)&lt;br&gt;노인 (22)&lt;br&gt;강화 (-)&lt;br&gt;한메 (20)</t>
  </si>
  <si>
    <t>깡패 (-12)&lt;br&gt;ACDC (-8)&lt;br&gt;넘버 (-11)&lt;br&gt;신형만 (-11)</t>
  </si>
  <si>
    <t>G250908004327</t>
  </si>
  <si>
    <t>2025-09-08 00:43</t>
  </si>
  <si>
    <t>ACDC (33)&lt;br&gt;깡패 (21)&lt;br&gt;참치 (26)&lt;br&gt;한메 (24)</t>
  </si>
  <si>
    <t>신형만 (-16)&lt;br&gt;원 (-17)&lt;br&gt;노인 (-14)&lt;br&gt;넘버 (-15)</t>
  </si>
  <si>
    <t>깡패,신형만,참치,넘버,원</t>
  </si>
  <si>
    <t>G250908001003</t>
  </si>
  <si>
    <t>2025-09-08 00:10</t>
  </si>
  <si>
    <t>깡패 (17)&lt;br&gt;노인 (22)&lt;br&gt;한메 (21)&lt;br&gt;원 (16)</t>
  </si>
  <si>
    <t>넘버 (-15)&lt;br&gt;신형만 (-15)&lt;br&gt;ACDC (-10)&lt;br&gt;참치 (-14)</t>
  </si>
  <si>
    <t>G250907233315</t>
  </si>
  <si>
    <t>2025-09-07 23:33</t>
  </si>
  <si>
    <t>원 (15)&lt;br&gt;참치 (19)&lt;br&gt;신형만 (17)&lt;br&gt;깡패 (16)</t>
  </si>
  <si>
    <t>노인 (-13)&lt;br&gt;ACDC (-9)&lt;br&gt;넘버 (-14)&lt;br&gt;한메 (-13)</t>
  </si>
  <si>
    <t>G250907170235</t>
  </si>
  <si>
    <t>2025-09-07 17:02</t>
  </si>
  <si>
    <t>넘버 (13)&lt;br&gt;유즈 (-)&lt;br&gt;테리 (12)&lt;br&gt;신형만 (12)</t>
  </si>
  <si>
    <t>반짝 (-)&lt;br&gt;노픽업 (-)&lt;br&gt;규식 (-)&lt;br&gt;오딘 (-)</t>
  </si>
  <si>
    <t>신형만,넘버,테리,오딘</t>
  </si>
  <si>
    <t>G250907162158</t>
  </si>
  <si>
    <t>2025-09-07 16:21</t>
  </si>
  <si>
    <t>테리 (15)&lt;br&gt;규식 (-)&lt;br&gt;넘버 (16)&lt;br&gt;반짝 (-)</t>
  </si>
  <si>
    <t>유즈 (-)&lt;br&gt;신형만 (-20)&lt;br&gt;오딘 (-)&lt;br&gt;노픽업 (-)</t>
  </si>
  <si>
    <t>G250904213839</t>
  </si>
  <si>
    <t>2025-09-04 21:38</t>
  </si>
  <si>
    <t>깡패 (14)&lt;br&gt;유즈 (-)&lt;br&gt;테리 (14)&lt;br&gt;신형만 (15)</t>
  </si>
  <si>
    <t>노인 (-10)&lt;br&gt;ACDC (-8)&lt;br&gt;한메 (-10)&lt;br&gt;따 (-)</t>
  </si>
  <si>
    <t>G250904203628</t>
  </si>
  <si>
    <t>2025-09-04 20:36</t>
  </si>
  <si>
    <t>한메 (18)&lt;br&gt;테리 (15)&lt;br&gt;따 (-)&lt;br&gt;깡패 (15)</t>
  </si>
  <si>
    <t>유즈 (-)&lt;br&gt;신형만 (-14)&lt;br&gt;노인 (-12)&lt;br&gt;ACDC (-9)</t>
  </si>
  <si>
    <t>G250904002226</t>
  </si>
  <si>
    <t>2025-09-04 00:22</t>
  </si>
  <si>
    <t>노인 (26)&lt;br&gt;넘버 (28)&lt;br&gt;원 (23)&lt;br&gt;솔 (-)</t>
  </si>
  <si>
    <t>테리 (-18)&lt;br&gt;깡패 (-18)&lt;br&gt;신형만 (-18)&lt;br&gt;참치 (-17)</t>
  </si>
  <si>
    <t>깡패,참치,신형만,원,넘버,솔</t>
  </si>
  <si>
    <t>G250903235148</t>
  </si>
  <si>
    <t>2025-09-03 23:51</t>
  </si>
  <si>
    <t>참치 (27)&lt;br&gt;새출발 (-)&lt;br&gt;넘버 (28)&lt;br&gt;신형만 (23)</t>
  </si>
  <si>
    <t>깡패 (-12)&lt;br&gt;테리 (-12)&lt;br&gt;노인 (-10)&lt;br&gt;원 (-12)</t>
  </si>
  <si>
    <t>깡패,참치,신형만,원,넘버</t>
  </si>
  <si>
    <t>G250903231420</t>
  </si>
  <si>
    <t>2025-09-03 23:14</t>
  </si>
  <si>
    <t>신형만 (17)&lt;br&gt;원 (16)&lt;br&gt;참치 (21)&lt;br&gt;깡패 (16)</t>
  </si>
  <si>
    <t>단수 (120)&lt;br&gt;노인 (-15)&lt;br&gt;새출발 (-)&lt;br&gt;넘버 (-15)</t>
  </si>
  <si>
    <t>깡패,참치,단수,신형만,원,넘버</t>
  </si>
  <si>
    <t>G250903224749</t>
  </si>
  <si>
    <t>2025-09-03 22:47</t>
  </si>
  <si>
    <t>솔 (-)&lt;br&gt;참치 (25)&lt;br&gt;테리 (18)&lt;br&gt;신형만 (21)</t>
  </si>
  <si>
    <t>깡패 (-18)&lt;br&gt;새출발 (-)&lt;br&gt;단수 (-)&lt;br&gt;원 (-19)</t>
  </si>
  <si>
    <t>깡패,참치,단수,신형만,원,솔</t>
  </si>
  <si>
    <t>G250903220958</t>
  </si>
  <si>
    <t>2025-09-03 22:09</t>
  </si>
  <si>
    <t>신형만 (17)&lt;br&gt;넘버 (20)&lt;br&gt;깡패 (15)&lt;br&gt;참치 (21)</t>
  </si>
  <si>
    <t>테리 (-13)&lt;br&gt;단수 (-)&lt;br&gt;새출발 (-)&lt;br&gt;솔 (-)</t>
  </si>
  <si>
    <t>깡패,참치,단수,신형만,넘버,솔</t>
  </si>
  <si>
    <t>G250903214147</t>
  </si>
  <si>
    <t>2025-09-03 21:41</t>
  </si>
  <si>
    <t>솔 (-)&lt;br&gt;신형만 (21)&lt;br&gt;테리 (16)&lt;br&gt;넘버 (24)</t>
  </si>
  <si>
    <t>새출발 (-)&lt;br&gt;깡패 (-14)&lt;br&gt;노인 (-13)&lt;br&gt;단수 (-)</t>
  </si>
  <si>
    <t>깡패,단수,신형만,넘버,솔</t>
  </si>
  <si>
    <t>G250903211059</t>
  </si>
  <si>
    <t>2025-09-03 21:10</t>
  </si>
  <si>
    <t>테리 (16)&lt;br&gt;넘버 (23)&lt;br&gt;단수 (-)&lt;br&gt;깡패 (16)</t>
  </si>
  <si>
    <t>노인 (-16)&lt;br&gt;새출발 (-)&lt;br&gt;솔 (-)&lt;br&gt;신형만 (-17)</t>
  </si>
  <si>
    <t>G250903204437</t>
  </si>
  <si>
    <t>2025-09-03 20:44</t>
  </si>
  <si>
    <t>신형만 (19)&lt;br&gt;노인 (18)&lt;br&gt;테리 (16)&lt;br&gt;따 (-)</t>
  </si>
  <si>
    <t>키키 (-)&lt;br&gt;솔 (-)&lt;br&gt;깡패 (-12)&lt;br&gt;넘버 (-11)</t>
  </si>
  <si>
    <t>G250902220247</t>
  </si>
  <si>
    <t>2025-09-02 22:02</t>
  </si>
  <si>
    <t>노인 (20)&lt;br&gt;깡패 (17)&lt;br&gt;넘버 (25)&lt;br&gt;단수 (-)</t>
  </si>
  <si>
    <t>한메 (-13)&lt;br&gt;테리 (-14)&lt;br&gt;ACDC (-10)&lt;br&gt;신형만 (-14)</t>
  </si>
  <si>
    <t>깡패,신형만,넘버,단수</t>
  </si>
  <si>
    <t>G250902212103</t>
  </si>
  <si>
    <t>2025-09-02 21:20</t>
  </si>
  <si>
    <t>ACDC (31)&lt;br&gt;신형만 (23)&lt;br&gt;노인 (22)&lt;br&gt;넘버 (28)</t>
  </si>
  <si>
    <t>테리 (-14)&lt;br&gt;단수 (-)&lt;br&gt;한메 (-14)&lt;br&gt;깡패 (-15)</t>
  </si>
  <si>
    <t>G250902204928</t>
  </si>
  <si>
    <t>2025-09-02 20:49</t>
  </si>
  <si>
    <t>깡패 (16)&lt;br&gt;노인 (20)&lt;br&gt;참치 (264)&lt;br&gt;신형만 (21)</t>
  </si>
  <si>
    <t>넘버 (-10)&lt;br&gt;테리 (-12)&lt;br&gt;ACDC (-8)&lt;br&gt;한메 (-11)</t>
  </si>
  <si>
    <t>G250901005452</t>
  </si>
  <si>
    <t>2025-09-01 00:54</t>
  </si>
  <si>
    <t>노인 (24)&lt;br&gt;깡패 (21)&lt;br&gt;테리 (19)&lt;br&gt;한메 (21)</t>
  </si>
  <si>
    <t>원 (-16)&lt;br&gt;신형만 (-15)&lt;br&gt;넘버 (-13)&lt;br&gt;참치 (-)</t>
  </si>
  <si>
    <t>깡패,참치,원,넘버,신형만</t>
  </si>
  <si>
    <t>G250901002556</t>
  </si>
  <si>
    <t>2025-09-01 00:25</t>
  </si>
  <si>
    <t>넘버 (28)&lt;br&gt;노인 (25)&lt;br&gt;깡패 (21)&lt;br&gt;원 (18)</t>
  </si>
  <si>
    <t>참치 (-)&lt;br&gt;테리 (-15)&lt;br&gt;한메 (-14)&lt;br&gt;신형만 (-15)</t>
  </si>
  <si>
    <t>G250831235936</t>
  </si>
  <si>
    <t>2025-08-31 23:59</t>
  </si>
  <si>
    <t>원 (16)&lt;br&gt;신형만 (21)&lt;br&gt;테리 (16)&lt;br&gt;깡패 (19)</t>
  </si>
  <si>
    <t>노인 (-9)&lt;br&gt;넘버 (-9)&lt;br&gt;참치 (-)&lt;br&gt;한메 (-10)</t>
  </si>
  <si>
    <t>G250831220446</t>
  </si>
  <si>
    <t>2025-08-31 22:04</t>
  </si>
  <si>
    <t>한메 (18)&lt;br&gt;깡패 (19)&lt;br&gt;노인 (23)&lt;br&gt;신형만 (21)</t>
  </si>
  <si>
    <t>테리 (-19)&lt;br&gt;단수 (-)&lt;br&gt;ACDC (-14)&lt;br&gt;원 (-21)</t>
  </si>
  <si>
    <t>깡패,단수,원,신형만</t>
  </si>
  <si>
    <t>G250831214603</t>
  </si>
  <si>
    <t>2025-08-31 21:45</t>
  </si>
  <si>
    <t>깡패 (15)&lt;br&gt;원 (11)&lt;br&gt;테리 (12)&lt;br&gt;한메 (14)</t>
  </si>
  <si>
    <t>ACDC (-12)&lt;br&gt;노인 (-14)&lt;br&gt;규식 (-)&lt;br&gt;단수 (-)</t>
  </si>
  <si>
    <t>깡패,단수,원</t>
  </si>
  <si>
    <t>G250831211307</t>
  </si>
  <si>
    <t>2025-08-31 21:13</t>
  </si>
  <si>
    <t>테리 (15)&lt;br&gt;원 (14)&lt;br&gt;단수 (-)&lt;br&gt;규식 (-)</t>
  </si>
  <si>
    <t>한메 (-13)&lt;br&gt;노인 (-12)&lt;br&gt;ACDC (-10)&lt;br&gt;넘버 (-13)</t>
  </si>
  <si>
    <t>원,넘버,단수</t>
  </si>
  <si>
    <t>G250831204127</t>
  </si>
  <si>
    <t>2025-08-31 20:41</t>
  </si>
  <si>
    <t>노인 (21)&lt;br&gt;넘버 (24)&lt;br&gt;원 (15)&lt;br&gt;규식 (-)</t>
  </si>
  <si>
    <t>한메 (-17)&lt;br&gt;테리 (-18)&lt;br&gt;ACDC (-14)&lt;br&gt;단수 (-)</t>
  </si>
  <si>
    <t>넘버,원,단수</t>
  </si>
  <si>
    <t>G250831202410</t>
  </si>
  <si>
    <t>2025-08-31 20:24</t>
  </si>
  <si>
    <t>원 (13)&lt;br&gt;규식 (-)&lt;br&gt;테리 (13)&lt;br&gt;한메 (15)</t>
  </si>
  <si>
    <t>ACDC (-14)&lt;br&gt;노인 (-17)&lt;br&gt;단수 (-)&lt;br&gt;넘버 (-17)</t>
  </si>
  <si>
    <t>G250831164205</t>
  </si>
  <si>
    <t>2025-08-31 16:42</t>
  </si>
  <si>
    <t>신형만 (20)&lt;br&gt;유즈 (-)&lt;br&gt;따 (-)&lt;br&gt;한메 (17)</t>
  </si>
  <si>
    <t>노인 (-11)&lt;br&gt;ACDC (-10)&lt;br&gt;테리 (-12)&lt;br&gt;규식 (-)</t>
  </si>
  <si>
    <t>G250831160200</t>
  </si>
  <si>
    <t>2025-08-31 16:01</t>
  </si>
  <si>
    <t>테리 (13)&lt;br&gt;노인 (18)&lt;br&gt;한메 (16)&lt;br&gt;따 (-)</t>
  </si>
  <si>
    <t>유즈 (-)&lt;br&gt;규식 (-)&lt;br&gt;ACDC (-15)&lt;br&gt;신형만 (-19)</t>
  </si>
  <si>
    <t>G250831153827</t>
  </si>
  <si>
    <t>2025-08-31 15:38</t>
  </si>
  <si>
    <t>ACDC (27)&lt;br&gt;테리 (16)&lt;br&gt;따 (-)&lt;br&gt;규식 (-)</t>
  </si>
  <si>
    <t>노인 (-11)&lt;br&gt;유즈 (-)&lt;br&gt;신형만 (-12)&lt;br&gt;한메 (-12)</t>
  </si>
  <si>
    <t>G250831144953</t>
  </si>
  <si>
    <t>2025-08-31 14:49</t>
  </si>
  <si>
    <t>한메 (20)&lt;br&gt;규식 (-)&lt;br&gt;유즈 (-)&lt;br&gt;따 (-)</t>
  </si>
  <si>
    <t>테리 (-20)&lt;br&gt;ACDC (-15)&lt;br&gt;노인 (-18)&lt;br&gt;신형만 (-19)</t>
  </si>
  <si>
    <t>G250830161922</t>
  </si>
  <si>
    <t>2025-08-30 16:19</t>
  </si>
  <si>
    <t>테리 (16)&lt;br&gt;새출발 (-)&lt;br&gt;오딘 (-)&lt;br&gt;원 (17)</t>
  </si>
  <si>
    <t>신형만 (-16)&lt;br&gt;노인 (-14)&lt;br&gt;한메 (-15)&lt;br&gt;단수 (-)</t>
  </si>
  <si>
    <t>신형만,원,단수</t>
  </si>
  <si>
    <t>G250830160747</t>
  </si>
  <si>
    <t>2025-08-30 16:07</t>
  </si>
  <si>
    <t>노인 (18)&lt;br&gt;테리 (15)&lt;br&gt;원 (16)&lt;br&gt;신형만 (16)</t>
  </si>
  <si>
    <t>새출발 (-)&lt;br&gt;단수 (-)&lt;br&gt;ACDC (-13)&lt;br&gt;한메 (-16)</t>
  </si>
  <si>
    <t>G250830143202</t>
  </si>
  <si>
    <t>2025-08-30 14:31</t>
  </si>
  <si>
    <t>새출발 (-)&lt;br&gt;원 (18)&lt;br&gt;노인 (21)&lt;br&gt;한메 (18)</t>
  </si>
  <si>
    <t>오딘 (-)&lt;br&gt;테리 (-16)&lt;br&gt;단수 (-)&lt;br&gt;신형만 (-16)</t>
  </si>
  <si>
    <t>G250828230859</t>
  </si>
  <si>
    <t>2025-08-28 23:08</t>
  </si>
  <si>
    <t>테리 (14)&lt;br&gt;유즈 (-)&lt;br&gt;깡패 (18)&lt;br&gt;신형만 (17)</t>
  </si>
  <si>
    <t>한메 (-17)&lt;br&gt;ACDC (-14)&lt;br&gt;노인 (-16)&lt;br&gt;찹쌀 (-)</t>
  </si>
  <si>
    <t>깡패,찹쌀,신형만</t>
  </si>
  <si>
    <t>G250828225038</t>
  </si>
  <si>
    <t>2025-08-28 22:50</t>
  </si>
  <si>
    <t>노인 (18)&lt;br&gt;신형만 (17)&lt;br&gt;테리 (14)&lt;br&gt;한메 (15)</t>
  </si>
  <si>
    <t>ACDC (-14)&lt;br&gt;찹쌀 (-)&lt;br&gt;유즈 (-)&lt;br&gt;깡패 (-17)</t>
  </si>
  <si>
    <t>G250828222839</t>
  </si>
  <si>
    <t>2025-08-28 22:28</t>
  </si>
  <si>
    <t>테리 (17)&lt;br&gt;깡패 (20)&lt;br&gt;한메 (19)&lt;br&gt;찹쌀 (-)</t>
  </si>
  <si>
    <t>유즈 (-)&lt;br&gt;ACDC (-11)&lt;br&gt;노인 (-12)&lt;br&gt;신형만 (-13)</t>
  </si>
  <si>
    <t>G250828211517</t>
  </si>
  <si>
    <t>2025-08-28 21:15</t>
  </si>
  <si>
    <t>한메 (22)&lt;br&gt;테리 (20)&lt;br&gt;ACDC (28)&lt;br&gt;따 (-)</t>
  </si>
  <si>
    <t>넘버 (-13)&lt;br&gt;노인 (-13)&lt;br&gt;신형만 (-14)&lt;br&gt;깡패 (-14)</t>
  </si>
  <si>
    <t>깡패,넘버,신형만</t>
  </si>
  <si>
    <t>G250827003834</t>
  </si>
  <si>
    <t>2025-08-27 00:38</t>
  </si>
  <si>
    <t>노인 (21)&lt;br&gt;신형만 (20)&lt;br&gt;테리 (280)&lt;br&gt;한메 (20)</t>
  </si>
  <si>
    <t>깡패 (-12)&lt;br&gt;원 (-12)&lt;br&gt;ACDC (-9)&lt;br&gt;따 (-)</t>
  </si>
  <si>
    <t>신형만,원,깡패</t>
  </si>
  <si>
    <t>G250826230713</t>
  </si>
  <si>
    <t>2025-08-26 23:07</t>
  </si>
  <si>
    <t>테리 (-)&lt;br&gt;깡패 (20)&lt;br&gt;원 (19)&lt;br&gt;한메 (200)</t>
  </si>
  <si>
    <t>넘버 (-18)&lt;br&gt;노인 (-17)&lt;br&gt;ACDC (-15)&lt;br&gt;신형만 (-19)</t>
  </si>
  <si>
    <t>깡패,넘버,신형만,원</t>
  </si>
  <si>
    <t>G250826225423</t>
  </si>
  <si>
    <t>2025-08-26 22:54</t>
  </si>
  <si>
    <t>노인 (22)&lt;br&gt;신형만 (21)&lt;br&gt;테리 (-)&lt;br&gt;원 (20)</t>
  </si>
  <si>
    <t>한메 (-)&lt;br&gt;ACDC (-16)&lt;br&gt;넘버 (-18)&lt;br&gt;깡패 (-19)</t>
  </si>
  <si>
    <t>G250826223916</t>
  </si>
  <si>
    <t>2025-08-26 22:39</t>
  </si>
  <si>
    <t>신형만 (23)&lt;br&gt;원 (336)&lt;br&gt;ACDC (26)&lt;br&gt;한메 (-)</t>
  </si>
  <si>
    <t>테리 (-)&lt;br&gt;깡패 (-12)&lt;br&gt;노인 (-11)&lt;br&gt;넘버 (264)</t>
  </si>
  <si>
    <t>G250826220318</t>
  </si>
  <si>
    <t>2025-08-26 22:03</t>
  </si>
  <si>
    <t>ACDC (24)&lt;br&gt;신형만 (20)&lt;br&gt;테리 (-)&lt;br&gt;깡패 (18)</t>
  </si>
  <si>
    <t>한메 (-)&lt;br&gt;노인 (180)&lt;br&gt;짱구 (-)&lt;br&gt;원 (-)</t>
  </si>
  <si>
    <t>G250826212745</t>
  </si>
  <si>
    <t>2025-08-26 21:27</t>
  </si>
  <si>
    <t>깡패 (17)&lt;br&gt;테리 (-)&lt;br&gt;원 (-)&lt;br&gt;한메 (-)</t>
  </si>
  <si>
    <t>노인 (-)&lt;br&gt;짱구 (-)&lt;br&gt;ACDC (-16)&lt;br&gt;신형만 (-19)</t>
  </si>
  <si>
    <t>G250825232336</t>
  </si>
  <si>
    <t>2025-08-25 23:23</t>
  </si>
  <si>
    <t>새출발 (-)&lt;br&gt;노인 (-)&lt;br&gt;신형만 (20)&lt;br&gt;참치 (-)</t>
  </si>
  <si>
    <t>단수 (-)&lt;br&gt;랄 (-)&lt;br&gt;깡패 (-12)&lt;br&gt;넘버 (-)</t>
  </si>
  <si>
    <t>깡패,단수,참치,신형만,넘버,랄</t>
  </si>
  <si>
    <t>G250825224958</t>
  </si>
  <si>
    <t>2025-08-25 22:49</t>
  </si>
  <si>
    <t>깡패 (18)&lt;br&gt;단수 (-)&lt;br&gt;참치 (-)&lt;br&gt;신형만 (20)</t>
  </si>
  <si>
    <t>원 (-)&lt;br&gt;새출발 (-)&lt;br&gt;노인 (-)&lt;br&gt;랄 (-)</t>
  </si>
  <si>
    <t>깡패,단수,참치,신형만,원,랄</t>
  </si>
  <si>
    <t>G250825222343</t>
  </si>
  <si>
    <t>2025-08-25 22:23</t>
  </si>
  <si>
    <t>참치 (-)&lt;br&gt;신형만 (20)&lt;br&gt;노인 (-)&lt;br&gt;원 (-)</t>
  </si>
  <si>
    <t>새출발 (-)&lt;br&gt;랄 (-)&lt;br&gt;단수 (-)&lt;br&gt;깡패 (-20)</t>
  </si>
  <si>
    <t>G250825220826</t>
  </si>
  <si>
    <t>2025-08-25 22:08</t>
  </si>
  <si>
    <t>넘버 (-)&lt;br&gt;새출발 (-)&lt;br&gt;원 (-)&lt;br&gt;단수 (-)</t>
  </si>
  <si>
    <t>깡패 (-17)&lt;br&gt;참치 (-)&lt;br&gt;랄 (-)&lt;br&gt;신형만 (-16)</t>
  </si>
  <si>
    <t>깡패,넘버,단수,참치,신형만,원,랄</t>
  </si>
  <si>
    <t>G250825213246</t>
  </si>
  <si>
    <t>2025-08-25 21:32</t>
  </si>
  <si>
    <t>신형만 (22)&lt;br&gt;깡패 (18)&lt;br&gt;새출발 (-)&lt;br&gt;원 (-)</t>
  </si>
  <si>
    <t>랄 (-)&lt;br&gt;넘버 (-)&lt;br&gt;단수 (-)&lt;br&gt;참치 (-)</t>
  </si>
  <si>
    <t>G250824233510</t>
  </si>
  <si>
    <t>2025-08-24 23:35</t>
  </si>
  <si>
    <t>참치 (-)&lt;br&gt;노인 (-)&lt;br&gt;원 (-)&lt;br&gt;키키 (-)</t>
  </si>
  <si>
    <t>신형만 (-18)&lt;br&gt;깡패 (-19)&lt;br&gt;ACDC (-16)&lt;br&gt;넘버 (-)</t>
  </si>
  <si>
    <t>G250824231411</t>
  </si>
  <si>
    <t>2025-08-24 23:14</t>
  </si>
  <si>
    <t>깡패 (16)&lt;br&gt;넘버 (-)&lt;br&gt;노인 (-)&lt;br&gt;원 (-)</t>
  </si>
  <si>
    <t>ACDC (-15)&lt;br&gt;참치 (-)&lt;br&gt;키키 (-)&lt;br&gt;신형만 (-17)</t>
  </si>
  <si>
    <t>G250824225544</t>
  </si>
  <si>
    <t>2025-08-24 22:55</t>
  </si>
  <si>
    <t>넘버 (-)&lt;br&gt;깡패 (17)&lt;br&gt;신형만 (19)&lt;br&gt;참치 (-)</t>
  </si>
  <si>
    <t>원 (-)&lt;br&gt;노인 (-)&lt;br&gt;ACDC (80)&lt;br&gt;키키 (-)</t>
  </si>
  <si>
    <t>G250824212232</t>
  </si>
  <si>
    <t>2025-08-24 21:22</t>
  </si>
  <si>
    <t>ACDC (-)&lt;br&gt;새출발 (-)&lt;br&gt;원 (-)&lt;br&gt;넘버 (-)</t>
  </si>
  <si>
    <t>깡패 (312)&lt;br&gt;노픽업 (-)&lt;br&gt;규식 (-)&lt;br&gt;신형만 (240)</t>
  </si>
  <si>
    <t>깡패,신형만,넘버,원</t>
  </si>
  <si>
    <t>G250824203059</t>
  </si>
  <si>
    <t>2025-08-24 20:30</t>
  </si>
  <si>
    <t>한메 (-)&lt;br&gt;넘버 (-)&lt;br&gt;노픽업 (-)&lt;br&gt;깡패 (-)</t>
  </si>
  <si>
    <t>새출발 (-)&lt;br&gt;신형만 (-)&lt;br&gt;ACDC (-)&lt;br&gt;오딘 (-)</t>
  </si>
  <si>
    <t>G250824201500</t>
  </si>
  <si>
    <t>2025-08-24 20:14</t>
  </si>
  <si>
    <t>깡패 (-)&lt;br&gt;새출발 (-)&lt;br&gt;한메 (-)&lt;br&gt;신형만 (-)</t>
  </si>
  <si>
    <t>ACDC (-)&lt;br&gt;노픽업 (-)&lt;br&gt;오딘 (-)&lt;br&gt;넘버 (-)</t>
  </si>
  <si>
    <t>G250824195608</t>
  </si>
  <si>
    <t>2025-08-24 19:56</t>
  </si>
  <si>
    <t>넘버 (-)&lt;br&gt;깡패 (-)&lt;br&gt;새출발 (-)&lt;br&gt;노픽업 (-)</t>
  </si>
  <si>
    <t>한메 (-)&lt;br&gt;신형만 (-)&lt;br&gt;ACDC (-)&lt;br&gt;오딘 (-)</t>
  </si>
  <si>
    <t>G250824193504</t>
  </si>
  <si>
    <t>2025-08-24 19:35</t>
  </si>
  <si>
    <t>깡패 (-)&lt;br&gt;넘버 (-)&lt;br&gt;신형만 (-)&lt;br&gt;한메 (-)</t>
  </si>
  <si>
    <t>새출발 (-)&lt;br&gt;노픽업 (-)&lt;br&gt;노인 (-)&lt;br&gt;원 (-)</t>
  </si>
  <si>
    <t>깡패,신형만,원,넘버</t>
  </si>
  <si>
    <t>G250822015649</t>
  </si>
  <si>
    <t>2025-08-22 01:56</t>
  </si>
  <si>
    <t>넘버 (-)&lt;br&gt;깡패 (-)&lt;br&gt;테리 (-)&lt;br&gt;따 (-)</t>
  </si>
  <si>
    <t>ACDC (-)&lt;br&gt;ovo (-)&lt;br&gt;참치 (-)&lt;br&gt;신형만 (-)</t>
  </si>
  <si>
    <t>신형만,참치,깡패,넘버</t>
  </si>
  <si>
    <t>G250822005929</t>
  </si>
  <si>
    <t>2025-08-22 00:59</t>
  </si>
  <si>
    <t>테리 (-)&lt;br&gt;넘버 (-)&lt;br&gt;ovo (-)&lt;br&gt;참치 (-)</t>
  </si>
  <si>
    <t>솔 (-)&lt;br&gt;신형만 (-)&lt;br&gt;ACDC (-)&lt;br&gt;깡패 (-)</t>
  </si>
  <si>
    <t>G250822001207</t>
  </si>
  <si>
    <t>2025-08-22 00:12</t>
  </si>
  <si>
    <t>신형만 (-)&lt;br&gt;테리 (-)&lt;br&gt;넘버 (-)&lt;br&gt;솔 (-)</t>
  </si>
  <si>
    <t>ACDC (-)&lt;br&gt;깡패 (-)&lt;br&gt;참치 (-)&lt;br&gt;한메 (-)</t>
  </si>
  <si>
    <t>G250821233431</t>
  </si>
  <si>
    <t>2025-08-21 23:34</t>
  </si>
  <si>
    <t>솔 (-)&lt;br&gt;참치 (-)&lt;br&gt;테리 (-)&lt;br&gt;깡패 (-)</t>
  </si>
  <si>
    <t>한메 (-)&lt;br&gt;넘버 (-)&lt;br&gt;ACDC (-)&lt;br&gt;신형만 (-)</t>
  </si>
  <si>
    <t>G250820234927</t>
  </si>
  <si>
    <t>2025-08-20 23:49</t>
  </si>
  <si>
    <t>테리 (-)&lt;br&gt;참치 (-)&lt;br&gt;한메 (-)&lt;br&gt;깡패 (-)</t>
  </si>
  <si>
    <t>ACDC (-)&lt;br&gt;노인 (-)&lt;br&gt;넘버 (-)&lt;br&gt;신형만 (-)</t>
  </si>
  <si>
    <t>G250820231828</t>
  </si>
  <si>
    <t>2025-08-20 23:18</t>
  </si>
  <si>
    <t>참치 (-)&lt;br&gt;넘버 (-)&lt;br&gt;신형만 (-)&lt;br&gt;한메 (-)</t>
  </si>
  <si>
    <t>노인 (-)&lt;br&gt;깡패 (-)&lt;br&gt;ACDC (-)&lt;br&gt;원 (-)</t>
  </si>
  <si>
    <t>G250820224032</t>
  </si>
  <si>
    <t>2025-08-20 22:40</t>
  </si>
  <si>
    <t>한메 (-)&lt;br&gt;노인 (-)&lt;br&gt;테리 (-)&lt;br&gt;신형만 (-)</t>
  </si>
  <si>
    <t>ACDC (-)&lt;br&gt;참치 (-)&lt;br&gt;짱구 (-)&lt;br&gt;깡패 (-)</t>
  </si>
  <si>
    <t>G250820220519</t>
  </si>
  <si>
    <t>2025-08-20 22:05</t>
  </si>
  <si>
    <t>깡패 (-)&lt;br&gt;테리 (-)&lt;br&gt;신형만 (-)&lt;br&gt;참치 (-)</t>
  </si>
  <si>
    <t>노인 (-)&lt;br&gt;짱구 (-)&lt;br&gt;ACDC (-)&lt;br&gt;한메 (-)</t>
  </si>
  <si>
    <t>G250819003424</t>
  </si>
  <si>
    <t>2025-08-19 00:34</t>
  </si>
  <si>
    <t>신형만 (-)&lt;br&gt;깡패 (-)&lt;br&gt;노인 (-)&lt;br&gt;한메 (-)</t>
  </si>
  <si>
    <t>ACDC (-)&lt;br&gt;테리 (-)&lt;br&gt;ovo (-)&lt;br&gt;원 (-)</t>
  </si>
  <si>
    <t>G250819000706</t>
  </si>
  <si>
    <t>2025-08-19 00:07</t>
  </si>
  <si>
    <t>노인 (-)&lt;br&gt;원 (-)&lt;br&gt;ACDC (-)&lt;br&gt;깡패 (-)</t>
  </si>
  <si>
    <t>테리 (-)&lt;br&gt;ovo (-)&lt;br&gt;한메 (-)&lt;br&gt;신형만 (-)</t>
  </si>
  <si>
    <t>G250818234807</t>
  </si>
  <si>
    <t>2025-08-18 23:48</t>
  </si>
  <si>
    <t>ovo (-)&lt;br&gt;노인 (-)&lt;br&gt;신형만 (-)&lt;br&gt;원 (-)</t>
  </si>
  <si>
    <t>ACDC (-)&lt;br&gt;깡패 (-)&lt;br&gt;테리 (-)&lt;br&gt;한메 (-)</t>
  </si>
  <si>
    <t>G250818230135</t>
  </si>
  <si>
    <t>2025-08-18 23:01</t>
  </si>
  <si>
    <t>테리 (-)&lt;br&gt;원 (-)&lt;br&gt;ACDC (-)&lt;br&gt;신형만 (-)</t>
  </si>
  <si>
    <t>한메 (-)&lt;br&gt;ovo (-)&lt;br&gt;노인 (-)&lt;br&gt;깡패 (-)</t>
  </si>
  <si>
    <t>G250818224542</t>
  </si>
  <si>
    <t>2025-08-18 22:45</t>
  </si>
  <si>
    <t>ovo (-)&lt;br&gt;신형만 (-)&lt;br&gt;깡패 (-)&lt;br&gt;원 (-)</t>
  </si>
  <si>
    <t>ACDC (-)&lt;br&gt;노인 (-)&lt;br&gt;테리 (-)&lt;br&gt;한메 (-)</t>
  </si>
  <si>
    <t>G250818221058</t>
  </si>
  <si>
    <t>2025-08-18 22:10</t>
  </si>
  <si>
    <t>테리 (-)&lt;br&gt;ovo (-)&lt;br&gt;신형만 (-)&lt;br&gt;넘버 (-)</t>
  </si>
  <si>
    <t>G250818213744</t>
  </si>
  <si>
    <t>2025-08-18 21:37</t>
  </si>
  <si>
    <t>ovo (-)&lt;br&gt;테리 (-)&lt;br&gt;깡패 (-)&lt;br&gt;원 (-)</t>
  </si>
  <si>
    <t>ACDC (-)&lt;br&gt;넘버 (-)&lt;br&gt;노인 (-)&lt;br&gt;신형만 (-)</t>
  </si>
  <si>
    <t>G250818001731</t>
  </si>
  <si>
    <t>2025-08-18 00:17</t>
  </si>
  <si>
    <t>ACDC (27)&lt;br&gt;깡패 (25)&lt;br&gt;테리 (19)&lt;br&gt;참치 (24)</t>
  </si>
  <si>
    <t>신형만 (-12)&lt;br&gt;넘버 (-14)&lt;br&gt;노인 (-12)&lt;br&gt;원 (-14)</t>
  </si>
  <si>
    <t>시즌12</t>
  </si>
  <si>
    <t>신형만,원,깡패,넘버,참치</t>
  </si>
  <si>
    <t>G250817234439</t>
  </si>
  <si>
    <t>2025-08-17 23:44</t>
  </si>
  <si>
    <t>깡패 (26)&lt;br&gt;원 (21)&lt;br&gt;ACDC (28)&lt;br&gt;넘버 (23)</t>
  </si>
  <si>
    <t>테리 (-18)&lt;br&gt;노인 (-16)&lt;br&gt;참치 (-17)&lt;br&gt;신형만 (-15)</t>
  </si>
  <si>
    <t>G250817230522</t>
  </si>
  <si>
    <t>2025-08-17 23:05</t>
  </si>
  <si>
    <t>ACDC (28)&lt;br&gt;깡패 (26)&lt;br&gt;테리 (17)&lt;br&gt;참치 (23)</t>
  </si>
  <si>
    <t>노인 (-13)&lt;br&gt;신형만 (-12)&lt;br&gt;한메 (-12)&lt;br&gt;원 (-14)</t>
  </si>
  <si>
    <t>신형만,원,깡패,참치</t>
  </si>
  <si>
    <t>G250817223749</t>
  </si>
  <si>
    <t>2025-08-17 22:37</t>
  </si>
  <si>
    <t>원 (18)&lt;br&gt;참치 (22)&lt;br&gt;신형만 (26)&lt;br&gt;깡패 (25)</t>
  </si>
  <si>
    <t>테리 (-18)&lt;br&gt;노인 (-17)&lt;br&gt;ACDC (-13)&lt;br&gt;한메 (-15)</t>
  </si>
  <si>
    <t>G250817215636</t>
  </si>
  <si>
    <t>2025-08-17 21:56</t>
  </si>
  <si>
    <t>한메 (22)&lt;br&gt;신형만 (27)&lt;br&gt;노인 (19)&lt;br&gt;원 (19)</t>
  </si>
  <si>
    <t>유즈 (-)&lt;br&gt;깡패 (-11)&lt;br&gt;테리 (-12)&lt;br&gt;참치 (-11)</t>
  </si>
  <si>
    <t>G250817212051</t>
  </si>
  <si>
    <t>2025-08-17 21:20</t>
  </si>
  <si>
    <t>노인 (18)&lt;br&gt;테리 (15)&lt;br&gt;참치 (21)&lt;br&gt;한메 (22)</t>
  </si>
  <si>
    <t>깡패 (-18)&lt;br&gt;유즈 (-)&lt;br&gt;원 (-20)&lt;br&gt;신형만 (-17)</t>
  </si>
  <si>
    <t>G250817205012</t>
  </si>
  <si>
    <t>2025-08-17 20:50</t>
  </si>
  <si>
    <t>신형만 (26)&lt;br&gt;넘버 (19)&lt;br&gt;테리 (15)&lt;br&gt;깡패 (24)</t>
  </si>
  <si>
    <t>한메 (-12)&lt;br&gt;노인 (-13)&lt;br&gt;오딘 (-)&lt;br&gt;원 (-14)</t>
  </si>
  <si>
    <t>신형만,원,넘버,깡패</t>
  </si>
  <si>
    <t>G250817200255</t>
  </si>
  <si>
    <t>2025-08-17 20:03</t>
  </si>
  <si>
    <t>노인 (23)&lt;br&gt;신형만 (33)&lt;br&gt;넘버 (26)&lt;br&gt;한메 (27)</t>
  </si>
  <si>
    <t>테리 (-14)&lt;br&gt;원 (-15)&lt;br&gt;깡패 (-13)&lt;br&gt;오딘 (-)</t>
  </si>
  <si>
    <t>G250813232944</t>
  </si>
  <si>
    <t>2025-08-13 23:29</t>
  </si>
  <si>
    <t>깡패 (21)&lt;br&gt;신형만 (26)&lt;br&gt;노인 (17)&lt;br&gt;넘버 (19)</t>
  </si>
  <si>
    <t>웅 (-)&lt;br&gt;테리 (-17)&lt;br&gt;ACDC (-13)&lt;br&gt;한메 (-14)</t>
  </si>
  <si>
    <t>G250813230927</t>
  </si>
  <si>
    <t>2025-08-13 23:09</t>
  </si>
  <si>
    <t>한메 (20)&lt;br&gt;넘버 (19)&lt;br&gt;테리 (12)&lt;br&gt;신형만 (26)</t>
  </si>
  <si>
    <t>ACDC (-13)&lt;br&gt;노인 (-15)&lt;br&gt;웅 (-)&lt;br&gt;깡패 (-15)</t>
  </si>
  <si>
    <t>G250813220220</t>
  </si>
  <si>
    <t>2025-08-13 22:02</t>
  </si>
  <si>
    <t>노인 (16)&lt;br&gt;테리 (12)&lt;br&gt;깡패 (20)&lt;br&gt;한메 (19)</t>
  </si>
  <si>
    <t>웅 (-)&lt;br&gt;신형만 (-13)&lt;br&gt;ACDC (-13)&lt;br&gt;넘버 (-15)</t>
  </si>
  <si>
    <t>G250813213249</t>
  </si>
  <si>
    <t>2025-08-13 21:32</t>
  </si>
  <si>
    <t>테리 (13)&lt;br&gt;넘버 (19)&lt;br&gt;한메 (21)&lt;br&gt;신형만 (27)</t>
  </si>
  <si>
    <t>ACDC (-15)&lt;br&gt;웅 (-)&lt;br&gt;노인 (-17)&lt;br&gt;깡패 (-17)</t>
  </si>
  <si>
    <t>G250811004331</t>
  </si>
  <si>
    <t>2025-08-11 00:43</t>
  </si>
  <si>
    <t>솔 (-)&lt;br&gt;테리 (15)&lt;br&gt;신형만 (31)&lt;br&gt;원 (16)</t>
  </si>
  <si>
    <t>ACDC (-14)&lt;br&gt;넘버 (-15)&lt;br&gt;한메 (-13)&lt;br&gt;깡패 (-15)</t>
  </si>
  <si>
    <t>신형만,원,깡패,넘버,솔</t>
  </si>
  <si>
    <t>G250811000955</t>
  </si>
  <si>
    <t>2025-08-11 00:10</t>
  </si>
  <si>
    <t>신형만 (33)&lt;br&gt;원 (18)&lt;br&gt;ACDC (25)&lt;br&gt;한메 (25)</t>
  </si>
  <si>
    <t>깡패 (-12)&lt;br&gt;솔 (-)&lt;br&gt;테리 (-13)&lt;br&gt;넘버 (-12)</t>
  </si>
  <si>
    <t>G250810232732</t>
  </si>
  <si>
    <t>2025-08-10 23:27</t>
  </si>
  <si>
    <t>ACDC (21)&lt;br&gt;테리 (13)&lt;br&gt;깡패 (19)&lt;br&gt;원 (14)</t>
  </si>
  <si>
    <t>넘버 (-17)&lt;br&gt;신형만 (-13)&lt;br&gt;한메 (-14)&lt;br&gt;솔 (-)</t>
  </si>
  <si>
    <t>G250810222923</t>
  </si>
  <si>
    <t>2025-08-10 22:29</t>
  </si>
  <si>
    <t>한메 (23)&lt;br&gt;원 (16)&lt;br&gt;테리 (14)&lt;br&gt;신형만 (31)</t>
  </si>
  <si>
    <t>터미 (-18)&lt;br&gt;짱구 (-)&lt;br&gt;ACDC (-17)&lt;br&gt;깡패 (-19)</t>
  </si>
  <si>
    <t>G250807002500</t>
  </si>
  <si>
    <t>2025-08-07 00:25</t>
  </si>
  <si>
    <t>기재(-)&lt;br&gt;짱구(-)&lt;br&gt;테리 (-)&lt;br&gt;한메 (-)</t>
  </si>
  <si>
    <t>ACDC(-)&lt;br&gt;노인(-)&lt;br&gt;깡패 (-)&lt;br&gt;신형만 (-)</t>
  </si>
  <si>
    <t>G250807002000</t>
  </si>
  <si>
    <t>2025-08-07 00:20</t>
  </si>
  <si>
    <t>넘버 (18)&lt;br&gt;테리 (14)&lt;br&gt;ACDC (22)&lt;br&gt;기재 (-)</t>
  </si>
  <si>
    <t>짱구 (-)&lt;br&gt;신형만 (-10)&lt;br&gt;한메 (-11)&lt;br&gt;깡패 (-12)</t>
  </si>
  <si>
    <t>G250806220304</t>
  </si>
  <si>
    <t>2025-08-06 22:03</t>
  </si>
  <si>
    <t>깡패 (21)&lt;br&gt;노인 (18)&lt;br&gt;테리 (16)&lt;br&gt;한메 (23)</t>
  </si>
  <si>
    <t>ACDC (-11)&lt;br&gt;참치 (-13)&lt;br&gt;넘버 (-13)&lt;br&gt;신형만 (-11)</t>
  </si>
  <si>
    <t>신형만,참치,넘버,깡패</t>
  </si>
  <si>
    <t>G250806210123</t>
  </si>
  <si>
    <t>2025-08-06 21:01</t>
  </si>
  <si>
    <t>노인 (19)&lt;br&gt;테리 (17)&lt;br&gt;ACDC (25)&lt;br&gt;참치 (20)</t>
  </si>
  <si>
    <t>한메 (-10)&lt;br&gt;넘버 (-12)&lt;br&gt;신형만 (-9)&lt;br&gt;깡패 (-11)</t>
  </si>
  <si>
    <t>G250806003849</t>
  </si>
  <si>
    <t>2025-08-06 00:38</t>
  </si>
  <si>
    <t>박서 (-)&lt;br&gt;짱구 (-)&lt;br&gt;넘버 (23)&lt;br&gt;한메 (26)</t>
  </si>
  <si>
    <t>테리 (-12)&lt;br&gt;깡패 (-12)&lt;br&gt;ACDC (-10)&lt;br&gt;원 (-13)</t>
  </si>
  <si>
    <t>깡패,원,넘버</t>
  </si>
  <si>
    <t>G250805234857</t>
  </si>
  <si>
    <t>2025-08-05 23:48</t>
  </si>
  <si>
    <t>박서 (-)&lt;br&gt;원 (15)&lt;br&gt;신형만 (25)&lt;br&gt;터미 (20)</t>
  </si>
  <si>
    <t>ACDC (-12)&lt;br&gt;넘버 (-14)&lt;br&gt;짱구 (-)&lt;br&gt;한메 (-12)</t>
  </si>
  <si>
    <t>넘버,원</t>
  </si>
  <si>
    <t>G250805232200</t>
  </si>
  <si>
    <t>2025-08-05 23:21</t>
  </si>
  <si>
    <t>넘버 (16)&lt;br&gt;짱구 (-)&lt;br&gt;터미 (18)&lt;br&gt;원 (13)</t>
  </si>
  <si>
    <t>한메 (-17)&lt;br&gt;박서 (-)&lt;br&gt;ACDC (-16)&lt;br&gt;신형만 (-15)</t>
  </si>
  <si>
    <t>G250805230716</t>
  </si>
  <si>
    <t>2025-08-05 23:07</t>
  </si>
  <si>
    <t>원 (18)&lt;br&gt;깡패 (21)&lt;br&gt;신형만 (26)&lt;br&gt;박서 (-)</t>
  </si>
  <si>
    <t>ACDC (-17)&lt;br&gt;넘버 (-20)&lt;br&gt;한메 (-18)&lt;br&gt;터미 (-18)</t>
  </si>
  <si>
    <t>깡패,넘버,원</t>
  </si>
  <si>
    <t>G250805224814</t>
  </si>
  <si>
    <t>2025-08-05 22:48</t>
  </si>
  <si>
    <t>신형만 (30)&lt;br&gt;박서 (-)&lt;br&gt;터미 (25)&lt;br&gt;한메 (26)</t>
  </si>
  <si>
    <t>웅 (-)&lt;br&gt;원 (-16)&lt;br&gt;ACDC (-13)&lt;br&gt;깡패 (-15)</t>
  </si>
  <si>
    <t>G250805220258</t>
  </si>
  <si>
    <t>2025-08-05 22:02</t>
  </si>
  <si>
    <t>ACDC (23)&lt;br&gt;깡패 (21)&lt;br&gt;테리 (17)&lt;br&gt;터미 (23)</t>
  </si>
  <si>
    <t>넘버 (-18)&lt;br&gt;노인 (-17)&lt;br&gt;한메 (-15)&lt;br&gt;신형만 (-14)</t>
  </si>
  <si>
    <t>G250805213357</t>
  </si>
  <si>
    <t>2025-08-05 21:33</t>
  </si>
  <si>
    <t>노인 (17)&lt;br&gt;넘버 (18)&lt;br&gt;터미 (22)&lt;br&gt;깡패 (20)</t>
  </si>
  <si>
    <t>신형만 (-10)&lt;br&gt;테리 (-13)&lt;br&gt;ACDC (-12)&lt;br&gt;한메 (-12)</t>
  </si>
  <si>
    <t>G250805205330</t>
  </si>
  <si>
    <t>2025-08-05 20:53</t>
  </si>
  <si>
    <t>한메 (21)&lt;br&gt;깡패 (20)&lt;br&gt;테리 (15)&lt;br&gt;넘버 (18)</t>
  </si>
  <si>
    <t>ACDC (-15)&lt;br&gt;노인 (-17)&lt;br&gt;신형만 (-13)&lt;br&gt;터미 (-15)</t>
  </si>
  <si>
    <t>G250805202928</t>
  </si>
  <si>
    <t>2025-08-05 20:29</t>
  </si>
  <si>
    <t>노인 (18)&lt;br&gt;테리 (17)&lt;br&gt;ACDC (23)&lt;br&gt;한메 (23)</t>
  </si>
  <si>
    <t>깡패 (-17)&lt;br&gt;넘버 (-18)&lt;br&gt;터미 (-15)&lt;br&gt;신형만 (-14)</t>
  </si>
  <si>
    <t>G250804235506</t>
  </si>
  <si>
    <t>2025-08-04 23:55</t>
  </si>
  <si>
    <t>원 (18)&lt;br&gt;넘버 (20)&lt;br&gt;깡패 (23)&lt;br&gt;한메 (24)</t>
  </si>
  <si>
    <t>테리 (-17)&lt;br&gt;노인 (-17)&lt;br&gt;신형만 (-14)&lt;br&gt;터미 (-15)</t>
  </si>
  <si>
    <t>넘버,깡패,원</t>
  </si>
  <si>
    <t>G250804232937</t>
  </si>
  <si>
    <t>2025-08-04 23:29</t>
  </si>
  <si>
    <t>노인 (17)&lt;br&gt;원 (17)&lt;br&gt;ACDC (22)&lt;br&gt;넘버 (19)</t>
  </si>
  <si>
    <t>한메 (-11)&lt;br&gt;깡패 (-13)&lt;br&gt;터미 (-12)&lt;br&gt;신형만 (-11)</t>
  </si>
  <si>
    <t>G250804225604</t>
  </si>
  <si>
    <t>2025-08-04 22:55</t>
  </si>
  <si>
    <t>원 (18)&lt;br&gt;노인 (18)&lt;br&gt;깡패 (21)&lt;br&gt;터미 (21)</t>
  </si>
  <si>
    <t>한메 (-13)&lt;br&gt;넘버 (-15)&lt;br&gt;ACDC (-13)&lt;br&gt;신형만 (-13)</t>
  </si>
  <si>
    <t>G250804222356</t>
  </si>
  <si>
    <t>2025-08-04 22:23</t>
  </si>
  <si>
    <t>ACDC (24)&lt;br&gt;테리 (17)&lt;br&gt;터미 (23)&lt;br&gt;깡패 (24)</t>
  </si>
  <si>
    <t>노인 (-11)&lt;br&gt;원 (-12)&lt;br&gt;신형만 (-10)&lt;br&gt;한메 (-10)</t>
  </si>
  <si>
    <t>G250804213605</t>
  </si>
  <si>
    <t>2025-08-04 21:36</t>
  </si>
  <si>
    <t>테리 (17)&lt;br&gt;깡패 (23)&lt;br&gt;한메 (23)&lt;br&gt;원 (18)</t>
  </si>
  <si>
    <t>신형만 (-16)&lt;br&gt;노인 (-19)&lt;br&gt;ACDC (-16)&lt;br&gt;터미 (-17)</t>
  </si>
  <si>
    <t>G250804211655</t>
  </si>
  <si>
    <t>2025-08-04 21:16</t>
  </si>
  <si>
    <t>ACDC (25)&lt;br&gt;테리 (19)&lt;br&gt;노인 (19)&lt;br&gt;한메 (25)</t>
  </si>
  <si>
    <t>깡패 (-19)&lt;br&gt;원 (-21)&lt;br&gt;터미 (-18)&lt;br&gt;신형만 (-17)</t>
  </si>
  <si>
    <t>G250804205939</t>
  </si>
  <si>
    <t>2025-08-04 20:59</t>
  </si>
  <si>
    <t>테리 (18)&lt;br&gt;깡패 (24)&lt;br&gt;ACDC (24)&lt;br&gt;원 (18)</t>
  </si>
  <si>
    <t>한메 (-16)&lt;br&gt;노인 (-19)&lt;br&gt;신형만 (-17)&lt;br&gt;터미 (-18)</t>
  </si>
  <si>
    <t>G250804001812</t>
  </si>
  <si>
    <t>2025-08-04 00:18</t>
  </si>
  <si>
    <t>원 (18)&lt;br&gt;참치 (19)&lt;br&gt;넘버 (19)&lt;br&gt;솔 (-)</t>
  </si>
  <si>
    <t>ACDC (-14)&lt;br&gt;노인 (-17)&lt;br&gt;신형만 (-15)&lt;br&gt;한메 (-15)</t>
  </si>
  <si>
    <t>솔,참치,원,넘버</t>
  </si>
  <si>
    <t>G250803235021</t>
  </si>
  <si>
    <t>2025-08-03 23:50</t>
  </si>
  <si>
    <t>신형만 (21)&lt;br&gt;원 (18)&lt;br&gt;노인 (16)&lt;br&gt;참치 (19)</t>
  </si>
  <si>
    <t>한메 (-15)&lt;br&gt;솔 (-)&lt;br&gt;ACDC (-14)&lt;br&gt;넘버 (-17)</t>
  </si>
  <si>
    <t>G250803233419</t>
  </si>
  <si>
    <t>2025-08-03 23:34</t>
  </si>
  <si>
    <t>ACDC (23)&lt;br&gt;노인 (17)&lt;br&gt;넘버 (19)&lt;br&gt;원 (20)</t>
  </si>
  <si>
    <t>솔 (-)&lt;br&gt;참치 (-13)&lt;br&gt;한메 (-12)&lt;br&gt;신형만 (-12)</t>
  </si>
  <si>
    <t>G250803230441</t>
  </si>
  <si>
    <t>2025-08-03 23:04</t>
  </si>
  <si>
    <t>원 (328)&lt;br&gt;솔 (-)&lt;br&gt;ACDC (26)&lt;br&gt;참치 (22)</t>
  </si>
  <si>
    <t>신형만 (-17)&lt;br&gt;노인 (-18)&lt;br&gt;한메 (-16)&lt;br&gt;넘버 (-18)</t>
  </si>
  <si>
    <t>G250803224201</t>
  </si>
  <si>
    <t>2025-08-03 22:41</t>
  </si>
  <si>
    <t>솔 (-)&lt;br&gt;참치 (22)&lt;br&gt;테리 (19)&lt;br&gt;한메 (22)</t>
  </si>
  <si>
    <t>ACDC (-12)&lt;br&gt;원 (-)&lt;br&gt;노인 (-14)&lt;br&gt;신형만 (-13)</t>
  </si>
  <si>
    <t>솔,참치,원</t>
  </si>
  <si>
    <t>G250802032211</t>
  </si>
  <si>
    <t>2025-08-02 03:22</t>
  </si>
  <si>
    <t>참치 (24)&lt;br&gt;테리 (21)&lt;br&gt;ACDC (26)&lt;br&gt;신형만 (22)</t>
  </si>
  <si>
    <t>넘버 (-14)&lt;br&gt;노인 (-14)&lt;br&gt;원 (-)&lt;br&gt;솔 (-)</t>
  </si>
  <si>
    <t>넘버,참치,솔,원</t>
  </si>
  <si>
    <t>G250802021123</t>
  </si>
  <si>
    <t>2025-08-02 02:11</t>
  </si>
  <si>
    <t>테리 (22)&lt;br&gt;솔 (-)&lt;br&gt;신형만 (24)&lt;br&gt;원 (-)</t>
  </si>
  <si>
    <t>ACDC (-10)&lt;br&gt;참치 (-12)&lt;br&gt;노인 (-12)&lt;br&gt;넘버 (-13)</t>
  </si>
  <si>
    <t>G250802012214</t>
  </si>
  <si>
    <t>2025-08-02 01:22</t>
  </si>
  <si>
    <t>노인 (15)&lt;br&gt;원 (-)&lt;br&gt;참치 (21)&lt;br&gt;신형만 (22)</t>
  </si>
  <si>
    <t>넘버 (-14)&lt;br&gt;테리 (-13)&lt;br&gt;ACDC (-11)&lt;br&gt;솔 (-)</t>
  </si>
  <si>
    <t>G250802004750</t>
  </si>
  <si>
    <t>2025-08-02 00:47</t>
  </si>
  <si>
    <t>ACDC (25)&lt;br&gt;노인 (17)&lt;br&gt;테리 (21)&lt;br&gt;원 (-)</t>
  </si>
  <si>
    <t>참치 (-15)&lt;br&gt;솔 (-)&lt;br&gt;신형만 (-14)&lt;br&gt;넘버 (-17)</t>
  </si>
  <si>
    <t>G250802002025</t>
  </si>
  <si>
    <t>2025-08-02 00:20</t>
  </si>
  <si>
    <t>노인 (15)&lt;br&gt;넘버 (15)&lt;br&gt;원 (-)&lt;br&gt;신형만 (20)</t>
  </si>
  <si>
    <t>솔 (-)&lt;br&gt;테리 (-14)&lt;br&gt;ACDC (-12)&lt;br&gt;참치 (288)</t>
  </si>
  <si>
    <t>G250801234940</t>
  </si>
  <si>
    <t>2025-08-01 23:49</t>
  </si>
  <si>
    <t>ACDC (25)&lt;br&gt;원 (-)&lt;br&gt;터미 (20)&lt;br&gt;참치 (-)</t>
  </si>
  <si>
    <t>테리 (-12)&lt;br&gt;솔 (-)&lt;br&gt;노인 (-12)&lt;br&gt;신형만 (-11)</t>
  </si>
  <si>
    <t>참치,솔,신형만,원</t>
  </si>
  <si>
    <t>G250801230232</t>
  </si>
  <si>
    <t>2025-08-01 23:02</t>
  </si>
  <si>
    <t>테리 (17)&lt;br&gt;노인 (14)&lt;br&gt;원 (-)&lt;br&gt;터미 (18)</t>
  </si>
  <si>
    <t>ACDC (-11)&lt;br&gt;참치 (-)&lt;br&gt;솔 (-)&lt;br&gt;신형만 (-12)</t>
  </si>
  <si>
    <t>G250731230958</t>
  </si>
  <si>
    <t>2025-07-31 23:09</t>
  </si>
  <si>
    <t>원 (-)&lt;br&gt;참치 (-)&lt;br&gt;테리 (19)&lt;br&gt;넘버 (17)</t>
  </si>
  <si>
    <t>깡패 (-18)&lt;br&gt;ACDC (-16)&lt;br&gt;한메 (-17)&lt;br&gt;신형만 (-17)</t>
  </si>
  <si>
    <t>ACDC,원,깡패,참치,넘버</t>
  </si>
  <si>
    <t>G250731230359</t>
  </si>
  <si>
    <t>2025-07-31 23:03</t>
  </si>
  <si>
    <t>넘버 (17)&lt;br&gt;깡패 (21)&lt;br&gt;참치 (-)&lt;br&gt;신형만 (20)</t>
  </si>
  <si>
    <t>한메 (-12)&lt;br&gt;테리 (-12)&lt;br&gt;원 (-)&lt;br&gt;ACDC (-11)</t>
  </si>
  <si>
    <t>G250731220442</t>
  </si>
  <si>
    <t>2025-07-31 22:04</t>
  </si>
  <si>
    <t>참치 (-)&lt;br&gt;원 (-)&lt;br&gt;신형만 (24)&lt;br&gt;한메 (22)</t>
  </si>
  <si>
    <t>테리 (-17)&lt;br&gt;ACDC (-16)&lt;br&gt;깡패 (-17)&lt;br&gt;넘버 (-19)</t>
  </si>
  <si>
    <t>G250731212519</t>
  </si>
  <si>
    <t>2025-07-31 21:25</t>
  </si>
  <si>
    <t>ACDC (26)&lt;br&gt;넘버 (16)&lt;br&gt;참치 (-)&lt;br&gt;깡패 (21)</t>
  </si>
  <si>
    <t>유즈 (-)&lt;br&gt;테리 (-15)&lt;br&gt;신형만 (-14)&lt;br&gt;규식 (-)</t>
  </si>
  <si>
    <t>ACDC,깡패,참치,넘버</t>
  </si>
  <si>
    <t>G250731204648</t>
  </si>
  <si>
    <t>2025-07-31 20:46</t>
  </si>
  <si>
    <t>깡패 (24)&lt;br&gt;참치 (-)&lt;br&gt;테리 (18)&lt;br&gt;규식 (-)</t>
  </si>
  <si>
    <t>신형만 (-18)&lt;br&gt;유즈 (-)&lt;br&gt;ACDC (-18)&lt;br&gt;넘버 (-21)</t>
  </si>
  <si>
    <t>G250731203107</t>
  </si>
  <si>
    <t>2025-07-31 20:31</t>
  </si>
  <si>
    <t>유즈 (-)&lt;br&gt;참치 (-)&lt;br&gt;넘버 (18)&lt;br&gt;규식 (-)</t>
  </si>
  <si>
    <t>테리 (-19)&lt;br&gt;깡패 (-19)&lt;br&gt;ACDC (-18)&lt;br&gt;신형만 (-18)</t>
  </si>
  <si>
    <t>G250730221225</t>
  </si>
  <si>
    <t>2025-07-30 22:12</t>
  </si>
  <si>
    <t>신형만 (24)&lt;br&gt;테리 (22)&lt;br&gt;터미 (24)&lt;br&gt;한메 (24)</t>
  </si>
  <si>
    <t>노인 (-16)&lt;br&gt;깡패 (-15)&lt;br&gt;ACDC (-14)&lt;br&gt;넘버 (-17)</t>
  </si>
  <si>
    <t>넘버,깡패</t>
  </si>
  <si>
    <t>G250730214054</t>
  </si>
  <si>
    <t>2025-07-30 21:40</t>
  </si>
  <si>
    <t>넘버 (19)&lt;br&gt;노인 (17)&lt;br&gt;터미 (22)&lt;br&gt;한메 (22)</t>
  </si>
  <si>
    <t>ACDC (-17)&lt;br&gt;테리 (-18)&lt;br&gt;신형만 (-17)&lt;br&gt;깡패 (-18)</t>
  </si>
  <si>
    <t>G250730211847</t>
  </si>
  <si>
    <t>2025-07-30 21:18</t>
  </si>
  <si>
    <t>넘버 (21)&lt;br&gt;깡패 (240)&lt;br&gt;ACDC (24)&lt;br&gt;터미 (24)</t>
  </si>
  <si>
    <t>노인 (-14)&lt;br&gt;테리 (-13)&lt;br&gt;신형만 (-12)&lt;br&gt;한메 (-12)</t>
  </si>
  <si>
    <t>G250730204852</t>
  </si>
  <si>
    <t>2025-07-30 20:48</t>
  </si>
  <si>
    <t>ACDC (132)&lt;br&gt;노인 (17)&lt;br&gt;한메 (22)&lt;br&gt;넘버 (336)</t>
  </si>
  <si>
    <t>터미 (120)&lt;br&gt;깡패 (-)&lt;br&gt;테리 (-11)&lt;br&gt;신형만 (-11)</t>
  </si>
  <si>
    <t>G250730001001</t>
  </si>
  <si>
    <t>2025-07-30 00:09</t>
  </si>
  <si>
    <t>참치 (-)&lt;br&gt;넘버 (-)&lt;br&gt;짱구 (-)&lt;br&gt;신형만 (21)</t>
  </si>
  <si>
    <t>깡패 (-)&lt;br&gt;테리 (-20)&lt;br&gt;터미 (-)&lt;br&gt;ACDC (-)</t>
  </si>
  <si>
    <t>ACDC,참치,넘버,깡패</t>
  </si>
  <si>
    <t>G250729234944</t>
  </si>
  <si>
    <t>2025-07-29 23:49</t>
  </si>
  <si>
    <t>넘버 (-)&lt;br&gt;테리 (16)&lt;br&gt;짱구 (-)&lt;br&gt;ACDC (-)</t>
  </si>
  <si>
    <t>터미 (-)&lt;br&gt;깡패 (-)&lt;br&gt;참치 (-)&lt;br&gt;신형만 (-13)</t>
  </si>
  <si>
    <t>G250728231834</t>
  </si>
  <si>
    <t>2025-07-28 23:18</t>
  </si>
  <si>
    <t>ACDC (-)&lt;br&gt;노인 (17)&lt;br&gt;터미 (-)&lt;br&gt;신형만 (21)</t>
  </si>
  <si>
    <t>테리 (-12)&lt;br&gt;깡패 (-)&lt;br&gt;짱구 (-)&lt;br&gt;한메 (-11)</t>
  </si>
  <si>
    <t>G250728222240</t>
  </si>
  <si>
    <t>2025-07-28 22:22</t>
  </si>
  <si>
    <t>노인 (16)&lt;br&gt;깡패 (-)&lt;br&gt;넘버 (-)&lt;br&gt;신형만 (21)</t>
  </si>
  <si>
    <t>ACDC (-)&lt;br&gt;테리 (-12)&lt;br&gt;터미 (-)&lt;br&gt;한메 (-10)</t>
  </si>
  <si>
    <t>G250728213534</t>
  </si>
  <si>
    <t>2025-07-28 21:35</t>
  </si>
  <si>
    <t>노인 (16)&lt;br&gt;테리 (15)&lt;br&gt;넘버 (-)&lt;br&gt;터미 (-)</t>
  </si>
  <si>
    <t>한메 (-12)&lt;br&gt;ACDC (-)&lt;br&gt;신형만 (-12)&lt;br&gt;깡패 (-)</t>
  </si>
  <si>
    <t>G250728205512</t>
  </si>
  <si>
    <t>2025-07-28 20:55</t>
  </si>
  <si>
    <t>깡패 (-)&lt;br&gt;노인 (19)&lt;br&gt;ACDC (-)&lt;br&gt;터미 (-)</t>
  </si>
  <si>
    <t>한메 (-15)&lt;br&gt;넘버 (-)&lt;br&gt;테리 (-16)&lt;br&gt;신형만 (-15)</t>
  </si>
  <si>
    <t>G250728202139</t>
  </si>
  <si>
    <t>2025-07-28 20:21</t>
  </si>
  <si>
    <t>깡패 (-)&lt;br&gt;노인 (248)&lt;br&gt;테리 (15)&lt;br&gt;한메 (19)</t>
  </si>
  <si>
    <t>터미 (-)&lt;br&gt;ACDC (-)&lt;br&gt;신형만 (-18)&lt;br&gt;넘버 (-)</t>
  </si>
  <si>
    <t>G250728001353</t>
  </si>
  <si>
    <t>2025-07-28 00:13</t>
  </si>
  <si>
    <t>짱구 (-)&lt;br&gt;원 (-)&lt;br&gt;테리 (15)&lt;br&gt;넘버 (-)</t>
  </si>
  <si>
    <t>솔 (-)&lt;br&gt;노인 (-)&lt;br&gt;참치 (-)&lt;br&gt;신형만 (-13)</t>
  </si>
  <si>
    <t>G250727234339</t>
  </si>
  <si>
    <t>2025-07-27 23:43</t>
  </si>
  <si>
    <t>테리 (14)&lt;br&gt;노인 (-)&lt;br&gt;신형만 (200)&lt;br&gt;원 (-)</t>
  </si>
  <si>
    <t>솔 (-)&lt;br&gt;짱구 (-)&lt;br&gt;넘버 (-)&lt;br&gt;참치 (-)</t>
  </si>
  <si>
    <t>G250727231333</t>
  </si>
  <si>
    <t>2025-07-27 23:13</t>
  </si>
  <si>
    <t>노인 (-)&lt;br&gt;짱구 (-)&lt;br&gt;넘버 (-)&lt;br&gt;신형만 (-)</t>
  </si>
  <si>
    <t>한메 (-13)&lt;br&gt;솔 (-)&lt;br&gt;원 (-)&lt;br&gt;참치 (-)</t>
  </si>
  <si>
    <t>G250727224137</t>
  </si>
  <si>
    <t>2025-07-27 22:41</t>
  </si>
  <si>
    <t>테리 (264)&lt;br&gt;노인 (-)&lt;br&gt;원 (-)&lt;br&gt;솔 (-)</t>
  </si>
  <si>
    <t>신형만 (-)&lt;br&gt;참치 (-)&lt;br&gt;한메 (180)&lt;br&gt;넘버 (-)</t>
  </si>
  <si>
    <t>테리,솔,참치,원,넘버</t>
  </si>
  <si>
    <t>G250723225758</t>
  </si>
  <si>
    <t>2025-07-23 22:57</t>
  </si>
  <si>
    <t>테리 (-)&lt;br&gt;짱구 (-)&lt;br&gt;참치 (-)&lt;br&gt;오크 (-)</t>
  </si>
  <si>
    <t>노인,참치</t>
  </si>
  <si>
    <t>G250723220950</t>
  </si>
  <si>
    <t>2025-07-23 22:09</t>
  </si>
  <si>
    <t>테리 (-)&lt;br&gt;넘버 (-)&lt;br&gt;한메 (-)&lt;br&gt;신형만 (-)</t>
  </si>
  <si>
    <t>참치 (-)&lt;br&gt;ACDC (-)&lt;br&gt;짱구 (-)&lt;br&gt;노인 (-)</t>
  </si>
  <si>
    <t>노인,넘버,참치</t>
  </si>
  <si>
    <t>G250723220547</t>
  </si>
  <si>
    <t>2025-07-23 22:05</t>
  </si>
  <si>
    <t>테리 (-)&lt;br&gt;짱구 (-)&lt;br&gt;참치 (-)&lt;br&gt;한메 (-)</t>
  </si>
  <si>
    <t>신형만 (-)&lt;br&gt;ACDC (-)&lt;br&gt;넘버 (-)&lt;br&gt;노인 (-)</t>
  </si>
  <si>
    <t>G250720205705</t>
  </si>
  <si>
    <t>2025-07-20 20:57</t>
  </si>
  <si>
    <t>오크 (-)&lt;br&gt;테리 (-)&lt;br&gt;참치 (-)&lt;br&gt;신형만 (-)</t>
  </si>
  <si>
    <t>ACDC (-)&lt;br&gt;노인 (-)&lt;br&gt;한메 (-)&lt;br&gt;원 (-)</t>
  </si>
  <si>
    <t>원,ACDC,노인,참치</t>
  </si>
  <si>
    <t>G250718010647</t>
  </si>
  <si>
    <t>2025-07-18 01:06</t>
  </si>
  <si>
    <t>테리 (-)&lt;br&gt;넘버 (-)&lt;br&gt;한메 (-)&lt;br&gt;깡패 (-)</t>
  </si>
  <si>
    <t>터미 (-)&lt;br&gt;박서 (-)&lt;br&gt;ACDC (-)&lt;br&gt;신형만 (-)</t>
  </si>
  <si>
    <t>ACDC,넘버,깡패,신형만</t>
  </si>
  <si>
    <t>G250718002713</t>
  </si>
  <si>
    <t>2025-07-18 00:27</t>
  </si>
  <si>
    <t>터미 (-)&lt;br&gt;테리 (-)&lt;br&gt;넘버 (-)&lt;br&gt;박서 (-)</t>
  </si>
  <si>
    <t>한메 (-)&lt;br&gt;신형만 (-)&lt;br&gt;깡패 (-)&lt;br&gt;만두 (-)</t>
  </si>
  <si>
    <t>G250718000304</t>
  </si>
  <si>
    <t>2025-07-18 00:03</t>
  </si>
  <si>
    <t>터미 (-)&lt;br&gt;박서 (-)&lt;br&gt;깡패 (-)&lt;br&gt;한메 (-)</t>
  </si>
  <si>
    <t>만두 (-)&lt;br&gt;테리 (-)&lt;br&gt;신형만 (-)&lt;br&gt;넘버 (-)</t>
  </si>
  <si>
    <t>G250717233148</t>
  </si>
  <si>
    <t>2025-07-17 23:31</t>
  </si>
  <si>
    <t>한메 (-)&lt;br&gt;넘버 (-)&lt;br&gt;테리 (-)&lt;br&gt;박서 (-)</t>
  </si>
  <si>
    <t>터미 (-)&lt;br&gt;깡패 (-)&lt;br&gt;만두 (-)&lt;br&gt;신형만 (-)</t>
  </si>
  <si>
    <t>G250717224955</t>
  </si>
  <si>
    <t>2025-07-17 22:49</t>
  </si>
  <si>
    <t>깡패 (-)&lt;br&gt;테리 (-)&lt;br&gt;만두 (-)&lt;br&gt;노인 (-)</t>
  </si>
  <si>
    <t>한메 (-)&lt;br&gt;박서 (-)&lt;br&gt;터미 (-)&lt;br&gt;신형만 (-)</t>
  </si>
  <si>
    <t>노인,깡패,신형만</t>
  </si>
  <si>
    <t>G250717220658</t>
  </si>
  <si>
    <t>2025-07-17 22:06</t>
  </si>
  <si>
    <t>한메 (-)&lt;br&gt;노인 (-)&lt;br&gt;신형만 (-)&lt;br&gt;넘버 (-)</t>
  </si>
  <si>
    <t>깡패 (-)&lt;br&gt;테리 (-)&lt;br&gt;터미 (-)&lt;br&gt;원 (-)</t>
  </si>
  <si>
    <t>노인,깡패,신형만,넘버</t>
  </si>
  <si>
    <t>G250717211806</t>
  </si>
  <si>
    <t>2025-07-17 21:18</t>
  </si>
  <si>
    <t>깡패 (-)&lt;br&gt;넘버 (-)&lt;br&gt;원 (-)&lt;br&gt;한메 (-)</t>
  </si>
  <si>
    <t>유즈 (-)&lt;br&gt;테리 (-)&lt;br&gt;노인 (-)&lt;br&gt;터미 (-)</t>
  </si>
  <si>
    <t>노인,깡패,넘버</t>
  </si>
  <si>
    <t>G250717204700</t>
  </si>
  <si>
    <t>2025-07-17 20:46</t>
  </si>
  <si>
    <t>원 (-)&lt;br&gt;넘버 (-)&lt;br&gt;노인 (-)&lt;br&gt;터미 (-)</t>
  </si>
  <si>
    <t>테리 (-)&lt;br&gt;유즈 (-)&lt;br&gt;한메 (-)&lt;br&gt;깡패 (-)</t>
  </si>
  <si>
    <t>G250717001218</t>
  </si>
  <si>
    <t>2025-07-17 00:12</t>
  </si>
  <si>
    <t>노인 (-)&lt;br&gt;테리 (-)&lt;br&gt;유즈 (-)&lt;br&gt;깡패 (-)</t>
  </si>
  <si>
    <t>한메 (-)&lt;br&gt;신형만 (-)&lt;br&gt;ACDC (-)&lt;br&gt;박서 (-)</t>
  </si>
  <si>
    <t>신형만,깡패,노인,ACDC</t>
  </si>
  <si>
    <t>G250716232827</t>
  </si>
  <si>
    <t>2025-07-16 23:28</t>
  </si>
  <si>
    <t>재우 (-)&lt;br&gt;유즈 (-)&lt;br&gt;깡패 (-)&lt;br&gt;신형만 (-)</t>
  </si>
  <si>
    <t>한메 (-)&lt;br&gt;ACDC (-)&lt;br&gt;테리 (-)&lt;br&gt;노인 (-)</t>
  </si>
  <si>
    <t>신형만,깡패,노인,ACDC,재우</t>
  </si>
  <si>
    <t>G250716225110</t>
  </si>
  <si>
    <t>2025-07-16 22:51</t>
  </si>
  <si>
    <t>재우 (-)&lt;br&gt;노인 (-)&lt;br&gt;테리 (-)&lt;br&gt;신형만 (-)</t>
  </si>
  <si>
    <t>ACDC (-)&lt;br&gt;유즈 (-)&lt;br&gt;깡패 (-)&lt;br&gt;한메 (-)</t>
  </si>
  <si>
    <t>G250715003052</t>
  </si>
  <si>
    <t>2025-07-15 00:30</t>
  </si>
  <si>
    <t>신형만 (-)&lt;br&gt;재우 (-)&lt;br&gt;노인 (-)&lt;br&gt;한메 (-)</t>
  </si>
  <si>
    <t>테리 (-)&lt;br&gt;터미 (-)&lt;br&gt;오크 (-)&lt;br&gt;ACDC (-)</t>
  </si>
  <si>
    <t>G250715002739</t>
  </si>
  <si>
    <t>2025-07-15 00:27</t>
  </si>
  <si>
    <t>신형만 (-)&lt;br&gt;재우 (-)&lt;br&gt;테리 (-)&lt;br&gt;오크 (-)</t>
  </si>
  <si>
    <t>노인 (-)&lt;br&gt;ACDC (-)&lt;br&gt;한메 (-)&lt;br&gt;터미 (-)</t>
  </si>
  <si>
    <t>G250715002614</t>
  </si>
  <si>
    <t>2025-07-15 00:26</t>
  </si>
  <si>
    <t>재우 (-)&lt;br&gt;노인 (-)&lt;br&gt;ACDC (-)&lt;br&gt;오크 (-)</t>
  </si>
  <si>
    <t>한메 (-)&lt;br&gt;테리 (-)&lt;br&gt;터미 (-)&lt;br&gt;신형만 (-)</t>
  </si>
  <si>
    <t>G250714234804</t>
  </si>
  <si>
    <t>2025-07-14 23:48</t>
  </si>
  <si>
    <t>ACDC (-)&lt;br&gt;테리 (-)&lt;br&gt;한메 (-)&lt;br&gt;재우 (-)</t>
  </si>
  <si>
    <t>노인 (-)&lt;br&gt;터미 (-)&lt;br&gt;신형만 (-)&lt;br&gt;오크 (-)</t>
  </si>
  <si>
    <t>G250710005035</t>
  </si>
  <si>
    <t>2025-07-10 00:50</t>
  </si>
  <si>
    <t>테리 (-)&lt;br&gt;노인 (21)&lt;br&gt;솔 (25)&lt;br&gt;참치 (22)</t>
  </si>
  <si>
    <t>원 (-15)&lt;br&gt;신형만 (-12)&lt;br&gt;한메 (-11)&lt;br&gt;깡패 (-12)</t>
  </si>
  <si>
    <t>시즌11</t>
  </si>
  <si>
    <t>G250710004800</t>
  </si>
  <si>
    <t>2025-07-10 00:47</t>
  </si>
  <si>
    <t>참치 (22)&lt;br&gt;노인 (21)&lt;br&gt;원 (13)&lt;br&gt;깡패 (25)</t>
  </si>
  <si>
    <t>한메 (-12)&lt;br&gt;솔 (-14)&lt;br&gt;테리 (-)&lt;br&gt;신형만 (-14)</t>
  </si>
  <si>
    <t>G250710004513</t>
  </si>
  <si>
    <t>2025-07-10 00:45</t>
  </si>
  <si>
    <t>노인 (22)&lt;br&gt;테리 (-)&lt;br&gt;신형만 (25)&lt;br&gt;원 (13)</t>
  </si>
  <si>
    <t>솔 (-14)&lt;br&gt;참치 (-15)&lt;br&gt;한메 (-12)&lt;br&gt;깡패 (-14)</t>
  </si>
  <si>
    <t>G250710004059</t>
  </si>
  <si>
    <t>2025-07-10 00:40</t>
  </si>
  <si>
    <t>테리 (-)&lt;br&gt;솔 (24)&lt;br&gt;원 (14)&lt;br&gt;한메 (26)</t>
  </si>
  <si>
    <t>노인 (-14)&lt;br&gt;참치 (-15)&lt;br&gt;신형만 (-14)&lt;br&gt;깡패 (-14)</t>
  </si>
  <si>
    <t>G250710001445</t>
  </si>
  <si>
    <t>2025-07-10 00:14</t>
  </si>
  <si>
    <t>원 (13)&lt;br&gt;참치 (21)&lt;br&gt;테리 (-)&lt;br&gt;깡패 (24)</t>
  </si>
  <si>
    <t>노인 (-12)&lt;br&gt;솔 (-12)&lt;br&gt;한메 (-10)&lt;br&gt;신형만 (-12)</t>
  </si>
  <si>
    <t>G250709230807</t>
  </si>
  <si>
    <t>2025-07-09 23:08</t>
  </si>
  <si>
    <t>노인 (22)&lt;br&gt;솔 (20)&lt;br&gt;테리 (-)&lt;br&gt;원 (-)</t>
  </si>
  <si>
    <t>한메 (-12)&lt;br&gt;깡패 (-14)&lt;br&gt;참치 (-15)&lt;br&gt;신형만 (-14)</t>
  </si>
  <si>
    <t>G250709000044</t>
  </si>
  <si>
    <t>2025-07-09 00:00</t>
  </si>
  <si>
    <t>솔 (28)&lt;br&gt;노인 (25)&lt;br&gt;한메 (28)&lt;br&gt;참치 (25)</t>
  </si>
  <si>
    <t>신형만 (-13)&lt;br&gt;원 (-15)&lt;br&gt;테리 (-13)&lt;br&gt;깡패 (-13)</t>
  </si>
  <si>
    <t>G250708235917</t>
  </si>
  <si>
    <t>2025-07-08 23:59</t>
  </si>
  <si>
    <t>테리 (22)&lt;br&gt;깡패 (25)&lt;br&gt;솔 (27)&lt;br&gt;참치 (24)</t>
  </si>
  <si>
    <t>한메 (-11)&lt;br&gt;노인 (-12)&lt;br&gt;원 (-15)&lt;br&gt;신형만 (-13)</t>
  </si>
  <si>
    <t>G250708232422</t>
  </si>
  <si>
    <t>2025-07-08 23:24</t>
  </si>
  <si>
    <t>신형만 (26)&lt;br&gt;테리 (24)&lt;br&gt;노인 (25)&lt;br&gt;한메 (29)</t>
  </si>
  <si>
    <t>원 (-20)&lt;br&gt;솔 (-17)&lt;br&gt;깡패 (-17)&lt;br&gt;참치 (-18)</t>
  </si>
  <si>
    <t>G250708222654</t>
  </si>
  <si>
    <t>2025-07-08 22:26</t>
  </si>
  <si>
    <t>노인 (24)&lt;br&gt;원 (17)&lt;br&gt;한메 (28)&lt;br&gt;신형만 (25)</t>
  </si>
  <si>
    <t>깡패 (-15)&lt;br&gt;테리 (-14)&lt;br&gt;참치 (-15)&lt;br&gt;솔 (-15)</t>
  </si>
  <si>
    <t>G250708214650</t>
  </si>
  <si>
    <t>2025-07-08 21:46</t>
  </si>
  <si>
    <t>참치 (22)&lt;br&gt;원 (16)&lt;br&gt;솔 (26)&lt;br&gt;한메 (28)</t>
  </si>
  <si>
    <t>테리 (-16)&lt;br&gt;노인 (-15)&lt;br&gt;신형만 (-17)&lt;br&gt;깡패 (-17)</t>
  </si>
  <si>
    <t>G250703212324</t>
  </si>
  <si>
    <t>2025-07-03 21:23</t>
  </si>
  <si>
    <t>넘버 (19)&lt;br&gt;짱구 (20)&lt;br&gt;유즈 (-)&lt;br&gt;신형만 (19)</t>
  </si>
  <si>
    <t>테리 (-14)&lt;br&gt;노인 (-13)&lt;br&gt;qwer (-)&lt;br&gt;터미 (-)</t>
  </si>
  <si>
    <t>G250703203856</t>
  </si>
  <si>
    <t>2025-07-03 20:38</t>
  </si>
  <si>
    <t>신형만 (17)&lt;br&gt;짱구 (18)&lt;br&gt;테리 (14)&lt;br&gt;터미 (-)</t>
  </si>
  <si>
    <t>강화 (-)&lt;br&gt;노인 (-17)&lt;br&gt;유즈 (-)&lt;br&gt;넘버 (-18)</t>
  </si>
  <si>
    <t>G250702220435</t>
  </si>
  <si>
    <t>2025-07-02 22:04</t>
  </si>
  <si>
    <t>넘버 (23)&lt;br&gt;노인 (22)&lt;br&gt;유즈 (-)&lt;br&gt;솔 (25)</t>
  </si>
  <si>
    <t>깡패 (-12)&lt;br&gt;테리 (-12)&lt;br&gt;한메 (-10)&lt;br&gt;신형만 (-12)</t>
  </si>
  <si>
    <t>G250702220245</t>
  </si>
  <si>
    <t>2025-07-02 22:02</t>
  </si>
  <si>
    <t>깡패 (21)&lt;br&gt;솔 (25)&lt;br&gt;테리 (19)&lt;br&gt;규식 (-)</t>
  </si>
  <si>
    <t>신형만 (-18)&lt;br&gt;노인 (-17)&lt;br&gt;넘버 (-18)&lt;br&gt;한메 (-15)</t>
  </si>
  <si>
    <t>G250702204153</t>
  </si>
  <si>
    <t>2025-07-02 20:41</t>
  </si>
  <si>
    <t>노인 (17)&lt;br&gt;테리 (16)&lt;br&gt;넘버 (18)&lt;br&gt;깡패 (17)</t>
  </si>
  <si>
    <t>유즈 (-)&lt;br&gt;신형만 (-13)&lt;br&gt;한메 (-11)&lt;br&gt;솔 (-12)</t>
  </si>
  <si>
    <t>G250627001333</t>
  </si>
  <si>
    <t>2025-06-27 00:13</t>
  </si>
  <si>
    <t>신형만 (26)&lt;br&gt;테리 (24)&lt;br&gt;넘버 (28)&lt;br&gt;한메 (29)</t>
  </si>
  <si>
    <t>원 (-20)&lt;br&gt;노인 (-16)&lt;br&gt;솔 (-16)&lt;br&gt;참치 (-18)</t>
  </si>
  <si>
    <t>G250626235129</t>
  </si>
  <si>
    <t>2025-06-26 23:51</t>
  </si>
  <si>
    <t>원 (14)&lt;br&gt;신형만 (23)&lt;br&gt;넘버 (24)&lt;br&gt;솔 (21)</t>
  </si>
  <si>
    <t>한메 (-12)&lt;br&gt;노인 (-14)&lt;br&gt;테리 (-14)&lt;br&gt;참치 (-15)</t>
  </si>
  <si>
    <t>G250626232440</t>
  </si>
  <si>
    <t>2025-06-26 23:24</t>
  </si>
  <si>
    <t>원 (16)&lt;br&gt;참치 (22)&lt;br&gt;한메 (28)&lt;br&gt;솔 (23)</t>
  </si>
  <si>
    <t>노인 (-11)&lt;br&gt;넘버 (-11)&lt;br&gt;신형만 (-11)&lt;br&gt;깡패 (-11)</t>
  </si>
  <si>
    <t>G250626223816</t>
  </si>
  <si>
    <t>2025-06-26 22:38</t>
  </si>
  <si>
    <t>신형만 (29)&lt;br&gt;테리 (25)&lt;br&gt;솔 (27)&lt;br&gt;한메 (31)</t>
  </si>
  <si>
    <t>원 (-23)&lt;br&gt;참치 (-21)&lt;br&gt;깡패 (-20)&lt;br&gt;노인 (-20)</t>
  </si>
  <si>
    <t>G250626220820</t>
  </si>
  <si>
    <t>2025-06-26 22:08</t>
  </si>
  <si>
    <t>솔 (29)&lt;br&gt;테리 (22)&lt;br&gt;노인 (21)&lt;br&gt;원 (15)</t>
  </si>
  <si>
    <t>한메 (-12)&lt;br&gt;신형만 (-14)&lt;br&gt;깡패 (-15)&lt;br&gt;참치 (-16)</t>
  </si>
  <si>
    <t>G250626003228</t>
  </si>
  <si>
    <t>2025-06-26 00:32</t>
  </si>
  <si>
    <t>테리 (23)&lt;br&gt;원 (16)&lt;br&gt;규식 (-)&lt;br&gt;깡패 (21)</t>
  </si>
  <si>
    <t>넘버 (-16)&lt;br&gt;노인 (-17)&lt;br&gt;한메 (-14)&lt;br&gt;참치 (-18)</t>
  </si>
  <si>
    <t>G250626000610</t>
  </si>
  <si>
    <t>2025-06-26 00:06</t>
  </si>
  <si>
    <t>넘버 (20)&lt;br&gt;참치 (14)&lt;br&gt;깡패 (17)&lt;br&gt;원 (12)</t>
  </si>
  <si>
    <t>테리 (-13)&lt;br&gt;노인 (-14)&lt;br&gt;규식 (-)&lt;br&gt;한메 (-11)</t>
  </si>
  <si>
    <t>G250625233829</t>
  </si>
  <si>
    <t>2025-06-25 23:38</t>
  </si>
  <si>
    <t>참치 (20)&lt;br&gt;규식 (-)&lt;br&gt;한메 (28)&lt;br&gt;원 (17)</t>
  </si>
  <si>
    <t>테리 (-11)&lt;br&gt;노인 (-12)&lt;br&gt;깡패 (-12)&lt;br&gt;넘버 (-11)</t>
  </si>
  <si>
    <t>G250625222826</t>
  </si>
  <si>
    <t>2025-06-25 22:28</t>
  </si>
  <si>
    <t>참치 (19)&lt;br&gt;깡패 (21)&lt;br&gt;넘버 (24)&lt;br&gt;원 (16)</t>
  </si>
  <si>
    <t>테리 (-11)&lt;br&gt;신형만 (-12)&lt;br&gt;노인 (-12)&lt;br&gt;한메 (-10)</t>
  </si>
  <si>
    <t>G250625215849</t>
  </si>
  <si>
    <t>2025-06-25 21:58</t>
  </si>
  <si>
    <t>한메 (30)&lt;br&gt;깡패 (26)&lt;br&gt;신형만 (27)&lt;br&gt;참치 (24)</t>
  </si>
  <si>
    <t>원 (-19)&lt;br&gt;테리 (-16)&lt;br&gt;노인 (-18)&lt;br&gt;넘버 (-17)</t>
  </si>
  <si>
    <t>G250624230742</t>
  </si>
  <si>
    <t>2025-06-24 23:07</t>
  </si>
  <si>
    <t>테리 (19)&lt;br&gt;넘버 (22)&lt;br&gt;신형만 (22)&lt;br&gt;솔 (22)</t>
  </si>
  <si>
    <t>참치 (-12)&lt;br&gt;노인 (-12)&lt;br&gt;규식 (-)&lt;br&gt;한메 (-9)</t>
  </si>
  <si>
    <t>G250624221701</t>
  </si>
  <si>
    <t>2025-06-24 22:16</t>
  </si>
  <si>
    <t>참치 (18)&lt;br&gt;규식 (-)&lt;br&gt;노인 (15)&lt;br&gt;넘버 (23)</t>
  </si>
  <si>
    <t>테리 (-15)&lt;br&gt;신형만 (-15)&lt;br&gt;솔 (-14)&lt;br&gt;한메 (-12)</t>
  </si>
  <si>
    <t>G250624221213</t>
  </si>
  <si>
    <t>2025-06-24 22:12</t>
  </si>
  <si>
    <t>노인 (14)&lt;br&gt;테리 (17)&lt;br&gt;참치 (17)&lt;br&gt;솔 (21)</t>
  </si>
  <si>
    <t>신형만 (-17)&lt;br&gt;넘버 (-16)&lt;br&gt;규식 (-)&lt;br&gt;한메 (-14)</t>
  </si>
  <si>
    <t>G250624211053</t>
  </si>
  <si>
    <t>2025-06-24 21:10</t>
  </si>
  <si>
    <t>참치 (21)&lt;br&gt;규식 (-)&lt;br&gt;신형만 (23)&lt;br&gt;솔 (25)</t>
  </si>
  <si>
    <t>테리 (-14)&lt;br&gt;노인 (-14)&lt;br&gt;한메 (-12)&lt;br&gt;넘버 (-14)</t>
  </si>
  <si>
    <t>G250624005502</t>
  </si>
  <si>
    <t>2025-06-24 00:55</t>
  </si>
  <si>
    <t>노인 (16)&lt;br&gt;참치 (20)&lt;br&gt;깡패 (20)&lt;br&gt;신형만 (22)</t>
  </si>
  <si>
    <t>한메 (-9)&lt;br&gt;넘버 (-11)&lt;br&gt;테리 (-11)&lt;br&gt;솔 (-9)</t>
  </si>
  <si>
    <t>G250624000718</t>
  </si>
  <si>
    <t>2025-06-24 00:07</t>
  </si>
  <si>
    <t>넘버 (24)&lt;br&gt;노인 (18)&lt;br&gt;한메 (26)&lt;br&gt;깡패 (24)</t>
  </si>
  <si>
    <t>신형만 (-11)&lt;br&gt;테리 (-11)&lt;br&gt;솔 (-10)&lt;br&gt;참치 (-11)</t>
  </si>
  <si>
    <t>G250623231441</t>
  </si>
  <si>
    <t>2025-06-23 23:14</t>
  </si>
  <si>
    <t>넘버 (24)&lt;br&gt;깡패 (23)&lt;br&gt;신형만 (23)&lt;br&gt;원 (12)</t>
  </si>
  <si>
    <t>솔 (-10)&lt;br&gt;노인 (-11)&lt;br&gt;테리 (-11)&lt;br&gt;한메 (-9)</t>
  </si>
  <si>
    <t>G250623223601</t>
  </si>
  <si>
    <t>2025-06-23 22:35</t>
  </si>
  <si>
    <t>신형만 (27)&lt;br&gt;넘버 (28)&lt;br&gt;노인 (19)&lt;br&gt;솔 (26)</t>
  </si>
  <si>
    <t>깡패 (-13)&lt;br&gt;원 (-15)&lt;br&gt;테리 (-13)&lt;br&gt;한메 (-11)</t>
  </si>
  <si>
    <t>G250623220339</t>
  </si>
  <si>
    <t>2025-06-23 22:03</t>
  </si>
  <si>
    <t>깡패 (26)&lt;br&gt;테리 (20)&lt;br&gt;넘버 (28)&lt;br&gt;신형만 (28)</t>
  </si>
  <si>
    <t>노인 (-14)&lt;br&gt;원 (-15)&lt;br&gt;한메 (-11)&lt;br&gt;솔 (-12)</t>
  </si>
  <si>
    <t>G250621024227</t>
  </si>
  <si>
    <t>2025-06-21 02:42</t>
  </si>
  <si>
    <t>솔 (21)&lt;br&gt;신형만 (23)&lt;br&gt;넘버 (24)&lt;br&gt;깡패 (21)</t>
  </si>
  <si>
    <t>ACDC (-13)&lt;br&gt;테리 (-18)&lt;br&gt;짱구 (-17)&lt;br&gt;한메 (-16)</t>
  </si>
  <si>
    <t>G250621023431</t>
  </si>
  <si>
    <t>2025-06-21 02:34</t>
  </si>
  <si>
    <t>노인 (16)&lt;br&gt;테리 (17)&lt;br&gt;한메 (23)&lt;br&gt;솔 (23)</t>
  </si>
  <si>
    <t>신형만 (-18)&lt;br&gt;ACDC (-15)&lt;br&gt;참치 (-20)&lt;br&gt;깡패 (-19)</t>
  </si>
  <si>
    <t>G250621020834</t>
  </si>
  <si>
    <t>2025-06-21 02:08</t>
  </si>
  <si>
    <t>솔 (23)&lt;br&gt;노인 (15)&lt;br&gt;참치 (18)&lt;br&gt;깡패 (22)</t>
  </si>
  <si>
    <t>신형만 (-12)&lt;br&gt;ACDC (-10)&lt;br&gt;테리 (-13)&lt;br&gt;한메 (-11)</t>
  </si>
  <si>
    <t>G250621005850</t>
  </si>
  <si>
    <t>2025-06-21 00:58</t>
  </si>
  <si>
    <t>한메 (23)&lt;br&gt;넘버 (25)&lt;br&gt;테리 (16)&lt;br&gt;신형만 (24)</t>
  </si>
  <si>
    <t>노인 (-16)&lt;br&gt;깡패 (-15)&lt;br&gt;ACDC (-12)&lt;br&gt;솔 (-13)</t>
  </si>
  <si>
    <t>G250621004043</t>
  </si>
  <si>
    <t>2025-06-21 00:40</t>
  </si>
  <si>
    <t>테리 (14)&lt;br&gt;신형만 (21)&lt;br&gt;노인 (13)&lt;br&gt;깡패 (19)</t>
  </si>
  <si>
    <t>넘버 (-10)&lt;br&gt;ACDC (-9)&lt;br&gt;한메 (-10)&lt;br&gt;솔 (200)</t>
  </si>
  <si>
    <t>G250620232138</t>
  </si>
  <si>
    <t>2025-06-20 23:21</t>
  </si>
  <si>
    <t>ACDC (28)&lt;br&gt;넘버 (29)&lt;br&gt;깡패 (25)&lt;br&gt;한메 (24)</t>
  </si>
  <si>
    <t>솔 (-)&lt;br&gt;짱구 (-14)&lt;br&gt;테리 (-15)&lt;br&gt;신형만 (-13)</t>
  </si>
  <si>
    <t>G250620223506</t>
  </si>
  <si>
    <t>2025-06-20 22:35</t>
  </si>
  <si>
    <t>솔 (-)&lt;br&gt;ACDC (28)&lt;br&gt;테리 (16)&lt;br&gt;한메 (24)</t>
  </si>
  <si>
    <t>짱구 (-18)&lt;br&gt;깡패 (-18)&lt;br&gt;신형만 (-17)&lt;br&gt;넘버 (192)</t>
  </si>
  <si>
    <t>G250619225626</t>
  </si>
  <si>
    <t>2025-06-19 22:56</t>
  </si>
  <si>
    <t>ACDC (28)&lt;br&gt;넘버 (-)&lt;br&gt;노인 (15)&lt;br&gt;신형만 (24)</t>
  </si>
  <si>
    <t>한메 (-11)&lt;br&gt;깡패 (-12)&lt;br&gt;테리 (-13)&lt;br&gt;규식 (-)</t>
  </si>
  <si>
    <t>G250619222743</t>
  </si>
  <si>
    <t>2025-06-19 22:27</t>
  </si>
  <si>
    <t>깡패 (17)&lt;br&gt;테리 (11)&lt;br&gt;노인 (12)&lt;br&gt;신형만 (19)</t>
  </si>
  <si>
    <t>ACDC (-12)&lt;br&gt;규식 (-)&lt;br&gt;넘버 (-)&lt;br&gt;한메 (-14)</t>
  </si>
  <si>
    <t>G250619215944</t>
  </si>
  <si>
    <t>2025-06-19 21:59</t>
  </si>
  <si>
    <t>한메 (21)&lt;br&gt;테리 (14)&lt;br&gt;노인 (14)&lt;br&gt;규식 (-)</t>
  </si>
  <si>
    <t>넘버 (-)&lt;br&gt;ACDC (-11)&lt;br&gt;신형만 (-13)&lt;br&gt;깡패 (-13)</t>
  </si>
  <si>
    <t>G250619213243</t>
  </si>
  <si>
    <t>2025-06-19 21:32</t>
  </si>
  <si>
    <t>노인 (17)&lt;br&gt;신형만 (25)&lt;br&gt;넘버 (-)&lt;br&gt;규식 (-)</t>
  </si>
  <si>
    <t>테리 (-15)&lt;br&gt;깡패 (-14)&lt;br&gt;ACDC (-11)&lt;br&gt;한메 (-13)</t>
  </si>
  <si>
    <t>G250619204836</t>
  </si>
  <si>
    <t>2025-06-19 20:48</t>
  </si>
  <si>
    <t>신형만 (23)&lt;br&gt;테리 (14)&lt;br&gt;깡패 (19)&lt;br&gt;규식 (-)</t>
  </si>
  <si>
    <t>넘버 (-)&lt;br&gt;노인 (-19)&lt;br&gt;ACDC (-15)&lt;br&gt;한메 (-16)</t>
  </si>
  <si>
    <t>G250618234955</t>
  </si>
  <si>
    <t>2025-06-18 23:49</t>
  </si>
  <si>
    <t>넘버 (-)&lt;br&gt;원 (14)&lt;br&gt;짱구 (20)&lt;br&gt;신형만 (25)</t>
  </si>
  <si>
    <t>노인 (-11)&lt;br&gt;테리 (-12)&lt;br&gt;깡패 (-11)&lt;br&gt;솔 (-)</t>
  </si>
  <si>
    <t>G250618230619</t>
  </si>
  <si>
    <t>2025-06-18 23:06</t>
  </si>
  <si>
    <t>신형만 (24)&lt;br&gt;깡패 (24)&lt;br&gt;노인 (18)&lt;br&gt;원 (13)</t>
  </si>
  <si>
    <t>솔 (-)&lt;br&gt;테리 (-15)&lt;br&gt;짱구 (-14)&lt;br&gt;한메 (-13)</t>
  </si>
  <si>
    <t>G250618223731</t>
  </si>
  <si>
    <t>2025-06-18 22:37</t>
  </si>
  <si>
    <t>짱구 (16)&lt;br&gt;테리 (14)&lt;br&gt;노인 (16)&lt;br&gt;원 (11)</t>
  </si>
  <si>
    <t>신형만 (-12)&lt;br&gt;깡패 (-13)&lt;br&gt;솔 (-)&lt;br&gt;한메 (-12)</t>
  </si>
  <si>
    <t>G250618220918</t>
  </si>
  <si>
    <t>2025-06-18 22:09</t>
  </si>
  <si>
    <t>짱구 (22)&lt;br&gt;노인 (21)&lt;br&gt;깡패 (27)&lt;br&gt;솔 (-)</t>
  </si>
  <si>
    <t>테리 (-12)&lt;br&gt;원 (-13)&lt;br&gt;한메 (-10)&lt;br&gt;신형만 (-10)</t>
  </si>
  <si>
    <t>G250617224300</t>
  </si>
  <si>
    <t>2025-06-17 22:42</t>
  </si>
  <si>
    <t>테리 (16)&lt;br&gt;ACDC (28)&lt;br&gt;노인 (19)&lt;br&gt;솔 (-)</t>
  </si>
  <si>
    <t>신형만 (-16)&lt;br&gt;깡패 (-17)&lt;br&gt;짱구 (-18)&lt;br&gt;한메 (-17)</t>
  </si>
  <si>
    <t>G250617223531</t>
  </si>
  <si>
    <t>2025-06-17 22:35</t>
  </si>
  <si>
    <t>짱구 (18)&lt;br&gt;테리 (15)&lt;br&gt;솔 (-)&lt;br&gt;한메 (21)</t>
  </si>
  <si>
    <t>ACDC (-14)&lt;br&gt;노인 (-17)&lt;br&gt;깡패 (-17)&lt;br&gt;신형만 (-16)</t>
  </si>
  <si>
    <t>G250617212728</t>
  </si>
  <si>
    <t>2025-06-17 21:27</t>
  </si>
  <si>
    <t>짱구 (18)&lt;br&gt;테리 (15)&lt;br&gt;솔 (-)&lt;br&gt;깡패 (21)</t>
  </si>
  <si>
    <t>한메 (-18)&lt;br&gt;노인 (-19)&lt;br&gt;ACDC (-15)&lt;br&gt;신형만 (-18)</t>
  </si>
  <si>
    <t>G250616001516</t>
  </si>
  <si>
    <t>2025-06-16 00:15</t>
  </si>
  <si>
    <t>솔 (-)&lt;br&gt;원 (14)&lt;br&gt;짱구 (22)&lt;br&gt;참치 (21)</t>
  </si>
  <si>
    <t>신형만 (-13)&lt;br&gt;노인 (-15)&lt;br&gt;테리 (-15)&lt;br&gt;한메 (-14)</t>
  </si>
  <si>
    <t>G250616000936</t>
  </si>
  <si>
    <t>2025-06-16 00:09</t>
  </si>
  <si>
    <t>짱구 (21)&lt;br&gt;원 (14)&lt;br&gt;한메 (22)&lt;br&gt;참치 (20)</t>
  </si>
  <si>
    <t>테리 (-15)&lt;br&gt;노인 (-15)&lt;br&gt;솔 (-)&lt;br&gt;신형만 (-13)</t>
  </si>
  <si>
    <t>G250615234503</t>
  </si>
  <si>
    <t>2025-06-15 23:45</t>
  </si>
  <si>
    <t>테리 (17)&lt;br&gt;노인 (18)&lt;br&gt;솔 (-)&lt;br&gt;원 (15)</t>
  </si>
  <si>
    <t>참치 (-13)&lt;br&gt;짱구 (-12)&lt;br&gt;신형만 (-12)&lt;br&gt;한메 (-12)</t>
  </si>
  <si>
    <t>G250615234209</t>
  </si>
  <si>
    <t>2025-06-15 23:42</t>
  </si>
  <si>
    <t>테리 (17)&lt;br&gt;원 (14)&lt;br&gt;짱구 (21)&lt;br&gt;신형만 (21)</t>
  </si>
  <si>
    <t>참치 (-13)&lt;br&gt;노인 (-13)&lt;br&gt;한메 (-12)&lt;br&gt;솔 (-)</t>
  </si>
  <si>
    <t>G250615222900</t>
  </si>
  <si>
    <t>2025-06-15 22:28</t>
  </si>
  <si>
    <t>노인 (18)&lt;br&gt;짱구 (22)&lt;br&gt;원 (15)&lt;br&gt;한메 (22)</t>
  </si>
  <si>
    <t>테리 (-15)&lt;br&gt;참치 (-15)&lt;br&gt;솔 (-)&lt;br&gt;신형만 (-14)</t>
  </si>
  <si>
    <t>G250615212009</t>
  </si>
  <si>
    <t>2025-06-15 21:20</t>
  </si>
  <si>
    <t>신형만 (22)&lt;br&gt;짱구 (23)&lt;br&gt;노인 (18)&lt;br&gt;원 (16)</t>
  </si>
  <si>
    <t>참치 (-12)&lt;br&gt;테리 (-11)&lt;br&gt;솔 (-)&lt;br&gt;한메 (-10)</t>
  </si>
  <si>
    <t>G250614003936</t>
  </si>
  <si>
    <t>2025-06-14 00:39</t>
  </si>
  <si>
    <t>노인 (18)&lt;br&gt;원 (15)&lt;br&gt;짱구 (23)&lt;br&gt;참치 (18)</t>
  </si>
  <si>
    <t>키키 (-)&lt;br&gt;테리 (-15)&lt;br&gt;민우 (-)&lt;br&gt;깡패 (-14)</t>
  </si>
  <si>
    <t>G250614000937</t>
  </si>
  <si>
    <t>2025-06-14 00:09</t>
  </si>
  <si>
    <t>키키 (-)&lt;br&gt;테리 (16)&lt;br&gt;노인 (19)&lt;br&gt;원 (16)</t>
  </si>
  <si>
    <t>참치 (-19)&lt;br&gt;깡패 (-18)&lt;br&gt;짱구 (-16)&lt;br&gt;민우 (-)</t>
  </si>
  <si>
    <t>G250613233553</t>
  </si>
  <si>
    <t>2025-06-13 23:35</t>
  </si>
  <si>
    <t>민우 (-)&lt;br&gt;원 (19)&lt;br&gt;참치 (20)&lt;br&gt;키키 (-)</t>
  </si>
  <si>
    <t>깡패 (-15)&lt;br&gt;테리 (-16)&lt;br&gt;짱구 (-14)&lt;br&gt;한메 (-14)</t>
  </si>
  <si>
    <t>G250613224219</t>
  </si>
  <si>
    <t>2025-06-13 22:42</t>
  </si>
  <si>
    <t>키키 (-)&lt;br&gt;짱구 (28)&lt;br&gt;한메 (27)&lt;br&gt;민우 (-)</t>
  </si>
  <si>
    <t>테리 (-18)&lt;br&gt;원 (-18)&lt;br&gt;깡패 (-17)&lt;br&gt;참치 (-18)</t>
  </si>
  <si>
    <t>G250613221243</t>
  </si>
  <si>
    <t>2025-06-13 22:12</t>
  </si>
  <si>
    <t>테리 (16)&lt;br&gt;짱구 (25)&lt;br&gt;키키 (-)&lt;br&gt;원 (18)</t>
  </si>
  <si>
    <t>깡패 (-19)&lt;br&gt;참치 (-20)&lt;br&gt;민우 (-)&lt;br&gt;한메 (-17)</t>
  </si>
  <si>
    <t>G250613005911</t>
  </si>
  <si>
    <t>2025-06-13 00:59</t>
  </si>
  <si>
    <t>짱구 (28)&lt;br&gt;테리 (19)&lt;br&gt;노인 (23)&lt;br&gt;신형만 (25)</t>
  </si>
  <si>
    <t>깡패 (-12)&lt;br&gt;참치 (-13)&lt;br&gt;키키 (-)&lt;br&gt;원 (-13)</t>
  </si>
  <si>
    <t>G250613001440</t>
  </si>
  <si>
    <t>2025-06-13 00:14</t>
  </si>
  <si>
    <t>테리 (17)&lt;br&gt;참치 (18)&lt;br&gt;짱구 (26)&lt;br&gt;깡패 (21)</t>
  </si>
  <si>
    <t>키키 (-)&lt;br&gt;노인 (-16)&lt;br&gt;원 (-18)&lt;br&gt;신형만 (-15)</t>
  </si>
  <si>
    <t>G250612234813</t>
  </si>
  <si>
    <t>2025-06-12 23:48</t>
  </si>
  <si>
    <t>깡패 (20)&lt;br&gt;테리 (16)&lt;br&gt;노인 (19)&lt;br&gt;원 (15)</t>
  </si>
  <si>
    <t>참치 (-17)&lt;br&gt;짱구 (-13)&lt;br&gt;신형만 (-15)&lt;br&gt;키키 (-)</t>
  </si>
  <si>
    <t>G250612232110</t>
  </si>
  <si>
    <t>2025-06-12 23:21</t>
  </si>
  <si>
    <t>신형만 (25)&lt;br&gt;깡패 (26)&lt;br&gt;노인 (24)&lt;br&gt;키키 (-)</t>
  </si>
  <si>
    <t>짱구 (-13)&lt;br&gt;원 (-17)&lt;br&gt;테리 (-16)&lt;br&gt;참치 (-17)</t>
  </si>
  <si>
    <t>G250612223127</t>
  </si>
  <si>
    <t>2025-06-12 22:31</t>
  </si>
  <si>
    <t>노인 (23)&lt;br&gt;원 (18)&lt;br&gt;테리 (18)&lt;br&gt;한메 (23)</t>
  </si>
  <si>
    <t>짱구 (-9)&lt;br&gt;신형만 (-10)&lt;br&gt;참치 (-12)&lt;br&gt;깡패 (-11)</t>
  </si>
  <si>
    <t>G250611002354</t>
  </si>
  <si>
    <t>2025-06-11 00:23</t>
  </si>
  <si>
    <t>한메 (22)&lt;br&gt;참치 (16)&lt;br&gt;신형만 (22)&lt;br&gt;원 (17)</t>
  </si>
  <si>
    <t>노인 (-10)&lt;br&gt;ACDC (-9)&lt;br&gt;테리 (-11)&lt;br&gt;깡패 (-11)</t>
  </si>
  <si>
    <t>G250610234354</t>
  </si>
  <si>
    <t>2025-06-10 23:43</t>
  </si>
  <si>
    <t>테리 (17)&lt;br&gt;참치 (17)&lt;br&gt;ACDC (27)&lt;br&gt;원 (18)</t>
  </si>
  <si>
    <t>신형만 (-12)&lt;br&gt;깡패 (-13)&lt;br&gt;노인 (-12)&lt;br&gt;한메 (-11)</t>
  </si>
  <si>
    <t>G250610230545</t>
  </si>
  <si>
    <t>2025-06-10 23:05</t>
  </si>
  <si>
    <t>깡패 (20)&lt;br&gt;참치 (16)&lt;br&gt;원 (17)&lt;br&gt;신형만 (21)</t>
  </si>
  <si>
    <t>테리 (-15)&lt;br&gt;ACDC (-11)&lt;br&gt;노인 (-13)&lt;br&gt;한메 (-13)</t>
  </si>
  <si>
    <t>G250610224208</t>
  </si>
  <si>
    <t>2025-06-10 22:42</t>
  </si>
  <si>
    <t>신형만 (24)&lt;br&gt;노인 (22)&lt;br&gt;테리 (18)&lt;br&gt;참치 (18)</t>
  </si>
  <si>
    <t>깡패 (-15)&lt;br&gt;원 (-16)&lt;br&gt;ACDC (-12)&lt;br&gt;한메 (-14)</t>
  </si>
  <si>
    <t>G250610221019</t>
  </si>
  <si>
    <t>2025-06-10 22:10</t>
  </si>
  <si>
    <t>테리 (19)&lt;br&gt;노인 (23)&lt;br&gt;깡패 (23)&lt;br&gt;한메 (23)</t>
  </si>
  <si>
    <t>원 (-16)&lt;br&gt;ACDC (-12)&lt;br&gt;신형만 (-13)&lt;br&gt;참치 (-16)</t>
  </si>
  <si>
    <t>G250609234946</t>
  </si>
  <si>
    <t>2025-06-09 23:49</t>
  </si>
  <si>
    <t>깡패 (20)&lt;br&gt;노인 (20)&lt;br&gt;테리 (20)&lt;br&gt;참치 (20)</t>
  </si>
  <si>
    <t>ACDC (15)&lt;br&gt;신형만 (15)&lt;br&gt;한메 (15)&lt;br&gt;원 (15)</t>
  </si>
  <si>
    <t>G250609234916</t>
  </si>
  <si>
    <t>테리 (19)&lt;br&gt;ACDC (26)&lt;br&gt;참치 (18)&lt;br&gt;원 (17)</t>
  </si>
  <si>
    <t>신형만 (-12)&lt;br&gt;노인 (-12)&lt;br&gt;깡패 (-13)&lt;br&gt;한메 (-12)</t>
  </si>
  <si>
    <t>G250609234814</t>
  </si>
  <si>
    <t>2025-06-09 23:48</t>
  </si>
  <si>
    <t>원 (16)&lt;br&gt;깡패 (21)&lt;br&gt;참치 (17)&lt;br&gt;한메 (20)</t>
  </si>
  <si>
    <t>테리 (-12)&lt;br&gt;ACDC (-10)&lt;br&gt;노인 (-11)&lt;br&gt;신형만 (-12)</t>
  </si>
  <si>
    <t>G250609221129</t>
  </si>
  <si>
    <t>2025-06-09 22:11</t>
  </si>
  <si>
    <t>테리 (19)&lt;br&gt;ACDC (27)&lt;br&gt;원 (18)&lt;br&gt;참치 (20)</t>
  </si>
  <si>
    <t>노인 (-14)&lt;br&gt;깡패 (-15)&lt;br&gt;신형만 (-14)&lt;br&gt;한메 (-14)</t>
  </si>
  <si>
    <t>G250609004954</t>
  </si>
  <si>
    <t>2025-06-09 00:49</t>
  </si>
  <si>
    <t>테리 (18)&lt;br&gt;원 (16)&lt;br&gt;한메 (19)&lt;br&gt;참치 (18)</t>
  </si>
  <si>
    <t>깡패 (-13)&lt;br&gt;넘버 (-)&lt;br&gt;ACDC (-10)&lt;br&gt;신형만 (-12)</t>
  </si>
  <si>
    <t>G250609000900</t>
  </si>
  <si>
    <t>2025-06-09 00:08</t>
  </si>
  <si>
    <t>신형만 (22)&lt;br&gt;넘버 (-)&lt;br&gt;참치 (22)&lt;br&gt;한메 (23)</t>
  </si>
  <si>
    <t>테리 (-13)&lt;br&gt;원 (-15)&lt;br&gt;ACDC (-11)&lt;br&gt;깡패 (-14)</t>
  </si>
  <si>
    <t>G250608232856</t>
  </si>
  <si>
    <t>2025-06-08 23:28</t>
  </si>
  <si>
    <t>원 (17)&lt;br&gt;참치 (21)&lt;br&gt;깡패 (20)&lt;br&gt;한메 (22)</t>
  </si>
  <si>
    <t>ACDC (-13)&lt;br&gt;노인 (-16)&lt;br&gt;테리 (-16)&lt;br&gt;신형만 (-16)</t>
  </si>
  <si>
    <t>G250608224539</t>
  </si>
  <si>
    <t>2025-06-08 22:45</t>
  </si>
  <si>
    <t>원 (19)&lt;br&gt;테리 (20)&lt;br&gt;노인 (21)&lt;br&gt;한메 (24)</t>
  </si>
  <si>
    <t>참치 (-11)&lt;br&gt;깡패 (-11)&lt;br&gt;ACDC (-9)&lt;br&gt;신형만 (-11)</t>
  </si>
  <si>
    <t>G250608220610</t>
  </si>
  <si>
    <t>2025-06-08 22:06</t>
  </si>
  <si>
    <t>신형만 (22)&lt;br&gt;ACDC (27)&lt;br&gt;노인 (22)&lt;br&gt;원 (21)</t>
  </si>
  <si>
    <t>오크 (-)&lt;br&gt;테리 (-15)&lt;br&gt;한메 (-14)&lt;br&gt;깡패 (-16)</t>
  </si>
  <si>
    <t>G250605001851</t>
  </si>
  <si>
    <t>2025-06-05 00:18</t>
  </si>
  <si>
    <t>테리 (15)&lt;br&gt;재명 (-)&lt;br&gt;신형만 (17)&lt;br&gt;깡패 (16)</t>
  </si>
  <si>
    <t>노인 (-15)&lt;br&gt;터미 (-)&lt;br&gt;유즈 (-)&lt;br&gt;한메 (-14)</t>
  </si>
  <si>
    <t>G250604234736</t>
  </si>
  <si>
    <t>2025-06-04 23:47</t>
  </si>
  <si>
    <t>신형만 (19)&lt;br&gt;유즈 (-)&lt;br&gt;노인 (22)&lt;br&gt;깡패 (18)</t>
  </si>
  <si>
    <t>터미 (-)&lt;br&gt;재명 (-)&lt;br&gt;테리 (-16)&lt;br&gt;한메 (-15)</t>
  </si>
  <si>
    <t>G250604231638</t>
  </si>
  <si>
    <t>2025-06-04 23:16</t>
  </si>
  <si>
    <t>한메 (19)&lt;br&gt;노인 (23)&lt;br&gt;깡패 (18)&lt;br&gt;터미 (-)</t>
  </si>
  <si>
    <t>재명 (-)&lt;br&gt;테리 (-16)&lt;br&gt;유즈 (-)&lt;br&gt;신형만 (-15)</t>
  </si>
  <si>
    <t>G250604225044</t>
  </si>
  <si>
    <t>2025-06-04 22:50</t>
  </si>
  <si>
    <t>한메 (180)&lt;br&gt;테리 (19)&lt;br&gt;재명 (-)&lt;br&gt;터미 (-)</t>
  </si>
  <si>
    <t>신형만 (-17)&lt;br&gt;깡패 (-18)&lt;br&gt;유즈 (-)&lt;br&gt;노인 (-17)</t>
  </si>
  <si>
    <t>G250603002839</t>
  </si>
  <si>
    <t>2025-06-03 00:28</t>
  </si>
  <si>
    <t>신형만 (18)&lt;br&gt;ACDC (23)&lt;br&gt;테리 (16)&lt;br&gt;터미 (-)</t>
  </si>
  <si>
    <t>짱구 (-14)&lt;br&gt;랄 (-)&lt;br&gt;노인 (-15)&lt;br&gt;한메 (-)</t>
  </si>
  <si>
    <t>G250603002530</t>
  </si>
  <si>
    <t>2025-06-03 00:25</t>
  </si>
  <si>
    <t>노인 (21)&lt;br&gt;테리 (15)&lt;br&gt;강화 (-)&lt;br&gt;터미 (-)</t>
  </si>
  <si>
    <t>랄 (-)&lt;br&gt;ACDC (-12)&lt;br&gt;신형만 (-14)&lt;br&gt;한메 (-)</t>
  </si>
  <si>
    <t>G250603002401</t>
  </si>
  <si>
    <t>2025-06-03 00:23</t>
  </si>
  <si>
    <t>신형만 (17)&lt;br&gt;테리 (16)&lt;br&gt;한메 (-)&lt;br&gt;강화 (-)</t>
  </si>
  <si>
    <t>랄 (-)&lt;br&gt;노인 (-14)&lt;br&gt;ACDC (-13)&lt;br&gt;터미 (-)</t>
  </si>
  <si>
    <t>G250531012614</t>
  </si>
  <si>
    <t>2025-05-31 01:26</t>
  </si>
  <si>
    <t>키키 (-)&lt;br&gt;테리 (20)&lt;br&gt;참치 (20)&lt;br&gt;깡패 (21)</t>
  </si>
  <si>
    <t>민우 (-)&lt;br&gt;짱구 (-10)&lt;br&gt;원 (-12)&lt;br&gt;신형만 (-11)</t>
  </si>
  <si>
    <t>G250531004046</t>
  </si>
  <si>
    <t>2025-05-31 00:40</t>
  </si>
  <si>
    <t>신형만 (20)&lt;br&gt;짱구 (23)&lt;br&gt;깡패 (21)&lt;br&gt;원 (18)</t>
  </si>
  <si>
    <t>테리 (-11)&lt;br&gt;노인 (-11)&lt;br&gt;민우 (-)&lt;br&gt;참치 (-11)</t>
  </si>
  <si>
    <t>G250531002823</t>
  </si>
  <si>
    <t>2025-05-31 00:28</t>
  </si>
  <si>
    <t>깡패 (26)&lt;br&gt;짱구 (26)&lt;br&gt;테리 (23)&lt;br&gt;민우 (-)</t>
  </si>
  <si>
    <t>노인 (-11)&lt;br&gt;원 (-13)&lt;br&gt;참치 (-12)&lt;br&gt;신형만 (-11)</t>
  </si>
  <si>
    <t>G250530223527</t>
  </si>
  <si>
    <t>2025-05-30 22:35</t>
  </si>
  <si>
    <t>민우 (-)&lt;br&gt;짱구 (27)&lt;br&gt;테리 (24)&lt;br&gt;깡패 (27)</t>
  </si>
  <si>
    <t>노인 (-17)&lt;br&gt;원 (-19)&lt;br&gt;신형만 (-17)&lt;br&gt;참치 (336)</t>
  </si>
  <si>
    <t>G250524032152</t>
  </si>
  <si>
    <t>2025-05-24 03:21</t>
  </si>
  <si>
    <t>신형만 (22)&lt;br&gt;참치 (-)&lt;br&gt;테리 (200)&lt;br&gt;키키 (-)</t>
  </si>
  <si>
    <t>노인 (-15)&lt;br&gt;넘버 (-)&lt;br&gt;원 (-17)&lt;br&gt;깡패 (-15)</t>
  </si>
  <si>
    <t>G250524023440</t>
  </si>
  <si>
    <t>2025-05-24 02:34</t>
  </si>
  <si>
    <t>넘버 (-)&lt;br&gt;원 (17)&lt;br&gt;신형만 (20)&lt;br&gt;참치 (-)</t>
  </si>
  <si>
    <t>테리 (-)&lt;br&gt;노인 (268)&lt;br&gt;깡패 (-13)&lt;br&gt;키키 (-)</t>
  </si>
  <si>
    <t>G250524020319</t>
  </si>
  <si>
    <t>2025-05-24 02:03</t>
  </si>
  <si>
    <t>원 (15)&lt;br&gt;노인 (-)&lt;br&gt;신형만 (19)&lt;br&gt;솔 (-)</t>
  </si>
  <si>
    <t>넘버 (-)&lt;br&gt;테리 (-)&lt;br&gt;키키 (-)&lt;br&gt;참치 (-)</t>
  </si>
  <si>
    <t>G250524000434</t>
  </si>
  <si>
    <t>2025-05-24 00:04</t>
  </si>
  <si>
    <t>한메 (-)&lt;br&gt;참치 (-)&lt;br&gt;원 (18)&lt;br&gt;솔 (-)</t>
  </si>
  <si>
    <t>깡패 (-19)&lt;br&gt;테리 (-)&lt;br&gt;짱구 (-17)&lt;br&gt;신형만 (-18)</t>
  </si>
  <si>
    <t>G250523233814</t>
  </si>
  <si>
    <t>2025-05-23 23:38</t>
  </si>
  <si>
    <t>신형만 (18)&lt;br&gt;참치 (-)&lt;br&gt;깡패 (18)&lt;br&gt;원 (15)</t>
  </si>
  <si>
    <t>테리 (-)&lt;br&gt;짱구 (-10)&lt;br&gt;한메 (-)&lt;br&gt;솔 (-)</t>
  </si>
  <si>
    <t>G250523230000</t>
  </si>
  <si>
    <t>2025-05-23 22:59</t>
  </si>
  <si>
    <t>한메 (-)&lt;br&gt;참치 (-)&lt;br&gt;테리 (-)&lt;br&gt;깡패 (24)</t>
  </si>
  <si>
    <t>솔 (-)&lt;br&gt;원 (-12)&lt;br&gt;짱구 (120)&lt;br&gt;신형만 (-11)</t>
  </si>
  <si>
    <t>G250521234748</t>
  </si>
  <si>
    <t>2025-05-21 23:47</t>
  </si>
  <si>
    <t>한메 (-)&lt;br&gt;원 (364)&lt;br&gt;테리 (-)&lt;br&gt;키키 (-)</t>
  </si>
  <si>
    <t>ACDC (-12)&lt;br&gt;노인 (-)&lt;br&gt;깡패 (240)&lt;br&gt;신형만 (-13)</t>
  </si>
  <si>
    <t>G250521230313</t>
  </si>
  <si>
    <t>2025-05-21 23:03</t>
  </si>
  <si>
    <t>깡패 (-)&lt;br&gt;테리 (-)&lt;br&gt;노인 (-)&lt;br&gt;키키 (-)</t>
  </si>
  <si>
    <t>신형만 (-15)&lt;br&gt;원 (-)&lt;br&gt;ACDC (-14)&lt;br&gt;한메 (-)</t>
  </si>
  <si>
    <t>G250521222510</t>
  </si>
  <si>
    <t>2025-05-21 22:25</t>
  </si>
  <si>
    <t>원 (-)&lt;br&gt;노인 (-)&lt;br&gt;키키 (-)&lt;br&gt;한메 (-)</t>
  </si>
  <si>
    <t>깡패 (-)&lt;br&gt;테리 (-)&lt;br&gt;ACDC (100)&lt;br&gt;신형만 (220)</t>
  </si>
  <si>
    <t>G250519223856</t>
  </si>
  <si>
    <t>2025-05-19 22:38</t>
  </si>
  <si>
    <t>터미 (-)&lt;br&gt;테리 (-)&lt;br&gt;노인 (-)&lt;br&gt;한메 (-)</t>
  </si>
  <si>
    <t>짱구 (-)&lt;br&gt;ACDC (-)&lt;br&gt;신형만 (-)&lt;br&gt;깡패 (-)</t>
  </si>
  <si>
    <t>G250519215809</t>
  </si>
  <si>
    <t>2025-05-19 21:58</t>
  </si>
  <si>
    <t>노인 (-)&lt;br&gt;깡패 (-)&lt;br&gt;신형만 (-)&lt;br&gt;한메 (-)</t>
  </si>
  <si>
    <t>ACDC (-)&lt;br&gt;짱구 (-)&lt;br&gt;테리 (-)&lt;br&gt;터미 (-)</t>
  </si>
  <si>
    <t>G250516003805</t>
  </si>
  <si>
    <t>2025-05-16 00:38</t>
  </si>
  <si>
    <t>참치 (-)&lt;br&gt;깡패 (-)&lt;br&gt;짱구 (-)&lt;br&gt;신형만 (-)</t>
  </si>
  <si>
    <t>ACDC (-)&lt;br&gt;원 (-)&lt;br&gt;한메 (-)&lt;br&gt;유망 (-)</t>
  </si>
  <si>
    <t>G250516000859</t>
  </si>
  <si>
    <t>2025-05-16 00:08</t>
  </si>
  <si>
    <t>짱구 (-)&lt;br&gt;테리 (-)&lt;br&gt;원 (-)&lt;br&gt;신형만 (-)</t>
  </si>
  <si>
    <t>깡패 (-)&lt;br&gt;참치 (-)&lt;br&gt;ACDC (-)&lt;br&gt;한메 (-)</t>
  </si>
  <si>
    <t>G250515234540</t>
  </si>
  <si>
    <t>2025-05-15 23:45</t>
  </si>
  <si>
    <t>한메 (-)&lt;br&gt;깡패 (-)&lt;br&gt;신형만 (-)&lt;br&gt;원 (-)</t>
  </si>
  <si>
    <t>테리 (-)&lt;br&gt;ACDC (-)&lt;br&gt;짱구 (-)&lt;br&gt;참치 (-)</t>
  </si>
  <si>
    <t>G250515232105</t>
  </si>
  <si>
    <t>2025-05-15 23:21</t>
  </si>
  <si>
    <t>ACDC (-)&lt;br&gt;참치 (-)&lt;br&gt;원 (-)&lt;br&gt;신형만 (-)</t>
  </si>
  <si>
    <t>깡패 (-)&lt;br&gt;테리 (-)&lt;br&gt;짱구 (-)&lt;br&gt;한메 (-)</t>
  </si>
  <si>
    <t>G250514224855</t>
  </si>
  <si>
    <t>2025-05-14 22:48</t>
  </si>
  <si>
    <t>테리 (-)&lt;br&gt;노인 (-)&lt;br&gt;신형만 (-)&lt;br&gt;깡패 (-)</t>
  </si>
  <si>
    <t>짱구 (-)&lt;br&gt;ACDC (-)&lt;br&gt;한메 (-)&lt;br&gt;원 (-)</t>
  </si>
  <si>
    <t>G250514222307</t>
  </si>
  <si>
    <t>2025-05-14 22:23</t>
  </si>
  <si>
    <t>노인 (-)&lt;br&gt;ACDC (-)&lt;br&gt;깡패 (-)&lt;br&gt;원 (-)</t>
  </si>
  <si>
    <t>신형만 (-)&lt;br&gt;짱구 (-)&lt;br&gt;테리 (-)&lt;br&gt;한메 (-)</t>
  </si>
  <si>
    <t>G250514221926</t>
  </si>
  <si>
    <t>2025-05-14 22:19</t>
  </si>
  <si>
    <t>테리 (-)&lt;br&gt;짱구 (-)&lt;br&gt;원 (-)&lt;br&gt;깡패 (-)</t>
  </si>
  <si>
    <t>신형만 (-)&lt;br&gt;노인 (-)&lt;br&gt;ACDC (-)&lt;br&gt;한메 (-)</t>
  </si>
  <si>
    <t>G250514212821</t>
  </si>
  <si>
    <t>2025-05-14 21:28</t>
  </si>
  <si>
    <t>ACDC (-)&lt;br&gt;테리 (-)&lt;br&gt;원 (-)&lt;br&gt;신형만 (-)</t>
  </si>
  <si>
    <t>짱구 (-)&lt;br&gt;노인 (-)&lt;br&gt;깡패 (-)&lt;br&gt;한메 (-)</t>
  </si>
  <si>
    <t>G250510021714</t>
  </si>
  <si>
    <t>2025-05-10 02:17</t>
  </si>
  <si>
    <t>노인 (-)&lt;br&gt;원 (-)&lt;br&gt;참치 (-)&lt;br&gt;깡패 (-)</t>
  </si>
  <si>
    <t>신형만 (-)&lt;br&gt;짱구 (-)&lt;br&gt;ACDC (-)&lt;br&gt;넘버 (-)</t>
  </si>
  <si>
    <t>G250510014618</t>
  </si>
  <si>
    <t>2025-05-10 01:46</t>
  </si>
  <si>
    <t>노인 (-)&lt;br&gt;짱구 (-)&lt;br&gt;넘버 (-)&lt;br&gt;참치 (-)</t>
  </si>
  <si>
    <t>신형만 (-)&lt;br&gt;ACDC (-)&lt;br&gt;유망 (-)&lt;br&gt;원 (-)</t>
  </si>
  <si>
    <t>G250510014428</t>
  </si>
  <si>
    <t>2025-05-10 01:44</t>
  </si>
  <si>
    <t>신형만 (-)&lt;br&gt;원 (-)&lt;br&gt;ACDC (-)&lt;br&gt;깡패 (-)</t>
  </si>
  <si>
    <t>테리 (-)&lt;br&gt;노인 (-)&lt;br&gt;짱구 (-)&lt;br&gt;참치 (-)</t>
  </si>
  <si>
    <t>G250510010721</t>
  </si>
  <si>
    <t>2025-05-10 01:07</t>
  </si>
  <si>
    <t>참치 (-)&lt;br&gt;넘버 (-)&lt;br&gt;테리 (-)&lt;br&gt;원 (-)</t>
  </si>
  <si>
    <t>ACDC (-)&lt;br&gt;노인 (-)&lt;br&gt;짱구 (-)&lt;br&gt;신형만 (-)</t>
  </si>
  <si>
    <t>G250510010310</t>
  </si>
  <si>
    <t>2025-05-10 01:03</t>
  </si>
  <si>
    <t>신형만 (-)&lt;br&gt;원 (-)&lt;br&gt;노인 (-)&lt;br&gt;참치 (-)</t>
  </si>
  <si>
    <t>ACDC (-)&lt;br&gt;짱구 (-)&lt;br&gt;넘버 (-)&lt;br&gt;깡패 (-)</t>
  </si>
  <si>
    <t>G250510010154</t>
  </si>
  <si>
    <t>2025-05-10 01:01</t>
  </si>
  <si>
    <t>원 (-)&lt;br&gt;참치 (-)&lt;br&gt;깡패 (-)&lt;br&gt;넘버 (-)</t>
  </si>
  <si>
    <t>짱구 (-)&lt;br&gt;ACDC (-)&lt;br&gt;노인 (-)&lt;br&gt;신형만 (-)</t>
  </si>
  <si>
    <t>G250510010024</t>
  </si>
  <si>
    <t>2025-05-10 01:00</t>
  </si>
  <si>
    <t>참치 (-)&lt;br&gt;짱구 (-)&lt;br&gt;노인 (-)&lt;br&gt;원 (-)</t>
  </si>
  <si>
    <t>신형만 (-)&lt;br&gt;ACDC (-)&lt;br&gt;깡패 (-)&lt;br&gt;넘버 (-)</t>
  </si>
  <si>
    <t>G250510005847</t>
  </si>
  <si>
    <t>2025-05-10 00:58</t>
  </si>
  <si>
    <t>신형만 (-)&lt;br&gt;ACDC (-)&lt;br&gt;노인 (-)&lt;br&gt;원 (-)</t>
  </si>
  <si>
    <t>깡패 (-)&lt;br&gt;참치 (-)&lt;br&gt;짱구 (-)&lt;br&gt;넘버 (-)</t>
  </si>
  <si>
    <t>G250510005516</t>
  </si>
  <si>
    <t>2025-05-10 00:55</t>
  </si>
  <si>
    <t>노인 (-)&lt;br&gt;짱구 (-)&lt;br&gt;신형만 (-)&lt;br&gt;참치 (-)</t>
  </si>
  <si>
    <t>넘버 (-)&lt;br&gt;깡패 (-)&lt;br&gt;ACDC (-)&lt;br&gt;원 (-)</t>
  </si>
  <si>
    <t>G250426020810</t>
  </si>
  <si>
    <t>2025-04-26 02:08</t>
  </si>
  <si>
    <t>솔 (37)&lt;br&gt;참치 (31)&lt;br&gt;민우 (27)&lt;br&gt;유망 (22)</t>
  </si>
  <si>
    <t>원 (-13)&lt;br&gt;깡패 (-13)&lt;br&gt;넘버 (-13)&lt;br&gt;신형만 (-11)</t>
  </si>
  <si>
    <t>시즌10</t>
  </si>
  <si>
    <t>G250426012146</t>
  </si>
  <si>
    <t>2025-04-26 01:21</t>
  </si>
  <si>
    <t>유망 (18)&lt;br&gt;깡패 (20)&lt;br&gt;넘버 (19)&lt;br&gt;민우 (24)</t>
  </si>
  <si>
    <t>신형만 (-14)&lt;br&gt;원 (-16)&lt;br&gt;참치 (-14)&lt;br&gt;솔 (-11)</t>
  </si>
  <si>
    <t>G250426004615</t>
  </si>
  <si>
    <t>2025-04-26 00:46</t>
  </si>
  <si>
    <t>넘버 (18)&lt;br&gt;깡패 (18)&lt;br&gt;원 (14)&lt;br&gt;신형만 (20)</t>
  </si>
  <si>
    <t>민우 (-11)&lt;br&gt;참치 (-12)&lt;br&gt;솔 (-10)&lt;br&gt;유망 (-12)</t>
  </si>
  <si>
    <t>G250426002103</t>
  </si>
  <si>
    <t>2025-04-26 00:21</t>
  </si>
  <si>
    <t>민우 (27)&lt;br&gt;원 (20)&lt;br&gt;신형만 (25)&lt;br&gt;솔 (37)</t>
  </si>
  <si>
    <t>유망 (-16)&lt;br&gt;참치 (-15)&lt;br&gt;깡패 (-16)&lt;br&gt;넘버 (-16)</t>
  </si>
  <si>
    <t>G250425234615</t>
  </si>
  <si>
    <t>2025-04-25 23:46</t>
  </si>
  <si>
    <t>유망 (17)&lt;br&gt;원 (16)&lt;br&gt;신형만 (22)&lt;br&gt;깡패 (19)</t>
  </si>
  <si>
    <t>넘버 (-17)&lt;br&gt;참치 (-16)&lt;br&gt;솔 (-12)&lt;br&gt;민우 (-14)</t>
  </si>
  <si>
    <t>G250425232655</t>
  </si>
  <si>
    <t>2025-04-25 23:26</t>
  </si>
  <si>
    <t>원 (15)&lt;br&gt;참치 (22)&lt;br&gt;깡패 (19)&lt;br&gt;솔 (32)</t>
  </si>
  <si>
    <t>유망 (-15)&lt;br&gt;ACDC (-12)&lt;br&gt;신형만 (-14)&lt;br&gt;민우 (-13)</t>
  </si>
  <si>
    <t>G250425230304</t>
  </si>
  <si>
    <t>2025-04-25 23:03</t>
  </si>
  <si>
    <t>참치 (21)&lt;br&gt;원 (15)&lt;br&gt;민우 (21)&lt;br&gt;유망 (15)</t>
  </si>
  <si>
    <t>솔 (-11)&lt;br&gt;깡패 (-15)&lt;br&gt;ACDC (-12)&lt;br&gt;신형만 (-13)</t>
  </si>
  <si>
    <t>G250425230042</t>
  </si>
  <si>
    <t>2025-04-25 23:00</t>
  </si>
  <si>
    <t>민우 (22)&lt;br&gt;깡패 (18)&lt;br&gt;신형만 (20)&lt;br&gt;원 (16)</t>
  </si>
  <si>
    <t>참치 (-16)&lt;br&gt;ACDC (-14)&lt;br&gt;솔 (-13)&lt;br&gt;유망 (-17)</t>
  </si>
  <si>
    <t>G250425215631</t>
  </si>
  <si>
    <t>2025-04-25 21:56</t>
  </si>
  <si>
    <t>ACDC (23)&lt;br&gt;깡패 (18)&lt;br&gt;원 (16)&lt;br&gt;유망 (15)</t>
  </si>
  <si>
    <t>솔 (-13)&lt;br&gt;참치 (-16)&lt;br&gt;신형만 (-15)&lt;br&gt;민우 (-14)</t>
  </si>
  <si>
    <t>G250422013746</t>
  </si>
  <si>
    <t>2025-04-22 01:37</t>
  </si>
  <si>
    <t>ACDC (24)&lt;br&gt;넘버 (15)&lt;br&gt;참치 (21)&lt;br&gt;깡패 (18)</t>
  </si>
  <si>
    <t>터미 (-)&lt;br&gt;신형만 (-14)&lt;br&gt;규식 (-)&lt;br&gt;유망 (-15)</t>
  </si>
  <si>
    <t>G250422003724</t>
  </si>
  <si>
    <t>2025-04-22 00:37</t>
  </si>
  <si>
    <t>넘버 (17)&lt;br&gt;짱구 (15)&lt;br&gt;유망 (15)&lt;br&gt;참치 (22)</t>
  </si>
  <si>
    <t>깡패 (-16)&lt;br&gt;신형만 (-15)&lt;br&gt;ACDC (-13)&lt;br&gt;터미 (-)</t>
  </si>
  <si>
    <t>G250422001309</t>
  </si>
  <si>
    <t>2025-04-22 00:13</t>
  </si>
  <si>
    <t>참치 (27)&lt;br&gt;넘버 (21)&lt;br&gt;신형만 (27)&lt;br&gt;터미 (-)</t>
  </si>
  <si>
    <t>짱구 (-12)&lt;br&gt;ACDC (-10)&lt;br&gt;유망 (-12)&lt;br&gt;깡패 (-12)</t>
  </si>
  <si>
    <t>G250421233610</t>
  </si>
  <si>
    <t>2025-04-21 23:36</t>
  </si>
  <si>
    <t>유망 (18)&lt;br&gt;참치 (28)&lt;br&gt;터미 (-)&lt;br&gt;깡패 (23)</t>
  </si>
  <si>
    <t>짱구 (-16)&lt;br&gt;넘버 (-16)&lt;br&gt;ACDC (-13)&lt;br&gt;신형만 (-14)</t>
  </si>
  <si>
    <t>G250421221802</t>
  </si>
  <si>
    <t>2025-04-21 22:18</t>
  </si>
  <si>
    <t>원 (21)&lt;br&gt;테리 (19)&lt;br&gt;ACDC (28)&lt;br&gt;깡패 (25)</t>
  </si>
  <si>
    <t>짱구 (-12)&lt;br&gt;참치 (-10)&lt;br&gt;신형만 (-10)&lt;br&gt;넘버 (-12)</t>
  </si>
  <si>
    <t>G250421212609</t>
  </si>
  <si>
    <t>2025-04-21 21:26</t>
  </si>
  <si>
    <t>짱구 (16)&lt;br&gt;원 (19)&lt;br&gt;깡패 (22)&lt;br&gt;넘버 (19)</t>
  </si>
  <si>
    <t>신형만 (-10)&lt;br&gt;ACDC (-9)&lt;br&gt;테리 (-11)&lt;br&gt;참치 (-10)</t>
  </si>
  <si>
    <t>G250418005833</t>
  </si>
  <si>
    <t>2025-04-18 00:58</t>
  </si>
  <si>
    <t>넘버 (22)&lt;br&gt;ACDC (28)&lt;br&gt;신형만 (23)&lt;br&gt;원 (23)</t>
  </si>
  <si>
    <t>참치 (-11)&lt;br&gt;깡패 (-11)&lt;br&gt;한메 (-11)&lt;br&gt;유망 (-12)</t>
  </si>
  <si>
    <t>G250418000948</t>
  </si>
  <si>
    <t>2025-04-18 00:09</t>
  </si>
  <si>
    <t>원 (24)&lt;br&gt;ACDC (29)&lt;br&gt;한메 (20)&lt;br&gt;깡패 (26)</t>
  </si>
  <si>
    <t>유망 (-14)&lt;br&gt;넘버 (-14)&lt;br&gt;참치 (-13)&lt;br&gt;신형만 (-13)</t>
  </si>
  <si>
    <t>G250417232125</t>
  </si>
  <si>
    <t>2025-04-17 23:21</t>
  </si>
  <si>
    <t>유망 (17)&lt;br&gt;참치 (26)&lt;br&gt;깡패 (25)&lt;br&gt;원 (23)</t>
  </si>
  <si>
    <t>신형만 (-11)&lt;br&gt;짱구 (-12)&lt;br&gt;ACDC (-9)&lt;br&gt;한메 (-11)</t>
  </si>
  <si>
    <t>G250417224639</t>
  </si>
  <si>
    <t>2025-04-17 22:46</t>
  </si>
  <si>
    <t>한메 (19)&lt;br&gt;짱구 (17)&lt;br&gt;깡패 (26)&lt;br&gt;참치 (27)</t>
  </si>
  <si>
    <t>신형만 (-11)&lt;br&gt;원 (-11)&lt;br&gt;ACDC (-9)&lt;br&gt;유망 (-12)</t>
  </si>
  <si>
    <t>G250413235345</t>
  </si>
  <si>
    <t>2025-04-13 23:53</t>
  </si>
  <si>
    <t>ACDC (28)&lt;br&gt;참치 (28)&lt;br&gt;노인 (21)&lt;br&gt;넘버 (21)</t>
  </si>
  <si>
    <t>짱구 (-14)&lt;br&gt;필찌 (-)&lt;br&gt;한메 (-14)&lt;br&gt;깡패 (-13)</t>
  </si>
  <si>
    <t>G250413232016</t>
  </si>
  <si>
    <t>2025-04-13 23:20</t>
  </si>
  <si>
    <t>짱구 (17)&lt;br&gt;깡패 (26)&lt;br&gt;노픽업 (23)&lt;br&gt;참치 (29)</t>
  </si>
  <si>
    <t>필찌 (-)&lt;br&gt;ACDC (-15)&lt;br&gt;한메 (-18)&lt;br&gt;넘버 (-19)</t>
  </si>
  <si>
    <t>G250413224932</t>
  </si>
  <si>
    <t>2025-04-13 22:49</t>
  </si>
  <si>
    <t>테리 (15)&lt;br&gt;깡패 (24)&lt;br&gt;한메 (15)&lt;br&gt;터미 (-)</t>
  </si>
  <si>
    <t>웅 (-)&lt;br&gt;ACDC (-11)&lt;br&gt;노픽업 (-12)&lt;br&gt;넘버 (-14)</t>
  </si>
  <si>
    <t>G250413222143</t>
  </si>
  <si>
    <t>2025-04-13 22:21</t>
  </si>
  <si>
    <t>테리 (17)&lt;br&gt;웅 (-)&lt;br&gt;ACDC (27)&lt;br&gt;한메 (18)</t>
  </si>
  <si>
    <t>넘버 (-13)&lt;br&gt;노픽업 (-11)&lt;br&gt;신형만 (-12)&lt;br&gt;터미 (-)</t>
  </si>
  <si>
    <t>G250413214032</t>
  </si>
  <si>
    <t>2025-04-13 21:40</t>
  </si>
  <si>
    <t>한메 (18)&lt;br&gt;필찌 (-)&lt;br&gt;터미 (-)&lt;br&gt;노픽업 (22)</t>
  </si>
  <si>
    <t>신형만 (-14)&lt;br&gt;ACDC (-12)&lt;br&gt;테리 (-15)&lt;br&gt;전투쥐 (-12)</t>
  </si>
  <si>
    <t>G250413210341</t>
  </si>
  <si>
    <t>2025-04-13 21:03</t>
  </si>
  <si>
    <t>신형만 (16)&lt;br&gt;재명 (-)&lt;br&gt;한메 (16)&lt;br&gt;노픽업 (20)</t>
  </si>
  <si>
    <t>전투쥐 (180)&lt;br&gt;테리 (-12)&lt;br&gt;필찌 (-)&lt;br&gt;터미 (-)</t>
  </si>
  <si>
    <t>G250413202529</t>
  </si>
  <si>
    <t>2025-04-13 20:25</t>
  </si>
  <si>
    <t>테리 (14)&lt;br&gt;노픽업 (21)&lt;br&gt;필찌 (-)&lt;br&gt;신형만 (16)</t>
  </si>
  <si>
    <t>한메 (-17)&lt;br&gt;재명 (-)&lt;br&gt;터미 (-)&lt;br&gt;전투쥐 (-)</t>
  </si>
  <si>
    <t>G250410014500</t>
  </si>
  <si>
    <t>2025-04-10 01:44</t>
  </si>
  <si>
    <t>신형만 (16)&lt;br&gt;깡패 (22)&lt;br&gt;짱구 (12)&lt;br&gt;유망 (12)</t>
  </si>
  <si>
    <t>터미 (-)&lt;br&gt;참치 (-13)&lt;br&gt;ACDC (-12)&lt;br&gt;민우 (-13)</t>
  </si>
  <si>
    <t>G250410010317</t>
  </si>
  <si>
    <t>2025-04-10 01:03</t>
  </si>
  <si>
    <t>짱구 (13)&lt;br&gt;규식 (-)&lt;br&gt;유망 (14)&lt;br&gt;민우 (20)</t>
  </si>
  <si>
    <t>참치 (-16)&lt;br&gt;웅 (-)&lt;br&gt;ACDC (-14)&lt;br&gt;신형만 (-17)</t>
  </si>
  <si>
    <t>G250410004349</t>
  </si>
  <si>
    <t>2025-04-10 00:43</t>
  </si>
  <si>
    <t>신형만 (16)&lt;br&gt;짱구 (13)&lt;br&gt;참치 (23)&lt;br&gt;민우 (20)</t>
  </si>
  <si>
    <t>웅 (-)&lt;br&gt;규식 (-)&lt;br&gt;ACDC (-13)&lt;br&gt;유망 (-16)</t>
  </si>
  <si>
    <t>G250410000646</t>
  </si>
  <si>
    <t>2025-04-10 00:06</t>
  </si>
  <si>
    <t>ACDC (27)&lt;br&gt;규식 (-)&lt;br&gt;참치 (30)&lt;br&gt;민우 (25)</t>
  </si>
  <si>
    <t>짱구 (-13)&lt;br&gt;웅 (-)&lt;br&gt;유망 (-13)&lt;br&gt;신형만 (-12)</t>
  </si>
  <si>
    <t>G250409230033</t>
  </si>
  <si>
    <t>2025-04-09 23:00</t>
  </si>
  <si>
    <t>ACDC (26)&lt;br&gt;테리 (16)&lt;br&gt;참치 (29)&lt;br&gt;강화 (-)</t>
  </si>
  <si>
    <t>신형만 (-12)&lt;br&gt;웅 (-)&lt;br&gt;노픽업 (-11)&lt;br&gt;한메 (-12)</t>
  </si>
  <si>
    <t>G250409215337</t>
  </si>
  <si>
    <t>2025-04-09 21:53</t>
  </si>
  <si>
    <t>짱구 (15)&lt;br&gt;테리 (15)&lt;br&gt;웅 (-)&lt;br&gt;노픽업 (22)</t>
  </si>
  <si>
    <t>한메 (-18)&lt;br&gt;ACDC (-14)&lt;br&gt;강화 (-)&lt;br&gt;신형만 (-17)</t>
  </si>
  <si>
    <t>G250409213340</t>
  </si>
  <si>
    <t>2025-04-09 21:33</t>
  </si>
  <si>
    <t>한메 (15)&lt;br&gt;웅 (-)&lt;br&gt;넘버 (14)&lt;br&gt;신형만 (19)</t>
  </si>
  <si>
    <t>ACDC (-11)&lt;br&gt;노픽업 (-12)&lt;br&gt;테리 (-13)&lt;br&gt;강화 (-)</t>
  </si>
  <si>
    <t>G250409005219</t>
  </si>
  <si>
    <t>2025-04-09 00:52</t>
  </si>
  <si>
    <t>짱구 (14)&lt;br&gt;신형만 (20)&lt;br&gt;테리 (15)&lt;br&gt;터미 (-)</t>
  </si>
  <si>
    <t>강화 (-)&lt;br&gt;넘버 (-12)&lt;br&gt;ACDC (-10)&lt;br&gt;참치 (-10)</t>
  </si>
  <si>
    <t>G250409000106</t>
  </si>
  <si>
    <t>2025-04-09 00:01</t>
  </si>
  <si>
    <t>넘버 (16)&lt;br&gt;짱구 (16)&lt;br&gt;ACDC (25)&lt;br&gt;터미 (-)</t>
  </si>
  <si>
    <t>강화 (-)&lt;br&gt;신형만 (-15)&lt;br&gt;한메 (-16)&lt;br&gt;참치 (-14)</t>
  </si>
  <si>
    <t>G250408223031</t>
  </si>
  <si>
    <t>2025-04-08 22:30</t>
  </si>
  <si>
    <t>테리 (14)&lt;br&gt;ACDC (23)&lt;br&gt;한메 (14)&lt;br&gt;신형만 (19)</t>
  </si>
  <si>
    <t>짱구 (-14)&lt;br&gt;노픽업 (-12)&lt;br&gt;터미 (-)&lt;br&gt;강화 (-)</t>
  </si>
  <si>
    <t>G250408222822</t>
  </si>
  <si>
    <t>2025-04-08 22:28</t>
  </si>
  <si>
    <t>신형만 (18)&lt;br&gt;짱구 (13)&lt;br&gt;노픽업 (19)&lt;br&gt;한메 (13)</t>
  </si>
  <si>
    <t>터미 (-)&lt;br&gt;테리 (-15)&lt;br&gt;ACDC (-12)&lt;br&gt;강화 (-)</t>
  </si>
  <si>
    <t>G250408212757</t>
  </si>
  <si>
    <t>2025-04-08 21:27</t>
  </si>
  <si>
    <t>한메 (15)&lt;br&gt;짱구 (14)&lt;br&gt;테리 (14)&lt;br&gt;강화 (-)</t>
  </si>
  <si>
    <t>신형만 (-11)&lt;br&gt;ACDC (-9)&lt;br&gt;터미 (-)&lt;br&gt;노픽업 (-10)</t>
  </si>
  <si>
    <t>G250408010908</t>
  </si>
  <si>
    <t>2025-04-08 01:09</t>
  </si>
  <si>
    <t>참치 (29)&lt;br&gt;노픽업 (23)&lt;br&gt;유망 (15)&lt;br&gt;넘버 (18)</t>
  </si>
  <si>
    <t>ACDC (-11)&lt;br&gt;테리 (-13)&lt;br&gt;노인 (-13)&lt;br&gt;깡패 (-12)</t>
  </si>
  <si>
    <t>G250407230954</t>
  </si>
  <si>
    <t>2025-04-07 23:09</t>
  </si>
  <si>
    <t>유망 (15)&lt;br&gt;노인 (19)&lt;br&gt;노픽업 (24)&lt;br&gt;한메 (18)</t>
  </si>
  <si>
    <t>참치 (-14)&lt;br&gt;신형만 (-16)&lt;br&gt;테리 (-17)&lt;br&gt;ACDC (-14)</t>
  </si>
  <si>
    <t>G250407224810</t>
  </si>
  <si>
    <t>2025-04-07 22:48</t>
  </si>
  <si>
    <t>한메 (19)&lt;br&gt;노인 (20)&lt;br&gt;짱구 (18)&lt;br&gt;민우 (24)</t>
  </si>
  <si>
    <t>신형만 (-13)&lt;br&gt;참치 (-12)&lt;br&gt;ACDC (-11)&lt;br&gt;넘버 (-14)</t>
  </si>
  <si>
    <t>G250407220528</t>
  </si>
  <si>
    <t>2025-04-07 22:05</t>
  </si>
  <si>
    <t>노인 (19)&lt;br&gt;짱구 (17)&lt;br&gt;신형만 (20)&lt;br&gt;넘버 (16)</t>
  </si>
  <si>
    <t>민우 (-16)&lt;br&gt;ACDC (-16)&lt;br&gt;참치 (-16)&lt;br&gt;한메 (-18)</t>
  </si>
  <si>
    <t>G250407213339</t>
  </si>
  <si>
    <t>2025-04-07 21:33</t>
  </si>
  <si>
    <t>테리 (15)&lt;br&gt;신형만 (21)&lt;br&gt;ACDC (23)&lt;br&gt;넘버 (16)</t>
  </si>
  <si>
    <t>깡패 (-10)&lt;br&gt;유즈 (-)&lt;br&gt;민우 (-10)&lt;br&gt;노인 (-11)</t>
  </si>
  <si>
    <t>G250407204723</t>
  </si>
  <si>
    <t>2025-04-07 20:45</t>
  </si>
  <si>
    <t>신형만 (25)&lt;br&gt;유즈 (-)&lt;br&gt;넘버 (20)&lt;br&gt;민우 (24)</t>
  </si>
  <si>
    <t>테리 (-16)&lt;br&gt;ACDC (-14)&lt;br&gt;노인 (-15)&lt;br&gt;깡패 (-15)</t>
  </si>
  <si>
    <t>G250407003126</t>
  </si>
  <si>
    <t>2025-04-07 00:31</t>
  </si>
  <si>
    <t>솔 (24)&lt;br&gt;깡패 (19)&lt;br&gt;신형만 (23)&lt;br&gt;유망 (14)</t>
  </si>
  <si>
    <t>웅 (-)&lt;br&gt;짱구 (-12)&lt;br&gt;노인 (-11)&lt;br&gt;노픽업 (-10)</t>
  </si>
  <si>
    <t>G250406234759</t>
  </si>
  <si>
    <t>2025-04-06 23:47</t>
  </si>
  <si>
    <t>신형만 (23)&lt;br&gt;짱구 (16)&lt;br&gt;노인 (17)&lt;br&gt;깡패 (19)</t>
  </si>
  <si>
    <t>웅 (-)&lt;br&gt;노픽업 (-12)&lt;br&gt;솔 (-11)&lt;br&gt;유망 (-14)</t>
  </si>
  <si>
    <t>G250406225335</t>
  </si>
  <si>
    <t>2025-04-06 22:53</t>
  </si>
  <si>
    <t>짱구 (21)&lt;br&gt;노인 (22)&lt;br&gt;원 (23)&lt;br&gt;솔 (28)</t>
  </si>
  <si>
    <t>유망 (-16)&lt;br&gt;신형만 (-14)&lt;br&gt;테리 (-16)&lt;br&gt;노픽업 (-14)</t>
  </si>
  <si>
    <t>G250406221853</t>
  </si>
  <si>
    <t>2025-04-06 22:18</t>
  </si>
  <si>
    <t>솔 (28)&lt;br&gt;테리 (16)&lt;br&gt;노인 (21)&lt;br&gt;유망 (16)</t>
  </si>
  <si>
    <t>짱구 (-15)&lt;br&gt;신형만 (-14)&lt;br&gt;필찌 (-)&lt;br&gt;원 (-16)</t>
  </si>
  <si>
    <t>G250406215353</t>
  </si>
  <si>
    <t>2025-04-06 21:53</t>
  </si>
  <si>
    <t>한메 (18)&lt;br&gt;테리 (16)&lt;br&gt;필찌 (-)&lt;br&gt;원 (19)</t>
  </si>
  <si>
    <t>짱구 (-15)&lt;br&gt;솔 (-12)&lt;br&gt;노인 (-14)&lt;br&gt;신형만 (-14)</t>
  </si>
  <si>
    <t>G250406213311</t>
  </si>
  <si>
    <t>2025-04-06 21:33</t>
  </si>
  <si>
    <t>노인 (21)&lt;br&gt;짱구 (19)&lt;br&gt;필찌 (-)&lt;br&gt;넘버 (20)</t>
  </si>
  <si>
    <t>한메 (-15)&lt;br&gt;솔 (-12)&lt;br&gt;신형만 (-15)&lt;br&gt;원 (-16)</t>
  </si>
  <si>
    <t>G250406210036</t>
  </si>
  <si>
    <t>2025-04-06 21:00</t>
  </si>
  <si>
    <t>노인 (23)&lt;br&gt;원 (21)&lt;br&gt;필찌 (-)&lt;br&gt;한메 (20)</t>
  </si>
  <si>
    <t>짱구 (-17)&lt;br&gt;신형만 (-17)&lt;br&gt;넘버 (-18)&lt;br&gt;솔 (-14)</t>
  </si>
  <si>
    <t>G250406175035</t>
  </si>
  <si>
    <t>2025-04-06 17:50</t>
  </si>
  <si>
    <t>짱구 (21)&lt;br&gt;필찌 (-)&lt;br&gt;신형만 (26)&lt;br&gt;한메 (24)</t>
  </si>
  <si>
    <t>테리 (-14)&lt;br&gt;노인 (-13)&lt;br&gt;넘버 (-14)&lt;br&gt;원 (-14)</t>
  </si>
  <si>
    <t>G250406172054</t>
  </si>
  <si>
    <t>2025-04-06 17:20</t>
  </si>
  <si>
    <t>노인 (23)&lt;br&gt;짱구 (20)&lt;br&gt;한메 (22)&lt;br&gt;넘버 (22)</t>
  </si>
  <si>
    <t>원 (-14)&lt;br&gt;필찌 (-)&lt;br&gt;테리 (-13)&lt;br&gt;신형만 (-13)</t>
  </si>
  <si>
    <t>G250406163812</t>
  </si>
  <si>
    <t>2025-04-06 16:38</t>
  </si>
  <si>
    <t>원 (19)&lt;br&gt;짱구 (19)&lt;br&gt;테리 (17)&lt;br&gt;한메 (22)</t>
  </si>
  <si>
    <t>필찌 (-)&lt;br&gt;노인 (-15)&lt;br&gt;넘버 (-17)&lt;br&gt;신형만 (-16)</t>
  </si>
  <si>
    <t>G250406162130</t>
  </si>
  <si>
    <t>2025-04-06 16:21</t>
  </si>
  <si>
    <t>짱구 (20)&lt;br&gt;노인 (22)&lt;br&gt;테리 (18)&lt;br&gt;신형만 (23)</t>
  </si>
  <si>
    <t>전투쥐 (-)&lt;br&gt;필찌 (-)&lt;br&gt;넘버 (-17)&lt;br&gt;원 (-18)</t>
  </si>
  <si>
    <t>G250406154952</t>
  </si>
  <si>
    <t>2025-04-06 15:49</t>
  </si>
  <si>
    <t>짱구 (23)&lt;br&gt;필찌 (-)&lt;br&gt;노인 (25)&lt;br&gt;원 (22)</t>
  </si>
  <si>
    <t>전투쥐 (-)&lt;br&gt;테리 (-20)&lt;br&gt;신형만 (-19)&lt;br&gt;넘버 (-21)</t>
  </si>
  <si>
    <t>G250406152622</t>
  </si>
  <si>
    <t>2025-04-06 15:26</t>
  </si>
  <si>
    <t>노인 (22)&lt;br&gt;넘버 (18)&lt;br&gt;테리 (16)&lt;br&gt;원 (19)</t>
  </si>
  <si>
    <t>신형만 (-15)&lt;br&gt;필찌 (-)&lt;br&gt;짱구 (-14)&lt;br&gt;전투쥐 (-)</t>
  </si>
  <si>
    <t>G250406150048</t>
  </si>
  <si>
    <t>2025-04-06 15:00</t>
  </si>
  <si>
    <t>신형만 (22)&lt;br&gt;노인 (29)&lt;br&gt;짱구 (21)&lt;br&gt;원 (21)</t>
  </si>
  <si>
    <t>테리 (-15)&lt;br&gt;필찌 (-)&lt;br&gt;넘버 (-16)&lt;br&gt;전투쥐 (-)</t>
  </si>
  <si>
    <t>G250406143433</t>
  </si>
  <si>
    <t>2025-04-06 14:34</t>
  </si>
  <si>
    <t>필찌 (-)&lt;br&gt;신형만 (23)&lt;br&gt;테리 (18)&lt;br&gt;원 (22)</t>
  </si>
  <si>
    <t>넘버 (-16)&lt;br&gt;노인 (-13)&lt;br&gt;짱구 (-14)&lt;br&gt;전투쥐 (-)</t>
  </si>
  <si>
    <t>G250403221252</t>
  </si>
  <si>
    <t>2025-04-03 22:12</t>
  </si>
  <si>
    <t>전투쥐 (-)&lt;br&gt;ACDC (21)&lt;br&gt;신형만 (20)&lt;br&gt;깡패 (22)</t>
  </si>
  <si>
    <t>웅 (-)&lt;br&gt;테리 (-12)&lt;br&gt;터미 (-)&lt;br&gt;강화 (-)</t>
  </si>
  <si>
    <t>G250403212914</t>
  </si>
  <si>
    <t>2025-04-03 21:29</t>
  </si>
  <si>
    <t>전투쥐 (-)&lt;br&gt;넘버 (17)&lt;br&gt;규식 (-)&lt;br&gt;깡패 (25)</t>
  </si>
  <si>
    <t>테리 (-20)&lt;br&gt;ACDC (-18)&lt;br&gt;터미 (-)&lt;br&gt;신형만 (-19)</t>
  </si>
  <si>
    <t>G250403210434</t>
  </si>
  <si>
    <t>2025-04-03 21:04</t>
  </si>
  <si>
    <t>테리 (17)&lt;br&gt;깡패 (27)&lt;br&gt;전투쥐 (-)&lt;br&gt;터미 (-)</t>
  </si>
  <si>
    <t>넘버 (-17)&lt;br&gt;ACDC (-14)&lt;br&gt;신형만 (-16)&lt;br&gt;규식 (-)</t>
  </si>
  <si>
    <t>G250403202220</t>
  </si>
  <si>
    <t>2025-04-03 20:22</t>
  </si>
  <si>
    <t>넘버 (16)&lt;br&gt;테리 (16)&lt;br&gt;전투쥐 (-)&lt;br&gt;신형만 (21)</t>
  </si>
  <si>
    <t>터미 (-)&lt;br&gt;노인 (-16)&lt;br&gt;ACDC (-17)&lt;br&gt;깡패 (-17)</t>
  </si>
  <si>
    <t>G250329023300</t>
  </si>
  <si>
    <t>2025-03-29 02:32</t>
  </si>
  <si>
    <t>넘버 (14)&lt;br&gt;짱구 (18)&lt;br&gt;참치 (20)&lt;br&gt;원 (16)</t>
  </si>
  <si>
    <t>테리 (-13)&lt;br&gt;깡패 (-12)&lt;br&gt;태식 (-)&lt;br&gt;솔 (-11)</t>
  </si>
  <si>
    <t>G250329020508</t>
  </si>
  <si>
    <t>2025-03-29 02:05</t>
  </si>
  <si>
    <t>깡패 (22)&lt;br&gt;짱구 (21)&lt;br&gt;태식 (-)&lt;br&gt;넘버 (16)</t>
  </si>
  <si>
    <t>솔 (-14)&lt;br&gt;테리 (-16)&lt;br&gt;참치 (216)&lt;br&gt;원 (-16)</t>
  </si>
  <si>
    <t>G250329002824</t>
  </si>
  <si>
    <t>2025-03-29 00:28</t>
  </si>
  <si>
    <t>솔 (27)&lt;br&gt;넘버 (14)&lt;br&gt;신형만 (20)&lt;br&gt;원 (19)</t>
  </si>
  <si>
    <t>단수 (-)&lt;br&gt;참치 (-)&lt;br&gt;짱구 (-11)&lt;br&gt;노픽업 (-11)</t>
  </si>
  <si>
    <t>G250328234906</t>
  </si>
  <si>
    <t>2025-03-28 23:49</t>
  </si>
  <si>
    <t>단수 (-)&lt;br&gt;짱구 (25)&lt;br&gt;원 (22)&lt;br&gt;솔 (30)</t>
  </si>
  <si>
    <t>신형만 (-12)&lt;br&gt;참치 (-)&lt;br&gt;노픽업 (-12)&lt;br&gt;민우 (-11)</t>
  </si>
  <si>
    <t>G250328230403</t>
  </si>
  <si>
    <t>2025-03-28 23:04</t>
  </si>
  <si>
    <t>신형만 (19)&lt;br&gt;짱구 (22)&lt;br&gt;노픽업 (21)&lt;br&gt;원 (19)</t>
  </si>
  <si>
    <t>솔 (-16)&lt;br&gt;참치 (-)&lt;br&gt;단수 (-)&lt;br&gt;민우 (-18)</t>
  </si>
  <si>
    <t>G250328225000</t>
  </si>
  <si>
    <t>2025-03-28 22:49</t>
  </si>
  <si>
    <t>단수 (-)&lt;br&gt;참치 (-)&lt;br&gt;신형만 (23)&lt;br&gt;원 (23)</t>
  </si>
  <si>
    <t>민우 (-15)&lt;br&gt;짱구 (-15)&lt;br&gt;노픽업 (-15)&lt;br&gt;솔 (-14)</t>
  </si>
  <si>
    <t>G250327211227</t>
  </si>
  <si>
    <t>2025-03-27 21:12</t>
  </si>
  <si>
    <t>깡패 (27)&lt;br&gt;테리 (16)&lt;br&gt;짱구 (22)&lt;br&gt;전투쥐 (-)</t>
  </si>
  <si>
    <t>유즈 (-)&lt;br&gt;노인 (-14)&lt;br&gt;노픽업 (-15)&lt;br&gt;넘버 (-17)</t>
  </si>
  <si>
    <t>G250327204237</t>
  </si>
  <si>
    <t>2025-03-27 20:42</t>
  </si>
  <si>
    <t>테리 (18)&lt;br&gt;유즈 (-)&lt;br&gt;전투쥐 (-)&lt;br&gt;노픽업 (21)</t>
  </si>
  <si>
    <t>기재 (-)&lt;br&gt;깡패 (-11)&lt;br&gt;노인 (-11)&lt;br&gt;넘버 (-13)</t>
  </si>
  <si>
    <t>G250327171105</t>
  </si>
  <si>
    <t>2025-03-27 17:11</t>
  </si>
  <si>
    <t>테리 (14)&lt;br&gt;신형만 (21)&lt;br&gt;짱구 (19)&lt;br&gt;노인 (22)</t>
  </si>
  <si>
    <t>유즈 (-)&lt;br&gt;따 (-)&lt;br&gt;민우 (-17)&lt;br&gt;노픽업 (-16)</t>
  </si>
  <si>
    <t>G250327165152</t>
  </si>
  <si>
    <t>2025-03-27 16:51</t>
  </si>
  <si>
    <t>민우 (16)&lt;br&gt;테리 (14)&lt;br&gt;노인 (22)&lt;br&gt;노픽업 (17)</t>
  </si>
  <si>
    <t>신형만 (-16)&lt;br&gt;유즈 (-)&lt;br&gt;짱구 (-15)&lt;br&gt;따 (-)</t>
  </si>
  <si>
    <t>G250327162626</t>
  </si>
  <si>
    <t>2025-03-27 16:26</t>
  </si>
  <si>
    <t>ACDC (21)&lt;br&gt;노인 (184)&lt;br&gt;노픽업 (20)&lt;br&gt;신형만 (24)</t>
  </si>
  <si>
    <t>테리 (-16)&lt;br&gt;따 (-)&lt;br&gt;짱구 (-15)&lt;br&gt;민우 (-15)</t>
  </si>
  <si>
    <t>G250327155039</t>
  </si>
  <si>
    <t>2025-03-27 15:50</t>
  </si>
  <si>
    <t>민우 (21)&lt;br&gt;ACDC (24)&lt;br&gt;따 (-)&lt;br&gt;노인 (-)</t>
  </si>
  <si>
    <t>짱구 (-17)&lt;br&gt;신형만 (-17)&lt;br&gt;테리 (-18)&lt;br&gt;노픽업 (-17)</t>
  </si>
  <si>
    <t>G250327020433</t>
  </si>
  <si>
    <t>2025-03-27 02:04</t>
  </si>
  <si>
    <t>노인 (-)&lt;br&gt;짱구 (27)&lt;br&gt;ACDC (29)&lt;br&gt;신형만 (26)</t>
  </si>
  <si>
    <t>넘버 (-13)&lt;br&gt;테리 (-13)&lt;br&gt;태식 (-)&lt;br&gt;민우 (-12)</t>
  </si>
  <si>
    <t>G250327011909</t>
  </si>
  <si>
    <t>2025-03-27 01:19</t>
  </si>
  <si>
    <t>신형만 (23)&lt;br&gt;테리 (17)&lt;br&gt;ACDC (26)&lt;br&gt;넘버 (15)</t>
  </si>
  <si>
    <t>노인 (-)&lt;br&gt;태식 (-)&lt;br&gt;짱구 (-15)&lt;br&gt;민우 (-16)</t>
  </si>
  <si>
    <t>G250326233558</t>
  </si>
  <si>
    <t>2025-03-26 23:35</t>
  </si>
  <si>
    <t>유망 (13)&lt;br&gt;짱구 (18)&lt;br&gt;ACDC (22)&lt;br&gt;노픽업 (17)</t>
  </si>
  <si>
    <t>노인 (-)&lt;br&gt;깡패 (-14)&lt;br&gt;태식 (-)&lt;br&gt;신형만 (-14)</t>
  </si>
  <si>
    <t>G250326233235</t>
  </si>
  <si>
    <t>2025-03-26 23:32</t>
  </si>
  <si>
    <t>ACDC (24)&lt;br&gt;짱구 (21)&lt;br&gt;유망 (15)&lt;br&gt;넘버 (17)</t>
  </si>
  <si>
    <t>깡패 (-18)&lt;br&gt;노픽업 (-18)&lt;br&gt;신형만 (-18)&lt;br&gt;노인 (-)</t>
  </si>
  <si>
    <t>G250326231902</t>
  </si>
  <si>
    <t>2025-03-26 23:18</t>
  </si>
  <si>
    <t>유망 (15)&lt;br&gt;노픽업 (20)&lt;br&gt;노인 (-)&lt;br&gt;태식 (-)</t>
  </si>
  <si>
    <t>짱구 (-18)&lt;br&gt;ACDC (-17)&lt;br&gt;깡패 (-19)&lt;br&gt;신형만 (-19)</t>
  </si>
  <si>
    <t>G250326220844</t>
  </si>
  <si>
    <t>2025-03-26 22:08</t>
  </si>
  <si>
    <t>신형만 (22)&lt;br&gt;ACDC (24)&lt;br&gt;노인 (-)&lt;br&gt;유망 (15)</t>
  </si>
  <si>
    <t>짱구 (-11)&lt;br&gt;노픽업 (-11)&lt;br&gt;깡패 (-11)&lt;br&gt;태식 (-)</t>
  </si>
  <si>
    <t>G250326212827</t>
  </si>
  <si>
    <t>2025-03-26 21:28</t>
  </si>
  <si>
    <t>테리 (15)&lt;br&gt;짱구 (20)&lt;br&gt;넘버 (16)&lt;br&gt;노픽업 (19)</t>
  </si>
  <si>
    <t>신형만 (-14)&lt;br&gt;노인 (-)&lt;br&gt;ACDC (-12)&lt;br&gt;깡패 (-14)</t>
  </si>
  <si>
    <t>G250326210127</t>
  </si>
  <si>
    <t>2025-03-26 21:01</t>
  </si>
  <si>
    <t>ACDC (27)&lt;br&gt;테리 (18)&lt;br&gt;유즈 (-)&lt;br&gt;넘버 (20)</t>
  </si>
  <si>
    <t>짱구 (-14)&lt;br&gt;깡패 (-15)&lt;br&gt;신형만 (-15)&lt;br&gt;노픽업 (-15)</t>
  </si>
  <si>
    <t>G250326202737</t>
  </si>
  <si>
    <t>2025-03-26 20:27</t>
  </si>
  <si>
    <t>넘버 (20)&lt;br&gt;노픽업 (21)&lt;br&gt;유즈 (-)&lt;br&gt;깡패 (23)</t>
  </si>
  <si>
    <t>짱구 (-13)&lt;br&gt;테리 (-14)&lt;br&gt;ACDC (-11)&lt;br&gt;신형만 (-13)</t>
  </si>
  <si>
    <t>G250325225735</t>
  </si>
  <si>
    <t>2025-03-25 22:57</t>
  </si>
  <si>
    <t>웅 (-)&lt;br&gt;신형만 (24)&lt;br&gt;원 (24)&lt;br&gt;민우 (24)</t>
  </si>
  <si>
    <t>테리 (-16)&lt;br&gt;짱구 (-15)&lt;br&gt;ACDC (-13)&lt;br&gt;깡패 (-15)</t>
  </si>
  <si>
    <t>G250325221341</t>
  </si>
  <si>
    <t>2025-03-25 22:13</t>
  </si>
  <si>
    <t>민우 (24)&lt;br&gt;깡패 (23)&lt;br&gt;테리 (19)&lt;br&gt;원 (24)</t>
  </si>
  <si>
    <t>신형만 (-13)&lt;br&gt;짱구 (-12)&lt;br&gt;ACDC (-11)&lt;br&gt;노픽업 (-12)</t>
  </si>
  <si>
    <t>G250325213725</t>
  </si>
  <si>
    <t>2025-03-25 21:37</t>
  </si>
  <si>
    <t>신형만 (22)&lt;br&gt;노픽업 (23)&lt;br&gt;테리 (19)&lt;br&gt;원 (23)</t>
  </si>
  <si>
    <t>ACDC (-15)&lt;br&gt;노인 (-)&lt;br&gt;짱구 (-16)&lt;br&gt;민우 (-16)</t>
  </si>
  <si>
    <t>G250325210315</t>
  </si>
  <si>
    <t>2025-03-25 21:03</t>
  </si>
  <si>
    <t>신형만 (23)&lt;br&gt;노픽업 (25)&lt;br&gt;짱구 (22)&lt;br&gt;민우 (23)</t>
  </si>
  <si>
    <t>테리 (-18)&lt;br&gt;ACDC (-15)&lt;br&gt;노인 (-)&lt;br&gt;원 (-16)</t>
  </si>
  <si>
    <t>G250324223945</t>
  </si>
  <si>
    <t>2025-03-24 22:39</t>
  </si>
  <si>
    <t>넘버 (19)&lt;br&gt;원 (212)&lt;br&gt;테리 (20)&lt;br&gt;유망 (19)</t>
  </si>
  <si>
    <t>노인 (-)&lt;br&gt;짱구 (-18)&lt;br&gt;노픽업 (180)&lt;br&gt;깡패 (-18)</t>
  </si>
  <si>
    <t>G250324220616</t>
  </si>
  <si>
    <t>2025-03-24 22:06</t>
  </si>
  <si>
    <t>테리 (17)&lt;br&gt;깡패 (276)&lt;br&gt;노인 (-)&lt;br&gt;유망 (17)</t>
  </si>
  <si>
    <t>넘버 (-14)&lt;br&gt;짱구 (-13)&lt;br&gt;원 (-)&lt;br&gt;조드 (-)</t>
  </si>
  <si>
    <t>G250324213922</t>
  </si>
  <si>
    <t>2025-03-24 21:39</t>
  </si>
  <si>
    <t>테리 (304)&lt;br&gt;짱구 (19)&lt;br&gt;유망 (18)&lt;br&gt;원 (-)</t>
  </si>
  <si>
    <t>노인 (-)&lt;br&gt;깡패 (-)&lt;br&gt;넘버 (-20)&lt;br&gt;조드 (-)</t>
  </si>
  <si>
    <t>G250324211630</t>
  </si>
  <si>
    <t>2025-03-24 21:16</t>
  </si>
  <si>
    <t>신형만 (21)&lt;br&gt;깡패 (-)&lt;br&gt;노픽업 (-)&lt;br&gt;유망 (18)</t>
  </si>
  <si>
    <t>노인 (-)&lt;br&gt;짱구 (-11)&lt;br&gt;넘버 (-12)&lt;br&gt;원 (-)</t>
  </si>
  <si>
    <t>G250322024836</t>
  </si>
  <si>
    <t>2025-03-22 02:48</t>
  </si>
  <si>
    <t>유망 (18)&lt;br&gt;넘버 (18)&lt;br&gt;짱구 (260)&lt;br&gt;솔 (27)</t>
  </si>
  <si>
    <t>원 (-)&lt;br&gt;신형만 (-12)&lt;br&gt;참치 (-)&lt;br&gt;깡패 (-)</t>
  </si>
  <si>
    <t>G250322020715</t>
  </si>
  <si>
    <t>2025-03-22 02:07</t>
  </si>
  <si>
    <t>원 (-)&lt;br&gt;짱구 (-)&lt;br&gt;신형만 (26)&lt;br&gt;유망 (20)</t>
  </si>
  <si>
    <t>솔 (-12)&lt;br&gt;깡패 (-)&lt;br&gt;넘버 (-14)&lt;br&gt;참치 (-)</t>
  </si>
  <si>
    <t>G250322013601</t>
  </si>
  <si>
    <t>2025-03-22 01:35</t>
  </si>
  <si>
    <t>참치 (-)&lt;br&gt;짱구 (-)&lt;br&gt;깡패 (-)&lt;br&gt;유망 (20)</t>
  </si>
  <si>
    <t>솔 (120)&lt;br&gt;넘버 (-15)&lt;br&gt;원 (-)&lt;br&gt;신형만 (-13)</t>
  </si>
  <si>
    <t>G250322005612</t>
  </si>
  <si>
    <t>2025-03-22 00:56</t>
  </si>
  <si>
    <t>원 (-)&lt;br&gt;짱구 (-)&lt;br&gt;유망 (220)&lt;br&gt;솔 (-)</t>
  </si>
  <si>
    <t>참치 (-)&lt;br&gt;넘버 (-22)&lt;br&gt;민우 (-19)&lt;br&gt;신형만 (-19)</t>
  </si>
  <si>
    <t>G250322003912</t>
  </si>
  <si>
    <t>2025-03-22 00:39</t>
  </si>
  <si>
    <t>참치 (-)&lt;br&gt;짱구 (-)&lt;br&gt;유망 (-)&lt;br&gt;넘버 (16)</t>
  </si>
  <si>
    <t>솔 (-)&lt;br&gt;원 (-)&lt;br&gt;민우 (-15)&lt;br&gt;신형만 (-15)</t>
  </si>
  <si>
    <t>G250322001137</t>
  </si>
  <si>
    <t>2025-03-22 00:11</t>
  </si>
  <si>
    <t>솔 (-)&lt;br&gt;짱구 (-)&lt;br&gt;넘버 (17)&lt;br&gt;신형만 (23)</t>
  </si>
  <si>
    <t>유망 (-)&lt;br&gt;원 (-)&lt;br&gt;참치 (-)&lt;br&gt;민우 (-13)</t>
  </si>
  <si>
    <t>G250321233413</t>
  </si>
  <si>
    <t>2025-03-21 23:34</t>
  </si>
  <si>
    <t>신형만 (23)&lt;br&gt;넘버 (17)&lt;br&gt;원 (-)&lt;br&gt;유망 (-)</t>
  </si>
  <si>
    <t>솔 (-)&lt;br&gt;참치 (-)&lt;br&gt;태식 (-)&lt;br&gt;민우 (-15)</t>
  </si>
  <si>
    <t>G250321230333</t>
  </si>
  <si>
    <t>2025-03-21 23:03</t>
  </si>
  <si>
    <t>원 (-)&lt;br&gt;넘버 (356)&lt;br&gt;참치 (-)&lt;br&gt;민우 (15)</t>
  </si>
  <si>
    <t>유망 (-)&lt;br&gt;솔 (-)&lt;br&gt;단수 (-)&lt;br&gt;신형만 (-18)</t>
  </si>
  <si>
    <t>G250321224129</t>
  </si>
  <si>
    <t>2025-03-21 22:41</t>
  </si>
  <si>
    <t>민우 (17)&lt;br&gt;신형만 (23)&lt;br&gt;원 (-)&lt;br&gt;단수 (-)</t>
  </si>
  <si>
    <t>참치 (-)&lt;br&gt;넘버 (-)&lt;br&gt;솔 (-)&lt;br&gt;유망 (-)</t>
  </si>
  <si>
    <t>G250321220122</t>
  </si>
  <si>
    <t>2025-03-21 22:01</t>
  </si>
  <si>
    <t>넘버 (-)&lt;br&gt;참치 (-)&lt;br&gt;신형만 (22)&lt;br&gt;민우 (16)</t>
  </si>
  <si>
    <t>솔 (-)&lt;br&gt;단수 (-)&lt;br&gt;유망 (-)&lt;br&gt;원 (-)</t>
  </si>
  <si>
    <t>G250321155256</t>
  </si>
  <si>
    <t>2025-03-21 15:52</t>
  </si>
  <si>
    <t>한메 (16)&lt;br&gt;테리 (-)&lt;br&gt;노픽업 (-)&lt;br&gt;신형만 (23)</t>
  </si>
  <si>
    <t>ACDC (-16)&lt;br&gt;원 (-)&lt;br&gt;짱구 (-)&lt;br&gt;노인 (-)</t>
  </si>
  <si>
    <t>G250321020935</t>
  </si>
  <si>
    <t>2025-03-21 02:09</t>
  </si>
  <si>
    <t>민우 (19)&lt;br&gt;노인 (-)&lt;br&gt;유망 (-)&lt;br&gt;깡패 (-)</t>
  </si>
  <si>
    <t>한메 (-19)&lt;br&gt;짱구 (-)&lt;br&gt;신형만 (-18)&lt;br&gt;노픽업 (-)</t>
  </si>
  <si>
    <t>G250321014442</t>
  </si>
  <si>
    <t>2025-03-21 01:44</t>
  </si>
  <si>
    <t>민우 (18)&lt;br&gt;깡패 (-)&lt;br&gt;짱구 (-)&lt;br&gt;한메 (240)</t>
  </si>
  <si>
    <t>신형만 (-11)&lt;br&gt;노픽업 (-)&lt;br&gt;노인 (-)&lt;br&gt;유망 (-)</t>
  </si>
  <si>
    <t>G250321011009</t>
  </si>
  <si>
    <t>2025-03-21 01:10</t>
  </si>
  <si>
    <t>한메 (-)&lt;br&gt;깡패 (-)&lt;br&gt;유망 (-)&lt;br&gt;넘버 (-)</t>
  </si>
  <si>
    <t>민우 (200)&lt;br&gt;노픽업 (-)&lt;br&gt;짱구 (-)&lt;br&gt;신형만 (-13)</t>
  </si>
  <si>
    <t>G250321004236</t>
  </si>
  <si>
    <t>2025-03-21 00:42</t>
  </si>
  <si>
    <t>민우 (-)&lt;br&gt;넘버 (-)&lt;br&gt;노픽업 (-)&lt;br&gt;유망 (-)</t>
  </si>
  <si>
    <t>깡패 (-)&lt;br&gt;신형만 (-11)&lt;br&gt;짱구 (-)&lt;br&gt;한메 (-)</t>
  </si>
  <si>
    <t>G250321000231</t>
  </si>
  <si>
    <t>2025-03-21 00:02</t>
  </si>
  <si>
    <t>유망 (-)&lt;br&gt;신형만 (188)&lt;br&gt;깡패 (-)&lt;br&gt;넘버 (-)</t>
  </si>
  <si>
    <t>민우 (-)&lt;br&gt;짱구 (-)&lt;br&gt;노픽업 (-)&lt;br&gt;한메 (-)</t>
  </si>
  <si>
    <t>G250320233316</t>
  </si>
  <si>
    <t>2025-03-20 23:33</t>
  </si>
  <si>
    <t>넘버 (-)&lt;br&gt;짱구 (-)&lt;br&gt;노픽업 (-)&lt;br&gt;유망 (-)</t>
  </si>
  <si>
    <t>한메 (-)&lt;br&gt;신형만 (-)&lt;br&gt;민우 (-)&lt;br&gt;깡패 (-)</t>
  </si>
  <si>
    <t>G250320215229</t>
  </si>
  <si>
    <t>2025-03-20 21:52</t>
  </si>
  <si>
    <t>테리 (-)&lt;br&gt;노픽업 (-)&lt;br&gt;짱구 (-)&lt;br&gt;넘버 (-)</t>
  </si>
  <si>
    <t>한메 (-)&lt;br&gt;ACDC (140)&lt;br&gt;민우 (-)&lt;br&gt;신형만 (-)</t>
  </si>
  <si>
    <t>G250320212638</t>
  </si>
  <si>
    <t>2025-03-20 21:26</t>
  </si>
  <si>
    <t>테리 (-)&lt;br&gt;ACDC (-)&lt;br&gt;짱구 (-)&lt;br&gt;한메 (-)</t>
  </si>
  <si>
    <t>신형만 (-)&lt;br&gt;넘버 (-)&lt;br&gt;민우 (-)&lt;br&gt;노픽업 (-)</t>
  </si>
  <si>
    <t>G250320204805</t>
  </si>
  <si>
    <t>2025-03-20 20:48</t>
  </si>
  <si>
    <t>넘버 (-)&lt;br&gt;테리 (-)&lt;br&gt;한메 (-)&lt;br&gt;노픽업 (-)</t>
  </si>
  <si>
    <t>민우 (-)&lt;br&gt;짱구 (-)&lt;br&gt;ACDC (-)&lt;br&gt;신형만 (-)</t>
  </si>
  <si>
    <t>G250320072640</t>
  </si>
  <si>
    <t>2025-03-20 02:26</t>
  </si>
  <si>
    <t>민우 (-)&lt;br&gt;테리 (-)&lt;br&gt;ACDC (-)&lt;br&gt;한메 (-)</t>
  </si>
  <si>
    <t>전투쥐 (-)&lt;br&gt;신형만 (-)&lt;br&gt;짱구 (-)&lt;br&gt;깡패 (-)</t>
  </si>
  <si>
    <t>G250320011833</t>
  </si>
  <si>
    <t>2025-03-20 01:18</t>
  </si>
  <si>
    <t>유망 (-)&lt;br&gt;ACDC (-)&lt;br&gt;짱구 (-)&lt;br&gt;전투쥐 (-)</t>
  </si>
  <si>
    <t>신형만 (-)&lt;br&gt;테리 (-)&lt;br&gt;노인 (-)&lt;br&gt;민우 (-)</t>
  </si>
  <si>
    <t>G250320000452</t>
  </si>
  <si>
    <t>2025-03-20 00:04</t>
  </si>
  <si>
    <t>전투쥐 (-)&lt;br&gt;테리 (-)&lt;br&gt;짱구 (-)&lt;br&gt;민우 (-)</t>
  </si>
  <si>
    <t>신형만 (-)&lt;br&gt;ACDC (-)&lt;br&gt;유망 (-)&lt;br&gt;한메 (-)</t>
  </si>
  <si>
    <t>G250319231710</t>
  </si>
  <si>
    <t>2025-03-19 23:17</t>
  </si>
  <si>
    <t>ACDC (-)&lt;br&gt;테리 (-)&lt;br&gt;짱구 (-)&lt;br&gt;깡패 (-)</t>
  </si>
  <si>
    <t>민우 (-)&lt;br&gt;신형만 (-)&lt;br&gt;한메 (-)&lt;br&gt;전투쥐 (-)</t>
  </si>
  <si>
    <t>G250319224540</t>
  </si>
  <si>
    <t>2025-03-19 22:45</t>
  </si>
  <si>
    <t>깡패 (-)&lt;br&gt;테리 (-)&lt;br&gt;한메 (-)&lt;br&gt;노픽업 (-)</t>
  </si>
  <si>
    <t>ACDC (-)&lt;br&gt;신형만 (-)&lt;br&gt;솔 (-)&lt;br&gt;민우 (-)</t>
  </si>
  <si>
    <t>G250319220336</t>
  </si>
  <si>
    <t>2025-03-19 22:03</t>
  </si>
  <si>
    <t>민우 (-)&lt;br&gt;신형만 (-)&lt;br&gt;깡패 (-)&lt;br&gt;한메 (-)</t>
  </si>
  <si>
    <t>ACDC (-)&lt;br&gt;솔 (-)&lt;br&gt;테리 (-)&lt;br&gt;노픽업 (-)</t>
  </si>
  <si>
    <t>G250319212657</t>
  </si>
  <si>
    <t>2025-03-19 21:26</t>
  </si>
  <si>
    <t>민우 (-)&lt;br&gt;테리 (-)&lt;br&gt;ACDC (-)&lt;br&gt;신형만 (-)</t>
  </si>
  <si>
    <t>깡패 (-)&lt;br&gt;솔 (-)&lt;br&gt;노픽업 (-)&lt;br&gt;한메 (-)</t>
  </si>
  <si>
    <t>G250318214347</t>
  </si>
  <si>
    <t>2025-03-18 21:43</t>
  </si>
  <si>
    <t>민우 (-)&lt;br&gt;넘버 (-)&lt;br&gt;ACDC (-)&lt;br&gt;한메 (-)</t>
  </si>
  <si>
    <t>테리 (-)&lt;br&gt;노픽업 (-)&lt;br&gt;전투쥐 (-)&lt;br&gt;솔 (-)</t>
  </si>
  <si>
    <t>G250318210502</t>
  </si>
  <si>
    <t>2025-03-18 21:04</t>
  </si>
  <si>
    <t>넘버 (-)&lt;br&gt;테리 (-)&lt;br&gt;한메 (-)&lt;br&gt;전투쥐 (-)</t>
  </si>
  <si>
    <t>ACDC (-)&lt;br&gt;솔 (-)&lt;br&gt;민우 (-)&lt;br&gt;노픽업 (-)</t>
  </si>
  <si>
    <t>G250318203350</t>
  </si>
  <si>
    <t>2025-03-18 20:33</t>
  </si>
  <si>
    <t>민우 (-)&lt;br&gt;테리 (-)&lt;br&gt;넘버 (-)&lt;br&gt;노픽업 (-)</t>
  </si>
  <si>
    <t>전투쥐 (-)&lt;br&gt;솔 (-)&lt;br&gt;한메 (-)&lt;br&gt;ACDC (-)</t>
  </si>
  <si>
    <t>G250318002557</t>
  </si>
  <si>
    <t>2025-03-18 00:25</t>
  </si>
  <si>
    <t>웅 (-)&lt;br&gt;신형만 (-)&lt;br&gt;테리 (-)&lt;br&gt;한메 (-)</t>
  </si>
  <si>
    <t>깡패 (-)&lt;br&gt;넘버 (-)&lt;br&gt;ACDC (-)&lt;br&gt;노픽업 (-)</t>
  </si>
  <si>
    <t>G250317205929</t>
  </si>
  <si>
    <t>2025-03-17 20:59</t>
  </si>
  <si>
    <t>넘버 (-)&lt;br&gt;깡패 (-)&lt;br&gt;한메 (-)&lt;br&gt;덴 (-)</t>
  </si>
  <si>
    <t>솔 (-)&lt;br&gt;테리 (-)&lt;br&gt;유즈 (-)&lt;br&gt;신형만 (-)</t>
  </si>
  <si>
    <t>G250315015538</t>
  </si>
  <si>
    <t>2025-03-15 01:55</t>
  </si>
  <si>
    <t>신형만 (-)&lt;br&gt;참치 (-)&lt;br&gt;테리 (-)&lt;br&gt;유망 (-)</t>
  </si>
  <si>
    <t>원 (-)&lt;br&gt;ACDC (-)&lt;br&gt;솔 (-)&lt;br&gt;넘버 (-)</t>
  </si>
  <si>
    <t>G250315012759</t>
  </si>
  <si>
    <t>2025-03-15 01:27</t>
  </si>
  <si>
    <t>참치 (-)&lt;br&gt;원 (-)&lt;br&gt;솔 (-)&lt;br&gt;신형만 (-)</t>
  </si>
  <si>
    <t>ACDC (-)&lt;br&gt;넘버 (-)&lt;br&gt;테리 (-)&lt;br&gt;유망 (-)</t>
  </si>
  <si>
    <t>G250315004329</t>
  </si>
  <si>
    <t>2025-03-15 00:43</t>
  </si>
  <si>
    <t>원 (-)&lt;br&gt;넘버 (-)&lt;br&gt;참치 (-)&lt;br&gt;민우 (-)</t>
  </si>
  <si>
    <t>신형만 (-)&lt;br&gt;ACDC (-)&lt;br&gt;솔 (-)&lt;br&gt;유망 (-)</t>
  </si>
  <si>
    <t>G250315002300</t>
  </si>
  <si>
    <t>2025-03-15 00:22</t>
  </si>
  <si>
    <t>유망 (-)&lt;br&gt;솔 (-)&lt;br&gt;민우 (-)&lt;br&gt;넘버 (-)</t>
  </si>
  <si>
    <t>ACDC (-)&lt;br&gt;원 (-)&lt;br&gt;참치 (-)&lt;br&gt;신형만 (-)</t>
  </si>
  <si>
    <t>G250314233722</t>
  </si>
  <si>
    <t>2025-03-14 23:37</t>
  </si>
  <si>
    <t>신형만 (-)&lt;br&gt;솔 (-)&lt;br&gt;참치 (-)&lt;br&gt;민우 (-)</t>
  </si>
  <si>
    <t>ACDC (-)&lt;br&gt;규식 (-)&lt;br&gt;유망 (-)&lt;br&gt;원 (-)</t>
  </si>
  <si>
    <t>G250305000833</t>
  </si>
  <si>
    <t>2025-03-05 00:08</t>
  </si>
  <si>
    <t>민우 (40)&lt;br&gt;노인 (25)&lt;br&gt;테리 (20)&lt;br&gt;유망 (27)</t>
  </si>
  <si>
    <t>신형만 (-25)&lt;br&gt;태식 (-12)&lt;br&gt;넘버 (-23)&lt;br&gt;깡패 (-18)</t>
  </si>
  <si>
    <t>시즌9</t>
  </si>
  <si>
    <t>G250304233246</t>
  </si>
  <si>
    <t>2025-03-04 23:32</t>
  </si>
  <si>
    <t>재우 (26)&lt;br&gt;테리 (23)&lt;br&gt;한메 (28)&lt;br&gt;유망 (30)</t>
  </si>
  <si>
    <t>태식 (-9)&lt;br&gt;노인 (-17)&lt;br&gt;신형만 (-19)&lt;br&gt;깡패 (-13)</t>
  </si>
  <si>
    <t>G250304224240</t>
  </si>
  <si>
    <t>2025-03-04 22:42</t>
  </si>
  <si>
    <t>신형만 (24)&lt;br&gt;테리 (25)&lt;br&gt;노인 (28)&lt;br&gt;한메 (31)</t>
  </si>
  <si>
    <t>원 (-24)&lt;br&gt;재우 (-21)&lt;br&gt;태식 (-10)&lt;br&gt;깡패 (-16)</t>
  </si>
  <si>
    <t>G250304221658</t>
  </si>
  <si>
    <t>2025-03-04 22:16</t>
  </si>
  <si>
    <t>신형만 (24)&lt;br&gt;재우 (26)&lt;br&gt;원 (20)&lt;br&gt;한메 (32)</t>
  </si>
  <si>
    <t>깡패 (-16)&lt;br&gt;노인 (-20)&lt;br&gt;테리 (-18)&lt;br&gt;태식 (-10)</t>
  </si>
  <si>
    <t>G250304215140</t>
  </si>
  <si>
    <t>2025-03-04 21:51</t>
  </si>
  <si>
    <t>넘버 (32)&lt;br&gt;재우 (33)&lt;br&gt;노인 (32)&lt;br&gt;한메 (37)</t>
  </si>
  <si>
    <t>원 (-20)&lt;br&gt;테리 (-17)&lt;br&gt;신형만 (-18)&lt;br&gt;태식 (-10)</t>
  </si>
  <si>
    <t>G250304211430</t>
  </si>
  <si>
    <t>2025-03-04 21:14</t>
  </si>
  <si>
    <t>테리 (18)&lt;br&gt;신형만 (19)&lt;br&gt;넘버 (24)&lt;br&gt;노인 (24)</t>
  </si>
  <si>
    <t>태식 (-12)&lt;br&gt;재우 (-18)&lt;br&gt;규식 (-11)&lt;br&gt;한메 (-11)</t>
  </si>
  <si>
    <t>G250304204121</t>
  </si>
  <si>
    <t>2025-03-04 20:41</t>
  </si>
  <si>
    <t>신형만 (24)&lt;br&gt;노인 (30)&lt;br&gt;규식 (33)&lt;br&gt;재우 (27)</t>
  </si>
  <si>
    <t>테리 (-20)&lt;br&gt;넘버 (-19)&lt;br&gt;태식 (-13)&lt;br&gt;한메 (-12)</t>
  </si>
  <si>
    <t>G250303023812</t>
  </si>
  <si>
    <t>2025-03-03 02:38</t>
  </si>
  <si>
    <t>태식 (29)&lt;br&gt;원 (15)&lt;br&gt;넘버 (24)&lt;br&gt;유망 (26)</t>
  </si>
  <si>
    <t>솔 (-6)&lt;br&gt;노인 (-17)&lt;br&gt;신형만 (-20)&lt;br&gt;참치 (-14)</t>
  </si>
  <si>
    <t>G250303021459</t>
  </si>
  <si>
    <t>2025-03-03 02:14</t>
  </si>
  <si>
    <t>노인 (25)&lt;br&gt;넘버 (30)&lt;br&gt;참치 (35)&lt;br&gt;유망 (31)</t>
  </si>
  <si>
    <t>솔 (-7)&lt;br&gt;원 (-25)&lt;br&gt;태식 (-15)&lt;br&gt;신형만 (-23)</t>
  </si>
  <si>
    <t>G250303014550</t>
  </si>
  <si>
    <t>2025-03-03 01:45</t>
  </si>
  <si>
    <t>신형만 (25)&lt;br&gt;솔 (288)&lt;br&gt;노인 (30)&lt;br&gt;유망 (36)</t>
  </si>
  <si>
    <t>참치 (-14)&lt;br&gt;태식 (-13)&lt;br&gt;원 (-21)&lt;br&gt;넘버 (-16)</t>
  </si>
  <si>
    <t>G250303010455</t>
  </si>
  <si>
    <t>2025-03-03 01:04</t>
  </si>
  <si>
    <t>원 (10)&lt;br&gt;태식 (25)&lt;br&gt;신형만 (17)&lt;br&gt;유망 (30)</t>
  </si>
  <si>
    <t>참치 (-14)&lt;br&gt;노인 (-15)&lt;br&gt;솔 (-)&lt;br&gt;넘버 (-17)</t>
  </si>
  <si>
    <t>G250303004133</t>
  </si>
  <si>
    <t>2025-03-03 00:41</t>
  </si>
  <si>
    <t>참치 (33)&lt;br&gt;신형만 (22)&lt;br&gt;원 (14)&lt;br&gt;규식 (33)</t>
  </si>
  <si>
    <t>유망 (-10)&lt;br&gt;태식 (-13)&lt;br&gt;노인 (-16)&lt;br&gt;넘버 (-18)</t>
  </si>
  <si>
    <t>G250303001829</t>
  </si>
  <si>
    <t>2025-03-03 00:18</t>
  </si>
  <si>
    <t>신형만 (20)&lt;br&gt;노인 (25)&lt;br&gt;넘버 (20)&lt;br&gt;원 (11)</t>
  </si>
  <si>
    <t>참치 (-14)&lt;br&gt;태식 (-14)&lt;br&gt;규식 (-10)&lt;br&gt;유망 (-10)</t>
  </si>
  <si>
    <t>G250302235541</t>
  </si>
  <si>
    <t>2025-03-02 23:55</t>
  </si>
  <si>
    <t>원 (16)&lt;br&gt;태식 (36)&lt;br&gt;신형만 (27)&lt;br&gt;유망 (35)</t>
  </si>
  <si>
    <t>참치 (-16)&lt;br&gt;넘버 (-20)&lt;br&gt;규식 (-12)&lt;br&gt;노인 (-17)</t>
  </si>
  <si>
    <t>G250302232422</t>
  </si>
  <si>
    <t>2025-03-02 23:24</t>
  </si>
  <si>
    <t>전투쥐 (36)&lt;br&gt;신형만 (24)&lt;br&gt;깡패 (22)&lt;br&gt;원 (13)</t>
  </si>
  <si>
    <t>유망 (-8)&lt;br&gt;노인 (-13)&lt;br&gt;태식 (-10)&lt;br&gt;규식 (-9)</t>
  </si>
  <si>
    <t>G250302223804</t>
  </si>
  <si>
    <t>2025-03-02 22:38</t>
  </si>
  <si>
    <t>원 (17)&lt;br&gt;노인 (28)&lt;br&gt;깡패 (28)&lt;br&gt;참치 (32)</t>
  </si>
  <si>
    <t>전투쥐 (-7)&lt;br&gt;테리 (-21)&lt;br&gt;신형만 (-16)&lt;br&gt;태식 (-13)</t>
  </si>
  <si>
    <t>G250302221655</t>
  </si>
  <si>
    <t>2025-03-02 22:16</t>
  </si>
  <si>
    <t>태식 (38)&lt;br&gt;노인 (34)&lt;br&gt;테리 (18)&lt;br&gt;참치 (38)</t>
  </si>
  <si>
    <t>신형만 (-14)&lt;br&gt;깡패 (-14)&lt;br&gt;전투쥐 (-6)&lt;br&gt;원 (-18)</t>
  </si>
  <si>
    <t>G250302213200</t>
  </si>
  <si>
    <t>2025-03-02 21:31</t>
  </si>
  <si>
    <t>넘버 (24)&lt;br&gt;깡패 (29)&lt;br&gt;참치 (39)&lt;br&gt;신형만 (27)</t>
  </si>
  <si>
    <t>원 (-19)&lt;br&gt;태식 (-10)&lt;br&gt;노인 (-12)&lt;br&gt;전투쥐 (-6)</t>
  </si>
  <si>
    <t>G250302210332</t>
  </si>
  <si>
    <t>2025-03-02 21:03</t>
  </si>
  <si>
    <t>참치 (41)&lt;br&gt;태식 (37)&lt;br&gt;원 (15)&lt;br&gt;넘버 (25)</t>
  </si>
  <si>
    <t>깡패 (-20)&lt;br&gt;노인 (-19)&lt;br&gt;전투쥐 (-10)&lt;br&gt;신형만 (-21)</t>
  </si>
  <si>
    <t>G250302203942</t>
  </si>
  <si>
    <t>2025-03-02 20:39</t>
  </si>
  <si>
    <t>전투쥐 (37)&lt;br&gt;원 (15)&lt;br&gt;깡패 (28)&lt;br&gt;넘버 (26)</t>
  </si>
  <si>
    <t>참치 (-9)&lt;br&gt;신형만 (-17)&lt;br&gt;노인 (-16)&lt;br&gt;태식 (-11)</t>
  </si>
  <si>
    <t>G250302165620</t>
  </si>
  <si>
    <t>2025-03-02 16:56</t>
  </si>
  <si>
    <t>한메 (29)&lt;br&gt;테리 (16)&lt;br&gt;전투쥐 (40)&lt;br&gt;넘버 (29)</t>
  </si>
  <si>
    <t>태식 (-11)&lt;br&gt;신형만 (-17)&lt;br&gt;민우 (-9)&lt;br&gt;노인 (-15)</t>
  </si>
  <si>
    <t>G250302160403</t>
  </si>
  <si>
    <t>2025-03-02 16:04</t>
  </si>
  <si>
    <t>한메 (29)&lt;br&gt;테리 (16)&lt;br&gt;노인 (25)&lt;br&gt;민우 (35)</t>
  </si>
  <si>
    <t>전투쥐 (-7)&lt;br&gt;태식 (-13)&lt;br&gt;넘버 (-16)&lt;br&gt;신형만 (-20)</t>
  </si>
  <si>
    <t>G250302152915</t>
  </si>
  <si>
    <t>2025-03-02 15:29</t>
  </si>
  <si>
    <t>유즈 (-)&lt;br&gt;ACDC (32)&lt;br&gt;테리 (16)&lt;br&gt;신형만 (19)</t>
  </si>
  <si>
    <t>노인 (-16)&lt;br&gt;넘버 (-16)&lt;br&gt;태식 (-14)&lt;br&gt;전투쥐 (-8)</t>
  </si>
  <si>
    <t>G250302144349</t>
  </si>
  <si>
    <t>2025-03-02 14:43</t>
  </si>
  <si>
    <t>테리 (13)&lt;br&gt;노인 (19)&lt;br&gt;전투쥐 (35)&lt;br&gt;신형만 (15)</t>
  </si>
  <si>
    <t>유즈 (-)&lt;br&gt;ACDC (-14)&lt;br&gt;태식 (-20)&lt;br&gt;넘버 (-24)</t>
  </si>
  <si>
    <t>G250302143150</t>
  </si>
  <si>
    <t>2025-03-02 14:31</t>
  </si>
  <si>
    <t>넘버 (21)&lt;br&gt;테리 (16)&lt;br&gt;태식 (27)&lt;br&gt;전투쥐 (39)</t>
  </si>
  <si>
    <t>유즈 (-)&lt;br&gt;ACDC (-17)&lt;br&gt;노인 (-27)&lt;br&gt;신형만 (-29)</t>
  </si>
  <si>
    <t>G250302023029</t>
  </si>
  <si>
    <t>2025-03-02 02:30</t>
  </si>
  <si>
    <t>신형만 (19)&lt;br&gt;솔 (-)&lt;br&gt;테리 (19)&lt;br&gt;원 (12)</t>
  </si>
  <si>
    <t>태식 (-15)&lt;br&gt;넘버 (-18)&lt;br&gt;참치 (-11)&lt;br&gt;유망 (-12)</t>
  </si>
  <si>
    <t>G250302020308</t>
  </si>
  <si>
    <t>2025-03-02 02:03</t>
  </si>
  <si>
    <t>솔 (-)&lt;br&gt;넘버 (29)&lt;br&gt;태식 (30)&lt;br&gt;원 (18)</t>
  </si>
  <si>
    <t>참치 (-17)&lt;br&gt;테리 (-27)&lt;br&gt;신형만 (-29)&lt;br&gt;유망 (-19)</t>
  </si>
  <si>
    <t>G250302014037</t>
  </si>
  <si>
    <t>2025-03-02 01:40</t>
  </si>
  <si>
    <t>솔 (-)&lt;br&gt;참치 (45)&lt;br&gt;신형만 (26)&lt;br&gt;넘버 (35)</t>
  </si>
  <si>
    <t>테리 (-21)&lt;br&gt;태식 (-17)&lt;br&gt;원 (-24)&lt;br&gt;유망 (-16)</t>
  </si>
  <si>
    <t>G250302004820</t>
  </si>
  <si>
    <t>2025-03-02 00:48</t>
  </si>
  <si>
    <t>솔 (-)&lt;br&gt;신형만 (24)&lt;br&gt;유즈 (-)&lt;br&gt;원 (17)</t>
  </si>
  <si>
    <t>테리 (-29)&lt;br&gt;참치 (-18)&lt;br&gt;태식 (-24)&lt;br&gt;넘버 (-25)</t>
  </si>
  <si>
    <t>G250302002253</t>
  </si>
  <si>
    <t>2025-03-02 00:22</t>
  </si>
  <si>
    <t>테리 (12)&lt;br&gt;넘버 (23)&lt;br&gt;솔 (-)&lt;br&gt;원 (12)</t>
  </si>
  <si>
    <t>참치 (-14)&lt;br&gt;태식 (-20)&lt;br&gt;유즈 (-)&lt;br&gt;신형만 (-25)</t>
  </si>
  <si>
    <t>G250302000045</t>
  </si>
  <si>
    <t>2025-03-02 00:00</t>
  </si>
  <si>
    <t>신형만 (18)&lt;br&gt;테리 (14)&lt;br&gt;태식 (22)&lt;br&gt;솔 (-)</t>
  </si>
  <si>
    <t>참치 (-18)&lt;br&gt;넘버 (-25)&lt;br&gt;유즈 (-)&lt;br&gt;원 (-32)</t>
  </si>
  <si>
    <t>G250301234342</t>
  </si>
  <si>
    <t>2025-03-01 23:43</t>
  </si>
  <si>
    <t>원 (11)&lt;br&gt;솔 (-)&lt;br&gt;신형만 (18)&lt;br&gt;넘버 (23)</t>
  </si>
  <si>
    <t>테리 (-17)&lt;br&gt;유즈 (-)&lt;br&gt;태식 (-14)&lt;br&gt;참치 (-11)</t>
  </si>
  <si>
    <t>G250301225652</t>
  </si>
  <si>
    <t>2025-03-01 22:56</t>
  </si>
  <si>
    <t>태식 (14)&lt;br&gt;테리 (9)&lt;br&gt;원 (7)&lt;br&gt;넘버 (17)</t>
  </si>
  <si>
    <t>신형만 (-19)&lt;br&gt;솔 (-)&lt;br&gt;유즈 (-)&lt;br&gt;참치 (-12)</t>
  </si>
  <si>
    <t>G250301222755</t>
  </si>
  <si>
    <t>2025-03-01 22:27</t>
  </si>
  <si>
    <t>원 (8)&lt;br&gt;참치 (24)&lt;br&gt;태식 (19)&lt;br&gt;신형만 (13)</t>
  </si>
  <si>
    <t>넘버 (-13)&lt;br&gt;유즈 (-)&lt;br&gt;테리 (-18)&lt;br&gt;솔 (-)</t>
  </si>
  <si>
    <t>G250227012708</t>
  </si>
  <si>
    <t>2025-02-27 01:27</t>
  </si>
  <si>
    <t>깡패 (33)&lt;br&gt;테리 (19)&lt;br&gt;태식 (38)&lt;br&gt;민우 (40)</t>
  </si>
  <si>
    <t>ACDC (-14)&lt;br&gt;노인 (-22)&lt;br&gt;신형만 (-22)&lt;br&gt;유망 (-17)</t>
  </si>
  <si>
    <t>G250227003652</t>
  </si>
  <si>
    <t>2025-02-27 00:36</t>
  </si>
  <si>
    <t>테리 (16)&lt;br&gt;노인 (22)&lt;br&gt;태식 (36)&lt;br&gt;신형만 (21)</t>
  </si>
  <si>
    <t>깡패 (-13)&lt;br&gt;ACDC (-10)&lt;br&gt;한메 (-10)&lt;br&gt;유망 (-12)</t>
  </si>
  <si>
    <t>G250226234556</t>
  </si>
  <si>
    <t>2025-02-26 23:45</t>
  </si>
  <si>
    <t>ACDC (32)&lt;br&gt;신형만 (24)&lt;br&gt;규식 (30)&lt;br&gt;재우 (22)</t>
  </si>
  <si>
    <t>유망 (-12)&lt;br&gt;노인 (-15)&lt;br&gt;태식 (-9)&lt;br&gt;한메 (-11)</t>
  </si>
  <si>
    <t>G250226223546</t>
  </si>
  <si>
    <t>2025-02-26 22:35</t>
  </si>
  <si>
    <t>넘버 (29)&lt;br&gt;재우 (22)&lt;br&gt;신형만 (24)&lt;br&gt;태식 (38)</t>
  </si>
  <si>
    <t>유망 (-20)&lt;br&gt;ACDC (-15)&lt;br&gt;한메 (-17)&lt;br&gt;규식 (-16)</t>
  </si>
  <si>
    <t>G250226220736</t>
  </si>
  <si>
    <t>2025-02-26 22:07</t>
  </si>
  <si>
    <t>재우 (24)&lt;br&gt;노인 (22)&lt;br&gt;테리 (17)&lt;br&gt;유망 (23)</t>
  </si>
  <si>
    <t>넘버 (-17)&lt;br&gt;ACDC (-14)&lt;br&gt;신형만 (-21)&lt;br&gt;태식 (-12)</t>
  </si>
  <si>
    <t>G250226214523</t>
  </si>
  <si>
    <t>2025-02-26 21:45</t>
  </si>
  <si>
    <t>노인 (26)&lt;br&gt;ACDC (31)&lt;br&gt;테리 (20)&lt;br&gt;신형만 (27)</t>
  </si>
  <si>
    <t>재우 (-14)&lt;br&gt;태식 (-8)&lt;br&gt;한메 (-11)&lt;br&gt;넘버 (-12)</t>
  </si>
  <si>
    <t>G250226210428</t>
  </si>
  <si>
    <t>2025-02-26 21:04</t>
  </si>
  <si>
    <t>태식 (43)&lt;br&gt;테리 (23)&lt;br&gt;넘버 (34)&lt;br&gt;신형만 (32)</t>
  </si>
  <si>
    <t>ACDC (-16)&lt;br&gt;노인 (-23)&lt;br&gt;재우 (-24)&lt;br&gt;한메 (-20)</t>
  </si>
  <si>
    <t>G250226203931</t>
  </si>
  <si>
    <t>2025-02-26 20:39</t>
  </si>
  <si>
    <t>한메 (26)&lt;br&gt;넘버 (35)&lt;br&gt;신형만 (32)&lt;br&gt;노인 (26)</t>
  </si>
  <si>
    <t>테리 (-20)&lt;br&gt;ACDC (-14)&lt;br&gt;재우 (-22)&lt;br&gt;태식 (-11)</t>
  </si>
  <si>
    <t>G250226102411</t>
  </si>
  <si>
    <t>2025-02-26 10:24</t>
  </si>
  <si>
    <t>한메 (24)&lt;br&gt;ACDC (28)&lt;br&gt;노인 (24)&lt;br&gt;넘버 (33)</t>
  </si>
  <si>
    <t>재명 (-9)&lt;br&gt;신형만 (-16)&lt;br&gt;테리 (-20)&lt;br&gt;태식 (-11)</t>
  </si>
  <si>
    <t>G250225224856</t>
  </si>
  <si>
    <t>2025-02-25 22:48</t>
  </si>
  <si>
    <t>테리 (17)&lt;br&gt;신형만 (29)&lt;br&gt;민우 (37)&lt;br&gt;한메 (27)</t>
  </si>
  <si>
    <t>노인 (-21)&lt;br&gt;넘버 (-16)&lt;br&gt;ACDC (-16)&lt;br&gt;태식 (-15)</t>
  </si>
  <si>
    <t>G250225222427</t>
  </si>
  <si>
    <t>2025-02-25 22:24</t>
  </si>
  <si>
    <t>테리 (18)&lt;br&gt;노인 (25)&lt;br&gt;민우 (40)&lt;br&gt;넘버 (35)</t>
  </si>
  <si>
    <t>한메 (-20)&lt;br&gt;태식 (-18)&lt;br&gt;ACDC (-19)&lt;br&gt;신형만 (-21)</t>
  </si>
  <si>
    <t>G250225215124</t>
  </si>
  <si>
    <t>2025-02-25 21:51</t>
  </si>
  <si>
    <t>신형만 (26)&lt;br&gt;테리 (16)&lt;br&gt;노인 (23)&lt;br&gt;한메 (23)</t>
  </si>
  <si>
    <t>재명 (-8)&lt;br&gt;ACDC (-13)&lt;br&gt;태식 (-12)&lt;br&gt;넘버 (-11)</t>
  </si>
  <si>
    <t>G250225205555</t>
  </si>
  <si>
    <t>2025-02-25 20:55</t>
  </si>
  <si>
    <t>노인 (26)&lt;br&gt;테리 (18)&lt;br&gt;ACDC (24)&lt;br&gt;태식 (32)</t>
  </si>
  <si>
    <t>넘버 (-15)&lt;br&gt;신형만 (-17)&lt;br&gt;한메 (-16)&lt;br&gt;재명 (-10)</t>
  </si>
  <si>
    <t>G250225202502</t>
  </si>
  <si>
    <t>2025-02-25 20:25</t>
  </si>
  <si>
    <t>ACDC (29)&lt;br&gt;넘버 (36)&lt;br&gt;노인 (31)&lt;br&gt;한메 (28)</t>
  </si>
  <si>
    <t>테리 (-22)&lt;br&gt;태식 (-16)&lt;br&gt;재명 (-13)&lt;br&gt;신형만 (-20)</t>
  </si>
  <si>
    <t>G250225000110</t>
  </si>
  <si>
    <t>2025-02-25 00:01</t>
  </si>
  <si>
    <t>재우 (19)&lt;br&gt;ACDC (31)&lt;br&gt;테리 (21)&lt;br&gt;재명 (36)</t>
  </si>
  <si>
    <t>태식 (-11)&lt;br&gt;신형만 (-14)&lt;br&gt;한메 (-12)&lt;br&gt;노인 (-12)</t>
  </si>
  <si>
    <t>G250224230324</t>
  </si>
  <si>
    <t>2025-02-24 23:03</t>
  </si>
  <si>
    <t>ACDC (39)&lt;br&gt;넘버 (38)&lt;br&gt;한메 (28)&lt;br&gt;재우 (20)</t>
  </si>
  <si>
    <t>테리 (-16)&lt;br&gt;태식 (-13)&lt;br&gt;노인 (-14)&lt;br&gt;재명 (-9)</t>
  </si>
  <si>
    <t>G250224221531</t>
  </si>
  <si>
    <t>2025-02-24 22:15</t>
  </si>
  <si>
    <t>한메 (33)&lt;br&gt;테리 (22)&lt;br&gt;재명 (38)&lt;br&gt;넘버 (312)</t>
  </si>
  <si>
    <t>재우 (-29)&lt;br&gt;태식 (-23)&lt;br&gt;ACDC (-18)&lt;br&gt;노인 (-25)</t>
  </si>
  <si>
    <t>G250224213906</t>
  </si>
  <si>
    <t>2025-02-24 21:39</t>
  </si>
  <si>
    <t>참치 (35)&lt;br&gt;넘버 (-)&lt;br&gt;재우 (20)&lt;br&gt;원 (14)</t>
  </si>
  <si>
    <t>노인 (-22)&lt;br&gt;ACDC (-14)&lt;br&gt;테리 (-24)&lt;br&gt;한메 (-15)</t>
  </si>
  <si>
    <t>G250224211628</t>
  </si>
  <si>
    <t>2025-02-24 21:16</t>
  </si>
  <si>
    <t>테리 (16)&lt;br&gt;원 (11)&lt;br&gt;재우 (17)&lt;br&gt;노인 (22)</t>
  </si>
  <si>
    <t>참치 (-7)&lt;br&gt;ACDC (-6)&lt;br&gt;신형만 (-11)&lt;br&gt;넘버 (-)</t>
  </si>
  <si>
    <t>G250224204332</t>
  </si>
  <si>
    <t>2025-02-24 20:43</t>
  </si>
  <si>
    <t>ACDC (36)&lt;br&gt;재우 (27)&lt;br&gt;넘버 (-)&lt;br&gt;원 (19)</t>
  </si>
  <si>
    <t>테리 (-16)&lt;br&gt;노인 (-15)&lt;br&gt;신형만 (-16)&lt;br&gt;참치 (-11)</t>
  </si>
  <si>
    <t>G250224012346</t>
  </si>
  <si>
    <t>2025-02-24 01:23</t>
  </si>
  <si>
    <t>원 (13)&lt;br&gt;테리 (17)&lt;br&gt;신형만 (21)&lt;br&gt;넘버 (-)</t>
  </si>
  <si>
    <t>민우 (-8)&lt;br&gt;노인 (-21)&lt;br&gt;ACDC (-12)&lt;br&gt;태식 (-19)</t>
  </si>
  <si>
    <t>G250224010122</t>
  </si>
  <si>
    <t>2025-02-24 01:01</t>
  </si>
  <si>
    <t>넘버 (-)&lt;br&gt;노인 (24)&lt;br&gt;태식 (28)&lt;br&gt;원 (16)</t>
  </si>
  <si>
    <t>테리 (-21)&lt;br&gt;ACDC (-13)&lt;br&gt;신형만 (-21)&lt;br&gt;민우 (-8)</t>
  </si>
  <si>
    <t>G250224000055</t>
  </si>
  <si>
    <t>2025-02-24 00:00</t>
  </si>
  <si>
    <t>노인 (14)&lt;br&gt;태식 (17)&lt;br&gt;ACDC (20)&lt;br&gt;원 (8)</t>
  </si>
  <si>
    <t>민우 (-8)&lt;br&gt;신형만 (-23)&lt;br&gt;웅 (-)&lt;br&gt;넘버 (-)</t>
  </si>
  <si>
    <t>G250223233147</t>
  </si>
  <si>
    <t>2025-02-23 23:31</t>
  </si>
  <si>
    <t>넘버 (-)&lt;br&gt;ACDC (36)&lt;br&gt;테리 (21)&lt;br&gt;원 (20)</t>
  </si>
  <si>
    <t>노인 (-24)&lt;br&gt;태식 (-21)&lt;br&gt;민우 (-12)&lt;br&gt;신형만 (-27)</t>
  </si>
  <si>
    <t>G250223224729</t>
  </si>
  <si>
    <t>2025-02-23 22:47</t>
  </si>
  <si>
    <t>신형만 (15)&lt;br&gt;넘버 (-)&lt;br&gt;태식 (25)&lt;br&gt;원 (15)</t>
  </si>
  <si>
    <t>웅 (-)&lt;br&gt;테리 (-27)&lt;br&gt;ACDC (-14)&lt;br&gt;노인 (-26)</t>
  </si>
  <si>
    <t>G250223222037</t>
  </si>
  <si>
    <t>2025-02-23 22:20</t>
  </si>
  <si>
    <t>노인 (24)&lt;br&gt;신형만 (21)&lt;br&gt;원 (21)&lt;br&gt;재우 (24)</t>
  </si>
  <si>
    <t>ACDC (-7)&lt;br&gt;테리 (-16)&lt;br&gt;한메 (-9)&lt;br&gt;태식 (-11)</t>
  </si>
  <si>
    <t>G250223215144</t>
  </si>
  <si>
    <t>2025-02-23 21:51</t>
  </si>
  <si>
    <t>테리 (21)&lt;br&gt;ACDC (38)&lt;br&gt;재우 (31)&lt;br&gt;신형만 (28)</t>
  </si>
  <si>
    <t>원 (-18)&lt;br&gt;노인 (-17)&lt;br&gt;한메 (-12)&lt;br&gt;태식 (-14)</t>
  </si>
  <si>
    <t>G250223211658</t>
  </si>
  <si>
    <t>2025-02-23 21:16</t>
  </si>
  <si>
    <t>전투쥐 (43)&lt;br&gt;테리 (23)&lt;br&gt;원 (27)&lt;br&gt;재우 (34)</t>
  </si>
  <si>
    <t>한메 (-12)&lt;br&gt;깡패 (-16)&lt;br&gt;태식 (-14)&lt;br&gt;신형만 (-16)</t>
  </si>
  <si>
    <t>G250223204556</t>
  </si>
  <si>
    <t>2025-02-23 20:45</t>
  </si>
  <si>
    <t>원 (25)&lt;br&gt;재우 (34)&lt;br&gt;한메 (30)&lt;br&gt;깡패 (26)</t>
  </si>
  <si>
    <t>테리 (-23)&lt;br&gt;신형만 (-24)&lt;br&gt;태식 (-20)&lt;br&gt;전투쥐 (-7)</t>
  </si>
  <si>
    <t>G250223202541</t>
  </si>
  <si>
    <t>2025-02-23 20:25</t>
  </si>
  <si>
    <t>깡패 (23)&lt;br&gt;태식 (25)&lt;br&gt;원 (23)&lt;br&gt;신형만 (18)</t>
  </si>
  <si>
    <t>재우 (-11)&lt;br&gt;테리 (-17)&lt;br&gt;전투쥐 (-4)&lt;br&gt;한메 (-10)</t>
  </si>
  <si>
    <t>G250223031935</t>
  </si>
  <si>
    <t>2025-02-23 03:19</t>
  </si>
  <si>
    <t>유망 (20)&lt;br&gt;신형만 (20)&lt;br&gt;원 (25)&lt;br&gt;넘버 (-)</t>
  </si>
  <si>
    <t>테리 (-21)&lt;br&gt;솔 (-)&lt;br&gt;태식 (-17)&lt;br&gt;참치 (-15)</t>
  </si>
  <si>
    <t>G250223025353</t>
  </si>
  <si>
    <t>2025-02-23 02:53</t>
  </si>
  <si>
    <t>넘버 (-)&lt;br&gt;참치 (35)&lt;br&gt;태식 (24)&lt;br&gt;원 (32)</t>
  </si>
  <si>
    <t>유망 (-17)&lt;br&gt;신형만 (-18)&lt;br&gt;테리 (-20)&lt;br&gt;솔 (-)</t>
  </si>
  <si>
    <t>G250223015550</t>
  </si>
  <si>
    <t>2025-02-23 01:55</t>
  </si>
  <si>
    <t>유망 (14)&lt;br&gt;태식 (17)&lt;br&gt;신형만 (14)&lt;br&gt;넘버 (-)</t>
  </si>
  <si>
    <t>원 (-17)&lt;br&gt;참치 (-15)&lt;br&gt;민우 (-10)&lt;br&gt;솔 (-)</t>
  </si>
  <si>
    <t>G250223011105</t>
  </si>
  <si>
    <t>2025-02-23 01:11</t>
  </si>
  <si>
    <t>신형만 (11)&lt;br&gt;원 (15)&lt;br&gt;참치 (18)&lt;br&gt;유망 (11)</t>
  </si>
  <si>
    <t>민우 (-10)&lt;br&gt;솔 (-)&lt;br&gt;넘버 (-)&lt;br&gt;태식 (-19)</t>
  </si>
  <si>
    <t>G250223003205</t>
  </si>
  <si>
    <t>2025-02-23 00:32</t>
  </si>
  <si>
    <t>참치 (28)&lt;br&gt;신형만 (17)&lt;br&gt;넘버 (-)&lt;br&gt;유망 (17)</t>
  </si>
  <si>
    <t>솔 (-)&lt;br&gt;원 (-15)&lt;br&gt;민우 (-10)&lt;br&gt;태식 (-16)</t>
  </si>
  <si>
    <t>G250222234919</t>
  </si>
  <si>
    <t>2025-02-22 23:49</t>
  </si>
  <si>
    <t>솔 (-)&lt;br&gt;넘버 (-)&lt;br&gt;민우 (39)&lt;br&gt;유망 (28)</t>
  </si>
  <si>
    <t>원 (-23)&lt;br&gt;참치 (-21)&lt;br&gt;신형만 (-24)&lt;br&gt;태식 (-24)</t>
  </si>
  <si>
    <t>G250222230807</t>
  </si>
  <si>
    <t>2025-02-22 23:08</t>
  </si>
  <si>
    <t>테리 (16)&lt;br&gt;참치 (39)&lt;br&gt;원 (31)&lt;br&gt;솔 (-)</t>
  </si>
  <si>
    <t>유망 (-18)&lt;br&gt;태식 (-20)&lt;br&gt;민우 (-10)&lt;br&gt;신형만 (-21)</t>
  </si>
  <si>
    <t>G250222222707</t>
  </si>
  <si>
    <t>2025-02-22 22:27</t>
  </si>
  <si>
    <t>솔 (-)&lt;br&gt;태식 (20)&lt;br&gt;테리 (15)&lt;br&gt;유망 (25)</t>
  </si>
  <si>
    <t>민우 (-11)&lt;br&gt;참치 (-15)&lt;br&gt;원 (-19)&lt;br&gt;신형만 (-24)</t>
  </si>
  <si>
    <t>G250222214459</t>
  </si>
  <si>
    <t>2025-02-22 21:44</t>
  </si>
  <si>
    <t>원 (32)&lt;br&gt;솔 (-)&lt;br&gt;신형만 (22)&lt;br&gt;유망 (29)</t>
  </si>
  <si>
    <t>민우 (-8)&lt;br&gt;테리 (-20)&lt;br&gt;태식 (-17)&lt;br&gt;참치 (-11)</t>
  </si>
  <si>
    <t>G250221005301</t>
  </si>
  <si>
    <t>2025-02-21 00:53</t>
  </si>
  <si>
    <t>유망 (23)&lt;br&gt;태식 (18)&lt;br&gt;신형만 (15)&lt;br&gt;규식 (19)</t>
  </si>
  <si>
    <t>ACDC (-7)&lt;br&gt;참치 (-9)&lt;br&gt;한메 (-10)&lt;br&gt;민우 (252)</t>
  </si>
  <si>
    <t>G250221000955</t>
  </si>
  <si>
    <t>2025-02-21 00:09</t>
  </si>
  <si>
    <t>민우 (-)&lt;br&gt;참치 (36)&lt;br&gt;신형만 (22)&lt;br&gt;규식 (26)</t>
  </si>
  <si>
    <t>한메 (-14)&lt;br&gt;태식 (-17)&lt;br&gt;ACDC (-10)&lt;br&gt;유망 (-12)</t>
  </si>
  <si>
    <t>G250220232410</t>
  </si>
  <si>
    <t>2025-02-20 23:24</t>
  </si>
  <si>
    <t>ACDC (34)&lt;br&gt;노인 (21)&lt;br&gt;신형만 (23)&lt;br&gt;유망 (28)</t>
  </si>
  <si>
    <t>한메 (-13)&lt;br&gt;참치 (-10)&lt;br&gt;태식 (-16)&lt;br&gt;민우 (-)</t>
  </si>
  <si>
    <t>G250220222406</t>
  </si>
  <si>
    <t>2025-02-20 22:24</t>
  </si>
  <si>
    <t>ACDC (38)&lt;br&gt;테리 (16)&lt;br&gt;규식 (29)&lt;br&gt;유망 (33)</t>
  </si>
  <si>
    <t>신형만 (-19)&lt;br&gt;노인 (-20)&lt;br&gt;민우 (-)&lt;br&gt;재우 (-17)</t>
  </si>
  <si>
    <t>G250220215032</t>
  </si>
  <si>
    <t>2025-02-20 21:50</t>
  </si>
  <si>
    <t>유망 (33)&lt;br&gt;노인 (22)&lt;br&gt;테리 (15)&lt;br&gt;태식 (22)</t>
  </si>
  <si>
    <t>신형만 (-19)&lt;br&gt;ACDC (-7)&lt;br&gt;재우 (-16)&lt;br&gt;규식 (-13)</t>
  </si>
  <si>
    <t>G250220211838</t>
  </si>
  <si>
    <t>2025-02-20 21:18</t>
  </si>
  <si>
    <t>태식 (22)&lt;br&gt;규식 (27)&lt;br&gt;테리 (14)&lt;br&gt;신형만 (20)</t>
  </si>
  <si>
    <t>노인 (-14)&lt;br&gt;ACDC (-5)&lt;br&gt;재우 (-12)&lt;br&gt;유망 (-6)</t>
  </si>
  <si>
    <t>G250220013906</t>
  </si>
  <si>
    <t>2025-02-20 01:39</t>
  </si>
  <si>
    <t>노인 (22)&lt;br&gt;테리 (17)&lt;br&gt;신형만 (24)&lt;br&gt;재명 (36)</t>
  </si>
  <si>
    <t>강화 (-13)&lt;br&gt;ACDC (-8)&lt;br&gt;깡패 (-19)&lt;br&gt;재우 (-18)</t>
  </si>
  <si>
    <t>G250220003431</t>
  </si>
  <si>
    <t>2025-02-20 00:34</t>
  </si>
  <si>
    <t>신형만 (29)&lt;br&gt;깡패 (26)&lt;br&gt;재우 (28)&lt;br&gt;재명 (40)</t>
  </si>
  <si>
    <t>테리 (-20)&lt;br&gt;ACDC (-9)&lt;br&gt;노인 (-19)&lt;br&gt;강화 (-14)</t>
  </si>
  <si>
    <t>G250219235235</t>
  </si>
  <si>
    <t>2025-02-19 23:52</t>
  </si>
  <si>
    <t>웅 (-)&lt;br&gt;노인 (18)&lt;br&gt;태식 (20)&lt;br&gt;신형만 (24)</t>
  </si>
  <si>
    <t>ACDC (-13)&lt;br&gt;깡패 (-22)&lt;br&gt;재명 (-10)&lt;br&gt;강화 (-18)</t>
  </si>
  <si>
    <t>G250219231802</t>
  </si>
  <si>
    <t>2025-02-19 23:18</t>
  </si>
  <si>
    <t>강화 (17)&lt;br&gt;신형만 (18)&lt;br&gt;재우 (16)&lt;br&gt;노인 (13)</t>
  </si>
  <si>
    <t>ACDC (-9)&lt;br&gt;깡패 (-18)&lt;br&gt;웅 (-)&lt;br&gt;재명 (176)</t>
  </si>
  <si>
    <t>G250219224434</t>
  </si>
  <si>
    <t>2025-02-19 22:44</t>
  </si>
  <si>
    <t>강화 (24)&lt;br&gt;태식 (22)&lt;br&gt;깡패 (18)&lt;br&gt;노인 (20)</t>
  </si>
  <si>
    <t>재우 (-17)&lt;br&gt;신형만 (-15)&lt;br&gt;ACDC (-10)&lt;br&gt;재명 (-)</t>
  </si>
  <si>
    <t>G250219220147</t>
  </si>
  <si>
    <t>2025-02-19 22:01</t>
  </si>
  <si>
    <t>재우 (28)&lt;br&gt;테리 (16)&lt;br&gt;태식 (29)&lt;br&gt;깡패 (24)</t>
  </si>
  <si>
    <t>ACDC (-10)&lt;br&gt;노인 (-19)&lt;br&gt;신형만 (-17)&lt;br&gt;강화 (-14)</t>
  </si>
  <si>
    <t>G250219213916</t>
  </si>
  <si>
    <t>2025-02-19 21:39</t>
  </si>
  <si>
    <t>ACDC (36)&lt;br&gt;깡패 (28)&lt;br&gt;노인 (27)&lt;br&gt;태식 (34)</t>
  </si>
  <si>
    <t>신형만 (-19)&lt;br&gt;재우 (-19)&lt;br&gt;테리 (-24)&lt;br&gt;전투쥐 (-9)</t>
  </si>
  <si>
    <t>G250219210137</t>
  </si>
  <si>
    <t>2025-02-19 21:01</t>
  </si>
  <si>
    <t>테리 (15)&lt;br&gt;깡패 (28)&lt;br&gt;ACDC (36)&lt;br&gt;재우 (28)</t>
  </si>
  <si>
    <t>신형만 (-15)&lt;br&gt;태식 (-12)&lt;br&gt;노인 (-15)&lt;br&gt;전투쥐 (-6)</t>
  </si>
  <si>
    <t>G250219201440</t>
  </si>
  <si>
    <t>2025-02-19 20:14</t>
  </si>
  <si>
    <t>노인 (20)&lt;br&gt;테리 (12)&lt;br&gt;깡패 (25)&lt;br&gt;신형만 (20)</t>
  </si>
  <si>
    <t>태식 (-18)&lt;br&gt;재우 (-19)&lt;br&gt;ACDC (-9)&lt;br&gt;전투쥐 (-8)</t>
  </si>
  <si>
    <t>G250218221811</t>
  </si>
  <si>
    <t>2025-02-18 22:18</t>
  </si>
  <si>
    <t>테리 (9)&lt;br&gt;참치 (24)&lt;br&gt;신형만 (16)&lt;br&gt;규식 (19)</t>
  </si>
  <si>
    <t>웅 (-)&lt;br&gt;깡패 (-16)&lt;br&gt;ACDC (-9)&lt;br&gt;유망 (-12)</t>
  </si>
  <si>
    <t>G250218214632</t>
  </si>
  <si>
    <t>2025-02-18 21:46</t>
  </si>
  <si>
    <t>테리 (18)&lt;br&gt;ACDC (37)&lt;br&gt;참치 (39)&lt;br&gt;원 (31)</t>
  </si>
  <si>
    <t>신형만 (-21)&lt;br&gt;규식 (-17)&lt;br&gt;깡패 (-20)&lt;br&gt;유망 (-15)</t>
  </si>
  <si>
    <t>G250218210534</t>
  </si>
  <si>
    <t>2025-02-18 21:05</t>
  </si>
  <si>
    <t>테리 (17)&lt;br&gt;규식 (28)&lt;br&gt;원 (31)&lt;br&gt;유망 (30)</t>
  </si>
  <si>
    <t>신형만 (-19)&lt;br&gt;ACDC (-9)&lt;br&gt;깡패 (-17)&lt;br&gt;참치 (-11)</t>
  </si>
  <si>
    <t>G250217235143</t>
  </si>
  <si>
    <t>2025-02-17 23:51</t>
  </si>
  <si>
    <t>재명 (-)&lt;br&gt;재우 (25)&lt;br&gt;깡패 (24)&lt;br&gt;태식 (27)</t>
  </si>
  <si>
    <t>유망 (-11)&lt;br&gt;노인 (-16)&lt;br&gt;ACDC (-8)&lt;br&gt;강화 (-13)</t>
  </si>
  <si>
    <t>G250217225652</t>
  </si>
  <si>
    <t>2025-02-17 22:56</t>
  </si>
  <si>
    <t>재명 (-)&lt;br&gt;노인 (23)&lt;br&gt;강화 (25)&lt;br&gt;재우 (28)</t>
  </si>
  <si>
    <t>깡패 (-24)&lt;br&gt;ACDC (-14)&lt;br&gt;태식 (-22)&lt;br&gt;유망 (-18)</t>
  </si>
  <si>
    <t>G250217221209</t>
  </si>
  <si>
    <t>2025-02-17 22:12</t>
  </si>
  <si>
    <t>태식 (32)&lt;br&gt;테리 (20)&lt;br&gt;깡패 (28)&lt;br&gt;신형만 (25)</t>
  </si>
  <si>
    <t>ACDC (-6)&lt;br&gt;노인 (-13)&lt;br&gt;재우 (-11)&lt;br&gt;한메 (-13)</t>
  </si>
  <si>
    <t>G250217213559</t>
  </si>
  <si>
    <t>2025-02-17 21:35</t>
  </si>
  <si>
    <t>ACDC (41)&lt;br&gt;규식 (36)&lt;br&gt;테리 (26)&lt;br&gt;재우 (38)</t>
  </si>
  <si>
    <t>한메 (-20)&lt;br&gt;태식 (-17)&lt;br&gt;신형만 (-20)&lt;br&gt;노인 (-20)</t>
  </si>
  <si>
    <t>G250217204052</t>
  </si>
  <si>
    <t>2025-02-17 20:40</t>
  </si>
  <si>
    <t>한메 (21)&lt;br&gt;테리 (23)&lt;br&gt;태식 (33)&lt;br&gt;재우 (36)</t>
  </si>
  <si>
    <t>ACDC (-10)&lt;br&gt;규식 (-14)&lt;br&gt;신형만 (-24)&lt;br&gt;노인 (-24)</t>
  </si>
  <si>
    <t>G250216231841</t>
  </si>
  <si>
    <t>2025-02-16 23:18</t>
  </si>
  <si>
    <t>강화 (27)&lt;br&gt;태식 (33)&lt;br&gt;신형만 (21)&lt;br&gt;재명 (-)</t>
  </si>
  <si>
    <t>ACDC (-9)&lt;br&gt;깡패 (-16)&lt;br&gt;테리 (-16)&lt;br&gt;재우 (-13)</t>
  </si>
  <si>
    <t>G250216221753</t>
  </si>
  <si>
    <t>2025-02-16 22:17</t>
  </si>
  <si>
    <t>깡패 (18)&lt;br&gt;신형만 (15)&lt;br&gt;태식 (28)&lt;br&gt;한메 (15)</t>
  </si>
  <si>
    <t>재명 (-)&lt;br&gt;재우 (-16)&lt;br&gt;ACDC (-10)&lt;br&gt;강화 (-16)</t>
  </si>
  <si>
    <t>G250216215716</t>
  </si>
  <si>
    <t>2025-02-16 21:57</t>
  </si>
  <si>
    <t>강화 (29)&lt;br&gt;깡패 (29)&lt;br&gt;재우 (35)&lt;br&gt;한메 (23)</t>
  </si>
  <si>
    <t>테리 (-18)&lt;br&gt;ACDC (-10)&lt;br&gt;태식 (-12)&lt;br&gt;신형만 (-19)</t>
  </si>
  <si>
    <t>G250216212158</t>
  </si>
  <si>
    <t>2025-02-16 21:21</t>
  </si>
  <si>
    <t>깡패 (30)&lt;br&gt;유즈 (-)&lt;br&gt;강화 (30)&lt;br&gt;태식 (37)</t>
  </si>
  <si>
    <t>전투쥐 (-13)&lt;br&gt;테리 (-22)&lt;br&gt;ACDC (-14)&lt;br&gt;한메 (-21)</t>
  </si>
  <si>
    <t>G250216203207</t>
  </si>
  <si>
    <t>2025-02-16 20:32</t>
  </si>
  <si>
    <t>강화 (28)&lt;br&gt;유즈 (-)&lt;br&gt;테리 (14)&lt;br&gt;한메 (17)</t>
  </si>
  <si>
    <t>ACDC (-13)&lt;br&gt;태식 (-13)&lt;br&gt;깡패 (-17)&lt;br&gt;전투쥐 (-12)</t>
  </si>
  <si>
    <t>G250216174146</t>
  </si>
  <si>
    <t>2025-02-16 17:41</t>
  </si>
  <si>
    <t>테리 (19)&lt;br&gt;깡패 (31)&lt;br&gt;원 (32)&lt;br&gt;태식 (39)</t>
  </si>
  <si>
    <t>전투쥐 (-14)&lt;br&gt;신형만 (-26)&lt;br&gt;ACDC (-16)&lt;br&gt;따 (-19)</t>
  </si>
  <si>
    <t>G250216172535</t>
  </si>
  <si>
    <t>2025-02-16 17:25</t>
  </si>
  <si>
    <t>테리 (19)&lt;br&gt;신형만 (17)&lt;br&gt;전투쥐 (32)&lt;br&gt;원 (33)</t>
  </si>
  <si>
    <t>ACDC (-17)&lt;br&gt;깡패 (-20)&lt;br&gt;따 (-21)&lt;br&gt;태식 (-15)</t>
  </si>
  <si>
    <t>G250216170729</t>
  </si>
  <si>
    <t>2025-02-16 17:07</t>
  </si>
  <si>
    <t>ACDC (22)&lt;br&gt;테리 (14)&lt;br&gt;신형만 (12)&lt;br&gt;민우 (-)</t>
  </si>
  <si>
    <t>전투쥐 (-8)&lt;br&gt;넘버 (-)&lt;br&gt;원 (264)&lt;br&gt;따 (-13)</t>
  </si>
  <si>
    <t>G250216163036</t>
  </si>
  <si>
    <t>2025-02-16 16:30</t>
  </si>
  <si>
    <t>ACDC (31)&lt;br&gt;신형만 (20)&lt;br&gt;원 (-)&lt;br&gt;넘버 (-)</t>
  </si>
  <si>
    <t>민우 (-)&lt;br&gt;따 (-23)&lt;br&gt;테리 (-24)&lt;br&gt;전투쥐 (-17)</t>
  </si>
  <si>
    <t>G250216160612</t>
  </si>
  <si>
    <t>2025-02-16 16:06</t>
  </si>
  <si>
    <t>원 (-)&lt;br&gt;따 (17)&lt;br&gt;신형만 (16)&lt;br&gt;민우 (-)</t>
  </si>
  <si>
    <t>테리 (-28)&lt;br&gt;넘버 (-)&lt;br&gt;ACDC (-18)&lt;br&gt;전투쥐 (-18)</t>
  </si>
  <si>
    <t>G250216154846</t>
  </si>
  <si>
    <t>2025-02-16 15:48</t>
  </si>
  <si>
    <t>전투쥐 (29)&lt;br&gt;원 (-)&lt;br&gt;테리 (15)&lt;br&gt;민우 (-)</t>
  </si>
  <si>
    <t>ACDC (-15)&lt;br&gt;따 (-19)&lt;br&gt;신형만 (-21)&lt;br&gt;넘버 (-)</t>
  </si>
  <si>
    <t>G250216150050</t>
  </si>
  <si>
    <t>2025-02-16 15:00</t>
  </si>
  <si>
    <t>ACDC (35)&lt;br&gt;원 (-)&lt;br&gt;민우 (-)&lt;br&gt;신형만 (26)</t>
  </si>
  <si>
    <t>전투쥐 (-18)&lt;br&gt;테리 (-28)&lt;br&gt;넘버 (-)&lt;br&gt;따 (-27)</t>
  </si>
  <si>
    <t>G250215182436</t>
  </si>
  <si>
    <t>2025-02-15 18:24</t>
  </si>
  <si>
    <t>전투쥐 (39)&lt;br&gt;짱구 (30)&lt;br&gt;민우 (-)&lt;br&gt;원 (-)</t>
  </si>
  <si>
    <t>신형만 (-29)&lt;br&gt;테리 (-30)&lt;br&gt;태식 (-21)&lt;br&gt;따 (-29)</t>
  </si>
  <si>
    <t>G250215175911</t>
  </si>
  <si>
    <t>2025-02-15 17:59</t>
  </si>
  <si>
    <t>민우 (-)&lt;br&gt;짱구 (23)&lt;br&gt;신형만 (19)&lt;br&gt;따 (16)</t>
  </si>
  <si>
    <t>원 (-)&lt;br&gt;태식 (-16)&lt;br&gt;테리 (-27)&lt;br&gt;전투쥐 (-13)</t>
  </si>
  <si>
    <t>G250215165644</t>
  </si>
  <si>
    <t>2025-02-15 16:56</t>
  </si>
  <si>
    <t>테리 (9)&lt;br&gt;신형만 (16)&lt;br&gt;짱구 (20)&lt;br&gt;전투쥐 (28)</t>
  </si>
  <si>
    <t>유즈 (-)&lt;br&gt;따 (-18)&lt;br&gt;태식 (-12)&lt;br&gt;민우 (-)</t>
  </si>
  <si>
    <t>G250215161405</t>
  </si>
  <si>
    <t>2025-02-15 16:14</t>
  </si>
  <si>
    <t>유즈 (-)&lt;br&gt;테리 (14)&lt;br&gt;규식 (37)&lt;br&gt;신형만 (25)</t>
  </si>
  <si>
    <t>짱구 (-17)&lt;br&gt;태식 (-17)&lt;br&gt;따 (-24)&lt;br&gt;전투쥐 (-12)</t>
  </si>
  <si>
    <t>G250215041113</t>
  </si>
  <si>
    <t>2025-02-15 04:11</t>
  </si>
  <si>
    <t>신형만 (25)&lt;br&gt;따 (19)&lt;br&gt;한메 (25)&lt;br&gt;민우 (-)</t>
  </si>
  <si>
    <t>짱구 (-17)&lt;br&gt;깡패 (-18)&lt;br&gt;노인 (-24)&lt;br&gt;규식 (240)</t>
  </si>
  <si>
    <t>G250215031235</t>
  </si>
  <si>
    <t>2025-02-15 03:12</t>
  </si>
  <si>
    <t>테리 (19)&lt;br&gt;짱구 (30)&lt;br&gt;강화 (37)&lt;br&gt;따 (21)</t>
  </si>
  <si>
    <t>규식 (-)&lt;br&gt;노인 (-18)&lt;br&gt;신형만 (-13)&lt;br&gt;깡패 (-13)</t>
  </si>
  <si>
    <t>G250215021348</t>
  </si>
  <si>
    <t>2025-02-15 02:13</t>
  </si>
  <si>
    <t>ACDC (39)&lt;br&gt;따 (26)&lt;br&gt;짱구 (35)&lt;br&gt;깡패 (37)</t>
  </si>
  <si>
    <t>강화 (-11)&lt;br&gt;테리 (-21)&lt;br&gt;신형만 (-18)&lt;br&gt;노인 (-23)</t>
  </si>
  <si>
    <t>G250215013504</t>
  </si>
  <si>
    <t>2025-02-15 01:34</t>
  </si>
  <si>
    <t>테리 (14)&lt;br&gt;따 (20)&lt;br&gt;짱구 (30)&lt;br&gt;노인 (13)</t>
  </si>
  <si>
    <t>깡패 (-17)&lt;br&gt;ACDC (-10)&lt;br&gt;강화 (-11)&lt;br&gt;신형만 (-21)</t>
  </si>
  <si>
    <t>G250215011509</t>
  </si>
  <si>
    <t>2025-02-15 01:15</t>
  </si>
  <si>
    <t>강화 (30)&lt;br&gt;태식 (29)&lt;br&gt;신형만 (16)&lt;br&gt;노인 (11)</t>
  </si>
  <si>
    <t>짱구 (-13)&lt;br&gt;ACDC (-12)&lt;br&gt;깡패 (-19)&lt;br&gt;전투쥐 (-11)</t>
  </si>
  <si>
    <t>G250215003917</t>
  </si>
  <si>
    <t>2025-02-15 00:39</t>
  </si>
  <si>
    <t>강화 (37)&lt;br&gt;노인 (16)&lt;br&gt;깡패 (29)&lt;br&gt;전투쥐 (36)</t>
  </si>
  <si>
    <t>짱구 (-17)&lt;br&gt;ACDC (-15)&lt;br&gt;한메 (-23)&lt;br&gt;신형만 (-24)</t>
  </si>
  <si>
    <t>G250215001105</t>
  </si>
  <si>
    <t>2025-02-15 00:10</t>
  </si>
  <si>
    <t>한메 (21)&lt;br&gt;짱구 (30)&lt;br&gt;전투쥐 (37)&lt;br&gt;노인 (16)</t>
  </si>
  <si>
    <t>ACDC (-15)&lt;br&gt;신형만 (-25)&lt;br&gt;깡패 (-21)&lt;br&gt;강화 (-11)</t>
  </si>
  <si>
    <t>G250214234536</t>
  </si>
  <si>
    <t>2025-02-14 23:45</t>
  </si>
  <si>
    <t>강화 (27)&lt;br&gt;깡패 (16)&lt;br&gt;노인 (9)&lt;br&gt;한메 (13)</t>
  </si>
  <si>
    <t>웅 (-)&lt;br&gt;ACDC (-16)&lt;br&gt;짱구 (-16)&lt;br&gt;전투쥐 (-10)</t>
  </si>
  <si>
    <t>G250214232616</t>
  </si>
  <si>
    <t>2025-02-14 23:26</t>
  </si>
  <si>
    <t>한메 (14)&lt;br&gt;ACDC (20)&lt;br&gt;짱구 (21)&lt;br&gt;노인 (9)</t>
  </si>
  <si>
    <t>전투쥐 (-8)&lt;br&gt;깡패 (-16)&lt;br&gt;웅 (-)&lt;br&gt;강화 (-8)</t>
  </si>
  <si>
    <t>G250214224807</t>
  </si>
  <si>
    <t>2025-02-14 22:48</t>
  </si>
  <si>
    <t>ACDC (29)&lt;br&gt;깡패 (24)&lt;br&gt;노인 (16)&lt;br&gt;강화 (36)</t>
  </si>
  <si>
    <t>전투쥐 (-8)&lt;br&gt;짱구 (-11)&lt;br&gt;노픽업 (-)&lt;br&gt;따 (-16)</t>
  </si>
  <si>
    <t>G250214215507</t>
  </si>
  <si>
    <t>2025-02-14 21:55</t>
  </si>
  <si>
    <t>노인 (19)&lt;br&gt;따 (20)&lt;br&gt;뼈해장국 (-)&lt;br&gt;전투쥐 (37)</t>
  </si>
  <si>
    <t>ACDC (-15)&lt;br&gt;신형만 (-26)&lt;br&gt;깡패 (-21)&lt;br&gt;강화 (-11)</t>
  </si>
  <si>
    <t>G250214213927</t>
  </si>
  <si>
    <t>2025-02-14 21:39</t>
  </si>
  <si>
    <t>깡패 (14)&lt;br&gt;신형만 (8)&lt;br&gt;노인 (10)&lt;br&gt;따 (11)</t>
  </si>
  <si>
    <t>전투쥐 (-6)&lt;br&gt;ACDC (-10)&lt;br&gt;뼈해장국 (-)&lt;br&gt;강화 (-6)</t>
  </si>
  <si>
    <t>G250214014616</t>
  </si>
  <si>
    <t>2025-02-14 01:46</t>
  </si>
  <si>
    <t>한메 (26)&lt;br&gt;짱구 (33)&lt;br&gt;참치 (37)&lt;br&gt;따 (24)</t>
  </si>
  <si>
    <t>유망 (-18)&lt;br&gt;노인 (-24)&lt;br&gt;강화 (-10)&lt;br&gt;깡패 (-20)</t>
  </si>
  <si>
    <t>G250214014450</t>
  </si>
  <si>
    <t>2025-02-14 01:44</t>
  </si>
  <si>
    <t>한메 (23)&lt;br&gt;노인 (16)&lt;br&gt;따 (21)&lt;br&gt;유망 (22)</t>
  </si>
  <si>
    <t>강화 (-6)&lt;br&gt;깡패 (-14)&lt;br&gt;짱구 (-8)&lt;br&gt;참치 (-9)</t>
  </si>
  <si>
    <t>G250214003509</t>
  </si>
  <si>
    <t>2025-02-14 00:35</t>
  </si>
  <si>
    <t>한메 (25)&lt;br&gt;참치 (240)&lt;br&gt;신형만 (16)&lt;br&gt;깡패 (22)</t>
  </si>
  <si>
    <t>강화 (-9)&lt;br&gt;짱구 (-12)&lt;br&gt;따 (-17)&lt;br&gt;유망 (-16)</t>
  </si>
  <si>
    <t>G250213235438</t>
  </si>
  <si>
    <t>2025-02-13 23:54</t>
  </si>
  <si>
    <t>신형만 (17)&lt;br&gt;깡패 (24)&lt;br&gt;강화 (35)&lt;br&gt;따 (21)</t>
  </si>
  <si>
    <t>유망 (-18)&lt;br&gt;참치 (-)&lt;br&gt;짱구 (220)&lt;br&gt;한메 (-15)</t>
  </si>
  <si>
    <t>G250213232231</t>
  </si>
  <si>
    <t>2025-02-13 23:22</t>
  </si>
  <si>
    <t>짱구 (-)&lt;br&gt;신형만 (20)&lt;br&gt;유망 (320)&lt;br&gt;강화 (38)</t>
  </si>
  <si>
    <t>한메 (-21)&lt;br&gt;재우 (-21)&lt;br&gt;깡패 (-23)&lt;br&gt;전투쥐 (-13)</t>
  </si>
  <si>
    <t>G250213224923</t>
  </si>
  <si>
    <t>2025-02-13 22:49</t>
  </si>
  <si>
    <t>전투쥐 (39)&lt;br&gt;짱구 (-)&lt;br&gt;태식 (37)&lt;br&gt;재우 (33)</t>
  </si>
  <si>
    <t>강화 (-13)&lt;br&gt;신형만 (-29)&lt;br&gt;깡패 (-27)&lt;br&gt;한메 (-24)</t>
  </si>
  <si>
    <t>G250213222820</t>
  </si>
  <si>
    <t>2025-02-13 22:28</t>
  </si>
  <si>
    <t>태식 (31)&lt;br&gt;신형만 (15)&lt;br&gt;재우 (27)&lt;br&gt;깡패 (18)</t>
  </si>
  <si>
    <t>강화 (-7)&lt;br&gt;노인 (-23)&lt;br&gt;짱구 (-)&lt;br&gt;전투쥐 (-8)</t>
  </si>
  <si>
    <t>G250213220807</t>
  </si>
  <si>
    <t>2025-02-13 22:08</t>
  </si>
  <si>
    <t>테리 (12)&lt;br&gt;신형만 (17)&lt;br&gt;노인 (15)&lt;br&gt;태식 (37)</t>
  </si>
  <si>
    <t>짱구 (-)&lt;br&gt;깡패 (-21)&lt;br&gt;재우 (-15)&lt;br&gt;전투쥐 (-8)</t>
  </si>
  <si>
    <t>G250213215004</t>
  </si>
  <si>
    <t>2025-02-13 21:49</t>
  </si>
  <si>
    <t>신형만 (20)&lt;br&gt;짱구 (-)&lt;br&gt;깡패 (21)&lt;br&gt;노인 (17)</t>
  </si>
  <si>
    <t>재우 (260)&lt;br&gt;테리 (-20)&lt;br&gt;전투쥐 (-7)&lt;br&gt;태식 (-8)</t>
  </si>
  <si>
    <t>G250213212246</t>
  </si>
  <si>
    <t>2025-02-13 21:22</t>
  </si>
  <si>
    <t>재우 (-)&lt;br&gt;테리 (14)&lt;br&gt;짱구 (-)&lt;br&gt;깡패 (27)</t>
  </si>
  <si>
    <t>신형만 (-24)&lt;br&gt;태식 (-13)&lt;br&gt;전투쥐 (-11)&lt;br&gt;노인 (-26)</t>
  </si>
  <si>
    <t>G250213205752</t>
  </si>
  <si>
    <t>2025-02-13 20:57</t>
  </si>
  <si>
    <t>재우 (-)&lt;br&gt;테리 (14)&lt;br&gt;노인 (18)&lt;br&gt;전투쥐 (38)</t>
  </si>
  <si>
    <t>깡패 (-17)&lt;br&gt;태식 (-11)&lt;br&gt;짱구 (-)&lt;br&gt;신형만 (-19)</t>
  </si>
  <si>
    <t>G250213202558</t>
  </si>
  <si>
    <t>2025-02-13 20:25</t>
  </si>
  <si>
    <t>깡패 (23)&lt;br&gt;테리 (13)&lt;br&gt;짱구 (-)&lt;br&gt;노인 (17)</t>
  </si>
  <si>
    <t>재우 (-)&lt;br&gt;신형만 (-22)&lt;br&gt;전투쥐 (-7)&lt;br&gt;태식 (-11)</t>
  </si>
  <si>
    <t>G250213180347</t>
  </si>
  <si>
    <t>2025-02-13 18:03</t>
  </si>
  <si>
    <t>한메 (23)&lt;br&gt;따 (24)&lt;br&gt;테리 (15)&lt;br&gt;노인 (20)</t>
  </si>
  <si>
    <t>짱구 (-)&lt;br&gt;재명 (-)&lt;br&gt;깡패 (-14)&lt;br&gt;신형만 (-19)</t>
  </si>
  <si>
    <t>G250213173057</t>
  </si>
  <si>
    <t>2025-02-13 17:30</t>
  </si>
  <si>
    <t>노인 (26)&lt;br&gt;따 (29)&lt;br&gt;짱구 (-)&lt;br&gt;신형만 (19)</t>
  </si>
  <si>
    <t>한메 (-22)&lt;br&gt;테리 (-29)&lt;br&gt;재명 (-)&lt;br&gt;깡패 (-24)</t>
  </si>
  <si>
    <t>G250213171609</t>
  </si>
  <si>
    <t>2025-02-13 17:16</t>
  </si>
  <si>
    <t>신형만 (21)&lt;br&gt;짱구 (-)&lt;br&gt;한메 (27)&lt;br&gt;깡패 (28)</t>
  </si>
  <si>
    <t>노인 (-24)&lt;br&gt;재명 (-)&lt;br&gt;테리 (-27)&lt;br&gt;따 (-18)</t>
  </si>
  <si>
    <t>G250213165239</t>
  </si>
  <si>
    <t>2025-02-13 16:52</t>
  </si>
  <si>
    <t>테리 (21)&lt;br&gt;짱구 (-)&lt;br&gt;재명 (-)&lt;br&gt;한메 (34)</t>
  </si>
  <si>
    <t>깡패 (-28)&lt;br&gt;신형만 (-32)&lt;br&gt;따 (-25)&lt;br&gt;노인 (-31)</t>
  </si>
  <si>
    <t>G250212212810</t>
  </si>
  <si>
    <t>2025-02-12 21:28</t>
  </si>
  <si>
    <t>규식 (-)&lt;br&gt;민우 (-)&lt;br&gt;ACDC (23)&lt;br&gt;따 (18)</t>
  </si>
  <si>
    <t>깡패 (-18)&lt;br&gt;뼈해장국 (-)&lt;br&gt;강화 (-10)&lt;br&gt;재우 (-)</t>
  </si>
  <si>
    <t>G250212203250</t>
  </si>
  <si>
    <t>2025-02-12 20:32</t>
  </si>
  <si>
    <t>재우 (-)&lt;br&gt;규식 (-)&lt;br&gt;뼈해장국 (-)&lt;br&gt;따 (22)</t>
  </si>
  <si>
    <t>ACDC (-20)&lt;br&gt;민우 (-)&lt;br&gt;깡패 (-28)&lt;br&gt;강화 (-14)</t>
  </si>
  <si>
    <t>G250212000233</t>
  </si>
  <si>
    <t>2025-02-12 00:01</t>
  </si>
  <si>
    <t>노인 (18)&lt;br&gt;신형만 (15)&lt;br&gt;깡패 (19)&lt;br&gt;참치 (-)</t>
  </si>
  <si>
    <t>웅 (-)&lt;br&gt;규식 (-)&lt;br&gt;유망 (-)&lt;br&gt;따 (-11)</t>
  </si>
  <si>
    <t>G250211220410</t>
  </si>
  <si>
    <t>2025-02-11 22:04</t>
  </si>
  <si>
    <t>참치 (-)&lt;br&gt;노인 (23)&lt;br&gt;신형만 (20)&lt;br&gt;규식 (-)</t>
  </si>
  <si>
    <t>유망 (-)&lt;br&gt;태식 (-10)&lt;br&gt;ACDC (-11)&lt;br&gt;깡패 (-17)</t>
  </si>
  <si>
    <t>G250211210057</t>
  </si>
  <si>
    <t>2025-02-11 21:00</t>
  </si>
  <si>
    <t>참치 (-)&lt;br&gt;신형만 (19)&lt;br&gt;깡패 (20)&lt;br&gt;유망 (-)</t>
  </si>
  <si>
    <t>ACDC (-16)&lt;br&gt;규식 (-)&lt;br&gt;태식 (-15)&lt;br&gt;노인 (-23)</t>
  </si>
  <si>
    <t>G250211203848</t>
  </si>
  <si>
    <t>2025-02-11 20:38</t>
  </si>
  <si>
    <t>규식 (-)&lt;br&gt;신형만 (21)&lt;br&gt;노인 (21)&lt;br&gt;유망 (-)</t>
  </si>
  <si>
    <t>ACDC (-13)&lt;br&gt;깡패 (-19)&lt;br&gt;태식 (-12)&lt;br&gt;참치 (-)</t>
  </si>
  <si>
    <t>G250211002439</t>
  </si>
  <si>
    <t>2025-02-11 00:24</t>
  </si>
  <si>
    <t>노인 (23)&lt;br&gt;ACDC (28)&lt;br&gt;신형만 (23)&lt;br&gt;유망 (-)</t>
  </si>
  <si>
    <t>태식 (-12)&lt;br&gt;깡패 (-19)&lt;br&gt;따 (-14)&lt;br&gt;참치 (-)</t>
  </si>
  <si>
    <t>G250210235349</t>
  </si>
  <si>
    <t>2025-02-10 23:53</t>
  </si>
  <si>
    <t>깡패 (19)&lt;br&gt;태식 (34)&lt;br&gt;신형만 (24)&lt;br&gt;유망 (-)</t>
  </si>
  <si>
    <t>참치 (-)&lt;br&gt;따 (-14)&lt;br&gt;ACDC (-12)&lt;br&gt;노인 (-17)</t>
  </si>
  <si>
    <t>G250210230655</t>
  </si>
  <si>
    <t>2025-02-10 23:06</t>
  </si>
  <si>
    <t>ACDC (24)&lt;br&gt;깡패 (16)&lt;br&gt;유망 (-)&lt;br&gt;노인 (18)</t>
  </si>
  <si>
    <t>태식 (-17)&lt;br&gt;신형만 (-24)&lt;br&gt;참치 (-)&lt;br&gt;전투쥐 (-11)</t>
  </si>
  <si>
    <t>G250210224553</t>
  </si>
  <si>
    <t>2025-02-10 22:45</t>
  </si>
  <si>
    <t>ACDC (27)&lt;br&gt;깡패 (19)&lt;br&gt;노인 (21)&lt;br&gt;한메 (25)</t>
  </si>
  <si>
    <t>재우 (-)&lt;br&gt;태식 (-11)&lt;br&gt;신형만 (-15)&lt;br&gt;전투쥐 (-7)</t>
  </si>
  <si>
    <t>G250210220427</t>
  </si>
  <si>
    <t>2025-02-10 22:04</t>
  </si>
  <si>
    <t>노인 (26)&lt;br&gt;신형만 (22)&lt;br&gt;한메 (29)&lt;br&gt;재우 (-)</t>
  </si>
  <si>
    <t>태식 (-17)&lt;br&gt;ACDC (-14)&lt;br&gt;깡패 (-22)&lt;br&gt;전투쥐 (-11)</t>
  </si>
  <si>
    <t>G250210213427</t>
  </si>
  <si>
    <t>2025-02-10 21:34</t>
  </si>
  <si>
    <t>ACDC (32)&lt;br&gt;재우 (-)&lt;br&gt;테리 (15)&lt;br&gt;신형만 (26)</t>
  </si>
  <si>
    <t>깡패 (-23)&lt;br&gt;노인 (-19)&lt;br&gt;한메 (-14)&lt;br&gt;전투쥐 (-11)</t>
  </si>
  <si>
    <t>G250210210339</t>
  </si>
  <si>
    <t>2025-02-10 21:03</t>
  </si>
  <si>
    <t>테리 (14)&lt;br&gt;깡패 (19)&lt;br&gt;재우 (-)&lt;br&gt;한메 (31)</t>
  </si>
  <si>
    <t>전투쥐 (-11)&lt;br&gt;ACDC (-12)&lt;br&gt;신형만 (-19)&lt;br&gt;노인 (-19)</t>
  </si>
  <si>
    <t>G250210203724</t>
  </si>
  <si>
    <t>2025-02-10 20:37</t>
  </si>
  <si>
    <t>노인 (24)&lt;br&gt;재우 (-)&lt;br&gt;테리 (15)&lt;br&gt;신형만 (24)</t>
  </si>
  <si>
    <t>전투쥐 (-11)&lt;br&gt;ACDC (-13)&lt;br&gt;깡패 (-22)&lt;br&gt;한메 (-12)</t>
  </si>
  <si>
    <t>G250207183809</t>
  </si>
  <si>
    <t>2025-02-07 18:38</t>
  </si>
  <si>
    <t>필찌 (-)&lt;br&gt;테리 (15)&lt;br&gt;민우 (-)&lt;br&gt;깡패 (18)</t>
  </si>
  <si>
    <t>ACDC (-19)&lt;br&gt;따 (-24)&lt;br&gt;한메 (-19)&lt;br&gt;태식 (264)</t>
  </si>
  <si>
    <t>G250207181143</t>
  </si>
  <si>
    <t>2025-02-07 18:11</t>
  </si>
  <si>
    <t>한메 (33)&lt;br&gt;태식 (-)&lt;br&gt;테리 (14)&lt;br&gt;깡패 (17)</t>
  </si>
  <si>
    <t>필찌 (-)&lt;br&gt;ACDC (-18)&lt;br&gt;따 (-24)&lt;br&gt;민우 (-)</t>
  </si>
  <si>
    <t>G250207172527</t>
  </si>
  <si>
    <t>2025-02-07 17:25</t>
  </si>
  <si>
    <t>깡패 (20)&lt;br&gt;테리 (17)&lt;br&gt;ACDC (27)&lt;br&gt;민우 (-)</t>
  </si>
  <si>
    <t>유즈 (-)&lt;br&gt;노인 (-26)&lt;br&gt;따 (-28)&lt;br&gt;한메 (-18)</t>
  </si>
  <si>
    <t>G250207032952</t>
  </si>
  <si>
    <t>2025-02-07 03:29</t>
  </si>
  <si>
    <t>유망 (-)&lt;br&gt;테리 (24)&lt;br&gt;ACDC (35)&lt;br&gt;따 (24)</t>
  </si>
  <si>
    <t>신형만 (-15)&lt;br&gt;노인 (-16)&lt;br&gt;한메 (-10)&lt;br&gt;깡패 (-16)</t>
  </si>
  <si>
    <t>G250207024022</t>
  </si>
  <si>
    <t>2025-02-07 02:40</t>
  </si>
  <si>
    <t>신형만 (33)&lt;br&gt;깡패 (28)&lt;br&gt;ACDC (37)&lt;br&gt;따 (26)</t>
  </si>
  <si>
    <t>테리 (-22)&lt;br&gt;노인 (-24)&lt;br&gt;한메 (-15)&lt;br&gt;박서 (-)</t>
  </si>
  <si>
    <t>G250206215448</t>
  </si>
  <si>
    <t>2025-02-06 21:54</t>
  </si>
  <si>
    <t>테리 (16)&lt;br&gt;노인 (18)&lt;br&gt;깡패 (21)&lt;br&gt;한메 (26)</t>
  </si>
  <si>
    <t>ACDC (-11)&lt;br&gt;신형만 (-19)&lt;br&gt;전투쥐 (-11)&lt;br&gt;태식 (-)</t>
  </si>
  <si>
    <t>G250206211720</t>
  </si>
  <si>
    <t>2025-02-06 21:17</t>
  </si>
  <si>
    <t>깡패 (25)&lt;br&gt;테리 (20)&lt;br&gt;태식 (-)&lt;br&gt;신형만 (26)</t>
  </si>
  <si>
    <t>전투쥐 (-15)&lt;br&gt;노인 (-27)&lt;br&gt;ACDC (-14)&lt;br&gt;한메 (-17)</t>
  </si>
  <si>
    <t>G250206205953</t>
  </si>
  <si>
    <t>2025-02-06 20:59</t>
  </si>
  <si>
    <t>신형만 (32)&lt;br&gt;규식 (-)&lt;br&gt;전투쥐 (34)&lt;br&gt;노인 (22)</t>
  </si>
  <si>
    <t>테리 (-27)&lt;br&gt;ACDC (-18)&lt;br&gt;한메 (-21)&lt;br&gt;깡패 (-26)</t>
  </si>
  <si>
    <t>G250206203628</t>
  </si>
  <si>
    <t>2025-02-06 20:36</t>
  </si>
  <si>
    <t>노인 (22)&lt;br&gt;규식 (-)&lt;br&gt;한메 (29)&lt;br&gt;깡패 (26)</t>
  </si>
  <si>
    <t>신형만 (-20)&lt;br&gt;ACDC (-16)&lt;br&gt;테리 (-25)&lt;br&gt;전투쥐 (-15)</t>
  </si>
  <si>
    <t>G250206032359</t>
  </si>
  <si>
    <t>2025-02-06 03:23</t>
  </si>
  <si>
    <t>깡패 (21)&lt;br&gt;테리 (13)&lt;br&gt;ACDC (25)&lt;br&gt;따 (16)</t>
  </si>
  <si>
    <t>신형만 (-19)&lt;br&gt;노인 (-23)&lt;br&gt;민우 (-)&lt;br&gt;하리보 (-)</t>
  </si>
  <si>
    <t>G250206025545</t>
  </si>
  <si>
    <t>2025-02-06 02:55</t>
  </si>
  <si>
    <t>민우 (-)&lt;br&gt;노인 (19)&lt;br&gt;테리 (20)&lt;br&gt;따 (24)</t>
  </si>
  <si>
    <t>ACDC (-10)&lt;br&gt;깡패 (-15)&lt;br&gt;신형만 (-16)&lt;br&gt;하리보 (-)</t>
  </si>
  <si>
    <t>G250206013038</t>
  </si>
  <si>
    <t>2025-02-06 01:30</t>
  </si>
  <si>
    <t>강화 (40)&lt;br&gt;따 (280)&lt;br&gt;한메 (35)&lt;br&gt;유망 (-)</t>
  </si>
  <si>
    <t>깡패 (-17)&lt;br&gt;노인 (-19)&lt;br&gt;신형만 (-17)&lt;br&gt;ACDC (-13)</t>
  </si>
  <si>
    <t>G250206004511</t>
  </si>
  <si>
    <t>2025-02-06 00:45</t>
  </si>
  <si>
    <t>유망 (-)&lt;br&gt;깡패 (35)&lt;br&gt;원 (-)&lt;br&gt;따 (-)</t>
  </si>
  <si>
    <t>신형만 (-17)&lt;br&gt;노인 (-18)&lt;br&gt;테리 (-18)&lt;br&gt;ACDC (-13)</t>
  </si>
  <si>
    <t>G250206000341</t>
  </si>
  <si>
    <t>2025-02-06 00:03</t>
  </si>
  <si>
    <t>테리 (22)&lt;br&gt;원 (-)&lt;br&gt;노인 (23)&lt;br&gt;유망 (-)</t>
  </si>
  <si>
    <t>ACDC (-16)&lt;br&gt;깡패 (-20)&lt;br&gt;신형만 (-23)&lt;br&gt;따 (-)</t>
  </si>
  <si>
    <t>G250205232843</t>
  </si>
  <si>
    <t>2025-02-05 23:28</t>
  </si>
  <si>
    <t>깡패 (19)&lt;br&gt;신형만 (14)&lt;br&gt;태식 (-)&lt;br&gt;노인 (14)</t>
  </si>
  <si>
    <t>ACDC (-10)&lt;br&gt;원 (-)&lt;br&gt;재우 (-)&lt;br&gt;한메 (-8)</t>
  </si>
  <si>
    <t>G250205224448</t>
  </si>
  <si>
    <t>2025-02-05 22:44</t>
  </si>
  <si>
    <t>깡패 (31)&lt;br&gt;신형만 (24)&lt;br&gt;원 (-)&lt;br&gt;재우 (-)</t>
  </si>
  <si>
    <t>한메 (-19)&lt;br&gt;태식 (-)&lt;br&gt;ACDC (-23)&lt;br&gt;노인 (-28)</t>
  </si>
  <si>
    <t>G250205221326</t>
  </si>
  <si>
    <t>2025-02-05 22:13</t>
  </si>
  <si>
    <t>원 (-)&lt;br&gt;깡패 (31)&lt;br&gt;신형만 (24)&lt;br&gt;ACDC (25)</t>
  </si>
  <si>
    <t>테리 (-20)&lt;br&gt;태식 (-)&lt;br&gt;전투쥐 (-13)&lt;br&gt;한메 (-15)</t>
  </si>
  <si>
    <t>G250205212648</t>
  </si>
  <si>
    <t>2025-02-05 21:26</t>
  </si>
  <si>
    <t>전투쥐 (28)&lt;br&gt;테리 (15)&lt;br&gt;노인 (16)&lt;br&gt;규식 (-)</t>
  </si>
  <si>
    <t>ACDC (-17)&lt;br&gt;재명 (-)&lt;br&gt;태식 (-)&lt;br&gt;깡패 (-16)</t>
  </si>
  <si>
    <t>G250205204757</t>
  </si>
  <si>
    <t>2025-02-05 20:47</t>
  </si>
  <si>
    <t>테리 (13)&lt;br&gt;태식 (-)&lt;br&gt;노인 (14)&lt;br&gt;깡패 (25)</t>
  </si>
  <si>
    <t>규식 (-)&lt;br&gt;재명 (-)&lt;br&gt;ACDC (-21)&lt;br&gt;전투쥐 (-15)</t>
  </si>
  <si>
    <t>G250205014040</t>
  </si>
  <si>
    <t>2025-02-05 01:40</t>
  </si>
  <si>
    <t>노인 (18)&lt;br&gt;신형만 (21)&lt;br&gt;유망 (-)&lt;br&gt;한메 (24)</t>
  </si>
  <si>
    <t>참치 (-)&lt;br&gt;규식 (-)&lt;br&gt;ACDC (-17)&lt;br&gt;깡패 (-14)</t>
  </si>
  <si>
    <t>G250205010631</t>
  </si>
  <si>
    <t>2025-02-05 01:06</t>
  </si>
  <si>
    <t>노인 (15)&lt;br&gt;깡패 (24)&lt;br&gt;신형만 (18)&lt;br&gt;ACDC (18)</t>
  </si>
  <si>
    <t>한메 (-10)&lt;br&gt;규식 (-)&lt;br&gt;유망 (-)&lt;br&gt;참치 (-)</t>
  </si>
  <si>
    <t>G250205001117</t>
  </si>
  <si>
    <t>2025-02-05 00:11</t>
  </si>
  <si>
    <t>신형만 (23)&lt;br&gt;ACDC (23)&lt;br&gt;유망 (-)&lt;br&gt;규식 (-)</t>
  </si>
  <si>
    <t>강화 (-13)&lt;br&gt;참치 (-)&lt;br&gt;한메 (-19)&lt;br&gt;깡패 (-19)</t>
  </si>
  <si>
    <t>G250204233751</t>
  </si>
  <si>
    <t>2025-02-04 23:37</t>
  </si>
  <si>
    <t>유망 (-)&lt;br&gt;깡패 (29)&lt;br&gt;재우 (-)&lt;br&gt;강화 (33)</t>
  </si>
  <si>
    <t>한메 (-26)&lt;br&gt;참치 (-)&lt;br&gt;규식 (-)&lt;br&gt;ACDC (-27)</t>
  </si>
  <si>
    <t>G250204225519</t>
  </si>
  <si>
    <t>2025-02-04 22:55</t>
  </si>
  <si>
    <t>참치 (-)&lt;br&gt;테리 (17)&lt;br&gt;규식 (-)&lt;br&gt;강화 (37)</t>
  </si>
  <si>
    <t>한메 (244)&lt;br&gt;깡패 (-23)&lt;br&gt;재우 (-)&lt;br&gt;ACDC (-27)</t>
  </si>
  <si>
    <t>G250204221601</t>
  </si>
  <si>
    <t>2025-02-04 22:15</t>
  </si>
  <si>
    <t>재우 (-)&lt;br&gt;깡패 (30)&lt;br&gt;테리 (17)&lt;br&gt;ACDC (22)</t>
  </si>
  <si>
    <t>강화 (-7)&lt;br&gt;노인 (-17)&lt;br&gt;신형만 (-14)&lt;br&gt;재명 (-)</t>
  </si>
  <si>
    <t>G250204005751</t>
  </si>
  <si>
    <t>2025-02-04 00:57</t>
  </si>
  <si>
    <t>참치 (-)&lt;br&gt;깡패 (37)&lt;br&gt;ACDC (28)&lt;br&gt;따 (-)</t>
  </si>
  <si>
    <t>테리 (-20)&lt;br&gt;노인 (336)&lt;br&gt;유망 (-)&lt;br&gt;한메 (-)</t>
  </si>
  <si>
    <t>G250204001444</t>
  </si>
  <si>
    <t>2025-02-04 00:14</t>
  </si>
  <si>
    <t>유망 (-)&lt;br&gt;ACDC (32)&lt;br&gt;참치 (-)&lt;br&gt;노인 (-)</t>
  </si>
  <si>
    <t>깡패 (-13)&lt;br&gt;따 (-)&lt;br&gt;테리 (-18)&lt;br&gt;한메 (-)</t>
  </si>
  <si>
    <t>G250203224209</t>
  </si>
  <si>
    <t>2025-02-03 22:42</t>
  </si>
  <si>
    <t>테리 (16)&lt;br&gt;ACDC (29)&lt;br&gt;규식 (-)&lt;br&gt;신형만 (26)</t>
  </si>
  <si>
    <t>참치 (-)&lt;br&gt;노인 (-)&lt;br&gt;한메 (-)&lt;br&gt;깡패 (-12)</t>
  </si>
  <si>
    <t>G250203214449</t>
  </si>
  <si>
    <t>2025-02-03 21:44</t>
  </si>
  <si>
    <t>테리 (17)&lt;br&gt;참치 (-)&lt;br&gt;ACDC (192)&lt;br&gt;한메 (-)</t>
  </si>
  <si>
    <t>규식 (-)&lt;br&gt;노인 (-)&lt;br&gt;신형만 (-15)&lt;br&gt;깡패 (-13)</t>
  </si>
  <si>
    <t>G250203204510</t>
  </si>
  <si>
    <t>2025-02-03 20:45</t>
  </si>
  <si>
    <t>노인 (-)&lt;br&gt;신형만 (30)&lt;br&gt;한메 (-)&lt;br&gt;참치 (-)</t>
  </si>
  <si>
    <t>테리 (300)&lt;br&gt;깡패 (-16)&lt;br&gt;규식 (-)&lt;br&gt;ACDC (-)</t>
  </si>
  <si>
    <t>G250202182130</t>
  </si>
  <si>
    <t>2025-02-02 18:21</t>
  </si>
  <si>
    <t>신형만 (22)&lt;br&gt;노인 (-)&lt;br&gt;따 (-)&lt;br&gt;참치 (-)</t>
  </si>
  <si>
    <t>짱구 (-)&lt;br&gt;깡패 (-21)&lt;br&gt;원 (-)&lt;br&gt;강화 (-11)</t>
  </si>
  <si>
    <t>G250202175958</t>
  </si>
  <si>
    <t>2025-02-02 17:59</t>
  </si>
  <si>
    <t>짱구 (-)&lt;br&gt;깡패 (24)&lt;br&gt;노인 (-)&lt;br&gt;따 (-)</t>
  </si>
  <si>
    <t>전투쥐 (-18)&lt;br&gt;원 (-)&lt;br&gt;신형만 (-19)&lt;br&gt;강화 (-12)</t>
  </si>
  <si>
    <t>G250202173212</t>
  </si>
  <si>
    <t>2025-02-02 17:32</t>
  </si>
  <si>
    <t>강화 (36)&lt;br&gt;노인 (-)&lt;br&gt;원 (-)&lt;br&gt;따 (-)</t>
  </si>
  <si>
    <t>전투쥐 (-27)&lt;br&gt;짱구 (-)&lt;br&gt;깡패 (196)&lt;br&gt;신형만 (-28)</t>
  </si>
  <si>
    <t>G250202171025</t>
  </si>
  <si>
    <t>2025-02-02 17:10</t>
  </si>
  <si>
    <t>노인 (-)&lt;br&gt;짱구 (-)&lt;br&gt;따 (-)&lt;br&gt;전투쥐 (20)</t>
  </si>
  <si>
    <t>깡패 (-)&lt;br&gt;신형만 (-19)&lt;br&gt;강화 (-10)&lt;br&gt;원 (-)</t>
  </si>
  <si>
    <t>G250202163413</t>
  </si>
  <si>
    <t>2025-02-02 16:34</t>
  </si>
  <si>
    <t>신형만 (24)&lt;br&gt;원 (-)&lt;br&gt;노인 (-)&lt;br&gt;전투쥐 (26)</t>
  </si>
  <si>
    <t>한메 (-)&lt;br&gt;테리 (-)&lt;br&gt;강화 (-9)&lt;br&gt;깡패 (-)</t>
  </si>
  <si>
    <t>G250202154920</t>
  </si>
  <si>
    <t>2025-02-02 15:49</t>
  </si>
  <si>
    <t>한메 (-)&lt;br&gt;테리 (-)&lt;br&gt;신형만 (17)&lt;br&gt;전투쥐 (19)</t>
  </si>
  <si>
    <t>노인 (-)&lt;br&gt;원 (-)&lt;br&gt;짱구 (-)&lt;br&gt;강화 (-9)</t>
  </si>
  <si>
    <t>G250202151024</t>
  </si>
  <si>
    <t>2025-02-02 15:10</t>
  </si>
  <si>
    <t>노인 (-)&lt;br&gt;짱구 (-)&lt;br&gt;테리 (-)&lt;br&gt;한메 (-)</t>
  </si>
  <si>
    <t>신형만 (-24)&lt;br&gt;원 (-)&lt;br&gt;강화 (-15)&lt;br&gt;전투쥐 (-20)</t>
  </si>
  <si>
    <t>G250202145054</t>
  </si>
  <si>
    <t>2025-02-02 14:50</t>
  </si>
  <si>
    <t>전투쥐 (22)&lt;br&gt;테리 (-)&lt;br&gt;신형만 (20)&lt;br&gt;한메 (-)</t>
  </si>
  <si>
    <t>노인 (-)&lt;br&gt;짱구 (-)&lt;br&gt;강화 (-10)&lt;br&gt;원 (-)</t>
  </si>
  <si>
    <t>G250202003004</t>
  </si>
  <si>
    <t>2025-02-02 00:30</t>
  </si>
  <si>
    <t>재명 (-)&lt;br&gt;재우 (-)&lt;br&gt;따 (-)&lt;br&gt;노인 (-)</t>
  </si>
  <si>
    <t>강화 (-12)&lt;br&gt;신형만 (-18)&lt;br&gt;전투쥐 (-15)&lt;br&gt;ACDC (-)</t>
  </si>
  <si>
    <t>G250201234734</t>
  </si>
  <si>
    <t>2025-02-01 23:47</t>
  </si>
  <si>
    <t>노인 (-)&lt;br&gt;재명 (-)&lt;br&gt;ACDC (-)&lt;br&gt;신형만 (244)</t>
  </si>
  <si>
    <t>재우 (-)&lt;br&gt;따 (-)&lt;br&gt;전투쥐 (160)&lt;br&gt;강화 (80)</t>
  </si>
  <si>
    <t>G250201232752</t>
  </si>
  <si>
    <t>2025-02-01 23:27</t>
  </si>
  <si>
    <t>노인 (-)&lt;br&gt;따 (-)&lt;br&gt;ACDC (-)&lt;br&gt;전투쥐 (-)</t>
  </si>
  <si>
    <t>신형만 (-)&lt;br&gt;재우 (-)&lt;br&gt;재명 (-)&lt;br&gt;강화 (-)</t>
  </si>
  <si>
    <t>G250201224959</t>
  </si>
  <si>
    <t>2025-02-01 22:49</t>
  </si>
  <si>
    <t>노인 (-)&lt;br&gt;따 (-)&lt;br&gt;신형만 (-)&lt;br&gt;재명 (-)</t>
  </si>
  <si>
    <t>재우 (-)&lt;br&gt;ACDC (-)&lt;br&gt;전투쥐 (-)&lt;br&gt;강화 (-)</t>
  </si>
  <si>
    <t>G250201001316</t>
  </si>
  <si>
    <t>2025-02-01 00:13</t>
  </si>
  <si>
    <t>깡패 (-)&lt;br&gt;테리 (-)&lt;br&gt;유망 (-)&lt;br&gt;신형만 (-)</t>
  </si>
  <si>
    <t>태식 (-)&lt;br&gt;ACDC (-)&lt;br&gt;강화 (-)&lt;br&gt;전투쥐 (-)</t>
  </si>
  <si>
    <t>G250131235935</t>
  </si>
  <si>
    <t>2025-01-31 23:59</t>
  </si>
  <si>
    <t>신형만 (-)&lt;br&gt;태식 (-)&lt;br&gt;강화 (-)&lt;br&gt;유망 (-)</t>
  </si>
  <si>
    <t>테리 (-)&lt;br&gt;ACDC (-)&lt;br&gt;전투쥐 (-)&lt;br&gt;깡패 (-)</t>
  </si>
  <si>
    <t>G250131231001</t>
  </si>
  <si>
    <t>2025-01-31 23:09</t>
  </si>
  <si>
    <t>ACDC (-)&lt;br&gt;태식 (-)&lt;br&gt;테리 (-)&lt;br&gt;따 (-)</t>
  </si>
  <si>
    <t>전투쥐 (-)&lt;br&gt;신형만 (-)&lt;br&gt;강화 (-)&lt;br&gt;깡패 (-)</t>
  </si>
  <si>
    <t>G250131224752</t>
  </si>
  <si>
    <t>2025-01-31 22:47</t>
  </si>
  <si>
    <t>테리 (-)&lt;br&gt;신형만 (-)&lt;br&gt;태식 (-)&lt;br&gt;강화 (-)</t>
  </si>
  <si>
    <t>재명 (-)&lt;br&gt;깡패 (-)&lt;br&gt;ACDC (-)&lt;br&gt;전투쥐 (-)</t>
  </si>
  <si>
    <t>G250131221601</t>
  </si>
  <si>
    <t>2025-01-31 22:15</t>
  </si>
  <si>
    <t>깡패 (-)&lt;br&gt;태식 (-)&lt;br&gt;재명 (-)&lt;br&gt;강화 (-)</t>
  </si>
  <si>
    <t>전투쥐 (-)&lt;br&gt;한메 (-)&lt;br&gt;ACDC (-)&lt;br&gt;신형만 (-)</t>
  </si>
  <si>
    <t>G250131214020</t>
  </si>
  <si>
    <t>2025-01-31 21:40</t>
  </si>
  <si>
    <t>태식 (-)&lt;br&gt;깡패 (-)&lt;br&gt;신형만 (-)&lt;br&gt;ACDC (-)</t>
  </si>
  <si>
    <t>전투쥐 (-)&lt;br&gt;한메 (-)&lt;br&gt;재명 (-)&lt;br&gt;강화 (-)</t>
  </si>
  <si>
    <t>G250131211817</t>
  </si>
  <si>
    <t>2025-01-31 21:18</t>
  </si>
  <si>
    <t>전투쥐 (-)&lt;br&gt;깡패 (-)&lt;br&gt;테리 (-)&lt;br&gt;신형만 (-)</t>
  </si>
  <si>
    <t>강화 (-)&lt;br&gt;태식 (-)&lt;br&gt;한메 (-)&lt;br&gt;ACDC (-)</t>
  </si>
  <si>
    <t>G250131203941</t>
  </si>
  <si>
    <t>2025-01-31 20:39</t>
  </si>
  <si>
    <t>강화 (-)&lt;br&gt;테리 (-)&lt;br&gt;한메 (-)&lt;br&gt;전투쥐 (-)</t>
  </si>
  <si>
    <t>ACDC (-)&lt;br&gt;신형만 (-)&lt;br&gt;태식 (-)&lt;br&gt;깡패 (-)</t>
  </si>
  <si>
    <t>G250130205053</t>
  </si>
  <si>
    <t>2025-01-30 20:50</t>
  </si>
  <si>
    <t>테리 (-)&lt;br&gt;노인 (-)&lt;br&gt;ACDC (-)&lt;br&gt;전투쥐 (-)</t>
  </si>
  <si>
    <t>강화 (-)&lt;br&gt;깡패 (-)&lt;br&gt;신형만 (-)&lt;br&gt;태식 (-)</t>
  </si>
  <si>
    <t>G250130201611</t>
  </si>
  <si>
    <t>2025-01-30 20:16</t>
  </si>
  <si>
    <t>노인 (-)&lt;br&gt;태식 (-)&lt;br&gt;전투쥐 (-)&lt;br&gt;깡패 (-)</t>
  </si>
  <si>
    <t>강화 (-)&lt;br&gt;테리 (-)&lt;br&gt;ACDC (-)&lt;br&gt;신형만 (-)</t>
  </si>
  <si>
    <t>G250130195419</t>
  </si>
  <si>
    <t>2025-01-30 19:54</t>
  </si>
  <si>
    <t>테리 (-)&lt;br&gt;ACDC (-)&lt;br&gt;태식 (-)&lt;br&gt;깡패 (-)</t>
  </si>
  <si>
    <t>신형만 (-)&lt;br&gt;노인 (-)&lt;br&gt;전투쥐 (-)&lt;br&gt;강화 (-)</t>
  </si>
  <si>
    <t>G250130173957</t>
  </si>
  <si>
    <t>2025-01-30 17:39</t>
  </si>
  <si>
    <t>신형만 (-)&lt;br&gt;테리 (-)&lt;br&gt;깡패 (-)&lt;br&gt;한메 (-)</t>
  </si>
  <si>
    <t>전투쥐 (-)&lt;br&gt;ACDC (-)&lt;br&gt;강화 (-)&lt;br&gt;따 (-)</t>
  </si>
  <si>
    <t>G250130172734</t>
  </si>
  <si>
    <t>2025-01-30 17:27</t>
  </si>
  <si>
    <t>신형만 (-)&lt;br&gt;ACDC (-)&lt;br&gt;따 (-)&lt;br&gt;한메 (-)</t>
  </si>
  <si>
    <t>강화 (-)&lt;br&gt;테리 (-)&lt;br&gt;깡패 (-)&lt;br&gt;전투쥐 (-)</t>
  </si>
  <si>
    <t>G250130164719</t>
  </si>
  <si>
    <t>2025-01-30 16:47</t>
  </si>
  <si>
    <t>테리 (-)&lt;br&gt;한메 (-)&lt;br&gt;전투쥐 (-)&lt;br&gt;따 (-)</t>
  </si>
  <si>
    <t>신형만 (-)&lt;br&gt;ACDC (-)&lt;br&gt;깡패 (-)&lt;br&gt;강화 (-)</t>
  </si>
  <si>
    <t>G250130161035</t>
  </si>
  <si>
    <t>2025-01-30 16:10</t>
  </si>
  <si>
    <t>신형만 (-)&lt;br&gt;따 (-)&lt;br&gt;강화 (-)&lt;br&gt;전투쥐 (-)</t>
  </si>
  <si>
    <t>G250130151531</t>
  </si>
  <si>
    <t>2025-01-30 15:15</t>
  </si>
  <si>
    <t>신형만 (-)&lt;br&gt;유즈 (-)&lt;br&gt;테리 (-)&lt;br&gt;전투쥐 (-)</t>
  </si>
  <si>
    <t>한메 (-)&lt;br&gt;따 (-)&lt;br&gt;강화 (-)&lt;br&gt;깡패 (-)</t>
  </si>
  <si>
    <t>G250130144621</t>
  </si>
  <si>
    <t>2025-01-30 14:46</t>
  </si>
  <si>
    <t>한메 (-)&lt;br&gt;테리 (-)&lt;br&gt;전투쥐 (-)&lt;br&gt;따 (-)</t>
  </si>
  <si>
    <t>유즈 (-)&lt;br&gt;신형만 (-)&lt;br&gt;강화 (-)&lt;br&gt;깡패 (-)</t>
  </si>
  <si>
    <t>G250127012623</t>
  </si>
  <si>
    <t>2025-01-27 01:26</t>
  </si>
  <si>
    <t>규식 (-)&lt;br&gt;신형만 (30)&lt;br&gt;깡패 (23)&lt;br&gt;재우 (22)</t>
  </si>
  <si>
    <t>유망 (-10)&lt;br&gt;노인 (-9)&lt;br&gt;따 (-9)&lt;br&gt;태식 (-14)</t>
  </si>
  <si>
    <t>시즌8</t>
  </si>
  <si>
    <t>G250127004056</t>
  </si>
  <si>
    <t>2025-01-27 00:40</t>
  </si>
  <si>
    <t>깡패 (27)&lt;br&gt;태식 (25)&lt;br&gt;유망 (31)&lt;br&gt;신형만 (34)</t>
  </si>
  <si>
    <t>재우 (-14)&lt;br&gt;참치 (-14)&lt;br&gt;따 (-11)&lt;br&gt;노인 (-10)</t>
  </si>
  <si>
    <t>G250127000309</t>
  </si>
  <si>
    <t>2025-01-27 00:03</t>
  </si>
  <si>
    <t>신형만 (38)&lt;br&gt;재우 (25)&lt;br&gt;따 (31)&lt;br&gt;태식 (28)</t>
  </si>
  <si>
    <t>노인 (-17)&lt;br&gt;참치 (-23)&lt;br&gt;유망 (-16)&lt;br&gt;깡패 (-23)</t>
  </si>
  <si>
    <t>G250126233406</t>
  </si>
  <si>
    <t>2025-01-26 23:34</t>
  </si>
  <si>
    <t>참치 (24)&lt;br&gt;신형만 (38)&lt;br&gt;깡패 (25)&lt;br&gt;태식 (27)</t>
  </si>
  <si>
    <t>유망 (-13)&lt;br&gt;재우 (-16)&lt;br&gt;따 (-12)&lt;br&gt;노인 (-13)</t>
  </si>
  <si>
    <t>G250126230228</t>
  </si>
  <si>
    <t>2025-01-26 23:02</t>
  </si>
  <si>
    <t>재우 (23)&lt;br&gt;태식 (30)&lt;br&gt;따 (30)&lt;br&gt;깡패 (27)</t>
  </si>
  <si>
    <t>유망 (-14)&lt;br&gt;신형만 (-11)&lt;br&gt;노인 (-14)&lt;br&gt;참치 (-18)</t>
  </si>
  <si>
    <t>G250126223024</t>
  </si>
  <si>
    <t>2025-01-26 22:30</t>
  </si>
  <si>
    <t>노인 (31)&lt;br&gt;깡패 (29)&lt;br&gt;참치 (24)&lt;br&gt;태식 (32)</t>
  </si>
  <si>
    <t>재우 (-21)&lt;br&gt;신형만 (-14)&lt;br&gt;유망 (-19)&lt;br&gt;따 (-15)</t>
  </si>
  <si>
    <t>G250126214654</t>
  </si>
  <si>
    <t>2025-01-26 21:46</t>
  </si>
  <si>
    <t>태식 (35)&lt;br&gt;참치 (27)&lt;br&gt;한메 (28)&lt;br&gt;재우 (22)</t>
  </si>
  <si>
    <t>깡패 (-13)&lt;br&gt;신형만 (-10)&lt;br&gt;노인 (-12)&lt;br&gt;유망 (-13)</t>
  </si>
  <si>
    <t>G250126181744</t>
  </si>
  <si>
    <t>2025-01-26 18:17</t>
  </si>
  <si>
    <t>전투쥐 (-)&lt;br&gt;테리 (8)&lt;br&gt;한메 (21)&lt;br&gt;강화 (29)</t>
  </si>
  <si>
    <t>시아 (-)&lt;br&gt;따 (-14)&lt;br&gt;태식 (-14)&lt;br&gt;신형만 (-14)</t>
  </si>
  <si>
    <t>G250126172306</t>
  </si>
  <si>
    <t>2025-01-26 17:23</t>
  </si>
  <si>
    <t>신형만 (20)&lt;br&gt;테리 (6)&lt;br&gt;강화 (26)&lt;br&gt;따 (16)</t>
  </si>
  <si>
    <t>시아 (-)&lt;br&gt;태식 (-12)&lt;br&gt;전투쥐 (-)&lt;br&gt;한메 (-12)</t>
  </si>
  <si>
    <t>G250126165101</t>
  </si>
  <si>
    <t>2025-01-26 16:51</t>
  </si>
  <si>
    <t>한메 (20)&lt;br&gt;시아 (-)&lt;br&gt;테리 (8)&lt;br&gt;따 (20)</t>
  </si>
  <si>
    <t>전투쥐 (-)&lt;br&gt;신형만 (-23)&lt;br&gt;태식 (-25)&lt;br&gt;강화 (-15)</t>
  </si>
  <si>
    <t>G250126163513</t>
  </si>
  <si>
    <t>2025-01-26 16:35</t>
  </si>
  <si>
    <t>강화 (27)&lt;br&gt;태식 (17)&lt;br&gt;테리 (6)&lt;br&gt;따 (18)</t>
  </si>
  <si>
    <t>전투쥐 (-)&lt;br&gt;신형만 (-19)&lt;br&gt;시아 (-)&lt;br&gt;한메 (-18)</t>
  </si>
  <si>
    <t>G250126161427</t>
  </si>
  <si>
    <t>2025-01-26 16:14</t>
  </si>
  <si>
    <t>한메 (20)&lt;br&gt;테리 (8)&lt;br&gt;전투쥐 (-)&lt;br&gt;따 (23)</t>
  </si>
  <si>
    <t>시아 (-)&lt;br&gt;태식 (-15)&lt;br&gt;신형만 (-15)&lt;br&gt;강화 (-9)</t>
  </si>
  <si>
    <t>G250126153833</t>
  </si>
  <si>
    <t>2025-01-26 15:38</t>
  </si>
  <si>
    <t>한메 (14)&lt;br&gt;테리 (5)&lt;br&gt;신형만 (13)&lt;br&gt;태식 (13)</t>
  </si>
  <si>
    <t>전투쥐 (-)&lt;br&gt;따 (-14)&lt;br&gt;시아 (-)&lt;br&gt;강화 (-10)</t>
  </si>
  <si>
    <t>G250126152522</t>
  </si>
  <si>
    <t>2025-01-26 15:25</t>
  </si>
  <si>
    <t>전투쥐 (-)&lt;br&gt;따 (23)&lt;br&gt;테리 (8)&lt;br&gt;신형만 (21)</t>
  </si>
  <si>
    <t>태식 (-21)&lt;br&gt;시아 (-)&lt;br&gt;한메 (-18)&lt;br&gt;강화 (-13)</t>
  </si>
  <si>
    <t>G250126144933</t>
  </si>
  <si>
    <t>2025-01-26 14:49</t>
  </si>
  <si>
    <t>강화 (35)&lt;br&gt;테리 (13)&lt;br&gt;신형만 (30)&lt;br&gt;태식 (26)</t>
  </si>
  <si>
    <t>시아 (-)&lt;br&gt;따 (-17)&lt;br&gt;전투쥐 (-)&lt;br&gt;한메 (-20)</t>
  </si>
  <si>
    <t>G250125025735</t>
  </si>
  <si>
    <t>2025-01-25 02:57</t>
  </si>
  <si>
    <t>유망 (20)&lt;br&gt;짱구 (12)&lt;br&gt;테리 (14)&lt;br&gt;따 (30)</t>
  </si>
  <si>
    <t>깡패 (-15)&lt;br&gt;신형만 (-11)&lt;br&gt;노인 (-13)&lt;br&gt;박서 (-)</t>
  </si>
  <si>
    <t>G250125021611</t>
  </si>
  <si>
    <t>2025-01-25 02:16</t>
  </si>
  <si>
    <t>유망 (27)&lt;br&gt;노인 (34)&lt;br&gt;짱구 (17)&lt;br&gt;박서 (-)</t>
  </si>
  <si>
    <t>테리 (-24)&lt;br&gt;신형만 (-16)&lt;br&gt;깡패 (-21)&lt;br&gt;따 (-13)</t>
  </si>
  <si>
    <t>G250125012647</t>
  </si>
  <si>
    <t>2025-01-25 01:26</t>
  </si>
  <si>
    <t>테리 (19)&lt;br&gt;짱구 (20)&lt;br&gt;따 (38)&lt;br&gt;유망 (31)</t>
  </si>
  <si>
    <t>노인 (-15)&lt;br&gt;재우 (-19)&lt;br&gt;깡패 (-20)&lt;br&gt;신형만 (-15)</t>
  </si>
  <si>
    <t>G250125010034</t>
  </si>
  <si>
    <t>2025-01-25 01:00</t>
  </si>
  <si>
    <t>테리 (19)&lt;br&gt;깡패 (25)&lt;br&gt;유망 (31)&lt;br&gt;재우 (22)</t>
  </si>
  <si>
    <t>짱구 (-26)&lt;br&gt;노인 (-19)&lt;br&gt;따 (-11)&lt;br&gt;신형만 (-18)</t>
  </si>
  <si>
    <t>G250125004124</t>
  </si>
  <si>
    <t>2025-01-25 00:41</t>
  </si>
  <si>
    <t>재우 (29)&lt;br&gt;따 (40)&lt;br&gt;짱구 (21)&lt;br&gt;유망 (37)</t>
  </si>
  <si>
    <t>노인 (-14)&lt;br&gt;테리 (-17)&lt;br&gt;신형만 (-14)&lt;br&gt;깡패 (-16)</t>
  </si>
  <si>
    <t>G250124234758</t>
  </si>
  <si>
    <t>2025-01-24 23:47</t>
  </si>
  <si>
    <t>재우 (29)&lt;br&gt;테리 (21)&lt;br&gt;짱구 (21)&lt;br&gt;신형만 (36)</t>
  </si>
  <si>
    <t>원 (-22)&lt;br&gt;노인 (-16)&lt;br&gt;따 (-7)&lt;br&gt;깡패 (-19)</t>
  </si>
  <si>
    <t>G250124231750</t>
  </si>
  <si>
    <t>2025-01-24 23:17</t>
  </si>
  <si>
    <t>신형만 (36)&lt;br&gt;짱구 (20)&lt;br&gt;원 (19)&lt;br&gt;깡패 (24)</t>
  </si>
  <si>
    <t>테리 (-21)&lt;br&gt;재우 (-15)&lt;br&gt;따 (-8)&lt;br&gt;노인 (-18)</t>
  </si>
  <si>
    <t>G250124225454</t>
  </si>
  <si>
    <t>2025-01-24 22:54</t>
  </si>
  <si>
    <t>원 (25)&lt;br&gt;짱구 (26)&lt;br&gt;따 (42)&lt;br&gt;박서 (-)</t>
  </si>
  <si>
    <t>테리 (-29)&lt;br&gt;재우 (-23)&lt;br&gt;신형만 (-20)&lt;br&gt;깡패 (-27)</t>
  </si>
  <si>
    <t>G250120015622</t>
  </si>
  <si>
    <t>2025-01-20 01:56</t>
  </si>
  <si>
    <t>노인 (26)&lt;br&gt;테리 (16)&lt;br&gt;강화 (40)&lt;br&gt;박서 (-)</t>
  </si>
  <si>
    <t>깡패 (-25)&lt;br&gt;재우 (-23)&lt;br&gt;따 (160)&lt;br&gt;신형만 (-20)</t>
  </si>
  <si>
    <t>G250120013158</t>
  </si>
  <si>
    <t>2025-01-20 01:31</t>
  </si>
  <si>
    <t>노인 (30)&lt;br&gt;따 (-)&lt;br&gt;깡패 (21)&lt;br&gt;박서 (-)</t>
  </si>
  <si>
    <t>강화 (-9)&lt;br&gt;재우 (-21)&lt;br&gt;테리 (-23)&lt;br&gt;신형만 (-18)</t>
  </si>
  <si>
    <t>G250120003639</t>
  </si>
  <si>
    <t>2025-01-20 00:36</t>
  </si>
  <si>
    <t>재우 (10)&lt;br&gt;노인 (16)&lt;br&gt;테리 (7)&lt;br&gt;깡패 (10)</t>
  </si>
  <si>
    <t>강화 (-4)&lt;br&gt;따 (-)&lt;br&gt;신형만 (-12)&lt;br&gt;박서 (-)</t>
  </si>
  <si>
    <t>G250119234729</t>
  </si>
  <si>
    <t>2025-01-19 23:47</t>
  </si>
  <si>
    <t>깡패 (16)&lt;br&gt;신형만 (23)&lt;br&gt;테리 (11)&lt;br&gt;박서 (-)</t>
  </si>
  <si>
    <t>강화 (-7)&lt;br&gt;재우 (-19)&lt;br&gt;짱구 (-19)&lt;br&gt;랄 (-)</t>
  </si>
  <si>
    <t>G250119231140</t>
  </si>
  <si>
    <t>2025-01-19 23:11</t>
  </si>
  <si>
    <t>재우 (21)&lt;br&gt;테리 (17)&lt;br&gt;랄 (-)&lt;br&gt;박서 (-)</t>
  </si>
  <si>
    <t>깡패 (-20)&lt;br&gt;짱구 (-20)&lt;br&gt;신형만 (-17)&lt;br&gt;강화 (140)</t>
  </si>
  <si>
    <t>G250119220042</t>
  </si>
  <si>
    <t>2025-01-19 22:00</t>
  </si>
  <si>
    <t>재우 (25)&lt;br&gt;테리 (21)&lt;br&gt;깡패 (27)&lt;br&gt;유망 (37)</t>
  </si>
  <si>
    <t>태식 (-13)&lt;br&gt;노인 (-14)&lt;br&gt;짱구 (-18)&lt;br&gt;신형만 (-14)</t>
  </si>
  <si>
    <t>G250119211510</t>
  </si>
  <si>
    <t>2025-01-19 21:15</t>
  </si>
  <si>
    <t>테리 (21)&lt;br&gt;깡패 (28)&lt;br&gt;태식 (35)&lt;br&gt;신형만 (33)</t>
  </si>
  <si>
    <t>노인 (-12)&lt;br&gt;짱구 (-16)&lt;br&gt;유망 (-7)&lt;br&gt;재우 (-13)</t>
  </si>
  <si>
    <t>G250118014410</t>
  </si>
  <si>
    <t>2025-01-18 01:44</t>
  </si>
  <si>
    <t>참치 (21)&lt;br&gt;테리 (19)&lt;br&gt;노인 (23)&lt;br&gt;신형만 (26)</t>
  </si>
  <si>
    <t>강화 (-)&lt;br&gt;깡패 (-16)&lt;br&gt;짱구 (-20)&lt;br&gt;유망 (-9)</t>
  </si>
  <si>
    <t>G250118011527</t>
  </si>
  <si>
    <t>2025-01-18 01:15</t>
  </si>
  <si>
    <t>참치 (22)&lt;br&gt;테리 (20)&lt;br&gt;짱구 (14)&lt;br&gt;유망 (34)</t>
  </si>
  <si>
    <t>강화 (-)&lt;br&gt;깡패 (-22)&lt;br&gt;노인 (-19)&lt;br&gt;신형만 (-17)</t>
  </si>
  <si>
    <t>G250118004949</t>
  </si>
  <si>
    <t>2025-01-18 00:49</t>
  </si>
  <si>
    <t>재우 (22)&lt;br&gt;짱구 (15)&lt;br&gt;강화 (-)&lt;br&gt;깡패 (19)</t>
  </si>
  <si>
    <t>노인 (-13)&lt;br&gt;참치 (-13)&lt;br&gt;신형만 (-12)&lt;br&gt;유망 (-7)</t>
  </si>
  <si>
    <t>G250118001157</t>
  </si>
  <si>
    <t>2025-01-18 00:11</t>
  </si>
  <si>
    <t>노인 (27)&lt;br&gt;짱구 (15)&lt;br&gt;신형만 (30)&lt;br&gt;깡패 (23)</t>
  </si>
  <si>
    <t>강화 (-)&lt;br&gt;재우 (-21)&lt;br&gt;유망 (-11)&lt;br&gt;원 (-27)</t>
  </si>
  <si>
    <t>G250117235604</t>
  </si>
  <si>
    <t>2025-01-17 23:56</t>
  </si>
  <si>
    <t>테리 (23)&lt;br&gt;재우 (22)&lt;br&gt;짱구 (18)&lt;br&gt;깡패 (27)</t>
  </si>
  <si>
    <t>노인 (-11)&lt;br&gt;신형만 (-10)&lt;br&gt;원 (-17)&lt;br&gt;강화 (-)</t>
  </si>
  <si>
    <t>G250117231138</t>
  </si>
  <si>
    <t>2025-01-17 23:11</t>
  </si>
  <si>
    <t>재우 (28)&lt;br&gt;짱구 (23)&lt;br&gt;노인 (35)&lt;br&gt;원 (20)</t>
  </si>
  <si>
    <t>깡패 (-20)&lt;br&gt;테리 (-20)&lt;br&gt;신형만 (-17)&lt;br&gt;참치 (-20)</t>
  </si>
  <si>
    <t>G250117225536</t>
  </si>
  <si>
    <t>2025-01-17 22:55</t>
  </si>
  <si>
    <t>테리 (29)&lt;br&gt;노인 (41)&lt;br&gt;짱구 (27)&lt;br&gt;참치 (35)</t>
  </si>
  <si>
    <t>신형만 (-14)&lt;br&gt;재우 (-15)&lt;br&gt;깡패 (-16)&lt;br&gt;원 (-21)</t>
  </si>
  <si>
    <t>G250117221912</t>
  </si>
  <si>
    <t>2025-01-17 22:19</t>
  </si>
  <si>
    <t>깡패 (32)&lt;br&gt;짱구 (28)&lt;br&gt;참치 (37)&lt;br&gt;재우 (30)</t>
  </si>
  <si>
    <t>테리 (-13)&lt;br&gt;노인 (-10)&lt;br&gt;신형만 (-13)&lt;br&gt;원 (-18)</t>
  </si>
  <si>
    <t>G250117212939</t>
  </si>
  <si>
    <t>2025-01-17 21:29</t>
  </si>
  <si>
    <t>원 (17)&lt;br&gt;신형만 (33)&lt;br&gt;깡패 (32)&lt;br&gt;참치 (37)</t>
  </si>
  <si>
    <t>짱구 (-19)&lt;br&gt;재우 (-17)&lt;br&gt;테리 (-19)&lt;br&gt;노인 (-15)</t>
  </si>
  <si>
    <t>G250116234557</t>
  </si>
  <si>
    <t>2025-01-16 23:45</t>
  </si>
  <si>
    <t>유망 (41)&lt;br&gt;노인 (43)&lt;br&gt;깡패 (41)&lt;br&gt;참치 (45)</t>
  </si>
  <si>
    <t>짱구 (-17)&lt;br&gt;테리 (-18)&lt;br&gt;원 (-21)&lt;br&gt;태식 (-15)</t>
  </si>
  <si>
    <t>G250116225624</t>
  </si>
  <si>
    <t>2025-01-16 22:56</t>
  </si>
  <si>
    <t>유망 (38)&lt;br&gt;짱구 (22)&lt;br&gt;원 (14)&lt;br&gt;참치 (41)</t>
  </si>
  <si>
    <t>한메 (-20)&lt;br&gt;노인 (-17)&lt;br&gt;태식 (-20)&lt;br&gt;깡패 (-19)</t>
  </si>
  <si>
    <t>G250116222756</t>
  </si>
  <si>
    <t>2025-01-16 22:27</t>
  </si>
  <si>
    <t>짱구 (18)&lt;br&gt;테리 (16)&lt;br&gt;원 (11)&lt;br&gt;노인 (31)</t>
  </si>
  <si>
    <t>깡패 (-12)&lt;br&gt;참치 (-8)&lt;br&gt;태식 (-13)&lt;br&gt;유망 (140)</t>
  </si>
  <si>
    <t>G250116214629</t>
  </si>
  <si>
    <t>2025-01-16 21:46</t>
  </si>
  <si>
    <t>테리 (16)&lt;br&gt;태식 (22)&lt;br&gt;깡패 (25)&lt;br&gt;원 (11)</t>
  </si>
  <si>
    <t>노인 (-14)&lt;br&gt;참치 (-11)&lt;br&gt;신형만 (-18)&lt;br&gt;유망 (-)</t>
  </si>
  <si>
    <t>G250116212723</t>
  </si>
  <si>
    <t>2025-01-16 21:27</t>
  </si>
  <si>
    <t>태식 (18)&lt;br&gt;노인 (24)&lt;br&gt;신형만 (17)&lt;br&gt;원 (8)</t>
  </si>
  <si>
    <t>깡패 (-13)&lt;br&gt;참치 (-9)&lt;br&gt;오딘 (-)&lt;br&gt;유망 (-)</t>
  </si>
  <si>
    <t>G250115234717</t>
  </si>
  <si>
    <t>2025-01-15 23:47</t>
  </si>
  <si>
    <t>재우 (24)&lt;br&gt;태식 (32)&lt;br&gt;참치 (41)&lt;br&gt;한메 (25)</t>
  </si>
  <si>
    <t>깡패 (-14)&lt;br&gt;노인 (-11)&lt;br&gt;원 (-19)&lt;br&gt;유망 (-)</t>
  </si>
  <si>
    <t>G250115222233</t>
  </si>
  <si>
    <t>2025-01-15 22:22</t>
  </si>
  <si>
    <t>원 (14)&lt;br&gt;노인 (36)&lt;br&gt;한메 (25)&lt;br&gt;참치 (42)</t>
  </si>
  <si>
    <t>유망 (-)&lt;br&gt;깡패 (-24)&lt;br&gt;태식 (-21)&lt;br&gt;재우 (-24)</t>
  </si>
  <si>
    <t>G250115215544</t>
  </si>
  <si>
    <t>2025-01-15 21:55</t>
  </si>
  <si>
    <t>원 (13)&lt;br&gt;깡패 (25)&lt;br&gt;한메 (26)&lt;br&gt;재우 (21)</t>
  </si>
  <si>
    <t>태식 (-11)&lt;br&gt;노인 (-8)&lt;br&gt;테리 (-13)&lt;br&gt;유망 (-)</t>
  </si>
  <si>
    <t>G250115211328</t>
  </si>
  <si>
    <t>2025-01-15 21:13</t>
  </si>
  <si>
    <t>테리 (17)&lt;br&gt;원 (13)&lt;br&gt;태식 (26)&lt;br&gt;재우 (21)</t>
  </si>
  <si>
    <t>깡패 (-15)&lt;br&gt;노인 (-11)&lt;br&gt;한메 (-12)&lt;br&gt;유망 (-)</t>
  </si>
  <si>
    <t>G250114010201</t>
  </si>
  <si>
    <t>2025-01-14 01:01</t>
  </si>
  <si>
    <t>깡패 (23)&lt;br&gt;노인 (33)&lt;br&gt;테리 (17)&lt;br&gt;오크 (-)</t>
  </si>
  <si>
    <t>한메 (-17)&lt;br&gt;참치 (-12)&lt;br&gt;따 (-)&lt;br&gt;신형만 (-19)</t>
  </si>
  <si>
    <t>G250114001429</t>
  </si>
  <si>
    <t>2025-01-14 00:14</t>
  </si>
  <si>
    <t>깡패 (18)&lt;br&gt;테리 (13)&lt;br&gt;신형만 (16)&lt;br&gt;한메 (18)</t>
  </si>
  <si>
    <t>노인 (-13)&lt;br&gt;따 (-)&lt;br&gt;참치 (168)&lt;br&gt;오크 (-)</t>
  </si>
  <si>
    <t>G250113234517</t>
  </si>
  <si>
    <t>2025-01-13 23:45</t>
  </si>
  <si>
    <t>기재 (-)&lt;br&gt;깡패 (28)&lt;br&gt;따 (-)&lt;br&gt;원 (14)</t>
  </si>
  <si>
    <t>유망 (-)&lt;br&gt;짱구 (-27)&lt;br&gt;신형만 (-25)&lt;br&gt;참치 (-)</t>
  </si>
  <si>
    <t>G250113232118</t>
  </si>
  <si>
    <t>2025-01-13 23:21</t>
  </si>
  <si>
    <t>기재 (-)&lt;br&gt;참치 (-)&lt;br&gt;유망 (-)&lt;br&gt;따 (-)</t>
  </si>
  <si>
    <t>짱구 (-24)&lt;br&gt;깡패 (-21)&lt;br&gt;원 (-26)&lt;br&gt;신형만 (-24)</t>
  </si>
  <si>
    <t>G250113223659</t>
  </si>
  <si>
    <t>2025-01-13 22:36</t>
  </si>
  <si>
    <t>신형만 (16)&lt;br&gt;짱구 (12)&lt;br&gt;원 (10)&lt;br&gt;태식 (24)</t>
  </si>
  <si>
    <t>깡패 (-17)&lt;br&gt;참치 (-)&lt;br&gt;뼈해장국 (-)&lt;br&gt;한메 (-15)</t>
  </si>
  <si>
    <t>G250113222151</t>
  </si>
  <si>
    <t>2025-01-13 22:21</t>
  </si>
  <si>
    <t>신형만 (31)&lt;br&gt;원 (20)&lt;br&gt;뼈해장국 (-)&lt;br&gt;참치 (-)</t>
  </si>
  <si>
    <t>태식 (-21)&lt;br&gt;짱구 (-28)&lt;br&gt;한메 (-22)&lt;br&gt;깡패 (-24)</t>
  </si>
  <si>
    <t>G250113214029</t>
  </si>
  <si>
    <t>2025-01-13 21:40</t>
  </si>
  <si>
    <t>참치 (-)&lt;br&gt;신형만 (36)&lt;br&gt;짱구 (23)&lt;br&gt;깡패 (36)</t>
  </si>
  <si>
    <t>테리 (-21)&lt;br&gt;원 (-25)&lt;br&gt;한메 (-19)&lt;br&gt;태식 (-18)</t>
  </si>
  <si>
    <t>G250113211400</t>
  </si>
  <si>
    <t>2025-01-13 21:13</t>
  </si>
  <si>
    <t>한메 (24)&lt;br&gt;테리 (21)&lt;br&gt;태식 (31)&lt;br&gt;원 (15)</t>
  </si>
  <si>
    <t>깡패 (-15)&lt;br&gt;짱구 (-20)&lt;br&gt;참치 (-)&lt;br&gt;신형만 (-15)</t>
  </si>
  <si>
    <t>G250113211205</t>
  </si>
  <si>
    <t>2025-01-13 21:12</t>
  </si>
  <si>
    <t>테리 (24)&lt;br&gt;태식 (36)&lt;br&gt;짱구 (19)&lt;br&gt;깡패 (32)</t>
  </si>
  <si>
    <t>한메 (-17)&lt;br&gt;신형만 (-17)&lt;br&gt;원 (-24)&lt;br&gt;참치 (-)</t>
  </si>
  <si>
    <t>G250113004010</t>
  </si>
  <si>
    <t>2025-01-13 00:40</t>
  </si>
  <si>
    <t>깡패 (35)&lt;br&gt;짱구 (20)&lt;br&gt;따 (-)&lt;br&gt;강화 (-)</t>
  </si>
  <si>
    <t>태식 (-22)&lt;br&gt;신형만 (-26)&lt;br&gt;테리 (-26)&lt;br&gt;노인 (-20)</t>
  </si>
  <si>
    <t>G250113001216</t>
  </si>
  <si>
    <t>2025-01-13 00:12</t>
  </si>
  <si>
    <t>짱구 (18)&lt;br&gt;신형만 (23)&lt;br&gt;노인 (35)&lt;br&gt;따 (-)</t>
  </si>
  <si>
    <t>태식 (-18)&lt;br&gt;테리 (-22)&lt;br&gt;깡패 (-18)&lt;br&gt;강화 (-)</t>
  </si>
  <si>
    <t>G250112234452</t>
  </si>
  <si>
    <t>2025-01-12 23:44</t>
  </si>
  <si>
    <t>짱구 (15)&lt;br&gt;노인 (32)&lt;br&gt;테리 (15)&lt;br&gt;태식 (25)</t>
  </si>
  <si>
    <t>강화 (-)&lt;br&gt;깡패 (-14)&lt;br&gt;신형만 (-17)&lt;br&gt;따 (-)</t>
  </si>
  <si>
    <t>G250112221334</t>
  </si>
  <si>
    <t>2025-01-12 22:13</t>
  </si>
  <si>
    <t>짱구 (15)&lt;br&gt;태식 (25)&lt;br&gt;테리 (14)&lt;br&gt;신형만 (17)</t>
  </si>
  <si>
    <t>ACDC (-9)&lt;br&gt;깡패 (-18)&lt;br&gt;강화 (-)&lt;br&gt;노인 (-12)</t>
  </si>
  <si>
    <t>G250112214708</t>
  </si>
  <si>
    <t>2025-01-12 21:47</t>
  </si>
  <si>
    <t>테리 (18)&lt;br&gt;노인 (36)&lt;br&gt;깡패 (24)&lt;br&gt;신형만 (21)</t>
  </si>
  <si>
    <t>강화 (-)&lt;br&gt;짱구 (-23)&lt;br&gt;태식 (-17)&lt;br&gt;ACDC (-11)</t>
  </si>
  <si>
    <t>G250112212324</t>
  </si>
  <si>
    <t>2025-01-12 21:23</t>
  </si>
  <si>
    <t>테리 (23)&lt;br&gt;신형만 (28)&lt;br&gt;짱구 (20)&lt;br&gt;강화 (-)</t>
  </si>
  <si>
    <t>태식 (-15)&lt;br&gt;노인 (-11)&lt;br&gt;한메 (-18)&lt;br&gt;깡패 (-16)</t>
  </si>
  <si>
    <t>G250112204009</t>
  </si>
  <si>
    <t>2025-01-12 20:40</t>
  </si>
  <si>
    <t>깡패 (25)&lt;br&gt;테리 (21)&lt;br&gt;짱구 (18)&lt;br&gt;한메 (18)</t>
  </si>
  <si>
    <t>노인 (-12)&lt;br&gt;신형만 (-19)&lt;br&gt;강화 (-)&lt;br&gt;태식 (-17)</t>
  </si>
  <si>
    <t>G250111020959</t>
  </si>
  <si>
    <t>2025-01-11 02:09</t>
  </si>
  <si>
    <t>한메 (18)&lt;br&gt;짱구 (18)&lt;br&gt;깡패 (26)&lt;br&gt;재우 (18)</t>
  </si>
  <si>
    <t>터미 (-)&lt;br&gt;테리 (-14)&lt;br&gt;ACDC (-8)&lt;br&gt;신형만 (-16)</t>
  </si>
  <si>
    <t>G250111013238</t>
  </si>
  <si>
    <t>2025-01-11 01:32</t>
  </si>
  <si>
    <t>신형만 (21)&lt;br&gt;재우 (20)&lt;br&gt;터미 (-)&lt;br&gt;한메 (19)</t>
  </si>
  <si>
    <t>테리 (-17)&lt;br&gt;깡패 (-15)&lt;br&gt;따 (-)&lt;br&gt;ACDC (-10)</t>
  </si>
  <si>
    <t>G250111004825</t>
  </si>
  <si>
    <t>2025-01-11 00:48</t>
  </si>
  <si>
    <t>재우 (21)&lt;br&gt;테리 (19)&lt;br&gt;한메 (20)&lt;br&gt;ACDC (31)</t>
  </si>
  <si>
    <t>유망 (-)&lt;br&gt;따 (-)&lt;br&gt;신형만 (-26)&lt;br&gt;깡패 (-23)</t>
  </si>
  <si>
    <t>G250111001446</t>
  </si>
  <si>
    <t>2025-01-11 00:14</t>
  </si>
  <si>
    <t>테리 (19)&lt;br&gt;깡패 (24)&lt;br&gt;유망 (-)&lt;br&gt;ACDC (32)</t>
  </si>
  <si>
    <t>신형만 (-24)&lt;br&gt;따 (-)&lt;br&gt;뼈해장국 (-)&lt;br&gt;재우 (-21)</t>
  </si>
  <si>
    <t>G250110233957</t>
  </si>
  <si>
    <t>2025-01-10 23:39</t>
  </si>
  <si>
    <t>재우 (16)&lt;br&gt;테리 (16)&lt;br&gt;유망 (-)&lt;br&gt;신형만 (13)</t>
  </si>
  <si>
    <t>깡패 (-16)&lt;br&gt;뼈해장국 (-)&lt;br&gt;따 (-)&lt;br&gt;ACDC (-9)</t>
  </si>
  <si>
    <t>G250110225512</t>
  </si>
  <si>
    <t>2025-01-10 22:55</t>
  </si>
  <si>
    <t>테리 (19)&lt;br&gt;신형만 (16)&lt;br&gt;한메 (18)&lt;br&gt;재우 (19)</t>
  </si>
  <si>
    <t>엘더 (-)&lt;br&gt;따 (-)&lt;br&gt;ACDC (-7)&lt;br&gt;깡패 (-13)</t>
  </si>
  <si>
    <t>G250109011204</t>
  </si>
  <si>
    <t>2025-01-09 01:12</t>
  </si>
  <si>
    <t>깡패 (27)&lt;br&gt;따 (-)&lt;br&gt;테리 (26)&lt;br&gt;재우 (26)</t>
  </si>
  <si>
    <t>ACDC (-12)&lt;br&gt;노인 (-14)&lt;br&gt;신형만 (-21)&lt;br&gt;미등록 (-)</t>
  </si>
  <si>
    <t>G250108002648</t>
  </si>
  <si>
    <t>2025-01-08 00:26</t>
  </si>
  <si>
    <t>짱구 (22)&lt;br&gt;테리 (29)&lt;br&gt;신형만 (22)&lt;br&gt;유망 (-)</t>
  </si>
  <si>
    <t>재우 (-19)&lt;br&gt;깡패 (-22)&lt;br&gt;한메 (-21)&lt;br&gt;ACDC (-14)</t>
  </si>
  <si>
    <t>G250108000724</t>
  </si>
  <si>
    <t>2025-01-08 00:07</t>
  </si>
  <si>
    <t>한메 (20)&lt;br&gt;짱구 (19)&lt;br&gt;신형만 (19)&lt;br&gt;재우 (23)</t>
  </si>
  <si>
    <t>깡패 (-16)&lt;br&gt;테리 (-12)&lt;br&gt;유망 (-)&lt;br&gt;ACDC (-9)</t>
  </si>
  <si>
    <t>G250107232938</t>
  </si>
  <si>
    <t>2025-01-07 23:29</t>
  </si>
  <si>
    <t>짱구 (27)&lt;br&gt;재우 (32)&lt;br&gt;유망 (-)&lt;br&gt;원 (14)</t>
  </si>
  <si>
    <t>신형만 (-18)&lt;br&gt;깡패 (-18)&lt;br&gt;ACDC (-11)&lt;br&gt;한메 (-15)</t>
  </si>
  <si>
    <t>G250107224739</t>
  </si>
  <si>
    <t>2025-01-07 22:47</t>
  </si>
  <si>
    <t>재우 (28)&lt;br&gt;원 (10)&lt;br&gt;한메 (21)&lt;br&gt;ACDC (30)</t>
  </si>
  <si>
    <t>신형만 (-21)&lt;br&gt;재명 (-)&lt;br&gt;유망 (-)&lt;br&gt;깡패 (-20)</t>
  </si>
  <si>
    <t>G250107221348</t>
  </si>
  <si>
    <t>2025-01-07 22:13</t>
  </si>
  <si>
    <t>유망 (-)&lt;br&gt;원 (10)&lt;br&gt;신형만 (18)&lt;br&gt;한메 (22)</t>
  </si>
  <si>
    <t>재우 (-13)&lt;br&gt;깡패 (-24)&lt;br&gt;재명 (-)&lt;br&gt;ACDC (-12)</t>
  </si>
  <si>
    <t>G250107215128</t>
  </si>
  <si>
    <t>2025-01-07 21:51</t>
  </si>
  <si>
    <t>신형만 (18)&lt;br&gt;원 (10)&lt;br&gt;깡패 (16)&lt;br&gt;ACDC (30)</t>
  </si>
  <si>
    <t>재우 (-9)&lt;br&gt;재명 (-)&lt;br&gt;테리 (-10)&lt;br&gt;한메 (-11)</t>
  </si>
  <si>
    <t>G250106234531</t>
  </si>
  <si>
    <t>2025-01-06 23:45</t>
  </si>
  <si>
    <t>원 (12)&lt;br&gt;신형만 (23)&lt;br&gt;ACDC (35)&lt;br&gt;참치 (-)</t>
  </si>
  <si>
    <t>유망 (-)&lt;br&gt;테리 (-12)&lt;br&gt;깡패 (-17)&lt;br&gt;노인 (-12)</t>
  </si>
  <si>
    <t>G250106225403</t>
  </si>
  <si>
    <t>2025-01-06 22:53</t>
  </si>
  <si>
    <t>깡패 (11)&lt;br&gt;신형만 (16)&lt;br&gt;원 (7)&lt;br&gt;한메 (16)</t>
  </si>
  <si>
    <t>노인 (-11)&lt;br&gt;참치 (-)&lt;br&gt;유망 (-)&lt;br&gt;ACDC (-6)</t>
  </si>
  <si>
    <t>G250106222004</t>
  </si>
  <si>
    <t>2025-01-06 22:20</t>
  </si>
  <si>
    <t>깡패 (20)&lt;br&gt;노인 (33)&lt;br&gt;유망 (-)&lt;br&gt;원 (13)</t>
  </si>
  <si>
    <t>참치 (-)&lt;br&gt;테리 (-14)&lt;br&gt;한메 (-14)&lt;br&gt;신형만 (-17)</t>
  </si>
  <si>
    <t>G250106214801</t>
  </si>
  <si>
    <t>2025-01-06 21:48</t>
  </si>
  <si>
    <t>참치 (-)&lt;br&gt;깡패 (20)&lt;br&gt;테리 (23)&lt;br&gt;원 (13)</t>
  </si>
  <si>
    <t>한메 (240)&lt;br&gt;노인 (-14)&lt;br&gt;신형만 (-19)&lt;br&gt;하리보 (-)</t>
  </si>
  <si>
    <t>G250106211007</t>
  </si>
  <si>
    <t>2025-01-06 21:10</t>
  </si>
  <si>
    <t>신형만 (23)&lt;br&gt;원 (15)&lt;br&gt;테리 (26)&lt;br&gt;한메 (-)</t>
  </si>
  <si>
    <t>하리보 (-)&lt;br&gt;노인 (-17)&lt;br&gt;참치 (-)&lt;br&gt;깡패 (-24)</t>
  </si>
  <si>
    <t>G250106005132</t>
  </si>
  <si>
    <t>2025-01-06 00:51</t>
  </si>
  <si>
    <t>신형만 (20)&lt;br&gt;테리 (24)&lt;br&gt;노인 (26)&lt;br&gt;깡패 (16)</t>
  </si>
  <si>
    <t>참치 (-)&lt;br&gt;재우 (180)&lt;br&gt;짱구 (-20)&lt;br&gt;ACDC (80)</t>
  </si>
  <si>
    <t>G250106001927</t>
  </si>
  <si>
    <t>2025-01-06 00:19</t>
  </si>
  <si>
    <t>짱구 (24)&lt;br&gt;태식 (27)&lt;br&gt;원 (17)&lt;br&gt;신형만 (29)</t>
  </si>
  <si>
    <t>재우 (-)&lt;br&gt;테리 (-8)&lt;br&gt;깡패 (-14)&lt;br&gt;노인 (-9)</t>
  </si>
  <si>
    <t>G250105234043</t>
  </si>
  <si>
    <t>2025-01-05 23:40</t>
  </si>
  <si>
    <t>신형만 (33)&lt;br&gt;테리 (32)&lt;br&gt;깡패 (24)&lt;br&gt;원 (20)</t>
  </si>
  <si>
    <t>태식 (-22)&lt;br&gt;짱구 (-20)&lt;br&gt;노인 (-18)&lt;br&gt;재우 (-)</t>
  </si>
  <si>
    <t>G250105231627</t>
  </si>
  <si>
    <t>2025-01-05 23:16</t>
  </si>
  <si>
    <t>원 (16)&lt;br&gt;짱구 (20)&lt;br&gt;태식 (22)&lt;br&gt;깡패 (20)</t>
  </si>
  <si>
    <t>신형만 (-10)&lt;br&gt;테리 (-7)&lt;br&gt;노인 (-10)&lt;br&gt;강화 (-)</t>
  </si>
  <si>
    <t>G250105223016</t>
  </si>
  <si>
    <t>2025-01-05 22:30</t>
  </si>
  <si>
    <t>테리 (32)&lt;br&gt;원 (21)&lt;br&gt;깡패 (26)&lt;br&gt;노인 (32)</t>
  </si>
  <si>
    <t>태식 (-19)&lt;br&gt;신형만 (-17)&lt;br&gt;짱구 (-18)&lt;br&gt;강화 (-)</t>
  </si>
  <si>
    <t>G250105215752</t>
  </si>
  <si>
    <t>2025-01-05 21:57</t>
  </si>
  <si>
    <t>깡패 (33)&lt;br&gt;신형만 (37)&lt;br&gt;테리 (38)&lt;br&gt;강화 (-)</t>
  </si>
  <si>
    <t>태식 (-26)&lt;br&gt;짱구 (-25)&lt;br&gt;원 (332)&lt;br&gt;노인 (-22)</t>
  </si>
  <si>
    <t>G250105212553</t>
  </si>
  <si>
    <t>2025-01-05 21:25</t>
  </si>
  <si>
    <t>강화 (-)&lt;br&gt;깡패 (30)&lt;br&gt;짱구 (21)&lt;br&gt;원 (-)</t>
  </si>
  <si>
    <t>노인 (-23)&lt;br&gt;테리 (-15)&lt;br&gt;신형만 (-22)&lt;br&gt;태식 (312)</t>
  </si>
  <si>
    <t>G250104020232</t>
  </si>
  <si>
    <t>2025-01-04 02:02</t>
  </si>
  <si>
    <t>원 (-)&lt;br&gt;짱구 (19)&lt;br&gt;신형만 (27)&lt;br&gt;재우 (-)</t>
  </si>
  <si>
    <t>태식 (-)&lt;br&gt;테리 (-11)&lt;br&gt;참치 (-)&lt;br&gt;깡패 (-17)</t>
  </si>
  <si>
    <t>G250104013807</t>
  </si>
  <si>
    <t>2025-01-04 01:38</t>
  </si>
  <si>
    <t>태식 (-)&lt;br&gt;원 (-)&lt;br&gt;참치 (-)&lt;br&gt;재우 (-)</t>
  </si>
  <si>
    <t>짱구 (-27)&lt;br&gt;테리 (-19)&lt;br&gt;신형만 (-24)&lt;br&gt;깡패 (-26)</t>
  </si>
  <si>
    <t>G250104011230</t>
  </si>
  <si>
    <t>2025-01-04 01:12</t>
  </si>
  <si>
    <t>재우 (-)&lt;br&gt;짱구 (16)&lt;br&gt;원 (-)&lt;br&gt;신형만 (24)</t>
  </si>
  <si>
    <t>테리 (-15)&lt;br&gt;참치 (-)&lt;br&gt;재명 (-)&lt;br&gt;깡패 (-22)</t>
  </si>
  <si>
    <t>G250104004130</t>
  </si>
  <si>
    <t>2025-01-04 00:41</t>
  </si>
  <si>
    <t>재우 (-)&lt;br&gt;테리 (140)&lt;br&gt;재명 (-)&lt;br&gt;원 (-)</t>
  </si>
  <si>
    <t>깡패 (-18)&lt;br&gt;짱구 (-18)&lt;br&gt;신형만 (-16)&lt;br&gt;참치 (-)</t>
  </si>
  <si>
    <t>G250103234853</t>
  </si>
  <si>
    <t>2025-01-03 23:48</t>
  </si>
  <si>
    <t>재우 (-)&lt;br&gt;깡패 (18)&lt;br&gt;태식 (-)&lt;br&gt;원 (-)</t>
  </si>
  <si>
    <t>짱구 (-21)&lt;br&gt;참치 (-)&lt;br&gt;테리 (-)&lt;br&gt;재명 (-)</t>
  </si>
  <si>
    <t>G250103231243</t>
  </si>
  <si>
    <t>2025-01-03 23:12</t>
  </si>
  <si>
    <t>태식 (-)&lt;br&gt;짱구 (16)&lt;br&gt;참치 (-)&lt;br&gt;깡패 (22)</t>
  </si>
  <si>
    <t>테리 (-)&lt;br&gt;원 (-)&lt;br&gt;신형만 (-11)&lt;br&gt;재우 (-)</t>
  </si>
  <si>
    <t>G250103220417</t>
  </si>
  <si>
    <t>2025-01-03 22:04</t>
  </si>
  <si>
    <t>깡패 (19)&lt;br&gt;오딘 (-)&lt;br&gt;짱구 (280)&lt;br&gt;랄 (-)</t>
  </si>
  <si>
    <t>재우 (-)&lt;br&gt;태식 (-)&lt;br&gt;재명 (-)&lt;br&gt;ACDC (-)</t>
  </si>
  <si>
    <t>G250103212301</t>
  </si>
  <si>
    <t>2025-01-03 21:23</t>
  </si>
  <si>
    <t>재우 (-)&lt;br&gt;뼈해장국 (-)&lt;br&gt;재명 (-)&lt;br&gt;깡패 (25)</t>
  </si>
  <si>
    <t>ACDC (-)&lt;br&gt;오딘 (-)&lt;br&gt;태식 (-)&lt;br&gt;랄 (-)</t>
  </si>
  <si>
    <t>G250103010912</t>
  </si>
  <si>
    <t>2025-01-03 01:09</t>
  </si>
  <si>
    <t>테리 (-)&lt;br&gt;깡패 (28)&lt;br&gt;짱구 (-)&lt;br&gt;한메 (-)</t>
  </si>
  <si>
    <t>노인 (-17)&lt;br&gt;따 (-)&lt;br&gt;신형만 (-17)&lt;br&gt;재우 (-)</t>
  </si>
  <si>
    <t>G250103002013</t>
  </si>
  <si>
    <t>2025-01-03 00:20</t>
  </si>
  <si>
    <t>테리 (-)&lt;br&gt;노인 (24)&lt;br&gt;짱구 (-)&lt;br&gt;재우 (-)</t>
  </si>
  <si>
    <t>깡패 (-16)&lt;br&gt;신형만 (240)&lt;br&gt;한메 (-)&lt;br&gt;따 (-)</t>
  </si>
  <si>
    <t>G250102235023</t>
  </si>
  <si>
    <t>2025-01-02 23:50</t>
  </si>
  <si>
    <t>테리 (-)&lt;br&gt;짱구 (-)&lt;br&gt;깡패 (29)&lt;br&gt;한메 (-)</t>
  </si>
  <si>
    <t>ACDC (-)&lt;br&gt;노인 (-26)&lt;br&gt;신형만 (-)&lt;br&gt;재우 (-)</t>
  </si>
  <si>
    <t>G250102231937</t>
  </si>
  <si>
    <t>2025-01-02 23:19</t>
  </si>
  <si>
    <t>태식 (-)&lt;br&gt;신형만 (-)&lt;br&gt;한메 (-)&lt;br&gt;재우 (-)</t>
  </si>
  <si>
    <t>노인 (260)&lt;br&gt;테리 (-)&lt;br&gt;ACDC (-)&lt;br&gt;깡패 (168)</t>
  </si>
  <si>
    <t>G250102225850</t>
  </si>
  <si>
    <t>2025-01-02 22:58</t>
  </si>
  <si>
    <t>깡패 (-)&lt;br&gt;짱구 (-)&lt;br&gt;태식 (-)&lt;br&gt;재우 (-)</t>
  </si>
  <si>
    <t>G250102222705</t>
  </si>
  <si>
    <t>2025-01-02 22:27</t>
  </si>
  <si>
    <t>깡패 (-)&lt;br&gt;노인 (-)&lt;br&gt;테리 (-)&lt;br&gt;한메 (-)</t>
  </si>
  <si>
    <t>ACDC (-)&lt;br&gt;신형만 (-)&lt;br&gt;짱구 (-)&lt;br&gt;재우 (-)</t>
  </si>
  <si>
    <t>G250102215022</t>
  </si>
  <si>
    <t>2025-01-02 21:50</t>
  </si>
  <si>
    <t>노인 (-)&lt;br&gt;짱구 (-)&lt;br&gt;한메 (-)&lt;br&gt;ACDC (-)</t>
  </si>
  <si>
    <t>테리 (-)&lt;br&gt;신형만 (-)&lt;br&gt;깡패 (-)&lt;br&gt;재우 (-)</t>
  </si>
  <si>
    <t>G250102205952</t>
  </si>
  <si>
    <t>2025-01-02 20:59</t>
  </si>
  <si>
    <t>깡패 (-)&lt;br&gt;짱구 (-)&lt;br&gt;ACDC (-)&lt;br&gt;신형만 (-)</t>
  </si>
  <si>
    <t>한메 (-)&lt;br&gt;테리 (-)&lt;br&gt;노인 (-)&lt;br&gt;재우 (-)</t>
  </si>
  <si>
    <t>G250102202650</t>
  </si>
  <si>
    <t>2025-01-02 20:26</t>
  </si>
  <si>
    <t>신형만 (-)&lt;br&gt;짱구 (-)&lt;br&gt;한메 (-)&lt;br&gt;노인 (-)</t>
  </si>
  <si>
    <t>ACDC (-)&lt;br&gt;테리 (-)&lt;br&gt;깡패 (-)&lt;br&gt;재우 (-)</t>
  </si>
  <si>
    <t>G241231023343</t>
  </si>
  <si>
    <t>2024-12-31 02:33</t>
  </si>
  <si>
    <t>노인 (-)&lt;br&gt;테리 (-)&lt;br&gt;따 (-)&lt;br&gt;단수 (-)</t>
  </si>
  <si>
    <t>짱구 (-)&lt;br&gt;뼈해장국 (-)&lt;br&gt;깡패 (-)&lt;br&gt;한메 (-)</t>
  </si>
  <si>
    <t>G241231015012</t>
  </si>
  <si>
    <t>2024-12-31 01:50</t>
  </si>
  <si>
    <t>노인 (-)&lt;br&gt;뼈해장국 (-)&lt;br&gt;짱구 (-)&lt;br&gt;따 (-)</t>
  </si>
  <si>
    <t>한메 (-)&lt;br&gt;깡패 (-)&lt;br&gt;테리 (-)&lt;br&gt;단수 (-)</t>
  </si>
  <si>
    <t>G241231001027</t>
  </si>
  <si>
    <t>2024-12-31 00:09</t>
  </si>
  <si>
    <t>한메 (-)&lt;br&gt;짱구 (-)&lt;br&gt;신형만 (-)&lt;br&gt;원 (-)</t>
  </si>
  <si>
    <t>노인 (-)&lt;br&gt;테리 (-)&lt;br&gt;깡패 (-)&lt;br&gt;미등록 (-)</t>
  </si>
  <si>
    <t>G241230230309</t>
  </si>
  <si>
    <t>2024-12-30 23:03</t>
  </si>
  <si>
    <t>태식 (-)&lt;br&gt;짱구 (-)&lt;br&gt;노인 (-)&lt;br&gt;신형만 (-)</t>
  </si>
  <si>
    <t>테리 (-)&lt;br&gt;원 (-)&lt;br&gt;ACDC (-)&lt;br&gt;깡패 (-)</t>
  </si>
  <si>
    <t>G241230222858</t>
  </si>
  <si>
    <t>2024-12-30 22:28</t>
  </si>
  <si>
    <t>ACDC (-)&lt;br&gt;노인 (-)&lt;br&gt;태식 (-)&lt;br&gt;원 (-)</t>
  </si>
  <si>
    <t>한메 (-)&lt;br&gt;테리 (-)&lt;br&gt;신형만 (-)&lt;br&gt;깡패 (-)</t>
  </si>
  <si>
    <t>G241230213939</t>
  </si>
  <si>
    <t>2024-12-30 21:39</t>
  </si>
  <si>
    <t>원 (-)&lt;br&gt;노인 (-)&lt;br&gt;한메 (-)&lt;br&gt;신형만 (-)</t>
  </si>
  <si>
    <t>ACDC (-)&lt;br&gt;테리 (-)&lt;br&gt;태식 (-)&lt;br&gt;깡패 (-)</t>
  </si>
  <si>
    <t>G241230210509</t>
  </si>
  <si>
    <t>2024-12-30 21:05</t>
  </si>
  <si>
    <t>태식 (-)&lt;br&gt;원 (-)&lt;br&gt;한메 (-)&lt;br&gt;깡패 (-)</t>
  </si>
  <si>
    <t>ACDC (-)&lt;br&gt;신형만 (-)&lt;br&gt;테리 (-)&lt;br&gt;노인 (-)</t>
  </si>
  <si>
    <t>G241230014708</t>
  </si>
  <si>
    <t>2024-12-30 01:47</t>
  </si>
  <si>
    <t>깡패 (-)&lt;br&gt;태식 (-)&lt;br&gt;원 (-)&lt;br&gt;노인 (-)</t>
  </si>
  <si>
    <t>ACDC (-)&lt;br&gt;짱구 (-)&lt;br&gt;신형만 (-)&lt;br&gt;한메 (-)</t>
  </si>
  <si>
    <t>G241230010957</t>
  </si>
  <si>
    <t>2024-12-30 01:09</t>
  </si>
  <si>
    <t>태식 (-)&lt;br&gt;신형만 (-)&lt;br&gt;깡패 (-)&lt;br&gt;한메 (-)</t>
  </si>
  <si>
    <t>짱구 (-)&lt;br&gt;원 (-)&lt;br&gt;노인 (-)&lt;br&gt;ACDC (-)</t>
  </si>
  <si>
    <t>G241230004253</t>
  </si>
  <si>
    <t>2024-12-30 00:42</t>
  </si>
  <si>
    <t>ACDC (-)&lt;br&gt;태식 (-)&lt;br&gt;짱구 (-)&lt;br&gt;한메 (-)</t>
  </si>
  <si>
    <t>원 (-)&lt;br&gt;신형만 (-)&lt;br&gt;노인 (-)&lt;br&gt;깡패 (-)</t>
  </si>
  <si>
    <t>G241230001537</t>
  </si>
  <si>
    <t>2024-12-30 00:15</t>
  </si>
  <si>
    <t>신형만 (-)&lt;br&gt;짱구 (-)&lt;br&gt;테리 (-)&lt;br&gt;원 (-)</t>
  </si>
  <si>
    <t>ACDC (-)&lt;br&gt;태식 (-)&lt;br&gt;노인 (-)&lt;br&gt;깡패 (-)</t>
  </si>
  <si>
    <t>G241229231815</t>
  </si>
  <si>
    <t>2024-12-29 23:18</t>
  </si>
  <si>
    <t>신형만 (-)&lt;br&gt;태식 (-)&lt;br&gt;깡패 (-)&lt;br&gt;강화 (-)</t>
  </si>
  <si>
    <t>원 (-)&lt;br&gt;짱구 (-)&lt;br&gt;노인 (-)&lt;br&gt;ACDC (-)</t>
  </si>
  <si>
    <t>G241229223953</t>
  </si>
  <si>
    <t>2024-12-29 22:39</t>
  </si>
  <si>
    <t>노인 (-)&lt;br&gt;원 (-)&lt;br&gt;강화 (-)&lt;br&gt;신형만 (-)</t>
  </si>
  <si>
    <t>ACDC (-)&lt;br&gt;짱구 (-)&lt;br&gt;태식 (-)&lt;br&gt;깡패 (-)</t>
  </si>
  <si>
    <t>G241229221814</t>
  </si>
  <si>
    <t>2024-12-29 22:18</t>
  </si>
  <si>
    <t>노인 (-)&lt;br&gt;원 (-)&lt;br&gt;짱구 (-)&lt;br&gt;태식 (-)</t>
  </si>
  <si>
    <t>깡패 (-)&lt;br&gt;신형만 (-)&lt;br&gt;테리 (-)&lt;br&gt;강화 (-)</t>
  </si>
  <si>
    <t>G241223004959</t>
  </si>
  <si>
    <t>2024-12-23 00:49</t>
  </si>
  <si>
    <t>테리 (20)&lt;br&gt;짱구 (20)&lt;br&gt;원 (22)&lt;br&gt;깡패 (27)</t>
  </si>
  <si>
    <t>노인 (-9)&lt;br&gt;재우 (-7)&lt;br&gt;신형만 (-11)&lt;br&gt;태식 (-6)</t>
  </si>
  <si>
    <t>시즌7</t>
  </si>
  <si>
    <t>G241222234001</t>
  </si>
  <si>
    <t>2024-12-22 23:39</t>
  </si>
  <si>
    <t>원 (25)&lt;br&gt;짱구 (22)&lt;br&gt;신형만 (26)&lt;br&gt;노인 (34)</t>
  </si>
  <si>
    <t>테리 (-21)&lt;br&gt;재우 (-14)&lt;br&gt;깡패 (-18)&lt;br&gt;태식 (-13)</t>
  </si>
  <si>
    <t>G241222231950</t>
  </si>
  <si>
    <t>2024-12-22 23:19</t>
  </si>
  <si>
    <t>짱구 (25)&lt;br&gt;테리 (21)&lt;br&gt;신형만 (29)&lt;br&gt;재우 (31)</t>
  </si>
  <si>
    <t>태식 (-8)&lt;br&gt;깡패 (-12)&lt;br&gt;노인 (-10)&lt;br&gt;원 (-13)</t>
  </si>
  <si>
    <t>G241222223013</t>
  </si>
  <si>
    <t>2024-12-22 22:30</t>
  </si>
  <si>
    <t>테리 (23)&lt;br&gt;원 (27)&lt;br&gt;짱구 (26)&lt;br&gt;태식 (40)</t>
  </si>
  <si>
    <t>신형만 (-12)&lt;br&gt;노인 (-10)&lt;br&gt;깡패 (-13)&lt;br&gt;재우 (-9)</t>
  </si>
  <si>
    <t>G241222213929</t>
  </si>
  <si>
    <t>2024-12-22 21:39</t>
  </si>
  <si>
    <t>태식 (43)&lt;br&gt;원 (29)&lt;br&gt;깡패 (28)&lt;br&gt;신형만 (30)</t>
  </si>
  <si>
    <t>짱구 (-14)&lt;br&gt;테리 (-15)&lt;br&gt;노인 (-13)&lt;br&gt;재우 (-11)</t>
  </si>
  <si>
    <t>G241222210113</t>
  </si>
  <si>
    <t>2024-12-22 21:01</t>
  </si>
  <si>
    <t>깡패 (28)&lt;br&gt;재우 (30)&lt;br&gt;테리 (21)&lt;br&gt;신형만 (31)</t>
  </si>
  <si>
    <t>원 (-12)&lt;br&gt;짱구 (-12)&lt;br&gt;태식 (-7)&lt;br&gt;노인 (-12)</t>
  </si>
  <si>
    <t>G241221024140</t>
  </si>
  <si>
    <t>2024-12-21 02:41</t>
  </si>
  <si>
    <t>ACDC (36)&lt;br&gt;짱구 (18)&lt;br&gt;테리 (16)&lt;br&gt;노인 (22)</t>
  </si>
  <si>
    <t>태식 (-10)&lt;br&gt;깡패 (-16)&lt;br&gt;신형만 (-15)&lt;br&gt;따 (-4)</t>
  </si>
  <si>
    <t>G241221014340</t>
  </si>
  <si>
    <t>2024-12-21 01:43</t>
  </si>
  <si>
    <t>테리 (19)&lt;br&gt;따 (43)&lt;br&gt;노인 (27)&lt;br&gt;깡패 (23)</t>
  </si>
  <si>
    <t>태식 (-16)&lt;br&gt;짱구 (-22)&lt;br&gt;신형만 (-21)&lt;br&gt;ACDC (-10)</t>
  </si>
  <si>
    <t>G241221005351</t>
  </si>
  <si>
    <t>2024-12-21 00:53</t>
  </si>
  <si>
    <t>테리 (19)&lt;br&gt;따 (320)&lt;br&gt;짱구 (17)&lt;br&gt;신형만 (22)</t>
  </si>
  <si>
    <t>민우 (-6)&lt;br&gt;태식 (-13)&lt;br&gt;깡패 (-17)&lt;br&gt;노인 (-15)</t>
  </si>
  <si>
    <t>G241221000354</t>
  </si>
  <si>
    <t>2024-12-21 00:03</t>
  </si>
  <si>
    <t>민우 (42)&lt;br&gt;재우 (28)&lt;br&gt;깡패 (25)&lt;br&gt;노인 (29)</t>
  </si>
  <si>
    <t>신형만 (-15)&lt;br&gt;짱구 (-15)&lt;br&gt;ACDC (-7)&lt;br&gt;태식 (-12)</t>
  </si>
  <si>
    <t>G241220225915</t>
  </si>
  <si>
    <t>2024-12-20 22:59</t>
  </si>
  <si>
    <t>테리 (8)&lt;br&gt;태식 (13)&lt;br&gt;깡패 (9)&lt;br&gt;신형만 (8)</t>
  </si>
  <si>
    <t>기재 (-)&lt;br&gt;노인 (-12)&lt;br&gt;ACDC (-6)&lt;br&gt;민우 (-3)</t>
  </si>
  <si>
    <t>G241220215454</t>
  </si>
  <si>
    <t>2024-12-20 21:54</t>
  </si>
  <si>
    <t>신형만 (20)&lt;br&gt;테리 (18)&lt;br&gt;ACDC (34)&lt;br&gt;노인 (23)</t>
  </si>
  <si>
    <t>민우 (-5)&lt;br&gt;태식 (-15)&lt;br&gt;깡패 (-19)&lt;br&gt;기재 (-)</t>
  </si>
  <si>
    <t>G241220012157</t>
  </si>
  <si>
    <t>2024-12-20 01:21</t>
  </si>
  <si>
    <t>신형만 (25)&lt;br&gt;재우 (27)&lt;br&gt;원 (20)&lt;br&gt;깡패 (23)</t>
  </si>
  <si>
    <t>참치 (-12)&lt;br&gt;노인 (-14)&lt;br&gt;테리 (-15)&lt;br&gt;ACDC (-6)</t>
  </si>
  <si>
    <t>G241220003956</t>
  </si>
  <si>
    <t>2024-12-20 00:41</t>
  </si>
  <si>
    <t>원 (24)&lt;br&gt;참치 (35)&lt;br&gt;테리 (23)&lt;br&gt;재우 (31)</t>
  </si>
  <si>
    <t>노인 (-19)&lt;br&gt;신형만 (-19)&lt;br&gt;ACDC (-9)&lt;br&gt;깡패 (-19)</t>
  </si>
  <si>
    <t>G241220001112</t>
  </si>
  <si>
    <t>2024-12-20 00:11</t>
  </si>
  <si>
    <t>신형만 (28)&lt;br&gt;원 (26)&lt;br&gt;테리 (25)&lt;br&gt;노인 (28)</t>
  </si>
  <si>
    <t>참치 (-15)&lt;br&gt;깡패 (-21)&lt;br&gt;짱구 (-23)&lt;br&gt;ACDC (-9)</t>
  </si>
  <si>
    <t>G241219234404</t>
  </si>
  <si>
    <t>2024-12-19 23:44</t>
  </si>
  <si>
    <t>깡패 (23)&lt;br&gt;짱구 (16)&lt;br&gt;원 (26)&lt;br&gt;노인 (28)</t>
  </si>
  <si>
    <t>참치 (-10)&lt;br&gt;신형만 (-12)&lt;br&gt;테리 (-12)&lt;br&gt;ACDC (-6)</t>
  </si>
  <si>
    <t>G241219221925</t>
  </si>
  <si>
    <t>2024-12-19 22:19</t>
  </si>
  <si>
    <t>테리 (22)&lt;br&gt;깡패 (23)&lt;br&gt;짱구 (16)&lt;br&gt;신형만 (25)</t>
  </si>
  <si>
    <t>원 (-14)&lt;br&gt;재우 (-10)&lt;br&gt;노인 (-13)&lt;br&gt;ACDC (-7)</t>
  </si>
  <si>
    <t>G241219214722</t>
  </si>
  <si>
    <t>2024-12-19 21:47</t>
  </si>
  <si>
    <t>노인 (30)&lt;br&gt;신형만 (29)&lt;br&gt;짱구 (18)&lt;br&gt;재명 (-)</t>
  </si>
  <si>
    <t>ACDC (-13)&lt;br&gt;테리 (-20)&lt;br&gt;깡패 (-21)&lt;br&gt;재우 (-17)</t>
  </si>
  <si>
    <t>G241219210326</t>
  </si>
  <si>
    <t>2024-12-19 21:03</t>
  </si>
  <si>
    <t>깡패 (16)&lt;br&gt;짱구 (12)&lt;br&gt;노인 (23)&lt;br&gt;ACDC (28)</t>
  </si>
  <si>
    <t>테리 (-13)&lt;br&gt;신형만 (-12)&lt;br&gt;재명 (-)&lt;br&gt;재우 (-10)</t>
  </si>
  <si>
    <t>G241218023411</t>
  </si>
  <si>
    <t>2024-12-18 02:34</t>
  </si>
  <si>
    <t>키키 (31)&lt;br&gt;깡패 (26)&lt;br&gt;짱구 (20)&lt;br&gt;따 (-)</t>
  </si>
  <si>
    <t>ACDC (-13)&lt;br&gt;태식 (-21)&lt;br&gt;신형만 (-21)&lt;br&gt;노인 (-20)</t>
  </si>
  <si>
    <t>G241218015035</t>
  </si>
  <si>
    <t>2024-12-18 01:50</t>
  </si>
  <si>
    <t>ACDC (38)&lt;br&gt;깡패 (31)&lt;br&gt;참치 (35)&lt;br&gt;태식 (31)</t>
  </si>
  <si>
    <t>키키 (-10)&lt;br&gt;노인 (-13)&lt;br&gt;짱구 (-15)&lt;br&gt;신형만 (-14)</t>
  </si>
  <si>
    <t>G241218005023</t>
  </si>
  <si>
    <t>2024-12-18 00:50</t>
  </si>
  <si>
    <t>ACDC (34)&lt;br&gt;깡패 (24)&lt;br&gt;롤 (-)&lt;br&gt;키키 (27)</t>
  </si>
  <si>
    <t>신형만 (-18)&lt;br&gt;따 (-)&lt;br&gt;조드 (-13)&lt;br&gt;태식 (-17)</t>
  </si>
  <si>
    <t>G241217235230</t>
  </si>
  <si>
    <t>2024-12-17 23:52</t>
  </si>
  <si>
    <t>태식 (23)&lt;br&gt;롤 (-)&lt;br&gt;깡패 (26)&lt;br&gt;따 (-)</t>
  </si>
  <si>
    <t>ACDC (-8)&lt;br&gt;조드 (-10)&lt;br&gt;신형만 (-17)&lt;br&gt;키키 (-12)</t>
  </si>
  <si>
    <t>G241217225354</t>
  </si>
  <si>
    <t>2024-12-17 22:53</t>
  </si>
  <si>
    <t>노인 (31)&lt;br&gt;조드 (36)&lt;br&gt;키키 (34)&lt;br&gt;깡패 (35)</t>
  </si>
  <si>
    <t>ACDC (-12)&lt;br&gt;신형만 (-25)&lt;br&gt;한메 (-20)&lt;br&gt;태식 (-22)</t>
  </si>
  <si>
    <t>G241217215847</t>
  </si>
  <si>
    <t>2024-12-17 21:58</t>
  </si>
  <si>
    <t>신형만 (12)&lt;br&gt;테리 (13)&lt;br&gt;ACDC (30)&lt;br&gt;키키 (26)</t>
  </si>
  <si>
    <t>한메 (-17)&lt;br&gt;오딘 (-)&lt;br&gt;깡패 (-14)&lt;br&gt;노인 (-17)</t>
  </si>
  <si>
    <t>G241217212304</t>
  </si>
  <si>
    <t>2024-12-17 21:23</t>
  </si>
  <si>
    <t>한메 (14)&lt;br&gt;노인 (17)&lt;br&gt;키키 (25)&lt;br&gt;신형만 (10)</t>
  </si>
  <si>
    <t>테리 (-20)&lt;br&gt;깡패 (-16)&lt;br&gt;오딘 (-)&lt;br&gt;ACDC (-8)</t>
  </si>
  <si>
    <t>G241217204416</t>
  </si>
  <si>
    <t>2024-12-17 20:44</t>
  </si>
  <si>
    <t>키키 (30)&lt;br&gt;테리 (12)&lt;br&gt;깡패 (23)&lt;br&gt;한메 (17)</t>
  </si>
  <si>
    <t>신형만 (-24)&lt;br&gt;노인 (-19)&lt;br&gt;오딘 (-)&lt;br&gt;ACDC (-10)</t>
  </si>
  <si>
    <t>G241217024917</t>
  </si>
  <si>
    <t>2024-12-17 02:49</t>
  </si>
  <si>
    <t>신형만 (19)&lt;br&gt;따 (-)&lt;br&gt;강화 (32)&lt;br&gt;한메 (26)</t>
  </si>
  <si>
    <t>깡패 (-17)&lt;br&gt;노인 (-20)&lt;br&gt;ACDC (-11)&lt;br&gt;태식 (-20)</t>
  </si>
  <si>
    <t>G241217020821</t>
  </si>
  <si>
    <t>2024-12-17 02:08</t>
  </si>
  <si>
    <t>한메 (23)&lt;br&gt;신형만 (15)&lt;br&gt;노인 (21)&lt;br&gt;ACDC (33)</t>
  </si>
  <si>
    <t>깡패 (-15)&lt;br&gt;따 (-)&lt;br&gt;태식 (-19)&lt;br&gt;강화 (-12)</t>
  </si>
  <si>
    <t>G241217013449</t>
  </si>
  <si>
    <t>2024-12-17 01:34</t>
  </si>
  <si>
    <t>노인 (25)&lt;br&gt;태식 (20)&lt;br&gt;미등록 (-)&lt;br&gt;따 (-)</t>
  </si>
  <si>
    <t>ACDC (-12)&lt;br&gt;깡패 (-21)&lt;br&gt;신형만 (-26)&lt;br&gt;민우 (-11)</t>
  </si>
  <si>
    <t>G241217004617</t>
  </si>
  <si>
    <t>2024-12-17 00:46</t>
  </si>
  <si>
    <t>신형만 (15)&lt;br&gt;태식 (21)&lt;br&gt;테리 (17)&lt;br&gt;ACDC (36)</t>
  </si>
  <si>
    <t>재우 (-15)&lt;br&gt;따 (-)&lt;br&gt;노인 (-15)&lt;br&gt;깡패 (-15)</t>
  </si>
  <si>
    <t>G241217001100</t>
  </si>
  <si>
    <t>2024-12-17 00:10</t>
  </si>
  <si>
    <t>ACDC (41)&lt;br&gt;테리 (21)&lt;br&gt;노인 (30)&lt;br&gt;재우 (25)</t>
  </si>
  <si>
    <t>깡패 (-19)&lt;br&gt;따 (-)&lt;br&gt;태식 (-20)&lt;br&gt;신형만 (-22)</t>
  </si>
  <si>
    <t>G241216233250</t>
  </si>
  <si>
    <t>2024-12-16 23:32</t>
  </si>
  <si>
    <t>강화 (32)&lt;br&gt;신형만 (17)&lt;br&gt;노인 (31)&lt;br&gt;재우 (25)</t>
  </si>
  <si>
    <t>ACDC (-4)&lt;br&gt;태식 (-14)&lt;br&gt;한메 (-10)&lt;br&gt;깡패 (-13)</t>
  </si>
  <si>
    <t>G241216222627</t>
  </si>
  <si>
    <t>2024-12-16 22:26</t>
  </si>
  <si>
    <t>한메 (24)&lt;br&gt;테리 (18)&lt;br&gt;신형만 (15)&lt;br&gt;재우 (23)</t>
  </si>
  <si>
    <t>강화 (-7)&lt;br&gt;노인 (-10)&lt;br&gt;깡패 (-13)&lt;br&gt;ACDC (-4)</t>
  </si>
  <si>
    <t>G241213225630</t>
  </si>
  <si>
    <t>2024-12-13 22:56</t>
  </si>
  <si>
    <t>한메 (32)&lt;br&gt;깡패 (27)&lt;br&gt;참치 (34)&lt;br&gt;태식 (25)</t>
  </si>
  <si>
    <t>테리 (-19)&lt;br&gt;재우 (-15)&lt;br&gt;짱구 (-23)&lt;br&gt;조드 (-10)</t>
  </si>
  <si>
    <t>G241213025807</t>
  </si>
  <si>
    <t>2024-12-13 02:58</t>
  </si>
  <si>
    <t>깡패 (18)&lt;br&gt;재우 (21)&lt;br&gt;짱구 (10)&lt;br&gt;신형만 (13)</t>
  </si>
  <si>
    <t>한메 (-9)&lt;br&gt;노인 (-12)&lt;br&gt;따 (-)&lt;br&gt;참치 (-11)</t>
  </si>
  <si>
    <t>G241213023347</t>
  </si>
  <si>
    <t>2024-12-13 02:33</t>
  </si>
  <si>
    <t>짱구 (14)&lt;br&gt;깡패 (24)&lt;br&gt;참치 (30)&lt;br&gt;한메 (29)</t>
  </si>
  <si>
    <t>재우 (-13)&lt;br&gt;신형만 (-20)&lt;br&gt;따 (-)&lt;br&gt;노인 (-15)</t>
  </si>
  <si>
    <t>G241213013424</t>
  </si>
  <si>
    <t>2024-12-13 01:34</t>
  </si>
  <si>
    <t>노인 (24)&lt;br&gt;짱구 (12)&lt;br&gt;테리 (17)&lt;br&gt;신형만 (14)</t>
  </si>
  <si>
    <t>재우 (-12)&lt;br&gt;깡패 (-15)&lt;br&gt;참치 (-12)&lt;br&gt;따 (-)</t>
  </si>
  <si>
    <t>G241213010650</t>
  </si>
  <si>
    <t>2024-12-13 01:06</t>
  </si>
  <si>
    <t>깡패 (28)&lt;br&gt;테리 (22)&lt;br&gt;한메 (33)&lt;br&gt;따 (-)</t>
  </si>
  <si>
    <t>재우 (-17)&lt;br&gt;참치 (-16)&lt;br&gt;강화 (-13)&lt;br&gt;노인 (-17)</t>
  </si>
  <si>
    <t>G241213000338</t>
  </si>
  <si>
    <t>2024-12-13 00:03</t>
  </si>
  <si>
    <t>강화 (26)&lt;br&gt;태식 (17)&lt;br&gt;깡패 (22)&lt;br&gt;재우 (19)</t>
  </si>
  <si>
    <t>한메 (-10)&lt;br&gt;참치 (-15)&lt;br&gt;따 (-)&lt;br&gt;노인 (-16)</t>
  </si>
  <si>
    <t>G241212231755</t>
  </si>
  <si>
    <t>2024-12-12 23:17</t>
  </si>
  <si>
    <t>짱구 (11)&lt;br&gt;태식 (18)&lt;br&gt;신형만 (13)&lt;br&gt;노인 (21)</t>
  </si>
  <si>
    <t>한메 (-6)&lt;br&gt;참치 (-11)&lt;br&gt;따 (-)&lt;br&gt;깡패 (-10)</t>
  </si>
  <si>
    <t>G241212220532</t>
  </si>
  <si>
    <t>2024-12-12 22:05</t>
  </si>
  <si>
    <t>깡패 (29)&lt;br&gt;테리 (22)&lt;br&gt;신형만 (19)&lt;br&gt;태식 (25)</t>
  </si>
  <si>
    <t>노인 (-18)&lt;br&gt;짱구 (-24)&lt;br&gt;ACDC (-7)&lt;br&gt;조드 (-11)</t>
  </si>
  <si>
    <t>G241212213523</t>
  </si>
  <si>
    <t>2024-12-12 21:35</t>
  </si>
  <si>
    <t>신형만 (21)&lt;br&gt;태식 (28)&lt;br&gt;짱구 (15)&lt;br&gt;조드 (33)</t>
  </si>
  <si>
    <t>노인 (-20)&lt;br&gt;ACDC (-8)&lt;br&gt;테리 (-18)&lt;br&gt;깡패 (-17)</t>
  </si>
  <si>
    <t>G241212205838</t>
  </si>
  <si>
    <t>2024-12-12 20:58</t>
  </si>
  <si>
    <t>짱구 (16)&lt;br&gt;테리 (24)&lt;br&gt;조드 (36)&lt;br&gt;노인 (27)</t>
  </si>
  <si>
    <t>신형만 (-16)&lt;br&gt;태식 (-13)&lt;br&gt;ACDC (-6)&lt;br&gt;깡패 (-13)</t>
  </si>
  <si>
    <t>G241211231917</t>
  </si>
  <si>
    <t>2024-12-11 23:19</t>
  </si>
  <si>
    <t>깡패 (20)&lt;br&gt;노인 (19)&lt;br&gt;태식 (20)&lt;br&gt;재우 (18)</t>
  </si>
  <si>
    <t>한메 (-14)&lt;br&gt;신형만 (-25)&lt;br&gt;민우 (-10)&lt;br&gt;요즘 (-)</t>
  </si>
  <si>
    <t>G241211224906</t>
  </si>
  <si>
    <t>2024-12-11 22:49</t>
  </si>
  <si>
    <t>민우 (360)&lt;br&gt;신형만 (16)&lt;br&gt;깡패 (28)&lt;br&gt;노인 (26)</t>
  </si>
  <si>
    <t>재우 (-11)&lt;br&gt;ACDC (-6)&lt;br&gt;한메 (-9)&lt;br&gt;태식 (-12)</t>
  </si>
  <si>
    <t>G241211213123</t>
  </si>
  <si>
    <t>2024-12-11 21:31</t>
  </si>
  <si>
    <t>테리 (14)&lt;br&gt;재우 (16)&lt;br&gt;신형만 (11)&lt;br&gt;노인 (20)</t>
  </si>
  <si>
    <t>깡패 (-13)&lt;br&gt;ACDC (-7)&lt;br&gt;한메 (-11)&lt;br&gt;요즘 (-)</t>
  </si>
  <si>
    <t>G241211205554</t>
  </si>
  <si>
    <t>2024-12-11 20:55</t>
  </si>
  <si>
    <t>한메 (29)&lt;br&gt;노인 (33)&lt;br&gt;요즘 (-)&lt;br&gt;신형만 (20)</t>
  </si>
  <si>
    <t>깡패 (-14)&lt;br&gt;테리 (-15)&lt;br&gt;ACDC (-9)&lt;br&gt;재우 (-14)</t>
  </si>
  <si>
    <t>G241211015421</t>
  </si>
  <si>
    <t>2024-12-11 01:54</t>
  </si>
  <si>
    <t>참치 (27)&lt;br&gt;짱구 (16)&lt;br&gt;따 (-)&lt;br&gt;재우 (25)</t>
  </si>
  <si>
    <t>깡패 (-18)&lt;br&gt;조드 (-11)&lt;br&gt;테리 (-18)&lt;br&gt;노인 (-15)</t>
  </si>
  <si>
    <t>G241211004710</t>
  </si>
  <si>
    <t>2024-12-11 00:47</t>
  </si>
  <si>
    <t>태식 (24)&lt;br&gt;따 (-)&lt;br&gt;짱구 (14)&lt;br&gt;재우 (24)</t>
  </si>
  <si>
    <t>민우 (-)&lt;br&gt;노인 (-14)&lt;br&gt;깡패 (-17)&lt;br&gt;조드 (-11)</t>
  </si>
  <si>
    <t>G241210233540</t>
  </si>
  <si>
    <t>2024-12-10 23:35</t>
  </si>
  <si>
    <t>재우 (14)&lt;br&gt;신형만 (9)&lt;br&gt;노인 (16)&lt;br&gt;강화 (17)</t>
  </si>
  <si>
    <t>태식 (-20)&lt;br&gt;따 (-)&lt;br&gt;구리다 (-)&lt;br&gt;조드 (-14)</t>
  </si>
  <si>
    <t>G241210225546</t>
  </si>
  <si>
    <t>2024-12-10 22:55</t>
  </si>
  <si>
    <t>깡패 (19)&lt;br&gt;태식 (20)&lt;br&gt;조드 (27)&lt;br&gt;강화 (26)</t>
  </si>
  <si>
    <t>ACDC (-14)&lt;br&gt;재우 (-19)&lt;br&gt;신형만 (-26)&lt;br&gt;요즘 (-)</t>
  </si>
  <si>
    <t>G241210221847</t>
  </si>
  <si>
    <t>2024-12-10 22:18</t>
  </si>
  <si>
    <t>재우 (18)&lt;br&gt;깡패 (17)&lt;br&gt;테리 (13)&lt;br&gt;신형만 (11)</t>
  </si>
  <si>
    <t>ACDC (-9)&lt;br&gt;요즘 (-)&lt;br&gt;태식 (-16)&lt;br&gt;강화 (-10)</t>
  </si>
  <si>
    <t>G241210215657</t>
  </si>
  <si>
    <t>2024-12-10 21:56</t>
  </si>
  <si>
    <t>강화 (26)&lt;br&gt;깡패 (20)&lt;br&gt;태식 (20)&lt;br&gt;신형만 (13)</t>
  </si>
  <si>
    <t>요즘 (-)&lt;br&gt;재우 (-10)&lt;br&gt;테리 (-13)&lt;br&gt;ACDC (-7)</t>
  </si>
  <si>
    <t>G241210204919</t>
  </si>
  <si>
    <t>2024-12-10 20:49</t>
  </si>
  <si>
    <t>강화 (36)&lt;br&gt;요즘 (-)&lt;br&gt;테리 (22)&lt;br&gt;신형만 (22)</t>
  </si>
  <si>
    <t>ACDC (-17)&lt;br&gt;재우 (-21)&lt;br&gt;깡패 (-22)&lt;br&gt;태식 (-23)</t>
  </si>
  <si>
    <t>G241210021441</t>
  </si>
  <si>
    <t>2024-12-10 02:14</t>
  </si>
  <si>
    <t>강화 (38)&lt;br&gt;깡패 (30)&lt;br&gt;따 (-)&lt;br&gt;신형만 (25)</t>
  </si>
  <si>
    <t>짱구 (-21)&lt;br&gt;재우 (-17)&lt;br&gt;한메 (-15)&lt;br&gt;조드 (-13)</t>
  </si>
  <si>
    <t>G241210011159</t>
  </si>
  <si>
    <t>2024-12-10 01:11</t>
  </si>
  <si>
    <t>민우 (-)&lt;br&gt;테리 (17)&lt;br&gt;강화 (34)&lt;br&gt;한메 (23)</t>
  </si>
  <si>
    <t>재우 (-15)&lt;br&gt;따 (-)&lt;br&gt;조드 (-11)&lt;br&gt;깡패 (-15)</t>
  </si>
  <si>
    <t>G241210001938</t>
  </si>
  <si>
    <t>2024-12-10 00:19</t>
  </si>
  <si>
    <t>짱구 (9)&lt;br&gt;깡패 (20)&lt;br&gt;조드 (24)&lt;br&gt;재우 (16)</t>
  </si>
  <si>
    <t>신형만 (-20)&lt;br&gt;따 (-)&lt;br&gt;한메 (-13)&lt;br&gt;강화 (-7)</t>
  </si>
  <si>
    <t>G241209233723</t>
  </si>
  <si>
    <t>2024-12-09 23:37</t>
  </si>
  <si>
    <t>재우 (26)&lt;br&gt;신형만 (24)&lt;br&gt;한메 (31)&lt;br&gt;미등록 (-)</t>
  </si>
  <si>
    <t>짱구 (-18)&lt;br&gt;ACDC (-10)&lt;br&gt;조드 (-9)&lt;br&gt;깡패 (-13)</t>
  </si>
  <si>
    <t>G241209223210</t>
  </si>
  <si>
    <t>2024-12-09 22:32</t>
  </si>
  <si>
    <t>재우 (25)&lt;br&gt;짱구 (13)&lt;br&gt;ACDC (37)&lt;br&gt;신형만 (23)</t>
  </si>
  <si>
    <t>한메 (-13)&lt;br&gt;조드 (-11)&lt;br&gt;깡패 (-17)&lt;br&gt;미등록 (-)</t>
  </si>
  <si>
    <t>G241209215602</t>
  </si>
  <si>
    <t>2024-12-09 21:56</t>
  </si>
  <si>
    <t>한메 (20)&lt;br&gt;깡패 (17)&lt;br&gt;짱구 (8)&lt;br&gt;재우 (18)</t>
  </si>
  <si>
    <t>미등록 (-)&lt;br&gt;신형만 (-21)&lt;br&gt;구리다 (-)&lt;br&gt;ACDC (-13)</t>
  </si>
  <si>
    <t>G241209213706</t>
  </si>
  <si>
    <t>2024-12-09 21:37</t>
  </si>
  <si>
    <t>ACDC (31)&lt;br&gt;깡패 (20)&lt;br&gt;구리다 (-)&lt;br&gt;재우 (22)</t>
  </si>
  <si>
    <t>요즘 (-)&lt;br&gt;신형만 (-23)&lt;br&gt;미등록 (-)&lt;br&gt;한메 (-18)</t>
  </si>
  <si>
    <t>G241209211356</t>
  </si>
  <si>
    <t>2024-12-09 21:13</t>
  </si>
  <si>
    <t>깡패 (27)&lt;br&gt;요즘 (-)&lt;br&gt;구리다 (-)&lt;br&gt;신형만 (19)</t>
  </si>
  <si>
    <t>한메 (-21)&lt;br&gt;재우 (-21)&lt;br&gt;ACDC (-19)&lt;br&gt;미등록 (-)</t>
  </si>
  <si>
    <t>G241209204628</t>
  </si>
  <si>
    <t>2024-12-09 20:46</t>
  </si>
  <si>
    <t>ACDC (41)&lt;br&gt;신형만 (24)&lt;br&gt;테리 (23)&lt;br&gt;미등록 (-)</t>
  </si>
  <si>
    <t>구리다 (-)&lt;br&gt;깡패 (-13)&lt;br&gt;한메 (-12)&lt;br&gt;재우 (-12)</t>
  </si>
  <si>
    <t>G241209021813</t>
  </si>
  <si>
    <t>2024-12-09 02:18</t>
  </si>
  <si>
    <t>신형만 (17)&lt;br&gt;태식 (17)&lt;br&gt;따 (-)&lt;br&gt;노인 (22)</t>
  </si>
  <si>
    <t>킹 (-)&lt;br&gt;ACDC (-15)&lt;br&gt;참치 (-25)&lt;br&gt;깡패 (-23)</t>
  </si>
  <si>
    <t>G241209014900</t>
  </si>
  <si>
    <t>2024-12-09 01:48</t>
  </si>
  <si>
    <t>깡패 (20)&lt;br&gt;따 (-)&lt;br&gt;조드 (24)&lt;br&gt;신형만 (18)</t>
  </si>
  <si>
    <t>킹 (-)&lt;br&gt;태식 (-18)&lt;br&gt;ACDC (-13)&lt;br&gt;노인 (-16)</t>
  </si>
  <si>
    <t>G241209010537</t>
  </si>
  <si>
    <t>2024-12-09 01:05</t>
  </si>
  <si>
    <t>재우 (21)&lt;br&gt;태식 (18)&lt;br&gt;따 (-)&lt;br&gt;조드 (27)</t>
  </si>
  <si>
    <t>킹 (-)&lt;br&gt;깡패 (-26)&lt;br&gt;신형만 (-27)&lt;br&gt;ACDC (-20)</t>
  </si>
  <si>
    <t>G241209004153</t>
  </si>
  <si>
    <t>2024-12-09 00:41</t>
  </si>
  <si>
    <t>신형만 (12)&lt;br&gt;깡패 (14)&lt;br&gt;조드 (21)&lt;br&gt;재우 (15)</t>
  </si>
  <si>
    <t>킹 (-)&lt;br&gt;태식 (-23)&lt;br&gt;따 (-)&lt;br&gt;ACDC (-16)</t>
  </si>
  <si>
    <t>G241209002202</t>
  </si>
  <si>
    <t>2024-12-09 00:22</t>
  </si>
  <si>
    <t>재우 (21)&lt;br&gt;태식 (15)&lt;br&gt;테리 (15)&lt;br&gt;깡패 (19)</t>
  </si>
  <si>
    <t>킹 (-)&lt;br&gt;ACDC (-15)&lt;br&gt;신형만 (-22)&lt;br&gt;조드 (-11)</t>
  </si>
  <si>
    <t>G241208235149</t>
  </si>
  <si>
    <t>2024-12-08 23:51</t>
  </si>
  <si>
    <t>강화 (38)&lt;br&gt;재우 (31)&lt;br&gt;신형만 (24)&lt;br&gt;태식 (25)</t>
  </si>
  <si>
    <t>노인 (-15)&lt;br&gt;조드 (-11)&lt;br&gt;ACDC (-13)&lt;br&gt;깡패 (-15)</t>
  </si>
  <si>
    <t>G241208225422</t>
  </si>
  <si>
    <t>2024-12-08 22:54</t>
  </si>
  <si>
    <t>깡패 (25)&lt;br&gt;노인 (24)&lt;br&gt;신형만 (22)&lt;br&gt;태식 (23)</t>
  </si>
  <si>
    <t>강화 (-5)&lt;br&gt;재우 (-9)&lt;br&gt;테리 (-13)&lt;br&gt;ACDC (-11)</t>
  </si>
  <si>
    <t>G241208221001</t>
  </si>
  <si>
    <t>2024-12-08 22:09</t>
  </si>
  <si>
    <t>재우 (24)&lt;br&gt;신형만 (18)&lt;br&gt;테리 (15)&lt;br&gt;요즘 (-)</t>
  </si>
  <si>
    <t>강화 (-11)&lt;br&gt;재명 (-)&lt;br&gt;한메 (-20)&lt;br&gt;깡패 (-20)</t>
  </si>
  <si>
    <t>G241208213915</t>
  </si>
  <si>
    <t>2024-12-08 21:39</t>
  </si>
  <si>
    <t>요즘 (-)&lt;br&gt;테리 (21)&lt;br&gt;재명 (-)&lt;br&gt;한메 (22)</t>
  </si>
  <si>
    <t>깡패 (-17)&lt;br&gt;재우 (-14)&lt;br&gt;신형만 (-17)&lt;br&gt;강화 (-11)</t>
  </si>
  <si>
    <t>G241208204105</t>
  </si>
  <si>
    <t>2024-12-08 20:41</t>
  </si>
  <si>
    <t>요즘 (-)&lt;br&gt;참치 (18)&lt;br&gt;한메 (23)&lt;br&gt;강화 (36)</t>
  </si>
  <si>
    <t>신형만 (-14)&lt;br&gt;재명 (-)&lt;br&gt;테리 (-13)&lt;br&gt;깡패 (-14)</t>
  </si>
  <si>
    <t>G241208025828</t>
  </si>
  <si>
    <t>2024-12-08 02:58</t>
  </si>
  <si>
    <t>원 (17)&lt;br&gt;참치 (27)&lt;br&gt;짱구 (16)&lt;br&gt;ACDC (36)</t>
  </si>
  <si>
    <t>태식 (-12)&lt;br&gt;테리 (-12)&lt;br&gt;한메 (-10)&lt;br&gt;노인 (-12)</t>
  </si>
  <si>
    <t>G241208011706</t>
  </si>
  <si>
    <t>2024-12-08 01:17</t>
  </si>
  <si>
    <t>태식 (41)&lt;br&gt;짱구 (19)&lt;br&gt;테리 (29)&lt;br&gt;참치 (33)</t>
  </si>
  <si>
    <t>노인 (-17)&lt;br&gt;원 (-24)&lt;br&gt;ACDC (-13)&lt;br&gt;한메 (-15)</t>
  </si>
  <si>
    <t>G241208003448</t>
  </si>
  <si>
    <t>2024-12-08 00:34</t>
  </si>
  <si>
    <t>원 (11)&lt;br&gt;ACDC (30)&lt;br&gt;민우 (-)&lt;br&gt;태식 (33)</t>
  </si>
  <si>
    <t>테리 (-14)&lt;br&gt;참치 (-15)&lt;br&gt;따 (-)&lt;br&gt;한메 (-14)</t>
  </si>
  <si>
    <t>G241207234917</t>
  </si>
  <si>
    <t>2024-12-07 23:49</t>
  </si>
  <si>
    <t>테리 (25)&lt;br&gt;노인 (28)&lt;br&gt;원 (15)&lt;br&gt;민우 (-)</t>
  </si>
  <si>
    <t>참치 (-21)&lt;br&gt;ACDC (-15)&lt;br&gt;한메 (-19)&lt;br&gt;태식 (340)</t>
  </si>
  <si>
    <t>G241207232016</t>
  </si>
  <si>
    <t>2024-12-07 23:20</t>
  </si>
  <si>
    <t>노인 (38)&lt;br&gt;태식 (-)&lt;br&gt;짱구 (21)&lt;br&gt;한메 (30)</t>
  </si>
  <si>
    <t>원 (-22)&lt;br&gt;테리 (-15)&lt;br&gt;ACDC (-13)&lt;br&gt;참치 (-18)</t>
  </si>
  <si>
    <t>G241207223341</t>
  </si>
  <si>
    <t>2024-12-07 22:33</t>
  </si>
  <si>
    <t>짱구 (18)&lt;br&gt;참치 (23)&lt;br&gt;노인 (33)&lt;br&gt;원 (13)</t>
  </si>
  <si>
    <t>한메 (-9)&lt;br&gt;테리 (-9)&lt;br&gt;태식 (-)&lt;br&gt;ACDC (-8)</t>
  </si>
  <si>
    <t>G241207214753</t>
  </si>
  <si>
    <t>2024-12-07 21:47</t>
  </si>
  <si>
    <t>태식 (-)&lt;br&gt;참치 (25)&lt;br&gt;원 (14)&lt;br&gt;한메 (24)</t>
  </si>
  <si>
    <t>짱구 (-20)&lt;br&gt;노인 (-13)&lt;br&gt;테리 (-17)&lt;br&gt;넘버 (-)</t>
  </si>
  <si>
    <t>G241207203954</t>
  </si>
  <si>
    <t>2024-12-07 20:39</t>
  </si>
  <si>
    <t>참치 (25)&lt;br&gt;원 (13)&lt;br&gt;테리 (18)&lt;br&gt;한메 (21)</t>
  </si>
  <si>
    <t>짱구 (-19)&lt;br&gt;태식 (-)&lt;br&gt;넘버 (-)&lt;br&gt;노인 (-12)</t>
  </si>
  <si>
    <t>G241207030322</t>
  </si>
  <si>
    <t>2024-12-07 03:03</t>
  </si>
  <si>
    <t>신형만 (31)&lt;br&gt;조드 (37)&lt;br&gt;키키 (34)&lt;br&gt;원 (480)</t>
  </si>
  <si>
    <t>짱구 (-16)&lt;br&gt;재우 (-10)&lt;br&gt;참치 (-12)&lt;br&gt;깡패 (-14)</t>
  </si>
  <si>
    <t>G241207021328</t>
  </si>
  <si>
    <t>2024-12-07 02:13</t>
  </si>
  <si>
    <t>신형만 (32)&lt;br&gt;짱구 (19)&lt;br&gt;조드 (38)&lt;br&gt;키키 (35)</t>
  </si>
  <si>
    <t>원 (-)&lt;br&gt;깡패 (-17)&lt;br&gt;참치 (-15)&lt;br&gt;재우 (-12)</t>
  </si>
  <si>
    <t>G241207011628</t>
  </si>
  <si>
    <t>2024-12-07 01:16</t>
  </si>
  <si>
    <t>원 (-)&lt;br&gt;ACDC (24)&lt;br&gt;짱구 (14)&lt;br&gt;참치 (20)</t>
  </si>
  <si>
    <t>깡패 (-18)&lt;br&gt;조드 (-8)&lt;br&gt;키키 (-10)&lt;br&gt;태식 (-)</t>
  </si>
  <si>
    <t>G241207003258</t>
  </si>
  <si>
    <t>2024-12-07 00:32</t>
  </si>
  <si>
    <t>ACDC (26)&lt;br&gt;태식 (-)&lt;br&gt;짱구 (15)&lt;br&gt;깡패 (18)</t>
  </si>
  <si>
    <t>한메 (-11)&lt;br&gt;원 (-)&lt;br&gt;키키 (-8)&lt;br&gt;조드 (-6)</t>
  </si>
  <si>
    <t>G241206231420</t>
  </si>
  <si>
    <t>2024-12-06 23:14</t>
  </si>
  <si>
    <t>깡패 (24)&lt;br&gt;원 (-)&lt;br&gt;태식 (-)&lt;br&gt;조드 (46)</t>
  </si>
  <si>
    <t>짱구 (-19)&lt;br&gt;ACDC (-13)&lt;br&gt;키키 (-12)&lt;br&gt;한메 (-16)</t>
  </si>
  <si>
    <t>G241206223224</t>
  </si>
  <si>
    <t>2024-12-06 22:32</t>
  </si>
  <si>
    <t>깡패 (20)&lt;br&gt;원 (-)&lt;br&gt;한메 (20)&lt;br&gt;키키 (28)</t>
  </si>
  <si>
    <t>짱구 (-20)&lt;br&gt;ACDC (-14)&lt;br&gt;조드 (-8)&lt;br&gt;태식 (-)</t>
  </si>
  <si>
    <t>G241206215612</t>
  </si>
  <si>
    <t>2024-12-06 21:56</t>
  </si>
  <si>
    <t>원 (-)&lt;br&gt;짱구 (13)&lt;br&gt;조드 (44)&lt;br&gt;깡패 (22)</t>
  </si>
  <si>
    <t>한메 (-17)&lt;br&gt;태식 (-)&lt;br&gt;ACDC (-15)&lt;br&gt;키키 (-12)</t>
  </si>
  <si>
    <t>G241206031305</t>
  </si>
  <si>
    <t>2024-12-06 03:13</t>
  </si>
  <si>
    <t>신형만 (26)&lt;br&gt;뼈해장국 (-)&lt;br&gt;깡패 (23)&lt;br&gt;따 (-)</t>
  </si>
  <si>
    <t>강화 (220)&lt;br&gt;참치 (-20)&lt;br&gt;노인 (-18)&lt;br&gt;키키 (-17)</t>
  </si>
  <si>
    <t>G241206021646</t>
  </si>
  <si>
    <t>2024-12-06 02:16</t>
  </si>
  <si>
    <t>키키 (30)&lt;br&gt;깡패 (28)&lt;br&gt;따 (-)&lt;br&gt;노인 (32)</t>
  </si>
  <si>
    <t>신형만 (-25)&lt;br&gt;참치 (-27)&lt;br&gt;뼈해장국 (-)&lt;br&gt;강화 (-)</t>
  </si>
  <si>
    <t>G241206014615</t>
  </si>
  <si>
    <t>2024-12-06 01:46</t>
  </si>
  <si>
    <t>테리 (20)&lt;br&gt;신형만 (29)&lt;br&gt;강화 (-)&lt;br&gt;참치 (24)</t>
  </si>
  <si>
    <t>재우 (-17)&lt;br&gt;노인 (-16)&lt;br&gt;키키 (-14)&lt;br&gt;깡패 (-19)</t>
  </si>
  <si>
    <t>G241206005340</t>
  </si>
  <si>
    <t>2024-12-06 00:53</t>
  </si>
  <si>
    <t>신형만 (34)&lt;br&gt;테리 (24)&lt;br&gt;참치 (29)&lt;br&gt;재우 (29)</t>
  </si>
  <si>
    <t>짱구 (-26)&lt;br&gt;ACDC (-19)&lt;br&gt;깡패 (-21)&lt;br&gt;강화 (-)</t>
  </si>
  <si>
    <t>G241206003712</t>
  </si>
  <si>
    <t>2024-12-06 00:37</t>
  </si>
  <si>
    <t>ACDC (29)&lt;br&gt;참치 (28)&lt;br&gt;짱구 (14)&lt;br&gt;원 (-)</t>
  </si>
  <si>
    <t>테리 (-19)&lt;br&gt;강화 (-)&lt;br&gt;신형만 (-16)&lt;br&gt;깡패 (-20)</t>
  </si>
  <si>
    <t>G241206000547</t>
  </si>
  <si>
    <t>2024-12-06 00:05</t>
  </si>
  <si>
    <t>짱구 (17)&lt;br&gt;태식 (-)&lt;br&gt;원 (-)&lt;br&gt;신형만 (37)</t>
  </si>
  <si>
    <t>한메 (-16)&lt;br&gt;참치 (-14)&lt;br&gt;노인 (-14)&lt;br&gt;ACDC (-14)</t>
  </si>
  <si>
    <t>G241205231412</t>
  </si>
  <si>
    <t>2024-12-05 23:14</t>
  </si>
  <si>
    <t>ACDC (31)&lt;br&gt;짱구 (16)&lt;br&gt;한메 (21)&lt;br&gt;태식 (-)</t>
  </si>
  <si>
    <t>참치 (-12)&lt;br&gt;원 (-)&lt;br&gt;노인 (-11)&lt;br&gt;신형만 (-10)</t>
  </si>
  <si>
    <t>G241205221435</t>
  </si>
  <si>
    <t>2024-12-05 22:14</t>
  </si>
  <si>
    <t>한메 (26)&lt;br&gt;노인 (35)&lt;br&gt;넘버 (-)&lt;br&gt;참치 (33)</t>
  </si>
  <si>
    <t>신형만 (-12)&lt;br&gt;ACDC (-12)&lt;br&gt;테리 (-14)&lt;br&gt;깡패 (-15)</t>
  </si>
  <si>
    <t>G241205212142</t>
  </si>
  <si>
    <t>2024-12-05 21:21</t>
  </si>
  <si>
    <t>ACDC (31)&lt;br&gt;테리 (20)&lt;br&gt;한메 (24)&lt;br&gt;참치 (31)</t>
  </si>
  <si>
    <t>넘버 (-)&lt;br&gt;노인 (-11)&lt;br&gt;깡패 (-14)&lt;br&gt;신형만 (-11)</t>
  </si>
  <si>
    <t>G241205203248</t>
  </si>
  <si>
    <t>2024-12-05 20:32</t>
  </si>
  <si>
    <t>테리 (23)&lt;br&gt;깡패 (23)&lt;br&gt;넘버 (-)&lt;br&gt;한메 (27)</t>
  </si>
  <si>
    <t>신형만 (-20)&lt;br&gt;ACDC (-19)&lt;br&gt;참치 (-19)&lt;br&gt;노인 (-20)</t>
  </si>
  <si>
    <t>G241205034857</t>
  </si>
  <si>
    <t>2024-12-05 03:48</t>
  </si>
  <si>
    <t>키키 (33)&lt;br&gt;짱구 (19)&lt;br&gt;한메 (30)&lt;br&gt;깡패 (27)</t>
  </si>
  <si>
    <t>노인 (-11)&lt;br&gt;참치 (-11)&lt;br&gt;노픽업 (-)&lt;br&gt;신형만 (-11)</t>
  </si>
  <si>
    <t>G241205024901</t>
  </si>
  <si>
    <t>2024-12-05 02:49</t>
  </si>
  <si>
    <t>신형만 (33)&lt;br&gt;재우 (32)&lt;br&gt;짱구 (20)&lt;br&gt;참치 (35)</t>
  </si>
  <si>
    <t>한메 (-16)&lt;br&gt;ACDC (-18)&lt;br&gt;깡패 (-22)&lt;br&gt;노인 (-20)</t>
  </si>
  <si>
    <t>G241205021002</t>
  </si>
  <si>
    <t>2024-12-05 02:10</t>
  </si>
  <si>
    <t>재우 (34)&lt;br&gt;넘버 (-)&lt;br&gt;짱구 (22)&lt;br&gt;ACDC (36)</t>
  </si>
  <si>
    <t>참치 (-15)&lt;br&gt;노인 (-17)&lt;br&gt;한메 (-14)&lt;br&gt;깡패 (-18)</t>
  </si>
  <si>
    <t>G241205012245</t>
  </si>
  <si>
    <t>2024-12-05 01:22</t>
  </si>
  <si>
    <t>ACDC (33)&lt;br&gt;짱구 (19)&lt;br&gt;테리 (23)&lt;br&gt;한메 (27)</t>
  </si>
  <si>
    <t>넘버 (-)&lt;br&gt;재우 (-10)&lt;br&gt;노인 (-16)&lt;br&gt;깡패 (-17)</t>
  </si>
  <si>
    <t>G241205000926</t>
  </si>
  <si>
    <t>2024-12-05 00:09</t>
  </si>
  <si>
    <t>깡패 (18)&lt;br&gt;테리 (23)&lt;br&gt;원 (-)&lt;br&gt;ACDC (35)</t>
  </si>
  <si>
    <t>한메 (-16)&lt;br&gt;노인 (-21)&lt;br&gt;조드 (-9)&lt;br&gt;재우 (-14)</t>
  </si>
  <si>
    <t>G241204042840</t>
  </si>
  <si>
    <t>2024-12-04 04:28</t>
  </si>
  <si>
    <t>노인 (26)&lt;br&gt;참치 (300)&lt;br&gt;키키 (35)&lt;br&gt;ACDC (44)</t>
  </si>
  <si>
    <t>민우 (-)&lt;br&gt;짱구 (-18)&lt;br&gt;신형만 (-15)&lt;br&gt;깡패 (-19)</t>
  </si>
  <si>
    <t>G241204025425</t>
  </si>
  <si>
    <t>2024-12-04 02:54</t>
  </si>
  <si>
    <t>짱구 (22)&lt;br&gt;노인 (26)&lt;br&gt;민우 (-)&lt;br&gt;ACDC (45)</t>
  </si>
  <si>
    <t>깡패 (-19)&lt;br&gt;재우 (-12)&lt;br&gt;신형만 (-15)&lt;br&gt;참치 (-)</t>
  </si>
  <si>
    <t>G241204015904</t>
  </si>
  <si>
    <t>2024-12-04 01:59</t>
  </si>
  <si>
    <t>깡패 (17)&lt;br&gt;재우 (28)&lt;br&gt;짱구 (20)&lt;br&gt;민우 (-)</t>
  </si>
  <si>
    <t>노인 (-16)&lt;br&gt;신형만 (-15)&lt;br&gt;참치 (-)&lt;br&gt;ACDC (-7)</t>
  </si>
  <si>
    <t>G241204004431</t>
  </si>
  <si>
    <t>2024-12-04 00:44</t>
  </si>
  <si>
    <t>테리 (23)&lt;br&gt;태식 (-)&lt;br&gt;깡패 (16)&lt;br&gt;노인 (21)</t>
  </si>
  <si>
    <t>재우 (-11)&lt;br&gt;참치 (-)&lt;br&gt;신형만 (-15)&lt;br&gt;ACDC (-7)</t>
  </si>
  <si>
    <t>G241203235632</t>
  </si>
  <si>
    <t>2024-12-03 23:56</t>
  </si>
  <si>
    <t>민우 (-)&lt;br&gt;참치 (-)&lt;br&gt;짱구 (24)&lt;br&gt;재명 (-)</t>
  </si>
  <si>
    <t>재우 (-16)&lt;br&gt;노인 (-20)&lt;br&gt;깡패 (-21)&lt;br&gt;ACDC (-13)</t>
  </si>
  <si>
    <t>G241203230212</t>
  </si>
  <si>
    <t>2024-12-03 23:02</t>
  </si>
  <si>
    <t>재우 (35)&lt;br&gt;깡패 (18)&lt;br&gt;민우 (-)&lt;br&gt;재명 (-)</t>
  </si>
  <si>
    <t>짱구 (-18)&lt;br&gt;참치 (-)&lt;br&gt;ACDC (-12)&lt;br&gt;노인 (-20)</t>
  </si>
  <si>
    <t>G241203220458</t>
  </si>
  <si>
    <t>2024-12-03 22:04</t>
  </si>
  <si>
    <t>참치 (-)&lt;br&gt;신형만 (24)&lt;br&gt;깡패 (19)&lt;br&gt;한메 (26)</t>
  </si>
  <si>
    <t>민우 (-)&lt;br&gt;짱구 (-13)&lt;br&gt;ACDC (-7)&lt;br&gt;노인 (-14)</t>
  </si>
  <si>
    <t>G241203210406</t>
  </si>
  <si>
    <t>2024-12-03 21:04</t>
  </si>
  <si>
    <t>깡패 (25)&lt;br&gt;짱구 (24)&lt;br&gt;민우 (-)&lt;br&gt;참치 (-)</t>
  </si>
  <si>
    <t>노인 (-22)&lt;br&gt;신형만 (-19)&lt;br&gt;한메 (-16)&lt;br&gt;ACDC (-12)</t>
  </si>
  <si>
    <t>G241203202638</t>
  </si>
  <si>
    <t>2024-12-03 20:26</t>
  </si>
  <si>
    <t>신형만 (24)&lt;br&gt;짱구 (22)&lt;br&gt;민우 (-)&lt;br&gt;노인 (18)</t>
  </si>
  <si>
    <t>한메 (-16)&lt;br&gt;참치 (-)&lt;br&gt;깡패 (-21)&lt;br&gt;ACDC (-12)</t>
  </si>
  <si>
    <t>G241203031130</t>
  </si>
  <si>
    <t>2024-12-03 03:11</t>
  </si>
  <si>
    <t>깡패 (22)&lt;br&gt;참치 (-)&lt;br&gt;노인 (21)&lt;br&gt;민우 (-)</t>
  </si>
  <si>
    <t>ACDC (-13)&lt;br&gt;신형만 (-19)&lt;br&gt;짱구 (-18)&lt;br&gt;키키 (-13)</t>
  </si>
  <si>
    <t>G241203021956</t>
  </si>
  <si>
    <t>2024-12-03 02:19</t>
  </si>
  <si>
    <t>짱구 (20)&lt;br&gt;노인 (19)&lt;br&gt;ACDC (35)&lt;br&gt;깡패 (20)</t>
  </si>
  <si>
    <t>참치 (-)&lt;br&gt;재우 (-10)&lt;br&gt;신형만 (-15)&lt;br&gt;키키 (-9)</t>
  </si>
  <si>
    <t>G241203010833</t>
  </si>
  <si>
    <t>2024-12-03 01:08</t>
  </si>
  <si>
    <t>키키 (34)&lt;br&gt;재우 (33)&lt;br&gt;한메 (28)&lt;br&gt;깡패 (28)</t>
  </si>
  <si>
    <t>테리 (-17)&lt;br&gt;신형만 (-20)&lt;br&gt;짱구 (-18)&lt;br&gt;ACDC (-12)</t>
  </si>
  <si>
    <t>G241203002239</t>
  </si>
  <si>
    <t>2024-12-03 00:22</t>
  </si>
  <si>
    <t>한메 (25)&lt;br&gt;깡패 (23)&lt;br&gt;짱구 (20)&lt;br&gt;노인 (20)</t>
  </si>
  <si>
    <t>재우 (-8)&lt;br&gt;테리 (-11)&lt;br&gt;ACDC (-8)&lt;br&gt;키키 (-7)</t>
  </si>
  <si>
    <t>G241202232909</t>
  </si>
  <si>
    <t>2024-12-02 23:29</t>
  </si>
  <si>
    <t>깡패 (27)&lt;br&gt;노인 (23)&lt;br&gt;신형만 (20)&lt;br&gt;재우 (280)</t>
  </si>
  <si>
    <t>짱구 (-16)&lt;br&gt;ACDC (-11)&lt;br&gt;키키 (-11)&lt;br&gt;한메 (-13)</t>
  </si>
  <si>
    <t>G241202225754</t>
  </si>
  <si>
    <t>2024-12-02 22:57</t>
  </si>
  <si>
    <t>신형만 (25)&lt;br&gt;짱구 (24)&lt;br&gt;ACDC (40)&lt;br&gt;재우 (-)</t>
  </si>
  <si>
    <t>깡패 (-17)&lt;br&gt;노인 (-19)&lt;br&gt;한메 (-15)&lt;br&gt;키키 (-13)</t>
  </si>
  <si>
    <t>G241202222323</t>
  </si>
  <si>
    <t>2024-12-02 22:23</t>
  </si>
  <si>
    <t>노인 (24)&lt;br&gt;신형만 (24)&lt;br&gt;테리 (23)&lt;br&gt;깡패 (28)</t>
  </si>
  <si>
    <t>짱구 (-17)&lt;br&gt;재우 (-)&lt;br&gt;한메 (-15)&lt;br&gt;키키 (-13)</t>
  </si>
  <si>
    <t>G241202213544</t>
  </si>
  <si>
    <t>2024-12-02 21:35</t>
  </si>
  <si>
    <t>테리 (28)&lt;br&gt;신형만 (30)&lt;br&gt;짱구 (26)&lt;br&gt;재우 (-)</t>
  </si>
  <si>
    <t>노인 (-23)&lt;br&gt;깡패 (-20)&lt;br&gt;키키 (300)&lt;br&gt;한메 (-21)</t>
  </si>
  <si>
    <t>G241202211102</t>
  </si>
  <si>
    <t>2024-12-02 21:11</t>
  </si>
  <si>
    <t>한메 (24)&lt;br&gt;노인 (24)&lt;br&gt;테리 (27)&lt;br&gt;넘버 (-)</t>
  </si>
  <si>
    <t>재우 (-)&lt;br&gt;신형만 (-18)&lt;br&gt;깡패 (-18)&lt;br&gt;키키 (-)</t>
  </si>
  <si>
    <t>G241202203238</t>
  </si>
  <si>
    <t>2024-12-02 20:32</t>
  </si>
  <si>
    <t>신형만 (21)&lt;br&gt;넘버 (-)&lt;br&gt;한메 (19)&lt;br&gt;깡패 (21)</t>
  </si>
  <si>
    <t>재우 (-)&lt;br&gt;테리 (-17)&lt;br&gt;재명 (-)&lt;br&gt;노인 (-22)</t>
  </si>
  <si>
    <t>G241202015907</t>
  </si>
  <si>
    <t>2024-12-02 01:59</t>
  </si>
  <si>
    <t>태식 (-)&lt;br&gt;짱구 (23)&lt;br&gt;노인 (23)&lt;br&gt;참치 (-)</t>
  </si>
  <si>
    <t>강화 (-)&lt;br&gt;깡패 (-19)&lt;br&gt;신형만 (-19)&lt;br&gt;ACDC (-14)</t>
  </si>
  <si>
    <t>G241202012634</t>
  </si>
  <si>
    <t>2024-12-02 01:26</t>
  </si>
  <si>
    <t>신형만 (24)&lt;br&gt;ACDC (36)&lt;br&gt;참치 (-)&lt;br&gt;노인 (23)</t>
  </si>
  <si>
    <t>태식 (-)&lt;br&gt;짱구 (-20)&lt;br&gt;강화 (-)&lt;br&gt;깡패 (-22)</t>
  </si>
  <si>
    <t>G241202005857</t>
  </si>
  <si>
    <t>2024-12-02 00:58</t>
  </si>
  <si>
    <t>강화 (-)&lt;br&gt;짱구 (23)&lt;br&gt;참치 (-)&lt;br&gt;신형만 (29)</t>
  </si>
  <si>
    <t>깡패 (-18)&lt;br&gt;ACDC (-12)&lt;br&gt;태식 (-)&lt;br&gt;노인 (-18)</t>
  </si>
  <si>
    <t>G241202002905</t>
  </si>
  <si>
    <t>2024-12-02 00:29</t>
  </si>
  <si>
    <t>신형만 (30)&lt;br&gt;깡패 (22)&lt;br&gt;참치 (-)&lt;br&gt;태식 (-)</t>
  </si>
  <si>
    <t>노인 (-21)&lt;br&gt;짱구 (-19)&lt;br&gt;ACDC (-14)&lt;br&gt;강화 (-)</t>
  </si>
  <si>
    <t>G241202000001</t>
  </si>
  <si>
    <t>2024-12-02 00:00</t>
  </si>
  <si>
    <t>참치 (-)&lt;br&gt;짱구 (22)&lt;br&gt;ACDC (37)&lt;br&gt;태식 (-)</t>
  </si>
  <si>
    <t>재우 (-)&lt;br&gt;깡패 (-23)&lt;br&gt;강화 (-)&lt;br&gt;신형만 (-19)</t>
  </si>
  <si>
    <t>G241201232744</t>
  </si>
  <si>
    <t>2024-12-01 23:27</t>
  </si>
  <si>
    <t>재우 (-)&lt;br&gt;짱구 (18)&lt;br&gt;태식 (-)&lt;br&gt;깡패 (15)</t>
  </si>
  <si>
    <t>강화 (-)&lt;br&gt;ACDC (-11)&lt;br&gt;참치 (-)&lt;br&gt;신형만 (-15)</t>
  </si>
  <si>
    <t>G241201224800</t>
  </si>
  <si>
    <t>2024-12-01 22:47</t>
  </si>
  <si>
    <t>민우 (-)&lt;br&gt;깡패 (22)&lt;br&gt;태식 (-)&lt;br&gt;강화 (-)</t>
  </si>
  <si>
    <t>짱구 (-25)&lt;br&gt;ACDC (-21)&lt;br&gt;재우 (-)&lt;br&gt;신형만 (-26)</t>
  </si>
  <si>
    <t>G241201222522</t>
  </si>
  <si>
    <t>2024-12-01 22:25</t>
  </si>
  <si>
    <t>짱구 (23)&lt;br&gt;태식 (-)&lt;br&gt;깡패 (23)&lt;br&gt;재우 (-)</t>
  </si>
  <si>
    <t>한메 (-19)&lt;br&gt;ACDC (-15)&lt;br&gt;민우 (-)&lt;br&gt;신형만 (-20)</t>
  </si>
  <si>
    <t>G241201215528</t>
  </si>
  <si>
    <t>2024-12-01 21:55</t>
  </si>
  <si>
    <t>민우 (-)&lt;br&gt;신형만 (22)&lt;br&gt;용갈 (-)&lt;br&gt;노인 (19)</t>
  </si>
  <si>
    <t>한메 (-21)&lt;br&gt;재우 (-)&lt;br&gt;깡패 (-21)&lt;br&gt;태식 (-)</t>
  </si>
  <si>
    <t>G241201210855</t>
  </si>
  <si>
    <t>2024-12-01 21:08</t>
  </si>
  <si>
    <t>깡패 (15)&lt;br&gt;재우 (-)&lt;br&gt;신형만 (16)&lt;br&gt;넘버 (-)</t>
  </si>
  <si>
    <t>미등록 (-)&lt;br&gt;용갈 (-)&lt;br&gt;테리 (-18)&lt;br&gt;태식 (-)</t>
  </si>
  <si>
    <t>G241201040452</t>
  </si>
  <si>
    <t>2024-12-01 04:04</t>
  </si>
  <si>
    <t>신형만 (27)&lt;br&gt;재우 (-)&lt;br&gt;따 (-)&lt;br&gt;넘버 (-)</t>
  </si>
  <si>
    <t>테리 (-28)&lt;br&gt;조드 (-22)&lt;br&gt;민우 (-)&lt;br&gt;노인 (-30)</t>
  </si>
  <si>
    <t>G241201033147</t>
  </si>
  <si>
    <t>2024-12-01 03:31</t>
  </si>
  <si>
    <t>테리 (22)&lt;br&gt;넘버 (-)&lt;br&gt;따 (-)&lt;br&gt;민우 (-)</t>
  </si>
  <si>
    <t>신형만 (-27)&lt;br&gt;노인 (-30)&lt;br&gt;조드 (-22)&lt;br&gt;재우 (-)</t>
  </si>
  <si>
    <t>G241201010437</t>
  </si>
  <si>
    <t>2024-12-01 01:04</t>
  </si>
  <si>
    <t>넘버 (-)&lt;br&gt;신형만 (23)&lt;br&gt;조드 (26)&lt;br&gt;노인 (14)</t>
  </si>
  <si>
    <t>짱구 (-13)&lt;br&gt;테리 (-14)&lt;br&gt;참치 (-)&lt;br&gt;재우 (-)</t>
  </si>
  <si>
    <t>G241201002512</t>
  </si>
  <si>
    <t>2024-12-01 00:25</t>
  </si>
  <si>
    <t>원 (-)&lt;br&gt;태식 (-)&lt;br&gt;테리 (20)&lt;br&gt;노인 (17)</t>
  </si>
  <si>
    <t>짱구 (-15)&lt;br&gt;재우 (-)&lt;br&gt;조드 (-11)&lt;br&gt;신형만 (-15)</t>
  </si>
  <si>
    <t>G241201002415</t>
  </si>
  <si>
    <t>2024-12-01 00:24</t>
  </si>
  <si>
    <t>테리 (22)&lt;br&gt;재우 (-)&lt;br&gt;노인 (19)&lt;br&gt;넘버 (-)</t>
  </si>
  <si>
    <t>신형만 (-17)&lt;br&gt;짱구 (-18)&lt;br&gt;조드 (-14)&lt;br&gt;참치 (-)</t>
  </si>
  <si>
    <t>G241130231540</t>
  </si>
  <si>
    <t>2024-11-30 23:15</t>
  </si>
  <si>
    <t>노인 (25)&lt;br&gt;짱구 (24)&lt;br&gt;태식 (-)&lt;br&gt;재우 (-)</t>
  </si>
  <si>
    <t>테리 (-19)&lt;br&gt;신형만 (-20)&lt;br&gt;조드 (-16)&lt;br&gt;원 (-)</t>
  </si>
  <si>
    <t>G241130223452</t>
  </si>
  <si>
    <t>2024-11-30 22:34</t>
  </si>
  <si>
    <t>노인 (15)&lt;br&gt;신형만 (16)&lt;br&gt;짱구 (15)&lt;br&gt;원 (-)</t>
  </si>
  <si>
    <t>테리 (-15)&lt;br&gt;태식 (-)&lt;br&gt;오크 (-)&lt;br&gt;조드 (-12)</t>
  </si>
  <si>
    <t>G241130220820</t>
  </si>
  <si>
    <t>2024-11-30 22:08</t>
  </si>
  <si>
    <t>짱구 (32)&lt;br&gt;태식 (-)&lt;br&gt;조드 (35)&lt;br&gt;원 (-)</t>
  </si>
  <si>
    <t>오크 (-)&lt;br&gt;테리 (-26)&lt;br&gt;노인 (-27)&lt;br&gt;신형만 (-27)</t>
  </si>
  <si>
    <t>G241130213034</t>
  </si>
  <si>
    <t>2024-11-30 21:30</t>
  </si>
  <si>
    <t>짱구 (16)&lt;br&gt;조드 (240)&lt;br&gt;신형만 (13)&lt;br&gt;원 (-)</t>
  </si>
  <si>
    <t>민우 (-)&lt;br&gt;태식 (-)&lt;br&gt;노인 (-15)&lt;br&gt;넘버 (-)</t>
  </si>
  <si>
    <t>G241130204816</t>
  </si>
  <si>
    <t>2024-11-30 20:48</t>
  </si>
  <si>
    <t>신형만 (23)&lt;br&gt;넘버 (-)&lt;br&gt;태식 (-)&lt;br&gt;원 (-)</t>
  </si>
  <si>
    <t>민우 (-)&lt;br&gt;짱구 (-19)&lt;br&gt;조드 (-)&lt;br&gt;노인 (-25)</t>
  </si>
  <si>
    <t>G241129044319</t>
  </si>
  <si>
    <t>2024-11-29 04:43</t>
  </si>
  <si>
    <t>짱구 (17)&lt;br&gt;깡패 (14)&lt;br&gt;신형만 (16)&lt;br&gt;한메 (11)</t>
  </si>
  <si>
    <t>노인 (-14)&lt;br&gt;ACDC (-10)&lt;br&gt;윈드 (-)&lt;br&gt;키키 (-)</t>
  </si>
  <si>
    <t>G241129032655</t>
  </si>
  <si>
    <t>2024-11-29 03:26</t>
  </si>
  <si>
    <t>신형만 (27)&lt;br&gt;ACDC (32)&lt;br&gt;키키 (-)&lt;br&gt;한메 (360)</t>
  </si>
  <si>
    <t>민우 (-)&lt;br&gt;깡패 (-19)&lt;br&gt;짱구 (-19)&lt;br&gt;노인 (-23)</t>
  </si>
  <si>
    <t>G241129024446</t>
  </si>
  <si>
    <t>2024-11-29 02:44</t>
  </si>
  <si>
    <t>한메 (-)&lt;br&gt;ACDC (38)&lt;br&gt;짱구 (23)&lt;br&gt;민우 (-)</t>
  </si>
  <si>
    <t>신형만 (-13)&lt;br&gt;깡패 (-15)&lt;br&gt;키키 (-)&lt;br&gt;노인 (380)</t>
  </si>
  <si>
    <t>G241129015326</t>
  </si>
  <si>
    <t>2024-11-29 01:53</t>
  </si>
  <si>
    <t>민우 (-)&lt;br&gt;테리 (13)&lt;br&gt;짱구 (22)&lt;br&gt;노인 (-)</t>
  </si>
  <si>
    <t>한메 (-)&lt;br&gt;ACDC (-9)&lt;br&gt;깡패 (-19)&lt;br&gt;신형만 (-15)</t>
  </si>
  <si>
    <t>G241129012617</t>
  </si>
  <si>
    <t>2024-11-29 01:26</t>
  </si>
  <si>
    <t>테리 (9)&lt;br&gt;깡패 (11)&lt;br&gt;한메 (-)&lt;br&gt;노인 (-)</t>
  </si>
  <si>
    <t>신형만 (-13)&lt;br&gt;ACDC (-7)&lt;br&gt;짱구 (-12)&lt;br&gt;민우 (-)</t>
  </si>
  <si>
    <t>G241129004442</t>
  </si>
  <si>
    <t>2024-11-29 00:44</t>
  </si>
  <si>
    <t>깡패 (16)&lt;br&gt;원 (-)&lt;br&gt;노인 (-)&lt;br&gt;ACDC (35)</t>
  </si>
  <si>
    <t>한메 (-)&lt;br&gt;참치 (-)&lt;br&gt;짱구 (-15)&lt;br&gt;신형만 (-15)</t>
  </si>
  <si>
    <t>G241129001100</t>
  </si>
  <si>
    <t>2024-11-29 00:10</t>
  </si>
  <si>
    <t>깡패 (13)&lt;br&gt;신형만 (17)&lt;br&gt;참치 (-)&lt;br&gt;원 (-)</t>
  </si>
  <si>
    <t>민우 (-)&lt;br&gt;ACDC (-12)&lt;br&gt;짱구 (-22)&lt;br&gt;노인 (-)</t>
  </si>
  <si>
    <t>G241128234555</t>
  </si>
  <si>
    <t>2024-11-28 23:45</t>
  </si>
  <si>
    <t>짱구 (10)&lt;br&gt;노인 (-)&lt;br&gt;원 (-)&lt;br&gt;깡패 (10)</t>
  </si>
  <si>
    <t>ACDC (-7)&lt;br&gt;참치 (-)&lt;br&gt;민우 (-)&lt;br&gt;신형만 (-14)</t>
  </si>
  <si>
    <t>G241128230703</t>
  </si>
  <si>
    <t>2024-11-28 23:07</t>
  </si>
  <si>
    <t>깡패 (21)&lt;br&gt;테리 (16)&lt;br&gt;참치 (-)&lt;br&gt;원 (-)</t>
  </si>
  <si>
    <t>신형만 (-26)&lt;br&gt;짱구 (-26)&lt;br&gt;ACDC (-15)&lt;br&gt;한메 (-)</t>
  </si>
  <si>
    <t>G241128230139</t>
  </si>
  <si>
    <t>2024-11-28 23:01</t>
  </si>
  <si>
    <t>테리 (18)&lt;br&gt;신형만 (22)&lt;br&gt;참치 (-)&lt;br&gt;원 (-)</t>
  </si>
  <si>
    <t>짱구 (-25)&lt;br&gt;깡패 (-20)&lt;br&gt;ACDC (-16)&lt;br&gt;한메 (-)</t>
  </si>
  <si>
    <t>G241128224526</t>
  </si>
  <si>
    <t>2024-11-28 22:45</t>
  </si>
  <si>
    <t>테리 (320)&lt;br&gt;깡패 (16)&lt;br&gt;신형만 (15)&lt;br&gt;한메 (-)</t>
  </si>
  <si>
    <t>ACDC (-11)&lt;br&gt;원 (-)&lt;br&gt;짱구 (-21)&lt;br&gt;참치 (-)</t>
  </si>
  <si>
    <t>G241128213911</t>
  </si>
  <si>
    <t>2024-11-28 21:39</t>
  </si>
  <si>
    <t>짱구 (14)&lt;br&gt;깡패 (22)&lt;br&gt;테리 (-)&lt;br&gt;원 (-)</t>
  </si>
  <si>
    <t>한메 (-)&lt;br&gt;ACDC (-13)&lt;br&gt;키키 (-)&lt;br&gt;노인 (-)</t>
  </si>
  <si>
    <t>G241128211544</t>
  </si>
  <si>
    <t>2024-11-28 21:15</t>
  </si>
  <si>
    <t>키키 (-)&lt;br&gt;짱구 (12)&lt;br&gt;신형만 (21)&lt;br&gt;깡패 (20)</t>
  </si>
  <si>
    <t>테리 (-)&lt;br&gt;노인 (-)&lt;br&gt;원 (-)&lt;br&gt;ACDC (-9)</t>
  </si>
  <si>
    <t>G241128204304</t>
  </si>
  <si>
    <t>2024-11-28 20:43</t>
  </si>
  <si>
    <t>키키 (-)&lt;br&gt;테리 (-)&lt;br&gt;짱구 (16)&lt;br&gt;원 (-)</t>
  </si>
  <si>
    <t>신형만 (-22)&lt;br&gt;깡패 (-19)&lt;br&gt;ACDC (-17)&lt;br&gt;노인 (-)</t>
  </si>
  <si>
    <t>G241128172216</t>
  </si>
  <si>
    <t>2024-11-28 17:22</t>
  </si>
  <si>
    <t>깡패 (18)&lt;br&gt;필찌 (-)&lt;br&gt;신형만 (19)&lt;br&gt;오딘 (-)</t>
  </si>
  <si>
    <t>테리 (-)&lt;br&gt;ACDC (-15)&lt;br&gt;노인 (-)&lt;br&gt;단수 (-)</t>
  </si>
  <si>
    <t>G241128162323</t>
  </si>
  <si>
    <t>2024-11-28 16:23</t>
  </si>
  <si>
    <t>오딘 (-)&lt;br&gt;신형만 (18)&lt;br&gt;테리 (-)&lt;br&gt;노인 (-)</t>
  </si>
  <si>
    <t>필찌 (-)&lt;br&gt;ACDC (-10)&lt;br&gt;단수 (-)&lt;br&gt;깡패 (-10)</t>
  </si>
  <si>
    <t>G241128003409</t>
  </si>
  <si>
    <t>2024-11-28 00:34</t>
  </si>
  <si>
    <t>강화 (-)&lt;br&gt;원 (-)&lt;br&gt;깡패 (22)&lt;br&gt;신형만 (26)</t>
  </si>
  <si>
    <t>참치 (-)&lt;br&gt;짱구 (-23)&lt;br&gt;ACDC (-20)&lt;br&gt;한메 (-)</t>
  </si>
  <si>
    <t>G241128000524</t>
  </si>
  <si>
    <t>2024-11-28 00:05</t>
  </si>
  <si>
    <t>ACDC (29)&lt;br&gt;강화 (-)&lt;br&gt;참치 (-)&lt;br&gt;원 (-)</t>
  </si>
  <si>
    <t>신형만 (-21)&lt;br&gt;짱구 (-25)&lt;br&gt;깡패 (-21)&lt;br&gt;한메 (-)</t>
  </si>
  <si>
    <t>G241127232820</t>
  </si>
  <si>
    <t>2024-11-27 23:28</t>
  </si>
  <si>
    <t>한메 (-)&lt;br&gt;짱구 (9)&lt;br&gt;강화 (-)&lt;br&gt;원 (-)</t>
  </si>
  <si>
    <t>참치 (-)&lt;br&gt;깡패 (-20)&lt;br&gt;ACDC (-20)&lt;br&gt;신형만 (-21)</t>
  </si>
  <si>
    <t>G241127225523</t>
  </si>
  <si>
    <t>2024-11-27 22:55</t>
  </si>
  <si>
    <t>테리 (-)&lt;br&gt;필찌 (-)&lt;br&gt;ACDC (30)&lt;br&gt;한메 (-)</t>
  </si>
  <si>
    <t>짱구 (360)&lt;br&gt;신형만 (260)&lt;br&gt;키키 (-)&lt;br&gt;깡패 (-14)</t>
  </si>
  <si>
    <t>G241127220422</t>
  </si>
  <si>
    <t>2024-11-27 22:04</t>
  </si>
  <si>
    <t>키키 (-)&lt;br&gt;신형만 (-)&lt;br&gt;테리 (-)&lt;br&gt;한메 (-)</t>
  </si>
  <si>
    <t>깡패 (-18)&lt;br&gt;필찌 (-)&lt;br&gt;짱구 (-)&lt;br&gt;ACDC (-16)</t>
  </si>
  <si>
    <t>G241127211452</t>
  </si>
  <si>
    <t>2024-11-27 21:14</t>
  </si>
  <si>
    <t>키키 (-)&lt;br&gt;재명 (-)&lt;br&gt;필찌 (-)&lt;br&gt;신형만 (-)</t>
  </si>
  <si>
    <t>짱구 (-)&lt;br&gt;테리 (-)&lt;br&gt;깡패 (-14)&lt;br&gt;한메 (-)</t>
  </si>
  <si>
    <t>G241127023638</t>
  </si>
  <si>
    <t>2024-11-27 02:36</t>
  </si>
  <si>
    <t>깡패 (300)&lt;br&gt;테리 (-)&lt;br&gt;노인 (-)&lt;br&gt;조드 (-)</t>
  </si>
  <si>
    <t>짱구 (-)&lt;br&gt;참치 (-)&lt;br&gt;ACDC (240)&lt;br&gt;신형만 (-)</t>
  </si>
  <si>
    <t>G241127020613</t>
  </si>
  <si>
    <t>2024-11-27 02:06</t>
  </si>
  <si>
    <t>노인 (-)&lt;br&gt;깡패 (-)&lt;br&gt;짱구 (-)&lt;br&gt;참치 (-)</t>
  </si>
  <si>
    <t>신형만 (-)&lt;br&gt;ACDC (-)&lt;br&gt;테리 (-)&lt;br&gt;조드 (-)</t>
  </si>
  <si>
    <t>G241127010219</t>
  </si>
  <si>
    <t>2024-11-27 01:02</t>
  </si>
  <si>
    <t>ACDC (-)&lt;br&gt;짱구 (-)&lt;br&gt;강화 (-)&lt;br&gt;한메 (-)</t>
  </si>
  <si>
    <t>재우 (-)&lt;br&gt;테리 (-)&lt;br&gt;조드 (-)&lt;br&gt;깡패 (-)</t>
  </si>
  <si>
    <t>G241127002956</t>
  </si>
  <si>
    <t>2024-11-27 00:29</t>
  </si>
  <si>
    <t>깡패 (-)&lt;br&gt;테리 (-)&lt;br&gt;강화 (-)&lt;br&gt;한메 (-)</t>
  </si>
  <si>
    <t>ACDC (-)&lt;br&gt;짱구 (-)&lt;br&gt;조드 (-)&lt;br&gt;재우 (-)</t>
  </si>
  <si>
    <t>G241126235940</t>
  </si>
  <si>
    <t>2024-11-26 23:59</t>
  </si>
  <si>
    <t>재우 (-)&lt;br&gt;테리 (-)&lt;br&gt;짱구 (-)&lt;br&gt;깡패 (-)</t>
  </si>
  <si>
    <t>한메 (-)&lt;br&gt;조드 (-)&lt;br&gt;강화 (-)&lt;br&gt;ACDC (-)</t>
  </si>
  <si>
    <t>G241126234106</t>
  </si>
  <si>
    <t>2024-11-26 23:41</t>
  </si>
  <si>
    <t>노인 (-)&lt;br&gt;재우 (-)&lt;br&gt;한메 (-)&lt;br&gt;ACDC (-)</t>
  </si>
  <si>
    <t>짱구 (-)&lt;br&gt;강화 (-)&lt;br&gt;깡패 (-)&lt;br&gt;조드 (-)</t>
  </si>
  <si>
    <t>G241126230530</t>
  </si>
  <si>
    <t>2024-11-26 23:05</t>
  </si>
  <si>
    <t>한메 (-)&lt;br&gt;짱구 (-)&lt;br&gt;조드 (-)&lt;br&gt;깡패 (-)</t>
  </si>
  <si>
    <t>민우 (-)&lt;br&gt;ACDC (-)&lt;br&gt;강화 (-)&lt;br&gt;노인 (-)</t>
  </si>
  <si>
    <t>G241126223027</t>
  </si>
  <si>
    <t>2024-11-26 22:30</t>
  </si>
  <si>
    <t>테리 (-)&lt;br&gt;조드 (-)&lt;br&gt;신형만 (-)&lt;br&gt;노인 (-)</t>
  </si>
  <si>
    <t>한메 (-)&lt;br&gt;강화 (-)&lt;br&gt;깡패 (-)&lt;br&gt;ACDC (-)</t>
  </si>
  <si>
    <t>G241126213540</t>
  </si>
  <si>
    <t>2024-11-26 21:35</t>
  </si>
  <si>
    <t>노인 (-)&lt;br&gt;신형만 (-)&lt;br&gt;한메 (-)&lt;br&gt;민우 (-)</t>
  </si>
  <si>
    <t>짱구 (-)&lt;br&gt;조드 (-)&lt;br&gt;테리 (-)&lt;br&gt;ACDC (-)</t>
  </si>
  <si>
    <t>G241126204151</t>
  </si>
  <si>
    <t>2024-11-26 20:41</t>
  </si>
  <si>
    <t>한메 (-)&lt;br&gt;테리 (-)&lt;br&gt;민우 (-)&lt;br&gt;조드 (-)</t>
  </si>
  <si>
    <t>ACDC (-)&lt;br&gt;신형만 (-)&lt;br&gt;짱구 (-)&lt;br&gt;노인 (-)</t>
  </si>
  <si>
    <t>G241126030636</t>
  </si>
  <si>
    <t>2024-11-26 03:06</t>
  </si>
  <si>
    <t>ACDC (-)&lt;br&gt;짱구 (-)&lt;br&gt;신형만 (-)&lt;br&gt;조드 (-)</t>
  </si>
  <si>
    <t>윈드 (-)&lt;br&gt;테리 (-)&lt;br&gt;깡패 (-)&lt;br&gt;키키 (-)</t>
  </si>
  <si>
    <t>G241126021400</t>
  </si>
  <si>
    <t>2024-11-26 02:13</t>
  </si>
  <si>
    <t>신형만 (-)&lt;br&gt;짱구 (-)&lt;br&gt;ACDC (-)&lt;br&gt;노인 (-)</t>
  </si>
  <si>
    <t>테리 (-)&lt;br&gt;깡패 (-)&lt;br&gt;키키 (-)&lt;br&gt;조드 (-)</t>
  </si>
  <si>
    <t>G241126012356</t>
  </si>
  <si>
    <t>2024-11-26 01:23</t>
  </si>
  <si>
    <t>깡패 (-)&lt;br&gt;테리 (-)&lt;br&gt;짱구 (-)&lt;br&gt;노인 (-)</t>
  </si>
  <si>
    <t>ACDC (-)&lt;br&gt;조드 (-)&lt;br&gt;키키 (-)&lt;br&gt;신형만 (-)</t>
  </si>
  <si>
    <t>G241126004523</t>
  </si>
  <si>
    <t>2024-11-26 00:45</t>
  </si>
  <si>
    <t>짱구 (-)&lt;br&gt;노인 (-)&lt;br&gt;깡패 (-)&lt;br&gt;신형만 (-)</t>
  </si>
  <si>
    <t>ACDC (-)&lt;br&gt;테리 (-)&lt;br&gt;키키 (-)&lt;br&gt;조드 (-)</t>
  </si>
  <si>
    <t>G241126000954</t>
  </si>
  <si>
    <t>2024-11-26 00:09</t>
  </si>
  <si>
    <t>ACDC (-)&lt;br&gt;노인 (-)&lt;br&gt;키키 (-)&lt;br&gt;깡패 (-)</t>
  </si>
  <si>
    <t>짱구 (-)&lt;br&gt;조드 (-)&lt;br&gt;테리 (-)&lt;br&gt;신형만 (-)</t>
  </si>
  <si>
    <t>G241125231936</t>
  </si>
  <si>
    <t>2024-11-25 23:19</t>
  </si>
  <si>
    <t>노인 (-)&lt;br&gt;조드 (-)&lt;br&gt;짱구 (-)&lt;br&gt;키키 (-)</t>
  </si>
  <si>
    <t>ACDC (-)&lt;br&gt;테리 (-)&lt;br&gt;깡패 (-)&lt;br&gt;신형만 (-)</t>
  </si>
  <si>
    <t>G241125224334</t>
  </si>
  <si>
    <t>2024-11-25 22:43</t>
  </si>
  <si>
    <t>킹 (-)&lt;br&gt;짱구 (-)&lt;br&gt;키키 (-)&lt;br&gt;한메 (-)</t>
  </si>
  <si>
    <t>노인 (-)&lt;br&gt;ACDC (-)&lt;br&gt;신형만 (-)&lt;br&gt;깡패 (-)</t>
  </si>
  <si>
    <t>G241125220640</t>
  </si>
  <si>
    <t>2024-11-25 22:06</t>
  </si>
  <si>
    <t>ACDC (-)&lt;br&gt;테리 (-)&lt;br&gt;한메 (-)&lt;br&gt;노인 (-)</t>
  </si>
  <si>
    <t>미등록 (-)&lt;br&gt;신형만 (-)&lt;br&gt;깡패 (-)&lt;br&gt;키키 (-)</t>
  </si>
  <si>
    <t>G241125212039</t>
  </si>
  <si>
    <t>2024-11-25 21:20</t>
  </si>
  <si>
    <t>노인 (-)&lt;br&gt;ACDC (-)&lt;br&gt;키키 (-)&lt;br&gt;신형만 (-)</t>
  </si>
  <si>
    <t>미등록 (-)&lt;br&gt;테리 (-)&lt;br&gt;한메 (-)&lt;br&gt;깡패 (-)</t>
  </si>
  <si>
    <t>G241125204057</t>
  </si>
  <si>
    <t>2024-11-25 20:40</t>
  </si>
  <si>
    <t>키키 (-)&lt;br&gt;테리 (-)&lt;br&gt;신형만 (-)&lt;br&gt;깡패 (-)</t>
  </si>
  <si>
    <t>미등록 (-)&lt;br&gt;ACDC (-)&lt;br&gt;한메 (-)&lt;br&gt;노인 (-)</t>
  </si>
  <si>
    <t>G241125024930</t>
  </si>
  <si>
    <t>2024-11-25 02:49</t>
  </si>
  <si>
    <t>강화 (-)&lt;br&gt;원 (-)&lt;br&gt;조드 (-)&lt;br&gt;재우 (-)</t>
  </si>
  <si>
    <t>노인 (-)&lt;br&gt;신형만 (-)&lt;br&gt;깡패 (-)&lt;br&gt;키키 (-)</t>
  </si>
  <si>
    <t>G241125021129</t>
  </si>
  <si>
    <t>2024-11-25 02:11</t>
  </si>
  <si>
    <t>강화 (-)&lt;br&gt;깡패 (-)&lt;br&gt;짱구 (-)&lt;br&gt;노인 (-)</t>
  </si>
  <si>
    <t>신형만 (-)&lt;br&gt;조드 (-)&lt;br&gt;재우 (-)&lt;br&gt;키키 (-)</t>
  </si>
  <si>
    <t>G241125012312</t>
  </si>
  <si>
    <t>2024-11-25 01:23</t>
  </si>
  <si>
    <t>짱구 (-)&lt;br&gt;노인 (-)&lt;br&gt;조드 (-)&lt;br&gt;키키 (-)</t>
  </si>
  <si>
    <t>강화 (-)&lt;br&gt;신형만 (-)&lt;br&gt;깡패 (-)&lt;br&gt;ACDC (-)</t>
  </si>
  <si>
    <t>G241125004925</t>
  </si>
  <si>
    <t>2024-11-25 00:49</t>
  </si>
  <si>
    <t>키키 (-)&lt;br&gt;재우 (-)&lt;br&gt;ACDC (-)&lt;br&gt;한메 (-)</t>
  </si>
  <si>
    <t>짱구 (-)&lt;br&gt;깡패 (-)&lt;br&gt;조드 (-)&lt;br&gt;신형만 (-)</t>
  </si>
  <si>
    <t>G241125002207</t>
  </si>
  <si>
    <t>2024-11-25 00:22</t>
  </si>
  <si>
    <t>한메 (-)&lt;br&gt;신형만 (-)&lt;br&gt;짱구 (-)&lt;br&gt;키키 (-)</t>
  </si>
  <si>
    <t>ACDC (-)&lt;br&gt;깡패 (-)&lt;br&gt;조드 (-)&lt;br&gt;재우 (-)</t>
  </si>
  <si>
    <t>G241125000204</t>
  </si>
  <si>
    <t>2024-11-25 00:02</t>
  </si>
  <si>
    <t>짱구 (-)&lt;br&gt;깡패 (-)&lt;br&gt;ACDC (-)&lt;br&gt;한메 (-)</t>
  </si>
  <si>
    <t>키키 (-)&lt;br&gt;조드 (-)&lt;br&gt;재우 (-)&lt;br&gt;신형만 (-)</t>
  </si>
  <si>
    <t>G241124231720</t>
  </si>
  <si>
    <t>2024-11-24 23:17</t>
  </si>
  <si>
    <t>신형만 (-)&lt;br&gt;짱구 (-)&lt;br&gt;조드 (-)&lt;br&gt;ACDC (-)</t>
  </si>
  <si>
    <t>강화 (-)&lt;br&gt;깡패 (-)&lt;br&gt;재우 (-)&lt;br&gt;키키 (-)</t>
  </si>
  <si>
    <t>G241124224744</t>
  </si>
  <si>
    <t>2024-11-24 22:47</t>
  </si>
  <si>
    <t>깡패 (-)&lt;br&gt;짱구 (-)&lt;br&gt;키키 (-)&lt;br&gt;조드 (-)</t>
  </si>
  <si>
    <t>ACDC (-)&lt;br&gt;신형만 (-)&lt;br&gt;강화 (-)&lt;br&gt;재우 (-)</t>
  </si>
  <si>
    <t>G241124222834</t>
  </si>
  <si>
    <t>2024-11-24 22:28</t>
  </si>
  <si>
    <t>키키 (-)&lt;br&gt;신형만 (-)&lt;br&gt;재우 (-)&lt;br&gt;깡패 (-)</t>
  </si>
  <si>
    <t>ACDC (-)&lt;br&gt;짱구 (-)&lt;br&gt;강화 (-)&lt;br&gt;조드 (-)</t>
  </si>
  <si>
    <t>G241124215019</t>
  </si>
  <si>
    <t>2024-11-24 21:50</t>
  </si>
  <si>
    <t>깡패 (-)&lt;br&gt;조드 (-)&lt;br&gt;테리 (-)&lt;br&gt;봉구 (-)</t>
  </si>
  <si>
    <t>신형만 (-)&lt;br&gt;ACDC (-)&lt;br&gt;짱구 (-)&lt;br&gt;강화 (-)</t>
  </si>
  <si>
    <t>G241124210217</t>
  </si>
  <si>
    <t>2024-11-24 21:02</t>
  </si>
  <si>
    <t>깡패 (-)&lt;br&gt;테리 (-)&lt;br&gt;짱구 (-)&lt;br&gt;ACDC (-)</t>
  </si>
  <si>
    <t>신형만 (-)&lt;br&gt;강화 (-)&lt;br&gt;조드 (-)&lt;br&gt;봉구 (-)</t>
  </si>
  <si>
    <t>G241124203910</t>
  </si>
  <si>
    <t>2024-11-24 20:39</t>
  </si>
  <si>
    <t>신형만 (-)&lt;br&gt;강화 (-)&lt;br&gt;짱구 (-)&lt;br&gt;ACDC (-)</t>
  </si>
  <si>
    <t>테리 (-)&lt;br&gt;봉구 (-)&lt;br&gt;깡패 (-)&lt;br&gt;조드 (-)</t>
  </si>
  <si>
    <t>G241118000610</t>
  </si>
  <si>
    <t>2024-11-18 00:06</t>
  </si>
  <si>
    <t>테리 (23)&lt;br&gt;깡패 (24)&lt;br&gt;한메 (30)&lt;br&gt;신형만 (26)</t>
  </si>
  <si>
    <t>짱구 (-11)&lt;br&gt;노인 (-20)&lt;br&gt;키키 (-17)&lt;br&gt;조드 (-15)</t>
  </si>
  <si>
    <t>시즌6</t>
  </si>
  <si>
    <t>G241117231341</t>
  </si>
  <si>
    <t>2024-11-17 23:13</t>
  </si>
  <si>
    <t>키키 (25)&lt;br&gt;테리 (24)&lt;br&gt;노인 (19)&lt;br&gt;깡패 (26)</t>
  </si>
  <si>
    <t>짱구 (-16)&lt;br&gt;신형만 (-24)&lt;br&gt;조드 (-23)&lt;br&gt;한메 (-20)</t>
  </si>
  <si>
    <t>G241117224446</t>
  </si>
  <si>
    <t>2024-11-17 22:44</t>
  </si>
  <si>
    <t>노인 (22)&lt;br&gt;신형만 (26)&lt;br&gt;키키 (29)&lt;br&gt;조드 (26)</t>
  </si>
  <si>
    <t>한메 (-23)&lt;br&gt;짱구 (-19)&lt;br&gt;테리 (-26)&lt;br&gt;깡패 (-24)</t>
  </si>
  <si>
    <t>G241117221011</t>
  </si>
  <si>
    <t>2024-11-17 22:10</t>
  </si>
  <si>
    <t>깡패 (29)&lt;br&gt;신형만 (31)&lt;br&gt;한메 (31)&lt;br&gt;키키 (34)</t>
  </si>
  <si>
    <t>테리 (-21)&lt;br&gt;조드 (-19)&lt;br&gt;짱구 (-16)&lt;br&gt;노인 (-21)</t>
  </si>
  <si>
    <t>G241117212127</t>
  </si>
  <si>
    <t>2024-11-17 21:21</t>
  </si>
  <si>
    <t>민우 (-)&lt;br&gt;짱구 (30)&lt;br&gt;조드 (26)&lt;br&gt;노인 (21)</t>
  </si>
  <si>
    <t>테리 (-36)&lt;br&gt;키키 (-26)&lt;br&gt;신형만 (-30)&lt;br&gt;요즘 (-24)</t>
  </si>
  <si>
    <t>G241117204936</t>
  </si>
  <si>
    <t>2024-11-17 20:49</t>
  </si>
  <si>
    <t>키키 (32)&lt;br&gt;테리 (18)&lt;br&gt;민우 (-)&lt;br&gt;조드 (29)</t>
  </si>
  <si>
    <t>노인 (-21)&lt;br&gt;요즘 (-15)&lt;br&gt;짱구 (-17)&lt;br&gt;신형만 (-19)</t>
  </si>
  <si>
    <t>G241117172243</t>
  </si>
  <si>
    <t>2024-11-17 17:22</t>
  </si>
  <si>
    <t>노인 (14)&lt;br&gt;짱구 (23)&lt;br&gt;테리 (13)&lt;br&gt;한메 (22)</t>
  </si>
  <si>
    <t>랄 (-7)&lt;br&gt;요즘 (-13)&lt;br&gt;시아 (-7)&lt;br&gt;신형만 (-18)</t>
  </si>
  <si>
    <t>G241117171940</t>
  </si>
  <si>
    <t>2024-11-17 17:19</t>
  </si>
  <si>
    <t>노인 (17)&lt;br&gt;테리 (16)&lt;br&gt;시아 (37)&lt;br&gt;신형만 (18)</t>
  </si>
  <si>
    <t>요즘 (-20)&lt;br&gt;랄 (-11)&lt;br&gt;한메 (-20)&lt;br&gt;짱구 (-19)</t>
  </si>
  <si>
    <t>G241117155351</t>
  </si>
  <si>
    <t>2024-11-17 15:53</t>
  </si>
  <si>
    <t>신형만 (13)&lt;br&gt;짱구 (20)&lt;br&gt;테리 (12)&lt;br&gt;한메 (17)</t>
  </si>
  <si>
    <t>요즘 (-17)&lt;br&gt;재명 (-11)&lt;br&gt;시아 (-5)&lt;br&gt;랄 (-7)</t>
  </si>
  <si>
    <t>G241117154654</t>
  </si>
  <si>
    <t>2024-11-17 15:46</t>
  </si>
  <si>
    <t>한메 (21)&lt;br&gt;신형만 (16)&lt;br&gt;노인 (14)&lt;br&gt;요즘 (17)</t>
  </si>
  <si>
    <t>시아 (-5)&lt;br&gt;재명 (-11)&lt;br&gt;테리 (-19)&lt;br&gt;랄 (-7)</t>
  </si>
  <si>
    <t>G241117153408</t>
  </si>
  <si>
    <t>2024-11-17 15:34</t>
  </si>
  <si>
    <t>테리 (14)&lt;br&gt;노인 (17)&lt;br&gt;한메 (25)&lt;br&gt;재명 (28)</t>
  </si>
  <si>
    <t>시아 (-7)&lt;br&gt;신형만 (-19)&lt;br&gt;요즘 (-18)&lt;br&gt;랄 (-9)</t>
  </si>
  <si>
    <t>G241116210621</t>
  </si>
  <si>
    <t>2024-11-16 21:06</t>
  </si>
  <si>
    <t>요즘 (20)&lt;br&gt;재우 (22)&lt;br&gt;신형만 (19)&lt;br&gt;강화 (24)</t>
  </si>
  <si>
    <t>한메 (-18)&lt;br&gt;재명 (-15)&lt;br&gt;노인 (-25)&lt;br&gt;ACDC (-11)</t>
  </si>
  <si>
    <t>G241116203542</t>
  </si>
  <si>
    <t>2024-11-16 20:35</t>
  </si>
  <si>
    <t>한메 (28)&lt;br&gt;재우 (25)&lt;br&gt;노인 (18)&lt;br&gt;요즘 (23)</t>
  </si>
  <si>
    <t>강화 (-18)&lt;br&gt;ACDC (-11)&lt;br&gt;재명 (-15)&lt;br&gt;신형만 (-23)</t>
  </si>
  <si>
    <t>G241116040628</t>
  </si>
  <si>
    <t>2024-11-16 04:06</t>
  </si>
  <si>
    <t>키키 (22)&lt;br&gt;윈드 (20)&lt;br&gt;미등록 (-)&lt;br&gt;신형만 (14)</t>
  </si>
  <si>
    <t>깡패 (-17)&lt;br&gt;ACDC (-9)&lt;br&gt;원 (-3)&lt;br&gt;한메 (-12)</t>
  </si>
  <si>
    <t>G241116032938</t>
  </si>
  <si>
    <t>2024-11-16 03:29</t>
  </si>
  <si>
    <t>깡패 (13)&lt;br&gt;조드 (17)&lt;br&gt;신형만 (14)&lt;br&gt;한메 (22)</t>
  </si>
  <si>
    <t>윈드 (-13)&lt;br&gt;ACDC (-9)&lt;br&gt;키키 (-12)&lt;br&gt;원 (-3)</t>
  </si>
  <si>
    <t>G241116023257</t>
  </si>
  <si>
    <t>2024-11-16 02:32</t>
  </si>
  <si>
    <t>신형만 (21)&lt;br&gt;원 (60)&lt;br&gt;윈드 (26)&lt;br&gt;깡패 (21)</t>
  </si>
  <si>
    <t>ACDC (-15)&lt;br&gt;키키 (-19)&lt;br&gt;한메 (-17)&lt;br&gt;조드 (-21)</t>
  </si>
  <si>
    <t>G241116022507</t>
  </si>
  <si>
    <t>2024-11-16 02:25</t>
  </si>
  <si>
    <t>신형만 (25)&lt;br&gt;강화 (27)&lt;br&gt;키키 (28)&lt;br&gt;조드 (25)</t>
  </si>
  <si>
    <t>윈드 (-21)&lt;br&gt;깡패 (-26)&lt;br&gt;ACDC (-17)&lt;br&gt;한메 (-20)</t>
  </si>
  <si>
    <t>G241116020031</t>
  </si>
  <si>
    <t>2024-11-16 02:00</t>
  </si>
  <si>
    <t>깡패 (21)&lt;br&gt;조드 (27)&lt;br&gt;강화 (29)&lt;br&gt;윈드 (28)</t>
  </si>
  <si>
    <t>한메 (-14)&lt;br&gt;신형만 (-15)&lt;br&gt;키키 (-13)&lt;br&gt;ACDC (-12)</t>
  </si>
  <si>
    <t>G241116012109</t>
  </si>
  <si>
    <t>2024-11-16 01:21</t>
  </si>
  <si>
    <t>ACDC (33)&lt;br&gt;깡패 (25)&lt;br&gt;강화 (34)&lt;br&gt;조드 (32)</t>
  </si>
  <si>
    <t>한메 (-20)&lt;br&gt;신형만 (-21)&lt;br&gt;키키 (-19)&lt;br&gt;윈드 (-18)</t>
  </si>
  <si>
    <t>G241116005017</t>
  </si>
  <si>
    <t>2024-11-16 00:50</t>
  </si>
  <si>
    <t>윈드 (29)&lt;br&gt;ACDC (35)&lt;br&gt;키키 (28)&lt;br&gt;깡패 (27)</t>
  </si>
  <si>
    <t>신형만 (-19)&lt;br&gt;강화 (-13)&lt;br&gt;한메 (-18)&lt;br&gt;조드 (-14)</t>
  </si>
  <si>
    <t>G241115234845</t>
  </si>
  <si>
    <t>2024-11-15 23:48</t>
  </si>
  <si>
    <t>강화 (37)&lt;br&gt;윈드 (35)&lt;br&gt;키키 (34)&lt;br&gt;조드 (35)</t>
  </si>
  <si>
    <t>한메 (-27)&lt;br&gt;ACDC (-17)&lt;br&gt;테리 (-30)&lt;br&gt;깡패 (-24)</t>
  </si>
  <si>
    <t>G241115231012</t>
  </si>
  <si>
    <t>2024-11-15 23:10</t>
  </si>
  <si>
    <t>깡패 (24)&lt;br&gt;윈드 (33)&lt;br&gt;테리 (13)&lt;br&gt;키키 (31)</t>
  </si>
  <si>
    <t>한메 (-29)&lt;br&gt;강화 (-16)&lt;br&gt;조드 (-18)&lt;br&gt;ACDC (-17)</t>
  </si>
  <si>
    <t>G241115224101</t>
  </si>
  <si>
    <t>2024-11-15 22:41</t>
  </si>
  <si>
    <t>깡패 (22)&lt;br&gt;강화 (30)&lt;br&gt;테리 (12)&lt;br&gt;한메 (12)</t>
  </si>
  <si>
    <t>윈드 (-14)&lt;br&gt;조드 (-18)&lt;br&gt;키키 (-16)&lt;br&gt;ACDC (-17)</t>
  </si>
  <si>
    <t>G241115012825</t>
  </si>
  <si>
    <t>2024-11-15 01:28</t>
  </si>
  <si>
    <t>키키 (39)&lt;br&gt;노인 (25)&lt;br&gt;미등록 (-)&lt;br&gt;요즘 (30)</t>
  </si>
  <si>
    <t>신형만 (-22)&lt;br&gt;깡패 (-16)&lt;br&gt;테리 (-24)&lt;br&gt;ACDC (-15)</t>
  </si>
  <si>
    <t>G241115004638</t>
  </si>
  <si>
    <t>2024-11-15 00:46</t>
  </si>
  <si>
    <t>신형만 (16)&lt;br&gt;테리 (13)&lt;br&gt;노인 (20)&lt;br&gt;미등록 (-)</t>
  </si>
  <si>
    <t>깡패 (-10)&lt;br&gt;ACDC (-9)&lt;br&gt;키키 (-6)&lt;br&gt;요즘 (-10)</t>
  </si>
  <si>
    <t>G241115002302</t>
  </si>
  <si>
    <t>2024-11-15 00:23</t>
  </si>
  <si>
    <t>ACDC (26)&lt;br&gt;키키 (31)&lt;br&gt;테리 (12)&lt;br&gt;신형만 (16)</t>
  </si>
  <si>
    <t>요즘 (-15)&lt;br&gt;봉구 (-6)&lt;br&gt;노인 (-17)&lt;br&gt;깡패 (-15)</t>
  </si>
  <si>
    <t>G241114233542</t>
  </si>
  <si>
    <t>2024-11-14 23:35</t>
  </si>
  <si>
    <t>요즘 (25)&lt;br&gt;테리 (14)&lt;br&gt;노인 (22)&lt;br&gt;키키 (35)</t>
  </si>
  <si>
    <t>깡패 (-18)&lt;br&gt;봉구 (-7)&lt;br&gt;신형만 (-22)&lt;br&gt;ACDC (-15)</t>
  </si>
  <si>
    <t>G241114232314</t>
  </si>
  <si>
    <t>2024-11-14 23:23</t>
  </si>
  <si>
    <t>깡패 (25)&lt;br&gt;테리 (17)&lt;br&gt;ACDC (31)&lt;br&gt;키키 (40)</t>
  </si>
  <si>
    <t>요즘 (-18)&lt;br&gt;신형만 (-24)&lt;br&gt;봉구 (-8)&lt;br&gt;노인 (-20)</t>
  </si>
  <si>
    <t>G241114232029</t>
  </si>
  <si>
    <t>2024-11-14 23:20</t>
  </si>
  <si>
    <t>키키 (40)&lt;br&gt;테리 (16)&lt;br&gt;한메 (15)&lt;br&gt;신형만 (13)</t>
  </si>
  <si>
    <t>ACDC (-12)&lt;br&gt;요즘 (-16)&lt;br&gt;봉구 (-7)&lt;br&gt;노인 (-18)</t>
  </si>
  <si>
    <t>G241114231314</t>
  </si>
  <si>
    <t>2024-11-14 23:13</t>
  </si>
  <si>
    <t>신형만 (11)&lt;br&gt;노인 (15)&lt;br&gt;한메 (12)&lt;br&gt;ACDC (24)</t>
  </si>
  <si>
    <t>키키 (-6)&lt;br&gt;봉구 (-8)&lt;br&gt;요즘 (-20)&lt;br&gt;재명 (-17)</t>
  </si>
  <si>
    <t>G241114224337</t>
  </si>
  <si>
    <t>2024-11-14 22:43</t>
  </si>
  <si>
    <t>한메 (24)&lt;br&gt;신형만 (21)&lt;br&gt;요즘 (28)&lt;br&gt;조드 (34)</t>
  </si>
  <si>
    <t>테리 (-30)&lt;br&gt;노인 (-27)&lt;br&gt;ACDC (-17)&lt;br&gt;재명 (-22)</t>
  </si>
  <si>
    <t>G241114221643</t>
  </si>
  <si>
    <t>2024-11-14 22:16</t>
  </si>
  <si>
    <t>한메 (21)&lt;br&gt;노인 (19)&lt;br&gt;재명 (24)&lt;br&gt;조드 (32)</t>
  </si>
  <si>
    <t>깡패 (-14)&lt;br&gt;ACDC (-12)&lt;br&gt;요즘 (-15)&lt;br&gt;강화 (-9)</t>
  </si>
  <si>
    <t>G241114210828</t>
  </si>
  <si>
    <t>2024-11-14 21:08</t>
  </si>
  <si>
    <t>노인 (23)&lt;br&gt;요즘 (25)&lt;br&gt;강화 (37)&lt;br&gt;재명 (28)</t>
  </si>
  <si>
    <t>ACDC (-19)&lt;br&gt;깡패 (-23)&lt;br&gt;조드 (-15)&lt;br&gt;한메 (-24)</t>
  </si>
  <si>
    <t>G241113234252</t>
  </si>
  <si>
    <t>2024-11-13 23:42</t>
  </si>
  <si>
    <t>깡패 (25)&lt;br&gt;강화 (40)&lt;br&gt;한메 (23)&lt;br&gt;튜브 (37)</t>
  </si>
  <si>
    <t>랄 (-13)&lt;br&gt;신형만 (-21)&lt;br&gt;짱구 (-18)&lt;br&gt;재명 (-16)</t>
  </si>
  <si>
    <t>G241113204532</t>
  </si>
  <si>
    <t>2024-11-13 20:45</t>
  </si>
  <si>
    <t>한메 (27)&lt;br&gt;테리 (19)&lt;br&gt;시아 (42)&lt;br&gt;봉구 (42)</t>
  </si>
  <si>
    <t>깡패 (-19)&lt;br&gt;요즘 (-18)&lt;br&gt;ACDC (-17)&lt;br&gt;재우 (-18)</t>
  </si>
  <si>
    <t>G241113015332</t>
  </si>
  <si>
    <t>2024-11-13 01:53</t>
  </si>
  <si>
    <t>짱구 (26)&lt;br&gt;신형만 (17)&lt;br&gt;조드 (35)&lt;br&gt;ACDC (28)</t>
  </si>
  <si>
    <t>한메 (-21)&lt;br&gt;노인 (-22)&lt;br&gt;강화 (-9)&lt;br&gt;깡패 (-23)</t>
  </si>
  <si>
    <t>G241113010745</t>
  </si>
  <si>
    <t>2024-11-13 01:07</t>
  </si>
  <si>
    <t>노인 (19)&lt;br&gt;테리 (15)&lt;br&gt;신형만 (16)&lt;br&gt;ACDC (27)</t>
  </si>
  <si>
    <t>깡패 (-27)&lt;br&gt;강화 (-9)&lt;br&gt;조드 (-12)&lt;br&gt;짱구 (-21)</t>
  </si>
  <si>
    <t>G241113004003</t>
  </si>
  <si>
    <t>2024-11-13 00:39</t>
  </si>
  <si>
    <t>깡패 (15)&lt;br&gt;신형만 (17)&lt;br&gt;노인 (20)&lt;br&gt;짱구 (22)</t>
  </si>
  <si>
    <t>ACDC (-11)&lt;br&gt;조드 (-9)&lt;br&gt;테리 (-19)&lt;br&gt;강화 (-7)</t>
  </si>
  <si>
    <t>G241112235032</t>
  </si>
  <si>
    <t>2024-11-12 23:50</t>
  </si>
  <si>
    <t>깡패 (14)&lt;br&gt;짱구 (21)&lt;br&gt;테리 (12)&lt;br&gt;조드 (29)</t>
  </si>
  <si>
    <t>강화 (-11)&lt;br&gt;봉구 (-8)&lt;br&gt;ACDC (-19)&lt;br&gt;노인 (-23)</t>
  </si>
  <si>
    <t>G241112231848</t>
  </si>
  <si>
    <t>2024-11-12 23:18</t>
  </si>
  <si>
    <t>깡패 (19)&lt;br&gt;ACDC (28)&lt;br&gt;신형만 (20)&lt;br&gt;봉구 (41)</t>
  </si>
  <si>
    <t>한메 (-22)&lt;br&gt;노인 (-22)&lt;br&gt;강화 (-12)&lt;br&gt;조드 (-13)</t>
  </si>
  <si>
    <t>G241112222655</t>
  </si>
  <si>
    <t>2024-11-12 22:26</t>
  </si>
  <si>
    <t>노인 (21)&lt;br&gt;테리 (19)&lt;br&gt;조드 (37)&lt;br&gt;한메 (22)</t>
  </si>
  <si>
    <t>신형만 (-22)&lt;br&gt;요즘 (-21)&lt;br&gt;ACDC (-16)&lt;br&gt;강화 (-11)</t>
  </si>
  <si>
    <t>G241112215551</t>
  </si>
  <si>
    <t>2024-11-12 21:55</t>
  </si>
  <si>
    <t>한메 (24)&lt;br&gt;ACDC (30)&lt;br&gt;테리 (20)&lt;br&gt;요즘 (22)</t>
  </si>
  <si>
    <t>노인 (-28)&lt;br&gt;강화 (-15)&lt;br&gt;조드 (-12)&lt;br&gt;신형만 (-30)</t>
  </si>
  <si>
    <t>G241112212416</t>
  </si>
  <si>
    <t>2024-11-12 21:24</t>
  </si>
  <si>
    <t>테리 (22)&lt;br&gt;신형만 (18)&lt;br&gt;요즘 (25)&lt;br&gt;강화 (36)</t>
  </si>
  <si>
    <t>ACDC (-17)&lt;br&gt;노인 (-28)&lt;br&gt;조드 (-12)&lt;br&gt;한메 (-23)</t>
  </si>
  <si>
    <t>G241112210340</t>
  </si>
  <si>
    <t>2024-11-12 21:03</t>
  </si>
  <si>
    <t>요즘 (23)&lt;br&gt;신형만 (16)&lt;br&gt;한메 (20)&lt;br&gt;노인 (14)</t>
  </si>
  <si>
    <t>강화 (-10)&lt;br&gt;조드 (-11)&lt;br&gt;테리 (-21)&lt;br&gt;ACDC (-16)</t>
  </si>
  <si>
    <t>G241112203106</t>
  </si>
  <si>
    <t>2024-11-12 20:31</t>
  </si>
  <si>
    <t>한메 (27)&lt;br&gt;테리 (23)&lt;br&gt;강화 (38)&lt;br&gt;노인 (19)</t>
  </si>
  <si>
    <t>ACDC (-21)&lt;br&gt;요즘 (-22)&lt;br&gt;조드 (-15)&lt;br&gt;신형만 (-28)</t>
  </si>
  <si>
    <t>G241112013800</t>
  </si>
  <si>
    <t>2024-11-12 01:37</t>
  </si>
  <si>
    <t>노인 (17)&lt;br&gt;ACDC (25)&lt;br&gt;조드 (33)&lt;br&gt;신형만 (16)</t>
  </si>
  <si>
    <t>깡패 (-20)&lt;br&gt;랄 (-13)&lt;br&gt;오크 (-7)&lt;br&gt;한메 (-16)</t>
  </si>
  <si>
    <t>G241112004201</t>
  </si>
  <si>
    <t>2024-11-12 00:42</t>
  </si>
  <si>
    <t>깡패 (22)&lt;br&gt;조드 (39)&lt;br&gt;신형만 (21)&lt;br&gt;ACDC (31)</t>
  </si>
  <si>
    <t>오크 (-10)&lt;br&gt;노인 (-25)&lt;br&gt;테리 (-23)&lt;br&gt;한메 (-22)</t>
  </si>
  <si>
    <t>G241111235905</t>
  </si>
  <si>
    <t>2024-11-11 23:59</t>
  </si>
  <si>
    <t>오크 (40)&lt;br&gt;깡패 (22)&lt;br&gt;한메 (24)&lt;br&gt;노인 (19)</t>
  </si>
  <si>
    <t>테리 (-18)&lt;br&gt;조드 (-8)&lt;br&gt;ACDC (-12)&lt;br&gt;신형만 (-18)</t>
  </si>
  <si>
    <t>G241111225733</t>
  </si>
  <si>
    <t>2024-11-11 22:57</t>
  </si>
  <si>
    <t>깡패 (18)&lt;br&gt;신형만 (14)&lt;br&gt;재명 (21)&lt;br&gt;한메 (20)</t>
  </si>
  <si>
    <t>오크 (-)&lt;br&gt;조드 (-8)&lt;br&gt;ACDC (-14)&lt;br&gt;재우 (-19)</t>
  </si>
  <si>
    <t>G241111222258</t>
  </si>
  <si>
    <t>2024-11-11 22:22</t>
  </si>
  <si>
    <t>한메 (24)&lt;br&gt;노인 (17)&lt;br&gt;ACDC (26)&lt;br&gt;재우 (17)</t>
  </si>
  <si>
    <t>오크 (-)&lt;br&gt;테리 (-18)&lt;br&gt;재명 (-13)&lt;br&gt;조드 (-7)</t>
  </si>
  <si>
    <t>G241111213549</t>
  </si>
  <si>
    <t>2024-11-11 21:35</t>
  </si>
  <si>
    <t>재우 (28)&lt;br&gt;신형만 (26)&lt;br&gt;한메 (36)&lt;br&gt;노인 (28)</t>
  </si>
  <si>
    <t>깡패 (-15)&lt;br&gt;테리 (-19)&lt;br&gt;요즘 (-15)&lt;br&gt;재명 (-14)</t>
  </si>
  <si>
    <t>G241111204312</t>
  </si>
  <si>
    <t>2024-11-11 20:43</t>
  </si>
  <si>
    <t>테리 (18)&lt;br&gt;신형만 (26)&lt;br&gt;재우 (28)&lt;br&gt;재명 (29)</t>
  </si>
  <si>
    <t>노인 (-22)&lt;br&gt;깡패 (-22)&lt;br&gt;요즘 (-22)&lt;br&gt;한메 (-15)</t>
  </si>
  <si>
    <t>G241111021106</t>
  </si>
  <si>
    <t>2024-11-11 02:11</t>
  </si>
  <si>
    <t>튜브 (34)&lt;br&gt;노인 (19)&lt;br&gt;신형만 (22)&lt;br&gt;민우 (-)</t>
  </si>
  <si>
    <t>짱구 (-32)&lt;br&gt;강화 (-21)&lt;br&gt;키키 (-17)&lt;br&gt;깡패 (-36)</t>
  </si>
  <si>
    <t>G241111013041</t>
  </si>
  <si>
    <t>2024-11-11 01:30</t>
  </si>
  <si>
    <t>키키 (43)&lt;br&gt;노인 (27)&lt;br&gt;강화 (40)&lt;br&gt;요즘 (24)</t>
  </si>
  <si>
    <t>신형만 (-25)&lt;br&gt;깡패 (-30)&lt;br&gt;짱구 (-26)&lt;br&gt;튜브 (-15)</t>
  </si>
  <si>
    <t>G241111010033</t>
  </si>
  <si>
    <t>2024-11-11 01:00</t>
  </si>
  <si>
    <t>신형만 (16)&lt;br&gt;깡패 (9)&lt;br&gt;노인 (17)&lt;br&gt;짱구 (13)</t>
  </si>
  <si>
    <t>튜브 (-7)&lt;br&gt;강화 (-5)&lt;br&gt;키키 (-4)&lt;br&gt;요즘 (-14)</t>
  </si>
  <si>
    <t>G241111005343</t>
  </si>
  <si>
    <t>2024-11-11 00:53</t>
  </si>
  <si>
    <t>튜브 (38)&lt;br&gt;요즘 (22)&lt;br&gt;키키 (60)&lt;br&gt;깡패 (16)</t>
  </si>
  <si>
    <t>신형만 (-18)&lt;br&gt;강화 (-10)&lt;br&gt;노인 (-17)&lt;br&gt;짱구 (-19)</t>
  </si>
  <si>
    <t>G241111000535</t>
  </si>
  <si>
    <t>2024-11-11 00:05</t>
  </si>
  <si>
    <t>요즘 (18)&lt;br&gt;짱구 (14)&lt;br&gt;조드 (32)&lt;br&gt;튜브 (35)</t>
  </si>
  <si>
    <t>신형만 (-19)&lt;br&gt;강화 (-11)&lt;br&gt;한메 (-15)&lt;br&gt;키키 (-)</t>
  </si>
  <si>
    <t>G241110232155</t>
  </si>
  <si>
    <t>2024-11-10 23:21</t>
  </si>
  <si>
    <t>키키 (-)&lt;br&gt;요즘 (21)&lt;br&gt;짱구 (17)&lt;br&gt;강화 (34)</t>
  </si>
  <si>
    <t>한메 (-20)&lt;br&gt;신형만 (-24)&lt;br&gt;튜브 (-11)&lt;br&gt;조드 (-13)</t>
  </si>
  <si>
    <t>G241110224012</t>
  </si>
  <si>
    <t>2024-11-10 22:40</t>
  </si>
  <si>
    <t>깡패 (11)&lt;br&gt;조드 (33)&lt;br&gt;테리 (11)&lt;br&gt;한메 (21)</t>
  </si>
  <si>
    <t>키키 (-)&lt;br&gt;강화 (-12)&lt;br&gt;짱구 (-28)&lt;br&gt;ACDC (-21)</t>
  </si>
  <si>
    <t>G241110221708</t>
  </si>
  <si>
    <t>2024-11-10 22:17</t>
  </si>
  <si>
    <t>테리 (13)&lt;br&gt;깡패 (14)&lt;br&gt;한메 (26)&lt;br&gt;ACDC (24)</t>
  </si>
  <si>
    <t>키키 (-)&lt;br&gt;노인 (-21)&lt;br&gt;신형만 (-27)&lt;br&gt;강화 (-10)</t>
  </si>
  <si>
    <t>G241110213141</t>
  </si>
  <si>
    <t>2024-11-10 21:31</t>
  </si>
  <si>
    <t>테리 (16)&lt;br&gt;깡패 (17)&lt;br&gt;키키 (-)&lt;br&gt;신형만 (15)</t>
  </si>
  <si>
    <t>ACDC (-16)&lt;br&gt;강화 (-10)&lt;br&gt;노인 (-22)&lt;br&gt;한메 (-16)</t>
  </si>
  <si>
    <t>G241110210349</t>
  </si>
  <si>
    <t>2024-11-10 21:03</t>
  </si>
  <si>
    <t>신형만 (13)&lt;br&gt;테리 (14)&lt;br&gt;요즘 (22)&lt;br&gt;깡패 (15)</t>
  </si>
  <si>
    <t>노인 (-26)&lt;br&gt;한메 (-18)&lt;br&gt;민우 (-)&lt;br&gt;강화 (-11)</t>
  </si>
  <si>
    <t>G241110203850</t>
  </si>
  <si>
    <t>2024-11-10 20:38</t>
  </si>
  <si>
    <t>민우 (-)&lt;br&gt;요즘 (37)&lt;br&gt;한메 (36)&lt;br&gt;깡패 (29)</t>
  </si>
  <si>
    <t>노인 (-37)&lt;br&gt;테리 (-36)&lt;br&gt;신형만 (-37)&lt;br&gt;강화 (-23)</t>
  </si>
  <si>
    <t>G241110030004</t>
  </si>
  <si>
    <t>2024-11-10 03:00</t>
  </si>
  <si>
    <t>노인 (16)&lt;br&gt;신형만 (16)&lt;br&gt;요즘 (34)&lt;br&gt;키키 (-)</t>
  </si>
  <si>
    <t>재명 (-24)&lt;br&gt;짱구 (-29)&lt;br&gt;ACDC (-23)&lt;br&gt;조드 (-12)</t>
  </si>
  <si>
    <t>G241110024403</t>
  </si>
  <si>
    <t>2024-11-10 02:44</t>
  </si>
  <si>
    <t>ACDC (29)&lt;br&gt;노인 (18)&lt;br&gt;키키 (-)&lt;br&gt;재명 (26)</t>
  </si>
  <si>
    <t>신형만 (-25)&lt;br&gt;조드 (-11)&lt;br&gt;짱구 (-25)&lt;br&gt;요즘 (-13)</t>
  </si>
  <si>
    <t>G241110014036</t>
  </si>
  <si>
    <t>2024-11-10 01:40</t>
  </si>
  <si>
    <t>짱구 (20)&lt;br&gt;조드 (43)&lt;br&gt;시아 (43)&lt;br&gt;만두 (-)</t>
  </si>
  <si>
    <t>노인 (-23)&lt;br&gt;신형만 (-24)&lt;br&gt;ACDC (-19)&lt;br&gt;요즘 (-16)</t>
  </si>
  <si>
    <t>G241110005534</t>
  </si>
  <si>
    <t>2024-11-10 00:55</t>
  </si>
  <si>
    <t>시아 (45)&lt;br&gt;신형만 (17)&lt;br&gt;노인 (20)&lt;br&gt;조드 (44)</t>
  </si>
  <si>
    <t>짱구 (-33)&lt;br&gt;ACDC (-26)&lt;br&gt;요즘 (-21)&lt;br&gt;만두 (-)</t>
  </si>
  <si>
    <t>G241110002747</t>
  </si>
  <si>
    <t>2024-11-10 00:27</t>
  </si>
  <si>
    <t>요즘 (27)&lt;br&gt;랄 (26)&lt;br&gt;노인 (14)&lt;br&gt;봉구 (40)</t>
  </si>
  <si>
    <t>ACDC (-22)&lt;br&gt;강화 (-16)&lt;br&gt;재명 (-21)&lt;br&gt;조드 (-8)</t>
  </si>
  <si>
    <t>G241109234917</t>
  </si>
  <si>
    <t>2024-11-09 23:49</t>
  </si>
  <si>
    <t>랄 (20)&lt;br&gt;ACDC (12)&lt;br&gt;재명 (13)&lt;br&gt;노인 (9)</t>
  </si>
  <si>
    <t>강화 (-14)&lt;br&gt;봉구 (-5)&lt;br&gt;조드 (-6)&lt;br&gt;요즘 (-13)</t>
  </si>
  <si>
    <t>G241109230426</t>
  </si>
  <si>
    <t>2024-11-09 23:04</t>
  </si>
  <si>
    <t>노인 (12)&lt;br&gt;요즘 (23)&lt;br&gt;신형만 (8)&lt;br&gt;재명 (17)</t>
  </si>
  <si>
    <t>ACDC (-25)&lt;br&gt;조드 (40)&lt;br&gt;랄 (-16)&lt;br&gt;봉구 (-6)</t>
  </si>
  <si>
    <t>G241109224439</t>
  </si>
  <si>
    <t>2024-11-09 22:44</t>
  </si>
  <si>
    <t>신형만 (8)&lt;br&gt;노인 (12)&lt;br&gt;랄 (22)&lt;br&gt;ACDC (12)</t>
  </si>
  <si>
    <t>재명 (-18)&lt;br&gt;조드 (-)&lt;br&gt;요즘 (-13)&lt;br&gt;봉구 (30)</t>
  </si>
  <si>
    <t>G241109195908</t>
  </si>
  <si>
    <t>2024-11-09 19:59</t>
  </si>
  <si>
    <t>미등록 (-)&lt;br&gt;미등록 (-)&lt;br&gt;미등록 (-)&lt;br&gt;미등록 (-)</t>
  </si>
  <si>
    <t>G241109023659</t>
  </si>
  <si>
    <t>2024-11-09 02:36</t>
  </si>
  <si>
    <t>원 (-)&lt;br&gt;ACDC (23)&lt;br&gt;짱구 (15)&lt;br&gt;깡패 (26)</t>
  </si>
  <si>
    <t>강화 (-16)&lt;br&gt;테리 (-30)&lt;br&gt;조드 (-)&lt;br&gt;신형만 (-31)</t>
  </si>
  <si>
    <t>G241109021434</t>
  </si>
  <si>
    <t>2024-11-09 02:14</t>
  </si>
  <si>
    <t>짱구 (14)&lt;br&gt;깡패 (27)&lt;br&gt;조드 (-)&lt;br&gt;신형만 (12)</t>
  </si>
  <si>
    <t>강화 (-14)&lt;br&gt;테리 (-28)&lt;br&gt;ACDC (-21)&lt;br&gt;원 (-)</t>
  </si>
  <si>
    <t>G241109013942</t>
  </si>
  <si>
    <t>2024-11-09 01:39</t>
  </si>
  <si>
    <t>원 (-)&lt;br&gt;테리 (11)&lt;br&gt;ACDC (20)&lt;br&gt;신형만 (12)</t>
  </si>
  <si>
    <t>강화 (-14)&lt;br&gt;짱구 (-25)&lt;br&gt;조드 (-)&lt;br&gt;깡패 (-16)</t>
  </si>
  <si>
    <t>G241109011136</t>
  </si>
  <si>
    <t>2024-11-09 01:11</t>
  </si>
  <si>
    <t>테리 (13)&lt;br&gt;원 (-)&lt;br&gt;랄 (35)&lt;br&gt;강화 (32)</t>
  </si>
  <si>
    <t>신형만 (-23)&lt;br&gt;깡패 (-17)&lt;br&gt;조드 (-)&lt;br&gt;ACDC (-19)</t>
  </si>
  <si>
    <t>G241109002731</t>
  </si>
  <si>
    <t>2024-11-09 00:27</t>
  </si>
  <si>
    <t>신형만 (17)&lt;br&gt;조드 (-)&lt;br&gt;테리 (19)&lt;br&gt;랄 (42)</t>
  </si>
  <si>
    <t>강화 (-12)&lt;br&gt;ACDC (-18)&lt;br&gt;짱구 (-22)&lt;br&gt;깡패 (-16)</t>
  </si>
  <si>
    <t>G241108010511</t>
  </si>
  <si>
    <t>2024-11-08 01:05</t>
  </si>
  <si>
    <t>짱구 (16)&lt;br&gt;한메 (36)&lt;br&gt;신형만 (18)&lt;br&gt;윈드 (36)</t>
  </si>
  <si>
    <t>강화 (-15)&lt;br&gt;노인 (-24)&lt;br&gt;ACDC (-25)&lt;br&gt;깡패 (-22)</t>
  </si>
  <si>
    <t>G241108003429</t>
  </si>
  <si>
    <t>2024-11-08 00:34</t>
  </si>
  <si>
    <t>재우 (33)&lt;br&gt;강화 (39)&lt;br&gt;짱구 (20)&lt;br&gt;윈드 (40)</t>
  </si>
  <si>
    <t>한메 (-11)&lt;br&gt;ACDC (-20)&lt;br&gt;노인 (-19)&lt;br&gt;신형만 (-21)</t>
  </si>
  <si>
    <t>G241107234358</t>
  </si>
  <si>
    <t>2024-11-07 23:43</t>
  </si>
  <si>
    <t>노인 (17)&lt;br&gt;ACDC (15)&lt;br&gt;재우 (28)&lt;br&gt;신형만 (13)</t>
  </si>
  <si>
    <t>한메 (-10)&lt;br&gt;강화 (-9)&lt;br&gt;짱구 (-24)&lt;br&gt;윈드 (-8)</t>
  </si>
  <si>
    <t>G241107222419</t>
  </si>
  <si>
    <t>2024-11-07 22:24</t>
  </si>
  <si>
    <t>노인 (15)&lt;br&gt;ACDC (14)&lt;br&gt;테리 (12)&lt;br&gt;짱구 (10)</t>
  </si>
  <si>
    <t>요즘 (-7)&lt;br&gt;재우 (-8)&lt;br&gt;강화 (-7)&lt;br&gt;한메 (-8)</t>
  </si>
  <si>
    <t>G241107214929</t>
  </si>
  <si>
    <t>2024-11-07 21:49</t>
  </si>
  <si>
    <t>짱구 (16)&lt;br&gt;재명 (29)&lt;br&gt;테리 (19)&lt;br&gt;신형만 (17)</t>
  </si>
  <si>
    <t>한메 (-8)&lt;br&gt;깡패 (-13)&lt;br&gt;ACDC (-15)&lt;br&gt;재우 (-8)</t>
  </si>
  <si>
    <t>G241107210558</t>
  </si>
  <si>
    <t>2024-11-07 21:05</t>
  </si>
  <si>
    <t>짱구 (20)&lt;br&gt;신형만 (21)&lt;br&gt;재우 (35)&lt;br&gt;ACDC (23)</t>
  </si>
  <si>
    <t>테리 (-25)&lt;br&gt;깡패 (-23)&lt;br&gt;재명 (-17)&lt;br&gt;한메 (-14)</t>
  </si>
  <si>
    <t>G241107203316</t>
  </si>
  <si>
    <t>2024-11-07 20:33</t>
  </si>
  <si>
    <t>짱구 (18)&lt;br&gt;신형만 (20)&lt;br&gt;테리 (17)&lt;br&gt;깡패 (20)</t>
  </si>
  <si>
    <t>한메 (-10)&lt;br&gt;재명 (-12)&lt;br&gt;재우 (-8)&lt;br&gt;ACDC (-16)</t>
  </si>
  <si>
    <t>G241107202941</t>
  </si>
  <si>
    <t>2024-11-07 20:29</t>
  </si>
  <si>
    <t>한메 (35)&lt;br&gt;테리 (23)&lt;br&gt;신형만 (27)&lt;br&gt;ACDC (24)</t>
  </si>
  <si>
    <t>재명 (-23)&lt;br&gt;깡패 (-27)&lt;br&gt;재우 (-17)&lt;br&gt;짱구 (-29)</t>
  </si>
  <si>
    <t>G241107020542</t>
  </si>
  <si>
    <t>2024-11-07 02:05</t>
  </si>
  <si>
    <t>깡패 (18)&lt;br&gt;짱구 (17)&lt;br&gt;노인 (23)&lt;br&gt;재명 (26)</t>
  </si>
  <si>
    <t>신형만 (-13)&lt;br&gt;재우 (-9)&lt;br&gt;강화 (-8)&lt;br&gt;민우 (-)</t>
  </si>
  <si>
    <t>G241107010005</t>
  </si>
  <si>
    <t>2024-11-07 01:00</t>
  </si>
  <si>
    <t>노인 (26)&lt;br&gt;재명 (29)&lt;br&gt;테리 (20)&lt;br&gt;짱구 (20)</t>
  </si>
  <si>
    <t>한메 (-10)&lt;br&gt;깡패 (-16)&lt;br&gt;강화 (-9)&lt;br&gt;재우 (-11)</t>
  </si>
  <si>
    <t>G241106234822</t>
  </si>
  <si>
    <t>2024-11-06 23:48</t>
  </si>
  <si>
    <t>깡패 (20)&lt;br&gt;재명 (34)&lt;br&gt;테리 (24)&lt;br&gt;한메 (37)</t>
  </si>
  <si>
    <t>요즘 (-18)&lt;br&gt;재우 (-21)&lt;br&gt;강화 (-18)&lt;br&gt;짱구 (-29)</t>
  </si>
  <si>
    <t>G241106015632</t>
  </si>
  <si>
    <t>2024-11-06 01:56</t>
  </si>
  <si>
    <t>테리 (25)&lt;br&gt;ACDC (24)&lt;br&gt;노인 (30)&lt;br&gt;신형만 (25)</t>
  </si>
  <si>
    <t>짱구 (-26)&lt;br&gt;재명 (-14)&lt;br&gt;한메 (-13)&lt;br&gt;강화 (-16)</t>
  </si>
  <si>
    <t>G241106012832</t>
  </si>
  <si>
    <t>2024-11-06 01:28</t>
  </si>
  <si>
    <t>짱구 (16)&lt;br&gt;ACDC (26)&lt;br&gt;신형만 (28)&lt;br&gt;한메 (38)</t>
  </si>
  <si>
    <t>강화 (-15)&lt;br&gt;재명 (-14)&lt;br&gt;테리 (-17)&lt;br&gt;노인 (-15)</t>
  </si>
  <si>
    <t>G241106004707</t>
  </si>
  <si>
    <t>2024-11-06 00:47</t>
  </si>
  <si>
    <t>재명 (33)&lt;br&gt;ACDC (29)&lt;br&gt;노인 (31)&lt;br&gt;짱구 (18)</t>
  </si>
  <si>
    <t>신형만 (-17)&lt;br&gt;강화 (-17)&lt;br&gt;테리 (-18)&lt;br&gt;한메 (-10)</t>
  </si>
  <si>
    <t>G241105234853</t>
  </si>
  <si>
    <t>2024-11-05 23:48</t>
  </si>
  <si>
    <t>신형만 (27)&lt;br&gt;ACDC (31)&lt;br&gt;요즘 (34)&lt;br&gt;강화 (27)</t>
  </si>
  <si>
    <t>재명 (-18)&lt;br&gt;한메 (-15)&lt;br&gt;테리 (-25)&lt;br&gt;노인 (-19)</t>
  </si>
  <si>
    <t>G241105225927</t>
  </si>
  <si>
    <t>2024-11-05 22:59</t>
  </si>
  <si>
    <t>깡패 (17)&lt;br&gt;강화 (28)&lt;br&gt;신형만 (28)&lt;br&gt;짱구 (16)</t>
  </si>
  <si>
    <t>한메 (-13)&lt;br&gt;요즘 (-13)&lt;br&gt;노인 (-17)&lt;br&gt;ACDC (-15)</t>
  </si>
  <si>
    <t>G241105222148</t>
  </si>
  <si>
    <t>2024-11-05 22:21</t>
  </si>
  <si>
    <t>짱구 (18)&lt;br&gt;노인 (27)&lt;br&gt;ACDC (31)&lt;br&gt;깡패 (19)</t>
  </si>
  <si>
    <t>한메 (-16)&lt;br&gt;강화 (-19)&lt;br&gt;요즘 (-17)&lt;br&gt;신형만 (-19)</t>
  </si>
  <si>
    <t>G241105220116</t>
  </si>
  <si>
    <t>2024-11-05 22:01</t>
  </si>
  <si>
    <t>테리 (21)&lt;br&gt;짱구 (23)&lt;br&gt;강화 (33)&lt;br&gt;요즘 (36)</t>
  </si>
  <si>
    <t>한메 (-19)&lt;br&gt;ACDC (-18)&lt;br&gt;신형만 (-21)&lt;br&gt;깡패 (-25)</t>
  </si>
  <si>
    <t>G241105212852</t>
  </si>
  <si>
    <t>2024-11-05 21:28</t>
  </si>
  <si>
    <t>ACDC (40)&lt;br&gt;요즘 (43)&lt;br&gt;테리 (28)&lt;br&gt;한메 (39)</t>
  </si>
  <si>
    <t>짱구 (-33)&lt;br&gt;깡패 (-35)&lt;br&gt;강화 (-26)&lt;br&gt;신형만 (-31)</t>
  </si>
  <si>
    <t>G241105210348</t>
  </si>
  <si>
    <t>2024-11-05 21:03</t>
  </si>
  <si>
    <t>깡패 (16)&lt;br&gt;재명 (33)&lt;br&gt;짱구 (20)&lt;br&gt;한메 (36)</t>
  </si>
  <si>
    <t>ACDC (-10)&lt;br&gt;요즘 (-8)&lt;br&gt;테리 (-16)&lt;br&gt;신형만 (-17)</t>
  </si>
  <si>
    <t>G241105023119</t>
  </si>
  <si>
    <t>2024-11-05 02:31</t>
  </si>
  <si>
    <t>키키 (-)&lt;br&gt;신형만 (28)&lt;br&gt;짱구 (27)&lt;br&gt;윈드 (39)</t>
  </si>
  <si>
    <t>재우 (-25)&lt;br&gt;ACDC (-20)&lt;br&gt;노인 (-23)&lt;br&gt;깡패 (-29)</t>
  </si>
  <si>
    <t>G241105015747</t>
  </si>
  <si>
    <t>2024-11-05 01:57</t>
  </si>
  <si>
    <t>노인 (24)&lt;br&gt;재우 (21)&lt;br&gt;강화 (27)&lt;br&gt;깡패 (12)</t>
  </si>
  <si>
    <t>신형만 (-23)&lt;br&gt;한메 (-13)&lt;br&gt;키키 (-)&lt;br&gt;윈드 (-11)</t>
  </si>
  <si>
    <t>G241105011337</t>
  </si>
  <si>
    <t>2024-11-05 01:13</t>
  </si>
  <si>
    <t>깡패 (15)&lt;br&gt;신형만 (22)&lt;br&gt;재명 (35)&lt;br&gt;윈드 (37)</t>
  </si>
  <si>
    <t>강화 (-21)&lt;br&gt;ACDC (-21)&lt;br&gt;노인 (-23)&lt;br&gt;한메 (-18)</t>
  </si>
  <si>
    <t>G241105004847</t>
  </si>
  <si>
    <t>2024-11-05 00:48</t>
  </si>
  <si>
    <t>신형만 (27)&lt;br&gt;노인 (30)&lt;br&gt;ACDC (34)&lt;br&gt;윈드 (42)</t>
  </si>
  <si>
    <t>강화 (-26)&lt;br&gt;깡패 (-33)&lt;br&gt;한메 (-22)&lt;br&gt;재명 (-20)</t>
  </si>
  <si>
    <t>G241105002055</t>
  </si>
  <si>
    <t>2024-11-05 00:20</t>
  </si>
  <si>
    <t>신형만 (21)&lt;br&gt;깡패 (10)&lt;br&gt;강화 (22)&lt;br&gt;노인 (24)</t>
  </si>
  <si>
    <t>한메 (-15)&lt;br&gt;재명 (-13)&lt;br&gt;ACDC (-15)&lt;br&gt;윈드 (-6)</t>
  </si>
  <si>
    <t>G241104235302</t>
  </si>
  <si>
    <t>2024-11-04 23:53</t>
  </si>
  <si>
    <t>깡패 (13)&lt;br&gt;신형만 (28)&lt;br&gt;강화 (28)&lt;br&gt;재우 (24)</t>
  </si>
  <si>
    <t>재명 (-19)&lt;br&gt;ACDC (-21)&lt;br&gt;짱구 (-28)&lt;br&gt;윈드 (-9)</t>
  </si>
  <si>
    <t>G241104231709</t>
  </si>
  <si>
    <t>2024-11-04 23:17</t>
  </si>
  <si>
    <t>깡패 (19)&lt;br&gt;재명 (37)&lt;br&gt;강화 (38)&lt;br&gt;재우 (33)</t>
  </si>
  <si>
    <t>한메 (-17)&lt;br&gt;신형만 (-16)&lt;br&gt;짱구 (-23)&lt;br&gt;ACDC (-17)</t>
  </si>
  <si>
    <t>G241104223937</t>
  </si>
  <si>
    <t>2024-11-04 22:39</t>
  </si>
  <si>
    <t>한메 (32)&lt;br&gt;재명 (40)&lt;br&gt;재우 (35)&lt;br&gt;ACDC (31)</t>
  </si>
  <si>
    <t>원정 (-)&lt;br&gt;테리 (-23)&lt;br&gt;강화 (-16)&lt;br&gt;신형만 (-19)</t>
  </si>
  <si>
    <t>G241104215147</t>
  </si>
  <si>
    <t>2024-11-04 21:51</t>
  </si>
  <si>
    <t>강화 (34)&lt;br&gt;재명 (40)&lt;br&gt;테리 (17)&lt;br&gt;ACDC (30)</t>
  </si>
  <si>
    <t>신형만 (-17)&lt;br&gt;재우 (-14)&lt;br&gt;요즘 (-12)&lt;br&gt;한메 (-16)</t>
  </si>
  <si>
    <t>G241104205828</t>
  </si>
  <si>
    <t>2024-11-04 20:58</t>
  </si>
  <si>
    <t>깡패 (13)&lt;br&gt;ACDC (30)&lt;br&gt;테리 (16)&lt;br&gt;요즘 (33)</t>
  </si>
  <si>
    <t>재우 (-17)&lt;br&gt;재명 (-10)&lt;br&gt;한메 (-19)&lt;br&gt;강화 (-14)</t>
  </si>
  <si>
    <t>G241104202248</t>
  </si>
  <si>
    <t>2024-11-04 20:22</t>
  </si>
  <si>
    <t>깡패 (12)&lt;br&gt;테리 (15)&lt;br&gt;재우 (25)&lt;br&gt;한메 (21)</t>
  </si>
  <si>
    <t>ACDC (-17)&lt;br&gt;요즘 (-14)&lt;br&gt;재명 (-12)&lt;br&gt;강화 (-17)</t>
  </si>
  <si>
    <t>G241104021918</t>
  </si>
  <si>
    <t>2024-11-04 02:19</t>
  </si>
  <si>
    <t>ACDC (36)&lt;br&gt;짱구 (17)&lt;br&gt;미등록 (-)&lt;br&gt;깡패 (18)</t>
  </si>
  <si>
    <t>테리 (-15)&lt;br&gt;신형만 (-15)&lt;br&gt;노인 (-12)&lt;br&gt;윈드 (-6)</t>
  </si>
  <si>
    <t>G241104012313</t>
  </si>
  <si>
    <t>2024-11-04 01:23</t>
  </si>
  <si>
    <t>노인 (35)&lt;br&gt;깡패 (24)&lt;br&gt;짱구 (23)&lt;br&gt;윈드 (50)</t>
  </si>
  <si>
    <t>미등록 (-)&lt;br&gt;테리 (-18)&lt;br&gt;신형만 (-18)&lt;br&gt;ACDC (-11)</t>
  </si>
  <si>
    <t>G241104002143</t>
  </si>
  <si>
    <t>2024-11-04 00:21</t>
  </si>
  <si>
    <t>깡패 (20)&lt;br&gt;짱구 (18)&lt;br&gt;미등록 (-)&lt;br&gt;요즘 (36)</t>
  </si>
  <si>
    <t>ACDC (-13)&lt;br&gt;신형만 (-22)&lt;br&gt;노인 (-15)&lt;br&gt;윈드 (-)</t>
  </si>
  <si>
    <t>G241103233529</t>
  </si>
  <si>
    <t>2024-11-03 23:35</t>
  </si>
  <si>
    <t>미등록 (-)&lt;br&gt;짱구 (22)&lt;br&gt;신형만 (18)&lt;br&gt;윈드 (-)</t>
  </si>
  <si>
    <t>깡패 (-28)&lt;br&gt;요즘 (-16)&lt;br&gt;노인 (-24)&lt;br&gt;ACDC (-21)</t>
  </si>
  <si>
    <t>G241103230806</t>
  </si>
  <si>
    <t>2024-11-03 23:08</t>
  </si>
  <si>
    <t>신형만 (22)&lt;br&gt;깡패 (23)&lt;br&gt;ACDC (35)&lt;br&gt;윈드 (-)</t>
  </si>
  <si>
    <t>미등록 (-)&lt;br&gt;짱구 (-25)&lt;br&gt;요즘 (-15)&lt;br&gt;노인 (-22)</t>
  </si>
  <si>
    <t>G241103223904</t>
  </si>
  <si>
    <t>2024-11-03 22:39</t>
  </si>
  <si>
    <t>신형만 (24)&lt;br&gt;요즘 (40)&lt;br&gt;ACDC (38)&lt;br&gt;깡패 (24)</t>
  </si>
  <si>
    <t>테리 (-24)&lt;br&gt;봉구 (-)&lt;br&gt;노인 (-21)&lt;br&gt;미등록 (-)</t>
  </si>
  <si>
    <t>G241103215845</t>
  </si>
  <si>
    <t>2024-11-03 21:58</t>
  </si>
  <si>
    <t>깡패 (28)&lt;br&gt;봉구 (-)&lt;br&gt;테리 (18)&lt;br&gt;ACDC (43)</t>
  </si>
  <si>
    <t>신형만 (-23)&lt;br&gt;요즘 (-13)&lt;br&gt;미등록 (-)&lt;br&gt;노인 (-23)</t>
  </si>
  <si>
    <t>G241102041255</t>
  </si>
  <si>
    <t>2024-11-02 04:12</t>
  </si>
  <si>
    <t>테리 (18)&lt;br&gt;신형만 (23)&lt;br&gt;튜브 (42)&lt;br&gt;짱구 (22)</t>
  </si>
  <si>
    <t>깡패 (-15)&lt;br&gt;재명 (-10)&lt;br&gt;미등록 (-)&lt;br&gt;노인 (-20)</t>
  </si>
  <si>
    <t>G241102033114</t>
  </si>
  <si>
    <t>2024-11-02 03:31</t>
  </si>
  <si>
    <t>테리 (13)&lt;br&gt;짱구 (16)&lt;br&gt;노인 (14)&lt;br&gt;깡패 (19)</t>
  </si>
  <si>
    <t>튜브 (-8)&lt;br&gt;신형만 (-22)&lt;br&gt;Leaf (-)&lt;br&gt;재명 (-12)</t>
  </si>
  <si>
    <t>G241102031847</t>
  </si>
  <si>
    <t>2024-11-02 03:18</t>
  </si>
  <si>
    <t>짱구 (21)&lt;br&gt;재명 (33)&lt;br&gt;노인 (17)&lt;br&gt;신형만 (18)</t>
  </si>
  <si>
    <t>깡패 (-16)&lt;br&gt;튜브 (50)&lt;br&gt;테리 (-21)&lt;br&gt;Leaf (-)</t>
  </si>
  <si>
    <t>G241102025016</t>
  </si>
  <si>
    <t>2024-11-02 02:50</t>
  </si>
  <si>
    <t>미등록 (-)&lt;br&gt;테리 (15)&lt;br&gt;Leaf (-)&lt;br&gt;신형만 (20)</t>
  </si>
  <si>
    <t>튜브 (-)&lt;br&gt;짱구 (-17)&lt;br&gt;재명 (-9)&lt;br&gt;깡패 (-16)</t>
  </si>
  <si>
    <t>G241102022043</t>
  </si>
  <si>
    <t>2024-11-02 02:20</t>
  </si>
  <si>
    <t>깡패 (25)&lt;br&gt;짱구 (25)&lt;br&gt;재명 (40)&lt;br&gt;미등록 (-)</t>
  </si>
  <si>
    <t>테리 (-24)&lt;br&gt;요즘 (-13)&lt;br&gt;신형만 (-21)&lt;br&gt;튜브 (-)</t>
  </si>
  <si>
    <t>G241102012633</t>
  </si>
  <si>
    <t>2024-11-02 01:26</t>
  </si>
  <si>
    <t>튜브 (-)&lt;br&gt;짱구 (25)&lt;br&gt;요즘 (36)&lt;br&gt;랄 (37)</t>
  </si>
  <si>
    <t>ACDC (-12)&lt;br&gt;재명 (-12)&lt;br&gt;신형만 (-21)&lt;br&gt;깡패 (-19)</t>
  </si>
  <si>
    <t>G241102003808</t>
  </si>
  <si>
    <t>2024-11-02 00:38</t>
  </si>
  <si>
    <t>튜브 (-)&lt;br&gt;깡패 (15)&lt;br&gt;짱구 (20)&lt;br&gt;신형만 (12)</t>
  </si>
  <si>
    <t>랄 (50)&lt;br&gt;요즘 (-15)&lt;br&gt;재명 (-14)&lt;br&gt;ACDC (-14)</t>
  </si>
  <si>
    <t>G241102001451</t>
  </si>
  <si>
    <t>2024-11-02 00:14</t>
  </si>
  <si>
    <t>랄 (-)&lt;br&gt;재명 (34)&lt;br&gt;신형만 (15)&lt;br&gt;깡패 (19)</t>
  </si>
  <si>
    <t>튜브 (-)&lt;br&gt;ACDC (-18)&lt;br&gt;요즘 (-19)&lt;br&gt;짱구 (-25)</t>
  </si>
  <si>
    <t>G241101235304</t>
  </si>
  <si>
    <t>2024-11-01 23:53</t>
  </si>
  <si>
    <t>오크 (-)&lt;br&gt;랄 (-)&lt;br&gt;미르진 (-)&lt;br&gt;깡패 (23)</t>
  </si>
  <si>
    <t>ACDC (-18)&lt;br&gt;신형만 (-26)&lt;br&gt;튜브 (-)&lt;br&gt;재명 (-15)</t>
  </si>
  <si>
    <t>G241101231234</t>
  </si>
  <si>
    <t>2024-11-01 23:12</t>
  </si>
  <si>
    <t>튜브 (-)&lt;br&gt;요즘 (37)&lt;br&gt;노인 (21)&lt;br&gt;오크 (-)</t>
  </si>
  <si>
    <t>미르진 (-)&lt;br&gt;ACDC (-18)&lt;br&gt;신형만 (-26)&lt;br&gt;깡패 (-20)</t>
  </si>
  <si>
    <t>G241101105616</t>
  </si>
  <si>
    <t>2024-11-01 10:56</t>
  </si>
  <si>
    <t>G241101015254</t>
  </si>
  <si>
    <t>2024-11-01 01:52</t>
  </si>
  <si>
    <t>ACDC (35)&lt;br&gt;테리 (16)&lt;br&gt;짱구 (29)&lt;br&gt;신형만 (18)</t>
  </si>
  <si>
    <t>요즘 (-9)&lt;br&gt;깡패 (-15)&lt;br&gt;재우 (-15)&lt;br&gt;노인 (-17)</t>
  </si>
  <si>
    <t>G241101012441</t>
  </si>
  <si>
    <t>2024-11-01 01:24</t>
  </si>
  <si>
    <t>짱구 (29)&lt;br&gt;미등록 (-)&lt;br&gt;신형만 (16)&lt;br&gt;재우 (26)</t>
  </si>
  <si>
    <t>노인 (-16)&lt;br&gt;원 (-)&lt;br&gt;요즘 (-9)&lt;br&gt;깡패 (-14)</t>
  </si>
  <si>
    <t>G241101004445</t>
  </si>
  <si>
    <t>2024-11-01 00:44</t>
  </si>
  <si>
    <t>신형만 (21)&lt;br&gt;원 (-)&lt;br&gt;짱구 (36)&lt;br&gt;미등록 (-)</t>
  </si>
  <si>
    <t>깡패 (-18)&lt;br&gt;재우 (-17)&lt;br&gt;요즘 (-13)&lt;br&gt;미등록 (-)</t>
  </si>
  <si>
    <t>G241101001205</t>
  </si>
  <si>
    <t>2024-11-01 00:12</t>
  </si>
  <si>
    <t>깡패 (18)&lt;br&gt;신형만 (17)&lt;br&gt;한메 (20)&lt;br&gt;미등록 (-)</t>
  </si>
  <si>
    <t>오크 (30)&lt;br&gt;짱구 (-11)&lt;br&gt;재우 (-17)&lt;br&gt;요즘 (-12)</t>
  </si>
  <si>
    <t>G241031234705</t>
  </si>
  <si>
    <t>2024-10-31 23:47</t>
  </si>
  <si>
    <t>신형만 (28)&lt;br&gt;짱구 (41)&lt;br&gt;요즘 (40)&lt;br&gt;오크 (-)</t>
  </si>
  <si>
    <t>깡패 (-34)&lt;br&gt;ACDC (-26)&lt;br&gt;미등록 (-)&lt;br&gt;재우 (-33)</t>
  </si>
  <si>
    <t>G241031232125</t>
  </si>
  <si>
    <t>2024-10-31 23:21</t>
  </si>
  <si>
    <t>재우 (15)&lt;br&gt;신형만 (19)&lt;br&gt;한메 (19)&lt;br&gt;깡패 (13)</t>
  </si>
  <si>
    <t>오크 (-)&lt;br&gt;미등록 (-)&lt;br&gt;ACDC (-13)&lt;br&gt;짱구 (-9)</t>
  </si>
  <si>
    <t>G241031223632</t>
  </si>
  <si>
    <t>2024-10-31 22:36</t>
  </si>
  <si>
    <t>테리 (12)&lt;br&gt;요즘 (36)&lt;br&gt;강화 (25)&lt;br&gt;깡패 (17)</t>
  </si>
  <si>
    <t>ACDC (-15)&lt;br&gt;봉구 (-)&lt;br&gt;신형만 (-17)&lt;br&gt;짱구 (-11)</t>
  </si>
  <si>
    <t>G241031215709</t>
  </si>
  <si>
    <t>2024-10-31 21:57</t>
  </si>
  <si>
    <t>깡패 (20)&lt;br&gt;봉구 (-)&lt;br&gt;테리 (14)&lt;br&gt;ACDC (28)</t>
  </si>
  <si>
    <t>짱구 (70)&lt;br&gt;강화 (-22)&lt;br&gt;신형만 (-25)&lt;br&gt;요즘 (-13)</t>
  </si>
  <si>
    <t>G241031212848</t>
  </si>
  <si>
    <t>2024-10-31 21:28</t>
  </si>
  <si>
    <t>강화 (31)&lt;br&gt;깡패 (26)&lt;br&gt;신형만 (25)&lt;br&gt;봉구 (-)</t>
  </si>
  <si>
    <t>ACDC (-14)&lt;br&gt;재명 (-11)&lt;br&gt;테리 (-20)&lt;br&gt;밍구 (-)</t>
  </si>
  <si>
    <t>G241031020643</t>
  </si>
  <si>
    <t>2024-10-31 02:06</t>
  </si>
  <si>
    <t>신형만 (25)&lt;br&gt;강화 (31)&lt;br&gt;재우 (22)&lt;br&gt;깡패 (26)</t>
  </si>
  <si>
    <t>짱구 (-)&lt;br&gt;한메 (-24)&lt;br&gt;재명 (-16)&lt;br&gt;ACDC (-21)</t>
  </si>
  <si>
    <t>G241031014108</t>
  </si>
  <si>
    <t>2024-10-31 01:41</t>
  </si>
  <si>
    <t>재우 (27)&lt;br&gt;한메 (26)&lt;br&gt;짱구 (-)&lt;br&gt;깡패 (30)</t>
  </si>
  <si>
    <t>재명 (-19)&lt;br&gt;신형만 (-25)&lt;br&gt;강화 (-20)&lt;br&gt;ACDC (-25)</t>
  </si>
  <si>
    <t>G241031012342</t>
  </si>
  <si>
    <t>2024-10-31 01:23</t>
  </si>
  <si>
    <t>재우 (33)&lt;br&gt;짱구 (-)&lt;br&gt;한메 (32)&lt;br&gt;깡패 (36)</t>
  </si>
  <si>
    <t>신형만 (-26)&lt;br&gt;강화 (-21)&lt;br&gt;ACDC (-25)&lt;br&gt;재명 (-20)</t>
  </si>
  <si>
    <t>G241031005356</t>
  </si>
  <si>
    <t>2024-10-31 00:53</t>
  </si>
  <si>
    <t>짱구 (-)&lt;br&gt;재우 (33)&lt;br&gt;신형만 (23)&lt;br&gt;ACDC (23)</t>
  </si>
  <si>
    <t>깡패 (-18)&lt;br&gt;강화 (-26)&lt;br&gt;한메 (-25)&lt;br&gt;재명 (-25)</t>
  </si>
  <si>
    <t>G241031003214</t>
  </si>
  <si>
    <t>2024-10-31 00:32</t>
  </si>
  <si>
    <t>강화 (29)&lt;br&gt;ACDC (26)&lt;br&gt;한메 (29)&lt;br&gt;짱구 (-)</t>
  </si>
  <si>
    <t>재명 (-16)&lt;br&gt;깡패 (-12)&lt;br&gt;재우 (-13)&lt;br&gt;신형만 (-18)</t>
  </si>
  <si>
    <t>G241030235401</t>
  </si>
  <si>
    <t>2024-10-30 23:54</t>
  </si>
  <si>
    <t>재명 (28)&lt;br&gt;짱구 (-)&lt;br&gt;신형만 (24)&lt;br&gt;강화 (32)</t>
  </si>
  <si>
    <t>깡패 (-18)&lt;br&gt;한메 (-20)&lt;br&gt;ACDC (-23)&lt;br&gt;재우 (-19)</t>
  </si>
  <si>
    <t>G241030232410</t>
  </si>
  <si>
    <t>2024-10-30 23:24</t>
  </si>
  <si>
    <t>짱구 (-)&lt;br&gt;재명 (32)&lt;br&gt;한메 (31)&lt;br&gt;ACDC (27)</t>
  </si>
  <si>
    <t>강화 (-14)&lt;br&gt;깡패 (-15)&lt;br&gt;재우 (-16)&lt;br&gt;신형만 (-18)</t>
  </si>
  <si>
    <t>G241030224421</t>
  </si>
  <si>
    <t>2024-10-30 22:44</t>
  </si>
  <si>
    <t>재우 (30)&lt;br&gt;테리 (14)&lt;br&gt;ACDC (28)&lt;br&gt;재명 (34)</t>
  </si>
  <si>
    <t>깡패 (-16)&lt;br&gt;한메 (-15)&lt;br&gt;짱구 (-)&lt;br&gt;신형만 (-20)</t>
  </si>
  <si>
    <t>G241030215925</t>
  </si>
  <si>
    <t>2024-10-30 21:59</t>
  </si>
  <si>
    <t>짱구 (-)&lt;br&gt;테리 (19)&lt;br&gt;재명 (41)&lt;br&gt;깡패 (31)</t>
  </si>
  <si>
    <t>신형만 (-19)&lt;br&gt;한메 (-15)&lt;br&gt;재우 (-13)&lt;br&gt;ACDC (-14)</t>
  </si>
  <si>
    <t>G241030205830</t>
  </si>
  <si>
    <t>2024-10-30 20:58</t>
  </si>
  <si>
    <t>재우 (32)&lt;br&gt;테리 (18)&lt;br&gt;미등록 (-)&lt;br&gt;깡패 (30)</t>
  </si>
  <si>
    <t>재명 (-11)&lt;br&gt;신형만 (-23)&lt;br&gt;요즘 (-12)&lt;br&gt;ACDC (-17)</t>
  </si>
  <si>
    <t>G241030030218</t>
  </si>
  <si>
    <t>2024-10-30 03:02</t>
  </si>
  <si>
    <t>오크 (-)&lt;br&gt;신형만 (19)&lt;br&gt;노인 (19)&lt;br&gt;튜브 (-)</t>
  </si>
  <si>
    <t>테리 (-19)&lt;br&gt;깡패 (-12)&lt;br&gt;ACDC (-16)&lt;br&gt;재우 (-12)</t>
  </si>
  <si>
    <t>G241030020745</t>
  </si>
  <si>
    <t>2024-10-30 02:07</t>
  </si>
  <si>
    <t>ACDC (20)&lt;br&gt;노인 (15)&lt;br&gt;튜브 (-)&lt;br&gt;재우 (28)</t>
  </si>
  <si>
    <t>오크 (-)&lt;br&gt;강화 (-17)&lt;br&gt;재명 (-12)&lt;br&gt;깡패 (-15)</t>
  </si>
  <si>
    <t>G241030012859</t>
  </si>
  <si>
    <t>2024-10-30 01:28</t>
  </si>
  <si>
    <t>신형만 (17)&lt;br&gt;ACDC (26)&lt;br&gt;노인 (19)&lt;br&gt;강화 (29)</t>
  </si>
  <si>
    <t>깡패 (-17)&lt;br&gt;한메 (-21)&lt;br&gt;재우 (-15)&lt;br&gt;재명 (-13)</t>
  </si>
  <si>
    <t>G241030010433</t>
  </si>
  <si>
    <t>2024-10-30 01:04</t>
  </si>
  <si>
    <t>깡패 (30)&lt;br&gt;재우 (37)&lt;br&gt;신형만 (21)&lt;br&gt;노인 (24)</t>
  </si>
  <si>
    <t>재명 (-17)&lt;br&gt;강화 (-20)&lt;br&gt;ACDC (-22)&lt;br&gt;한메 (-25)</t>
  </si>
  <si>
    <t>G241030003408</t>
  </si>
  <si>
    <t>2024-10-30 00:34</t>
  </si>
  <si>
    <t>한메 (21)&lt;br&gt;신형만 (20)&lt;br&gt;노인 (23)&lt;br&gt;ACDC (26)</t>
  </si>
  <si>
    <t>재명 (-18)&lt;br&gt;깡패 (-19)&lt;br&gt;재우 (-15)&lt;br&gt;강화 (-22)</t>
  </si>
  <si>
    <t>G241030000240</t>
  </si>
  <si>
    <t>2024-10-30 00:02</t>
  </si>
  <si>
    <t>신형만 (24)&lt;br&gt;깡패 (29)&lt;br&gt;ACDC (31)&lt;br&gt;강화 (28)</t>
  </si>
  <si>
    <t>한메 (-30)&lt;br&gt;재우 (-20)&lt;br&gt;시아 (-16)&lt;br&gt;노인 (-27)</t>
  </si>
  <si>
    <t>G241029234024</t>
  </si>
  <si>
    <t>2024-10-29 23:40</t>
  </si>
  <si>
    <t>ACDC (34)&lt;br&gt;노인 (24)&lt;br&gt;테리 (16)&lt;br&gt;한메 (21)</t>
  </si>
  <si>
    <t>시아 (-11)&lt;br&gt;재우 (-15)&lt;br&gt;강화 (-17)&lt;br&gt;신형만 (-20)</t>
  </si>
  <si>
    <t>G241029230745</t>
  </si>
  <si>
    <t>2024-10-29 23:07</t>
  </si>
  <si>
    <t>강화 (30)&lt;br&gt;한메 (24)&lt;br&gt;테리 (18)&lt;br&gt;재우 (33)</t>
  </si>
  <si>
    <t>시아 (-11)&lt;br&gt;ACDC (-12)&lt;br&gt;신형만 (-20)&lt;br&gt;노인 (-17)</t>
  </si>
  <si>
    <t>G241029222917</t>
  </si>
  <si>
    <t>2024-10-29 22:29</t>
  </si>
  <si>
    <t>테리 (19)&lt;br&gt;재우 (37)&lt;br&gt;노인 (24)&lt;br&gt;신형만 (22)</t>
  </si>
  <si>
    <t>시아 (-16)&lt;br&gt;강화 (-20)&lt;br&gt;ACDC (-17)&lt;br&gt;한메 (-24)</t>
  </si>
  <si>
    <t>G241029220559</t>
  </si>
  <si>
    <t>2024-10-29 22:05</t>
  </si>
  <si>
    <t>한메 (20)&lt;br&gt;테리 (18)&lt;br&gt;시아 (29)&lt;br&gt;신형만 (20)</t>
  </si>
  <si>
    <t>ACDC (-14)&lt;br&gt;요즘 (-12)&lt;br&gt;재명 (-15)&lt;br&gt;재우 (-11)</t>
  </si>
  <si>
    <t>G241029213117</t>
  </si>
  <si>
    <t>2024-10-29 21:31</t>
  </si>
  <si>
    <t>신형만 (26)&lt;br&gt;한메 (25)&lt;br&gt;재명 (30)&lt;br&gt;재우 (39)</t>
  </si>
  <si>
    <t>시아 (40)&lt;br&gt;테리 (-24)&lt;br&gt;ACDC (-20)&lt;br&gt;요즘 (-18)</t>
  </si>
  <si>
    <t>G241029210804</t>
  </si>
  <si>
    <t>2024-10-29 21:08</t>
  </si>
  <si>
    <t>요즘 (33)&lt;br&gt;ACDC (29)&lt;br&gt;신형만 (27)&lt;br&gt;한메 (27)</t>
  </si>
  <si>
    <t>시아 (-)&lt;br&gt;재우 (-15)&lt;br&gt;테리 (-29)&lt;br&gt;재명 (-22)</t>
  </si>
  <si>
    <t>G241029203130</t>
  </si>
  <si>
    <t>2024-10-29 20:31</t>
  </si>
  <si>
    <t>테리 (15)&lt;br&gt;ACDC (31)&lt;br&gt;시아 (-)&lt;br&gt;신형만 (30)</t>
  </si>
  <si>
    <t>한메 (-20)&lt;br&gt;재우 (-14)&lt;br&gt;재명 (-20)&lt;br&gt;요즘 (-16)</t>
  </si>
  <si>
    <t>G241029010736</t>
  </si>
  <si>
    <t>2024-10-29 01:07</t>
  </si>
  <si>
    <t>깡패 (29)&lt;br&gt;노인 (24)&lt;br&gt;테리 (17)&lt;br&gt;강화 (27)</t>
  </si>
  <si>
    <t>ACDC (-20)&lt;br&gt;재명 (-26)&lt;br&gt;신형만 (-21)&lt;br&gt;오크 (-)</t>
  </si>
  <si>
    <t>G241029002413</t>
  </si>
  <si>
    <t>2024-10-29 00:24</t>
  </si>
  <si>
    <t>깡패 (35)&lt;br&gt;노인 (100)&lt;br&gt;신형만 (34)&lt;br&gt;강화 (34)</t>
  </si>
  <si>
    <t>ACDC (-15)&lt;br&gt;한메 (-18)&lt;br&gt;테리 (-20)&lt;br&gt;재우 (-13)</t>
  </si>
  <si>
    <t>G241028233639</t>
  </si>
  <si>
    <t>2024-10-28 23:36</t>
  </si>
  <si>
    <t>ACDC (32)&lt;br&gt;노인 (-)&lt;br&gt;재명 (24)&lt;br&gt;깡패 (36)</t>
  </si>
  <si>
    <t>한메 (-22)&lt;br&gt;재우 (-15)&lt;br&gt;신형만 (-17)&lt;br&gt;강화 (-17)</t>
  </si>
  <si>
    <t>G241028225324</t>
  </si>
  <si>
    <t>2024-10-28 22:53</t>
  </si>
  <si>
    <t>테리 (16)&lt;br&gt;강화 (31)&lt;br&gt;노인 (-)&lt;br&gt;재명 (26)</t>
  </si>
  <si>
    <t>ACDC (-14)&lt;br&gt;한메 (-21)&lt;br&gt;재우 (-14)&lt;br&gt;깡패 (-9)</t>
  </si>
  <si>
    <t>G241028221237</t>
  </si>
  <si>
    <t>2024-10-28 22:12</t>
  </si>
  <si>
    <t>한메 (18)&lt;br&gt;재우 (30)&lt;br&gt;테리 (16)&lt;br&gt;ACDC (30)</t>
  </si>
  <si>
    <t>요즘 (-14)&lt;br&gt;깡패 (-9)&lt;br&gt;강화 (-13)&lt;br&gt;재명 (-17)</t>
  </si>
  <si>
    <t>G241028214306</t>
  </si>
  <si>
    <t>2024-10-28 21:43</t>
  </si>
  <si>
    <t>테리 (16)&lt;br&gt;재명 (23)&lt;br&gt;요즘 (27)&lt;br&gt;한메 (18)</t>
  </si>
  <si>
    <t>ACDC (-12)&lt;br&gt;깡패 (-10)&lt;br&gt;강화 (-13)&lt;br&gt;재우 (-12)</t>
  </si>
  <si>
    <t>G241028010437</t>
  </si>
  <si>
    <t>2024-10-28 01:04</t>
  </si>
  <si>
    <t>테리 (16)&lt;br&gt;신형만 (26)&lt;br&gt;미등록 (-)&lt;br&gt;재우 (29)</t>
  </si>
  <si>
    <t>깡패 (-17)&lt;br&gt;ACDC (-21)&lt;br&gt;오크 (-)&lt;br&gt;윈드 (-)</t>
  </si>
  <si>
    <t>G241028004747</t>
  </si>
  <si>
    <t>2024-10-28 00:47</t>
  </si>
  <si>
    <t>테리 (19)&lt;br&gt;노인 (-)&lt;br&gt;오크 (-)&lt;br&gt;ACDC (28)</t>
  </si>
  <si>
    <t>깡패 (-20)&lt;br&gt;신형만 (-22)&lt;br&gt;재우 (-20)&lt;br&gt;윈드 (-)</t>
  </si>
  <si>
    <t>G241028002804</t>
  </si>
  <si>
    <t>2024-10-28 00:28</t>
  </si>
  <si>
    <t>필찌 (-)&lt;br&gt;재우 (33)&lt;br&gt;테리 (22)&lt;br&gt;윈드 (-)</t>
  </si>
  <si>
    <t>깡패 (-25)&lt;br&gt;ACDC (-26)&lt;br&gt;신형만 (-28)&lt;br&gt;오크 (-)</t>
  </si>
  <si>
    <t>G241027235543</t>
  </si>
  <si>
    <t>2024-10-27 23:55</t>
  </si>
  <si>
    <t>필찌 (-)&lt;br&gt;신형만 (25)&lt;br&gt;테리 (23)&lt;br&gt;깡패 (25)</t>
  </si>
  <si>
    <t>ACDC (-16)&lt;br&gt;재우 (-12)&lt;br&gt;오크 (-)&lt;br&gt;윈드 (-)</t>
  </si>
  <si>
    <t>G241027232103</t>
  </si>
  <si>
    <t>2024-10-27 23:21</t>
  </si>
  <si>
    <t>신형만 (26)&lt;br&gt;미등록 (-)&lt;br&gt;ACDC (24)&lt;br&gt;깡패 (40)</t>
  </si>
  <si>
    <t>재우 (-15)&lt;br&gt;요즘 (-17)&lt;br&gt;필찌 (-)&lt;br&gt;윈드 (-)</t>
  </si>
  <si>
    <t>G241027224817</t>
  </si>
  <si>
    <t>2024-10-27 22:48</t>
  </si>
  <si>
    <t>테리 (70)&lt;br&gt;미등록 (-)&lt;br&gt;요즘 (29)&lt;br&gt;윈드 (-)</t>
  </si>
  <si>
    <t>깡패 (-)&lt;br&gt;필찌 (-)&lt;br&gt;신형만 (-14)&lt;br&gt;재우 (-14)</t>
  </si>
  <si>
    <t>G241027221342</t>
  </si>
  <si>
    <t>2024-10-27 22:13</t>
  </si>
  <si>
    <t>한메 (21)&lt;br&gt;요즘 (33)&lt;br&gt;노인 (-)&lt;br&gt;조드 (-)</t>
  </si>
  <si>
    <t>신형만 (-15)&lt;br&gt;깡패 (-)&lt;br&gt;테리 (-)&lt;br&gt;재우 (50)</t>
  </si>
  <si>
    <t>G241027213232</t>
  </si>
  <si>
    <t>2024-10-27 21:32</t>
  </si>
  <si>
    <t>테리 (-)&lt;br&gt;재우 (-)&lt;br&gt;노인 (-)&lt;br&gt;조드 (-)</t>
  </si>
  <si>
    <t>한메 (-22)&lt;br&gt;신형만 (-20)&lt;br&gt;요즘 (-15)&lt;br&gt;깡패 (-)</t>
  </si>
  <si>
    <t>G241027210402</t>
  </si>
  <si>
    <t>2024-10-27 21:04</t>
  </si>
  <si>
    <t>테리 (-)&lt;br&gt;신형만 (25)&lt;br&gt;미등록 (-)&lt;br&gt;한메 (19)</t>
  </si>
  <si>
    <t>깡패 (-)&lt;br&gt;조드 (-)&lt;br&gt;요즘 (-19)&lt;br&gt;재우 (-)</t>
  </si>
  <si>
    <t>G241027025021</t>
  </si>
  <si>
    <t>2024-10-27 02:50</t>
  </si>
  <si>
    <t>신형만 (31)&lt;br&gt;강화 (31)&lt;br&gt;테리 (-)&lt;br&gt;한메 (24)</t>
  </si>
  <si>
    <t>시아 (-)&lt;br&gt;재명 (-28)&lt;br&gt;요즘 (40)&lt;br&gt;ACDC (-26)</t>
  </si>
  <si>
    <t>G241027022856</t>
  </si>
  <si>
    <t>2024-10-27 02:28</t>
  </si>
  <si>
    <t>신형만 (33)&lt;br&gt;재명 (24)&lt;br&gt;한메 (26)&lt;br&gt;미르진 (-)</t>
  </si>
  <si>
    <t>재우 (-)&lt;br&gt;강화 (40)&lt;br&gt;ACDC (-17)&lt;br&gt;요즘 (-)</t>
  </si>
  <si>
    <t>G241027015313</t>
  </si>
  <si>
    <t>2024-10-27 01:53</t>
  </si>
  <si>
    <t>재우 (-)&lt;br&gt;미르진 (-)&lt;br&gt;한메 (29)&lt;br&gt;ACDC (25)</t>
  </si>
  <si>
    <t>요즘 (-)&lt;br&gt;신형만 (-17)&lt;br&gt;강화 (-)&lt;br&gt;재명 (-23)</t>
  </si>
  <si>
    <t>G241027011317</t>
  </si>
  <si>
    <t>2024-10-27 01:13</t>
  </si>
  <si>
    <t>엘 (-)&lt;br&gt;재명 (23)&lt;br&gt;테리 (-)&lt;br&gt;요즘 (-)</t>
  </si>
  <si>
    <t>미르진 (-)&lt;br&gt;신형만 (-18)&lt;br&gt;강화 (-)&lt;br&gt;ACDC (-23)</t>
  </si>
  <si>
    <t>G241027002705</t>
  </si>
  <si>
    <t>2024-10-27 00:27</t>
  </si>
  <si>
    <t>랄 (-)&lt;br&gt;재명 (22)&lt;br&gt;ACDC (21)&lt;br&gt;웅 (-)</t>
  </si>
  <si>
    <t>엘 (-)&lt;br&gt;강화 (-)&lt;br&gt;시아 (-)&lt;br&gt;미르진 (-)</t>
  </si>
  <si>
    <t>G241026235153</t>
  </si>
  <si>
    <t>2024-10-26 23:51</t>
  </si>
  <si>
    <t>강화 (-)&lt;br&gt;재명 (25)&lt;br&gt;시아 (-)&lt;br&gt;ACDC (24)</t>
  </si>
  <si>
    <t>엘 (-)&lt;br&gt;미르진 (-)&lt;br&gt;웅 (-)&lt;br&gt;랄 (-)</t>
  </si>
  <si>
    <t>G241026013044</t>
  </si>
  <si>
    <t>2024-10-26 01:30</t>
  </si>
  <si>
    <t>한메 (50)&lt;br&gt;강화 (-)&lt;br&gt;ACDC (60)&lt;br&gt;깡패 (-)</t>
  </si>
  <si>
    <t>랄 (-)&lt;br&gt;재명 (50)&lt;br&gt;시아 (-)&lt;br&gt;신형만 (40)</t>
  </si>
  <si>
    <t>G241026004248</t>
  </si>
  <si>
    <t>2024-10-26 00:42</t>
  </si>
  <si>
    <t>강화 (-)&lt;br&gt;신형만 (-)&lt;br&gt;시아 (-)&lt;br&gt;한메 (-)</t>
  </si>
  <si>
    <t>랄 (-)&lt;br&gt;ACDC (-)&lt;br&gt;재명 (-)&lt;br&gt;깡패 (-)</t>
  </si>
  <si>
    <t>G241026000351</t>
  </si>
  <si>
    <t>2024-10-26 00:03</t>
  </si>
  <si>
    <t>깡패 (-)&lt;br&gt;한메 (-)&lt;br&gt;ACDC (-)&lt;br&gt;랄 (-)</t>
  </si>
  <si>
    <t>강화 (-)&lt;br&gt;신형만 (-)&lt;br&gt;시아 (-)&lt;br&gt;재명 (-)</t>
  </si>
  <si>
    <t>G241025232922</t>
  </si>
  <si>
    <t>2024-10-25 23:29</t>
  </si>
  <si>
    <t>신형만 (-)&lt;br&gt;깡패 (-)&lt;br&gt;시아 (-)&lt;br&gt;재명 (-)</t>
  </si>
  <si>
    <t>ACDC (-)&lt;br&gt;랄 (-)&lt;br&gt;한메 (-)&lt;br&gt;강화 (-)</t>
  </si>
  <si>
    <t>G241025225615</t>
  </si>
  <si>
    <t>2024-10-25 22:56</t>
  </si>
  <si>
    <t>한메 (-)&lt;br&gt;강화 (-)&lt;br&gt;랄 (-)&lt;br&gt;신형만 (-)</t>
  </si>
  <si>
    <t>재명 (-)&lt;br&gt;ACDC (-)&lt;br&gt;요즘 (-)&lt;br&gt;깡패 (-)</t>
  </si>
  <si>
    <t>G241024232133</t>
  </si>
  <si>
    <t>2024-10-24 23:21</t>
  </si>
  <si>
    <t>요즘 (-)&lt;br&gt;노픽업 (-)&lt;br&gt;미등록 (-)&lt;br&gt;ACDC (-)</t>
  </si>
  <si>
    <t>한메 (-)&lt;br&gt;재명 (-)&lt;br&gt;재우 (-)&lt;br&gt;신형만 (-)</t>
  </si>
  <si>
    <t>G241024225918</t>
  </si>
  <si>
    <t>2024-10-24 22:59</t>
  </si>
  <si>
    <t>ACDC (-)&lt;br&gt;재명 (-)&lt;br&gt;테리 (-)&lt;br&gt;재우 (-)</t>
  </si>
  <si>
    <t>요즘 (-)&lt;br&gt;봉구 (-)&lt;br&gt;한메 (-)&lt;br&gt;신형만 (-)</t>
  </si>
  <si>
    <t>G241024215356</t>
  </si>
  <si>
    <t>2024-10-24 21:53</t>
  </si>
  <si>
    <t>한메 (-)&lt;br&gt;재명 (-)&lt;br&gt;요즘 (-)&lt;br&gt;재우 (-)</t>
  </si>
  <si>
    <t>신형만 (-)&lt;br&gt;ACDC (-)&lt;br&gt;테리 (-)&lt;br&gt;봉구 (-)</t>
  </si>
  <si>
    <t>G241024210852</t>
  </si>
  <si>
    <t>2024-10-24 21:08</t>
  </si>
  <si>
    <t>요즘 (-)&lt;br&gt;봉구 (-)&lt;br&gt;신형만 (-)&lt;br&gt;한메 (-)</t>
  </si>
  <si>
    <t>G241024204247</t>
  </si>
  <si>
    <t>2024-10-24 20:42</t>
  </si>
  <si>
    <t>ACDC (-)&lt;br&gt;재명 (-)&lt;br&gt;요즘 (-)&lt;br&gt;신형만 (-)</t>
  </si>
  <si>
    <t>한메 (-)&lt;br&gt;봉구 (-)&lt;br&gt;테리 (-)&lt;br&gt;재우 (-)</t>
  </si>
  <si>
    <t>G241005013400</t>
  </si>
  <si>
    <t>2024-10-05 01:33</t>
  </si>
  <si>
    <t>미등록 (-)&lt;br&gt;미르진 (23)&lt;br&gt;재명 (33)&lt;br&gt;한메 (31)</t>
  </si>
  <si>
    <t>강화 (-17)&lt;br&gt;신형만 (-29)&lt;br&gt;구리다 (-22)&lt;br&gt;엘 (-6)</t>
  </si>
  <si>
    <t>시즌5</t>
  </si>
  <si>
    <t>G241005010744</t>
  </si>
  <si>
    <t>2024-10-05 01:07</t>
  </si>
  <si>
    <t>미르진 (16)&lt;br&gt;구리다 (15)&lt;br&gt;신형만 (7)&lt;br&gt;강화 (24)</t>
  </si>
  <si>
    <t>한메 (-12)&lt;br&gt;재명 (-11)&lt;br&gt;미등록 (-)&lt;br&gt;엘 (-4)</t>
  </si>
  <si>
    <t>G241005000218</t>
  </si>
  <si>
    <t>2024-10-05 00:02</t>
  </si>
  <si>
    <t>웅 (-)&lt;br&gt;재명 (32)&lt;br&gt;구리다 (23)&lt;br&gt;강화 (33)</t>
  </si>
  <si>
    <t>ACDC (-18)&lt;br&gt;한메 (-17)&lt;br&gt;미르진 (-20)&lt;br&gt;엘 (-8)</t>
  </si>
  <si>
    <t>G241004231226</t>
  </si>
  <si>
    <t>2024-10-04 23:12</t>
  </si>
  <si>
    <t>강화 (32)&lt;br&gt;재명 (31)&lt;br&gt;테리 (-)&lt;br&gt;미르진 (17)</t>
  </si>
  <si>
    <t>엘 (-11)&lt;br&gt;한메 (-25)&lt;br&gt;웅 (-)&lt;br&gt;ACDC (-25)</t>
  </si>
  <si>
    <t>G241004224046</t>
  </si>
  <si>
    <t>2024-10-04 22:40</t>
  </si>
  <si>
    <t>재명 (32)&lt;br&gt;ACDC (16)&lt;br&gt;테리 (-)&lt;br&gt;미르진 (16)</t>
  </si>
  <si>
    <t>웅 (-)&lt;br&gt;한메 (-22)&lt;br&gt;강화 (-13)&lt;br&gt;엘 (-9)</t>
  </si>
  <si>
    <t>G241004003304</t>
  </si>
  <si>
    <t>2024-10-04 00:33</t>
  </si>
  <si>
    <t>ACDC (17)&lt;br&gt;신형만 (6)&lt;br&gt;미등록 (-)&lt;br&gt;깡패 (-)</t>
  </si>
  <si>
    <t>웅 (-)&lt;br&gt;한메 (-19)&lt;br&gt;아이딘 (-)&lt;br&gt;엘 (-6)</t>
  </si>
  <si>
    <t>G241003235648</t>
  </si>
  <si>
    <t>2024-10-03 23:56</t>
  </si>
  <si>
    <t>아이딘 (-)&lt;br&gt;한메 (12)&lt;br&gt;미등록 (-)&lt;br&gt;신형만 (6)</t>
  </si>
  <si>
    <t>노인 (-)&lt;br&gt;깡패 (-)&lt;br&gt;ACDC (-14)&lt;br&gt;엘 (-5)</t>
  </si>
  <si>
    <t>G241003233028</t>
  </si>
  <si>
    <t>2024-10-03 23:30</t>
  </si>
  <si>
    <t>한메 (9)&lt;br&gt;ACDC (12)&lt;br&gt;미등록 (-)&lt;br&gt;신형만 (5)</t>
  </si>
  <si>
    <t>엘 (-4)&lt;br&gt;노인 (-)&lt;br&gt;아이딘 (-)&lt;br&gt;미등록 (-)</t>
  </si>
  <si>
    <t>G241003225021</t>
  </si>
  <si>
    <t>2024-10-03 22:50</t>
  </si>
  <si>
    <t>아이딘 (-)&lt;br&gt;신형만 (13)&lt;br&gt;미등록 (-)&lt;br&gt;미등록 (-)</t>
  </si>
  <si>
    <t>엘 (-11)&lt;br&gt;노인 (-)&lt;br&gt;한메 (-27)&lt;br&gt;ACDC (-24)</t>
  </si>
  <si>
    <t>G241003000138</t>
  </si>
  <si>
    <t>2024-10-03 00:01</t>
  </si>
  <si>
    <t>신형만 (18)&lt;br&gt;재우 (31)&lt;br&gt;시아 (29)&lt;br&gt;깡패 (-)</t>
  </si>
  <si>
    <t>아이딘 (-)&lt;br&gt;ACDC (-22)&lt;br&gt;강화 (-13)&lt;br&gt;한메 (-25)</t>
  </si>
  <si>
    <t>G241002231537</t>
  </si>
  <si>
    <t>2024-10-02 23:15</t>
  </si>
  <si>
    <t>미등록 (-)&lt;br&gt;신형만 (16)&lt;br&gt;시아 (28)&lt;br&gt;ACDC (23)</t>
  </si>
  <si>
    <t>테리 (-)&lt;br&gt;한메 (-24)&lt;br&gt;강화 (-11)&lt;br&gt;재우 (-17)</t>
  </si>
  <si>
    <t>G241002224234</t>
  </si>
  <si>
    <t>2024-10-02 22:42</t>
  </si>
  <si>
    <t>미등록 (-)&lt;br&gt;테리 (-)&lt;br&gt;시아 (36)&lt;br&gt;재우 (35)</t>
  </si>
  <si>
    <t>신형만 (-26)&lt;br&gt;강화 (-17)&lt;br&gt;ACDC (-23)&lt;br&gt;미르진 (-23)</t>
  </si>
  <si>
    <t>G241002021059</t>
  </si>
  <si>
    <t>2024-10-02 02:10</t>
  </si>
  <si>
    <t>구리다 (16)&lt;br&gt;한메 (8)&lt;br&gt;신형만 (8)&lt;br&gt;ACDC (13)</t>
  </si>
  <si>
    <t>깡패 (-)&lt;br&gt;미등록 (-)&lt;br&gt;Leaf (-)&lt;br&gt;강화 (-8)</t>
  </si>
  <si>
    <t>G241002013134</t>
  </si>
  <si>
    <t>2024-10-02 01:31</t>
  </si>
  <si>
    <t>구리다 (18)&lt;br&gt;재우 (20)&lt;br&gt;ACDC (15)&lt;br&gt;한메 (9)</t>
  </si>
  <si>
    <t>강화 (-13)&lt;br&gt;깡패 (-)&lt;br&gt;Leaf (-)&lt;br&gt;악동 (-9)</t>
  </si>
  <si>
    <t>G241002005649</t>
  </si>
  <si>
    <t>2024-10-02 00:56</t>
  </si>
  <si>
    <t>구리다 (27)&lt;br&gt;신형만 (12)&lt;br&gt;재우 (30)&lt;br&gt;한메 (14)</t>
  </si>
  <si>
    <t>악동 (-12)&lt;br&gt;ACDC (-22)&lt;br&gt;Leaf (-)&lt;br&gt;강화 (-17)</t>
  </si>
  <si>
    <t>G241002004044</t>
  </si>
  <si>
    <t>2024-10-02 00:40</t>
  </si>
  <si>
    <t>한메 (16)&lt;br&gt;악동 (37)&lt;br&gt;신형만 (14)&lt;br&gt;강화 (29)</t>
  </si>
  <si>
    <t>재우 (-14)&lt;br&gt;구리다 (-16)&lt;br&gt;Leaf (-)&lt;br&gt;ACDC (-23)</t>
  </si>
  <si>
    <t>G241002000811</t>
  </si>
  <si>
    <t>2024-10-02 00:08</t>
  </si>
  <si>
    <t>신형만 (12)&lt;br&gt;ACDC (14)&lt;br&gt;구리다 (24)&lt;br&gt;한메 (14)</t>
  </si>
  <si>
    <t>강화 (-15)&lt;br&gt;악동 (-9)&lt;br&gt;Leaf (-)&lt;br&gt;재우 (-14)</t>
  </si>
  <si>
    <t>G241001233610</t>
  </si>
  <si>
    <t>2024-10-01 23:36</t>
  </si>
  <si>
    <t>구리다 (40)&lt;br&gt;재우 (39)&lt;br&gt;악동 (60)&lt;br&gt;한메 (28)</t>
  </si>
  <si>
    <t>신형만 (-25)&lt;br&gt;강화 (-19)&lt;br&gt;시아 (-16)&lt;br&gt;ACDC (-24)</t>
  </si>
  <si>
    <t>G241001225514</t>
  </si>
  <si>
    <t>2024-10-01 22:55</t>
  </si>
  <si>
    <t>ACDC (22)&lt;br&gt;한메 (28)&lt;br&gt;시아 (35)&lt;br&gt;악동 (-)</t>
  </si>
  <si>
    <t>구리다 (-16)&lt;br&gt;강화 (-22)&lt;br&gt;재우 (-16)&lt;br&gt;신형만 (-29)</t>
  </si>
  <si>
    <t>G241001031248</t>
  </si>
  <si>
    <t>2024-10-01 03:12</t>
  </si>
  <si>
    <t>ACDC (19)&lt;br&gt;신형만 (12)&lt;br&gt;구리다 (34)&lt;br&gt;조드 (31)</t>
  </si>
  <si>
    <t>랄 (-9)&lt;br&gt;강화 (-15)&lt;br&gt;악동 (-)&lt;br&gt;한메 (-15)</t>
  </si>
  <si>
    <t>G241001024019</t>
  </si>
  <si>
    <t>2024-10-01 02:40</t>
  </si>
  <si>
    <t>ACDC (19)&lt;br&gt;신형만 (11)&lt;br&gt;조드 (31)&lt;br&gt;강화 (21)</t>
  </si>
  <si>
    <t>랄 (-11)&lt;br&gt;악동 (-)&lt;br&gt;구리다 (-10)&lt;br&gt;한메 (-18)</t>
  </si>
  <si>
    <t>G241001015908</t>
  </si>
  <si>
    <t>2024-10-01 01:59</t>
  </si>
  <si>
    <t>악동 (-)&lt;br&gt;ACDC (25)&lt;br&gt;랄 (37)&lt;br&gt;신형만 (15)</t>
  </si>
  <si>
    <t>한메 (-25)&lt;br&gt;구리다 (-15)&lt;br&gt;조드 (-13)&lt;br&gt;강화 (-22)</t>
  </si>
  <si>
    <t>G241001013056</t>
  </si>
  <si>
    <t>2024-10-01 01:30</t>
  </si>
  <si>
    <t>한메 (16)&lt;br&gt;조드 (60)&lt;br&gt;ACDC (23)&lt;br&gt;미르진 (18)</t>
  </si>
  <si>
    <t>엘 (-10)&lt;br&gt;강화 (-23)&lt;br&gt;악동 (-)&lt;br&gt;재우 (-16)</t>
  </si>
  <si>
    <t>G241001005753</t>
  </si>
  <si>
    <t>2024-10-01 00:57</t>
  </si>
  <si>
    <t>악동 (-)&lt;br&gt;조드 (-)&lt;br&gt;강화 (27)&lt;br&gt;미르진 (29)</t>
  </si>
  <si>
    <t>미등록 (-)&lt;br&gt;ACDC (-22)&lt;br&gt;한메 (-27)&lt;br&gt;재우 (-21)</t>
  </si>
  <si>
    <t>G241001002436</t>
  </si>
  <si>
    <t>2024-10-01 00:24</t>
  </si>
  <si>
    <t>ACDC (30)&lt;br&gt;한메 (21)&lt;br&gt;악동 (-)&lt;br&gt;조드 (-)</t>
  </si>
  <si>
    <t>엘 (-14)&lt;br&gt;강화 (-26)&lt;br&gt;미르진 (-25)&lt;br&gt;재우 (-23)</t>
  </si>
  <si>
    <t>G240930235834</t>
  </si>
  <si>
    <t>2024-09-30 23:58</t>
  </si>
  <si>
    <t>엘 (50)&lt;br&gt;미르진 (24)&lt;br&gt;강화 (21)&lt;br&gt;한메 (21)</t>
  </si>
  <si>
    <t>노픽업 (-15)&lt;br&gt;ACDC (-13)&lt;br&gt;조드 (-)&lt;br&gt;재우 (-15)</t>
  </si>
  <si>
    <t>G240927003156</t>
  </si>
  <si>
    <t>2024-09-27 00:31</t>
  </si>
  <si>
    <t>신형만 (14)&lt;br&gt;재우 (23)&lt;br&gt;강화 (21)&lt;br&gt;엘 (-)</t>
  </si>
  <si>
    <t>랄 (-12)&lt;br&gt;구리다 (-14)&lt;br&gt;미등록 (-)&lt;br&gt;ACDC (-19)</t>
  </si>
  <si>
    <t>G240927000204</t>
  </si>
  <si>
    <t>2024-09-27 00:02</t>
  </si>
  <si>
    <t>랄 (36)&lt;br&gt;재우 (26)&lt;br&gt;신형만 (15)&lt;br&gt;ACDC (25)</t>
  </si>
  <si>
    <t>구리다 (-12)&lt;br&gt;강화 (-16)&lt;br&gt;미등록 (-)&lt;br&gt;엘 (-)</t>
  </si>
  <si>
    <t>G240926231619</t>
  </si>
  <si>
    <t>2024-09-26 23:16</t>
  </si>
  <si>
    <t>재우 (31)&lt;br&gt;구리다 (33)&lt;br&gt;강화 (24)&lt;br&gt;미르진 (26)</t>
  </si>
  <si>
    <t>엘 (-)&lt;br&gt;랄 (-13)&lt;br&gt;신형만 (-27)&lt;br&gt;ACDC (-21)</t>
  </si>
  <si>
    <t>G240926225042</t>
  </si>
  <si>
    <t>2024-09-26 22:50</t>
  </si>
  <si>
    <t>신형만 (13)&lt;br&gt;한메 (20)&lt;br&gt;강화 (24)&lt;br&gt;ACDC (24)</t>
  </si>
  <si>
    <t>구리다 (-11)&lt;br&gt;재우 (-12)&lt;br&gt;미르진 (-14)&lt;br&gt;재명 (-8)</t>
  </si>
  <si>
    <t>G240926221838</t>
  </si>
  <si>
    <t>2024-09-26 22:18</t>
  </si>
  <si>
    <t>ACDC (28)&lt;br&gt;미르진 (26)&lt;br&gt;한메 (23)&lt;br&gt;신형만 (15)</t>
  </si>
  <si>
    <t>구리다 (-14)&lt;br&gt;강화 (-18)&lt;br&gt;재명 (-11)&lt;br&gt;재우 (-16)</t>
  </si>
  <si>
    <t>G240926214707</t>
  </si>
  <si>
    <t>2024-09-26 21:47</t>
  </si>
  <si>
    <t>ACDC (35)&lt;br&gt;신형만 (19)&lt;br&gt;미르진 (32)&lt;br&gt;구리다 (35)</t>
  </si>
  <si>
    <t>강화 (-16)&lt;br&gt;재명 (-11)&lt;br&gt;한메 (-16)&lt;br&gt;재우 (-15)</t>
  </si>
  <si>
    <t>G240926000752</t>
  </si>
  <si>
    <t>2024-09-26 00:07</t>
  </si>
  <si>
    <t>키키 (-)&lt;br&gt;신형만 (19)&lt;br&gt;제로스 (-)&lt;br&gt;랄 (39)</t>
  </si>
  <si>
    <t>ACDC (-21)&lt;br&gt;미르진 (-23)&lt;br&gt;재우 (-25)&lt;br&gt;재명 (-20)</t>
  </si>
  <si>
    <t>G240925232600</t>
  </si>
  <si>
    <t>2024-09-25 23:25</t>
  </si>
  <si>
    <t>키키 (-)&lt;br&gt;재우 (23)&lt;br&gt;ACDC (31)&lt;br&gt;미르진 (28)</t>
  </si>
  <si>
    <t>제로스 (-)&lt;br&gt;재명 (-20)&lt;br&gt;신형만 (-28)&lt;br&gt;랄 (-14)</t>
  </si>
  <si>
    <t>G240925223851</t>
  </si>
  <si>
    <t>2024-09-25 22:38</t>
  </si>
  <si>
    <t>미르진 (30)&lt;br&gt;신형만 (15)&lt;br&gt;제로스 (-)&lt;br&gt;재우 (24)</t>
  </si>
  <si>
    <t>키키 (-)&lt;br&gt;ACDC (-19)&lt;br&gt;재명 (-22)&lt;br&gt;랄 (-15)</t>
  </si>
  <si>
    <t>G240924002439</t>
  </si>
  <si>
    <t>2024-09-24 00:24</t>
  </si>
  <si>
    <t>한메 (30)&lt;br&gt;짱구 (-)&lt;br&gt;재우 (36)&lt;br&gt;엘 (-)</t>
  </si>
  <si>
    <t>구리다 (-19)&lt;br&gt;ACDC (-21)&lt;br&gt;신형만 (-29)&lt;br&gt;강화 (-27)</t>
  </si>
  <si>
    <t>G240924002311</t>
  </si>
  <si>
    <t>2024-09-24 00:23</t>
  </si>
  <si>
    <t>신형만 (15)&lt;br&gt;ACDC (30)&lt;br&gt;강화 (19)&lt;br&gt;짱구 (-)</t>
  </si>
  <si>
    <t>재우 (-14)&lt;br&gt;한메 (-18)&lt;br&gt;구리다 (-14)&lt;br&gt;엘 (-)</t>
  </si>
  <si>
    <t>G240924001846</t>
  </si>
  <si>
    <t>2024-09-24 00:18</t>
  </si>
  <si>
    <t>엘 (-)&lt;br&gt;강화 (20)&lt;br&gt;테리 (-)&lt;br&gt;미등록 (-)</t>
  </si>
  <si>
    <t>재우 (-18)&lt;br&gt;ACDC (-19)&lt;br&gt;짱구 (-)&lt;br&gt;한메 (-21)</t>
  </si>
  <si>
    <t>G240924001650</t>
  </si>
  <si>
    <t>2024-09-24 00:16</t>
  </si>
  <si>
    <t>엘 (-)&lt;br&gt;테리 (-)&lt;br&gt;짱구 (-)&lt;br&gt;미등록 (-)</t>
  </si>
  <si>
    <t>한메 (-25)&lt;br&gt;강화 (-26)&lt;br&gt;ACDC (-23)&lt;br&gt;재우 (-22)</t>
  </si>
  <si>
    <t>G240923235603</t>
  </si>
  <si>
    <t>2024-09-23 23:56</t>
  </si>
  <si>
    <t>웅 (-)&lt;br&gt;ACDC (21)&lt;br&gt;재우 (24)&lt;br&gt;신형만 (13)</t>
  </si>
  <si>
    <t>짱구 (-)&lt;br&gt;강화 (-23)&lt;br&gt;구리다 (-15)&lt;br&gt;엘 (-)</t>
  </si>
  <si>
    <t>G240920213536</t>
  </si>
  <si>
    <t>2024-09-20 21:35</t>
  </si>
  <si>
    <t>신형만 (16)&lt;br&gt;재우 (28)&lt;br&gt;강화 (17)&lt;br&gt;재명 (26)</t>
  </si>
  <si>
    <t>미르진 (-13)&lt;br&gt;미등록 (-)&lt;br&gt;시아 (-14)&lt;br&gt;미등록 (-)</t>
  </si>
  <si>
    <t>G240920003654</t>
  </si>
  <si>
    <t>2024-09-20 00:36</t>
  </si>
  <si>
    <t>제로스 (-)&lt;br&gt;미르진 (32)&lt;br&gt;윙크 (-)&lt;br&gt;한메 (17)</t>
  </si>
  <si>
    <t>구리다 (-17)&lt;br&gt;ACDC (-16)&lt;br&gt;Leaf (-)&lt;br&gt;미등록 (-)</t>
  </si>
  <si>
    <t>G240919233047</t>
  </si>
  <si>
    <t>2024-09-19 23:30</t>
  </si>
  <si>
    <t>윙크 (-)&lt;br&gt;한메 (20)&lt;br&gt;Leaf (-)&lt;br&gt;미등록 (-)</t>
  </si>
  <si>
    <t>미르진 (-23)&lt;br&gt;구리다 (-31)&lt;br&gt;제로스 (-)&lt;br&gt;ACDC (-29)</t>
  </si>
  <si>
    <t>G240919230345</t>
  </si>
  <si>
    <t>2024-09-19 23:03</t>
  </si>
  <si>
    <t>미등록 (-)&lt;br&gt;한메 (19)&lt;br&gt;Leaf (-)&lt;br&gt;ACDC (23)</t>
  </si>
  <si>
    <t>제로스 (-)&lt;br&gt;미르진 (-14)&lt;br&gt;윙크 (-)&lt;br&gt;구리다 (-22)</t>
  </si>
  <si>
    <t>G240918231335</t>
  </si>
  <si>
    <t>2024-09-18 23:13</t>
  </si>
  <si>
    <t>강화 (24)&lt;br&gt;조드 (-)&lt;br&gt;구리다 (25)&lt;br&gt;ACDC (33)</t>
  </si>
  <si>
    <t>랄 (-12)&lt;br&gt;재명 (-16)&lt;br&gt;미등록 (-)&lt;br&gt;신형만 (-22)</t>
  </si>
  <si>
    <t>G240918223754</t>
  </si>
  <si>
    <t>2024-09-18 22:37</t>
  </si>
  <si>
    <t>신형만 (16)&lt;br&gt;재명 (28)&lt;br&gt;미등록 (-)&lt;br&gt;강화 (21)</t>
  </si>
  <si>
    <t>ACDC (-13)&lt;br&gt;조드 (-)&lt;br&gt;구리다 (-18)&lt;br&gt;랄 (-10)</t>
  </si>
  <si>
    <t>G240918220005</t>
  </si>
  <si>
    <t>2024-09-18 22:00</t>
  </si>
  <si>
    <t>랄 (36)&lt;br&gt;재명 (32)&lt;br&gt;구리다 (22)&lt;br&gt;신형만 (18)</t>
  </si>
  <si>
    <t>미등록 (-)&lt;br&gt;강화 (-17)&lt;br&gt;ACDC (-14)&lt;br&gt;조드 (-)</t>
  </si>
  <si>
    <t>G240914025409</t>
  </si>
  <si>
    <t>2024-09-14 02:54</t>
  </si>
  <si>
    <t>신형만 (21)&lt;br&gt;재명 (36)&lt;br&gt;시아 (30)&lt;br&gt;악동 (-)</t>
  </si>
  <si>
    <t>미등록 (-)&lt;br&gt;구리다 (-19)&lt;br&gt;미르진 (-16)&lt;br&gt;랄 (-12)</t>
  </si>
  <si>
    <t>G240914021545</t>
  </si>
  <si>
    <t>2024-09-14 02:15</t>
  </si>
  <si>
    <t>재명 (37)&lt;br&gt;구리다 (19)&lt;br&gt;시아 (30)&lt;br&gt;신형만 (20)</t>
  </si>
  <si>
    <t>미등록 (-)&lt;br&gt;랄 (40)&lt;br&gt;미르진 (-18)&lt;br&gt;악동 (-)</t>
  </si>
  <si>
    <t>G240914010055</t>
  </si>
  <si>
    <t>2024-09-14 01:00</t>
  </si>
  <si>
    <t>강화 (29)&lt;br&gt;구리다 (30)&lt;br&gt;랄 (-)&lt;br&gt;노픽업 (25)</t>
  </si>
  <si>
    <t>미르진 (-22)&lt;br&gt;ACDC (-22)&lt;br&gt;신형만 (-25)&lt;br&gt;미등록 (-)</t>
  </si>
  <si>
    <t>G240914002421</t>
  </si>
  <si>
    <t>2024-09-14 00:24</t>
  </si>
  <si>
    <t>강화 (33)&lt;br&gt;노픽업 (28)&lt;br&gt;신형만 (29)&lt;br&gt;랄 (-)</t>
  </si>
  <si>
    <t>미르진 (-25)&lt;br&gt;구리다 (-24)&lt;br&gt;ACDC (-25)&lt;br&gt;미등록 (-)</t>
  </si>
  <si>
    <t>G240913235551</t>
  </si>
  <si>
    <t>2024-09-13 23:55</t>
  </si>
  <si>
    <t>랄 (-)&lt;br&gt;미르진 (31)&lt;br&gt;노픽업 (32)&lt;br&gt;구리다 (32)</t>
  </si>
  <si>
    <t>미등록 (-)&lt;br&gt;ACDC (-24)&lt;br&gt;신형만 (-24)&lt;br&gt;강화 (-21)</t>
  </si>
  <si>
    <t>G240913231542</t>
  </si>
  <si>
    <t>2024-09-13 23:15</t>
  </si>
  <si>
    <t>미르진 (29)&lt;br&gt;구리다 (30)&lt;br&gt;노픽업 (30)&lt;br&gt;ACDC (23)</t>
  </si>
  <si>
    <t>미등록 (-)&lt;br&gt;랄 (-)&lt;br&gt;강화 (-15)&lt;br&gt;신형만 (-18)</t>
  </si>
  <si>
    <t>G240913224002</t>
  </si>
  <si>
    <t>2024-09-13 22:40</t>
  </si>
  <si>
    <t>신형만 (17)&lt;br&gt;구리다 (29)&lt;br&gt;ACDC (21)&lt;br&gt;강화 (23)</t>
  </si>
  <si>
    <t>랄 (-)&lt;br&gt;노픽업 (-13)&lt;br&gt;미르진 (-16)&lt;br&gt;미등록 (-)</t>
  </si>
  <si>
    <t>G240913001656</t>
  </si>
  <si>
    <t>2024-09-13 00:16</t>
  </si>
  <si>
    <t>신형만 (20)&lt;br&gt;봉구 (-)&lt;br&gt;ACDC (23)&lt;br&gt;한메 (22)</t>
  </si>
  <si>
    <t>구리다 (-18)&lt;br&gt;재명 (-12)&lt;br&gt;노픽업 (-20)&lt;br&gt;재우 (-20)</t>
  </si>
  <si>
    <t>G240912234817</t>
  </si>
  <si>
    <t>2024-09-12 23:48</t>
  </si>
  <si>
    <t>재우 (30)&lt;br&gt;노픽업 (28)&lt;br&gt;신형만 (25)&lt;br&gt;재명 (42)</t>
  </si>
  <si>
    <t>구리다 (-15)&lt;br&gt;한메 (-18)&lt;br&gt;봉구 (-)&lt;br&gt;ACDC (-17)</t>
  </si>
  <si>
    <t>G240912233541</t>
  </si>
  <si>
    <t>2024-09-12 23:35</t>
  </si>
  <si>
    <t>ACDC (25)&lt;br&gt;봉구 (-)&lt;br&gt;노픽업 (29)&lt;br&gt;한메 (23)</t>
  </si>
  <si>
    <t>재우 (-17)&lt;br&gt;재명 (-10)&lt;br&gt;신형만 (-20)&lt;br&gt;구리다 (-18)</t>
  </si>
  <si>
    <t>G240912225206</t>
  </si>
  <si>
    <t>2024-09-12 22:52</t>
  </si>
  <si>
    <t>신형만 (24)&lt;br&gt;구리다 (28)&lt;br&gt;테리 (-)&lt;br&gt;봉구 (-)</t>
  </si>
  <si>
    <t>ACDC (-23)&lt;br&gt;재명 (-13)&lt;br&gt;노픽업 (-19)&lt;br&gt;한메 (-24)</t>
  </si>
  <si>
    <t>G240912221746</t>
  </si>
  <si>
    <t>2024-09-12 22:17</t>
  </si>
  <si>
    <t>ACDC (20)&lt;br&gt;한메 (18)&lt;br&gt;신형만 (21)&lt;br&gt;봉구 (-)</t>
  </si>
  <si>
    <t>재명 (-12)&lt;br&gt;테리 (-)&lt;br&gt;시아 (-15)&lt;br&gt;구리다 (-19)</t>
  </si>
  <si>
    <t>G240912214418</t>
  </si>
  <si>
    <t>2024-09-12 21:44</t>
  </si>
  <si>
    <t>구리다 (26)&lt;br&gt;테리 (-)&lt;br&gt;ACDC (25)&lt;br&gt;한메 (23)</t>
  </si>
  <si>
    <t>재명 (-11)&lt;br&gt;신형만 (-17)&lt;br&gt;시아 (-14)&lt;br&gt;봉구 (-)</t>
  </si>
  <si>
    <t>G240911001314</t>
  </si>
  <si>
    <t>2024-09-11 00:13</t>
  </si>
  <si>
    <t>강화 (27)&lt;br&gt;신형만 (27)&lt;br&gt;재우 (30)&lt;br&gt;미등록 (-)</t>
  </si>
  <si>
    <t>한메 (-16)&lt;br&gt;ACDC (-14)&lt;br&gt;재명 (-10)&lt;br&gt;구리다 (-14)</t>
  </si>
  <si>
    <t>G240910233610</t>
  </si>
  <si>
    <t>2024-09-10 23:36</t>
  </si>
  <si>
    <t>구리다 (30)&lt;br&gt;미르진 (27)&lt;br&gt;재우 (34)&lt;br&gt;강화 (30)</t>
  </si>
  <si>
    <t>재명 (-12)&lt;br&gt;신형만 (-16)&lt;br&gt;ACDC (-16)&lt;br&gt;미등록 (-)</t>
  </si>
  <si>
    <t>G240910224359</t>
  </si>
  <si>
    <t>2024-09-10 22:43</t>
  </si>
  <si>
    <t>구리다 (30)&lt;br&gt;미르진 (26)&lt;br&gt;ACDC (24)&lt;br&gt;신형만 (25)</t>
  </si>
  <si>
    <t>미등록 (-)&lt;br&gt;재명 (-12)&lt;br&gt;재우 (-12)&lt;br&gt;강화 (-14)</t>
  </si>
  <si>
    <t>G240909230017</t>
  </si>
  <si>
    <t>2024-09-09 23:00</t>
  </si>
  <si>
    <t>강화 (31)&lt;br&gt;신형만 (30)&lt;br&gt;시아 (30)&lt;br&gt;한메 (25)</t>
  </si>
  <si>
    <t>조심 (-15)&lt;br&gt;ACDC (-16)&lt;br&gt;랄 (-)&lt;br&gt;노픽업 (-15)</t>
  </si>
  <si>
    <t>G240909223343</t>
  </si>
  <si>
    <t>2024-09-09 22:33</t>
  </si>
  <si>
    <t>강화 (32)&lt;br&gt;ACDC (25)&lt;br&gt;노픽업 (26)&lt;br&gt;한메 (26)</t>
  </si>
  <si>
    <t>랄 (-)&lt;br&gt;신형만 (-14)&lt;br&gt;시아 (-13)&lt;br&gt;조심 (-16)</t>
  </si>
  <si>
    <t>G240909221612</t>
  </si>
  <si>
    <t>2024-09-09 22:16</t>
  </si>
  <si>
    <t>ACDC (28)&lt;br&gt;랄 (-)&lt;br&gt;신형만 (30)&lt;br&gt;조심 (26)</t>
  </si>
  <si>
    <t>시아 (-14)&lt;br&gt;노픽업 (-15)&lt;br&gt;한메 (-16)&lt;br&gt;강화 (-13)</t>
  </si>
  <si>
    <t>G240909215435</t>
  </si>
  <si>
    <t>2024-09-09 21:54</t>
  </si>
  <si>
    <t>신형만 (36)&lt;br&gt;노픽업 (30)&lt;br&gt;시아 (31)&lt;br&gt;ACDC (34)</t>
  </si>
  <si>
    <t>강화 (-15)&lt;br&gt;랄 (-)&lt;br&gt;한메 (-18)&lt;br&gt;조심 (-17)</t>
  </si>
  <si>
    <t>G240905232932</t>
  </si>
  <si>
    <t>2024-09-05 23:29</t>
  </si>
  <si>
    <t>미르진 (26)&lt;br&gt;조심 (22)&lt;br&gt;구리다 (40)&lt;br&gt;한메 (21)</t>
  </si>
  <si>
    <t>윙크 (-)&lt;br&gt;노픽업 (-15)&lt;br&gt;시아 (30)&lt;br&gt;신형만 (-13)</t>
  </si>
  <si>
    <t>G240905232853</t>
  </si>
  <si>
    <t>2024-09-05 23:28</t>
  </si>
  <si>
    <t>윙크 (-)&lt;br&gt;조심 (27)&lt;br&gt;시아 (-)&lt;br&gt;한메 (26)</t>
  </si>
  <si>
    <t>미르진 (50)&lt;br&gt;노픽업 (-21)&lt;br&gt;구리다 (-)&lt;br&gt;신형만 (-18)</t>
  </si>
  <si>
    <t>G240905221637</t>
  </si>
  <si>
    <t>2024-09-05 22:16</t>
  </si>
  <si>
    <t>미르진 (-)&lt;br&gt;노픽업 (80)&lt;br&gt;구리다 (-)&lt;br&gt;조심 (29)</t>
  </si>
  <si>
    <t>윙크 (-)&lt;br&gt;신형만 (-22)&lt;br&gt;시아 (-)&lt;br&gt;한메 (70)</t>
  </si>
  <si>
    <t>G240905214551</t>
  </si>
  <si>
    <t>2024-09-05 21:45</t>
  </si>
  <si>
    <t>미르진 (-)&lt;br&gt;신형만 (29)&lt;br&gt;구리다 (-)&lt;br&gt;한메 (-)</t>
  </si>
  <si>
    <t>윙크 (-)&lt;br&gt;노픽업 (-)&lt;br&gt;시아 (-)&lt;br&gt;조심 (30)</t>
  </si>
  <si>
    <t>G240904233452</t>
  </si>
  <si>
    <t>2024-09-04 23:34</t>
  </si>
  <si>
    <t>한메 (-)&lt;br&gt;노픽업 (-)&lt;br&gt;강화 (50)&lt;br&gt;재우 (50)</t>
  </si>
  <si>
    <t>신형만 (-16)&lt;br&gt;재명 (-17)&lt;br&gt;시아 (-)&lt;br&gt;조심 (-)</t>
  </si>
  <si>
    <t>G240904225641</t>
  </si>
  <si>
    <t>2024-09-04 22:56</t>
  </si>
  <si>
    <t>강화 (-)&lt;br&gt;재우 (-)&lt;br&gt;한메 (-)&lt;br&gt;조심 (-)</t>
  </si>
  <si>
    <t>신형만 (50)&lt;br&gt;재명 (-19)&lt;br&gt;시아 (-)&lt;br&gt;노픽업 (-)</t>
  </si>
  <si>
    <t>G240904225609</t>
  </si>
  <si>
    <t>신형만 (-)&lt;br&gt;노픽업 (-)&lt;br&gt;시아 (-)&lt;br&gt;한메 (-)</t>
  </si>
  <si>
    <t>강화 (-)&lt;br&gt;재명 (80)&lt;br&gt;조심 (-)&lt;br&gt;재우 (-)</t>
  </si>
  <si>
    <t>G240904212958</t>
  </si>
  <si>
    <t>2024-09-04 21:29</t>
  </si>
  <si>
    <t>신형만 (-)&lt;br&gt;노픽업 (-)&lt;br&gt;재명 (-)&lt;br&gt;재우 (-)</t>
  </si>
  <si>
    <t>강화 (-)&lt;br&gt;조심 (-)&lt;br&gt;시아 (-)&lt;br&gt;한메 (-)</t>
  </si>
  <si>
    <t>G240904013217</t>
  </si>
  <si>
    <t>2024-09-04 01:32</t>
  </si>
  <si>
    <t>미등록 (-)&lt;br&gt;구리다 (-)&lt;br&gt;재명 (-)&lt;br&gt;재우 (-)</t>
  </si>
  <si>
    <t>강화 (-)&lt;br&gt;ACDC (30)&lt;br&gt;미등록 (-)&lt;br&gt;조드 (-)</t>
  </si>
  <si>
    <t>G240904005229</t>
  </si>
  <si>
    <t>2024-09-04 00:52</t>
  </si>
  <si>
    <t>미등록 (-)&lt;br&gt;ACDC (-)&lt;br&gt;재명 (-)&lt;br&gt;조드 (-)</t>
  </si>
  <si>
    <t>강화 (-)&lt;br&gt;구리다 (-)&lt;br&gt;제로스 (-)&lt;br&gt;재우 (-)</t>
  </si>
  <si>
    <t>G240903234030</t>
  </si>
  <si>
    <t>2024-09-03 23:40</t>
  </si>
  <si>
    <t>재명 (-)&lt;br&gt;강화 (-)&lt;br&gt;조드 (-)&lt;br&gt;노픽업 (-)</t>
  </si>
  <si>
    <t>ACDC (-)&lt;br&gt;구리다 (-)&lt;br&gt;재우 (-)&lt;br&gt;조심 (-)</t>
  </si>
  <si>
    <t>G240903225839</t>
  </si>
  <si>
    <t>2024-09-03 22:58</t>
  </si>
  <si>
    <t>신형만 (-)&lt;br&gt;재명 (-)&lt;br&gt;강화 (-)&lt;br&gt;노픽업 (-)</t>
  </si>
  <si>
    <t>재우 (-)&lt;br&gt;ACDC (-)&lt;br&gt;구리다 (-)&lt;br&gt;미르진 (-)</t>
  </si>
  <si>
    <t>G240903222600</t>
  </si>
  <si>
    <t>2024-09-03 22:25</t>
  </si>
  <si>
    <t>미르진 (-)&lt;br&gt;재우 (-)&lt;br&gt;노픽업 (-)&lt;br&gt;재명 (-)</t>
  </si>
  <si>
    <t>구리다 (-)&lt;br&gt;강화 (-)&lt;br&gt;신형만 (-)&lt;br&gt;ACDC (-)</t>
  </si>
  <si>
    <t>G240903215151</t>
  </si>
  <si>
    <t>2024-09-03 21:51</t>
  </si>
  <si>
    <t>ACDC (-)&lt;br&gt;노픽업 (-)&lt;br&gt;강화 (-)&lt;br&gt;미르진 (-)</t>
  </si>
  <si>
    <t>재명 (-)&lt;br&gt;재우 (-)&lt;br&gt;신형만 (-)&lt;br&gt;구리다 (-)</t>
  </si>
  <si>
    <t>G240902235145</t>
  </si>
  <si>
    <t>2024-09-02 23:51</t>
  </si>
  <si>
    <t>ACDC (-)&lt;br&gt;재명 (-)&lt;br&gt;조심 (-)&lt;br&gt;한메 (-)</t>
  </si>
  <si>
    <t>미르진 (-)&lt;br&gt;짱구 (-)&lt;br&gt;신형만 (-)&lt;br&gt;미등록 (-)</t>
  </si>
  <si>
    <t>G240902230445</t>
  </si>
  <si>
    <t>2024-09-02 23:04</t>
  </si>
  <si>
    <t>신형만 (-)&lt;br&gt;깡패 (-)&lt;br&gt;재명 (-)&lt;br&gt;한메 (-)</t>
  </si>
  <si>
    <t>ACDC (-)&lt;br&gt;조심 (-)&lt;br&gt;짱구 (-)&lt;br&gt;미르진 (-)</t>
  </si>
  <si>
    <t>G240902223218</t>
  </si>
  <si>
    <t>2024-09-02 22:32</t>
  </si>
  <si>
    <t>깡패 (-)&lt;br&gt;조심 (-)&lt;br&gt;시아 (-)&lt;br&gt;짱구 (-)</t>
  </si>
  <si>
    <t>미르진 (-)&lt;br&gt;신형만 (-)&lt;br&gt;한메 (-)&lt;br&gt;ACDC (-)</t>
  </si>
  <si>
    <t>G240902215005</t>
  </si>
  <si>
    <t>2024-09-02 21:50</t>
  </si>
  <si>
    <t>신형만 (-)&lt;br&gt;짱구 (-)&lt;br&gt;한메 (-)&lt;br&gt;미르진 (-)</t>
  </si>
  <si>
    <t>ACDC (-)&lt;br&gt;깡패 (-)&lt;br&gt;시아 (-)&lt;br&gt;조심 (-)</t>
  </si>
  <si>
    <t>G240828233815</t>
  </si>
  <si>
    <t>2024-08-28 23:38</t>
  </si>
  <si>
    <t>신형만 (16)&lt;br&gt;구리다 (29)&lt;br&gt;짱구 (27)&lt;br&gt;한메 (23)</t>
  </si>
  <si>
    <t>강화 (-14)&lt;br&gt;ACDC (-18)&lt;br&gt;조심 (-18)&lt;br&gt;재우 (70)</t>
  </si>
  <si>
    <t>시즌4</t>
  </si>
  <si>
    <t>G240828231158</t>
  </si>
  <si>
    <t>2024-08-28 23:11</t>
  </si>
  <si>
    <t>신형만 (22)&lt;br&gt;ACDC (32)&lt;br&gt;짱구 (34)&lt;br&gt;재우 (-)</t>
  </si>
  <si>
    <t>강화 (-23)&lt;br&gt;구리다 (-23)&lt;br&gt;조심 (-29)&lt;br&gt;한메 (-28)</t>
  </si>
  <si>
    <t>G240828224913</t>
  </si>
  <si>
    <t>2024-08-28 22:49</t>
  </si>
  <si>
    <t>강화 (35)&lt;br&gt;ACDC (35)&lt;br&gt;조심 (27)&lt;br&gt;재우 (-)</t>
  </si>
  <si>
    <t>신형만 (-24)&lt;br&gt;구리다 (-19)&lt;br&gt;테리 (-)&lt;br&gt;한메 (-22)</t>
  </si>
  <si>
    <t>G240828220735</t>
  </si>
  <si>
    <t>2024-08-28 22:07</t>
  </si>
  <si>
    <t>ACDC (36)&lt;br&gt;조심 (27)&lt;br&gt;신형만 (18)&lt;br&gt;재우 (-)</t>
  </si>
  <si>
    <t>강화 (-18)&lt;br&gt;한메 (-26)&lt;br&gt;테리 (-)&lt;br&gt;구리다 (-22)</t>
  </si>
  <si>
    <t>G240828214246</t>
  </si>
  <si>
    <t>2024-08-28 21:42</t>
  </si>
  <si>
    <t>신형만 (17)&lt;br&gt;재우 (-)&lt;br&gt;한메 (16)&lt;br&gt;강화 (31)</t>
  </si>
  <si>
    <t>구리다 (-16)&lt;br&gt;ACDC (-10)&lt;br&gt;테리 (-)&lt;br&gt;조심 (-15)</t>
  </si>
  <si>
    <t>G240828003052</t>
  </si>
  <si>
    <t>2024-08-28 00:30</t>
  </si>
  <si>
    <t>신형만 (18)&lt;br&gt;구리다 (21)&lt;br&gt;조심 (24)&lt;br&gt;재우 (-)</t>
  </si>
  <si>
    <t>강화 (-14)&lt;br&gt;ACDC (-13)&lt;br&gt;미등록 (-)&lt;br&gt;조드 (-16)</t>
  </si>
  <si>
    <t>G240827235535</t>
  </si>
  <si>
    <t>2024-08-27 23:55</t>
  </si>
  <si>
    <t>조심 (32)&lt;br&gt;구리다 (28)&lt;br&gt;신형만 (25)&lt;br&gt;재우 (-)</t>
  </si>
  <si>
    <t>ACDC (-16)&lt;br&gt;짱구 (-17)&lt;br&gt;강화 (-16)&lt;br&gt;한메 (-24)</t>
  </si>
  <si>
    <t>G240827230533</t>
  </si>
  <si>
    <t>2024-08-27 23:05</t>
  </si>
  <si>
    <t>신형만 (22)&lt;br&gt;테리 (-)&lt;br&gt;ACDC (30)&lt;br&gt;한메 (14)</t>
  </si>
  <si>
    <t>강화 (-14)&lt;br&gt;조심 (-14)&lt;br&gt;짱구 (-14)&lt;br&gt;재우 (-)</t>
  </si>
  <si>
    <t>G240827222336</t>
  </si>
  <si>
    <t>2024-08-27 22:23</t>
  </si>
  <si>
    <t>한메 (15)&lt;br&gt;테리 (-)&lt;br&gt;강화 (27)&lt;br&gt;짱구 (27)</t>
  </si>
  <si>
    <t>ACDC (-12)&lt;br&gt;신형만 (-17)&lt;br&gt;재우 (-)&lt;br&gt;조심 (-15)</t>
  </si>
  <si>
    <t>G240827215141</t>
  </si>
  <si>
    <t>2024-08-27 21:51</t>
  </si>
  <si>
    <t>재우 (-)&lt;br&gt;강화 (39)&lt;br&gt;테리 (-)&lt;br&gt;짱구 (38)</t>
  </si>
  <si>
    <t>한메 (-22)&lt;br&gt;신형만 (-21)&lt;br&gt;ACDC (-16)&lt;br&gt;조심 (-19)</t>
  </si>
  <si>
    <t>G240822234959</t>
  </si>
  <si>
    <t>2024-08-22 23:49</t>
  </si>
  <si>
    <t>테리 (-)&lt;br&gt;미등록 (-)&lt;br&gt;한메 (22)&lt;br&gt;조드 (32)</t>
  </si>
  <si>
    <t>신형만 (-24)&lt;br&gt;ACDC (-17)&lt;br&gt;지피 (-)&lt;br&gt;조심 (-21)</t>
  </si>
  <si>
    <t>G240822232025</t>
  </si>
  <si>
    <t>2024-08-22 23:20</t>
  </si>
  <si>
    <t>신형만 (20)&lt;br&gt;구리다 (29)&lt;br&gt;한메 (19)&lt;br&gt;조드 (30)</t>
  </si>
  <si>
    <t>강화 (-11)&lt;br&gt;ACDC (-15)&lt;br&gt;짱구 (-12)&lt;br&gt;조심 (-19)</t>
  </si>
  <si>
    <t>G240822225449</t>
  </si>
  <si>
    <t>2024-08-22 22:54</t>
  </si>
  <si>
    <t>신형만 (20)&lt;br&gt;ACDC (27)&lt;br&gt;한메 (19)&lt;br&gt;조심 (20)</t>
  </si>
  <si>
    <t>강화 (-11)&lt;br&gt;구리다 (-14)&lt;br&gt;짱구 (-12)&lt;br&gt;조드 (-11)</t>
  </si>
  <si>
    <t>G240822221951</t>
  </si>
  <si>
    <t>2024-08-22 22:19</t>
  </si>
  <si>
    <t>조심 (25)&lt;br&gt;강화 (35)&lt;br&gt;간달프 (24)&lt;br&gt;한메 (23)</t>
  </si>
  <si>
    <t>윙크 (-)&lt;br&gt;ACDC (-20)&lt;br&gt;구리다 (-22)&lt;br&gt;신형만 (-26)</t>
  </si>
  <si>
    <t>G240822215734</t>
  </si>
  <si>
    <t>2024-08-22 21:57</t>
  </si>
  <si>
    <t>한메 (24)&lt;br&gt;조심 (26)&lt;br&gt;간달프 (25)&lt;br&gt;구리다 (25)</t>
  </si>
  <si>
    <t>ACDC (-14)&lt;br&gt;신형만 (-18)&lt;br&gt;윙크 (-)&lt;br&gt;강화 (-10)</t>
  </si>
  <si>
    <t>G240821235052</t>
  </si>
  <si>
    <t>2024-08-21 23:50</t>
  </si>
  <si>
    <t>강화 (38)&lt;br&gt;미등록 (-)&lt;br&gt;간달프 (29)&lt;br&gt;ACDC (29)</t>
  </si>
  <si>
    <t>조심 (-17)&lt;br&gt;한메 (-18)&lt;br&gt;재규어 (-)&lt;br&gt;구리다 (-17)</t>
  </si>
  <si>
    <t>G240821231910</t>
  </si>
  <si>
    <t>2024-08-21 23:19</t>
  </si>
  <si>
    <t>ACDC (28)&lt;br&gt;미등록 (-)&lt;br&gt;간달프 (28)&lt;br&gt;한메 (22)</t>
  </si>
  <si>
    <t>구리다 (7)&lt;br&gt;강화 (4)&lt;br&gt;재규어 (-)&lt;br&gt;조심 (7)</t>
  </si>
  <si>
    <t>G240821225159</t>
  </si>
  <si>
    <t>2024-08-21 22:51</t>
  </si>
  <si>
    <t>ACDC (29)&lt;br&gt;미등록 (-)&lt;br&gt;구리다 (23)&lt;br&gt;조심 (23)</t>
  </si>
  <si>
    <t>재규어 (-)&lt;br&gt;강화 (-14)&lt;br&gt;간달프 (70)&lt;br&gt;한메 (-22)</t>
  </si>
  <si>
    <t>G240821222114</t>
  </si>
  <si>
    <t>2024-08-21 22:21</t>
  </si>
  <si>
    <t>신형만 (18)&lt;br&gt;구리다 (30)&lt;br&gt;간달프 (-)&lt;br&gt;한메 (25)</t>
  </si>
  <si>
    <t>깡패 (-24)&lt;br&gt;ACDC (-17)&lt;br&gt;조심 (-22)&lt;br&gt;강화 (-15)</t>
  </si>
  <si>
    <t>G240821215244</t>
  </si>
  <si>
    <t>2024-08-21 21:52</t>
  </si>
  <si>
    <t>ACDC (36)&lt;br&gt;깡패 (22)&lt;br&gt;간달프 (-)&lt;br&gt;한메 (29)</t>
  </si>
  <si>
    <t>강화 (-15)&lt;br&gt;조심 (-20)&lt;br&gt;신형만 (-24)&lt;br&gt;오딘 (-)</t>
  </si>
  <si>
    <t>G240821212120</t>
  </si>
  <si>
    <t>2024-08-21 21:21</t>
  </si>
  <si>
    <t>깡패 (20)&lt;br&gt;조심 (22)&lt;br&gt;신형만 (15)&lt;br&gt;오딘 (-)</t>
  </si>
  <si>
    <t>한메 (-24)&lt;br&gt;ACDC (-17)&lt;br&gt;간달프 (-)&lt;br&gt;강화 (-20)</t>
  </si>
  <si>
    <t>G240820232645</t>
  </si>
  <si>
    <t>2024-08-20 23:26</t>
  </si>
  <si>
    <t>신형만 (15)&lt;br&gt;조심 (24)&lt;br&gt;재규어 (-)&lt;br&gt;조드 (27)</t>
  </si>
  <si>
    <t>미등록 (-)&lt;br&gt;강화 (-19)&lt;br&gt;간달프 (-)&lt;br&gt;ACDC (-16)</t>
  </si>
  <si>
    <t>G240820223541</t>
  </si>
  <si>
    <t>2024-08-20 22:35</t>
  </si>
  <si>
    <t>미등록 (-)&lt;br&gt;조심 (33)&lt;br&gt;간달프 (-)&lt;br&gt;깡패 (28)</t>
  </si>
  <si>
    <t>강화 (-16)&lt;br&gt;신형만 (-21)&lt;br&gt;ACDC (-14)&lt;br&gt;조드 (-14)</t>
  </si>
  <si>
    <t>G240820214147</t>
  </si>
  <si>
    <t>2024-08-20 21:41</t>
  </si>
  <si>
    <t>만두 (-)&lt;br&gt;깡패 (33)&lt;br&gt;간달프 (-)&lt;br&gt;조드 (36)</t>
  </si>
  <si>
    <t>강화 (-22)&lt;br&gt;ACDC (-20)&lt;br&gt;신형만 (-26)&lt;br&gt;조심 (-19)</t>
  </si>
  <si>
    <t>G240820005017</t>
  </si>
  <si>
    <t>2024-08-20 00:50</t>
  </si>
  <si>
    <t>구리다 (37)&lt;br&gt;깡패 (35)&lt;br&gt;간달프 (-)&lt;br&gt;랄 (27)</t>
  </si>
  <si>
    <t>신형만 (-34)&lt;br&gt;미르진 (-16)&lt;br&gt;ACDC (-26)&lt;br&gt;한메 (-28)</t>
  </si>
  <si>
    <t>G240820002427</t>
  </si>
  <si>
    <t>2024-08-20 00:24</t>
  </si>
  <si>
    <t>ACDC (32)&lt;br&gt;구리다 (40)&lt;br&gt;간달프 (-)&lt;br&gt;랄 (30)</t>
  </si>
  <si>
    <t>깡패 (-13)&lt;br&gt;신형만 (-24)&lt;br&gt;한메 (-19)&lt;br&gt;미르진 (-11)</t>
  </si>
  <si>
    <t>G240819234859</t>
  </si>
  <si>
    <t>2024-08-19 23:48</t>
  </si>
  <si>
    <t>신형만 (8)&lt;br&gt;랄 (23)&lt;br&gt;간달프 (-)&lt;br&gt;한메 (17)</t>
  </si>
  <si>
    <t>구리다 (-10)&lt;br&gt;깡패 (-12)&lt;br&gt;ACDC (-17)&lt;br&gt;미르진 (-10)</t>
  </si>
  <si>
    <t>G240819230216</t>
  </si>
  <si>
    <t>2024-08-19 23:02</t>
  </si>
  <si>
    <t>아이딘 (40)&lt;br&gt;신형만 (9)&lt;br&gt;ACDC (25)&lt;br&gt;한메 (19)</t>
  </si>
  <si>
    <t>구리다 (-8)&lt;br&gt;미르진 (-9)&lt;br&gt;미등록 (-)&lt;br&gt;랄 (-12)</t>
  </si>
  <si>
    <t>G240819223014</t>
  </si>
  <si>
    <t>2024-08-19 22:30</t>
  </si>
  <si>
    <t>아이딘 (-)&lt;br&gt;한메 (24)&lt;br&gt;미등록 (-)&lt;br&gt;신형만 (10)</t>
  </si>
  <si>
    <t>미르진 (-12)&lt;br&gt;구리다 (-12)&lt;br&gt;ACDC (-16)&lt;br&gt;랄 (-18)</t>
  </si>
  <si>
    <t>G240819214707</t>
  </si>
  <si>
    <t>2024-08-19 21:47</t>
  </si>
  <si>
    <t>ACDC (26)&lt;br&gt;신형만 (10)&lt;br&gt;미등록 (-)&lt;br&gt;깡패 (29)</t>
  </si>
  <si>
    <t>아이딘 (-)&lt;br&gt;한메 (-19)&lt;br&gt;구리다 (-13)&lt;br&gt;미르진 (-14)</t>
  </si>
  <si>
    <t>G240819212335</t>
  </si>
  <si>
    <t>2024-08-19 21:23</t>
  </si>
  <si>
    <t>신형만 (10)&lt;br&gt;ACDC (27)&lt;br&gt;미등록 (-)&lt;br&gt;한메 (21)</t>
  </si>
  <si>
    <t>아이딘 (-)&lt;br&gt;구리다 (-13)&lt;br&gt;미르진 (-13)&lt;br&gt;깡패 (-11)</t>
  </si>
  <si>
    <t>G240819205249</t>
  </si>
  <si>
    <t>2024-08-19 20:52</t>
  </si>
  <si>
    <t>미르진 (41)&lt;br&gt;구리다 (42)&lt;br&gt;한메 (37)&lt;br&gt;ACDC (43)</t>
  </si>
  <si>
    <t>깡패 (-14)&lt;br&gt;신형만 (-23)&lt;br&gt;봉구 (-)&lt;br&gt;강화 (-20)</t>
  </si>
  <si>
    <t>G240817023408</t>
  </si>
  <si>
    <t>2024-08-17 02:34</t>
  </si>
  <si>
    <t>한메 (31)&lt;br&gt;신형만 (11)&lt;br&gt;민우 (-)&lt;br&gt;미등록 (-)</t>
  </si>
  <si>
    <t>깡패 (-12)&lt;br&gt;강화 (-17)&lt;br&gt;미르진 (-10)&lt;br&gt;ACDC (-9)</t>
  </si>
  <si>
    <t>G240817015002</t>
  </si>
  <si>
    <t>2024-08-17 01:50</t>
  </si>
  <si>
    <t>ACDC (36)&lt;br&gt;강화 (17)&lt;br&gt;신형만 (10)&lt;br&gt;깡패 (27)</t>
  </si>
  <si>
    <t>미등록 (-)&lt;br&gt;한메 (-11)&lt;br&gt;미르진 (-10)&lt;br&gt;민우 (-)</t>
  </si>
  <si>
    <t>G240817010227</t>
  </si>
  <si>
    <t>2024-08-17 01:02</t>
  </si>
  <si>
    <t>강화 (18)&lt;br&gt;랄 (21)&lt;br&gt;제로스 (-)&lt;br&gt;신형만 (10)</t>
  </si>
  <si>
    <t>미등록 (-)&lt;br&gt;미르진 (-14)&lt;br&gt;ACDC (-10)&lt;br&gt;한메 (-15)</t>
  </si>
  <si>
    <t>G240817001354</t>
  </si>
  <si>
    <t>2024-08-17 00:13</t>
  </si>
  <si>
    <t>미르진 (27)&lt;br&gt;랄 (22)&lt;br&gt;재명 (-)&lt;br&gt;강화 (19)</t>
  </si>
  <si>
    <t>제로스 (-)&lt;br&gt;한메 (-20)&lt;br&gt;ACDC (-14)&lt;br&gt;미등록 (-)</t>
  </si>
  <si>
    <t>G240816233758</t>
  </si>
  <si>
    <t>2024-08-16 23:37</t>
  </si>
  <si>
    <t>미르진 (28)&lt;br&gt;한메 (21)&lt;br&gt;랄 (22)&lt;br&gt;강화 (18)</t>
  </si>
  <si>
    <t>제로스 (-)&lt;br&gt;ACDC (-19)&lt;br&gt;재명 (-)&lt;br&gt;미등록 (-)</t>
  </si>
  <si>
    <t>G240816231640</t>
  </si>
  <si>
    <t>2024-08-16 23:16</t>
  </si>
  <si>
    <t>미등록 (-)&lt;br&gt;신형만 (10)&lt;br&gt;강화 (23)&lt;br&gt;랄 (28)</t>
  </si>
  <si>
    <t>한메 (-16)&lt;br&gt;미르진 (-12)&lt;br&gt;제로스 (-)&lt;br&gt;ACDC (-12)</t>
  </si>
  <si>
    <t>G240816225233</t>
  </si>
  <si>
    <t>2024-08-16 22:52</t>
  </si>
  <si>
    <t>미등록 (-)&lt;br&gt;미르진 (36)&lt;br&gt;ACDC (34)&lt;br&gt;신형만 (13)</t>
  </si>
  <si>
    <t>제로스 (-)&lt;br&gt;한메 (-21)&lt;br&gt;강화 (-20)&lt;br&gt;랄 (50)</t>
  </si>
  <si>
    <t>G240816222747</t>
  </si>
  <si>
    <t>2024-08-16 22:27</t>
  </si>
  <si>
    <t>미등록 (-)&lt;br&gt;신형만 (11)&lt;br&gt;한메 (22)&lt;br&gt;랄 (-)</t>
  </si>
  <si>
    <t>강화 (-21)&lt;br&gt;ACDC (-13)&lt;br&gt;제로스 (-)&lt;br&gt;미르진 (-12)</t>
  </si>
  <si>
    <t>G240816002522</t>
  </si>
  <si>
    <t>2024-08-16 00:25</t>
  </si>
  <si>
    <t>강화 (21)&lt;br&gt;윙크 (-)&lt;br&gt;짱구 (25)&lt;br&gt;미등록 (-)</t>
  </si>
  <si>
    <t>제로스 (-)&lt;br&gt;한메 (-19)&lt;br&gt;조드 (50)&lt;br&gt;랄 (-)</t>
  </si>
  <si>
    <t>G240815235933</t>
  </si>
  <si>
    <t>2024-08-15 23:59</t>
  </si>
  <si>
    <t>랄 (-)&lt;br&gt;짱구 (30)&lt;br&gt;제로스 (-)&lt;br&gt;한메 (26)</t>
  </si>
  <si>
    <t>키키 (-)&lt;br&gt;조드 (-)&lt;br&gt;강화 (-17)&lt;br&gt;미등록 (-)</t>
  </si>
  <si>
    <t>G240815231437</t>
  </si>
  <si>
    <t>2024-08-15 23:14</t>
  </si>
  <si>
    <t>강화 (21)&lt;br&gt;조심 (24)&lt;br&gt;한메 (26)&lt;br&gt;조드 (-)</t>
  </si>
  <si>
    <t>ACDC (-18)&lt;br&gt;랄 (-)&lt;br&gt;키키 (-)&lt;br&gt;깡패 (-20)</t>
  </si>
  <si>
    <t>G240815224913</t>
  </si>
  <si>
    <t>2024-08-15 22:49</t>
  </si>
  <si>
    <t>키키 (-)&lt;br&gt;강화 (26)&lt;br&gt;한메 (32)&lt;br&gt;조드 (-)</t>
  </si>
  <si>
    <t>미르진 (-15)&lt;br&gt;조심 (-19)&lt;br&gt;ACDC (-17)&lt;br&gt;깡패 (-19)</t>
  </si>
  <si>
    <t>G240815001551</t>
  </si>
  <si>
    <t>2024-08-15 00:15</t>
  </si>
  <si>
    <t>조심 (24)&lt;br&gt;깡패 (23)&lt;br&gt;아이딘 (-)&lt;br&gt;신형만 (12)</t>
  </si>
  <si>
    <t>재명 (-)&lt;br&gt;조드 (-)&lt;br&gt;미르진 (-12)&lt;br&gt;ACDC (-15)</t>
  </si>
  <si>
    <t>G240814233618</t>
  </si>
  <si>
    <t>2024-08-14 23:36</t>
  </si>
  <si>
    <t>신형만 (14)&lt;br&gt;ACDC (28)&lt;br&gt;재명 (-)&lt;br&gt;미르진 (40)</t>
  </si>
  <si>
    <t>아이딘 (-)&lt;br&gt;조심 (-15)&lt;br&gt;조드 (-)&lt;br&gt;깡패 (-14)</t>
  </si>
  <si>
    <t>G240814223613</t>
  </si>
  <si>
    <t>2024-08-14 22:36</t>
  </si>
  <si>
    <t>깡패 (24)&lt;br&gt;ACDC (30)&lt;br&gt;신형만 (14)&lt;br&gt;조드 (-)</t>
  </si>
  <si>
    <t>랄 (-)&lt;br&gt;미르진 (-)&lt;br&gt;아이딘 (-)&lt;br&gt;조심 (-16)</t>
  </si>
  <si>
    <t>G240814215850</t>
  </si>
  <si>
    <t>2024-08-14 21:58</t>
  </si>
  <si>
    <t>신형만 (15)&lt;br&gt;조심 (23)&lt;br&gt;아이딘 (-)&lt;br&gt;랄 (-)</t>
  </si>
  <si>
    <t>깡패 (-21)&lt;br&gt;조드 (-)&lt;br&gt;ACDC (-18)&lt;br&gt;미르진 (-)</t>
  </si>
  <si>
    <t>G240810014115</t>
  </si>
  <si>
    <t>2024-08-10 01:41</t>
  </si>
  <si>
    <t>조심 (30)&lt;br&gt;신형만 (21)&lt;br&gt;재규어 (-)&lt;br&gt;조드 (-)</t>
  </si>
  <si>
    <t>미등록 (-)&lt;br&gt;깡패 (-24)&lt;br&gt;ACDC (-20)&lt;br&gt;짱구 (-22)</t>
  </si>
  <si>
    <t>G240810012240</t>
  </si>
  <si>
    <t>2024-08-10 01:22</t>
  </si>
  <si>
    <t>미등록 (-)&lt;br&gt;조심 (60)&lt;br&gt;조드 (-)&lt;br&gt;깡패 (27)</t>
  </si>
  <si>
    <t>짱구 (-20)&lt;br&gt;ACDC (-19)&lt;br&gt;재규어 (-)&lt;br&gt;신형만 (-26)</t>
  </si>
  <si>
    <t>G240810005000</t>
  </si>
  <si>
    <t>2024-08-10 00:49</t>
  </si>
  <si>
    <t>신형만 (18)&lt;br&gt;구리다 (34)&lt;br&gt;재규어 (-)&lt;br&gt;깡패 (27)</t>
  </si>
  <si>
    <t>재명 (-)&lt;br&gt;ACDC (-15)&lt;br&gt;강화 (-16)&lt;br&gt;한메 (-13)</t>
  </si>
  <si>
    <t>G240810001033</t>
  </si>
  <si>
    <t>2024-08-10 00:10</t>
  </si>
  <si>
    <t>신형만 (19)&lt;br&gt;ACDC (26)&lt;br&gt;재규어 (-)&lt;br&gt;깡패 (29)</t>
  </si>
  <si>
    <t>구리다 (-12)&lt;br&gt;강화 (-18)&lt;br&gt;재명 (-)&lt;br&gt;한메 (-15)</t>
  </si>
  <si>
    <t>G240809232858</t>
  </si>
  <si>
    <t>2024-08-09 23:28</t>
  </si>
  <si>
    <t>강화 (23)&lt;br&gt;깡패 (32)&lt;br&gt;미르진 (-)&lt;br&gt;신형만 (21)</t>
  </si>
  <si>
    <t>ACDC (-23)&lt;br&gt;재명 (-)&lt;br&gt;구리다 (-18)&lt;br&gt;한메 (-23)</t>
  </si>
  <si>
    <t>G240809225909</t>
  </si>
  <si>
    <t>2024-08-09 22:59</t>
  </si>
  <si>
    <t>강화 (25)&lt;br&gt;미르진 (-)&lt;br&gt;ACDC (25)&lt;br&gt;신형만 (22)</t>
  </si>
  <si>
    <t>깡패 (-12)&lt;br&gt;구리다 (-15)&lt;br&gt;재명 (-)&lt;br&gt;한메 (-18)</t>
  </si>
  <si>
    <t>G240809222951</t>
  </si>
  <si>
    <t>2024-08-09 22:29</t>
  </si>
  <si>
    <t>구리다 (50)&lt;br&gt;신형만 (23)&lt;br&gt;재명 (-)&lt;br&gt;강화 (26)</t>
  </si>
  <si>
    <t>아이딘 (-)&lt;br&gt;ACDC (-17)&lt;br&gt;미르진 (-)&lt;br&gt;깡패 (-13)</t>
  </si>
  <si>
    <t>G240809214553</t>
  </si>
  <si>
    <t>2024-08-09 21:45</t>
  </si>
  <si>
    <t>신형만 (25)&lt;br&gt;한메 (22)&lt;br&gt;ACDC (24)&lt;br&gt;강화 (29)</t>
  </si>
  <si>
    <t>아이딘 (-)&lt;br&gt;미르진 (-)&lt;br&gt;구리다 (-)&lt;br&gt;깡패 (-14)</t>
  </si>
  <si>
    <t>G240808014346</t>
  </si>
  <si>
    <t>2024-08-08 01:43</t>
  </si>
  <si>
    <t>ACDC (60)&lt;br&gt;깡패 (29)&lt;br&gt;짱구 (100)&lt;br&gt;미등록 (-)</t>
  </si>
  <si>
    <t>노인 (-)&lt;br&gt;강화 (20)&lt;br&gt;미등록 (-)&lt;br&gt;신형만 (-15)</t>
  </si>
  <si>
    <t>G240808010207</t>
  </si>
  <si>
    <t>2024-08-08 01:02</t>
  </si>
  <si>
    <t>한메 (25)&lt;br&gt;짱구 (-)&lt;br&gt;강화 (-)&lt;br&gt;신형만 (27)</t>
  </si>
  <si>
    <t>조심 (-)&lt;br&gt;깡패 (-20)&lt;br&gt;ACDC (-)&lt;br&gt;노인 (-)</t>
  </si>
  <si>
    <t>G240808004507</t>
  </si>
  <si>
    <t>2024-08-08 00:45</t>
  </si>
  <si>
    <t>ACDC (-)&lt;br&gt;노인 (-)&lt;br&gt;짱구 (-)&lt;br&gt;조심 (-)</t>
  </si>
  <si>
    <t>깡패 (-20)&lt;br&gt;강화 (-)&lt;br&gt;한메 (60)&lt;br&gt;신형만 (40)</t>
  </si>
  <si>
    <t>G240808002945</t>
  </si>
  <si>
    <t>2024-08-08 00:29</t>
  </si>
  <si>
    <t>짱구 (-)&lt;br&gt;노인 (-)&lt;br&gt;조심 (-)&lt;br&gt;한메 (-)</t>
  </si>
  <si>
    <t>강화 (-)&lt;br&gt;깡패 (40)&lt;br&gt;ACDC (-)&lt;br&gt;신형만 (-)</t>
  </si>
  <si>
    <t>G240808000709</t>
  </si>
  <si>
    <t>2024-08-08 00:07</t>
  </si>
  <si>
    <t>ACDC (-)&lt;br&gt;구리다 (-)&lt;br&gt;짱구 (-)&lt;br&gt;깡패 (-)</t>
  </si>
  <si>
    <t>신형만 (-)&lt;br&gt;조심 (-)&lt;br&gt;강화 (-)&lt;br&gt;노인 (-)</t>
  </si>
  <si>
    <t>G240807233331</t>
  </si>
  <si>
    <t>2024-08-07 23:33</t>
  </si>
  <si>
    <t>조심 (-)&lt;br&gt;신형만 (-)&lt;br&gt;구리다 (-)&lt;br&gt;짱구 (-)</t>
  </si>
  <si>
    <t>깡패 (-)&lt;br&gt;노인 (-)&lt;br&gt;강화 (-)&lt;br&gt;ACDC (-)</t>
  </si>
  <si>
    <t>G240807231206</t>
  </si>
  <si>
    <t>2024-08-07 23:12</t>
  </si>
  <si>
    <t>깡패 (-)&lt;br&gt;짱구 (-)&lt;br&gt;ACDC (-)&lt;br&gt;조심 (-)</t>
  </si>
  <si>
    <t>강화 (-)&lt;br&gt;미등록 (-)&lt;br&gt;구리다 (-)&lt;br&gt;신형만 (-)</t>
  </si>
  <si>
    <t>G240807224245</t>
  </si>
  <si>
    <t>2024-08-07 22:42</t>
  </si>
  <si>
    <t>구리다 (-)&lt;br&gt;조심 (-)&lt;br&gt;강화 (-)&lt;br&gt;짱구 (-)</t>
  </si>
  <si>
    <t>ACDC (-)&lt;br&gt;미르진 (-)&lt;br&gt;한메 (-)&lt;br&gt;깡패 (-)</t>
  </si>
  <si>
    <t>G240807221415</t>
  </si>
  <si>
    <t>2024-08-07 22:14</t>
  </si>
  <si>
    <t>짱구 (-)&lt;br&gt;한메 (-)&lt;br&gt;ACDC (-)&lt;br&gt;오딘 (-)</t>
  </si>
  <si>
    <t>구리다 (-)&lt;br&gt;조심 (-)&lt;br&gt;미르진 (-)&lt;br&gt;강화 (-)</t>
  </si>
  <si>
    <t>G240807213837</t>
  </si>
  <si>
    <t>2024-08-07 21:38</t>
  </si>
  <si>
    <t>미르진 (-)&lt;br&gt;한메 (-)&lt;br&gt;짱구 (-)&lt;br&gt;ACDC (-)</t>
  </si>
  <si>
    <t>구리다 (-)&lt;br&gt;오딘 (-)&lt;br&gt;조심 (-)&lt;br&gt;강화 (-)</t>
  </si>
  <si>
    <t>G240807002453</t>
  </si>
  <si>
    <t>2024-08-07 00:24</t>
  </si>
  <si>
    <t>깡패 (-)&lt;br&gt;신형만 (-)&lt;br&gt;미등록 (-)&lt;br&gt;미등록 (-)</t>
  </si>
  <si>
    <t>구리다 (-)&lt;br&gt;한메 (-)&lt;br&gt;미등록 (-)&lt;br&gt;키키 (-)</t>
  </si>
  <si>
    <t>G240806235629</t>
  </si>
  <si>
    <t>2024-08-06 23:56</t>
  </si>
  <si>
    <t>구리다 (-)&lt;br&gt;한메 (-)&lt;br&gt;미등록 (-)&lt;br&gt;신형만 (-)</t>
  </si>
  <si>
    <t>키키 (-)&lt;br&gt;깡패 (-)&lt;br&gt;미등록 (-)&lt;br&gt;Leaf (-)</t>
  </si>
  <si>
    <t>G240806232652</t>
  </si>
  <si>
    <t>2024-08-06 23:26</t>
  </si>
  <si>
    <t>한메 (-)&lt;br&gt;랄 (-)&lt;br&gt;미등록 (-)&lt;br&gt;키키 (-)</t>
  </si>
  <si>
    <t>신형만 (-)&lt;br&gt;깡패 (-)&lt;br&gt;미등록 (-)&lt;br&gt;Leaf (-)</t>
  </si>
  <si>
    <t>G240806225715</t>
  </si>
  <si>
    <t>2024-08-06 22:57</t>
  </si>
  <si>
    <t>키키 (-)&lt;br&gt;깡패 (-)&lt;br&gt;미등록 (-)&lt;br&gt;랄 (-)</t>
  </si>
  <si>
    <t>한메 (-)&lt;br&gt;신형만 (-)&lt;br&gt;미등록 (-)&lt;br&gt;Leaf (-)</t>
  </si>
  <si>
    <t>G240806223641</t>
  </si>
  <si>
    <t>2024-08-06 22:36</t>
  </si>
  <si>
    <t>신형만 (-)&lt;br&gt;한메 (-)&lt;br&gt;미등록 (-)&lt;br&gt;키키 (-)</t>
  </si>
  <si>
    <t>랄 (-)&lt;br&gt;깡패 (-)&lt;br&gt;미등록 (-)&lt;br&gt;Leaf (-)</t>
  </si>
  <si>
    <t>G240805023907</t>
  </si>
  <si>
    <t>2024-08-05 02:39</t>
  </si>
  <si>
    <t>신형만 (14)&lt;br&gt;깡패 (22)&lt;br&gt;짱구 (16)&lt;br&gt;키키 (15)</t>
  </si>
  <si>
    <t>미등록 (-)&lt;br&gt;미등록 (-)&lt;br&gt;민우 (-)&lt;br&gt;조드 (-11)</t>
  </si>
  <si>
    <t>시즌3</t>
  </si>
  <si>
    <t>G240805015627</t>
  </si>
  <si>
    <t>2024-08-05 01:56</t>
  </si>
  <si>
    <t>미등록 (-)&lt;br&gt;신형만 (21)&lt;br&gt;조드 (28)&lt;br&gt;키키 (21)</t>
  </si>
  <si>
    <t>민우 (-)&lt;br&gt;미등록 (-)&lt;br&gt;짱구 (-22)&lt;br&gt;깡패 (-16)</t>
  </si>
  <si>
    <t>G240805003835</t>
  </si>
  <si>
    <t>2024-08-05 00:38</t>
  </si>
  <si>
    <t>신형만 (28)&lt;br&gt;랄 (32)&lt;br&gt;노인 (-)&lt;br&gt;조드 (35)</t>
  </si>
  <si>
    <t>짱구 (-21)&lt;br&gt;깡패 (-17)&lt;br&gt;ACDC (-14)&lt;br&gt;키키 (-18)</t>
  </si>
  <si>
    <t>G240805000001</t>
  </si>
  <si>
    <t>2024-08-04 23:59</t>
  </si>
  <si>
    <t>신형만 (27)&lt;br&gt;한메 (19)&lt;br&gt;짱구 (19)&lt;br&gt;미등록 (-)</t>
  </si>
  <si>
    <t>랄 (-15)&lt;br&gt;ACDC (-13)&lt;br&gt;재우 (-17)&lt;br&gt;조드 (-10)</t>
  </si>
  <si>
    <t>G240804233210</t>
  </si>
  <si>
    <t>2024-08-04 23:32</t>
  </si>
  <si>
    <t>ACDC (31)&lt;br&gt;한메 (18)&lt;br&gt;짱구 (19)&lt;br&gt;미등록 (-)</t>
  </si>
  <si>
    <t>신형만 (-18)&lt;br&gt;재우 (-21)&lt;br&gt;봉구 (-)&lt;br&gt;조드 (-13)</t>
  </si>
  <si>
    <t>G240804233025</t>
  </si>
  <si>
    <t>2024-08-04 23:30</t>
  </si>
  <si>
    <t>재우 (25)&lt;br&gt;짱구 (21)&lt;br&gt;봉구 (-)&lt;br&gt;한메 (21)</t>
  </si>
  <si>
    <t>신형만 (-24)&lt;br&gt;ACDC (-20)&lt;br&gt;미등록 (-)&lt;br&gt;조드 (-17)</t>
  </si>
  <si>
    <t>G240802002225</t>
  </si>
  <si>
    <t>2024-08-02 00:22</t>
  </si>
  <si>
    <t>재명 (30)&lt;br&gt;강화 (28)&lt;br&gt;테리 (41)&lt;br&gt;오크 (-)</t>
  </si>
  <si>
    <t>재우 (-28)&lt;br&gt;ACDC (-22)&lt;br&gt;미등록 (-)&lt;br&gt;짱구 (-28)</t>
  </si>
  <si>
    <t>G240801235927</t>
  </si>
  <si>
    <t>2024-08-01 23:59</t>
  </si>
  <si>
    <t>강화 (26)&lt;br&gt;미등록 (-)&lt;br&gt;오크 (-)&lt;br&gt;재우 (23)</t>
  </si>
  <si>
    <t>ACDC (-19)&lt;br&gt;테리 (-10)&lt;br&gt;재명 (-21)&lt;br&gt;키키 (-24)</t>
  </si>
  <si>
    <t>G240801231849</t>
  </si>
  <si>
    <t>2024-08-01 23:18</t>
  </si>
  <si>
    <t>테리 (40)&lt;br&gt;조심 (44)&lt;br&gt;강화 (37)&lt;br&gt;키키 (27)</t>
  </si>
  <si>
    <t>ACDC (-21)&lt;br&gt;재우 (-23)&lt;br&gt;한메 (-23)&lt;br&gt;짱구 (-24)</t>
  </si>
  <si>
    <t>G240801224304</t>
  </si>
  <si>
    <t>2024-08-01 22:43</t>
  </si>
  <si>
    <t>한메 (24)&lt;br&gt;재우 (23)&lt;br&gt;조심 (60)&lt;br&gt;키키 (24)</t>
  </si>
  <si>
    <t>짱구 (-26)&lt;br&gt;강화 (-18)&lt;br&gt;테리 (-)&lt;br&gt;ACDC (-22)</t>
  </si>
  <si>
    <t>G240801220621</t>
  </si>
  <si>
    <t>2024-08-01 22:06</t>
  </si>
  <si>
    <t>키키 (27)&lt;br&gt;ACDC (26)&lt;br&gt;조심 (-)&lt;br&gt;짱구 (19)</t>
  </si>
  <si>
    <t>한메 (-26)&lt;br&gt;테리 (-)&lt;br&gt;강화 (-22)&lt;br&gt;재우 (-26)</t>
  </si>
  <si>
    <t>G240801005401</t>
  </si>
  <si>
    <t>2024-08-01 00:53</t>
  </si>
  <si>
    <t>민우 (-)&lt;br&gt;짱구 (24)&lt;br&gt;ACDC (33)&lt;br&gt;조드 (35)</t>
  </si>
  <si>
    <t>신형만 (-25)&lt;br&gt;깡패 (-22)&lt;br&gt;미등록 (-)&lt;br&gt;키키 (-21)</t>
  </si>
  <si>
    <t>G240801000559</t>
  </si>
  <si>
    <t>2024-08-01 00:05</t>
  </si>
  <si>
    <t>ACDC (40)&lt;br&gt;조드 (40)&lt;br&gt;미등록 (-)&lt;br&gt;민우 (-)</t>
  </si>
  <si>
    <t>강화 (-23)&lt;br&gt;키키 (-23)&lt;br&gt;짱구 (-26)&lt;br&gt;신형만 (-26)</t>
  </si>
  <si>
    <t>G240731233248</t>
  </si>
  <si>
    <t>2024-07-31 23:32</t>
  </si>
  <si>
    <t>강화 (15)&lt;br&gt;키키 (14)&lt;br&gt;조드 (60)&lt;br&gt;신형만 (10)</t>
  </si>
  <si>
    <t>아이딘 (-)&lt;br&gt;ACDC (-18)&lt;br&gt;테리 (-)&lt;br&gt;민우 (-)</t>
  </si>
  <si>
    <t>G240731230437</t>
  </si>
  <si>
    <t>2024-07-31 23:04</t>
  </si>
  <si>
    <t>아이딘 (-)&lt;br&gt;짱구 (25)&lt;br&gt;민우 (-)&lt;br&gt;랄 (35)</t>
  </si>
  <si>
    <t>한메 (-28)&lt;br&gt;키키 (-25)&lt;br&gt;ACDC (-21)&lt;br&gt;강화 (-25)</t>
  </si>
  <si>
    <t>G240731223154</t>
  </si>
  <si>
    <t>2024-07-31 22:31</t>
  </si>
  <si>
    <t>짱구 (22)&lt;br&gt;랄 (34)&lt;br&gt;신형만 (21)&lt;br&gt;한메 (20)</t>
  </si>
  <si>
    <t>아이딘 (-)&lt;br&gt;ACDC (-18)&lt;br&gt;강화 (-23)&lt;br&gt;키키 (-23)</t>
  </si>
  <si>
    <t>G240731220746</t>
  </si>
  <si>
    <t>2024-07-31 22:07</t>
  </si>
  <si>
    <t>아이딘 (-)&lt;br&gt;짱구 (29)&lt;br&gt;강화 (27)&lt;br&gt;신형만 (28)</t>
  </si>
  <si>
    <t>랄 (-16)&lt;br&gt;ACDC (-21)&lt;br&gt;재명 (-23)&lt;br&gt;한메 (-26)</t>
  </si>
  <si>
    <t>G240731214516</t>
  </si>
  <si>
    <t>2024-07-31 21:45</t>
  </si>
  <si>
    <t>아이딘 (-)&lt;br&gt;한메 (22)&lt;br&gt;재명 (27)&lt;br&gt;신형만 (30)</t>
  </si>
  <si>
    <t>짱구 (-16)&lt;br&gt;ACDC (-16)&lt;br&gt;랄 (-12)&lt;br&gt;강화 (-17)</t>
  </si>
  <si>
    <t>G240731010440</t>
  </si>
  <si>
    <t>2024-07-31 01:04</t>
  </si>
  <si>
    <t>강화 (19)&lt;br&gt;ACDC (21)&lt;br&gt;신형만 (25)&lt;br&gt;키키 (17)</t>
  </si>
  <si>
    <t>짱구 (-15)&lt;br&gt;테리 (-)&lt;br&gt;팰리 (40)&lt;br&gt;깡패 (-15)</t>
  </si>
  <si>
    <t>G240731001643</t>
  </si>
  <si>
    <t>2024-07-31 00:16</t>
  </si>
  <si>
    <t>짱구 (31)&lt;br&gt;팰리 (-)&lt;br&gt;강화 (33)&lt;br&gt;깡패 (29)</t>
  </si>
  <si>
    <t>키키 (-18)&lt;br&gt;한메 (-20)&lt;br&gt;ACDC (-17)&lt;br&gt;신형만 (-14)</t>
  </si>
  <si>
    <t>G240730233921</t>
  </si>
  <si>
    <t>2024-07-30 23:39</t>
  </si>
  <si>
    <t>ACDC (28)&lt;br&gt;짱구 (30)&lt;br&gt;키키 (22)&lt;br&gt;깡패 (28)</t>
  </si>
  <si>
    <t>신형만 (-21)&lt;br&gt;강화 (-22)&lt;br&gt;팰리 (-)&lt;br&gt;한메 (-29)</t>
  </si>
  <si>
    <t>G240730231741</t>
  </si>
  <si>
    <t>2024-07-30 23:17</t>
  </si>
  <si>
    <t>강화 (30)&lt;br&gt;짱구 (34)&lt;br&gt;ACDC (32)&lt;br&gt;키키 (25)</t>
  </si>
  <si>
    <t>깡패 (-22)&lt;br&gt;팰리 (-)&lt;br&gt;한메 (-32)&lt;br&gt;신형만 (-24)</t>
  </si>
  <si>
    <t>G240730225811</t>
  </si>
  <si>
    <t>2024-07-30 22:58</t>
  </si>
  <si>
    <t>신형만 (24)&lt;br&gt;짱구 (33)&lt;br&gt;한메 (12)&lt;br&gt;키키 (23)</t>
  </si>
  <si>
    <t>강화 (-22)&lt;br&gt;봉구 (-)&lt;br&gt;ACDC (-21)&lt;br&gt;깡패 (-23)</t>
  </si>
  <si>
    <t>G240730224523</t>
  </si>
  <si>
    <t>2024-07-30 22:45</t>
  </si>
  <si>
    <t>짱구 (42)&lt;br&gt;테리 (-)&lt;br&gt;봉구 (-)&lt;br&gt;한메 (17)</t>
  </si>
  <si>
    <t>신형만 (-19)&lt;br&gt;ACDC (-18)&lt;br&gt;키키 (-18)&lt;br&gt;강화 (-19)</t>
  </si>
  <si>
    <t>G240730220553</t>
  </si>
  <si>
    <t>2024-07-30 22:05</t>
  </si>
  <si>
    <t>한메 (11)&lt;br&gt;짱구 (37)&lt;br&gt;강화 (20)&lt;br&gt;신형만 (20)</t>
  </si>
  <si>
    <t>ACDC (-21)&lt;br&gt;봉구 (-)&lt;br&gt;테리 (-)&lt;br&gt;키키 (-21)</t>
  </si>
  <si>
    <t>G240730213952</t>
  </si>
  <si>
    <t>2024-07-30 21:39</t>
  </si>
  <si>
    <t>한메 (17)&lt;br&gt;ACDC (25)&lt;br&gt;테리 (-)&lt;br&gt;신형만 (28)</t>
  </si>
  <si>
    <t>짱구 (-11)&lt;br&gt;봉구 (-)&lt;br&gt;키키 (-26)&lt;br&gt;강화 (-25)</t>
  </si>
  <si>
    <t>G240730010753</t>
  </si>
  <si>
    <t>2024-07-30 01:07</t>
  </si>
  <si>
    <t>노인 (-)&lt;br&gt;깡패 (25)&lt;br&gt;강화 (26)&lt;br&gt;키키 (21)</t>
  </si>
  <si>
    <t>신형만 (-26)&lt;br&gt;재우 (-33)&lt;br&gt;ACDC (-28)&lt;br&gt;악동 (-)</t>
  </si>
  <si>
    <t>G240730004320</t>
  </si>
  <si>
    <t>2024-07-30 00:43</t>
  </si>
  <si>
    <t>깡패 (25)&lt;br&gt;재우 (17)&lt;br&gt;강화 (26)&lt;br&gt;신형만 (27)</t>
  </si>
  <si>
    <t>키키 (-16)&lt;br&gt;ACDC (-16)&lt;br&gt;노인 (-)&lt;br&gt;밍구 (-10)</t>
  </si>
  <si>
    <t>G240730000600</t>
  </si>
  <si>
    <t>2024-07-30 00:05</t>
  </si>
  <si>
    <t>재우 (20)&lt;br&gt;한메 (18)&lt;br&gt;ACDC (23)&lt;br&gt;깡패 (29)</t>
  </si>
  <si>
    <t>노인 (-)&lt;br&gt;신형만 (-14)&lt;br&gt;밍구 (-11)&lt;br&gt;강화 (-14)</t>
  </si>
  <si>
    <t>G240729232555</t>
  </si>
  <si>
    <t>2024-07-29 23:25</t>
  </si>
  <si>
    <t>재명 (29)&lt;br&gt;강화 (32)&lt;br&gt;밍구 (33)&lt;br&gt;한메 (22)</t>
  </si>
  <si>
    <t>재우 (-18)&lt;br&gt;키키 (-18)&lt;br&gt;아이딘 (-)&lt;br&gt;ACDC (-17)</t>
  </si>
  <si>
    <t>G240729224420</t>
  </si>
  <si>
    <t>2024-07-29 22:44</t>
  </si>
  <si>
    <t>한메 (23)&lt;br&gt;밍구 (35)&lt;br&gt;ACDC (24)&lt;br&gt;키키 (19)</t>
  </si>
  <si>
    <t>아이딘 (-)&lt;br&gt;재우 (-28)&lt;br&gt;재명 (-22)&lt;br&gt;강화 (-19)</t>
  </si>
  <si>
    <t>G240729025436</t>
  </si>
  <si>
    <t>2024-07-29 02:54</t>
  </si>
  <si>
    <t>키키 (18)&lt;br&gt;강화 (27)&lt;br&gt;한메 (22)&lt;br&gt;미등록 (-)</t>
  </si>
  <si>
    <t>악동 (-)&lt;br&gt;깡패 (-11)&lt;br&gt;신형만 (-14)&lt;br&gt;ACDC (-15)</t>
  </si>
  <si>
    <t>G240729010107</t>
  </si>
  <si>
    <t>2024-07-29 01:01</t>
  </si>
  <si>
    <t>랄 (33)&lt;br&gt;깡패 (30)&lt;br&gt;재명 (26)&lt;br&gt;한메 (26)</t>
  </si>
  <si>
    <t>악동 (-)&lt;br&gt;ACDC (-25)&lt;br&gt;강화 (-19)&lt;br&gt;신형만 (-23)</t>
  </si>
  <si>
    <t>G240729001909</t>
  </si>
  <si>
    <t>2024-07-29 00:19</t>
  </si>
  <si>
    <t>깡패 (36)&lt;br&gt;재명 (33)&lt;br&gt;강화 (35)&lt;br&gt;신형만 (29)</t>
  </si>
  <si>
    <t>한메 (-16)&lt;br&gt;악동 (-)&lt;br&gt;ACDC (-20)&lt;br&gt;재우 (-22)</t>
  </si>
  <si>
    <t>G240728234022</t>
  </si>
  <si>
    <t>2024-07-28 23:40</t>
  </si>
  <si>
    <t>ACDC (19)&lt;br&gt;신형만 (28)&lt;br&gt;한메 (27)&lt;br&gt;재명 (32)</t>
  </si>
  <si>
    <t>강화 (-16)&lt;br&gt;재우 (-28)&lt;br&gt;팰리 (-)&lt;br&gt;깡패 (-13)</t>
  </si>
  <si>
    <t>G240728230449</t>
  </si>
  <si>
    <t>2024-07-28 23:04</t>
  </si>
  <si>
    <t>재우 (12)&lt;br&gt;팰리 (-)&lt;br&gt;ACDC (22)&lt;br&gt;깡패 (35)</t>
  </si>
  <si>
    <t>강화 (-18)&lt;br&gt;한메 (-20)&lt;br&gt;재명 (-16)&lt;br&gt;신형만 (-19)</t>
  </si>
  <si>
    <t>G240728223600</t>
  </si>
  <si>
    <t>2024-07-28 22:35</t>
  </si>
  <si>
    <t>ACDC (18)&lt;br&gt;깡패 (33)&lt;br&gt;재우 (9)&lt;br&gt;한메 (22)</t>
  </si>
  <si>
    <t>팰리 (-)&lt;br&gt;노픽업 (-)&lt;br&gt;강화 (-21)&lt;br&gt;신형만 (-22)</t>
  </si>
  <si>
    <t>G240728220514</t>
  </si>
  <si>
    <t>2024-07-28 22:05</t>
  </si>
  <si>
    <t>한메 (23)&lt;br&gt;ACDC (18)&lt;br&gt;신형만 (19)&lt;br&gt;키키 (15)</t>
  </si>
  <si>
    <t>강화 (-23)&lt;br&gt;노픽업 (-)&lt;br&gt;팰리 (-)&lt;br&gt;깡패 (-10)</t>
  </si>
  <si>
    <t>G240727033856</t>
  </si>
  <si>
    <t>2024-07-27 03:38</t>
  </si>
  <si>
    <t>ACDC (17)&lt;br&gt;한메 (23)&lt;br&gt;키키 (14)&lt;br&gt;재우 (7)</t>
  </si>
  <si>
    <t>구리다 (-9)&lt;br&gt;깡패 (-7)&lt;br&gt;조드 (-)&lt;br&gt;밍구 (-9)</t>
  </si>
  <si>
    <t>G240727031531</t>
  </si>
  <si>
    <t>2024-07-27 03:05</t>
  </si>
  <si>
    <t>키키 (17)&lt;br&gt;구리다 (29)&lt;br&gt;ACDC (21)&lt;br&gt;재우 (9)</t>
  </si>
  <si>
    <t>한메 (-17)&lt;br&gt;깡패 (-11)&lt;br&gt;밍구 (-14)&lt;br&gt;조드 (-)</t>
  </si>
  <si>
    <t>G240727023801</t>
  </si>
  <si>
    <t>2024-07-27 02:37</t>
  </si>
  <si>
    <t>재우 (12)&lt;br&gt;밍구 (31)&lt;br&gt;조드 (-)&lt;br&gt;한메 (30)</t>
  </si>
  <si>
    <t>ACDC (-24)&lt;br&gt;구리다 (-16)&lt;br&gt;재명 (-22)&lt;br&gt;깡패 (-16)</t>
  </si>
  <si>
    <t>G240727021356</t>
  </si>
  <si>
    <t>2024-07-27 02:13</t>
  </si>
  <si>
    <t>재우 (12)&lt;br&gt;조드 (-)&lt;br&gt;한메 (32)&lt;br&gt;재명 (26)</t>
  </si>
  <si>
    <t>ACDC (-26)&lt;br&gt;깡패 (-17)&lt;br&gt;구리다 (-17)&lt;br&gt;밍구 (-16)</t>
  </si>
  <si>
    <t>G240727014126</t>
  </si>
  <si>
    <t>2024-07-27 01:41</t>
  </si>
  <si>
    <t>깡패 (30)&lt;br&gt;재우 (13)&lt;br&gt;재명 (29)&lt;br&gt;ACDC (20)</t>
  </si>
  <si>
    <t>미등록 (-)&lt;br&gt;랄 (-19)&lt;br&gt;구리다 (-16)&lt;br&gt;한메 (-15)</t>
  </si>
  <si>
    <t>G240727010311</t>
  </si>
  <si>
    <t>2024-07-27 01:03</t>
  </si>
  <si>
    <t>랄 (36)&lt;br&gt;한메 (41)&lt;br&gt;미르진 (38)&lt;br&gt;ACDC (30)</t>
  </si>
  <si>
    <t>재우 (-22)&lt;br&gt;재명 (-15)&lt;br&gt;구리다 (-15)&lt;br&gt;미등록 (-)</t>
  </si>
  <si>
    <t>G240727001015</t>
  </si>
  <si>
    <t>2024-07-27 00:10</t>
  </si>
  <si>
    <t>재우 (11)&lt;br&gt;ACDC (24)&lt;br&gt;재명 (29)&lt;br&gt;랄 (31)</t>
  </si>
  <si>
    <t>미등록 (-)&lt;br&gt;구리다 (-18)&lt;br&gt;미르진 (-14)&lt;br&gt;한메 (-12)</t>
  </si>
  <si>
    <t>G240726233621</t>
  </si>
  <si>
    <t>2024-07-26 23:36</t>
  </si>
  <si>
    <t>미등록 (-)&lt;br&gt;랄 (35)&lt;br&gt;구리다 (25)&lt;br&gt;재우 (12)</t>
  </si>
  <si>
    <t>미르진 (-11)&lt;br&gt;한메 (-10)&lt;br&gt;재명 (-11)&lt;br&gt;ACDC (-14)</t>
  </si>
  <si>
    <t>G240726034652</t>
  </si>
  <si>
    <t>2024-07-26 03:46</t>
  </si>
  <si>
    <t>신형만 (21)&lt;br&gt;ACDC (26)&lt;br&gt;민우 (-)&lt;br&gt;재우 (13)</t>
  </si>
  <si>
    <t>깡패 (-11)&lt;br&gt;짱구 (-10)&lt;br&gt;키키 (-19)&lt;br&gt;한메 (-12)</t>
  </si>
  <si>
    <t>G240726024149</t>
  </si>
  <si>
    <t>2024-07-26 02:41</t>
  </si>
  <si>
    <t>키키 (19)&lt;br&gt;재우 (15)&lt;br&gt;ACDC (30)&lt;br&gt;민우 (-)</t>
  </si>
  <si>
    <t>한메 (-20)&lt;br&gt;신형만 (-27)&lt;br&gt;짱구 (-17)&lt;br&gt;깡패 (-19)</t>
  </si>
  <si>
    <t>G240726020205</t>
  </si>
  <si>
    <t>2024-07-26 02:02</t>
  </si>
  <si>
    <t>강화 (22)&lt;br&gt;ACDC (37)&lt;br&gt;키키 (24)&lt;br&gt;재우 (19)</t>
  </si>
  <si>
    <t>신형만 (-19)&lt;br&gt;구리다 (-14)&lt;br&gt;한메 (-13)&lt;br&gt;깡패 (-12)</t>
  </si>
  <si>
    <t>G240726012424</t>
  </si>
  <si>
    <t>2024-07-26 01:24</t>
  </si>
  <si>
    <t>강화 (26)&lt;br&gt;깡패 (33)&lt;br&gt;구리다 (31)&lt;br&gt;재우 (22)</t>
  </si>
  <si>
    <t>ACDC (-12)&lt;br&gt;한메 (-16)&lt;br&gt;키키 (-18)&lt;br&gt;신형만 (-21)</t>
  </si>
  <si>
    <t>G240726005401</t>
  </si>
  <si>
    <t>2024-07-26 00:53</t>
  </si>
  <si>
    <t>한메 (32)&lt;br&gt;강화 (28)&lt;br&gt;키키 (24)&lt;br&gt;재우 (23)</t>
  </si>
  <si>
    <t>신형만 (-32)&lt;br&gt;구리다 (-20)&lt;br&gt;ACDC (-18)&lt;br&gt;깡패 (-18)</t>
  </si>
  <si>
    <t>G240725230530</t>
  </si>
  <si>
    <t>2024-07-25 23:05</t>
  </si>
  <si>
    <t>윙크 (-)&lt;br&gt;ACDC (34)&lt;br&gt;구리다 (27)&lt;br&gt;신형만 (14)</t>
  </si>
  <si>
    <t>강화 (-16)&lt;br&gt;랄 (-11)&lt;br&gt;미르진 (-14)&lt;br&gt;한메 (-14)</t>
  </si>
  <si>
    <t>G240725220507</t>
  </si>
  <si>
    <t>2024-07-25 22:05</t>
  </si>
  <si>
    <t>ACDC (37)&lt;br&gt;신형만 (15)&lt;br&gt;한메 (30)&lt;br&gt;미르진 (30)</t>
  </si>
  <si>
    <t>랄 (-17)&lt;br&gt;구리다 (-21)&lt;br&gt;윙크 (-)&lt;br&gt;강화 (-26)</t>
  </si>
  <si>
    <t>G240725014620</t>
  </si>
  <si>
    <t>2024-07-25 01:46</t>
  </si>
  <si>
    <t>키키 (22)&lt;br&gt;재명 (31)&lt;br&gt;밍구 (29)&lt;br&gt;미등록 (-)</t>
  </si>
  <si>
    <t>윙크 (40)&lt;br&gt;구리다 (-24)&lt;br&gt;랄 (-20)&lt;br&gt;깡패 (-22)</t>
  </si>
  <si>
    <t>G240725010517</t>
  </si>
  <si>
    <t>2024-07-25 01:05</t>
  </si>
  <si>
    <t>깡패 (25)&lt;br&gt;구리다 (22)&lt;br&gt;키키 (22)&lt;br&gt;강화 (19)</t>
  </si>
  <si>
    <t>랄 (-22)&lt;br&gt;한메 (-22)&lt;br&gt;윙크 (-)&lt;br&gt;ACDC (-15)</t>
  </si>
  <si>
    <t>G240725003556</t>
  </si>
  <si>
    <t>2024-07-25 00:35</t>
  </si>
  <si>
    <t>깡패 (31)&lt;br&gt;신형만 (17)&lt;br&gt;구리다 (28)&lt;br&gt;랄 (32)</t>
  </si>
  <si>
    <t>ACDC (-14)&lt;br&gt;한메 (-19)&lt;br&gt;재명 (-17)&lt;br&gt;강화 (-23)</t>
  </si>
  <si>
    <t>G240724234724</t>
  </si>
  <si>
    <t>2024-07-24 23:47</t>
  </si>
  <si>
    <t>미르진 (30)&lt;br&gt;신형만 (16)&lt;br&gt;랄 (32)&lt;br&gt;강화 (19)</t>
  </si>
  <si>
    <t>구리다 (-13)&lt;br&gt;깡패 (-11)&lt;br&gt;재명 (-13)&lt;br&gt;ACDC (-10)</t>
  </si>
  <si>
    <t>G240724225948</t>
  </si>
  <si>
    <t>2024-07-24 22:59</t>
  </si>
  <si>
    <t>강화 (23)&lt;br&gt;랄 (30)&lt;br&gt;신형만 (19)&lt;br&gt;깡패 (32)</t>
  </si>
  <si>
    <t>재명 (-25)&lt;br&gt;구리다 (-25)&lt;br&gt;미르진 (-21)&lt;br&gt;ACDC (-20)</t>
  </si>
  <si>
    <t>G240724223202</t>
  </si>
  <si>
    <t>2024-07-24 22:32</t>
  </si>
  <si>
    <t>팰리 (-)&lt;br&gt;미르진 (36)&lt;br&gt;강화 (28)&lt;br&gt;한메 (30)</t>
  </si>
  <si>
    <t>신형만 (-20)&lt;br&gt;ACDC (-14)&lt;br&gt;재명 (-17)&lt;br&gt;깡패 (-12)</t>
  </si>
  <si>
    <t>G240724214715</t>
  </si>
  <si>
    <t>2024-07-24 21:47</t>
  </si>
  <si>
    <t>재명 (26)&lt;br&gt;팰리 (-)&lt;br&gt;한메 (31)&lt;br&gt;신형만 (19)</t>
  </si>
  <si>
    <t>강화 (-19)&lt;br&gt;짱구 (-16)&lt;br&gt;ACDC (-17)&lt;br&gt;미르진 (-13)</t>
  </si>
  <si>
    <t>G240723234507</t>
  </si>
  <si>
    <t>2024-07-23 23:45</t>
  </si>
  <si>
    <t>강화 (26)&lt;br&gt;구리다 (24)&lt;br&gt;짱구 (31)&lt;br&gt;깡패 (33)</t>
  </si>
  <si>
    <t>한메 (-24)&lt;br&gt;조심 (-)&lt;br&gt;밍구 (-23)&lt;br&gt;ACDC (-28)</t>
  </si>
  <si>
    <t>G240723233404</t>
  </si>
  <si>
    <t>2024-07-23 23:34</t>
  </si>
  <si>
    <t>미등록 (-)&lt;br&gt;신형만 (21)&lt;br&gt;재우 (22)&lt;br&gt;랄 (-)</t>
  </si>
  <si>
    <t>악동 (-)&lt;br&gt;미르진 (-13)&lt;br&gt;미등록 (-)&lt;br&gt;재명 (-17)</t>
  </si>
  <si>
    <t>G240723233016</t>
  </si>
  <si>
    <t>2024-07-23 23:30</t>
  </si>
  <si>
    <t>테리 (-)&lt;br&gt;구리다 (28)&lt;br&gt;조심 (-)&lt;br&gt;강화 (30)</t>
  </si>
  <si>
    <t>ACDC (-28)&lt;br&gt;깡패 (-19)&lt;br&gt;밍구 (-24)&lt;br&gt;한메 (-25)</t>
  </si>
  <si>
    <t>G240723225154</t>
  </si>
  <si>
    <t>2024-07-23 22:51</t>
  </si>
  <si>
    <t>구리다 (31)&lt;br&gt;조심 (-)&lt;br&gt;한메 (30)&lt;br&gt;밍구 (28)</t>
  </si>
  <si>
    <t>짱구 (-17)&lt;br&gt;강화 (-18)&lt;br&gt;ACDC (-23)&lt;br&gt;깡패 (-15)</t>
  </si>
  <si>
    <t>G240723221345</t>
  </si>
  <si>
    <t>2024-07-23 22:13</t>
  </si>
  <si>
    <t>재명 (25)&lt;br&gt;밍구 (29)&lt;br&gt;ACDC (19)&lt;br&gt;신형만 (21)</t>
  </si>
  <si>
    <t>한메 (-12)&lt;br&gt;구리다 (-10)&lt;br&gt;강화 (-13)&lt;br&gt;깡패 (-10)</t>
  </si>
  <si>
    <t>G240723213954</t>
  </si>
  <si>
    <t>2024-07-23 21:39</t>
  </si>
  <si>
    <t>강화 (30)&lt;br&gt;재우 (24)&lt;br&gt;신형만 (26)&lt;br&gt;밍구 (33)</t>
  </si>
  <si>
    <t>깡패 (-19)&lt;br&gt;한메 (-23)&lt;br&gt;구리다 (-19)&lt;br&gt;재명 (-24)</t>
  </si>
  <si>
    <t>G240722235238</t>
  </si>
  <si>
    <t>2024-07-22 23:52</t>
  </si>
  <si>
    <t>깡패 (31)&lt;br&gt;재우 (27)&lt;br&gt;재명 (27)&lt;br&gt;한메 (29)</t>
  </si>
  <si>
    <t>구리다 (-16)&lt;br&gt;강화 (-16)&lt;br&gt;미르진 (-16)&lt;br&gt;신형만 (-19)</t>
  </si>
  <si>
    <t>G240722232033</t>
  </si>
  <si>
    <t>2024-07-22 23:20</t>
  </si>
  <si>
    <t>신형만 (28)&lt;br&gt;미르진 (34)&lt;br&gt;재명 (32)&lt;br&gt;깡패 (35)</t>
  </si>
  <si>
    <t>재우 (-17)&lt;br&gt;구리다 (-16)&lt;br&gt;강화 (-16)&lt;br&gt;한메 (-16)</t>
  </si>
  <si>
    <t>G240722224243</t>
  </si>
  <si>
    <t>2024-07-22 22:42</t>
  </si>
  <si>
    <t>재명 (34)&lt;br&gt;구리다 (28)&lt;br&gt;신형만 (30)&lt;br&gt;한메 (30)</t>
  </si>
  <si>
    <t>미르진 (-23)&lt;br&gt;깡패 (-19)&lt;br&gt;재우 (-30)&lt;br&gt;강화 (-29)</t>
  </si>
  <si>
    <t>G240722222333</t>
  </si>
  <si>
    <t>2024-07-22 22:23</t>
  </si>
  <si>
    <t>재우 (21)&lt;br&gt;미르진 (60)&lt;br&gt;강화 (23)&lt;br&gt;한메 (30)</t>
  </si>
  <si>
    <t>재명 (-13)&lt;br&gt;신형만 (-16)&lt;br&gt;구리다 (-16)&lt;br&gt;깡패 (-13)</t>
  </si>
  <si>
    <t>G240722214254</t>
  </si>
  <si>
    <t>2024-07-22 21:42</t>
  </si>
  <si>
    <t>구리다 (30)&lt;br&gt;신형만 (33)&lt;br&gt;재명 (40)&lt;br&gt;깡패 (35)</t>
  </si>
  <si>
    <t>재우 (-29)&lt;br&gt;한메 (-22)&lt;br&gt;미르진 (-)&lt;br&gt;강화 (-28)</t>
  </si>
  <si>
    <t>G240722001335</t>
  </si>
  <si>
    <t>2024-07-22 00:13</t>
  </si>
  <si>
    <t>오크 (-)&lt;br&gt;재우 (23)&lt;br&gt;신형만 (35)&lt;br&gt;엘더 (-)</t>
  </si>
  <si>
    <t>짱구 (60)&lt;br&gt;한메 (-17)&lt;br&gt;ACDC (-23)&lt;br&gt;깡패 (-13)</t>
  </si>
  <si>
    <t>G240721011206</t>
  </si>
  <si>
    <t>2024-07-21 01:12</t>
  </si>
  <si>
    <t>ACDC (22)&lt;br&gt;키키 (28)&lt;br&gt;조드 (-)&lt;br&gt;조심 (-)</t>
  </si>
  <si>
    <t>강화 (-21)&lt;br&gt;짱구 (-)&lt;br&gt;아이딘 (-)&lt;br&gt;오크 (-)</t>
  </si>
  <si>
    <t>G240721000612</t>
  </si>
  <si>
    <t>2024-07-21 00:06</t>
  </si>
  <si>
    <t>강화 (17)&lt;br&gt;ACDC (17)&lt;br&gt;짱구 (-)&lt;br&gt;오크 (-)</t>
  </si>
  <si>
    <t>키키 (-13)&lt;br&gt;밍구 (-9)&lt;br&gt;조심 (-)&lt;br&gt;조드 (-)</t>
  </si>
  <si>
    <t>G240720231402</t>
  </si>
  <si>
    <t>2024-07-20 23:14</t>
  </si>
  <si>
    <t>짱구 (-)&lt;br&gt;ACDC (19)&lt;br&gt;강화 (18)&lt;br&gt;키키 (80)</t>
  </si>
  <si>
    <t>오크 (40)&lt;br&gt;조심 (-)&lt;br&gt;밍구 (-14)&lt;br&gt;조드 (-)</t>
  </si>
  <si>
    <t>G240720223719</t>
  </si>
  <si>
    <t>2024-07-20 22:37</t>
  </si>
  <si>
    <t>짱구 (-)&lt;br&gt;조드 (-)&lt;br&gt;밍구 (36)&lt;br&gt;조심 (-)</t>
  </si>
  <si>
    <t>강화 (-27)&lt;br&gt;키키 (-)&lt;br&gt;ACDC (-27)&lt;br&gt;오크 (-)</t>
  </si>
  <si>
    <t>G240720220833</t>
  </si>
  <si>
    <t>2024-07-20 22:08</t>
  </si>
  <si>
    <t>ACDC (18)&lt;br&gt;강화 (17)&lt;br&gt;조드 (-)&lt;br&gt;키키 (-)</t>
  </si>
  <si>
    <t>짱구 (-)&lt;br&gt;밍구 (-13)&lt;br&gt;오크 (-)&lt;br&gt;조심 (-)</t>
  </si>
  <si>
    <t>G240720033714</t>
  </si>
  <si>
    <t>2024-07-20 03:37</t>
  </si>
  <si>
    <t>키키 (-)&lt;br&gt;재우 (21)&lt;br&gt;짱구 (-)&lt;br&gt;밍구 (32)</t>
  </si>
  <si>
    <t>구리다 (-23)&lt;br&gt;신형만 (-20)&lt;br&gt;오크 (-)&lt;br&gt;깡패 (-19)</t>
  </si>
  <si>
    <t>G240720031057</t>
  </si>
  <si>
    <t>2024-07-20 03:10</t>
  </si>
  <si>
    <t>오크 (-)&lt;br&gt;짱구 (-)&lt;br&gt;구리다 (70)&lt;br&gt;키키 (-)</t>
  </si>
  <si>
    <t>깡패 (-21)&lt;br&gt;밍구 (-16)&lt;br&gt;재우 (-28)&lt;br&gt;신형만 (-22)</t>
  </si>
  <si>
    <t>G240720025645</t>
  </si>
  <si>
    <t>2024-07-20 02:56</t>
  </si>
  <si>
    <t>짱구 (-)&lt;br&gt;강화 (24)&lt;br&gt;구리다 (-)&lt;br&gt;신형만 (32)</t>
  </si>
  <si>
    <t>오크 (-)&lt;br&gt;깡패 (-17)&lt;br&gt;밍구 (-13)&lt;br&gt;재우 (-22)</t>
  </si>
  <si>
    <t>G240720021225</t>
  </si>
  <si>
    <t>2024-07-20 02:12</t>
  </si>
  <si>
    <t>재우 (20)&lt;br&gt;밍구 (34)&lt;br&gt;미르진 (-)&lt;br&gt;강화 (26)</t>
  </si>
  <si>
    <t>깡패 (-22)&lt;br&gt;구리다 (-)&lt;br&gt;신형만 (-19)&lt;br&gt;미등록 (-)</t>
  </si>
  <si>
    <t>G240720012041</t>
  </si>
  <si>
    <t>2024-07-20 01:20</t>
  </si>
  <si>
    <t>미르진 (-)&lt;br&gt;강화 (25)&lt;br&gt;재우 (19)&lt;br&gt;깡패 (23)</t>
  </si>
  <si>
    <t>미등록 (-)&lt;br&gt;구리다 (-)&lt;br&gt;미등록 (-)&lt;br&gt;랄 (-)</t>
  </si>
  <si>
    <t>G240720004623</t>
  </si>
  <si>
    <t>2024-07-20 00:46</t>
  </si>
  <si>
    <t>강화 (29)&lt;br&gt;재우 (21)&lt;br&gt;미등록 (-)&lt;br&gt;깡패 (25)</t>
  </si>
  <si>
    <t>미등록 (-)&lt;br&gt;랄 (-)&lt;br&gt;구리다 (-)&lt;br&gt;미르진 (-)</t>
  </si>
  <si>
    <t>G240720002544</t>
  </si>
  <si>
    <t>2024-07-20 00:25</t>
  </si>
  <si>
    <t>구리다 (-)&lt;br&gt;깡패 (27)&lt;br&gt;재우 (23)&lt;br&gt;미등록 (-)</t>
  </si>
  <si>
    <t>강화 (-23)&lt;br&gt;랄 (-)&lt;br&gt;미등록 (-)&lt;br&gt;미르진 (-)</t>
  </si>
  <si>
    <t>G240720000438</t>
  </si>
  <si>
    <t>2024-07-20 00:04</t>
  </si>
  <si>
    <t>미르진 (-)&lt;br&gt;재우 (26)&lt;br&gt;구리다 (-)&lt;br&gt;미등록 (-)</t>
  </si>
  <si>
    <t>랄 (-)&lt;br&gt;강화 (-20)&lt;br&gt;미등록 (-)&lt;br&gt;깡패 (-18)</t>
  </si>
  <si>
    <t>G240719174422</t>
  </si>
  <si>
    <t>2024-07-19 17:44</t>
  </si>
  <si>
    <t>키키 (-)&lt;br&gt;윙크 (-)&lt;br&gt;ACDC (20)&lt;br&gt;오크 (-)</t>
  </si>
  <si>
    <t>재우 (50)&lt;br&gt;깡패 (-16)&lt;br&gt;밍구 (-12)&lt;br&gt;신형만 (-16)</t>
  </si>
  <si>
    <t>G240719171550</t>
  </si>
  <si>
    <t>2024-07-19 17:15</t>
  </si>
  <si>
    <t>윙크 (-)&lt;br&gt;ACDC (23)&lt;br&gt;재우 (-)&lt;br&gt;키키 (-)</t>
  </si>
  <si>
    <t>깡패 (-17)&lt;br&gt;신형만 (-18)&lt;br&gt;오크 (-)&lt;br&gt;밍구 (-13)</t>
  </si>
  <si>
    <t>G240719163300</t>
  </si>
  <si>
    <t>2024-07-19 16:32</t>
  </si>
  <si>
    <t>오크 (-)&lt;br&gt;깡패 (60)&lt;br&gt;ACDC (26)&lt;br&gt;키키 (-)</t>
  </si>
  <si>
    <t>재우 (-)&lt;br&gt;밍구 (-16)&lt;br&gt;신형만 (-23)&lt;br&gt;윙크 (-)</t>
  </si>
  <si>
    <t>G240719155107</t>
  </si>
  <si>
    <t>2024-07-19 15:51</t>
  </si>
  <si>
    <t>신형만 (22)&lt;br&gt;깡패 (-)&lt;br&gt;오크 (-)&lt;br&gt;ACDC (27)</t>
  </si>
  <si>
    <t>윙크 (-)&lt;br&gt;밍구 (-16)&lt;br&gt;재우 (-)&lt;br&gt;키키 (-)</t>
  </si>
  <si>
    <t>G240719005056</t>
  </si>
  <si>
    <t>2024-07-19 00:50</t>
  </si>
  <si>
    <t>키키 (-)&lt;br&gt;재우 (-)&lt;br&gt;구리다 (-)&lt;br&gt;웅 (-)</t>
  </si>
  <si>
    <t>ACDC (30)&lt;br&gt;강화 (-26)&lt;br&gt;신형만 (-27)&lt;br&gt;깡패 (-)</t>
  </si>
  <si>
    <t>G240719001127</t>
  </si>
  <si>
    <t>2024-07-19 00:11</t>
  </si>
  <si>
    <t>재우 (-)&lt;br&gt;신형만 (24)&lt;br&gt;구리다 (-)&lt;br&gt;강화 (25)</t>
  </si>
  <si>
    <t>ACDC (-)&lt;br&gt;재명 (-)&lt;br&gt;밍구 (20)&lt;br&gt;한메 (-21)</t>
  </si>
  <si>
    <t>G240718234157</t>
  </si>
  <si>
    <t>2024-07-18 23:41</t>
  </si>
  <si>
    <t>한메 (23)&lt;br&gt;구리다 (-)&lt;br&gt;신형만 (80)&lt;br&gt;강화 (26)</t>
  </si>
  <si>
    <t>ACDC (-)&lt;br&gt;밍구 (-)&lt;br&gt;재명 (-)&lt;br&gt;재우 (-)</t>
  </si>
  <si>
    <t>G240718225502</t>
  </si>
  <si>
    <t>2024-07-18 22:55</t>
  </si>
  <si>
    <t>미르진 (-)&lt;br&gt;미등록 (-)&lt;br&gt;한메 (70)&lt;br&gt;깡패 (-)</t>
  </si>
  <si>
    <t>ACDC (-)&lt;br&gt;재명 (-)&lt;br&gt;신형만 (-)&lt;br&gt;강화 (-17)</t>
  </si>
  <si>
    <t>G240718220517</t>
  </si>
  <si>
    <t>2024-07-18 22:05</t>
  </si>
  <si>
    <t>강화 (60)&lt;br&gt;신형만 (-)&lt;br&gt;한메 (-)&lt;br&gt;미르진 (-)</t>
  </si>
  <si>
    <t>깡패 (-)&lt;br&gt;미등록 (-)&lt;br&gt;ACDC (-)&lt;br&gt;재명 (-)</t>
  </si>
  <si>
    <t>G240718213655</t>
  </si>
  <si>
    <t>2024-07-18 21:36</t>
  </si>
  <si>
    <t>강화 (-)&lt;br&gt;깡패 (-)&lt;br&gt;신형만 (-)&lt;br&gt;ACDC (-)</t>
  </si>
  <si>
    <t>미르진 (-)&lt;br&gt;재명 (-)&lt;br&gt;한메 (-)&lt;br&gt;만두 (-)</t>
  </si>
  <si>
    <t>G240718005054</t>
  </si>
  <si>
    <t>2024-07-18 00:50</t>
  </si>
  <si>
    <t>윙크 (-)&lt;br&gt;신형만 (-)&lt;br&gt;랄 (-)&lt;br&gt;깡패 (-)</t>
  </si>
  <si>
    <t>짱구 (-)&lt;br&gt;강화 (-)&lt;br&gt;용갈 (-)&lt;br&gt;밍구 (-)</t>
  </si>
  <si>
    <t>G240718002943</t>
  </si>
  <si>
    <t>2024-07-18 00:29</t>
  </si>
  <si>
    <t>강화 (-)&lt;br&gt;한메 (-)&lt;br&gt;용갈 (-)&lt;br&gt;신형만 (-)</t>
  </si>
  <si>
    <t>깡패 (-)&lt;br&gt;밍구 (-)&lt;br&gt;윙크 (-)&lt;br&gt;랄 (-)</t>
  </si>
  <si>
    <t>G240717235050</t>
  </si>
  <si>
    <t>2024-07-17 23:50</t>
  </si>
  <si>
    <t>한메 (-)&lt;br&gt;재우 (-)&lt;br&gt;오딘 (-)&lt;br&gt;밍구 (-)</t>
  </si>
  <si>
    <t>깡패 (-)&lt;br&gt;랄 (-)&lt;br&gt;강화 (-)&lt;br&gt;윙크 (-)</t>
  </si>
  <si>
    <t>G240717235013</t>
  </si>
  <si>
    <t>재우 (-)&lt;br&gt;깡패 (-)&lt;br&gt;강화 (-)&lt;br&gt;윙크 (-)</t>
  </si>
  <si>
    <t>랄 (-)&lt;br&gt;오딘 (-)&lt;br&gt;밍구 (-)&lt;br&gt;한메 (-)</t>
  </si>
  <si>
    <t>G240717002317</t>
  </si>
  <si>
    <t>2024-07-17 00:23</t>
  </si>
  <si>
    <t>재명 (-)&lt;br&gt;강화 (-)&lt;br&gt;민우 (-)&lt;br&gt;신형만 (-)</t>
  </si>
  <si>
    <t>ACDC (-)&lt;br&gt;웅 (-)&lt;br&gt;밍구 (-)&lt;br&gt;한메 (-)</t>
  </si>
  <si>
    <t>G240716234905</t>
  </si>
  <si>
    <t>2024-07-16 23:49</t>
  </si>
  <si>
    <t>재명 (-)&lt;br&gt;웅 (-)&lt;br&gt;한메 (-)&lt;br&gt;강화 (-)</t>
  </si>
  <si>
    <t>재우 (-)&lt;br&gt;신형만 (-)&lt;br&gt;ACDC (-)&lt;br&gt;밍구 (-)</t>
  </si>
  <si>
    <t>G240716225614</t>
  </si>
  <si>
    <t>2024-07-16 22:56</t>
  </si>
  <si>
    <t>재명 (-)&lt;br&gt;신형만 (-)&lt;br&gt;ACDC (-)&lt;br&gt;한메 (-)</t>
  </si>
  <si>
    <t>오딘 (-)&lt;br&gt;테리 (-)&lt;br&gt;강화 (-)&lt;br&gt;밍구 (-)</t>
  </si>
  <si>
    <t>G240716220723</t>
  </si>
  <si>
    <t>2024-07-16 22:07</t>
  </si>
  <si>
    <t>ACDC (-)&lt;br&gt;밍구 (-)&lt;br&gt;신형만 (-)&lt;br&gt;한메 (-)</t>
  </si>
  <si>
    <t>오딘 (-)&lt;br&gt;재명 (-)&lt;br&gt;강화 (-)&lt;br&gt;엘더 (-)</t>
  </si>
  <si>
    <t>G240716000321</t>
  </si>
  <si>
    <t>2024-07-16 00:03</t>
  </si>
  <si>
    <t>강화 (35)&lt;br&gt;한메 (25)&lt;br&gt;재명 (25)&lt;br&gt;신형만 (15)</t>
  </si>
  <si>
    <t>ACDC (-12)&lt;br&gt;깡패 (-12)&lt;br&gt;엘더 (-)&lt;br&gt;밍구 (-9)</t>
  </si>
  <si>
    <t>시즌2</t>
  </si>
  <si>
    <t>G240715230930</t>
  </si>
  <si>
    <t>2024-07-15 23:09</t>
  </si>
  <si>
    <t>깡패 (34)&lt;br&gt;ACDC (38)&lt;br&gt;엘더 (-)&lt;br&gt;한메 (35)</t>
  </si>
  <si>
    <t>재명 (-22)&lt;br&gt;짱구 (-25)&lt;br&gt;신형만 (-28)&lt;br&gt;강화 (-15)</t>
  </si>
  <si>
    <t>G240715222143</t>
  </si>
  <si>
    <t>2024-07-15 22:21</t>
  </si>
  <si>
    <t>신형만 (12)&lt;br&gt;재우 (23)&lt;br&gt;재명 (22)&lt;br&gt;엘더 (-)</t>
  </si>
  <si>
    <t>한메 (-13)&lt;br&gt;강화 (-10)&lt;br&gt;미등록 (-)&lt;br&gt;깡패 (-11)</t>
  </si>
  <si>
    <t>G240715010905</t>
  </si>
  <si>
    <t>2024-07-15 01:09</t>
  </si>
  <si>
    <t>강화 (21)&lt;br&gt;신형만 (7)&lt;br&gt;ACDC (20)&lt;br&gt;재명 (14)</t>
  </si>
  <si>
    <t>악동 (-13)&lt;br&gt;구리다 (-)&lt;br&gt;랄 (-)&lt;br&gt;미등록 (-)</t>
  </si>
  <si>
    <t>G240715004022</t>
  </si>
  <si>
    <t>2024-07-15 00:40</t>
  </si>
  <si>
    <t>강화 (41)&lt;br&gt;ACDC (40)&lt;br&gt;랄 (-)&lt;br&gt;악동 (38)</t>
  </si>
  <si>
    <t>미등록 (-)&lt;br&gt;구리다 (-)&lt;br&gt;신형만 (-29)&lt;br&gt;재명 (-25)</t>
  </si>
  <si>
    <t>G240714235848</t>
  </si>
  <si>
    <t>2024-07-14 23:58</t>
  </si>
  <si>
    <t>강화 (37)&lt;br&gt;재우 (22)&lt;br&gt;구리다 (-)&lt;br&gt;신형만 (10)</t>
  </si>
  <si>
    <t>미등록 (-)&lt;br&gt;키키 (-)&lt;br&gt;악동 (-13)&lt;br&gt;재명 (-25)</t>
  </si>
  <si>
    <t>G240714232106</t>
  </si>
  <si>
    <t>2024-07-14 23:21</t>
  </si>
  <si>
    <t>재우 (18)&lt;br&gt;재명 (12)&lt;br&gt;신형만 (7)&lt;br&gt;한메 (18)</t>
  </si>
  <si>
    <t>키키 (-)&lt;br&gt;미등록 (-)&lt;br&gt;악동 (-9)&lt;br&gt;강화 (-7)</t>
  </si>
  <si>
    <t>G240714223742</t>
  </si>
  <si>
    <t>2024-07-14 22:37</t>
  </si>
  <si>
    <t>키키 (-)&lt;br&gt;신형만 (12)&lt;br&gt;악동 (35)&lt;br&gt;재명 (21)</t>
  </si>
  <si>
    <t>재우 (-25)&lt;br&gt;미등록 (-)&lt;br&gt;강화 (-14)&lt;br&gt;한메 (-25)</t>
  </si>
  <si>
    <t>G240714211843</t>
  </si>
  <si>
    <t>2024-07-14 21:18</t>
  </si>
  <si>
    <t>신형만 (9)&lt;br&gt;미등록 (-)&lt;br&gt;재명 (18)&lt;br&gt;엘더 (-)</t>
  </si>
  <si>
    <t>ACDC (-8)&lt;br&gt;구리다 (-)&lt;br&gt;한메 (-15)&lt;br&gt;강화 (-7)</t>
  </si>
  <si>
    <t>G240714203218</t>
  </si>
  <si>
    <t>2024-07-14 20:32</t>
  </si>
  <si>
    <t>재명 (20)&lt;br&gt;한메 (18)&lt;br&gt;오딘 (-)&lt;br&gt;신형만 (10)</t>
  </si>
  <si>
    <t>ACDC (-12)&lt;br&gt;강화 (-10)&lt;br&gt;구리다 (-)&lt;br&gt;엘더 (-)</t>
  </si>
  <si>
    <t>G240714195402</t>
  </si>
  <si>
    <t>2024-07-14 19:54</t>
  </si>
  <si>
    <t>재명 (27)&lt;br&gt;구리다 (-)&lt;br&gt;엘더 (-)&lt;br&gt;한메 (25)</t>
  </si>
  <si>
    <t>ACDC (-14)&lt;br&gt;오딘 (-)&lt;br&gt;신형만 (-25)&lt;br&gt;강화 (-12)</t>
  </si>
  <si>
    <t>G240712003131</t>
  </si>
  <si>
    <t>2024-07-12 00:31</t>
  </si>
  <si>
    <t>아이딘 (31)&lt;br&gt;신형만 (11)&lt;br&gt;강화 (37)&lt;br&gt;깡패 (26)</t>
  </si>
  <si>
    <t>ACDC (-20)&lt;br&gt;노픽업 (-)&lt;br&gt;재명 (-22)&lt;br&gt;한메 (-24)</t>
  </si>
  <si>
    <t>G240712000246</t>
  </si>
  <si>
    <t>2024-07-12 00:02</t>
  </si>
  <si>
    <t>깡패 (27)&lt;br&gt;신형만 (11)&lt;br&gt;재우 (23)&lt;br&gt;한메 (23)</t>
  </si>
  <si>
    <t>아이딘 (-15)&lt;br&gt;재명 (-23)&lt;br&gt;노픽업 (-)&lt;br&gt;밍구 (-19)</t>
  </si>
  <si>
    <t>G240711233045</t>
  </si>
  <si>
    <t>2024-07-11 23:30</t>
  </si>
  <si>
    <t>재우 (37)&lt;br&gt;노픽업 (-)&lt;br&gt;아이딘 (39)&lt;br&gt;밍구 (35)</t>
  </si>
  <si>
    <t>깡패 (-21)&lt;br&gt;한메 (-25)&lt;br&gt;신형만 (-32)&lt;br&gt;재명 (-27)</t>
  </si>
  <si>
    <t>G240711223444</t>
  </si>
  <si>
    <t>2024-07-11 22:34</t>
  </si>
  <si>
    <t>노픽업 (-)&lt;br&gt;재명 (17)&lt;br&gt;미르진 (21)&lt;br&gt;깡패 (25)</t>
  </si>
  <si>
    <t>ACDC (-13)&lt;br&gt;재우 (-13)&lt;br&gt;오딘 (-)&lt;br&gt;강화 (-9)</t>
  </si>
  <si>
    <t>G240711213740</t>
  </si>
  <si>
    <t>2024-07-11 21:37</t>
  </si>
  <si>
    <t>미르진 (25)&lt;br&gt;ACDC (27)&lt;br&gt;노픽업 (-)&lt;br&gt;재우 (27)</t>
  </si>
  <si>
    <t>깡패 (-20)&lt;br&gt;강화 (-16)&lt;br&gt;오딘 (-)&lt;br&gt;재명 (-28)</t>
  </si>
  <si>
    <t>G240711012029</t>
  </si>
  <si>
    <t>2024-07-11 01:20</t>
  </si>
  <si>
    <t>키키 (-)&lt;br&gt;재명 (21)&lt;br&gt;신형만 (12)&lt;br&gt;밍구 (32)</t>
  </si>
  <si>
    <t>깡패 (-20)&lt;br&gt;한메 (-27)&lt;br&gt;ACDC (-21)&lt;br&gt;강화 (-16)</t>
  </si>
  <si>
    <t>G240711005353</t>
  </si>
  <si>
    <t>2024-07-11 00:53</t>
  </si>
  <si>
    <t>신형만 (11)&lt;br&gt;밍구 (33)&lt;br&gt;재명 (22)&lt;br&gt;한메 (21)</t>
  </si>
  <si>
    <t>ACDC (-12)&lt;br&gt;깡패 (-12)&lt;br&gt;재우 (-10)&lt;br&gt;강화 (-9)</t>
  </si>
  <si>
    <t>G240711000527</t>
  </si>
  <si>
    <t>2024-07-11 00:05</t>
  </si>
  <si>
    <t>한메 (23)&lt;br&gt;신형만 (12)&lt;br&gt;미르진 (29)&lt;br&gt;재명 (24)</t>
  </si>
  <si>
    <t>강화 (-9)&lt;br&gt;깡패 (-12)&lt;br&gt;ACDC (-13)&lt;br&gt;밍구 (-7)</t>
  </si>
  <si>
    <t>G240710225454</t>
  </si>
  <si>
    <t>2024-07-10 22:54</t>
  </si>
  <si>
    <t>재우 (30)&lt;br&gt;한메 (24)&lt;br&gt;ACDC (25)&lt;br&gt;미르진 (32)</t>
  </si>
  <si>
    <t>재명 (-17)&lt;br&gt;깡패 (-17)&lt;br&gt;오딘 (-)&lt;br&gt;밍구 (-11)</t>
  </si>
  <si>
    <t>G240710220342</t>
  </si>
  <si>
    <t>2024-07-10 22:03</t>
  </si>
  <si>
    <t>재우 (36)&lt;br&gt;밍구 (36)&lt;br&gt;미르진 (38)&lt;br&gt;깡패 (25)</t>
  </si>
  <si>
    <t>오딘 (-)&lt;br&gt;재명 (-27)&lt;br&gt;한메 (-25)&lt;br&gt;ACDC (-24)</t>
  </si>
  <si>
    <t>G240709235514</t>
  </si>
  <si>
    <t>2024-07-09 23:55</t>
  </si>
  <si>
    <t>테리 (14)&lt;br&gt;ACDC (32)&lt;br&gt;오크 (31)&lt;br&gt;깡패 (30)</t>
  </si>
  <si>
    <t>짱구 (-26)&lt;br&gt;강화 (-15)&lt;br&gt;재우 (-12)&lt;br&gt;한메 (-20)</t>
  </si>
  <si>
    <t>G240709233556</t>
  </si>
  <si>
    <t>2024-07-09 23:35</t>
  </si>
  <si>
    <t>ACDC (38)&lt;br&gt;테리 (17)&lt;br&gt;재우 (60)&lt;br&gt;강화 (39)</t>
  </si>
  <si>
    <t>오크 (-13)&lt;br&gt;깡패 (-14)&lt;br&gt;한메 (-17)&lt;br&gt;짱구 (-22)</t>
  </si>
  <si>
    <t>G240709224404</t>
  </si>
  <si>
    <t>2024-07-09 22:44</t>
  </si>
  <si>
    <t>짱구 (11)&lt;br&gt;한메 (20)&lt;br&gt;ACDC (33)&lt;br&gt;조심 (-)</t>
  </si>
  <si>
    <t>깡패 (-19)&lt;br&gt;강화 (-14)&lt;br&gt;재우 (-)&lt;br&gt;오크 (-17)</t>
  </si>
  <si>
    <t>G240709221530</t>
  </si>
  <si>
    <t>2024-07-09 22:15</t>
  </si>
  <si>
    <t>깡패 (32)&lt;br&gt;짱구 (19)&lt;br&gt;조심 (-)&lt;br&gt;재우(-)</t>
  </si>
  <si>
    <t>한메 (-26)&lt;br&gt;신형만 (-33)&lt;br&gt;ACDC (-15)&lt;br&gt;오크 (-22)</t>
  </si>
  <si>
    <t>G240709214932</t>
  </si>
  <si>
    <t>2024-07-09 21:49</t>
  </si>
  <si>
    <t>ACDC (38)&lt;br&gt;신형만 (11)&lt;br&gt;짱구 (15)&lt;br&gt;재우(-)</t>
  </si>
  <si>
    <t>조심 (-)&lt;br&gt;깡패 (-10)&lt;br&gt;한메 (-14)&lt;br&gt;오크 (-11)</t>
  </si>
  <si>
    <t>G240709191001</t>
  </si>
  <si>
    <t>2024-07-09 19:09</t>
  </si>
  <si>
    <t>오크 (19)&lt;br&gt;짱구 (11)&lt;br&gt;신형만 (8)&lt;br&gt;키키 (-)</t>
  </si>
  <si>
    <t>아이딘 (-11)&lt;br&gt;ACDC (-10)&lt;br&gt;악동 (-10)&lt;br&gt;깡패 (-17)</t>
  </si>
  <si>
    <t>G240709184527</t>
  </si>
  <si>
    <t>2024-07-09 18:45</t>
  </si>
  <si>
    <t>키키 (-)&lt;br&gt;짱구 (17)&lt;br&gt;오크 (26)&lt;br&gt;깡패 (27)</t>
  </si>
  <si>
    <t>아이딘 (-13)&lt;br&gt;신형만 (-26)&lt;br&gt;악동 (-12)&lt;br&gt;ACDC (-12)</t>
  </si>
  <si>
    <t>G240709181201</t>
  </si>
  <si>
    <t>2024-07-09 18:11</t>
  </si>
  <si>
    <t>아이딘 (31)&lt;br&gt;신형만 (9)&lt;br&gt;윙크 (-)&lt;br&gt;짱구 (16)</t>
  </si>
  <si>
    <t>깡패 (-19)&lt;br&gt;ACDC (-14)&lt;br&gt;악동 (-14)&lt;br&gt;오크 (-19)</t>
  </si>
  <si>
    <t>G240709173938</t>
  </si>
  <si>
    <t>2024-07-09 17:39</t>
  </si>
  <si>
    <t>오크 (28)&lt;br&gt;신형만 (12)&lt;br&gt;윙크 (-)&lt;br&gt;악동 (35)</t>
  </si>
  <si>
    <t>깡패 (-23)&lt;br&gt;ACDC (-18)&lt;br&gt;아이딘 (-15)&lt;br&gt;짱구 (-30)</t>
  </si>
  <si>
    <t>G240709171839</t>
  </si>
  <si>
    <t>2024-07-09 17:18</t>
  </si>
  <si>
    <t>오딘 (-)&lt;br&gt;깡패 (20)&lt;br&gt;신형만 (9)&lt;br&gt;악동 (30)</t>
  </si>
  <si>
    <t>ACDC (-17)&lt;br&gt;윙크 (-)&lt;br&gt;아이딘 (-15)&lt;br&gt;오크 (-19)</t>
  </si>
  <si>
    <t>G240709000250</t>
  </si>
  <si>
    <t>2024-07-09 00:02</t>
  </si>
  <si>
    <t>짱구 (11)&lt;br&gt;조드 (-)&lt;br&gt;한메 (13)&lt;br&gt;오크 (19)</t>
  </si>
  <si>
    <t>재우 (-)&lt;br&gt;밍구 (-13)&lt;br&gt;웅 (-)&lt;br&gt;강화 (-19)</t>
  </si>
  <si>
    <t>G240708234900</t>
  </si>
  <si>
    <t>2024-07-08 23:48</t>
  </si>
  <si>
    <t>짱구 (16)&lt;br&gt;깡패 (25)&lt;br&gt;재명 (20)&lt;br&gt;오크 (27)</t>
  </si>
  <si>
    <t>강화 (-16)&lt;br&gt;한메 (-24)&lt;br&gt;재우 (-)&lt;br&gt;조드 (-)</t>
  </si>
  <si>
    <t>G240708231352</t>
  </si>
  <si>
    <t>2024-07-08 23:13</t>
  </si>
  <si>
    <t>깡패 (32)&lt;br&gt;강화 (35)&lt;br&gt;짱구 (23)&lt;br&gt;조심 (-)</t>
  </si>
  <si>
    <t>한메 (-32)&lt;br&gt;재우 (-)&lt;br&gt;오크 (-21)&lt;br&gt;재명 (-29)</t>
  </si>
  <si>
    <t>G240708224954</t>
  </si>
  <si>
    <t>2024-07-08 22:49</t>
  </si>
  <si>
    <t>한메 (12)&lt;br&gt;재명 (17)&lt;br&gt;재우 (-)&lt;br&gt;짱구 (18)</t>
  </si>
  <si>
    <t>깡패 (-15)&lt;br&gt;조심 (-)&lt;br&gt;오크 (-17)&lt;br&gt;강화 (-16)</t>
  </si>
  <si>
    <t>G240708221451</t>
  </si>
  <si>
    <t>2024-07-08 22:14</t>
  </si>
  <si>
    <t>테리 (11)&lt;br&gt;강화 (30)&lt;br&gt;재우 (-)&lt;br&gt;한메 (14)</t>
  </si>
  <si>
    <t>미르진 (-12)&lt;br&gt;깡패 (-17)&lt;br&gt;ACDC (-18)&lt;br&gt;오딘 (-)</t>
  </si>
  <si>
    <t>G240708214110</t>
  </si>
  <si>
    <t>2024-07-08 21:41</t>
  </si>
  <si>
    <t>재우 (-)&lt;br&gt;재명 (21)&lt;br&gt;테리 (12)&lt;br&gt;한메 (16)</t>
  </si>
  <si>
    <t>미르진 (-8)&lt;br&gt;깡패 (-12)&lt;br&gt;ACDC (-13)&lt;br&gt;강화 (-9)</t>
  </si>
  <si>
    <t>G240708181004</t>
  </si>
  <si>
    <t>2024-07-08 18:10</t>
  </si>
  <si>
    <t>재명 (23)&lt;br&gt;깡패 (25)&lt;br&gt;윙크 (-)&lt;br&gt;신형만 (11)</t>
  </si>
  <si>
    <t>아이딘 (-16)&lt;br&gt;강화 (-17)&lt;br&gt;지피 (-)&lt;br&gt;짱구 (-25)</t>
  </si>
  <si>
    <t>G240708174033</t>
  </si>
  <si>
    <t>2024-07-08 17:40</t>
  </si>
  <si>
    <t>윙크 (-)&lt;br&gt;ACDC (30)&lt;br&gt;신형만 (13)&lt;br&gt;강화 (34)</t>
  </si>
  <si>
    <t>재명 (-14)&lt;br&gt;깡패 (-12)&lt;br&gt;아이딘 (-11)&lt;br&gt;지피 (-)</t>
  </si>
  <si>
    <t>G240708163331</t>
  </si>
  <si>
    <t>2024-07-08 16:33</t>
  </si>
  <si>
    <t>아이딘 (31)&lt;br&gt;신형만 (15)&lt;br&gt;만두 (-)&lt;br&gt;미등록 (-)</t>
  </si>
  <si>
    <t>ACDC (-16)&lt;br&gt;깡패 (-16)&lt;br&gt;강화 (-13)&lt;br&gt;재명 (-19)</t>
  </si>
  <si>
    <t>G240708155639</t>
  </si>
  <si>
    <t>2024-07-08 15:56</t>
  </si>
  <si>
    <t>깡패 (21)&lt;br&gt;신형만 (11)&lt;br&gt;재명 (18)&lt;br&gt;ACDC (25)</t>
  </si>
  <si>
    <t>아이딘 (-11)&lt;br&gt;미등록 (-)&lt;br&gt;강화 (-12)&lt;br&gt;만두 (-)</t>
  </si>
  <si>
    <t>G240708152541</t>
  </si>
  <si>
    <t>2024-07-08 15:25</t>
  </si>
  <si>
    <t>신형만 (16)&lt;br&gt;강화 (34)&lt;br&gt;아이딘 (32)&lt;br&gt;ACDC (33)</t>
  </si>
  <si>
    <t>깡패 (-22)&lt;br&gt;미등록 (-)&lt;br&gt;만두 (-)&lt;br&gt;재명 (-27)</t>
  </si>
  <si>
    <t>G240708021043</t>
  </si>
  <si>
    <t>2024-07-08 02:10</t>
  </si>
  <si>
    <t>엘더 (-)&lt;br&gt;깡패 (26)&lt;br&gt;짱구 (20)&lt;br&gt;재명 (22)</t>
  </si>
  <si>
    <t>신형만 (-29)&lt;br&gt;강화 (-15)&lt;br&gt;ACDC (-16)&lt;br&gt;밍구 (30)</t>
  </si>
  <si>
    <t>G240708013452</t>
  </si>
  <si>
    <t>2024-07-08 01:34</t>
  </si>
  <si>
    <t>신형만 (15)&lt;br&gt;강화 (36)&lt;br&gt;재명 (25)&lt;br&gt;엘더 (-)</t>
  </si>
  <si>
    <t>깡패 (-20)&lt;br&gt;밍구 (-)&lt;br&gt;짱구 (-27)&lt;br&gt;ACDC (-18)</t>
  </si>
  <si>
    <t>G240708010035</t>
  </si>
  <si>
    <t>2024-07-08 01:00</t>
  </si>
  <si>
    <t>오크 (23)&lt;br&gt;짱구 (16)&lt;br&gt;재명 (24)&lt;br&gt;ACDC (29)</t>
  </si>
  <si>
    <t>깡패 (-14)&lt;br&gt;밍구 (-)&lt;br&gt;엘더 (-)&lt;br&gt;강화 (-10)</t>
  </si>
  <si>
    <t>G240707234251</t>
  </si>
  <si>
    <t>2024-07-07 23:42</t>
  </si>
  <si>
    <t>엘더 (-)&lt;br&gt;짱구 (23)&lt;br&gt;재명 (32)&lt;br&gt;깡패 (27)</t>
  </si>
  <si>
    <t>ACDC (-14)&lt;br&gt;한메 (-24)&lt;br&gt;강화 (-13)&lt;br&gt;오크 (-16)</t>
  </si>
  <si>
    <t>G240707225611</t>
  </si>
  <si>
    <t>2024-07-07 22:56</t>
  </si>
  <si>
    <t>한메 (14)&lt;br&gt;재명 (32)&lt;br&gt;짱구 (22)&lt;br&gt;신형만 (14)</t>
  </si>
  <si>
    <t>오크 (-17)&lt;br&gt;엘더 (-)&lt;br&gt;ACDC (-15)&lt;br&gt;강화 (-13)</t>
  </si>
  <si>
    <t>G240707223232</t>
  </si>
  <si>
    <t>2024-07-07 22:32</t>
  </si>
  <si>
    <t>신형만 (15)&lt;br&gt;한메 (15)&lt;br&gt;짱구 (24)&lt;br&gt;오크 (24)</t>
  </si>
  <si>
    <t>재명 (-14)&lt;br&gt;ACDC (-18)&lt;br&gt;강화 (-16)&lt;br&gt;엘더 (-)</t>
  </si>
  <si>
    <t>G240707221639</t>
  </si>
  <si>
    <t>2024-07-07 22:16</t>
  </si>
  <si>
    <t>강화 (38)&lt;br&gt;짱구 (34)&lt;br&gt;엘더 (-)&lt;br&gt;한메 (24)</t>
  </si>
  <si>
    <t>재명 (-21)&lt;br&gt;신형만 (-34)&lt;br&gt;오크 (-25)&lt;br&gt;ACDC (-26)</t>
  </si>
  <si>
    <t>G240707220019</t>
  </si>
  <si>
    <t>2024-07-07 22:00</t>
  </si>
  <si>
    <t>신형만 (15)&lt;br&gt;ACDC (28)&lt;br&gt;엘더 (-)&lt;br&gt;한메 (21)</t>
  </si>
  <si>
    <t>오크 (-21)&lt;br&gt;강화 (-14)&lt;br&gt;짱구 (-18)&lt;br&gt;재명 (-17)</t>
  </si>
  <si>
    <t>G240707212424</t>
  </si>
  <si>
    <t>2024-07-07 21:24</t>
  </si>
  <si>
    <t>한메 (19)&lt;br&gt;신형만 (13)&lt;br&gt;오크 (19)&lt;br&gt;재명 (27)</t>
  </si>
  <si>
    <t>엘더 (-)&lt;br&gt;강화 (-11)&lt;br&gt;민우 (-)&lt;br&gt;ACDC (-15)</t>
  </si>
  <si>
    <t>G240707205007</t>
  </si>
  <si>
    <t>2024-07-07 20:50</t>
  </si>
  <si>
    <t>재명 (40)&lt;br&gt;한메 (32)&lt;br&gt;엘더 (-)&lt;br&gt;오크 (35)</t>
  </si>
  <si>
    <t>강화 (-17)&lt;br&gt;신형만 (-25)&lt;br&gt;ACDC (-20)&lt;br&gt;랄 (-)</t>
  </si>
  <si>
    <t>G240706004846</t>
  </si>
  <si>
    <t>2024-07-06 00:48</t>
  </si>
  <si>
    <t>오크 (28)&lt;br&gt;강화 (29)&lt;br&gt;테리 (11)&lt;br&gt;깡패 (24)</t>
  </si>
  <si>
    <t>ACDC (-25)&lt;br&gt;조드 (-)&lt;br&gt;재명 (-16)&lt;br&gt;밍구 (-)</t>
  </si>
  <si>
    <t>G240706000858</t>
  </si>
  <si>
    <t>2024-07-06 00:08</t>
  </si>
  <si>
    <t>미르진 (35)&lt;br&gt;테리 (12)&lt;br&gt;ACDC (21)&lt;br&gt;밍구 (-)</t>
  </si>
  <si>
    <t>깡패 (-13)&lt;br&gt;오크 (-12)&lt;br&gt;재명 (-11)&lt;br&gt;강화 (-12)</t>
  </si>
  <si>
    <t>G240705231318</t>
  </si>
  <si>
    <t>2024-07-05 23:13</t>
  </si>
  <si>
    <t>ACDC (23)&lt;br&gt;밍구 (-)&lt;br&gt;테리 (13)&lt;br&gt;깡패 (26)</t>
  </si>
  <si>
    <t>미르진 (-16)&lt;br&gt;강화 (-21)&lt;br&gt;재명 (-21)&lt;br&gt;오크 (-22)</t>
  </si>
  <si>
    <t>G240705223837</t>
  </si>
  <si>
    <t>2024-07-05 22:38</t>
  </si>
  <si>
    <t>재명 (31)&lt;br&gt;테리 (14)&lt;br&gt;ACDC (26)&lt;br&gt;강화 (30)</t>
  </si>
  <si>
    <t>깡패 (-14)&lt;br&gt;오크 (-17)&lt;br&gt;미등록 (-)&lt;br&gt;미르진 (-12)</t>
  </si>
  <si>
    <t>G240705165142</t>
  </si>
  <si>
    <t>2024-07-05 16:51</t>
  </si>
  <si>
    <t>깡패 (25)&lt;br&gt;한메 (23)&lt;br&gt;신형만 (11)&lt;br&gt;짱구 (25)</t>
  </si>
  <si>
    <t>테슬라 (-)&lt;br&gt;재명 (-14)&lt;br&gt;ACDC (-18)&lt;br&gt;키키 (-)</t>
  </si>
  <si>
    <t>G240705161031</t>
  </si>
  <si>
    <t>2024-07-05 16:10</t>
  </si>
  <si>
    <t>한메 (30)&lt;br&gt;신형만 (14)&lt;br&gt;재명 (33)&lt;br&gt;키키 (-)</t>
  </si>
  <si>
    <t>테슬라 (-)&lt;br&gt;깡패 (-20)&lt;br&gt;ACDC (-25)&lt;br&gt;짱구 (-22)</t>
  </si>
  <si>
    <t>G240705153708</t>
  </si>
  <si>
    <t>2024-07-05 15:37</t>
  </si>
  <si>
    <t>키키 (-)&lt;br&gt;신형만 (16)&lt;br&gt;ACDC (25)&lt;br&gt;깡패 (29)</t>
  </si>
  <si>
    <t>테슬라 (-)&lt;br&gt;재명 (-15)&lt;br&gt;한메 (-17)&lt;br&gt;짱구 (-20)</t>
  </si>
  <si>
    <t>G240705002720</t>
  </si>
  <si>
    <t>2024-07-05 00:27</t>
  </si>
  <si>
    <t>오크 (26)&lt;br&gt;밍구 (-)&lt;br&gt;테리 (15)&lt;br&gt;ACDC (26)</t>
  </si>
  <si>
    <t>깡패 (-12)&lt;br&gt;조드 (-)&lt;br&gt;짱구 (-16)&lt;br&gt;강화 (-13)</t>
  </si>
  <si>
    <t>G240704233354</t>
  </si>
  <si>
    <t>2024-07-04 23:33</t>
  </si>
  <si>
    <t>짱구 (27)&lt;br&gt;조드 (-)&lt;br&gt;테리 (19)&lt;br&gt;한메 (33)</t>
  </si>
  <si>
    <t>오크 (-23)&lt;br&gt;강화 (-21)&lt;br&gt;ACDC (-22)&lt;br&gt;깡패 (-20)</t>
  </si>
  <si>
    <t>G240704230558</t>
  </si>
  <si>
    <t>2024-07-04 23:05</t>
  </si>
  <si>
    <t>한메 (50)&lt;br&gt;짱구 (32)&lt;br&gt;ACDC (33)&lt;br&gt;조드 (-)</t>
  </si>
  <si>
    <t>깡패 (-26)&lt;br&gt;조심 (-)&lt;br&gt;오크 (-29)&lt;br&gt;강화 (-27)</t>
  </si>
  <si>
    <t>G240704002519</t>
  </si>
  <si>
    <t>2024-07-04 00:25</t>
  </si>
  <si>
    <t>테리 (18)&lt;br&gt;깡패 (24)&lt;br&gt;ACDC (30)&lt;br&gt;짱구 (30)</t>
  </si>
  <si>
    <t>강화 (-22)&lt;br&gt;재명 (-17)&lt;br&gt;웅 (-)&lt;br&gt;밍구 (-)</t>
  </si>
  <si>
    <t>G240703235738</t>
  </si>
  <si>
    <t>2024-07-03 23:57</t>
  </si>
  <si>
    <t>테리 (19)&lt;br&gt;강화 (22)&lt;br&gt;ACDC (33)&lt;br&gt;미르진 (40)</t>
  </si>
  <si>
    <t>짱구 (-22)&lt;br&gt;밍구 (-)&lt;br&gt;재명 (-24)&lt;br&gt;깡패 (-25)</t>
  </si>
  <si>
    <t>G240703232523</t>
  </si>
  <si>
    <t>2024-07-03 23:25</t>
  </si>
  <si>
    <t>ACDC (38)&lt;br&gt;재명 (30)&lt;br&gt;신형만 (17)&lt;br&gt;미르진 (-)</t>
  </si>
  <si>
    <t>한메 (-)&lt;br&gt;강화 (-17)&lt;br&gt;아이딘 (-13)&lt;br&gt;밍구 (-)</t>
  </si>
  <si>
    <t>G240703223430</t>
  </si>
  <si>
    <t>2024-07-03 22:34</t>
  </si>
  <si>
    <t>신형만 (15)&lt;br&gt;ACDC (37)&lt;br&gt;재명 (28)&lt;br&gt;강화 (19)</t>
  </si>
  <si>
    <t>아이딘 (-21)&lt;br&gt;팰리 (-)&lt;br&gt;한메 (-)&lt;br&gt;미르진 (-)</t>
  </si>
  <si>
    <t>G240703221538</t>
  </si>
  <si>
    <t>2024-07-03 22:15</t>
  </si>
  <si>
    <t>아이딘 (25)&lt;br&gt;신형만 (16)&lt;br&gt;한메 (-)&lt;br&gt;미르진 (-)</t>
  </si>
  <si>
    <t>팰리 (-)&lt;br&gt;강화 (-30)&lt;br&gt;ACDC (-14)&lt;br&gt;재명 (-22)</t>
  </si>
  <si>
    <t>G240703214614</t>
  </si>
  <si>
    <t>2024-07-03 21:46</t>
  </si>
  <si>
    <t>강화 (20)&lt;br&gt;한메 (-)&lt;br&gt;팰리 (-)&lt;br&gt;재명 (31)</t>
  </si>
  <si>
    <t>아이딘 (50)&lt;br&gt;신형만 (-23)&lt;br&gt;미르진 (-)&lt;br&gt;ACDC (-10)</t>
  </si>
  <si>
    <t>G202407030152</t>
  </si>
  <si>
    <t>2024-07-03 01:52</t>
  </si>
  <si>
    <t>오크 (21)&lt;br&gt;깡패 (23)&lt;br&gt;신형만 (17)&lt;br&gt;민우 (-)</t>
  </si>
  <si>
    <t>짱구 (-11)&lt;br&gt;테리 (-15)&lt;br&gt;ACDC (-6)&lt;br&gt;혀니 (-)</t>
  </si>
  <si>
    <t>G202407030048</t>
  </si>
  <si>
    <t>2024-07-03 00:48</t>
  </si>
  <si>
    <t>신형만 (21)&lt;br&gt;짱구 (30)&lt;br&gt;강화 (25)&lt;br&gt;깡패 (27)</t>
  </si>
  <si>
    <t>오크 (-16)&lt;br&gt;ACDC (-8)&lt;br&gt;테리 (-17)&lt;br&gt;미르진 (-)</t>
  </si>
  <si>
    <t>G202407022354</t>
  </si>
  <si>
    <t>2024-07-02 23:54</t>
  </si>
  <si>
    <t>강화 (26)&lt;br&gt;테리 (17)&lt;br&gt;오크 (22)&lt;br&gt;깡패 (28)</t>
  </si>
  <si>
    <t>짱구 (-16)&lt;br&gt;미르진 (-)&lt;br&gt;ACDC (-11)&lt;br&gt;신형만 (-23)</t>
  </si>
  <si>
    <t>G202407022352</t>
  </si>
  <si>
    <t>2024-07-02 23:52</t>
  </si>
  <si>
    <t>신형만 (21)&lt;br&gt;ACDC (40)&lt;br&gt;아이딘 (-)&lt;br&gt;짱구 (32)</t>
  </si>
  <si>
    <t>강화 (-25)&lt;br&gt;미르진 (-)&lt;br&gt;오크 (-28)&lt;br&gt;깡패 (-21)</t>
  </si>
  <si>
    <t>G202407022250</t>
  </si>
  <si>
    <t>2024-07-02 22:50</t>
  </si>
  <si>
    <t>테리 (25)&lt;br&gt;신형만 (20)&lt;br&gt;짱구 (40)&lt;br&gt;미르진 (-)</t>
  </si>
  <si>
    <t>강화 (-16)&lt;br&gt;오크 (-19)&lt;br&gt;ACDC (-13)&lt;br&gt;깡패 (-18)</t>
  </si>
  <si>
    <t>G202407022215</t>
  </si>
  <si>
    <t>2024-07-02 22:15</t>
  </si>
  <si>
    <t>테리 (N/A)&lt;br&gt;강화 (N/A)&lt;br&gt;오크 (N/A)&lt;br&gt;짱구 (-)</t>
  </si>
  <si>
    <t>미르진 (-)&lt;br&gt;신형만 (N/A)&lt;br&gt;ACDC (N/A)&lt;br&gt;깡패 (N/A)</t>
  </si>
  <si>
    <t>G202407022140</t>
  </si>
  <si>
    <t>2024-07-02 21:40</t>
  </si>
  <si>
    <t>아이딘 (-)&lt;br&gt;테리 (22)&lt;br&gt;강화 (25)&lt;br&gt;오크 (20)</t>
  </si>
  <si>
    <t>ACDC (-13)&lt;br&gt;깡패 (-20)&lt;br&gt;짱구 (-)&lt;br&gt;미르진 (-)</t>
  </si>
  <si>
    <t>G202407021828</t>
  </si>
  <si>
    <t>2024-07-02 18:28</t>
  </si>
  <si>
    <t>엘더 (-)&lt;br&gt;깡패 (22)&lt;br&gt;아이딘 (-)&lt;br&gt;신형만 (20)</t>
  </si>
  <si>
    <t>ACDC (-17)&lt;br&gt;만두 (-)&lt;br&gt;테리 (-23)&lt;br&gt;짱구 (-)</t>
  </si>
  <si>
    <t>G202407021753</t>
  </si>
  <si>
    <t>2024-07-02 17:53</t>
  </si>
  <si>
    <t>만두 (-)&lt;br&gt;신형만 (21)&lt;br&gt;테리 (20)&lt;br&gt;깡패 (23)</t>
  </si>
  <si>
    <t>엘더 (-)&lt;br&gt;ACDC (-16)&lt;br&gt;아이딘 (-)&lt;br&gt;악동 (-)</t>
  </si>
  <si>
    <t>G202407021717</t>
  </si>
  <si>
    <t>2024-07-02 17:17</t>
  </si>
  <si>
    <t>엘더 (-)&lt;br&gt;테리 (24)&lt;br&gt;만두 (-)&lt;br&gt;깡패 (60)</t>
  </si>
  <si>
    <t>신형만 (-21)&lt;br&gt;ACDC (-17)&lt;br&gt;아이딘 (-)&lt;br&gt;악동 (-)</t>
  </si>
  <si>
    <t>G202407021641</t>
  </si>
  <si>
    <t>2024-07-02 16:41</t>
  </si>
  <si>
    <t>신형만 (23)&lt;br&gt;엘더 (-)&lt;br&gt;ACDC (32)&lt;br&gt;악동 (-)</t>
  </si>
  <si>
    <t>테리 (-27)&lt;br&gt;만두 (-)&lt;br&gt;아이딘 (-)&lt;br&gt;깡패 (-)</t>
  </si>
  <si>
    <t>G202407020120</t>
  </si>
  <si>
    <t>2024-07-02 01:20</t>
  </si>
  <si>
    <t>테리 (25)&lt;br&gt;깡패 (-)&lt;br&gt;신형만 (27)&lt;br&gt;짱구 (-)</t>
  </si>
  <si>
    <t>재명 (-18)&lt;br&gt;오크 (-22)&lt;br&gt;ACDC (20)&lt;br&gt;혀니 (-)</t>
  </si>
  <si>
    <t>G202407020100</t>
  </si>
  <si>
    <t>2024-07-02 01:00</t>
  </si>
  <si>
    <t>테리 (26)&lt;br&gt;짱구 (-)&lt;br&gt;오크 (24)&lt;br&gt;혀니 (-)</t>
  </si>
  <si>
    <t>ACDC (-)&lt;br&gt;깡패 (-)&lt;br&gt;신형만 (-15)&lt;br&gt;재명 (-14)</t>
  </si>
  <si>
    <t>G202407020026</t>
  </si>
  <si>
    <t>2024-07-02 00:26</t>
  </si>
  <si>
    <t>오크 (24)&lt;br&gt;깡패 (-)&lt;br&gt;강화 (28)&lt;br&gt;신형만 (27)</t>
  </si>
  <si>
    <t>테리 (40)&lt;br&gt;짱구 (-)&lt;br&gt;ACDC (-)&lt;br&gt;재명 (-21)</t>
  </si>
  <si>
    <t>G202407012359</t>
  </si>
  <si>
    <t>2024-07-01 23:59</t>
  </si>
  <si>
    <t>짱구 (-)&lt;br&gt;재명 (26)&lt;br&gt;한메 (-)&lt;br&gt;오크 (25)</t>
  </si>
  <si>
    <t>신형만 (60)&lt;br&gt;테리 (-)&lt;br&gt;강화 (-17)&lt;br&gt;혀니 (-)</t>
  </si>
  <si>
    <t>G202407012332</t>
  </si>
  <si>
    <t>2024-07-01 23:32</t>
  </si>
  <si>
    <t>신형만 (-)&lt;br&gt;오크 (70)&lt;br&gt;강화 (60)&lt;br&gt;혀니 (-)</t>
  </si>
  <si>
    <t>테리 (-)&lt;br&gt;한메 (-)&lt;br&gt;짱구 (-)&lt;br&gt;재명 (50)</t>
  </si>
  <si>
    <t>G202407012308</t>
  </si>
  <si>
    <t>2024-07-01 23:08</t>
  </si>
  <si>
    <t>테리 (-)&lt;br&gt;신형만 (-)&lt;br&gt;오크 (-)&lt;br&gt;재명 (-)</t>
  </si>
  <si>
    <t>한메 (-)&lt;br&gt;짱구 (-)&lt;br&gt;강화 (-)&lt;br&gt;혀니 (-)</t>
  </si>
  <si>
    <t>G202407012232</t>
  </si>
  <si>
    <t>2024-07-01 22:32</t>
  </si>
  <si>
    <t>오크 (-)&lt;br&gt;강화 (-)&lt;br&gt;재명 (-)&lt;br&gt;엘더 (-)</t>
  </si>
  <si>
    <t>테리 (-)&lt;br&gt;한메 (-)&lt;br&gt;신형만 (-)&lt;br&gt;혀니 (-)</t>
  </si>
  <si>
    <t>G202407012145</t>
  </si>
  <si>
    <t>2024-07-01 21:45</t>
  </si>
  <si>
    <t>강화 (-)&lt;br&gt;테리 (-)&lt;br&gt;한메 (-)&lt;br&gt;엘더 (-)</t>
  </si>
  <si>
    <t>오크 (-)&lt;br&gt;재명 (-)&lt;br&gt;ACDC (-)&lt;br&gt;혀니 (-)</t>
  </si>
  <si>
    <t>G202407011817</t>
  </si>
  <si>
    <t>2024-07-01 18:17</t>
  </si>
  <si>
    <t>악동 (-)&lt;br&gt;테리 (-)&lt;br&gt;ACDC (-)&lt;br&gt;신형만 (-)</t>
  </si>
  <si>
    <t>강화 (-)&lt;br&gt;오크 (-)&lt;br&gt;아이딘 (-)&lt;br&gt;재명 (-)</t>
  </si>
  <si>
    <t>G202407011744</t>
  </si>
  <si>
    <t>2024-07-01 17:44</t>
  </si>
  <si>
    <t>신형만 (-)&lt;br&gt;재명 (-)&lt;br&gt;ACDC (-)&lt;br&gt;오크 (-)</t>
  </si>
  <si>
    <t>테리 (-)&lt;br&gt;깡패 (-)&lt;br&gt;악동 (-)&lt;br&gt;강화 (-)</t>
  </si>
  <si>
    <t>G202407011705</t>
  </si>
  <si>
    <t>2024-07-01 17:05</t>
  </si>
  <si>
    <t>신형만 (-)&lt;br&gt;오크 (-)&lt;br&gt;테리 (-)&lt;br&gt;강화 (-)</t>
  </si>
  <si>
    <t>재명 (-)&lt;br&gt;깡패 (-)&lt;br&gt;ACDC (-)&lt;br&gt;악동 (-)</t>
  </si>
  <si>
    <t>G202407011631</t>
  </si>
  <si>
    <t>2024-07-01 16:31</t>
  </si>
  <si>
    <t>강화 (-)&lt;br&gt;신형만 (-)&lt;br&gt;오크 (-)&lt;br&gt;깡패 (-)</t>
  </si>
  <si>
    <t>재명 (-)&lt;br&gt;테리 (-)&lt;br&gt;악동 (-)&lt;br&gt;ACDC (-)</t>
  </si>
  <si>
    <t>G202407011555</t>
  </si>
  <si>
    <t>2024-07-01 15:55</t>
  </si>
  <si>
    <t>강화 (-)&lt;br&gt;재명 (-)&lt;br&gt;아이딘 (-)&lt;br&gt;깡패 (-)</t>
  </si>
  <si>
    <t>오크 (-)&lt;br&gt;신형만 (-)&lt;br&gt;악동 (-)&lt;br&gt;ACDC (-)</t>
  </si>
  <si>
    <t>G202407011525</t>
  </si>
  <si>
    <t>2024-07-01 15:25</t>
  </si>
  <si>
    <t>아이딘 (-)&lt;br&gt;깡패 (-)&lt;br&gt;오크 (-)&lt;br&gt;재명 (-)</t>
  </si>
  <si>
    <t>강화 (-)&lt;br&gt;신형만 (-)&lt;br&gt;악동 (-)&lt;br&gt;ACDC (-)</t>
  </si>
  <si>
    <t>G202407010015</t>
  </si>
  <si>
    <t>2024-07-01 00:15</t>
  </si>
  <si>
    <t>한메 (14)&lt;br&gt;테리 (13)&lt;br&gt;ACDC (20)&lt;br&gt;엘더 (-)</t>
  </si>
  <si>
    <t>재명 (-10)&lt;br&gt;강화 (-14)&lt;br&gt;신형만 (-20)&lt;br&gt;오크 (-19)</t>
  </si>
  <si>
    <t>시즌1</t>
  </si>
  <si>
    <t>G202406302337</t>
  </si>
  <si>
    <t>2024-06-30 23:37</t>
  </si>
  <si>
    <t>테리 (14)&lt;br&gt;오크 (14)&lt;br&gt;한메 (15)&lt;br&gt;ACDC (21)</t>
  </si>
  <si>
    <t>재명 (-11)&lt;br&gt;신형만 (-21)&lt;br&gt;엘더 (-)&lt;br&gt;강화 (-14)</t>
  </si>
  <si>
    <t>G202406302314</t>
  </si>
  <si>
    <t>2024-06-30 23:14</t>
  </si>
  <si>
    <t>신형만 (11)&lt;br&gt;테리 (15)&lt;br&gt;한메 (15)&lt;br&gt;재명 (22)</t>
  </si>
  <si>
    <t>ACDC (-12)&lt;br&gt;강화 (-15)&lt;br&gt;오크 (-19)&lt;br&gt;엘더 (-)</t>
  </si>
  <si>
    <t>G202406302247</t>
  </si>
  <si>
    <t>2024-06-30 22:47</t>
  </si>
  <si>
    <t>오크 (11)&lt;br&gt;ACDC (19)&lt;br&gt;신형만 (9)&lt;br&gt;엘더 (-)</t>
  </si>
  <si>
    <t>테리 (-17)&lt;br&gt;한메 (-17)&lt;br&gt;구리다 (-9)&lt;br&gt;재명 (-10)</t>
  </si>
  <si>
    <t>G202406302220</t>
  </si>
  <si>
    <t>2024-06-30 22:20</t>
  </si>
  <si>
    <t>오크 (10)&lt;br&gt;엘더 (-)&lt;br&gt;한메 (12)&lt;br&gt;신형만 (9)</t>
  </si>
  <si>
    <t>테리 (-17)&lt;br&gt;구리다 (-8)&lt;br&gt;재명 (-9)&lt;br&gt;ACDC (-10)</t>
  </si>
  <si>
    <t>G202406302155</t>
  </si>
  <si>
    <t>2024-06-30 21:55</t>
  </si>
  <si>
    <t>한메 (17)&lt;br&gt;ACDC (22)&lt;br&gt;신형만 (14)&lt;br&gt;오크 (16)</t>
  </si>
  <si>
    <t>엘더 (-)&lt;br&gt;테리 (-20)&lt;br&gt;구리다 (-10)&lt;br&gt;짱구 (-22)</t>
  </si>
  <si>
    <t>G202406302125</t>
  </si>
  <si>
    <t>2024-06-30 21:25</t>
  </si>
  <si>
    <t>한메 (16)&lt;br&gt;테리 (12)&lt;br&gt;신형만 (13)&lt;br&gt;오크 (14)</t>
  </si>
  <si>
    <t>ACDC (-9)&lt;br&gt;구리다 (-9)&lt;br&gt;엘더 (-)&lt;br&gt;짱구 (-21)</t>
  </si>
  <si>
    <t>G202406292224</t>
  </si>
  <si>
    <t>2024-06-29 22:24</t>
  </si>
  <si>
    <t>엘더 (-)&lt;br&gt;ACDC (21)&lt;br&gt;재우 (14)&lt;br&gt;한메 (16)</t>
  </si>
  <si>
    <t>전투쥐 (-)&lt;br&gt;만두 (-18)&lt;br&gt;팰리 (-17)&lt;br&gt;재명 (-13)</t>
  </si>
  <si>
    <t>G202406290109</t>
  </si>
  <si>
    <t>2024-06-29 01:09</t>
  </si>
  <si>
    <t>조심 (-)&lt;br&gt;깡패 (18)&lt;br&gt;짱구 (10)&lt;br&gt;오크 (16)</t>
  </si>
  <si>
    <t>ACDC (-9)&lt;br&gt;강화 (-14)&lt;br&gt;테리 (-19)&lt;br&gt;신형만 (-18)</t>
  </si>
  <si>
    <t>G202406290038</t>
  </si>
  <si>
    <t>2024-06-29 00:38</t>
  </si>
  <si>
    <t>신형만 (11)&lt;br&gt;강화 (15)&lt;br&gt;테리 (11)&lt;br&gt;오크 (15)</t>
  </si>
  <si>
    <t>ACDC (-10)&lt;br&gt;미르진 (-13)&lt;br&gt;만두 (-15)&lt;br&gt;조심 (-)</t>
  </si>
  <si>
    <t>G202406290033</t>
  </si>
  <si>
    <t>2024-06-29 00:33</t>
  </si>
  <si>
    <t>오크 (17)&lt;br&gt;테리 (13)&lt;br&gt;미르진 (18)&lt;br&gt;만두 (15)</t>
  </si>
  <si>
    <t>조심 (-)&lt;br&gt;전투쥐 (-)&lt;br&gt;신형만 (-20)&lt;br&gt;ACDC (-11)</t>
  </si>
  <si>
    <t>G202406282311</t>
  </si>
  <si>
    <t>2024-06-28 23:11</t>
  </si>
  <si>
    <t>테리 (14)&lt;br&gt;엘더 (-)&lt;br&gt;조심 (-)&lt;br&gt;미르진 (19)</t>
  </si>
  <si>
    <t>ACDC (-12)&lt;br&gt;오크 (-15)&lt;br&gt;전투쥐 (-)&lt;br&gt;신형만 (-21)</t>
  </si>
  <si>
    <t>G202406282237</t>
  </si>
  <si>
    <t>2024-06-28 22:37</t>
  </si>
  <si>
    <t>아이딘 (17)&lt;br&gt;엘더 (-)&lt;br&gt;테리 (15)&lt;br&gt;전투쥐 (-)</t>
  </si>
  <si>
    <t>오크 (-16)&lt;br&gt;미르진 (-13)&lt;br&gt;짱구 (-23)&lt;br&gt;ACDC (-12)</t>
  </si>
  <si>
    <t>G202406282200</t>
  </si>
  <si>
    <t>2024-06-28 22:00</t>
  </si>
  <si>
    <t>테리 (14)&lt;br&gt;짱구 (8)&lt;br&gt;오크 (15)&lt;br&gt;전투쥐 (-)</t>
  </si>
  <si>
    <t>ACDC (-10)&lt;br&gt;엘더 (-)&lt;br&gt;아이딘 (-13)&lt;br&gt;미르진 (-12)</t>
  </si>
  <si>
    <t>G202406280133</t>
  </si>
  <si>
    <t>2024-06-28 01:33</t>
  </si>
  <si>
    <t>강화 (16)&lt;br&gt;신형만 (11)&lt;br&gt;랄 (20)&lt;br&gt;깡패 (17)</t>
  </si>
  <si>
    <t>한메 (-17)&lt;br&gt;오크 (-17)&lt;br&gt;구리다 (-12)&lt;br&gt;엘더 (-)</t>
  </si>
  <si>
    <t>G202406280049</t>
  </si>
  <si>
    <t>2024-06-28 00:49</t>
  </si>
  <si>
    <t>엘더 (-)&lt;br&gt;오크 (14)&lt;br&gt;신형만 (10)&lt;br&gt;강화 (16)</t>
  </si>
  <si>
    <t>한메 (-16)&lt;br&gt;구리다 (-11)&lt;br&gt;재우 (-17)&lt;br&gt;랄 (-11)</t>
  </si>
  <si>
    <t>G202406280022</t>
  </si>
  <si>
    <t>2024-06-28 00:22</t>
  </si>
  <si>
    <t>한메 (14)&lt;br&gt;신형만 (10)&lt;br&gt;강화 (16)&lt;br&gt;엘더 (-)</t>
  </si>
  <si>
    <t>재명 (-12)&lt;br&gt;재우 (-18)&lt;br&gt;구리다 (-11)&lt;br&gt;랄 (-12)</t>
  </si>
  <si>
    <t>G202406280001</t>
  </si>
  <si>
    <t>2024-06-28 00:01</t>
  </si>
  <si>
    <t>신형만 (12)&lt;br&gt;구리다 (20)&lt;br&gt;재명 (20)&lt;br&gt;재우 (13)</t>
  </si>
  <si>
    <t>엘더 (-)&lt;br&gt;한메 (-18)&lt;br&gt;강화 (-15)&lt;br&gt;랄 (-14)</t>
  </si>
  <si>
    <t>G202406272321</t>
  </si>
  <si>
    <t>2024-06-27 23:21</t>
  </si>
  <si>
    <t>강화 (19)&lt;br&gt;엘더 (-)&lt;br&gt;짱구 (10)&lt;br&gt;미르진 (19)</t>
  </si>
  <si>
    <t>한메 (-17)&lt;br&gt;재명 (-11)&lt;br&gt;신형만 (-20)&lt;br&gt;전투쥐 (-)</t>
  </si>
  <si>
    <t>G202406272224</t>
  </si>
  <si>
    <t>2024-06-27 22:24</t>
  </si>
  <si>
    <t>짱구 (9)&lt;br&gt;전투쥐 (-)&lt;br&gt;미르진 (19)&lt;br&gt;강화 (19)</t>
  </si>
  <si>
    <t>한메 (-18)&lt;br&gt;엘더 (-)&lt;br&gt;ACDC (-14)&lt;br&gt;재명 (-12)</t>
  </si>
  <si>
    <t>G202406272144</t>
  </si>
  <si>
    <t>2024-06-27 21:44</t>
  </si>
  <si>
    <t>신형만 (11)&lt;br&gt;ACDC (18)&lt;br&gt;짱구 (9)&lt;br&gt;한메 (13)</t>
  </si>
  <si>
    <t>재명 (-11)&lt;br&gt;엘더 (-)&lt;br&gt;미르진 (-11)&lt;br&gt;전투쥐 (-)</t>
  </si>
  <si>
    <t>G202406262330</t>
  </si>
  <si>
    <t>2024-06-26 23:30</t>
  </si>
  <si>
    <t>재우 (13)&lt;br&gt;짱구 (9)&lt;br&gt;한메 (13)&lt;br&gt;강화 (18)</t>
  </si>
  <si>
    <t>오크 (-16)&lt;br&gt;구리다 (-11)&lt;br&gt;랄 (-12)&lt;br&gt;조드 (60)</t>
  </si>
  <si>
    <t>G202406262244</t>
  </si>
  <si>
    <t>2024-06-26 22:44</t>
  </si>
  <si>
    <t>한메 (15)&lt;br&gt;강화 (21)&lt;br&gt;엘더 (-)&lt;br&gt;조심 (-)</t>
  </si>
  <si>
    <t>오크 (-19)&lt;br&gt;구리다 (-13)&lt;br&gt;재우 (-19)&lt;br&gt;깡패 (-16)</t>
  </si>
  <si>
    <t>G202406262224</t>
  </si>
  <si>
    <t>2024-06-26 22:24</t>
  </si>
  <si>
    <t>조심 (-)&lt;br&gt;재우 (14)&lt;br&gt;구리다 (21)&lt;br&gt;한메 (16)</t>
  </si>
  <si>
    <t>엘더 (-)&lt;br&gt;깡패 (-16)&lt;br&gt;오크 (-20)&lt;br&gt;강화 (-13)</t>
  </si>
  <si>
    <t>G202406262149</t>
  </si>
  <si>
    <t>2024-06-26 21:49</t>
  </si>
  <si>
    <t>오크 (13)&lt;br&gt;엘더 (-)&lt;br&gt;한메 (16)&lt;br&gt;민우 (-)</t>
  </si>
  <si>
    <t>조심 (-)&lt;br&gt;강화 (-11)&lt;br&gt;재우 (-17)&lt;br&gt;깡패 (-15)</t>
  </si>
  <si>
    <t>G202406262129</t>
  </si>
  <si>
    <t>2024-06-26 21:29</t>
  </si>
  <si>
    <t>민우 (-)&lt;br&gt;엘더 (-)&lt;br&gt;오크 (14)&lt;br&gt;깡패 (17)</t>
  </si>
  <si>
    <t>재우 (-18)&lt;br&gt;강화 (-12)&lt;br&gt;한메 (-15)&lt;br&gt;조심 (-)</t>
  </si>
  <si>
    <t>G202406262109</t>
  </si>
  <si>
    <t>2024-06-26 21:09</t>
  </si>
  <si>
    <t>오크 (14)&lt;br&gt;한메 (16)&lt;br&gt;엘더 (-)&lt;br&gt;조심 (-)</t>
  </si>
  <si>
    <t>전투쥐 (-)&lt;br&gt;깡패 (-16)&lt;br&gt;민우 (-)&lt;br&gt;재명 (-13)</t>
  </si>
  <si>
    <t>G202406262039</t>
  </si>
  <si>
    <t>2024-06-26 20:39</t>
  </si>
  <si>
    <t>전투쥐 (-)&lt;br&gt;오크 (100)&lt;br&gt;키키 (18)&lt;br&gt;짱구 (11)</t>
  </si>
  <si>
    <t>재명 (-12)&lt;br&gt;신형만 (-19)&lt;br&gt;엘더 (-)&lt;br&gt;ACDC (-12)</t>
  </si>
  <si>
    <t>G202406261949</t>
  </si>
  <si>
    <t>2024-06-26 19:49</t>
  </si>
  <si>
    <t>신형만 (14)&lt;br&gt;윙크 (-)&lt;br&gt;재명 (21)&lt;br&gt;오크 (-)</t>
  </si>
  <si>
    <t>전투쥐 (-)&lt;br&gt;짱구 (-22)&lt;br&gt;키키 (60)&lt;br&gt;ACDC (-13)</t>
  </si>
  <si>
    <t>G202406261901</t>
  </si>
  <si>
    <t>2024-06-26 19:01</t>
  </si>
  <si>
    <t>재명 (23)&lt;br&gt;ACDC (23)&lt;br&gt;신형만 (17)&lt;br&gt;키키 (-)</t>
  </si>
  <si>
    <t>윙크 (-)&lt;br&gt;짱구 (-24)&lt;br&gt;전투쥐 (-)&lt;br&gt;깡패 (-18)</t>
  </si>
  <si>
    <t>G202406261809</t>
  </si>
  <si>
    <t>2024-06-26 18:09</t>
  </si>
  <si>
    <t>윙크 (-)&lt;br&gt;신형만 (15)&lt;br&gt;짱구 (11)&lt;br&gt;ACDC (21)</t>
  </si>
  <si>
    <t>키키 (-)&lt;br&gt;미등록 (-)&lt;br&gt;악동 (-)&lt;br&gt;깡패 (-16)</t>
  </si>
  <si>
    <t>G202406261723</t>
  </si>
  <si>
    <t>2024-06-26 17:23</t>
  </si>
  <si>
    <t>짱구 (10)&lt;br&gt;미등록 (-)&lt;br&gt;악동 (-)&lt;br&gt;깡패 (15)</t>
  </si>
  <si>
    <t>신형만 (-16)&lt;br&gt;윙크 (-)&lt;br&gt;ACDC (-9)&lt;br&gt;키키 (-)</t>
  </si>
  <si>
    <t>G202406260345</t>
  </si>
  <si>
    <t>2024-06-26 03:45</t>
  </si>
  <si>
    <t>한메 (17)&lt;br&gt;짱구 (9)&lt;br&gt;신형만 (12)&lt;br&gt;악동 (-)</t>
  </si>
  <si>
    <t>재명 (-10)&lt;br&gt;ACDC (-11)&lt;br&gt;아이딘 (-15)&lt;br&gt;깡패 (-15)</t>
  </si>
  <si>
    <t>G202406260311</t>
  </si>
  <si>
    <t>2024-06-26 03:11</t>
  </si>
  <si>
    <t>짱구 (10)&lt;br&gt;신형만 (13)&lt;br&gt;아이딘 (15)&lt;br&gt;한메 (18)</t>
  </si>
  <si>
    <t>재명 (-12)&lt;br&gt;깡패 (-17)&lt;br&gt;ACDC (-12)&lt;br&gt;악동 (-)</t>
  </si>
  <si>
    <t>G202406260242</t>
  </si>
  <si>
    <t>2024-06-26 02:42</t>
  </si>
  <si>
    <t>ACDC (19)&lt;br&gt;깡패 (14)&lt;br&gt;아이딘 (16)&lt;br&gt;짱구 (11)</t>
  </si>
  <si>
    <t>한메 (-13)&lt;br&gt;재명 (-13)&lt;br&gt;신형만 (-18)&lt;br&gt;악동 (-)</t>
  </si>
  <si>
    <t>G202406260205</t>
  </si>
  <si>
    <t>2024-06-26 02:05</t>
  </si>
  <si>
    <t>악동 (-)&lt;br&gt;깡패 (14)&lt;br&gt;아이딘 (17)&lt;br&gt;짱구 (11)</t>
  </si>
  <si>
    <t>ACDC (-12)&lt;br&gt;재명 (-13)&lt;br&gt;신형만 (-18)&lt;br&gt;한메 (-13)</t>
  </si>
  <si>
    <t>G202406260124</t>
  </si>
  <si>
    <t>2024-06-26 01:24</t>
  </si>
  <si>
    <t>아이딘 (19)&lt;br&gt;재명 (20)&lt;br&gt;엘더 (-)&lt;br&gt;깡패 (17)</t>
  </si>
  <si>
    <t>악동 (-)&lt;br&gt;한메 (-16)&lt;br&gt;짱구 (-22)&lt;br&gt;ACDC (-15)</t>
  </si>
  <si>
    <t>G202406260040</t>
  </si>
  <si>
    <t>2024-06-26 00:40</t>
  </si>
  <si>
    <t>재우 (12)&lt;br&gt;깡패 (15)&lt;br&gt;악동 (-)&lt;br&gt;짱구 (10)</t>
  </si>
  <si>
    <t>엘더 (-)&lt;br&gt;재명 (-12)&lt;br&gt;한메 (-14)&lt;br&gt;강화 (-11)</t>
  </si>
  <si>
    <t>G202406252359</t>
  </si>
  <si>
    <t>2024-06-25 23:59</t>
  </si>
  <si>
    <t>강화 (21)&lt;br&gt;엘더 (-)&lt;br&gt;짱구 (12)&lt;br&gt;깡패 (18)</t>
  </si>
  <si>
    <t>재명 (-14)&lt;br&gt;한메 (-17)&lt;br&gt;악동 (-)&lt;br&gt;재우 (-20)</t>
  </si>
  <si>
    <t>G202406252329</t>
  </si>
  <si>
    <t>2024-06-25 23:29</t>
  </si>
  <si>
    <t>엘더 (-)&lt;br&gt;재우 (13)&lt;br&gt;신형만 (13)&lt;br&gt;만두 (16)</t>
  </si>
  <si>
    <t>ACDC (-13)&lt;br&gt;깡패 (-14)&lt;br&gt;강화 (-11)&lt;br&gt;짱구 (-20)</t>
  </si>
  <si>
    <t>G202406252249</t>
  </si>
  <si>
    <t>2024-06-25 22:49</t>
  </si>
  <si>
    <t>재우 (14)&lt;br&gt;깡패 (18)&lt;br&gt;짱구 (12)&lt;br&gt;ACDC (19)</t>
  </si>
  <si>
    <t>엘더 (-)&lt;br&gt;신형만 (-19)&lt;br&gt;만두 (-16)&lt;br&gt;강화 (-12)</t>
  </si>
  <si>
    <t>G202406252213</t>
  </si>
  <si>
    <t>2024-06-25 22:13</t>
  </si>
  <si>
    <t>재우 (15)&lt;br&gt;짱구 (13)&lt;br&gt;강화 (21)&lt;br&gt;엘더 (-)</t>
  </si>
  <si>
    <t>만두 (-17)&lt;br&gt;신형만 (-21)&lt;br&gt;ACDC (-14)&lt;br&gt;깡패 (-15)</t>
  </si>
  <si>
    <t>G202406252141</t>
  </si>
  <si>
    <t>2024-06-25 21:41</t>
  </si>
  <si>
    <t>ACDC (18)&lt;br&gt;짱구 (12)&lt;br&gt;신형만 (11)&lt;br&gt;만두 (15)</t>
  </si>
  <si>
    <t>강화 (-11)&lt;br&gt;깡패 (-14)&lt;br&gt;재우 (-17)&lt;br&gt;엘더 (-)</t>
  </si>
  <si>
    <t>G202406242216</t>
  </si>
  <si>
    <t>2024-06-24 22:16</t>
  </si>
  <si>
    <t>재명 (16)&lt;br&gt;한메 (14)&lt;br&gt;재우 (12)&lt;br&gt;신형만 (10)</t>
  </si>
  <si>
    <t>ACDC (-13)&lt;br&gt;강화 (-12)&lt;br&gt;구리다 (-11)&lt;br&gt;깡패 (-16)</t>
  </si>
  <si>
    <t>G202406242142</t>
  </si>
  <si>
    <t>2024-06-24 21:42</t>
  </si>
  <si>
    <t>재명 (17)&lt;br&gt;신형만 (11)&lt;br&gt;재우 (13)&lt;br&gt;깡패 (14)</t>
  </si>
  <si>
    <t>강화 (-13)&lt;br&gt;구리다 (-12)&lt;br&gt;ACDC (-14)&lt;br&gt;한메 (-16)</t>
  </si>
  <si>
    <t>G202406242111</t>
  </si>
  <si>
    <t>2024-06-24 21:11</t>
  </si>
  <si>
    <t>신형만 (13)&lt;br&gt;깡패 (17)&lt;br&gt;구리다 (21)&lt;br&gt;한메 (16)</t>
  </si>
  <si>
    <t>테리 (120)&lt;br&gt;ACDC (-16)&lt;br&gt;재우 (-19)&lt;br&gt;강화 (-15)</t>
  </si>
  <si>
    <t>G202406240127</t>
  </si>
  <si>
    <t>2024-06-24 01:27</t>
  </si>
  <si>
    <t>윙크 (-)&lt;br&gt;깡패 (18)&lt;br&gt;신형만 (14)&lt;br&gt;튜브 (-)</t>
  </si>
  <si>
    <t>ACDC (-16)&lt;br&gt;짱구 (-21)&lt;br&gt;강화 (-15)&lt;br&gt;랄 (-14)</t>
  </si>
  <si>
    <t>G202406240047</t>
  </si>
  <si>
    <t>2024-06-24 00:47</t>
  </si>
  <si>
    <t>강화 (19)&lt;br&gt;테리 (-)&lt;br&gt;ACDC (18)&lt;br&gt;재우 (16)</t>
  </si>
  <si>
    <t>윙크 (-)&lt;br&gt;신형만 (-20)&lt;br&gt;튜브 (-)&lt;br&gt;랄 (-15)</t>
  </si>
  <si>
    <t>G202406240024</t>
  </si>
  <si>
    <t>2024-06-24 00:24</t>
  </si>
  <si>
    <t>엘더 (-)&lt;br&gt;윙크 (-)&lt;br&gt;재우 (16)&lt;br&gt;한메 (17)</t>
  </si>
  <si>
    <t>강화 (-15)&lt;br&gt;ACDC (-16)&lt;br&gt;랄 (-16)&lt;br&gt;신형만 (-20)</t>
  </si>
  <si>
    <t>G202406232345</t>
  </si>
  <si>
    <t>2024-06-23 23:45</t>
  </si>
  <si>
    <t>ACDC (17)&lt;br&gt;재명 (20)&lt;br&gt;랄 (18)&lt;br&gt;엘더 (-)</t>
  </si>
  <si>
    <t>윙크 (-)&lt;br&gt;한메 (-18)&lt;br&gt;강화 (-18)&lt;br&gt;재우 (-19)</t>
  </si>
  <si>
    <t>G202406232307</t>
  </si>
  <si>
    <t>2024-06-23 23:07</t>
  </si>
  <si>
    <t>ACDC (19)&lt;br&gt;재우 (17)&lt;br&gt;테리 (-)&lt;br&gt;엘더 (-)</t>
  </si>
  <si>
    <t>짱구 (-22)&lt;br&gt;윙크 (-)&lt;br&gt;한메 (-17)&lt;br&gt;재명 (-13)</t>
  </si>
  <si>
    <t>G202406232226</t>
  </si>
  <si>
    <t>2024-06-23 22:26</t>
  </si>
  <si>
    <t>한메 (17)&lt;br&gt;전투쥐 (-)&lt;br&gt;테리 (-)&lt;br&gt;엘더 (-)</t>
  </si>
  <si>
    <t>짱구 (-23)&lt;br&gt;재명 (-13)&lt;br&gt;ACDC (-15)&lt;br&gt;깡패 (-15)</t>
  </si>
  <si>
    <t>G202406232137</t>
  </si>
  <si>
    <t>2024-06-23 21:37</t>
  </si>
  <si>
    <t>재명 (21)&lt;br&gt;깡패 (20)&lt;br&gt;짱구 (11)&lt;br&gt;전투쥐 (-)</t>
  </si>
  <si>
    <t>신형만 (-21)&lt;br&gt;한메 (-17)&lt;br&gt;ACDC (-15)&lt;br&gt;엘더 (-)</t>
  </si>
  <si>
    <t>G202406232051</t>
  </si>
  <si>
    <t>2024-06-23 20:51</t>
  </si>
  <si>
    <t>전투쥐 (-)&lt;br&gt;한메 (17)&lt;br&gt;신형만 (12)&lt;br&gt;엘더 (-)</t>
  </si>
  <si>
    <t>ACDC (-14)&lt;br&gt;깡패 (-12)&lt;br&gt;재명 (-11)&lt;br&gt;짱구 (-21)</t>
  </si>
  <si>
    <t>G202406230039</t>
  </si>
  <si>
    <t>2024-06-23 00:39</t>
  </si>
  <si>
    <t>전투쥐 (-)&lt;br&gt;ACDC (13)&lt;br&gt;팰리 (15)&lt;br&gt;엘더 (-)</t>
  </si>
  <si>
    <t>미등록 (-)&lt;br&gt;랄 (-14)&lt;br&gt;만두 (120)&lt;br&gt;튜브 (-)</t>
  </si>
  <si>
    <t>G202406230002</t>
  </si>
  <si>
    <t>2024-06-23 00:02</t>
  </si>
  <si>
    <t>엘더 (-)&lt;br&gt;미등록 (-)&lt;br&gt;팰리 (18)&lt;br&gt;전투쥐 (-)</t>
  </si>
  <si>
    <t>재우 (-18)&lt;br&gt;랄 (-17)&lt;br&gt;ACDC (-20)&lt;br&gt;만두 (-)</t>
  </si>
  <si>
    <t>G202406222322</t>
  </si>
  <si>
    <t>2024-06-22 23:22</t>
  </si>
  <si>
    <t>미등록 (-)&lt;br&gt;전투쥐 (-)&lt;br&gt;팰리 (20)&lt;br&gt;만두 (-)</t>
  </si>
  <si>
    <t>엘더 (-)&lt;br&gt;ACDC (-22)&lt;br&gt;랄 (-19)&lt;br&gt;재우 (-20)</t>
  </si>
  <si>
    <t>G202406222249</t>
  </si>
  <si>
    <t>2024-06-22 22:49</t>
  </si>
  <si>
    <t>랄 (-14)&lt;br&gt;미등록 (-)&lt;br&gt;팰리 (-11)&lt;br&gt;재우 (-15)</t>
  </si>
  <si>
    <t>엘더 (-)&lt;br&gt;전투쥐 (-)&lt;br&gt;ACDC (14)&lt;br&gt;만두 (-)</t>
  </si>
  <si>
    <t>G202406220149</t>
  </si>
  <si>
    <t>2024-06-22 01:49</t>
  </si>
  <si>
    <t>강화 (18)&lt;br&gt;짱구 (10)&lt;br&gt;엘더 (-)&lt;br&gt;한메 (17)</t>
  </si>
  <si>
    <t>재명 (-12)&lt;br&gt;재우 (-17)&lt;br&gt;ACDC (-17)&lt;br&gt;깡패 (-13)</t>
  </si>
  <si>
    <t>G202406220130</t>
  </si>
  <si>
    <t>2024-06-22 01:30</t>
  </si>
  <si>
    <t>재우 (15)&lt;br&gt;엘더 (-)&lt;br&gt;강화 (18)&lt;br&gt;짱구 (10)</t>
  </si>
  <si>
    <t>한메 (-14)&lt;br&gt;재명 (-12)&lt;br&gt;ACDC (-18)&lt;br&gt;깡패 (-14)</t>
  </si>
  <si>
    <t>G202406220054</t>
  </si>
  <si>
    <t>2024-06-22 00:54</t>
  </si>
  <si>
    <t>ACDC (13)&lt;br&gt;깡패 (17)&lt;br&gt;한메 (17)&lt;br&gt;재명 (19)</t>
  </si>
  <si>
    <t>재우 (-19)&lt;br&gt;팰리 (-15)&lt;br&gt;엘더 (-)&lt;br&gt;강화 (-15)</t>
  </si>
  <si>
    <t>G202406220011</t>
  </si>
  <si>
    <t>2024-06-22 00:11</t>
  </si>
  <si>
    <t>한메 (20)&lt;br&gt;강화 (21)&lt;br&gt;짱구 (12)&lt;br&gt;재명 (22)</t>
  </si>
  <si>
    <t>엘더 (-)&lt;br&gt;ACDC (-21)&lt;br&gt;재우 (-20)&lt;br&gt;깡패 (-16)</t>
  </si>
  <si>
    <t>G202406212332</t>
  </si>
  <si>
    <t>2024-06-21 23:32</t>
  </si>
  <si>
    <t>엘더 (-)&lt;br&gt;ACDC (14)&lt;br&gt;강화 (21)&lt;br&gt;재우 (15)</t>
  </si>
  <si>
    <t>미르진 (-13)&lt;br&gt;밍구 (-)&lt;br&gt;짱구 (-22)&lt;br&gt;깡패 (-15)</t>
  </si>
  <si>
    <t>G202406212231</t>
  </si>
  <si>
    <t>2024-06-21 22:31</t>
  </si>
  <si>
    <t>강화 (21)&lt;br&gt;깡패 (18)&lt;br&gt;ACDC (14)&lt;br&gt;짱구 (11)</t>
  </si>
  <si>
    <t>미르진 (-14)&lt;br&gt;밍구 (-)&lt;br&gt;재우 (-18)&lt;br&gt;엘더 (-)</t>
  </si>
  <si>
    <t>G202406212137</t>
  </si>
  <si>
    <t>2024-06-21 21:37</t>
  </si>
  <si>
    <t>짱구 (8)&lt;br&gt;ACDC (12)&lt;br&gt;재우 (11)&lt;br&gt;깡패 (15)</t>
  </si>
  <si>
    <t>미르진 (-13)&lt;br&gt;밍구 (-)&lt;br&gt;엘더 (-)&lt;br&gt;강화 (-10)</t>
  </si>
  <si>
    <t>G202406210316</t>
  </si>
  <si>
    <t>2024-06-21 03:16</t>
  </si>
  <si>
    <t>튜브 (-)&lt;br&gt;신형만 (14)&lt;br&gt;ACDC (16)&lt;br&gt;민우 (-)</t>
  </si>
  <si>
    <t>아이딘 (-12)&lt;br&gt;깡패 (-13)&lt;br&gt;키키 (-)&lt;br&gt;짱구 (-20)</t>
  </si>
  <si>
    <t>G202406210234</t>
  </si>
  <si>
    <t>2024-06-21 02:34</t>
  </si>
  <si>
    <t>ACDC (14)&lt;br&gt;짱구 (9)&lt;br&gt;민우 (-)&lt;br&gt;신형만 (12)</t>
  </si>
  <si>
    <t>한메 (-11)&lt;br&gt;튜브 (-)&lt;br&gt;아이딘 (-12)&lt;br&gt;깡패 (-12)</t>
  </si>
  <si>
    <t>G202406210213</t>
  </si>
  <si>
    <t>2024-06-21 02:13</t>
  </si>
  <si>
    <t>짱구 (9)&lt;br&gt;ACDC (15)&lt;br&gt;튜브 (-)&lt;br&gt;신형만 (12)</t>
  </si>
  <si>
    <t>한메 (-12)&lt;br&gt;강화 (-10)&lt;br&gt;아이딘 (-13)&lt;br&gt;깡패 (-14)</t>
  </si>
  <si>
    <t>G202406210152</t>
  </si>
  <si>
    <t>2024-06-21 01:52</t>
  </si>
  <si>
    <t>아이딘 (19)&lt;br&gt;강화 (22)&lt;br&gt;ACDC (18)&lt;br&gt;짱구 (12)</t>
  </si>
  <si>
    <t>튜브 (-)&lt;br&gt;한메 (-16)&lt;br&gt;신형만 (-20)&lt;br&gt;깡패 (-17)</t>
  </si>
  <si>
    <t>G202406210059</t>
  </si>
  <si>
    <t>2024-06-21 00:59</t>
  </si>
  <si>
    <t>윙크 (-)&lt;br&gt;재명 (20)&lt;br&gt;랄 (15)&lt;br&gt;만두 (-)</t>
  </si>
  <si>
    <t>강화 (-15)&lt;br&gt;ACDC (-19)&lt;br&gt;튜브 (-)&lt;br&gt;한메 (-19)</t>
  </si>
  <si>
    <t>G202406210034</t>
  </si>
  <si>
    <t>2024-06-21 00:34</t>
  </si>
  <si>
    <t>신형만 (9)&lt;br&gt;ACDC (12)&lt;br&gt;한메 (12)&lt;br&gt;랄 (13)</t>
  </si>
  <si>
    <t>윙크 (-)&lt;br&gt;재명 (-11)&lt;br&gt;구리다 (-11)&lt;br&gt;강화 (-12)</t>
  </si>
  <si>
    <t>G202406202356</t>
  </si>
  <si>
    <t>2024-06-20 23:56</t>
  </si>
  <si>
    <t>강화 (18)&lt;br&gt;ACDC (15)&lt;br&gt;신형만 (11)&lt;br&gt;랄 (15)</t>
  </si>
  <si>
    <t>윙크 (-)&lt;br&gt;구리다 (-13)&lt;br&gt;한메 (-18)&lt;br&gt;재명 (-13)</t>
  </si>
  <si>
    <t>G202406202308</t>
  </si>
  <si>
    <t>2024-06-20 23:08</t>
  </si>
  <si>
    <t>ACDC (15)&lt;br&gt;랄 (16)&lt;br&gt;한메 (13)&lt;br&gt;깡패 (13)</t>
  </si>
  <si>
    <t>만두 (-)&lt;br&gt;구리다 (-13)&lt;br&gt;팰리 (-16)&lt;br&gt;재명 (-13)</t>
  </si>
  <si>
    <t>G202406202233</t>
  </si>
  <si>
    <t>2024-06-20 22:33</t>
  </si>
  <si>
    <t>한메 (15)&lt;br&gt;깡패 (15)&lt;br&gt;구리다 (19)&lt;br&gt;랄 (18)</t>
  </si>
  <si>
    <t>팰리 (-18)&lt;br&gt;ACDC (-17)&lt;br&gt;만두 (-)&lt;br&gt;재명 (-15)</t>
  </si>
  <si>
    <t>G202406202211</t>
  </si>
  <si>
    <t>2024-06-20 22:11</t>
  </si>
  <si>
    <t>만두 (-)&lt;br&gt;ACDC (17)&lt;br&gt;재명 (18)&lt;br&gt;한메 (16)</t>
  </si>
  <si>
    <t>팰리 (-19)&lt;br&gt;랄 (-16)&lt;br&gt;구리다 (-15)&lt;br&gt;깡패 (-19)</t>
  </si>
  <si>
    <t>G202406200041</t>
  </si>
  <si>
    <t>2024-06-20 00:41</t>
  </si>
  <si>
    <t>짱구 (10)&lt;br&gt;ACDC (17)&lt;br&gt;강화 (20)&lt;br&gt;한메 (17)</t>
  </si>
  <si>
    <t>윙크 (-)&lt;br&gt;구리다 (-14)&lt;br&gt;재우 (-21)&lt;br&gt;랄 (-15)</t>
  </si>
  <si>
    <t>G202406192349</t>
  </si>
  <si>
    <t>2024-06-19 23:49</t>
  </si>
  <si>
    <t>재우 (12)&lt;br&gt;구리다 (19)&lt;br&gt;엘더 (-)&lt;br&gt;깡패 (15)</t>
  </si>
  <si>
    <t>ACDC (-15)&lt;br&gt;신형만 (-21)&lt;br&gt;한메 (-16)&lt;br&gt;강화 (-13)</t>
  </si>
  <si>
    <t>G202406192331</t>
  </si>
  <si>
    <t>2024-06-19 23:31</t>
  </si>
  <si>
    <t>ACDC (18)&lt;br&gt;구리다 (20)&lt;br&gt;신형만 (12)&lt;br&gt;재우 (12)</t>
  </si>
  <si>
    <t>한메 (-16)&lt;br&gt;미르진 (-17)&lt;br&gt;강화 (-13)&lt;br&gt;깡패 (-17)</t>
  </si>
  <si>
    <t>G202406192302</t>
  </si>
  <si>
    <t>2024-06-19 23:02</t>
  </si>
  <si>
    <t>미르진 (14)&lt;br&gt;ACDC (17)&lt;br&gt;재우 (11)&lt;br&gt;신형만 (11)</t>
  </si>
  <si>
    <t>악동 (-)&lt;br&gt;한메 (-16)&lt;br&gt;구리다 (-12)&lt;br&gt;밍구 (-)</t>
  </si>
  <si>
    <t>G202406192236</t>
  </si>
  <si>
    <t>2024-06-19 22:36</t>
  </si>
  <si>
    <t>미르진 (14)&lt;br&gt;한메 (13)&lt;br&gt;팰리 (13)&lt;br&gt;재우 (11)</t>
  </si>
  <si>
    <t>ACDC (-13)&lt;br&gt;구리다 (-12)&lt;br&gt;악동 (-)&lt;br&gt;밍구 (-)</t>
  </si>
  <si>
    <t>G202406192208</t>
  </si>
  <si>
    <t>2024-06-19 22:08</t>
  </si>
  <si>
    <t>팰리 (80)&lt;br&gt;미르진 (16)&lt;br&gt;한메 (15)&lt;br&gt;밍구 (-)</t>
  </si>
  <si>
    <t>ACDC (-16)&lt;br&gt;구리다 (-16)&lt;br&gt;재우 (-21)&lt;br&gt;악동 (-)</t>
  </si>
  <si>
    <t>G202406191628</t>
  </si>
  <si>
    <t>2024-06-19 16:28</t>
  </si>
  <si>
    <t>강화 (19)&lt;br&gt;신형만 (12)&lt;br&gt;짱구 (10)&lt;br&gt;한메 (16)</t>
  </si>
  <si>
    <t>재명 (-13)&lt;br&gt;ACDC (-14)&lt;br&gt;키키 (-)&lt;br&gt;깡패 (-18)</t>
  </si>
  <si>
    <t>G202406191556</t>
  </si>
  <si>
    <t>2024-06-19 15:56</t>
  </si>
  <si>
    <t>ACDC (18)&lt;br&gt;깡패 (15)&lt;br&gt;강화 (21)&lt;br&gt;신형만 (14)</t>
  </si>
  <si>
    <t>짱구 (-23)&lt;br&gt;재명 (-15)&lt;br&gt;키키 (-)&lt;br&gt;한메 (-16)</t>
  </si>
  <si>
    <t>G202406191518</t>
  </si>
  <si>
    <t>2024-06-19 15:18</t>
  </si>
  <si>
    <t>ACDC (18)&lt;br&gt;깡패 (14)&lt;br&gt;키키 (-)&lt;br&gt;짱구 (10)</t>
  </si>
  <si>
    <t>신형만 (-19)&lt;br&gt;강화 (-11)&lt;br&gt;한메 (-16)&lt;br&gt;재명 (-15)</t>
  </si>
  <si>
    <t>G202406190023</t>
  </si>
  <si>
    <t>2024-06-19 00:23</t>
  </si>
  <si>
    <t>테리 (-)&lt;br&gt;재우 (12)&lt;br&gt;구리다 (18)&lt;br&gt;깡패 (15)</t>
  </si>
  <si>
    <t>한메 (-18)&lt;br&gt;조드 (-)&lt;br&gt;ACDC (-15)&lt;br&gt;랄 (-16)</t>
  </si>
  <si>
    <t>G202406182358</t>
  </si>
  <si>
    <t>2024-06-18 23:58</t>
  </si>
  <si>
    <t>재우 (13)&lt;br&gt;미르진 (18)&lt;br&gt;구리다 (20)&lt;br&gt;강화 (21)</t>
  </si>
  <si>
    <t>랄 (-19)&lt;br&gt;테리 (-)&lt;br&gt;ACDC (-17)&lt;br&gt;한메 (-20)</t>
  </si>
  <si>
    <t>G202406182333</t>
  </si>
  <si>
    <t>2024-06-18 23:33</t>
  </si>
  <si>
    <t>엘더 (-)&lt;br&gt;랄 (14)&lt;br&gt;한메 (12)&lt;br&gt;재우 (12)</t>
  </si>
  <si>
    <t>ACDC (-16)&lt;br&gt;구리다 (-13)&lt;br&gt;강화 (-11)&lt;br&gt;미르진 (-15)</t>
  </si>
  <si>
    <t>G202406182316</t>
  </si>
  <si>
    <t>2024-06-18 23:16</t>
  </si>
  <si>
    <t>미르진 (40)&lt;br&gt;엘더 (-)&lt;br&gt;ACDC (16)&lt;br&gt;재우 (14)</t>
  </si>
  <si>
    <t>강화 (-13)&lt;br&gt;구리다 (-15)&lt;br&gt;랄 (-18)&lt;br&gt;한메 (-20)</t>
  </si>
  <si>
    <t>G202406182248</t>
  </si>
  <si>
    <t>2024-06-18 22:48</t>
  </si>
  <si>
    <t>한메 (13)&lt;br&gt;팰리 (-)&lt;br&gt;엘더 (-)&lt;br&gt;만두 (-)</t>
  </si>
  <si>
    <t>ACDC (-18)&lt;br&gt;구리다 (-16)&lt;br&gt;재우 (-20)&lt;br&gt;미르진 (-)</t>
  </si>
  <si>
    <t>G202406182240</t>
  </si>
  <si>
    <t>2024-06-18 22:40</t>
  </si>
  <si>
    <t>재우 (13)&lt;br&gt;팰리 (-)&lt;br&gt;엘더 (-)&lt;br&gt;한메 (13)</t>
  </si>
  <si>
    <t>ACDC (-17)&lt;br&gt;구리다 (-16)&lt;br&gt;미르진 (-)&lt;br&gt;강화 (-13)</t>
  </si>
  <si>
    <t>G202406181723</t>
  </si>
  <si>
    <t>2024-06-18 17:23</t>
  </si>
  <si>
    <t>아이딘 (17)&lt;br&gt;ACDC (16)&lt;br&gt;미등록 (-)&lt;br&gt;깡패 (16)</t>
  </si>
  <si>
    <t>강화 (-14)&lt;br&gt;신형만 (-21)&lt;br&gt;악동 (-)&lt;br&gt;랄 (-19)</t>
  </si>
  <si>
    <t>G202406181644</t>
  </si>
  <si>
    <t>2024-06-18 16:44</t>
  </si>
  <si>
    <t>ACDC (15)&lt;br&gt;짱구 (9)&lt;br&gt;미등록 (-)&lt;br&gt;신형만 (11)</t>
  </si>
  <si>
    <t>강화 (-12)&lt;br&gt;깡패 (-15)&lt;br&gt;아이딘 (-14)&lt;br&gt;악동 (-)</t>
  </si>
  <si>
    <t>G202406181620</t>
  </si>
  <si>
    <t>2024-06-18 16:20</t>
  </si>
  <si>
    <t>신형만 (12)&lt;br&gt;짱구 (10)&lt;br&gt;ACDC (16)&lt;br&gt;강화 (18)</t>
  </si>
  <si>
    <t>아이딘 (-16)&lt;br&gt;깡패 (-16)&lt;br&gt;미등록 (-)&lt;br&gt;악동 (-)</t>
  </si>
  <si>
    <t>G202406181541</t>
  </si>
  <si>
    <t>2024-06-18 15:41</t>
  </si>
  <si>
    <t>랄 (100)&lt;br&gt;ACDC (19)&lt;br&gt;미등록 (-)&lt;br&gt;신형만 (14)</t>
  </si>
  <si>
    <t>아이딘 (-19)&lt;br&gt;강화 (-15)&lt;br&gt;짱구 (-23)&lt;br&gt;악동 (-)</t>
  </si>
  <si>
    <t>G202406181511</t>
  </si>
  <si>
    <t>2024-06-18 15:11</t>
  </si>
  <si>
    <t>아이딘 (13)&lt;br&gt;신형만 (12)&lt;br&gt;강화 (17)&lt;br&gt;짱구 (8)</t>
  </si>
  <si>
    <t>미등록 (-)&lt;br&gt;ACDC (-13)&lt;br&gt;미등록 (-)&lt;br&gt;악동 (-)</t>
  </si>
  <si>
    <t>G202406181437</t>
  </si>
  <si>
    <t>2024-06-18 14:37</t>
  </si>
  <si>
    <t>미등록 (-)&lt;br&gt;신형만 (12)&lt;br&gt;ACDC (15)&lt;br&gt;짱구 (8)</t>
  </si>
  <si>
    <t>아이딘 (80)&lt;br&gt;미등록 (-)&lt;br&gt;악동 (-)&lt;br&gt;강화 (-13)</t>
  </si>
  <si>
    <t>G202406180148</t>
  </si>
  <si>
    <t>2024-06-18 01:48</t>
  </si>
  <si>
    <t>ACDC (19)&lt;br&gt;깡패 (15)&lt;br&gt;악동 (-)&lt;br&gt;밍구 (-)</t>
  </si>
  <si>
    <t>신형만 (-20)&lt;br&gt;구리다 (-18)&lt;br&gt;재명 (-18)&lt;br&gt;강화 (-16)</t>
  </si>
  <si>
    <t>G202406180112</t>
  </si>
  <si>
    <t>2024-06-18 01:12</t>
  </si>
  <si>
    <t>악동 (-)&lt;br&gt;ACDC (19)&lt;br&gt;신형만 (14)&lt;br&gt;강화 (18)</t>
  </si>
  <si>
    <t>재명 (-19)&lt;br&gt;깡패 (-20)&lt;br&gt;구리다 (60)&lt;br&gt;밍구 (-)</t>
  </si>
  <si>
    <t>G202406180020</t>
  </si>
  <si>
    <t>2024-06-18 00:20</t>
  </si>
  <si>
    <t>강화 (19)&lt;br&gt;깡패 (15)&lt;br&gt;구리다 (-)&lt;br&gt;재명 (16)</t>
  </si>
  <si>
    <t>재우 (-20)&lt;br&gt;신형만 (-20)&lt;br&gt;ACDC (-14)&lt;br&gt;밍구 (-)</t>
  </si>
  <si>
    <t>G202406172339</t>
  </si>
  <si>
    <t>2024-06-17 23:39</t>
  </si>
  <si>
    <t>랄 (-)&lt;br&gt;재우 (15)&lt;br&gt;신형만 (15)&lt;br&gt;강화 (21)</t>
  </si>
  <si>
    <t>한메 (-19)&lt;br&gt;ACDC (-14)&lt;br&gt;재명 (-18)&lt;br&gt;깡패 (-19)</t>
  </si>
  <si>
    <t>G202406172303</t>
  </si>
  <si>
    <t>2024-06-17 23:03</t>
  </si>
  <si>
    <t>신형만 (15)&lt;br&gt;재명 (16)&lt;br&gt;랄 (-)&lt;br&gt;재우 (15)</t>
  </si>
  <si>
    <t>ACDC (-14)&lt;br&gt;깡패 (-19)&lt;br&gt;강화 (-12)&lt;br&gt;한메 (-19)</t>
  </si>
  <si>
    <t>G202406172202</t>
  </si>
  <si>
    <t>2024-06-17 22:02</t>
  </si>
  <si>
    <t>재우 (15)&lt;br&gt;깡패 (13)&lt;br&gt;랄 (-)&lt;br&gt;한메 (13)</t>
  </si>
  <si>
    <t>신형만 (-17)&lt;br&gt;강화 (-12)&lt;br&gt;ACDC (-14)&lt;br&gt;재명 (-16)</t>
  </si>
  <si>
    <t>G202406172136</t>
  </si>
  <si>
    <t>2024-06-17 21:36</t>
  </si>
  <si>
    <t>한메 (13)&lt;br&gt;재명 (15)&lt;br&gt;신형만 (14)&lt;br&gt;재우 (15)</t>
  </si>
  <si>
    <t>랄 (-)&lt;br&gt;ACDC (-14)&lt;br&gt;강화 (-12)&lt;br&gt;깡패 (-18)</t>
  </si>
  <si>
    <t>G202406170215</t>
  </si>
  <si>
    <t>2024-06-17 02:15</t>
  </si>
  <si>
    <t>ACDC (17)&lt;br&gt;조드 (-)&lt;br&gt;신형만 (15)&lt;br&gt;깡패 (13)</t>
  </si>
  <si>
    <t>엘더 (-)&lt;br&gt;강화 (-14)&lt;br&gt;구리다 (-)&lt;br&gt;짱구 (-23)</t>
  </si>
  <si>
    <t>G202406170130</t>
  </si>
  <si>
    <t>2024-06-17 01:30</t>
  </si>
  <si>
    <t>짱구 (8)&lt;br&gt;조드 (-)&lt;br&gt;강화 (17)&lt;br&gt;깡패 (12)</t>
  </si>
  <si>
    <t>요즘 (-)&lt;br&gt;구리다 (-)&lt;br&gt;엘더 (-)&lt;br&gt;신형만 (-17)</t>
  </si>
  <si>
    <t>G202406170055</t>
  </si>
  <si>
    <t>2024-06-17 00:55</t>
  </si>
  <si>
    <t>짱구 (10)&lt;br&gt;엘더 (-)&lt;br&gt;강화 (20)&lt;br&gt;요즘 (-)</t>
  </si>
  <si>
    <t>한메 (-20)&lt;br&gt;깡패 (-20)&lt;br&gt;구리다 (-)&lt;br&gt;조드 (-)</t>
  </si>
  <si>
    <t>G202406170029</t>
  </si>
  <si>
    <t>2024-06-17 00:29</t>
  </si>
  <si>
    <t>요즘 (-)&lt;br&gt;짱구 (9)&lt;br&gt;엘더 (-)&lt;br&gt;깡패 (12)</t>
  </si>
  <si>
    <t>재우 (-16)&lt;br&gt;구리다 (-)&lt;br&gt;강화 (-12)&lt;br&gt;조드 (-)</t>
  </si>
  <si>
    <t>G202406162321</t>
  </si>
  <si>
    <t>2024-06-16 23:21</t>
  </si>
  <si>
    <t>강화 (19)&lt;br&gt;깡패 (13)&lt;br&gt;신형만 (13)&lt;br&gt;짱구 (9)</t>
  </si>
  <si>
    <t>재우 (-17)&lt;br&gt;엘더 (-)&lt;br&gt;구리다 (-)&lt;br&gt;조드 (-)</t>
  </si>
  <si>
    <t>G202406162316</t>
  </si>
  <si>
    <t>2024-06-16 23:16</t>
  </si>
  <si>
    <t>엘더 (-)&lt;br&gt;구리다 (-)&lt;br&gt;재우 (16)&lt;br&gt;깡패 (16)</t>
  </si>
  <si>
    <t>신형만 (-19)&lt;br&gt;짱구 (-23)&lt;br&gt;강화 (-13)&lt;br&gt;조드 (-)</t>
  </si>
  <si>
    <t>G202406162221</t>
  </si>
  <si>
    <t>2024-06-16 22:21</t>
  </si>
  <si>
    <t>재우 (16)&lt;br&gt;깡패 (16)&lt;br&gt;엘더 (-)&lt;br&gt;조드 (-)</t>
  </si>
  <si>
    <t>짱구 (-24)&lt;br&gt;강화 (-14)&lt;br&gt;구리다 (-)&lt;br&gt;키키 (-)</t>
  </si>
  <si>
    <t>G202406162146</t>
  </si>
  <si>
    <t>2024-06-16 21:46</t>
  </si>
  <si>
    <t>엘더 (-)&lt;br&gt;구리다 (-)&lt;br&gt;키키 (-)&lt;br&gt;깡패 (18)</t>
  </si>
  <si>
    <t>재우 (-19)&lt;br&gt;강화 (-16)&lt;br&gt;짱구 (-25)&lt;br&gt;조드 (-)</t>
  </si>
  <si>
    <t>G202406152116</t>
  </si>
  <si>
    <t>2024-06-15 21:16</t>
  </si>
  <si>
    <t>한메 (12)&lt;br&gt;ACDC (17)&lt;br&gt;엘더 (-)&lt;br&gt;짱구 (8)</t>
  </si>
  <si>
    <t>미르진 (-)&lt;br&gt;신형만 (-18)&lt;br&gt;전투쥐 (-)&lt;br&gt;강화 (-13)</t>
  </si>
  <si>
    <t>G202406152026</t>
  </si>
  <si>
    <t>2024-06-15 20:26</t>
  </si>
  <si>
    <t>강화 (19)&lt;br&gt;전투쥐 (-)&lt;br&gt;신형만 (13)&lt;br&gt;짱구 (9)</t>
  </si>
  <si>
    <t>재명 (-16)&lt;br&gt;미르진 (-)&lt;br&gt;ACDC (-13)&lt;br&gt;한메 (-18)</t>
  </si>
  <si>
    <t>G202406152004</t>
  </si>
  <si>
    <t>2024-06-15 20:04</t>
  </si>
  <si>
    <t>미르진 (-)&lt;br&gt;한메 (14)&lt;br&gt;짱구 (10)&lt;br&gt;전투쥐 (-)</t>
  </si>
  <si>
    <t>신형만 (-19)&lt;br&gt;재명 (-17)&lt;br&gt;ACDC (-14)&lt;br&gt;강화 (-13)</t>
  </si>
  <si>
    <t>G202406151938</t>
  </si>
  <si>
    <t>2024-06-15 19:38</t>
  </si>
  <si>
    <t>전투쥐 (-)&lt;br&gt;신형만 (12)&lt;br&gt;한메 (13)&lt;br&gt;짱구 (9)</t>
  </si>
  <si>
    <t>강화 (-12)&lt;br&gt;재명 (-16)&lt;br&gt;ACDC (-13)&lt;br&gt;미르진 (-)</t>
  </si>
  <si>
    <t>G202406151900</t>
  </si>
  <si>
    <t>2024-06-15 19:00</t>
  </si>
  <si>
    <t>좀비 (-)&lt;br&gt;ACDC (16)&lt;br&gt;재명 (13)&lt;br&gt;한메 (13)</t>
  </si>
  <si>
    <t>미등록 (-)&lt;br&gt;팰리 (-)&lt;br&gt;미르진 (-)&lt;br&gt;신형만 (-20)</t>
  </si>
  <si>
    <t>G202406151824</t>
  </si>
  <si>
    <t>2024-06-15 18:24</t>
  </si>
  <si>
    <t>미등록 (-)&lt;br&gt;신형만 (11)&lt;br&gt;ACDC (16)&lt;br&gt;재명 (13)</t>
  </si>
  <si>
    <t>좀비 (-)&lt;br&gt;한메 (-18)&lt;br&gt;팰리 (-)&lt;br&gt;미르진 (-)</t>
  </si>
  <si>
    <t>G202406151741</t>
  </si>
  <si>
    <t>2024-06-15 17:41</t>
  </si>
  <si>
    <t>윙크 (-)&lt;br&gt;ACDC (17)&lt;br&gt;신형만 (12)&lt;br&gt;한메 (13)</t>
  </si>
  <si>
    <t>재명 (-19)&lt;br&gt;좀비 (-)&lt;br&gt;팰리 (-)&lt;br&gt;미르진 (-)</t>
  </si>
  <si>
    <t>G202406150246</t>
  </si>
  <si>
    <t>2024-06-15 02:46</t>
  </si>
  <si>
    <t>엘더 (-)&lt;br&gt;짱구 (10)&lt;br&gt;아이딘 (-)&lt;br&gt;한메 (15)</t>
  </si>
  <si>
    <t>강화 (-)&lt;br&gt;깡패 (-16)&lt;br&gt;ACDC (-14)&lt;br&gt;신형만 (-19)</t>
  </si>
  <si>
    <t>G202406150212</t>
  </si>
  <si>
    <t>2024-06-15 02:12</t>
  </si>
  <si>
    <t>신형만 (13)&lt;br&gt;엘더 (-)&lt;br&gt;아이딘 (-)&lt;br&gt;짱구 (200)</t>
  </si>
  <si>
    <t>한메 (-19)&lt;br&gt;깡패 (-18)&lt;br&gt;ACDC (-16)&lt;br&gt;강화 (-)</t>
  </si>
  <si>
    <t>G202406150131</t>
  </si>
  <si>
    <t>2024-06-15 01:31</t>
  </si>
  <si>
    <t>재우 (80)&lt;br&gt;한메 (17)&lt;br&gt;짱구 (-)&lt;br&gt;엘더 (-)</t>
  </si>
  <si>
    <t>강화 (-)&lt;br&gt;깡패 (-20)&lt;br&gt;신형만 (-22)&lt;br&gt;재명 (-21)</t>
  </si>
  <si>
    <t>G202406150130</t>
  </si>
  <si>
    <t>2024-06-15 01:30</t>
  </si>
  <si>
    <t>재우 (-)&lt;br&gt;강화 (17)&lt;br&gt;신형만 (13)&lt;br&gt;한메 (16)</t>
  </si>
  <si>
    <t>ACDC (-15)&lt;br&gt;엘더 (-)&lt;br&gt;재명 (-20)&lt;br&gt;깡패 (-18)</t>
  </si>
  <si>
    <t>G202406150008</t>
  </si>
  <si>
    <t>2024-06-15 00:08</t>
  </si>
  <si>
    <t>ACDC (19)&lt;br&gt;재명 (13)&lt;br&gt;신형만 (14)&lt;br&gt;엘더 (-)</t>
  </si>
  <si>
    <t>강화 (-16)&lt;br&gt;깡패 (-19)&lt;br&gt;팰리 (-)&lt;br&gt;한메 (-17)</t>
  </si>
  <si>
    <t>G202406142333</t>
  </si>
  <si>
    <t>2024-06-14 23:33</t>
  </si>
  <si>
    <t>신형만 (14)&lt;br&gt;강화 (17)&lt;br&gt;ACDC (19)&lt;br&gt;재명 (13)</t>
  </si>
  <si>
    <t>팰리 (-)&lt;br&gt;한메 (-18)&lt;br&gt;아이딘 (-)&lt;br&gt;깡패 (-20)</t>
  </si>
  <si>
    <t>G202406142231</t>
  </si>
  <si>
    <t>2024-06-14 22:31</t>
  </si>
  <si>
    <t>만두 (-)&lt;br&gt;깡패 (13)&lt;br&gt;ACDC (21)&lt;br&gt;재명 (14)</t>
  </si>
  <si>
    <t>아이딘 (-)&lt;br&gt;한메 (-19)&lt;br&gt;신형만 (-19)&lt;br&gt;강화 (-16)</t>
  </si>
  <si>
    <t>G202406142155</t>
  </si>
  <si>
    <t>2024-06-14 21:55</t>
  </si>
  <si>
    <t>한메 (13)&lt;br&gt;깡패 (12)&lt;br&gt;전투쥐 (-)&lt;br&gt;짱구 (-)</t>
  </si>
  <si>
    <t>ACDC (-13)&lt;br&gt;신형만 (-20)&lt;br&gt;아이딘 (-)&lt;br&gt;강화 (-17)</t>
  </si>
  <si>
    <t>G202406142111</t>
  </si>
  <si>
    <t>2024-06-14 21:11</t>
  </si>
  <si>
    <t>짱구 (-)&lt;br&gt;신형만 (13)&lt;br&gt;아이딘 (-)&lt;br&gt;전투쥐 (-)</t>
  </si>
  <si>
    <t>민우 (-)&lt;br&gt;한메 (-20)&lt;br&gt;ACDC (-14)&lt;br&gt;깡패 (-21)</t>
  </si>
  <si>
    <t>G202406142049</t>
  </si>
  <si>
    <t>2024-06-14 20:49</t>
  </si>
  <si>
    <t>짱구 (-)&lt;br&gt;깡패 (10)&lt;br&gt;아이딘 (-)&lt;br&gt;신형만 (11)</t>
  </si>
  <si>
    <t>전투쥐 (-)&lt;br&gt;ACDC (-13)&lt;br&gt;퍼플 (-)&lt;br&gt;민우 (-)</t>
  </si>
  <si>
    <t>G202406142023</t>
  </si>
  <si>
    <t>2024-06-14 20:23</t>
  </si>
  <si>
    <t>신형만 (11)&lt;br&gt;깡패 (10)&lt;br&gt;퍼플 (-)&lt;br&gt;짱구 (-)</t>
  </si>
  <si>
    <t>해죽 (-)&lt;br&gt;ACDC (-14)&lt;br&gt;아이딘 (-)&lt;br&gt;전투쥐 (-)</t>
  </si>
  <si>
    <t>G202406141815</t>
  </si>
  <si>
    <t>2024-06-14 18:15</t>
  </si>
  <si>
    <t>한메 (13)&lt;br&gt;테리 (-)&lt;br&gt;재명 (13)&lt;br&gt;깡패 (13)</t>
  </si>
  <si>
    <t>민우 (-)&lt;br&gt;ACDC (-14)&lt;br&gt;오크 (-)&lt;br&gt;신형만 (-18)</t>
  </si>
  <si>
    <t>G202406141751</t>
  </si>
  <si>
    <t>2024-06-14 17:51</t>
  </si>
  <si>
    <t>오크 (-)&lt;br&gt;한메 (120)&lt;br&gt;신형만 (14)&lt;br&gt;민우 (-)</t>
  </si>
  <si>
    <t>ACDC (-17)&lt;br&gt;재명 (-20)&lt;br&gt;테리 (-)&lt;br&gt;깡패 (-21)</t>
  </si>
  <si>
    <t>G202406141718</t>
  </si>
  <si>
    <t>2024-06-14 17:18</t>
  </si>
  <si>
    <t>ACDC (14)&lt;br&gt;신형만 (120)&lt;br&gt;테리 (-)&lt;br&gt;깡패 (10)</t>
  </si>
  <si>
    <t>민우 (-)&lt;br&gt;재명 (120)&lt;br&gt;오크 (-)&lt;br&gt;한메 (-)</t>
  </si>
  <si>
    <t>G202406141655</t>
  </si>
  <si>
    <t>2024-06-14 16:55</t>
  </si>
  <si>
    <t>재명 (-)&lt;br&gt;깡패 (11)&lt;br&gt;신형만 (-)&lt;br&gt;민우 (-)</t>
  </si>
  <si>
    <t>ACDC (-17)&lt;br&gt;테리 (-)&lt;br&gt;한메 (-)&lt;br&gt;오크 (-)</t>
  </si>
  <si>
    <t>G202406140117</t>
  </si>
  <si>
    <t>2024-06-14 01:17</t>
  </si>
  <si>
    <t>강화 (80)&lt;br&gt;짱구 (-)&lt;br&gt;엘더 (-)&lt;br&gt;깡패 (120)</t>
  </si>
  <si>
    <t>ACDC (60)&lt;br&gt;오크 (-)&lt;br&gt;재명 (-)&lt;br&gt;신형만 (-)</t>
  </si>
  <si>
    <t>G202406140057</t>
  </si>
  <si>
    <t>2024-06-14 00:57</t>
  </si>
  <si>
    <t>ACDC (-)&lt;br&gt;엘더 (-)&lt;br&gt;짱구 (-)&lt;br&gt;강화 (-)</t>
  </si>
  <si>
    <t>재명 (-)&lt;br&gt;오크 (-)&lt;br&gt;신형만 (-)&lt;br&gt;깡패 (-)</t>
  </si>
  <si>
    <t>G202406140025</t>
  </si>
  <si>
    <t>2024-06-14 00:25</t>
  </si>
  <si>
    <t>오크 (-)&lt;br&gt;짱구 (-)&lt;br&gt;엘더 (-)&lt;br&gt;깡패 (-)</t>
  </si>
  <si>
    <t>신형만 (-)&lt;br&gt;ACDC (-)&lt;br&gt;강화 (-)&lt;br&gt;재명 (-)</t>
  </si>
  <si>
    <t>G202406122236</t>
  </si>
  <si>
    <t>2024-06-12 22:36</t>
  </si>
  <si>
    <t>한메 (-)&lt;br&gt;재명 (-)&lt;br&gt;ovo (-)&lt;br&gt;깡패 (-)</t>
  </si>
  <si>
    <t>재우 (-)&lt;br&gt;ACDC (-)&lt;br&gt;강화 (-)&lt;br&gt;랄 (-)</t>
  </si>
  <si>
    <t>G202406122204</t>
  </si>
  <si>
    <t>2024-06-12 22:04</t>
  </si>
  <si>
    <t>ovo (-)&lt;br&gt;랄 (-)&lt;br&gt;한메 (-)&lt;br&gt;깡패 (-)</t>
  </si>
  <si>
    <t>재명 (-)&lt;br&gt;ACDC (-)&lt;br&gt;강화 (-)&lt;br&gt;재우 (-)</t>
  </si>
  <si>
    <t>G202406120026</t>
  </si>
  <si>
    <t>2024-06-12 00:26</t>
  </si>
  <si>
    <t>오크 (-)&lt;br&gt;한메 (-)&lt;br&gt;짱구 (-)&lt;br&gt;재우 (-)</t>
  </si>
  <si>
    <t>신형만 (-)&lt;br&gt;ACDC (-)&lt;br&gt;악동 (-)&lt;br&gt;깡패 (-)</t>
  </si>
  <si>
    <t>G202406120021</t>
  </si>
  <si>
    <t>2024-06-12 00:21</t>
  </si>
  <si>
    <t>ACDC (-)&lt;br&gt;깡패 (-)&lt;br&gt;한메 (-)&lt;br&gt;악동 (-)</t>
  </si>
  <si>
    <t>랄 (-)&lt;br&gt;강화 (-)&lt;br&gt;재우 (-)&lt;br&gt;신형만 (-)</t>
  </si>
  <si>
    <t>G202406112317</t>
  </si>
  <si>
    <t>2024-06-11 23:17</t>
  </si>
  <si>
    <t>한메 (-)&lt;br&gt;재우 (-)&lt;br&gt;재명 (-)&lt;br&gt;신형만 (-)</t>
  </si>
  <si>
    <t>랄 (-)&lt;br&gt;깡패 (-)&lt;br&gt;ACDC (-)&lt;br&gt;강화 (-)</t>
  </si>
  <si>
    <t>G202406112242</t>
  </si>
  <si>
    <t>2024-06-11 22:42</t>
  </si>
  <si>
    <t>강화 (-)&lt;br&gt;재명 (-)&lt;br&gt;ACDC (-)&lt;br&gt;신형만 (-)</t>
  </si>
  <si>
    <t>한메 (-)&lt;br&gt;깡패 (-)&lt;br&gt;랄 (-)&lt;br&gt;재우 (-)</t>
  </si>
  <si>
    <t>G202406112200</t>
  </si>
  <si>
    <t>2024-06-11 22:00</t>
  </si>
  <si>
    <t>재명 (-)&lt;br&gt;팰리 (-)&lt;br&gt;신형만 (-)&lt;br&gt;깡패 (-)</t>
  </si>
  <si>
    <t>한메 (-)&lt;br&gt;ACDC (-)&lt;br&gt;재우 (-)&lt;br&gt;강화 (-)</t>
  </si>
  <si>
    <t>G202406112130</t>
  </si>
  <si>
    <t>2024-06-11 21:30</t>
  </si>
  <si>
    <t>신형만 (-)&lt;br&gt;재명 (-)&lt;br&gt;강화 (-)&lt;br&gt;깡패 (-)</t>
  </si>
  <si>
    <t>팰리 (-)&lt;br&gt;ACDC (-)&lt;br&gt;재우 (-)&lt;br&gt;한메 (-)</t>
  </si>
  <si>
    <t>G202406110041</t>
  </si>
  <si>
    <t>2024-06-11 00:41</t>
  </si>
  <si>
    <t>강화 (21)&lt;br&gt;깡패 (11)&lt;br&gt;엘더 (-)&lt;br&gt;재우 (-)</t>
  </si>
  <si>
    <t>한메 (-17)&lt;br&gt;ACDC (-17)&lt;br&gt;짱구 (-21)&lt;br&gt;재명 (-)</t>
  </si>
  <si>
    <t>베타시즌</t>
  </si>
  <si>
    <t>G202406102358</t>
  </si>
  <si>
    <t>2024-06-10 23:58</t>
  </si>
  <si>
    <t>엘더 (-)&lt;br&gt;짱구 (10)&lt;br&gt;ACDC (14)&lt;br&gt;깡패 (9)</t>
  </si>
  <si>
    <t>재우 (-)&lt;br&gt;강화 (-11)&lt;br&gt;한메 (-15)&lt;br&gt;재명 (-)</t>
  </si>
  <si>
    <t>G202406102334</t>
  </si>
  <si>
    <t>2024-06-10 23:34</t>
  </si>
  <si>
    <t>재우 (-)&lt;br&gt;짱구 (13)&lt;br&gt;한메 (16)&lt;br&gt;재명 (-)</t>
  </si>
  <si>
    <t>엘더 (-)&lt;br&gt;깡패 (-22)&lt;br&gt;ACDC (-17)&lt;br&gt;강화 (-13)</t>
  </si>
  <si>
    <t>G202406101739</t>
  </si>
  <si>
    <t>2024-06-10 17:39</t>
  </si>
  <si>
    <t>윙크 (-)&lt;br&gt;깡패 (11)&lt;br&gt;제이호 (-)&lt;br&gt;오크 (14)</t>
  </si>
  <si>
    <t>짱구 (-19)&lt;br&gt;엘더 (-)&lt;br&gt;ACDC (-16)&lt;br&gt;강화 (-13)</t>
  </si>
  <si>
    <t>G202406101701</t>
  </si>
  <si>
    <t>2024-06-10 17:01</t>
  </si>
  <si>
    <t>ACDC (15)&lt;br&gt;깡패 (10)&lt;br&gt;랄 (-)&lt;br&gt;오크 (14)</t>
  </si>
  <si>
    <t>윙크 (-)&lt;br&gt;신형만 (-19)&lt;br&gt;제이호 (-)&lt;br&gt;강화 (-13)</t>
  </si>
  <si>
    <t>G202406101624</t>
  </si>
  <si>
    <t>2024-06-10 16:24</t>
  </si>
  <si>
    <t>윙크 (-)&lt;br&gt;신형만 (11)&lt;br&gt;ACDC (15)&lt;br&gt;깡패 (10)</t>
  </si>
  <si>
    <t>제이호 (-)&lt;br&gt;랄 (-)&lt;br&gt;오크 (-17)&lt;br&gt;강화 (-13)</t>
  </si>
  <si>
    <t>G202406101553</t>
  </si>
  <si>
    <t>2024-06-10 15:53</t>
  </si>
  <si>
    <t>오크 (13)&lt;br&gt;신형만 (11)&lt;br&gt;랄 (-)&lt;br&gt;깡패 (10)</t>
  </si>
  <si>
    <t>윙크 (-)&lt;br&gt;ACDC (-15)&lt;br&gt;강화 (-13)&lt;br&gt;제이호 (-)</t>
  </si>
  <si>
    <t>G202406100358</t>
  </si>
  <si>
    <t>2024-06-10 03:58</t>
  </si>
  <si>
    <t>엘더 (-)&lt;br&gt;ACDC (17)&lt;br&gt;짱구 (14)&lt;br&gt;깡패 (13)</t>
  </si>
  <si>
    <t>아이딘 (-)&lt;br&gt;강화 (-15)&lt;br&gt;오크 (-18)&lt;br&gt;신형만 (-19)</t>
  </si>
  <si>
    <t>G202406100313</t>
  </si>
  <si>
    <t>2024-06-10 03:13</t>
  </si>
  <si>
    <t>신형만 (11)&lt;br&gt;깡패 (12)&lt;br&gt;짱구 (12)&lt;br&gt;오크 (13)</t>
  </si>
  <si>
    <t>아이딘 (-)&lt;br&gt;ACDC (-13)&lt;br&gt;강화 (-13)&lt;br&gt;엘더 (-)</t>
  </si>
  <si>
    <t>G202406100248</t>
  </si>
  <si>
    <t>2024-06-10 02:48</t>
  </si>
  <si>
    <t>엘더 (-)&lt;br&gt;신형만 (14)&lt;br&gt;ACDC (18)&lt;br&gt;오크 (16)</t>
  </si>
  <si>
    <t>강화 (-17)&lt;br&gt;깡패 (-20)&lt;br&gt;아이딘 (-)&lt;br&gt;짱구 (-19)</t>
  </si>
  <si>
    <t>G202406100227</t>
  </si>
  <si>
    <t>2024-06-10 02:27</t>
  </si>
  <si>
    <t>강화 (15)&lt;br&gt;깡패 (12)&lt;br&gt;신형만 (12)&lt;br&gt;짱구 (12)</t>
  </si>
  <si>
    <t>아이딘 (-)&lt;br&gt;엘더 (-)&lt;br&gt;ACDC (-14)&lt;br&gt;오크 (-15)</t>
  </si>
  <si>
    <t>G202406100203</t>
  </si>
  <si>
    <t>2024-06-10 02:03</t>
  </si>
  <si>
    <t>강화 (16)&lt;br&gt;신형만 (14)&lt;br&gt;오크 (50)&lt;br&gt;깡패 (13)</t>
  </si>
  <si>
    <t>엘더 (-)&lt;br&gt;ACDC (-16)&lt;br&gt;아이딘 (-)&lt;br&gt;짱구 (-20)</t>
  </si>
  <si>
    <t>G202406090154</t>
  </si>
  <si>
    <t>2024-06-09 01:54</t>
  </si>
  <si>
    <t>웅 (-)&lt;br&gt;랄 (-)&lt;br&gt;엘더 (-)&lt;br&gt;짱구 (13)</t>
  </si>
  <si>
    <t>ACDC (-19)&lt;br&gt;한메 (-18)&lt;br&gt;신형만 (-20)&lt;br&gt;전투쥐 (-)</t>
  </si>
  <si>
    <t>G202406090114</t>
  </si>
  <si>
    <t>2024-06-09 01:14</t>
  </si>
  <si>
    <t>ACDC (15)&lt;br&gt;엘더 (-)&lt;br&gt;웅 (-)&lt;br&gt;전투쥐 (-)</t>
  </si>
  <si>
    <t>한메 (-19)&lt;br&gt;재우 (-)&lt;br&gt;신형만 (-22)&lt;br&gt;랄 (-)</t>
  </si>
  <si>
    <t>G202406090016</t>
  </si>
  <si>
    <t>2024-06-09 00:16</t>
  </si>
  <si>
    <t>팰리 (14)&lt;br&gt;ACDC (15)&lt;br&gt;엘더 (-)&lt;br&gt;짱구 (12)</t>
  </si>
  <si>
    <t>신형만 (-20)&lt;br&gt;재우 (-)&lt;br&gt;랄 (-)&lt;br&gt;웅 (-)</t>
  </si>
  <si>
    <t>G202406082325</t>
  </si>
  <si>
    <t>2024-06-08 23:25</t>
  </si>
  <si>
    <t>재우 (-)&lt;br&gt;ACDC (15)&lt;br&gt;팰리 (14)&lt;br&gt;엘더 (-)</t>
  </si>
  <si>
    <t>오크 (-)&lt;br&gt;짱구 (-21)&lt;br&gt;랄 (-)&lt;br&gt;봉구 (-)</t>
  </si>
  <si>
    <t>G202406082255</t>
  </si>
  <si>
    <t>2024-06-08 22:55</t>
  </si>
  <si>
    <t>랄 (-)&lt;br&gt;엘더 (-)&lt;br&gt;짱구 (12)&lt;br&gt;오크 (-)</t>
  </si>
  <si>
    <t>ACDC (-17)&lt;br&gt;봉구 (-)&lt;br&gt;팰리 (-19)&lt;br&gt;재우 (-)</t>
  </si>
  <si>
    <t>G202406082229</t>
  </si>
  <si>
    <t>2024-06-08 22:29</t>
  </si>
  <si>
    <t>팰리 (-)&lt;br&gt;짱구 (12)&lt;br&gt;ACDC (15)&lt;br&gt;오크 (-)</t>
  </si>
  <si>
    <t>재우 (-13)&lt;br&gt;한메 (-18)&lt;br&gt;랄 (-)&lt;br&gt;엘더 (-)</t>
  </si>
  <si>
    <t>G202406082156</t>
  </si>
  <si>
    <t>2024-06-08 21:56</t>
  </si>
  <si>
    <t>전투쥐 (-)&lt;br&gt;ACDC (16)&lt;br&gt;신형만 (10)&lt;br&gt;한메 (13)</t>
  </si>
  <si>
    <t>엘더 (-)&lt;br&gt;팰리 (-17)&lt;br&gt;오크 (-)&lt;br&gt;재명 (-)</t>
  </si>
  <si>
    <t>G202406082124</t>
  </si>
  <si>
    <t>2024-06-08 21:24</t>
  </si>
  <si>
    <t>ACDC (17)&lt;br&gt;짱구 (60)&lt;br&gt;엘더 (-)&lt;br&gt;신형만 (11)</t>
  </si>
  <si>
    <t>전투쥐 (-)&lt;br&gt;재명 (-)&lt;br&gt;한메 (-20)&lt;br&gt;오크 (-)</t>
  </si>
  <si>
    <t>G202406082053</t>
  </si>
  <si>
    <t>2024-06-08 20:53</t>
  </si>
  <si>
    <t>전투쥐 (-)&lt;br&gt;엘더 (60)&lt;br&gt;신형만 (11)&lt;br&gt;한메 (17)</t>
  </si>
  <si>
    <t>ACDC (-16)&lt;br&gt;재명 (-)&lt;br&gt;강화 (-17)&lt;br&gt;짱구 (-)</t>
  </si>
  <si>
    <t>G202406082029</t>
  </si>
  <si>
    <t>2024-06-08 20:29</t>
  </si>
  <si>
    <t>강화 (14)&lt;br&gt;신형만 (11)&lt;br&gt;짱구 (-)&lt;br&gt;재명 (-)</t>
  </si>
  <si>
    <t>ACDC (-16)&lt;br&gt;엘더 (-)&lt;br&gt;한메 (-)&lt;br&gt;전투쥐 (-)</t>
  </si>
  <si>
    <t>G202406080201</t>
  </si>
  <si>
    <t>2024-06-08 02:01</t>
  </si>
  <si>
    <t>강화 (16)&lt;br&gt;짱구 (-)&lt;br&gt;테리 (-)&lt;br&gt;신형만 (13)</t>
  </si>
  <si>
    <t>ACDC (-17)&lt;br&gt;깡패 (-20)&lt;br&gt;한메 (-)&lt;br&gt;오크 (-)</t>
  </si>
  <si>
    <t>G202406080114</t>
  </si>
  <si>
    <t>2024-06-08 01:14</t>
  </si>
  <si>
    <t>짱구 (-)&lt;br&gt;깡패 (21)&lt;br&gt;테리 (-)&lt;br&gt;오크 (-)</t>
  </si>
  <si>
    <t>재명 (-)&lt;br&gt;강화 (-10)&lt;br&gt;ACDC (-10)&lt;br&gt;한메 (-)</t>
  </si>
  <si>
    <t>G202406080111</t>
  </si>
  <si>
    <t>2024-06-08 01:11</t>
  </si>
  <si>
    <t>한메 (-)&lt;br&gt;깡패 (12)&lt;br&gt;신형만 (60)&lt;br&gt;오크 (-)</t>
  </si>
  <si>
    <t>팰리 (-19)&lt;br&gt;ACDC (30)&lt;br&gt;짱구 (-)&lt;br&gt;강화 (-17)</t>
  </si>
  <si>
    <t>G202406080056</t>
  </si>
  <si>
    <t>2024-06-08 00:56</t>
  </si>
  <si>
    <t>ACDC (-)&lt;br&gt;깡패 (60)&lt;br&gt;한메 (-)&lt;br&gt;신형만 (-)</t>
  </si>
  <si>
    <t>팰리 (50)&lt;br&gt;강화 (30)&lt;br&gt;재명 (-)&lt;br&gt;오크 (-)</t>
  </si>
  <si>
    <t>G202406072356</t>
  </si>
  <si>
    <t>2024-06-07 23:56</t>
  </si>
  <si>
    <t>한메 (-)&lt;br&gt;깡패 (-)&lt;br&gt;신형만 (-)&lt;br&gt;오크 (-)</t>
  </si>
  <si>
    <t>팰리 (-)&lt;br&gt;ACDC (-)&lt;br&gt;짱구 (-)&lt;br&gt;강화 (-)</t>
  </si>
  <si>
    <t>G202406072332</t>
  </si>
  <si>
    <t>2024-06-07 23:32</t>
  </si>
  <si>
    <t>팰리 (-)&lt;br&gt;짱구 (-)&lt;br&gt;엘더 (-)&lt;br&gt;전투쥐 (-)</t>
  </si>
  <si>
    <t>신형만 (-)&lt;br&gt;깡패 (-)&lt;br&gt;ACDC (-)&lt;br&gt;강화 (-)</t>
  </si>
  <si>
    <t>G202406072301</t>
  </si>
  <si>
    <t>2024-06-07 23:01</t>
  </si>
  <si>
    <t>엘더 (-)&lt;br&gt;깡패 (-)&lt;br&gt;짱구 (-)&lt;br&gt;팰리 (-)</t>
  </si>
  <si>
    <t>강화 (-16)&lt;br&gt;미등록 (-)&lt;br&gt;미등록 (-)&lt;br&gt;전투쥐 (-)</t>
  </si>
  <si>
    <t>G202406072231</t>
  </si>
  <si>
    <t>2024-06-07 22:31</t>
  </si>
  <si>
    <t>신형만 (-)&lt;br&gt;짱구 (-)&lt;br&gt;엘더 (-)&lt;br&gt;팰리 (-)</t>
  </si>
  <si>
    <t>ACDC (-)&lt;br&gt;깡패 (-)&lt;br&gt;강화 (-)&lt;br&gt;전투쥐 (-)</t>
  </si>
  <si>
    <t>G202406072226</t>
  </si>
  <si>
    <t>2024-06-07 22:26</t>
  </si>
  <si>
    <t>강화 (-)&lt;br&gt;깡패 (-)&lt;br&gt;전투쥐 (-)&lt;br&gt;신형만 (-)</t>
  </si>
  <si>
    <t>팰리 (-)&lt;br&gt;ACDC (-)&lt;br&gt;짱구 (-)&lt;br&gt;엘더 (-)</t>
  </si>
  <si>
    <t>G202406071820</t>
  </si>
  <si>
    <t>2024-06-07 18:20</t>
  </si>
  <si>
    <t>전투쥐 (-)&lt;br&gt;팰리 (-)&lt;br&gt;ACDC (-)&lt;br&gt;깡패 (-)</t>
  </si>
  <si>
    <t>윙크 (-)&lt;br&gt;강화 (-)&lt;br&gt;한메 (-)&lt;br&gt;신형만 (-)</t>
  </si>
  <si>
    <t>G202406071732</t>
  </si>
  <si>
    <t>2024-06-07 17:32</t>
  </si>
  <si>
    <t>윙크 (-)&lt;br&gt;전투쥐 (-)&lt;br&gt;ACDC (-)&lt;br&gt;깡패 (-)</t>
  </si>
  <si>
    <t>팰리 (-)&lt;br&gt;강화 (-)&lt;br&gt;신형만 (-)&lt;br&gt;한메 (-)</t>
  </si>
  <si>
    <t>G202406071653</t>
  </si>
  <si>
    <t>2024-06-07 16:53</t>
  </si>
  <si>
    <t>팰리 (-)&lt;br&gt;전투쥐 (-)&lt;br&gt;ACDC (-)&lt;br&gt;깡패 (-)</t>
  </si>
  <si>
    <t>G202406071628</t>
  </si>
  <si>
    <t>2024-06-07 16:28</t>
  </si>
  <si>
    <t>팰리 (-)&lt;br&gt;한메 (-)&lt;br&gt;신형만 (-)&lt;br&gt;윙크 (-)</t>
  </si>
  <si>
    <t>ACDC (-)&lt;br&gt;깡패 (-)&lt;br&gt;전투쥐 (-)&lt;br&gt;강화 (-)</t>
  </si>
  <si>
    <t>G202406071602</t>
  </si>
  <si>
    <t>2024-06-07 16:02</t>
  </si>
  <si>
    <t>강화 (-)&lt;br&gt;한메 (-)&lt;br&gt;전투쥐 (-)&lt;br&gt;깡패 (-)</t>
  </si>
  <si>
    <t>ACDC (-16)&lt;br&gt;팰리 (-)&lt;br&gt;신형만 (-)&lt;br&gt;윙크 (-)</t>
  </si>
  <si>
    <t>G202406030000</t>
  </si>
  <si>
    <t>2024-06-03 00:00</t>
  </si>
  <si>
    <t>지피 (18)&lt;br&gt;랄 (13)&lt;br&gt;ACDC (16)&lt;br&gt;재우 (9)</t>
  </si>
  <si>
    <t>강화 (-13)&lt;br&gt;깡패 (-14)&lt;br&gt;ovo (-14)&lt;br&gt;짱구 (-15)</t>
  </si>
  <si>
    <t>강화 (17)&lt;br&gt;랄 (13)&lt;br&gt;요즘 (14)&lt;br&gt;재우 (8)</t>
  </si>
  <si>
    <t>ACDC (-14)&lt;br&gt;깡패 (-14)&lt;br&gt;지피 (-12)&lt;br&gt;재명 (-11)</t>
  </si>
  <si>
    <t>지피 (18)&lt;br&gt;랄 (16)&lt;br&gt;요즘 (17)&lt;br&gt;재우 (10)</t>
  </si>
  <si>
    <t>ACDC (-18)&lt;br&gt;깡패 (-17)&lt;br&gt;재명 (-13)&lt;br&gt;강화 (-12)</t>
  </si>
  <si>
    <t>랄 (16)&lt;br&gt;깡패 (13)&lt;br&gt;ACDC (13)&lt;br&gt;재우 (10)</t>
  </si>
  <si>
    <t>요즘 (-14)&lt;br&gt;강화 (-11)&lt;br&gt;재명 (-13)&lt;br&gt;지피 (-13)</t>
  </si>
  <si>
    <t>G202406020000</t>
  </si>
  <si>
    <t>2024-06-02 00:00</t>
  </si>
  <si>
    <t>엘더 (15)&lt;br&gt;미르진 (16)&lt;br&gt;재명 (18)&lt;br&gt;지피 (18)</t>
  </si>
  <si>
    <t>팰리 (-17)&lt;br&gt;강화 (-15)&lt;br&gt;제이호 (-16)&lt;br&gt;깡패 (-19)</t>
  </si>
  <si>
    <t>팰리 (17)&lt;br&gt;미르진 (17)&lt;br&gt;강화 (19)&lt;br&gt;엘더 (16)</t>
  </si>
  <si>
    <t>윙크 (-19)&lt;br&gt;깡패 (-20)&lt;br&gt;재명 (-15)&lt;br&gt;지피 (-16)</t>
  </si>
  <si>
    <t>팰리 (16)&lt;br&gt;깡패 (12)&lt;br&gt;엘더 (16)&lt;br&gt;윙크 (14)</t>
  </si>
  <si>
    <t>강화 (-13)&lt;br&gt;미르진 (-16)&lt;br&gt;지피 (-15)&lt;br&gt;재명 (-15)</t>
  </si>
  <si>
    <t>짱구 (17)&lt;br&gt;팰리 (19)&lt;br&gt;엘더 (18)&lt;br&gt;재우 (12)</t>
  </si>
  <si>
    <t>강화 (-14)&lt;br&gt;전투쥐 (-13)&lt;br&gt;ACDC (-18)&lt;br&gt;신형만 (-20)</t>
  </si>
  <si>
    <t>ACDC (13)&lt;br&gt;재우 (11)&lt;br&gt;짱구 (16)&lt;br&gt;신형만 (11)</t>
  </si>
  <si>
    <t>엘더 (-13)&lt;br&gt;전투쥐 (-12)&lt;br&gt;재명 (-13)&lt;br&gt;강화 (-12)</t>
  </si>
  <si>
    <t>재우 (13)&lt;br&gt;강화 (18)&lt;br&gt;한메 (13)&lt;br&gt;신형만 (12)</t>
  </si>
  <si>
    <t>ACDC (-17)&lt;br&gt;팰리 (-13)&lt;br&gt;미르진 (-15)&lt;br&gt;전투쥐 (-13)</t>
  </si>
  <si>
    <t>신형만 (13)&lt;br&gt;미르진 (16)&lt;br&gt;한메 (14)&lt;br&gt;재우 (13)</t>
  </si>
  <si>
    <t>ACDC (-17)&lt;br&gt;전투쥐 (-14)&lt;br&gt;팰리 (-13)&lt;br&gt;강화 (-12)</t>
  </si>
  <si>
    <t>재우 (15)&lt;br&gt;미르진 (18)&lt;br&gt;신형만 (15)&lt;br&gt;전투쥐 (19)</t>
  </si>
  <si>
    <t>팰리 (-15)&lt;br&gt;강화 (-14)&lt;br&gt;ACDC (-20)&lt;br&gt;한메 (-18)</t>
  </si>
  <si>
    <t>G202405310000</t>
  </si>
  <si>
    <t>2024-05-31 00:00</t>
  </si>
  <si>
    <t>ACDC (12)&lt;br&gt;신형만 (14)&lt;br&gt;재우 (15)&lt;br&gt;강화 (18)</t>
  </si>
  <si>
    <t>랄 (-14)&lt;br&gt;엘더 (-15)&lt;br&gt;팰리 (-15)&lt;br&gt;전투쥐 (-14)</t>
  </si>
  <si>
    <t>팰리 (17)&lt;br&gt;ACDC (14)&lt;br&gt;전투쥐 (18)&lt;br&gt;엘더 (17)</t>
  </si>
  <si>
    <t>신형만 (-18)&lt;br&gt;강화 (-14)&lt;br&gt;랄 (-16)&lt;br&gt;재우 (-18)</t>
  </si>
  <si>
    <t>랄 (17)&lt;br&gt;엘더 (17)&lt;br&gt;ACDC (14)&lt;br&gt;신형만 (14)</t>
  </si>
  <si>
    <t>재우 (-18)&lt;br&gt;강화 (-15)&lt;br&gt;전투쥐 (-14)&lt;br&gt;팰리 (-16)</t>
  </si>
  <si>
    <t>과거시즌목록</t>
  </si>
  <si>
    <t>시작일</t>
  </si>
  <si>
    <t>마감일</t>
  </si>
  <si>
    <t>현재시즌</t>
  </si>
  <si>
    <t>티어 참조 시즌</t>
  </si>
  <si>
    <t>시즌 상태</t>
  </si>
  <si>
    <t>25.09.27</t>
  </si>
  <si>
    <t>25.11.09</t>
  </si>
  <si>
    <t>25.11.10</t>
  </si>
  <si>
    <t>25.12.21</t>
  </si>
  <si>
    <t>오픈</t>
  </si>
  <si>
    <t>25.08.18</t>
  </si>
  <si>
    <t>↑ 함수임. +40 시즌일정 맞춰서 넣으세욤</t>
  </si>
  <si>
    <t>25.07.13</t>
  </si>
  <si>
    <t>25.08.17</t>
  </si>
  <si>
    <t>25.05.10</t>
  </si>
  <si>
    <t>25.07.10</t>
  </si>
  <si>
    <t>25.03.07</t>
  </si>
  <si>
    <t>25.04.27</t>
  </si>
  <si>
    <t>25.01.29</t>
  </si>
  <si>
    <t>25.03.03</t>
  </si>
  <si>
    <t>24.12.29</t>
  </si>
  <si>
    <t>25.01.27</t>
  </si>
  <si>
    <t>24.11.24</t>
  </si>
  <si>
    <t>24.12.22</t>
  </si>
  <si>
    <t>24.10.24</t>
  </si>
  <si>
    <t>24.11.17</t>
  </si>
  <si>
    <t>24.09.02</t>
  </si>
  <si>
    <t>24.10.12</t>
  </si>
  <si>
    <t>24.08.05</t>
  </si>
  <si>
    <t>24.08.28</t>
  </si>
  <si>
    <t>24.07.16</t>
  </si>
  <si>
    <t>24.07.01</t>
  </si>
  <si>
    <t>24.06.11</t>
  </si>
  <si>
    <t>24.06.30</t>
  </si>
  <si>
    <t>24.06.02</t>
  </si>
  <si>
    <t>24.06.10</t>
  </si>
  <si>
    <t>듀오조합</t>
  </si>
  <si>
    <t>승</t>
  </si>
  <si>
    <t>패</t>
  </si>
  <si>
    <t>승률</t>
  </si>
  <si>
    <t>깡패&amp;테리</t>
  </si>
  <si>
    <t>신형만&amp;테리</t>
  </si>
  <si>
    <t>짱구&amp;테리</t>
  </si>
  <si>
    <t>테리&amp;학생</t>
  </si>
  <si>
    <t>ACDC&amp;테리</t>
  </si>
  <si>
    <t>깡패&amp;원</t>
  </si>
  <si>
    <t>규식&amp;테리</t>
  </si>
  <si>
    <t>ACDC&amp;깡패</t>
  </si>
  <si>
    <t>깡패&amp;신형만</t>
  </si>
  <si>
    <t>깡패&amp;학생</t>
  </si>
  <si>
    <t>신형만&amp;학생</t>
  </si>
  <si>
    <t>규식&amp;학생</t>
  </si>
  <si>
    <t>ACDC&amp;짱구</t>
  </si>
  <si>
    <t>ACDC&amp;신형만</t>
  </si>
  <si>
    <t>신형만&amp;원</t>
  </si>
  <si>
    <t>규식&amp;깡패</t>
  </si>
  <si>
    <t>원&amp;학생</t>
  </si>
  <si>
    <t>깡패&amp;짱구</t>
  </si>
  <si>
    <t>깡패&amp;한메</t>
  </si>
  <si>
    <t>신형만&amp;참치</t>
  </si>
  <si>
    <t>참치&amp;테리</t>
  </si>
  <si>
    <t>깡패&amp;넘버</t>
  </si>
  <si>
    <t>ACDC&amp;규식</t>
  </si>
  <si>
    <t>규식&amp;짱구</t>
  </si>
  <si>
    <t>ACDC&amp;참치</t>
  </si>
  <si>
    <t>원&amp;테리</t>
  </si>
  <si>
    <t>참치&amp;학생</t>
  </si>
  <si>
    <t>ACDC&amp;넘버</t>
  </si>
  <si>
    <t>기재&amp;테리</t>
  </si>
  <si>
    <t>ACDC&amp;학생</t>
  </si>
  <si>
    <t>ovo&amp;깡패</t>
  </si>
  <si>
    <t>원&amp;한메</t>
  </si>
  <si>
    <t>규식&amp;신형만</t>
  </si>
  <si>
    <t>규식&amp;기재</t>
  </si>
  <si>
    <t>기재&amp;짱구</t>
  </si>
  <si>
    <t>테리&amp;한메</t>
  </si>
  <si>
    <t>기재&amp;깡패</t>
  </si>
  <si>
    <t>신형만&amp;짱구</t>
  </si>
  <si>
    <t>깡패&amp;참치</t>
  </si>
  <si>
    <t>원&amp;짱구</t>
  </si>
  <si>
    <t>원&amp;참치</t>
  </si>
  <si>
    <t>ovo&amp;규식</t>
  </si>
  <si>
    <t>박서&amp;학생</t>
  </si>
  <si>
    <t>기재&amp;한메</t>
  </si>
  <si>
    <t>ovo&amp;짱구</t>
  </si>
  <si>
    <t>넘버&amp;원</t>
  </si>
  <si>
    <t>ACDC&amp;ovo</t>
  </si>
  <si>
    <t>신형만&amp;한메</t>
  </si>
  <si>
    <t>학생&amp;한메</t>
  </si>
  <si>
    <t>넘버&amp;테리</t>
  </si>
  <si>
    <t>ACDC&amp;원</t>
  </si>
  <si>
    <t>넘버&amp;신형만</t>
  </si>
  <si>
    <t>기재&amp;학생</t>
  </si>
  <si>
    <t>넘버&amp;학생</t>
  </si>
  <si>
    <t>박서&amp;신형만</t>
  </si>
  <si>
    <t>ovo&amp;원</t>
  </si>
  <si>
    <t>박서&amp;테리</t>
  </si>
  <si>
    <t>박서&amp;터미</t>
  </si>
  <si>
    <t>터미&amp;테리</t>
  </si>
  <si>
    <t>원&amp;혀니</t>
  </si>
  <si>
    <t>ovo&amp;테리</t>
  </si>
  <si>
    <t>규식&amp;원</t>
  </si>
  <si>
    <t>짱구&amp;한메</t>
  </si>
  <si>
    <t>테리&amp;혀니</t>
  </si>
  <si>
    <t>규식&amp;한메</t>
  </si>
  <si>
    <t>넘버&amp;짱구</t>
  </si>
  <si>
    <t>규식&amp;넘버</t>
  </si>
  <si>
    <t>ACDC&amp;솔</t>
  </si>
  <si>
    <t>깡패&amp;혀니</t>
  </si>
  <si>
    <t>짱구&amp;참치</t>
  </si>
  <si>
    <t>넘버&amp;솔</t>
  </si>
  <si>
    <t>기재&amp;신형만</t>
  </si>
  <si>
    <t>솔&amp;테리</t>
  </si>
  <si>
    <t>깡패&amp;노인</t>
  </si>
  <si>
    <t>짱구&amp;학생</t>
  </si>
  <si>
    <t>규식&amp;박서</t>
  </si>
  <si>
    <t>박서&amp;혀니</t>
  </si>
  <si>
    <t>규식&amp;노픽업</t>
  </si>
  <si>
    <t>노인&amp;테리</t>
  </si>
  <si>
    <t>노인&amp;학생</t>
  </si>
  <si>
    <t>규식&amp;터미</t>
  </si>
  <si>
    <t>ACDC&amp;민우</t>
  </si>
  <si>
    <t>민우&amp;참치</t>
  </si>
  <si>
    <t>ovo&amp;혀니</t>
  </si>
  <si>
    <t>솔&amp;원</t>
  </si>
  <si>
    <t>노인&amp;원</t>
  </si>
  <si>
    <t>넘버&amp;노인</t>
  </si>
  <si>
    <t>신형만&amp;터미</t>
  </si>
  <si>
    <t>ovo&amp;노픽업</t>
  </si>
  <si>
    <t>터미&amp;한메</t>
  </si>
  <si>
    <t>터미&amp;학생</t>
  </si>
  <si>
    <t>박서&amp;한메</t>
  </si>
  <si>
    <t>민우&amp;학생</t>
  </si>
  <si>
    <t>오딘&amp;테리</t>
  </si>
  <si>
    <t>솔&amp;짱구</t>
  </si>
  <si>
    <t>깡패&amp;솔</t>
  </si>
  <si>
    <t>규식&amp;솔</t>
  </si>
  <si>
    <t>깡패&amp;오딘</t>
  </si>
  <si>
    <t>노인&amp;한메</t>
  </si>
  <si>
    <t>기재&amp;원</t>
  </si>
  <si>
    <t>깡패&amp;터미</t>
  </si>
  <si>
    <t>학생&amp;혀니</t>
  </si>
  <si>
    <t>규식&amp;참치</t>
  </si>
  <si>
    <t>ovo&amp;학생</t>
  </si>
  <si>
    <t>오딘&amp;학생</t>
  </si>
  <si>
    <t>노인&amp;신형만</t>
  </si>
  <si>
    <t>솔&amp;신형만</t>
  </si>
  <si>
    <t>규식&amp;노인</t>
  </si>
  <si>
    <t>노픽업&amp;짱구</t>
  </si>
  <si>
    <t>ovo&amp;신형만</t>
  </si>
  <si>
    <t>ACDC&amp;기재</t>
  </si>
  <si>
    <t>솔&amp;학생</t>
  </si>
  <si>
    <t>깡패&amp;민우</t>
  </si>
  <si>
    <t>터미&amp;혀니</t>
  </si>
  <si>
    <t>민우&amp;혀니</t>
  </si>
  <si>
    <t>민우&amp;터미</t>
  </si>
  <si>
    <t>유즈&amp;테리</t>
  </si>
  <si>
    <t>ACDC&amp;유즈</t>
  </si>
  <si>
    <t>노픽업&amp;원</t>
  </si>
  <si>
    <t>기재&amp;노픽업</t>
  </si>
  <si>
    <t>노인&amp;유즈</t>
  </si>
  <si>
    <t>기재&amp;노인</t>
  </si>
  <si>
    <t>깡패&amp;유즈</t>
  </si>
  <si>
    <t>노인&amp;참치</t>
  </si>
  <si>
    <t>한메&amp;혀니</t>
  </si>
  <si>
    <t>기재&amp;박서</t>
  </si>
  <si>
    <t>민우&amp;짱구</t>
  </si>
  <si>
    <t>민우&amp;수련</t>
  </si>
  <si>
    <t>수련&amp;학생</t>
  </si>
  <si>
    <t>깡패&amp;수련</t>
  </si>
  <si>
    <t>수련&amp;신형만</t>
  </si>
  <si>
    <t>신형만&amp;웅</t>
  </si>
  <si>
    <t>기재&amp;웅</t>
  </si>
  <si>
    <t>웅&amp;원</t>
  </si>
  <si>
    <t>웅&amp;혀니</t>
  </si>
  <si>
    <t>짱구&amp;혀니</t>
  </si>
  <si>
    <t>오딘&amp;원</t>
  </si>
  <si>
    <t>오딘&amp;참치</t>
  </si>
  <si>
    <t>넘버&amp;한메</t>
  </si>
  <si>
    <t>노인&amp;오딘</t>
  </si>
  <si>
    <t>규식&amp;오딘</t>
  </si>
  <si>
    <t>ovo&amp;참치</t>
  </si>
  <si>
    <t>노인&amp;노픽업</t>
  </si>
  <si>
    <t>넘버&amp;유즈</t>
  </si>
  <si>
    <t>유즈&amp;학생</t>
  </si>
  <si>
    <t>기재&amp;유즈</t>
  </si>
  <si>
    <t>유즈&amp;짱구</t>
  </si>
  <si>
    <t>깡패&amp;노픽업</t>
  </si>
  <si>
    <t>신형만&amp;혀니</t>
  </si>
  <si>
    <t>수련&amp;짱구</t>
  </si>
  <si>
    <t>기재&amp;참치</t>
  </si>
  <si>
    <t>웅&amp;학생</t>
  </si>
  <si>
    <t>넘버&amp;참치</t>
  </si>
  <si>
    <t>넘버&amp;오딘</t>
  </si>
  <si>
    <t>ACDC&amp;오딘</t>
  </si>
  <si>
    <t>신형만&amp;유즈</t>
  </si>
  <si>
    <t>노픽업&amp;신형만</t>
  </si>
  <si>
    <t>솔&amp;한메</t>
  </si>
  <si>
    <t>ACDC&amp;노인</t>
  </si>
  <si>
    <t>노인&amp;짱구</t>
  </si>
  <si>
    <t>노픽업&amp;테리</t>
  </si>
  <si>
    <t>ACDC&amp;노픽업</t>
  </si>
  <si>
    <t>기재&amp;넘버</t>
  </si>
  <si>
    <t>기재&amp;솔</t>
  </si>
  <si>
    <t>규식&amp;필찌</t>
  </si>
  <si>
    <t>노인&amp;솔</t>
  </si>
  <si>
    <t>솔&amp;필찌</t>
  </si>
  <si>
    <t>테리&amp;필찌</t>
  </si>
  <si>
    <t>노인&amp;필찌</t>
  </si>
  <si>
    <t>참치&amp;한메</t>
  </si>
  <si>
    <t>GYUL&amp;깡패</t>
  </si>
  <si>
    <t>넘버&amp;필찌</t>
  </si>
  <si>
    <t>신형만&amp;필찌</t>
  </si>
  <si>
    <t>노픽업&amp;솔</t>
  </si>
  <si>
    <t>기재&amp;필찌</t>
  </si>
  <si>
    <t>깡패&amp;필찌</t>
  </si>
  <si>
    <t>원&amp;유즈</t>
  </si>
  <si>
    <t>깡패&amp;재우</t>
  </si>
  <si>
    <t>GYUL&amp;넘버</t>
  </si>
  <si>
    <t>GYUL&amp;짱구</t>
  </si>
  <si>
    <t>필찌&amp;한메</t>
  </si>
  <si>
    <t>민우&amp;솔</t>
  </si>
  <si>
    <t>찹쌀&amp;테리</t>
  </si>
  <si>
    <t>넘버&amp;용이</t>
  </si>
  <si>
    <t>GYUL&amp;기재</t>
  </si>
  <si>
    <t>규식&amp;유즈</t>
  </si>
  <si>
    <t>GYUL&amp;규식</t>
  </si>
  <si>
    <t>넘버&amp;노픽업</t>
  </si>
  <si>
    <t>오딘&amp;필찌</t>
  </si>
  <si>
    <t>신형만&amp;오딘</t>
  </si>
  <si>
    <t>민우&amp;한메</t>
  </si>
  <si>
    <t>노인&amp;태식</t>
  </si>
  <si>
    <t>민우&amp;신형만</t>
  </si>
  <si>
    <t>GYUL&amp;솔</t>
  </si>
  <si>
    <t>용이&amp;원</t>
  </si>
  <si>
    <t>원&amp;필찌</t>
  </si>
  <si>
    <t>노픽업&amp;필찌</t>
  </si>
  <si>
    <t>GYUL&amp;노인</t>
  </si>
  <si>
    <t>유즈&amp;한메</t>
  </si>
  <si>
    <t>ACDC&amp;한메</t>
  </si>
  <si>
    <t>규식&amp;재우</t>
  </si>
  <si>
    <t>깡패&amp;찹쌀</t>
  </si>
  <si>
    <t>ovo&amp;민우</t>
  </si>
  <si>
    <t>GYUL&amp;원</t>
  </si>
  <si>
    <t>노인&amp;민우</t>
  </si>
  <si>
    <t>노픽업&amp;유즈</t>
  </si>
  <si>
    <t>ovo&amp;기재</t>
  </si>
  <si>
    <t>GYUL&amp;노픽업</t>
  </si>
  <si>
    <t>ovo&amp;노인</t>
  </si>
  <si>
    <t>노픽업&amp;태식</t>
  </si>
  <si>
    <t>규식&amp;용이</t>
  </si>
  <si>
    <t>솔&amp;오딘</t>
  </si>
  <si>
    <t>유즈&amp;찹쌀</t>
  </si>
  <si>
    <t>오딘&amp;짱구</t>
  </si>
  <si>
    <t>기재&amp;오딘</t>
  </si>
  <si>
    <t>신형만&amp;재우</t>
  </si>
  <si>
    <t>GYUL&amp;필찌</t>
  </si>
  <si>
    <t>신형만&amp;찹쌀</t>
  </si>
  <si>
    <t>짱구&amp;필찌</t>
  </si>
  <si>
    <t>ACDC&amp;필찌</t>
  </si>
  <si>
    <t>ovo&amp;솔</t>
  </si>
  <si>
    <t>테리&amp;퍼플</t>
  </si>
  <si>
    <t>민우&amp;재우</t>
  </si>
  <si>
    <t>ovo&amp;재우</t>
  </si>
  <si>
    <t>원&amp;재우</t>
  </si>
  <si>
    <t>민우&amp;유즈</t>
  </si>
  <si>
    <t>민우&amp;태식</t>
  </si>
  <si>
    <t>기재&amp;민우</t>
  </si>
  <si>
    <t>민우&amp;필찌</t>
  </si>
  <si>
    <t>신형만&amp;태식</t>
  </si>
  <si>
    <t>GYUL&amp;테리</t>
  </si>
  <si>
    <t>찹쌀&amp;필찌</t>
  </si>
  <si>
    <t>민우&amp;테리</t>
  </si>
  <si>
    <t>규식&amp;민우</t>
  </si>
  <si>
    <t>노인&amp;퍼플</t>
  </si>
  <si>
    <t>ACDC&amp;용이</t>
  </si>
  <si>
    <t>노인&amp;용이</t>
  </si>
  <si>
    <t>ACDC&amp;재우</t>
  </si>
  <si>
    <t>솔&amp;재우</t>
  </si>
  <si>
    <t>태식&amp;한메</t>
  </si>
  <si>
    <t>기재&amp;태식</t>
  </si>
  <si>
    <t>민우&amp;새출발</t>
  </si>
  <si>
    <t>새출발&amp;신형만</t>
  </si>
  <si>
    <t>넘버&amp;민우</t>
  </si>
  <si>
    <t>기재&amp;미등록</t>
  </si>
  <si>
    <t>GYUL&amp;용이</t>
  </si>
  <si>
    <t>솔&amp;참치</t>
  </si>
  <si>
    <t>ovo&amp;퍼플</t>
  </si>
  <si>
    <t>노인&amp;재우</t>
  </si>
  <si>
    <t>재우&amp;필찌</t>
  </si>
  <si>
    <t>미등록&amp;원</t>
  </si>
  <si>
    <t>노인&amp;미등록</t>
  </si>
  <si>
    <t>원&amp;찹쌀</t>
  </si>
  <si>
    <t>기재&amp;용이</t>
  </si>
  <si>
    <t>GYUL&amp;재우</t>
  </si>
  <si>
    <t>재우&amp;한메</t>
  </si>
  <si>
    <t>오딘&amp;찹쌀</t>
  </si>
  <si>
    <t>새출발&amp;솔</t>
  </si>
  <si>
    <t>GYUL&amp;한메</t>
  </si>
  <si>
    <t>용이&amp;필찌</t>
  </si>
  <si>
    <t>노인&amp;찹쌀</t>
  </si>
  <si>
    <t>노픽업&amp;오딘</t>
  </si>
  <si>
    <t>넘버&amp;찹쌀</t>
  </si>
  <si>
    <t>신형만&amp;용이</t>
  </si>
  <si>
    <t>노픽업&amp;학생</t>
  </si>
  <si>
    <t>노픽업&amp;한메</t>
  </si>
  <si>
    <t>오딘&amp;한메</t>
  </si>
  <si>
    <t>ACDC&amp;퍼플</t>
  </si>
  <si>
    <t>깡패&amp;퍼플</t>
  </si>
  <si>
    <t>깡패&amp;용이</t>
  </si>
  <si>
    <t>용이&amp;퍼플</t>
  </si>
  <si>
    <t>GYUL&amp;학생</t>
  </si>
  <si>
    <t>용이&amp;테리</t>
  </si>
  <si>
    <t>ACDC&amp;조네</t>
  </si>
  <si>
    <t>ovo&amp;조네</t>
  </si>
  <si>
    <t>민우&amp;조네</t>
  </si>
  <si>
    <t>노픽업&amp;민우</t>
  </si>
  <si>
    <t>GYUL&amp;참치</t>
  </si>
  <si>
    <t>기재&amp;재우</t>
  </si>
  <si>
    <t>오딘&amp;유즈</t>
  </si>
  <si>
    <t>깡패&amp;태식</t>
  </si>
  <si>
    <t>태식&amp;학생</t>
  </si>
  <si>
    <t>노픽업&amp;재우</t>
  </si>
  <si>
    <t>짱구&amp;태식</t>
  </si>
  <si>
    <t>태식&amp;테리</t>
  </si>
  <si>
    <t>태식&amp;필찌</t>
  </si>
  <si>
    <t>넘버&amp;태식</t>
  </si>
  <si>
    <t>찹쌀&amp;한메</t>
  </si>
  <si>
    <t>강화&amp;넘버</t>
  </si>
  <si>
    <t>강화&amp;찹쌀</t>
  </si>
  <si>
    <t>강화&amp;신형만</t>
  </si>
  <si>
    <t>강화&amp;노픽업</t>
  </si>
  <si>
    <t>뼈해장국&amp;짱구</t>
  </si>
  <si>
    <t>규식&amp;뼈해장국</t>
  </si>
  <si>
    <t>뼈해장국&amp;재우</t>
  </si>
  <si>
    <t>깡패&amp;뼈해장국</t>
  </si>
  <si>
    <t>미등록&amp;유즈</t>
  </si>
  <si>
    <t>기재&amp;찹쌀</t>
  </si>
  <si>
    <t>노인&amp;조네</t>
  </si>
  <si>
    <t>규식&amp;조네</t>
  </si>
  <si>
    <t>조네&amp;찹쌀</t>
  </si>
  <si>
    <t>ovo&amp;용이</t>
  </si>
  <si>
    <t>용이&amp;짱구</t>
  </si>
  <si>
    <t>GYUL&amp;오딘</t>
  </si>
  <si>
    <t>노픽업&amp;조네</t>
  </si>
  <si>
    <t>신형만&amp;조네</t>
  </si>
  <si>
    <t>참치&amp;필찌</t>
  </si>
  <si>
    <t>재우&amp;테리</t>
  </si>
  <si>
    <t>넘버&amp;재우</t>
  </si>
  <si>
    <t>유즈&amp;필찌</t>
  </si>
  <si>
    <t>ACDC&amp;태식</t>
  </si>
  <si>
    <t>강화&amp;노인</t>
  </si>
  <si>
    <t>뼈해장국&amp;필찌</t>
  </si>
  <si>
    <t>새출발&amp;테리</t>
  </si>
  <si>
    <t>새출발&amp;필찌</t>
  </si>
  <si>
    <t>깡패&amp;새출발</t>
  </si>
  <si>
    <t>새출발&amp;한메</t>
  </si>
  <si>
    <t>기재&amp;새출발</t>
  </si>
  <si>
    <t>규식&amp;찹쌀</t>
  </si>
  <si>
    <t>규식&amp;미등록</t>
  </si>
  <si>
    <t>미등록&amp;조네</t>
  </si>
  <si>
    <t>기재&amp;퍼플</t>
  </si>
  <si>
    <t>재우&amp;짱구</t>
  </si>
  <si>
    <t>노픽업&amp;찹쌀</t>
  </si>
  <si>
    <t>넘버&amp;새출발</t>
  </si>
  <si>
    <t>미등록&amp;신형만</t>
  </si>
  <si>
    <t>솔&amp;유즈</t>
  </si>
  <si>
    <t>오딘&amp;용이</t>
  </si>
  <si>
    <t>노픽업&amp;참치</t>
  </si>
  <si>
    <t>ACDC&amp;찹쌀</t>
  </si>
  <si>
    <t>ACDC&amp;GYUL</t>
  </si>
  <si>
    <t>미등록&amp;찹쌀</t>
  </si>
  <si>
    <t>노픽업&amp;용이</t>
  </si>
  <si>
    <t>깡패&amp;키키</t>
  </si>
  <si>
    <t>새출발&amp;원</t>
  </si>
  <si>
    <t>따&amp;테리</t>
  </si>
  <si>
    <t>신형만&amp;키키</t>
  </si>
  <si>
    <t>키키&amp;한메</t>
  </si>
  <si>
    <t>따&amp;한메</t>
  </si>
  <si>
    <t>키키&amp;테리</t>
  </si>
  <si>
    <t>유즈&amp;재우</t>
  </si>
  <si>
    <t>강화&amp;테리</t>
  </si>
  <si>
    <t>새출발&amp;참치</t>
  </si>
  <si>
    <t>강화&amp;한메</t>
  </si>
  <si>
    <t>노인&amp;새출발</t>
  </si>
  <si>
    <t>강화&amp;깡패</t>
  </si>
  <si>
    <t>넘버&amp;키키</t>
  </si>
  <si>
    <t>ACDC&amp;새출발</t>
  </si>
  <si>
    <t>넘버&amp;단수</t>
  </si>
  <si>
    <t>노인&amp;키키</t>
  </si>
  <si>
    <t>깡패&amp;단수</t>
  </si>
  <si>
    <t>따&amp;신형만</t>
  </si>
  <si>
    <t>따&amp;유즈</t>
  </si>
  <si>
    <t>규식&amp;따</t>
  </si>
  <si>
    <t>재우&amp;키키</t>
  </si>
  <si>
    <t>노인&amp;따</t>
  </si>
  <si>
    <t>깡패&amp;따</t>
  </si>
  <si>
    <t>강화&amp;규식</t>
  </si>
  <si>
    <t>ACDC&amp;따</t>
  </si>
  <si>
    <t>단수&amp;원</t>
  </si>
  <si>
    <t>규식&amp;키키</t>
  </si>
  <si>
    <t>단수&amp;테리</t>
  </si>
  <si>
    <t>ACDC&amp;키키</t>
  </si>
  <si>
    <t>새출발&amp;유즈</t>
  </si>
  <si>
    <t>유즈&amp;키키</t>
  </si>
  <si>
    <t>강화&amp;참치</t>
  </si>
  <si>
    <t>반짝&amp;테리</t>
  </si>
  <si>
    <t>넘버&amp;반짝</t>
  </si>
  <si>
    <t>조드&amp;필찌</t>
  </si>
  <si>
    <t>깡패&amp;조드</t>
  </si>
  <si>
    <t>조드&amp;한메</t>
  </si>
  <si>
    <t>넘버&amp;따</t>
  </si>
  <si>
    <t>마법거북이&amp;신형만</t>
  </si>
  <si>
    <t>마법거북이&amp;테리</t>
  </si>
  <si>
    <t>오딘&amp;재우</t>
  </si>
  <si>
    <t>강화&amp;유즈</t>
  </si>
  <si>
    <t>기재&amp;키키</t>
  </si>
  <si>
    <t>규식&amp;반짝</t>
  </si>
  <si>
    <t>강화&amp;오딘</t>
  </si>
  <si>
    <t>규식&amp;단수</t>
  </si>
  <si>
    <t>새출발&amp;오딘</t>
  </si>
  <si>
    <t>단수&amp;참치</t>
  </si>
  <si>
    <t>참치&amp;키키</t>
  </si>
  <si>
    <t>원&amp;키키</t>
  </si>
  <si>
    <t>노픽업&amp;새출발</t>
  </si>
  <si>
    <t>ovo&amp;넘버</t>
  </si>
  <si>
    <t>깡패&amp;마법거북이</t>
  </si>
  <si>
    <t>참치&amp;찹쌀</t>
  </si>
  <si>
    <t>새출발&amp;짱구</t>
  </si>
  <si>
    <t>강화&amp;키키</t>
  </si>
  <si>
    <t>찹쌀&amp;키키</t>
  </si>
  <si>
    <t>단수&amp;신형만</t>
  </si>
  <si>
    <t>새출발&amp;찹쌀</t>
  </si>
  <si>
    <t>강화&amp;재우</t>
  </si>
  <si>
    <t>강화&amp;필찌</t>
  </si>
  <si>
    <t>짱구&amp;찹쌀</t>
  </si>
  <si>
    <t>규식&amp;새출발</t>
  </si>
  <si>
    <t>노인&amp;단수</t>
  </si>
  <si>
    <t>ACDC&amp;강화</t>
  </si>
  <si>
    <t>단수&amp;새출발</t>
  </si>
  <si>
    <t>마법거북이&amp;새출발</t>
  </si>
  <si>
    <t>짱구&amp;키키</t>
  </si>
  <si>
    <t>재우&amp;참치</t>
  </si>
  <si>
    <t>키키&amp;필찌</t>
  </si>
  <si>
    <t>재우&amp;찹쌀</t>
  </si>
  <si>
    <t>강화&amp;랄</t>
  </si>
  <si>
    <t>노픽업&amp;반짝</t>
  </si>
  <si>
    <t>반짝&amp;오딘</t>
  </si>
  <si>
    <t>단수&amp;솔</t>
  </si>
  <si>
    <t>솔&amp;키키</t>
  </si>
  <si>
    <t>단수&amp;오딘</t>
  </si>
  <si>
    <t>따&amp;원</t>
  </si>
  <si>
    <t>랄&amp;원</t>
  </si>
  <si>
    <t>마법거북이&amp;오딘</t>
  </si>
  <si>
    <t>ACDC&amp;마법거북이</t>
  </si>
  <si>
    <t>노인&amp;랄</t>
  </si>
  <si>
    <t>랄&amp;한메</t>
  </si>
  <si>
    <t>랄&amp;키키</t>
  </si>
  <si>
    <t>랄&amp;새출발</t>
  </si>
  <si>
    <t>랄&amp;참치</t>
  </si>
  <si>
    <t>ovo&amp;한메</t>
  </si>
  <si>
    <t>마법거북이&amp;찹쌀</t>
  </si>
  <si>
    <t>넘버&amp;랄</t>
  </si>
  <si>
    <t>단수&amp;랄</t>
  </si>
  <si>
    <t>랄&amp;신형만</t>
  </si>
  <si>
    <t>단수&amp;한메</t>
  </si>
  <si>
    <t>깡패&amp;랄</t>
  </si>
  <si>
    <t>ACDC&amp;단수</t>
  </si>
  <si>
    <t>노인&amp;터미</t>
  </si>
  <si>
    <t>넘버&amp;터미</t>
  </si>
  <si>
    <t>원&amp;터미</t>
  </si>
  <si>
    <t>ACDC&amp;터미</t>
  </si>
  <si>
    <t>넘버&amp;박서</t>
  </si>
  <si>
    <t>오크&amp;테리</t>
  </si>
  <si>
    <t>박서&amp;원</t>
  </si>
  <si>
    <t>깡패&amp;박서</t>
  </si>
  <si>
    <t>오크&amp;참치</t>
  </si>
  <si>
    <t>오크&amp;재우</t>
  </si>
  <si>
    <t>신형만&amp;오크</t>
  </si>
  <si>
    <t>박서&amp;짱구</t>
  </si>
  <si>
    <t>오크&amp;짱구</t>
  </si>
  <si>
    <t>노인&amp;만두</t>
  </si>
  <si>
    <t>유즈&amp;참치</t>
  </si>
  <si>
    <t>짱구&amp;터미</t>
  </si>
  <si>
    <t>참치&amp;터미</t>
  </si>
  <si>
    <t>만두&amp;테리</t>
  </si>
  <si>
    <t>ACDC&amp;오크</t>
  </si>
  <si>
    <t>노인&amp;오크</t>
  </si>
  <si>
    <t>깡패&amp;만두</t>
  </si>
  <si>
    <t>웅&amp;테리</t>
  </si>
  <si>
    <t>웅&amp;한메</t>
  </si>
  <si>
    <t>넘버&amp;웅</t>
  </si>
  <si>
    <t>만두&amp;한메</t>
  </si>
  <si>
    <t>넘버&amp;만두</t>
  </si>
  <si>
    <t>만두&amp;터미</t>
  </si>
  <si>
    <t>유즈&amp;터미</t>
  </si>
  <si>
    <t>노인&amp;웅</t>
  </si>
  <si>
    <t>오크&amp;터미</t>
  </si>
  <si>
    <t>깡패&amp;웅</t>
  </si>
  <si>
    <t>ACDC&amp;박서</t>
  </si>
  <si>
    <t>만두&amp;신형만</t>
  </si>
  <si>
    <t>ACDC&amp;웅</t>
  </si>
  <si>
    <t>민우&amp;키키</t>
  </si>
  <si>
    <t>재명&amp;테리</t>
  </si>
  <si>
    <t>강화&amp;터미</t>
  </si>
  <si>
    <t>깡패&amp;재명</t>
  </si>
  <si>
    <t>민우&amp;원</t>
  </si>
  <si>
    <t>신형만&amp;재명</t>
  </si>
  <si>
    <t>재명&amp;한메</t>
  </si>
  <si>
    <t>재명&amp;터미</t>
  </si>
  <si>
    <t>qwer&amp;테리</t>
  </si>
  <si>
    <t>qwer&amp;노인</t>
  </si>
  <si>
    <t>qwer&amp;터미</t>
  </si>
  <si>
    <t>오크&amp;한메</t>
  </si>
  <si>
    <t>깡패&amp;오크</t>
  </si>
  <si>
    <t>유즈&amp;재명</t>
  </si>
  <si>
    <t>랄&amp;짱구</t>
  </si>
  <si>
    <t>랄&amp;터미</t>
  </si>
  <si>
    <t>유망&amp;한메</t>
  </si>
  <si>
    <t>신형만&amp;유망</t>
  </si>
  <si>
    <t>ACDC&amp;랄</t>
  </si>
  <si>
    <t>ACDC&amp;유망</t>
  </si>
  <si>
    <t>원&amp;유망</t>
  </si>
  <si>
    <t>유망&amp;짱구</t>
  </si>
  <si>
    <t>깡패&amp;유망</t>
  </si>
  <si>
    <t>넘버&amp;유망</t>
  </si>
  <si>
    <t>유망&amp;참치</t>
  </si>
  <si>
    <t>민우&amp;유망</t>
  </si>
  <si>
    <t>노픽업&amp;유망</t>
  </si>
  <si>
    <t>노인&amp;유망</t>
  </si>
  <si>
    <t>전투쥐&amp;테리</t>
  </si>
  <si>
    <t>솔&amp;유망</t>
  </si>
  <si>
    <t>유망&amp;테리</t>
  </si>
  <si>
    <t>깡패&amp;전투쥐</t>
  </si>
  <si>
    <t>전투쥐&amp;짱구</t>
  </si>
  <si>
    <t>넘버&amp;전투쥐</t>
  </si>
  <si>
    <t>ACDC&amp;전투쥐</t>
  </si>
  <si>
    <t>신형만&amp;전투쥐</t>
  </si>
  <si>
    <t>유망&amp;전투쥐</t>
  </si>
  <si>
    <t>넘버&amp;덴</t>
  </si>
  <si>
    <t>깡패&amp;덴</t>
  </si>
  <si>
    <t>덴&amp;한메</t>
  </si>
  <si>
    <t>노픽업&amp;재명</t>
  </si>
  <si>
    <t>규식&amp;전투쥐</t>
  </si>
  <si>
    <t>유즈&amp;전투쥐</t>
  </si>
  <si>
    <t>유망&amp;태식</t>
  </si>
  <si>
    <t>민우&amp;웅</t>
  </si>
  <si>
    <t>민우&amp;전투쥐</t>
  </si>
  <si>
    <t>유망&amp;터미</t>
  </si>
  <si>
    <t>터미&amp;필찌</t>
  </si>
  <si>
    <t>강화&amp;짱구</t>
  </si>
  <si>
    <t>단수&amp;짱구</t>
  </si>
  <si>
    <t>단수&amp;민우</t>
  </si>
  <si>
    <t>노픽업&amp;전투쥐</t>
  </si>
  <si>
    <t>전투쥐&amp;터미</t>
  </si>
  <si>
    <t>웅&amp;짱구</t>
  </si>
  <si>
    <t>따&amp;민우</t>
  </si>
  <si>
    <t>규식&amp;유망</t>
  </si>
  <si>
    <t>노픽업&amp;터미</t>
  </si>
  <si>
    <t>전투쥐&amp;한메</t>
  </si>
  <si>
    <t>노픽업&amp;웅</t>
  </si>
  <si>
    <t>재명&amp;전투쥐</t>
  </si>
  <si>
    <t>웅&amp;참치</t>
  </si>
  <si>
    <t>규식&amp;웅</t>
  </si>
  <si>
    <t>솔&amp;웅</t>
  </si>
  <si>
    <t>원&amp;전투쥐</t>
  </si>
  <si>
    <t>노인&amp;전투쥐</t>
  </si>
  <si>
    <t>웅&amp;터미</t>
  </si>
  <si>
    <t>강화&amp;웅</t>
  </si>
  <si>
    <t>노픽업&amp;단수</t>
  </si>
  <si>
    <t>노픽업&amp;따</t>
  </si>
  <si>
    <t>조드&amp;짱구</t>
  </si>
  <si>
    <t>원&amp;조드</t>
  </si>
  <si>
    <t>노인&amp;조드</t>
  </si>
  <si>
    <t>참치&amp;태식</t>
  </si>
  <si>
    <t>단수&amp;유망</t>
  </si>
  <si>
    <t>솔&amp;전투쥐</t>
  </si>
  <si>
    <t>솔&amp;태식</t>
  </si>
  <si>
    <t>따&amp;짱구</t>
  </si>
  <si>
    <t>넘버&amp;조드</t>
  </si>
  <si>
    <t>웅&amp;유망</t>
  </si>
  <si>
    <t>전투쥐&amp;필찌</t>
  </si>
  <si>
    <t>원&amp;태식</t>
  </si>
  <si>
    <t>강화&amp;태식</t>
  </si>
  <si>
    <t>재우&amp;태식</t>
  </si>
  <si>
    <t>재명&amp;재우</t>
  </si>
  <si>
    <t>노인&amp;재명</t>
  </si>
  <si>
    <t>따&amp;전투쥐</t>
  </si>
  <si>
    <t>따&amp;유망</t>
  </si>
  <si>
    <t>강화&amp;유망</t>
  </si>
  <si>
    <t>강화&amp;따</t>
  </si>
  <si>
    <t>유망&amp;재우</t>
  </si>
  <si>
    <t>따&amp;참치</t>
  </si>
  <si>
    <t>재명&amp;태식</t>
  </si>
  <si>
    <t>강화&amp;재명</t>
  </si>
  <si>
    <t>재우&amp;전투쥐</t>
  </si>
  <si>
    <t>전투쥐&amp;태식</t>
  </si>
  <si>
    <t>따&amp;뼈해장국</t>
  </si>
  <si>
    <t>따&amp;재명</t>
  </si>
  <si>
    <t>따&amp;재우</t>
  </si>
  <si>
    <t>규식&amp;태식</t>
  </si>
  <si>
    <t>ACDC&amp;재명</t>
  </si>
  <si>
    <t>강화&amp;전투쥐</t>
  </si>
  <si>
    <t>웅&amp;태식</t>
  </si>
  <si>
    <t>노인&amp;뼈해장국</t>
  </si>
  <si>
    <t>뼈해장국&amp;전투쥐</t>
  </si>
  <si>
    <t>재명&amp;짱구</t>
  </si>
  <si>
    <t>넘버&amp;재명</t>
  </si>
  <si>
    <t>유즈&amp;태식</t>
  </si>
  <si>
    <t>따&amp;태식</t>
  </si>
  <si>
    <t>강화&amp;원</t>
  </si>
  <si>
    <t>ACDC&amp;뼈해장국</t>
  </si>
  <si>
    <t>웅&amp;재명</t>
  </si>
  <si>
    <t>강화&amp;민우</t>
  </si>
  <si>
    <t>따&amp;웅</t>
  </si>
  <si>
    <t>전투쥐&amp;참치</t>
  </si>
  <si>
    <t>따&amp;필찌</t>
  </si>
  <si>
    <t>노인&amp;박서</t>
  </si>
  <si>
    <t>노인&amp;하리보</t>
  </si>
  <si>
    <t>민우&amp;하리보</t>
  </si>
  <si>
    <t>ACDC&amp;하리보</t>
  </si>
  <si>
    <t>깡패&amp;하리보</t>
  </si>
  <si>
    <t>규식&amp;재명</t>
  </si>
  <si>
    <t>웅&amp;전투쥐</t>
  </si>
  <si>
    <t>강화&amp;뼈해장국</t>
  </si>
  <si>
    <t>신형만&amp;하리보</t>
  </si>
  <si>
    <t>기재&amp;따</t>
  </si>
  <si>
    <t>따&amp;박서</t>
  </si>
  <si>
    <t>시아&amp;테리</t>
  </si>
  <si>
    <t>박서&amp;유망</t>
  </si>
  <si>
    <t>박서&amp;재우</t>
  </si>
  <si>
    <t>랄&amp;테리</t>
  </si>
  <si>
    <t>랄&amp;박서</t>
  </si>
  <si>
    <t>기재&amp;유망</t>
  </si>
  <si>
    <t>뼈해장국&amp;원</t>
  </si>
  <si>
    <t>재우&amp;터미</t>
  </si>
  <si>
    <t>원&amp;재명</t>
  </si>
  <si>
    <t>뼈해장국&amp;재명</t>
  </si>
  <si>
    <t>단수&amp;따</t>
  </si>
  <si>
    <t>강화&amp;박서</t>
  </si>
  <si>
    <t>랄&amp;재우</t>
  </si>
  <si>
    <t>뼈해장국&amp;참치</t>
  </si>
  <si>
    <t>뼈해장국&amp;신형만</t>
  </si>
  <si>
    <t>랄&amp;오딘</t>
  </si>
  <si>
    <t>따&amp;시아</t>
  </si>
  <si>
    <t>시아&amp;한메</t>
  </si>
  <si>
    <t>오딘&amp;유망</t>
  </si>
  <si>
    <t>따&amp;오크</t>
  </si>
  <si>
    <t>따&amp;엘더</t>
  </si>
  <si>
    <t>ACDC&amp;엘더</t>
  </si>
  <si>
    <t>깡패&amp;엘더</t>
  </si>
  <si>
    <t>ACDC&amp;미등록</t>
  </si>
  <si>
    <t>유망&amp;재명</t>
  </si>
  <si>
    <t>하리보&amp;한메</t>
  </si>
  <si>
    <t>참치&amp;하리보</t>
  </si>
  <si>
    <t>오딘&amp;태식</t>
  </si>
  <si>
    <t>랄&amp;태식</t>
  </si>
  <si>
    <t>미등록&amp;테리</t>
  </si>
  <si>
    <t>깡패&amp;미등록</t>
  </si>
  <si>
    <t>뼈해장국&amp;한메</t>
  </si>
  <si>
    <t>재명&amp;참치</t>
  </si>
  <si>
    <t>시아&amp;신형만</t>
  </si>
  <si>
    <t>강화&amp;시아</t>
  </si>
  <si>
    <t>시아&amp;태식</t>
  </si>
  <si>
    <t>시아&amp;전투쥐</t>
  </si>
  <si>
    <t>신형만&amp;조드</t>
  </si>
  <si>
    <t>조드&amp;키키</t>
  </si>
  <si>
    <t>조드&amp;태식</t>
  </si>
  <si>
    <t>조드&amp;테리</t>
  </si>
  <si>
    <t>신형만&amp;요즘</t>
  </si>
  <si>
    <t>재우&amp;조드</t>
  </si>
  <si>
    <t>요즘&amp;테리</t>
  </si>
  <si>
    <t>요즘&amp;한메</t>
  </si>
  <si>
    <t>따&amp;키키</t>
  </si>
  <si>
    <t>깡패&amp;롤</t>
  </si>
  <si>
    <t>민우&amp;재명</t>
  </si>
  <si>
    <t>강화&amp;요즘</t>
  </si>
  <si>
    <t>구리다&amp;깡패</t>
  </si>
  <si>
    <t>따&amp;조드</t>
  </si>
  <si>
    <t>강화&amp;조드</t>
  </si>
  <si>
    <t>ACDC&amp;조드</t>
  </si>
  <si>
    <t>ACDC&amp;롤</t>
  </si>
  <si>
    <t>롤&amp;키키</t>
  </si>
  <si>
    <t>롤&amp;태식</t>
  </si>
  <si>
    <t>따&amp;롤</t>
  </si>
  <si>
    <t>따&amp;미등록</t>
  </si>
  <si>
    <t>노인&amp;요즘</t>
  </si>
  <si>
    <t>구리다&amp;요즘</t>
  </si>
  <si>
    <t>요즘&amp;재명</t>
  </si>
  <si>
    <t>요즘&amp;참치</t>
  </si>
  <si>
    <t>민우&amp;용갈</t>
  </si>
  <si>
    <t>신형만&amp;용갈</t>
  </si>
  <si>
    <t>노인&amp;용갈</t>
  </si>
  <si>
    <t>재명&amp;키키</t>
  </si>
  <si>
    <t>재명&amp;필찌</t>
  </si>
  <si>
    <t>짱구&amp;킹</t>
  </si>
  <si>
    <t>키키&amp;킹</t>
  </si>
  <si>
    <t>킹&amp;한메</t>
  </si>
  <si>
    <t>미등록&amp;태식</t>
  </si>
  <si>
    <t>깡패&amp;요즘</t>
  </si>
  <si>
    <t>미등록&amp;재우</t>
  </si>
  <si>
    <t>구리다&amp;신형만</t>
  </si>
  <si>
    <t>ACDC&amp;구리다</t>
  </si>
  <si>
    <t>구리다&amp;재우</t>
  </si>
  <si>
    <t>깡패&amp;봉구</t>
  </si>
  <si>
    <t>봉구&amp;테리</t>
  </si>
  <si>
    <t>요즘&amp;재우</t>
  </si>
  <si>
    <t>봉구&amp;조드</t>
  </si>
  <si>
    <t>민우&amp;조드</t>
  </si>
  <si>
    <t>미등록&amp;한메</t>
  </si>
  <si>
    <t>민우&amp;요즘</t>
  </si>
  <si>
    <t>구리다&amp;태식</t>
  </si>
  <si>
    <t>구리다&amp;따</t>
  </si>
  <si>
    <t>구리다&amp;조드</t>
  </si>
  <si>
    <t>요즘&amp;태식</t>
  </si>
  <si>
    <t>미등록&amp;조드</t>
  </si>
  <si>
    <t>구리다&amp;미등록</t>
  </si>
  <si>
    <t>미등록&amp;요즘</t>
  </si>
  <si>
    <t>구리다&amp;한메</t>
  </si>
  <si>
    <t>참치&amp;킹</t>
  </si>
  <si>
    <t>노인&amp;킹</t>
  </si>
  <si>
    <t>따&amp;킹</t>
  </si>
  <si>
    <t>조드&amp;킹</t>
  </si>
  <si>
    <t>미등록&amp;용갈</t>
  </si>
  <si>
    <t>용갈&amp;테리</t>
  </si>
  <si>
    <t>용갈&amp;태식</t>
  </si>
  <si>
    <t>조드&amp;참치</t>
  </si>
  <si>
    <t>오크&amp;태식</t>
  </si>
  <si>
    <t>오크&amp;조드</t>
  </si>
  <si>
    <t>노인&amp;윈드</t>
  </si>
  <si>
    <t>ACDC&amp;윈드</t>
  </si>
  <si>
    <t>단수&amp;필찌</t>
  </si>
  <si>
    <t>윈드&amp;테리</t>
  </si>
  <si>
    <t>깡패&amp;윈드</t>
  </si>
  <si>
    <t>미등록&amp;키키</t>
  </si>
  <si>
    <t>봉구&amp;신형만</t>
  </si>
  <si>
    <t>강화&amp;봉구</t>
  </si>
  <si>
    <t>깡패&amp;킹</t>
  </si>
  <si>
    <t>킹&amp;태식</t>
  </si>
  <si>
    <t>신형만&amp;킹</t>
  </si>
  <si>
    <t>키키&amp;태식</t>
  </si>
  <si>
    <t>윈드&amp;키키</t>
  </si>
  <si>
    <t>ACDC&amp;요즘</t>
  </si>
  <si>
    <t>ACDC&amp;킹</t>
  </si>
  <si>
    <t>미등록&amp;미등록</t>
  </si>
  <si>
    <t>신형만&amp;윈드</t>
  </si>
  <si>
    <t>미등록&amp;짱구</t>
  </si>
  <si>
    <t>요즘&amp;키키</t>
  </si>
  <si>
    <t>요즘&amp;짱구</t>
  </si>
  <si>
    <t>윈드&amp;짱구</t>
  </si>
  <si>
    <t>노인&amp;튜브</t>
  </si>
  <si>
    <t>짱구&amp;튜브</t>
  </si>
  <si>
    <t>요즘&amp;튜브</t>
  </si>
  <si>
    <t>신형만&amp;튜브</t>
  </si>
  <si>
    <t>미등록&amp;윈드</t>
  </si>
  <si>
    <t>강화&amp;윈드</t>
  </si>
  <si>
    <t>깡패&amp;튜브</t>
  </si>
  <si>
    <t>요즘&amp;조드</t>
  </si>
  <si>
    <t>랄&amp;재명</t>
  </si>
  <si>
    <t>ACDC&amp;봉구</t>
  </si>
  <si>
    <t>시아&amp;조드</t>
  </si>
  <si>
    <t>오크&amp;튜브</t>
  </si>
  <si>
    <t>미르진&amp;한메</t>
  </si>
  <si>
    <t>윈드&amp;조드</t>
  </si>
  <si>
    <t>오크&amp;요즘</t>
  </si>
  <si>
    <t>노인&amp;시아</t>
  </si>
  <si>
    <t>윈드&amp;재우</t>
  </si>
  <si>
    <t>ACDC&amp;시아</t>
  </si>
  <si>
    <t>랄&amp;요즘</t>
  </si>
  <si>
    <t>시아&amp;재명</t>
  </si>
  <si>
    <t>봉구&amp;시아</t>
  </si>
  <si>
    <t>민우&amp;튜브</t>
  </si>
  <si>
    <t>시아&amp;짱구</t>
  </si>
  <si>
    <t>만두&amp;조드</t>
  </si>
  <si>
    <t>만두&amp;시아</t>
  </si>
  <si>
    <t>Leaf&amp;미등록</t>
  </si>
  <si>
    <t>랄&amp;튜브</t>
  </si>
  <si>
    <t>미르진&amp;오크</t>
  </si>
  <si>
    <t>재우&amp;튜브</t>
  </si>
  <si>
    <t>미르진&amp;재명</t>
  </si>
  <si>
    <t>미르진&amp;재우</t>
  </si>
  <si>
    <t>엘&amp;재명</t>
  </si>
  <si>
    <t>엘&amp;테리</t>
  </si>
  <si>
    <t>엘&amp;요즘</t>
  </si>
  <si>
    <t>깡패&amp;시아</t>
  </si>
  <si>
    <t>노픽업&amp;요즘</t>
  </si>
  <si>
    <t>노픽업&amp;미등록</t>
  </si>
  <si>
    <t>원&amp;윈드</t>
  </si>
  <si>
    <t>강화&amp;튜브</t>
  </si>
  <si>
    <t>튜브&amp;한메</t>
  </si>
  <si>
    <t>랄&amp;오크</t>
  </si>
  <si>
    <t>키키&amp;튜브</t>
  </si>
  <si>
    <t>조드&amp;튜브</t>
  </si>
  <si>
    <t>만두&amp;짱구</t>
  </si>
  <si>
    <t>랄&amp;봉구</t>
  </si>
  <si>
    <t>랄&amp;조드</t>
  </si>
  <si>
    <t>미등록&amp;재명</t>
  </si>
  <si>
    <t>Leaf&amp;신형만</t>
  </si>
  <si>
    <t>Leaf&amp;테리</t>
  </si>
  <si>
    <t>랄&amp;미르진</t>
  </si>
  <si>
    <t>깡패&amp;미르진</t>
  </si>
  <si>
    <t>윈드&amp;필찌</t>
  </si>
  <si>
    <t>요즘&amp;윈드</t>
  </si>
  <si>
    <t>랄&amp;웅</t>
  </si>
  <si>
    <t>윈드&amp;재명</t>
  </si>
  <si>
    <t>테리&amp;튜브</t>
  </si>
  <si>
    <t>ACDC&amp;튜브</t>
  </si>
  <si>
    <t>ACDC&amp;미르진</t>
  </si>
  <si>
    <t>미르진&amp;신형만</t>
  </si>
  <si>
    <t>봉구&amp;한메</t>
  </si>
  <si>
    <t>재명&amp;조드</t>
  </si>
  <si>
    <t>윈드&amp;한메</t>
  </si>
  <si>
    <t>노인&amp;봉구</t>
  </si>
  <si>
    <t>봉구&amp;요즘</t>
  </si>
  <si>
    <t>봉구&amp;키키</t>
  </si>
  <si>
    <t>ACDC&amp;만두</t>
  </si>
  <si>
    <t>만두&amp;요즘</t>
  </si>
  <si>
    <t>원정&amp;테리</t>
  </si>
  <si>
    <t>강화&amp;원정</t>
  </si>
  <si>
    <t>신형만&amp;원정</t>
  </si>
  <si>
    <t>미등록&amp;봉구</t>
  </si>
  <si>
    <t>Leaf&amp;재명</t>
  </si>
  <si>
    <t>Leaf&amp;깡패</t>
  </si>
  <si>
    <t>요즘&amp;원</t>
  </si>
  <si>
    <t>미등록&amp;오크</t>
  </si>
  <si>
    <t>봉구&amp;짱구</t>
  </si>
  <si>
    <t>ACDC&amp;밍구</t>
  </si>
  <si>
    <t>밍구&amp;재명</t>
  </si>
  <si>
    <t>밍구&amp;테리</t>
  </si>
  <si>
    <t>강화&amp;오크</t>
  </si>
  <si>
    <t>요즘&amp;필찌</t>
  </si>
  <si>
    <t>강화&amp;엘</t>
  </si>
  <si>
    <t>시아&amp;엘</t>
  </si>
  <si>
    <t>미르진&amp;시아</t>
  </si>
  <si>
    <t>엘&amp;웅</t>
  </si>
  <si>
    <t>랄&amp;엘</t>
  </si>
  <si>
    <t>미르진&amp;웅</t>
  </si>
  <si>
    <t>봉구&amp;재우</t>
  </si>
  <si>
    <t>봉구&amp;재명</t>
  </si>
  <si>
    <t>Leaf&amp;튜브</t>
  </si>
  <si>
    <t>오크&amp;윈드</t>
  </si>
  <si>
    <t>강화&amp;미르진</t>
  </si>
  <si>
    <t>미르진&amp;엘</t>
  </si>
  <si>
    <t>오크&amp;재명</t>
  </si>
  <si>
    <t>재명&amp;튜브</t>
  </si>
  <si>
    <t>시아&amp;재우</t>
  </si>
  <si>
    <t>랄&amp;시아</t>
  </si>
  <si>
    <t>시아&amp;요즘</t>
  </si>
  <si>
    <t>구리다&amp;미르진</t>
  </si>
  <si>
    <t>강화&amp;구리다</t>
  </si>
  <si>
    <t>노픽업&amp;미르진</t>
  </si>
  <si>
    <t>악동&amp;한메</t>
  </si>
  <si>
    <t>구리다&amp;노픽업</t>
  </si>
  <si>
    <t>조심&amp;한메</t>
  </si>
  <si>
    <t>구리다&amp;재명</t>
  </si>
  <si>
    <t>신형만&amp;악동</t>
  </si>
  <si>
    <t>미등록&amp;아이딘</t>
  </si>
  <si>
    <t>ACDC&amp;악동</t>
  </si>
  <si>
    <t>윙크&amp;한메</t>
  </si>
  <si>
    <t>노픽업&amp;랄</t>
  </si>
  <si>
    <t>구리다&amp;랄</t>
  </si>
  <si>
    <t>강화&amp;미등록</t>
  </si>
  <si>
    <t>미르진&amp;테리</t>
  </si>
  <si>
    <t>신형만&amp;아이딘</t>
  </si>
  <si>
    <t>시아&amp;악동</t>
  </si>
  <si>
    <t>미르진&amp;조드</t>
  </si>
  <si>
    <t>악동&amp;조드</t>
  </si>
  <si>
    <t>Leaf&amp;한메</t>
  </si>
  <si>
    <t>신형만&amp;제로스</t>
  </si>
  <si>
    <t>엘&amp;짱구</t>
  </si>
  <si>
    <t>구리다&amp;테리</t>
  </si>
  <si>
    <t>미르진&amp;조심</t>
  </si>
  <si>
    <t>구리다&amp;조심</t>
  </si>
  <si>
    <t>미등록&amp;시아</t>
  </si>
  <si>
    <t>미르진&amp;제로스</t>
  </si>
  <si>
    <t>미등록&amp;엘</t>
  </si>
  <si>
    <t>엘&amp;재우</t>
  </si>
  <si>
    <t>ACDC&amp;조심</t>
  </si>
  <si>
    <t>노픽업&amp;시아</t>
  </si>
  <si>
    <t>강화&amp;악동</t>
  </si>
  <si>
    <t>시아&amp;조심</t>
  </si>
  <si>
    <t>엘&amp;한메</t>
  </si>
  <si>
    <t>구리다&amp;웅</t>
  </si>
  <si>
    <t>제로스&amp;키키</t>
  </si>
  <si>
    <t>미르진&amp;키키</t>
  </si>
  <si>
    <t>웅&amp;재우</t>
  </si>
  <si>
    <t>제로스&amp;한메</t>
  </si>
  <si>
    <t>Leaf&amp;윙크</t>
  </si>
  <si>
    <t>미등록&amp;윙크</t>
  </si>
  <si>
    <t>악동&amp;재명</t>
  </si>
  <si>
    <t>노픽업&amp;봉구</t>
  </si>
  <si>
    <t>구리다&amp;악동</t>
  </si>
  <si>
    <t>미르진&amp;악동</t>
  </si>
  <si>
    <t>노픽업&amp;조드</t>
  </si>
  <si>
    <t>랄&amp;제로스</t>
  </si>
  <si>
    <t>재우&amp;제로스</t>
  </si>
  <si>
    <t>윙크&amp;제로스</t>
  </si>
  <si>
    <t>미르진&amp;윙크</t>
  </si>
  <si>
    <t>구리다&amp;시아</t>
  </si>
  <si>
    <t>구리다&amp;봉구</t>
  </si>
  <si>
    <t>윙크&amp;조심</t>
  </si>
  <si>
    <t>조심&amp;짱구</t>
  </si>
  <si>
    <t>깡패&amp;조심</t>
  </si>
  <si>
    <t>신형만&amp;엘</t>
  </si>
  <si>
    <t>아이딘&amp;한메</t>
  </si>
  <si>
    <t>악동&amp;재우</t>
  </si>
  <si>
    <t>노픽업&amp;조심</t>
  </si>
  <si>
    <t>신형만&amp;조심</t>
  </si>
  <si>
    <t>재명&amp;조심</t>
  </si>
  <si>
    <t>재우&amp;조심</t>
  </si>
  <si>
    <t>미르진&amp;짱구</t>
  </si>
  <si>
    <t>ACDC&amp;Leaf</t>
  </si>
  <si>
    <t>랄&amp;악동</t>
  </si>
  <si>
    <t>랄&amp;조심</t>
  </si>
  <si>
    <t>강화&amp;조심</t>
  </si>
  <si>
    <t>시아&amp;윙크</t>
  </si>
  <si>
    <t>미등록&amp;미르진</t>
  </si>
  <si>
    <t>아이딘&amp;웅</t>
  </si>
  <si>
    <t>깡패&amp;엘</t>
  </si>
  <si>
    <t>노인&amp;아이딘</t>
  </si>
  <si>
    <t>ACDC&amp;아이딘</t>
  </si>
  <si>
    <t>강화&amp;아이딘</t>
  </si>
  <si>
    <t>깡패&amp;악동</t>
  </si>
  <si>
    <t>악동&amp;엘</t>
  </si>
  <si>
    <t>재명&amp;제로스</t>
  </si>
  <si>
    <t>구리다&amp;짱구</t>
  </si>
  <si>
    <t>ACDC&amp;제로스</t>
  </si>
  <si>
    <t>구리다&amp;윙크</t>
  </si>
  <si>
    <t>미등록&amp;악동</t>
  </si>
  <si>
    <t>강화&amp;제로스</t>
  </si>
  <si>
    <t>아이딘&amp;엘</t>
  </si>
  <si>
    <t>Leaf&amp;재우</t>
  </si>
  <si>
    <t>Leaf&amp;구리다</t>
  </si>
  <si>
    <t>노픽업&amp;윙크</t>
  </si>
  <si>
    <t>신형만&amp;윙크</t>
  </si>
  <si>
    <t>노인&amp;엘</t>
  </si>
  <si>
    <t>Leaf&amp;악동</t>
  </si>
  <si>
    <t>구리다&amp;제로스</t>
  </si>
  <si>
    <t>구리다&amp;엘</t>
  </si>
  <si>
    <t>Leaf&amp;강화</t>
  </si>
  <si>
    <t>ACDC&amp;엘</t>
  </si>
  <si>
    <t>랄&amp;미등록</t>
  </si>
  <si>
    <t>간달프&amp;한메</t>
  </si>
  <si>
    <t>간달프&amp;구리다</t>
  </si>
  <si>
    <t>간달프&amp;깡패</t>
  </si>
  <si>
    <t>신형만&amp;재규어</t>
  </si>
  <si>
    <t>조드&amp;조심</t>
  </si>
  <si>
    <t>ACDC&amp;간달프</t>
  </si>
  <si>
    <t>간달프&amp;조심</t>
  </si>
  <si>
    <t>미등록&amp;조심</t>
  </si>
  <si>
    <t>간달프&amp;랄</t>
  </si>
  <si>
    <t>간달프&amp;미등록</t>
  </si>
  <si>
    <t>간달프&amp;신형만</t>
  </si>
  <si>
    <t>재규어&amp;조드</t>
  </si>
  <si>
    <t>깡패&amp;재규어</t>
  </si>
  <si>
    <t>재규어&amp;조심</t>
  </si>
  <si>
    <t>아이딘&amp;조심</t>
  </si>
  <si>
    <t>노인&amp;조심</t>
  </si>
  <si>
    <t>간달프&amp;강화</t>
  </si>
  <si>
    <t>간달프&amp;만두</t>
  </si>
  <si>
    <t>간달프&amp;조드</t>
  </si>
  <si>
    <t>윙크&amp;짱구</t>
  </si>
  <si>
    <t>제로스&amp;짱구</t>
  </si>
  <si>
    <t>강화&amp;윙크</t>
  </si>
  <si>
    <t>미등록&amp;민우</t>
  </si>
  <si>
    <t>랄&amp;아이딘</t>
  </si>
  <si>
    <t>ACDC&amp;재규어</t>
  </si>
  <si>
    <t>구리다&amp;재규어</t>
  </si>
  <si>
    <t>오딘&amp;조심</t>
  </si>
  <si>
    <t>깡패&amp;아이딘</t>
  </si>
  <si>
    <t>조심&amp;테리</t>
  </si>
  <si>
    <t>신형만&amp;지피</t>
  </si>
  <si>
    <t>ACDC&amp;지피</t>
  </si>
  <si>
    <t>조심&amp;지피</t>
  </si>
  <si>
    <t>간달프&amp;재규어</t>
  </si>
  <si>
    <t>미르진&amp;민우</t>
  </si>
  <si>
    <t>제로스&amp;조드</t>
  </si>
  <si>
    <t>아이딘&amp;조드</t>
  </si>
  <si>
    <t>재규어&amp;짱구</t>
  </si>
  <si>
    <t>구리다&amp;오딘</t>
  </si>
  <si>
    <t>구리다&amp;키키</t>
  </si>
  <si>
    <t>Leaf&amp;키키</t>
  </si>
  <si>
    <t>Leaf&amp;랄</t>
  </si>
  <si>
    <t>ACDC&amp;윙크</t>
  </si>
  <si>
    <t>재규어&amp;한메</t>
  </si>
  <si>
    <t>강화&amp;재규어</t>
  </si>
  <si>
    <t>미등록&amp;제로스</t>
  </si>
  <si>
    <t>구리다&amp;아이딘</t>
  </si>
  <si>
    <t>미르진&amp;아이딘</t>
  </si>
  <si>
    <t>밍구&amp;한메</t>
  </si>
  <si>
    <t>밍구&amp;재우</t>
  </si>
  <si>
    <t>조심&amp;키키</t>
  </si>
  <si>
    <t>오크&amp;키키</t>
  </si>
  <si>
    <t>밍구&amp;키키</t>
  </si>
  <si>
    <t>강화&amp;밍구</t>
  </si>
  <si>
    <t>밍구&amp;신형만</t>
  </si>
  <si>
    <t>아이딘&amp;짱구</t>
  </si>
  <si>
    <t>윙크&amp;키키</t>
  </si>
  <si>
    <t>팰리&amp;한메</t>
  </si>
  <si>
    <t>밍구&amp;짱구</t>
  </si>
  <si>
    <t>윙크&amp;재우</t>
  </si>
  <si>
    <t>깡패&amp;윙크</t>
  </si>
  <si>
    <t>깡패&amp;팰리</t>
  </si>
  <si>
    <t>강화&amp;팰리</t>
  </si>
  <si>
    <t>밍구&amp;조드</t>
  </si>
  <si>
    <t>밍구&amp;조심</t>
  </si>
  <si>
    <t>랄&amp;민우</t>
  </si>
  <si>
    <t>ACDC&amp;팰리</t>
  </si>
  <si>
    <t>미등록&amp;밍구</t>
  </si>
  <si>
    <t>미르진&amp;팰리</t>
  </si>
  <si>
    <t>재명&amp;팰리</t>
  </si>
  <si>
    <t>엘더&amp;오크</t>
  </si>
  <si>
    <t>엘더&amp;재우</t>
  </si>
  <si>
    <t>오크&amp;윙크</t>
  </si>
  <si>
    <t>웅&amp;키키</t>
  </si>
  <si>
    <t>용갈&amp;한메</t>
  </si>
  <si>
    <t>신형만&amp;엘더</t>
  </si>
  <si>
    <t>미르진&amp;밍구</t>
  </si>
  <si>
    <t>민우&amp;아이딘</t>
  </si>
  <si>
    <t>아이딘&amp;재명</t>
  </si>
  <si>
    <t>짱구&amp;팰리</t>
  </si>
  <si>
    <t>재우&amp;팰리</t>
  </si>
  <si>
    <t>구리다&amp;오크</t>
  </si>
  <si>
    <t>강화&amp;용갈</t>
  </si>
  <si>
    <t>구리다&amp;밍구</t>
  </si>
  <si>
    <t>밍구&amp;오딘</t>
  </si>
  <si>
    <t>신형만&amp;팰리</t>
  </si>
  <si>
    <t>랄&amp;윙크</t>
  </si>
  <si>
    <t>아이딘&amp;테리</t>
  </si>
  <si>
    <t>테리&amp;팰리</t>
  </si>
  <si>
    <t>용갈&amp;짱구</t>
  </si>
  <si>
    <t>만두&amp;재명</t>
  </si>
  <si>
    <t>밍구&amp;웅</t>
  </si>
  <si>
    <t>아이딘&amp;오크</t>
  </si>
  <si>
    <t>만두&amp;미르진</t>
  </si>
  <si>
    <t>밍구&amp;용갈</t>
  </si>
  <si>
    <t>오딘&amp;재명</t>
  </si>
  <si>
    <t>엘더&amp;오딘</t>
  </si>
  <si>
    <t>엘더&amp;재명</t>
  </si>
  <si>
    <t>강화&amp;엘더</t>
  </si>
  <si>
    <t>아이딘&amp;키키</t>
  </si>
  <si>
    <t>노인&amp;밍구</t>
  </si>
  <si>
    <t>아이딘&amp;재우</t>
  </si>
  <si>
    <t>노픽업&amp;팰리</t>
  </si>
  <si>
    <t>오크&amp;조심</t>
  </si>
  <si>
    <t>랄&amp;밍구</t>
  </si>
  <si>
    <t>밍구&amp;윙크</t>
  </si>
  <si>
    <t>밍구&amp;오크</t>
  </si>
  <si>
    <t>깡패&amp;밍구</t>
  </si>
  <si>
    <t>엘더&amp;한메</t>
  </si>
  <si>
    <t>엘더&amp;짱구</t>
  </si>
  <si>
    <t>엘더&amp;테리</t>
  </si>
  <si>
    <t>오크&amp;혀니</t>
  </si>
  <si>
    <t>미등록&amp;엘더</t>
  </si>
  <si>
    <t>악동&amp;윙크</t>
  </si>
  <si>
    <t>윙크&amp;재명</t>
  </si>
  <si>
    <t>악동&amp;오딘</t>
  </si>
  <si>
    <t>민우&amp;오크</t>
  </si>
  <si>
    <t>만두&amp;엘더</t>
  </si>
  <si>
    <t>구리다&amp;엘더</t>
  </si>
  <si>
    <t>노픽업&amp;아이딘</t>
  </si>
  <si>
    <t>아이딘&amp;윙크</t>
  </si>
  <si>
    <t>노픽업&amp;밍구</t>
  </si>
  <si>
    <t>아이딘&amp;엘더</t>
  </si>
  <si>
    <t>악동&amp;엘더</t>
  </si>
  <si>
    <t>악동&amp;키키</t>
  </si>
  <si>
    <t>밍구&amp;아이딘</t>
  </si>
  <si>
    <t>악동&amp;오크</t>
  </si>
  <si>
    <t>만두&amp;아이딘</t>
  </si>
  <si>
    <t>만두&amp;미등록</t>
  </si>
  <si>
    <t>강화&amp;혀니</t>
  </si>
  <si>
    <t>악동&amp;테리</t>
  </si>
  <si>
    <t>미르진&amp;오딘</t>
  </si>
  <si>
    <t>강화&amp;지피</t>
  </si>
  <si>
    <t>지피&amp;짱구</t>
  </si>
  <si>
    <t>재명&amp;지피</t>
  </si>
  <si>
    <t>깡패&amp;지피</t>
  </si>
  <si>
    <t>강화&amp;만두</t>
  </si>
  <si>
    <t>민우&amp;엘더</t>
  </si>
  <si>
    <t>키키&amp;테슬라</t>
  </si>
  <si>
    <t>깡패&amp;테슬라</t>
  </si>
  <si>
    <t>테슬라&amp;한메</t>
  </si>
  <si>
    <t>아이딘&amp;팰리</t>
  </si>
  <si>
    <t>밍구&amp;엘더</t>
  </si>
  <si>
    <t>아이딘&amp;지피</t>
  </si>
  <si>
    <t>재명&amp;테슬라</t>
  </si>
  <si>
    <t>ACDC&amp;테슬라</t>
  </si>
  <si>
    <t>짱구&amp;테슬라</t>
  </si>
  <si>
    <t>재명&amp;혀니</t>
  </si>
  <si>
    <t>ACDC&amp;혀니</t>
  </si>
  <si>
    <t>아이딘&amp;악동</t>
  </si>
  <si>
    <t>엘더&amp;전투쥐</t>
  </si>
  <si>
    <t>엘더&amp;팰리</t>
  </si>
  <si>
    <t>악동&amp;짱구</t>
  </si>
  <si>
    <t>엘더&amp;조심</t>
  </si>
  <si>
    <t>전투쥐&amp;팰리</t>
  </si>
  <si>
    <t>미등록&amp;팰리</t>
  </si>
  <si>
    <t>미르진&amp;엘더</t>
  </si>
  <si>
    <t>미등록&amp;전투쥐</t>
  </si>
  <si>
    <t>오크&amp;전투쥐</t>
  </si>
  <si>
    <t>아이딘&amp;전투쥐</t>
  </si>
  <si>
    <t>엘더&amp;요즘</t>
  </si>
  <si>
    <t>랄&amp;엘더</t>
  </si>
  <si>
    <t>미르진&amp;전투쥐</t>
  </si>
  <si>
    <t>만두&amp;팰리</t>
  </si>
  <si>
    <t>만두&amp;오크</t>
  </si>
  <si>
    <t>엘더&amp;윙크</t>
  </si>
  <si>
    <t>만두&amp;윙크</t>
  </si>
  <si>
    <t>밍구&amp;팰리</t>
  </si>
  <si>
    <t>ACDC&amp;좀비</t>
  </si>
  <si>
    <t>신형만&amp;퍼플</t>
  </si>
  <si>
    <t>짱구&amp;퍼플</t>
  </si>
  <si>
    <t>엘더&amp;키키</t>
  </si>
  <si>
    <t>ovo&amp;재명</t>
  </si>
  <si>
    <t>ovo&amp;랄</t>
  </si>
  <si>
    <t>전투쥐&amp;키키</t>
  </si>
  <si>
    <t>윙크&amp;튜브</t>
  </si>
  <si>
    <t>만두&amp;재우</t>
  </si>
  <si>
    <t>랄&amp;팰리</t>
  </si>
  <si>
    <t>좀비&amp;한메</t>
  </si>
  <si>
    <t>엘더&amp;조드</t>
  </si>
  <si>
    <t>재명&amp;좀비</t>
  </si>
  <si>
    <t>만두&amp;전투쥐</t>
  </si>
  <si>
    <t>랄&amp;만두</t>
  </si>
  <si>
    <t>밍구&amp;악동</t>
  </si>
  <si>
    <t>만두&amp;조심</t>
  </si>
  <si>
    <t>전투쥐&amp;조심</t>
  </si>
  <si>
    <t>윙크&amp;전투쥐</t>
  </si>
  <si>
    <t>미등록&amp;튜브</t>
  </si>
  <si>
    <t>만두&amp;튜브</t>
  </si>
  <si>
    <t>아이딘&amp;튜브</t>
  </si>
  <si>
    <t>구리다&amp;만두</t>
  </si>
  <si>
    <t>전투쥐&amp;퍼플</t>
  </si>
  <si>
    <t>민우&amp;퍼플</t>
  </si>
  <si>
    <t>ACDC&amp;해죽</t>
  </si>
  <si>
    <t>아이딘&amp;해죽</t>
  </si>
  <si>
    <t>전투쥐&amp;해죽</t>
  </si>
  <si>
    <t>구리다&amp;팰리</t>
  </si>
  <si>
    <t>좀비&amp;팰리</t>
  </si>
  <si>
    <t>미르진&amp;좀비</t>
  </si>
  <si>
    <t>윙크&amp;제이호</t>
  </si>
  <si>
    <t>깡패&amp;제이호</t>
  </si>
  <si>
    <t>오크&amp;제이호</t>
  </si>
  <si>
    <t>신형만&amp;제이호</t>
  </si>
  <si>
    <t>강화&amp;제이호</t>
  </si>
  <si>
    <t>랄&amp;제이호</t>
  </si>
  <si>
    <t>ACDC&amp;제이호</t>
  </si>
  <si>
    <t>엘더&amp;웅</t>
  </si>
  <si>
    <t>봉구&amp;오크</t>
  </si>
  <si>
    <t>봉구&amp;팰리</t>
  </si>
  <si>
    <t>오크&amp;팰리</t>
  </si>
  <si>
    <t>윙크&amp;팰리</t>
  </si>
  <si>
    <t>랄&amp;지피</t>
  </si>
  <si>
    <t>재우&amp;지피</t>
  </si>
  <si>
    <t>ovo&amp;강화</t>
  </si>
  <si>
    <t>요즘&amp;지피</t>
  </si>
  <si>
    <t>엘더&amp;지피</t>
  </si>
  <si>
    <t>미르진&amp;지피</t>
  </si>
  <si>
    <t>제이호&amp;팰리</t>
  </si>
  <si>
    <t>윙크&amp;지피</t>
  </si>
  <si>
    <t>랄&amp;전투쥐</t>
  </si>
  <si>
    <t>User ID</t>
  </si>
  <si>
    <t>포인트</t>
  </si>
  <si>
    <t>게임ID</t>
  </si>
  <si>
    <t>2025-10-22 23:42</t>
  </si>
  <si>
    <t>G251022234247</t>
  </si>
  <si>
    <t>키키</t>
  </si>
  <si>
    <t>2025-09-19 16:54</t>
  </si>
  <si>
    <t>G250919165439</t>
  </si>
  <si>
    <t>2025-09-19 16:23</t>
  </si>
  <si>
    <t>G250919162319</t>
  </si>
  <si>
    <t>단수</t>
  </si>
  <si>
    <t>2025-08-30 15:44</t>
  </si>
  <si>
    <t>G250830154451</t>
  </si>
  <si>
    <t>2025-07-31 23:00</t>
  </si>
  <si>
    <t>G250731230006</t>
  </si>
  <si>
    <t>승리팀</t>
  </si>
  <si>
    <t>보유 점수</t>
  </si>
  <si>
    <t>예상승률</t>
  </si>
  <si>
    <t>반영 점수</t>
  </si>
  <si>
    <t>변경점수</t>
  </si>
  <si>
    <t>패배팀</t>
  </si>
  <si>
    <t>세트포인트</t>
  </si>
  <si>
    <t>K값</t>
  </si>
  <si>
    <t>승률 상수</t>
  </si>
  <si>
    <t>최초 점수</t>
  </si>
  <si>
    <t>배치경기수</t>
  </si>
  <si>
    <t>배치경기 배점</t>
  </si>
  <si>
    <t>승리팀 다캐릭여부</t>
  </si>
  <si>
    <t>평균값</t>
  </si>
  <si>
    <t>명수</t>
  </si>
  <si>
    <t>입력날짜</t>
  </si>
  <si>
    <t>Discord Content</t>
  </si>
  <si>
    <t>Discord  승리스코어 Content</t>
  </si>
  <si>
    <t>승리 스코어</t>
  </si>
  <si>
    <t>패배 스코어</t>
  </si>
  <si>
    <t>Team1_드루</t>
  </si>
  <si>
    <t>Team1_어쎄</t>
  </si>
  <si>
    <t>Team1_네크</t>
  </si>
  <si>
    <t>Team1_슴딘</t>
  </si>
  <si>
    <t>Team2_드루</t>
  </si>
  <si>
    <t>Team2_어쎄</t>
  </si>
  <si>
    <t>Team2_네크</t>
  </si>
  <si>
    <t>Team2_슴딘</t>
  </si>
  <si>
    <t>마지막 이력 취소 게임ID</t>
  </si>
  <si>
    <t>G260208222829</t>
  </si>
  <si>
    <t>입력완료 여부</t>
  </si>
  <si>
    <t>이력취소 승리팀</t>
  </si>
  <si>
    <t>이력취소 패배팀</t>
  </si>
  <si>
    <t>드루</t>
  </si>
  <si>
    <t>어쎄</t>
  </si>
  <si>
    <t>네크</t>
  </si>
  <si>
    <t>슴딘</t>
  </si>
  <si>
    <t>스코어</t>
  </si>
  <si>
    <t>K값(승)</t>
  </si>
  <si>
    <t>K값(패)</t>
  </si>
  <si>
    <t>올캐릭 점수</t>
  </si>
  <si>
    <t>패배 상수</t>
  </si>
  <si>
    <t>유저ID</t>
  </si>
  <si>
    <t>드루 캐릭명</t>
  </si>
  <si>
    <t>어쎄 캐릭명</t>
  </si>
  <si>
    <t>네크 캐릭명</t>
  </si>
  <si>
    <t>슴딘 캐릭명</t>
  </si>
  <si>
    <t>트로피</t>
  </si>
  <si>
    <t>-</t>
  </si>
  <si>
    <t>🥇5🥉1</t>
  </si>
  <si>
    <t>미친곰</t>
  </si>
  <si>
    <t>ARIEA</t>
  </si>
  <si>
    <t>리치</t>
  </si>
  <si>
    <t>🥇1🥈5🥉4</t>
  </si>
  <si>
    <t>맹구</t>
  </si>
  <si>
    <t>이슬이</t>
  </si>
  <si>
    <t>짱구맛스무디</t>
  </si>
  <si>
    <t>🥇1🥈2🥉3</t>
  </si>
  <si>
    <t>🥇1🥈2🥉1</t>
  </si>
  <si>
    <t>유망</t>
  </si>
  <si>
    <t>따</t>
  </si>
  <si>
    <t>뽀작드루</t>
  </si>
  <si>
    <t>뽀짝</t>
  </si>
  <si>
    <t>뽀짝네크</t>
  </si>
  <si>
    <t>뽀짝슴</t>
  </si>
  <si>
    <t>🥉1</t>
  </si>
  <si>
    <t>Mana</t>
  </si>
  <si>
    <t>off</t>
  </si>
  <si>
    <t>아빠</t>
  </si>
  <si>
    <t>🥇3🥈3</t>
  </si>
  <si>
    <t>🥈1</t>
  </si>
  <si>
    <t>경찰</t>
  </si>
  <si>
    <t>발레리나</t>
  </si>
  <si>
    <t>탐정</t>
  </si>
  <si>
    <t>🥇2🥉3</t>
  </si>
  <si>
    <t>오크</t>
  </si>
  <si>
    <t>Dru</t>
  </si>
  <si>
    <t>nec</t>
  </si>
  <si>
    <t>bee</t>
  </si>
  <si>
    <t>zz</t>
  </si>
  <si>
    <t>🥇1</t>
  </si>
  <si>
    <t>개장수</t>
  </si>
  <si>
    <t>스턴</t>
  </si>
  <si>
    <t>NEC</t>
  </si>
  <si>
    <t>Hesm</t>
  </si>
  <si>
    <t>🥇1🥈1</t>
  </si>
  <si>
    <t>조드</t>
  </si>
  <si>
    <t>미르진</t>
  </si>
  <si>
    <t>다크</t>
  </si>
  <si>
    <t>포인트_미르진</t>
  </si>
  <si>
    <t>데스티니</t>
  </si>
  <si>
    <t>포인트_라이언</t>
  </si>
  <si>
    <t>재명</t>
  </si>
  <si>
    <t>드루킹</t>
  </si>
  <si>
    <t>아수라</t>
  </si>
  <si>
    <t>조선제일검</t>
  </si>
  <si>
    <t>요즘</t>
  </si>
  <si>
    <t>madrid</t>
  </si>
  <si>
    <t>assa</t>
  </si>
  <si>
    <t>next</t>
  </si>
  <si>
    <t>bag</t>
  </si>
  <si>
    <t>아이언</t>
  </si>
  <si>
    <t>실버</t>
  </si>
  <si>
    <t>랄</t>
  </si>
  <si>
    <t>랄드</t>
  </si>
  <si>
    <t>랄씬</t>
  </si>
  <si>
    <t>랄넥</t>
  </si>
  <si>
    <t>랄슴</t>
  </si>
  <si>
    <t>FATBOY</t>
  </si>
  <si>
    <t>Dyna</t>
  </si>
  <si>
    <t>Duke</t>
  </si>
  <si>
    <t>강화인간</t>
  </si>
  <si>
    <t>구리다</t>
  </si>
  <si>
    <t>어쎄구리다</t>
  </si>
  <si>
    <t>본넥구리다</t>
  </si>
  <si>
    <t>Druid</t>
  </si>
  <si>
    <t>Assasin</t>
  </si>
  <si>
    <t>전투쥐</t>
  </si>
  <si>
    <t>드루와</t>
  </si>
  <si>
    <t>하하</t>
  </si>
  <si>
    <t>JOPOK</t>
  </si>
  <si>
    <t>ffgo</t>
  </si>
  <si>
    <t>조심</t>
  </si>
  <si>
    <t>시아</t>
  </si>
  <si>
    <t>악동</t>
  </si>
  <si>
    <t>RS</t>
  </si>
  <si>
    <t>윈드</t>
  </si>
  <si>
    <t>윙크</t>
  </si>
  <si>
    <t>하윙</t>
  </si>
  <si>
    <t>바윙</t>
  </si>
  <si>
    <t>환혼</t>
  </si>
  <si>
    <t>만두</t>
  </si>
  <si>
    <t>봉구</t>
  </si>
  <si>
    <t>재구</t>
  </si>
  <si>
    <t>방구</t>
  </si>
  <si>
    <t>튜브</t>
  </si>
  <si>
    <t>손석구</t>
  </si>
  <si>
    <t>마동석</t>
  </si>
  <si>
    <t>엘</t>
  </si>
  <si>
    <t>제로스</t>
  </si>
  <si>
    <t>Leaf</t>
  </si>
  <si>
    <t>용갈</t>
  </si>
  <si>
    <t>롤</t>
  </si>
  <si>
    <t>제이호</t>
  </si>
  <si>
    <t>킹</t>
  </si>
  <si>
    <t>덴</t>
  </si>
  <si>
    <t>반짝</t>
  </si>
  <si>
    <t>마법거북이</t>
  </si>
  <si>
    <t>지피</t>
  </si>
  <si>
    <t>랭저</t>
  </si>
  <si>
    <t>해죽</t>
  </si>
  <si>
    <t>테슬라</t>
  </si>
  <si>
    <t>하리보</t>
  </si>
  <si>
    <t>qwer</t>
  </si>
  <si>
    <t>블럭유저목록</t>
  </si>
  <si>
    <t>팰리</t>
  </si>
  <si>
    <t>아이딘</t>
  </si>
  <si>
    <t>엘더</t>
  </si>
  <si>
    <t>밍구</t>
  </si>
  <si>
    <t>좀비</t>
  </si>
  <si>
    <t>간달프</t>
  </si>
  <si>
    <t>재규어</t>
  </si>
  <si>
    <t>원정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</si>
</sst>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"/>
    <numFmt numFmtId="165" formatCode="yyyy. M. d am/pm h:mm:ss"/>
    <numFmt numFmtId="166" formatCode="0.0%"/>
    <numFmt numFmtId="167" formatCode="m/d/yyyy h:mm:ss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FF"/>
      <name val="&quot;Noto Sans KR&quot;"/>
    </font>
    <font>
      <i/>
      <sz val="8.0"/>
      <color theme="1"/>
      <name val="Arial"/>
    </font>
    <font>
      <b/>
      <color theme="1"/>
      <name val="Arial"/>
    </font>
    <font>
      <color rgb="FF000000"/>
      <name val="Arial"/>
    </font>
    <font>
      <sz val="12.0"/>
      <color theme="1"/>
      <name val="Arial"/>
    </font>
    <font>
      <sz val="9.0"/>
      <color rgb="FF000000"/>
      <name val="&quot;Google Sans Mono&quot;"/>
    </font>
    <font>
      <color theme="1"/>
      <name val="Roboto Mono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2" fontId="3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4" numFmtId="0" xfId="0" applyAlignment="1" applyFill="1" applyFont="1">
      <alignment horizontal="center"/>
    </xf>
    <xf borderId="0" fillId="0" fontId="2" numFmtId="164" xfId="0" applyAlignment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49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readingOrder="0"/>
    </xf>
    <xf borderId="3" fillId="4" fontId="2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0" fillId="5" fontId="2" numFmtId="0" xfId="0" applyFill="1" applyFont="1"/>
    <xf borderId="0" fillId="3" fontId="2" numFmtId="0" xfId="0" applyAlignment="1" applyFont="1">
      <alignment horizontal="center" readingOrder="0"/>
    </xf>
    <xf borderId="0" fillId="3" fontId="2" numFmtId="49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readingOrder="0"/>
    </xf>
    <xf borderId="4" fillId="4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4" fillId="4" fontId="2" numFmtId="0" xfId="0" applyBorder="1" applyFont="1"/>
    <xf borderId="0" fillId="4" fontId="2" numFmtId="0" xfId="0" applyFont="1"/>
    <xf borderId="0" fillId="5" fontId="2" numFmtId="0" xfId="0" applyAlignment="1" applyFont="1">
      <alignment horizontal="center" readingOrder="0"/>
    </xf>
    <xf borderId="0" fillId="5" fontId="2" numFmtId="49" xfId="0" applyAlignment="1" applyFont="1" applyNumberForma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left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center"/>
    </xf>
    <xf borderId="0" fillId="5" fontId="2" numFmtId="49" xfId="0" applyFont="1" applyNumberFormat="1"/>
    <xf borderId="0" fillId="5" fontId="2" numFmtId="165" xfId="0" applyFont="1" applyNumberFormat="1"/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0" xfId="0" applyFont="1"/>
    <xf borderId="0" fillId="0" fontId="2" numFmtId="0" xfId="0" applyFont="1"/>
    <xf borderId="0" fillId="2" fontId="2" numFmtId="0" xfId="0" applyFont="1"/>
    <xf borderId="0" fillId="0" fontId="2" numFmtId="166" xfId="0" applyFont="1" applyNumberFormat="1"/>
    <xf borderId="0" fillId="3" fontId="6" numFmtId="0" xfId="0" applyAlignment="1" applyFont="1">
      <alignment horizontal="center" vertical="bottom"/>
    </xf>
    <xf borderId="0" fillId="3" fontId="6" numFmtId="49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6" numFmtId="49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3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3" fontId="1" numFmtId="0" xfId="0" applyAlignment="1" applyFont="1">
      <alignment horizontal="center" vertical="bottom"/>
    </xf>
    <xf borderId="0" fillId="3" fontId="1" numFmtId="49" xfId="0" applyAlignment="1" applyFont="1" applyNumberFormat="1">
      <alignment horizontal="center" vertical="bottom"/>
    </xf>
    <xf borderId="0" fillId="3" fontId="1" numFmtId="0" xfId="0" applyAlignment="1" applyFont="1">
      <alignment vertical="bottom"/>
    </xf>
    <xf borderId="0" fillId="4" fontId="2" numFmtId="0" xfId="0" applyAlignment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0" fillId="8" fontId="2" numFmtId="0" xfId="0" applyAlignment="1" applyFill="1" applyFont="1">
      <alignment horizontal="center"/>
    </xf>
    <xf borderId="0" fillId="9" fontId="2" numFmtId="0" xfId="0" applyAlignment="1" applyFill="1" applyFont="1">
      <alignment horizontal="center"/>
    </xf>
    <xf borderId="1" fillId="5" fontId="2" numFmtId="0" xfId="0" applyBorder="1" applyFont="1"/>
    <xf borderId="1" fillId="0" fontId="2" numFmtId="0" xfId="0" applyAlignment="1" applyBorder="1" applyFont="1">
      <alignment horizontal="center"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 shrinkToFit="0" wrapText="0"/>
    </xf>
    <xf borderId="5" fillId="3" fontId="7" numFmtId="0" xfId="0" applyAlignment="1" applyBorder="1" applyFont="1">
      <alignment horizontal="left" readingOrder="0"/>
    </xf>
    <xf borderId="0" fillId="11" fontId="2" numFmtId="0" xfId="0" applyAlignment="1" applyFont="1">
      <alignment readingOrder="0"/>
    </xf>
    <xf borderId="0" fillId="11" fontId="2" numFmtId="0" xfId="0" applyFont="1"/>
    <xf borderId="0" fillId="11" fontId="7" numFmtId="0" xfId="0" applyAlignment="1" applyFont="1">
      <alignment horizontal="left" readingOrder="0"/>
    </xf>
    <xf borderId="0" fillId="3" fontId="7" numFmtId="0" xfId="0" applyAlignment="1" applyFont="1">
      <alignment horizontal="left" readingOrder="0"/>
    </xf>
    <xf borderId="0" fillId="12" fontId="2" numFmtId="0" xfId="0" applyFill="1" applyFont="1"/>
    <xf borderId="0" fillId="2" fontId="2" numFmtId="0" xfId="0" applyAlignment="1" applyFont="1">
      <alignment readingOrder="0"/>
    </xf>
    <xf borderId="0" fillId="5" fontId="2" numFmtId="165" xfId="0" applyAlignment="1" applyFont="1" applyNumberFormat="1">
      <alignment readingOrder="0"/>
    </xf>
    <xf borderId="0" fillId="0" fontId="8" numFmtId="0" xfId="0" applyAlignment="1" applyFont="1">
      <alignment horizontal="left" readingOrder="0"/>
    </xf>
    <xf borderId="5" fillId="0" fontId="8" numFmtId="0" xfId="0" applyAlignment="1" applyBorder="1" applyFont="1">
      <alignment horizontal="left" readingOrder="0"/>
    </xf>
    <xf borderId="0" fillId="3" fontId="9" numFmtId="0" xfId="0" applyAlignment="1" applyFont="1">
      <alignment horizontal="left"/>
    </xf>
    <xf borderId="0" fillId="5" fontId="2" numFmtId="0" xfId="0" applyAlignment="1" applyFont="1">
      <alignment readingOrder="0" shrinkToFit="0" wrapText="0"/>
    </xf>
    <xf borderId="5" fillId="0" fontId="2" numFmtId="0" xfId="0" applyBorder="1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167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Font="1"/>
    <xf borderId="0" fillId="4" fontId="1" numFmtId="0" xfId="0" applyAlignment="1" applyFont="1">
      <alignment horizontal="center" vertical="bottom"/>
    </xf>
    <xf borderId="1" fillId="13" fontId="6" numFmtId="0" xfId="0" applyAlignment="1" applyBorder="1" applyFill="1" applyFont="1">
      <alignment horizontal="center" vertical="bottom"/>
    </xf>
    <xf borderId="1" fillId="12" fontId="6" numFmtId="0" xfId="0" applyAlignment="1" applyBorder="1" applyFont="1">
      <alignment horizontal="center" vertical="bottom"/>
    </xf>
    <xf borderId="0" fillId="8" fontId="1" numFmtId="0" xfId="0" applyAlignment="1" applyFont="1">
      <alignment horizontal="center" vertical="bottom"/>
    </xf>
    <xf borderId="0" fillId="9" fontId="1" numFmtId="0" xfId="0" applyAlignment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3" fontId="1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</xdr:row>
      <xdr:rowOff>85725</xdr:rowOff>
    </xdr:from>
    <xdr:ext cx="1000125" cy="742950"/>
    <xdr:sp>
      <xdr:nvSpPr>
        <xdr:cNvPr id="3" name="Shape 3"/>
        <xdr:cNvSpPr/>
      </xdr:nvSpPr>
      <xdr:spPr>
        <a:xfrm>
          <a:off x="2299800" y="1217000"/>
          <a:ext cx="1031400" cy="6447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정렬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8</xdr:row>
      <xdr:rowOff>95250</xdr:rowOff>
    </xdr:from>
    <xdr:ext cx="7229475" cy="71818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7</xdr:row>
      <xdr:rowOff>76200</xdr:rowOff>
    </xdr:from>
    <xdr:ext cx="7077075" cy="922020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752475</xdr:colOff>
      <xdr:row>7</xdr:row>
      <xdr:rowOff>76200</xdr:rowOff>
    </xdr:from>
    <xdr:ext cx="7086600" cy="583882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8</xdr:row>
      <xdr:rowOff>95250</xdr:rowOff>
    </xdr:from>
    <xdr:ext cx="7229475" cy="71818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7</xdr:row>
      <xdr:rowOff>76200</xdr:rowOff>
    </xdr:from>
    <xdr:ext cx="7077075" cy="922020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752475</xdr:colOff>
      <xdr:row>7</xdr:row>
      <xdr:rowOff>76200</xdr:rowOff>
    </xdr:from>
    <xdr:ext cx="7086600" cy="583882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8</xdr:row>
      <xdr:rowOff>95250</xdr:rowOff>
    </xdr:from>
    <xdr:ext cx="7229475" cy="71818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7</xdr:row>
      <xdr:rowOff>76200</xdr:rowOff>
    </xdr:from>
    <xdr:ext cx="7077075" cy="922020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752475</xdr:colOff>
      <xdr:row>7</xdr:row>
      <xdr:rowOff>76200</xdr:rowOff>
    </xdr:from>
    <xdr:ext cx="7086600" cy="583882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</cols>
  <sheetData>
    <row r="1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34.5" customHeight="1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</sheetData>
  <dataValidations>
    <dataValidation type="custom" allowBlank="1" showDropDown="1" showErrorMessage="1" sqref="E14">
      <formula1>OR(NOT(ISERROR(DATEVALUE(E14))), AND(ISNUMBER(E14), LEFT(CELL("format", E14))="D"))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16.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4"/>
    </row>
    <row r="2">
      <c r="A2" s="5" t="s">
        <v>24</v>
      </c>
      <c r="B2" s="9">
        <v>5.0</v>
      </c>
      <c r="C2" s="5">
        <v>3.0</v>
      </c>
      <c r="D2" s="9">
        <v>2.0</v>
      </c>
      <c r="E2" s="9">
        <v>2.0</v>
      </c>
      <c r="F2" s="9">
        <v>6.0</v>
      </c>
      <c r="G2" s="9">
        <v>0.0</v>
      </c>
      <c r="H2" s="9">
        <v>5.0</v>
      </c>
      <c r="I2" s="9">
        <v>2.0</v>
      </c>
      <c r="J2" s="5">
        <f t="shared" ref="J2:K2" si="1">B2+D2+F2+H2</f>
        <v>18</v>
      </c>
      <c r="K2" s="4">
        <f t="shared" si="1"/>
        <v>7</v>
      </c>
      <c r="L2" s="10">
        <f t="shared" ref="L2:L26" si="3">ROUND(IFERROR(J2/(J2+K2),0)*100,1)</f>
        <v>72</v>
      </c>
      <c r="M2" s="10">
        <f t="shared" ref="M2:M26" si="4">ROUND(IFERROR(B2/(B2+C2),0)*100,1)</f>
        <v>62.5</v>
      </c>
      <c r="N2" s="10">
        <f t="shared" ref="N2:N26" si="5">ROUND(IFERROR(D2/(D2+E2),0)*100,1)</f>
        <v>50</v>
      </c>
      <c r="O2" s="10">
        <f t="shared" ref="O2:O26" si="6">ROUND(IFERROR(F2/(F2+G2),0)*100,1)</f>
        <v>100</v>
      </c>
      <c r="P2" s="10">
        <f t="shared" ref="P2:P26" si="7">ROUND(IFERROR(H2/(I2+H2),0)*100,1)</f>
        <v>71.4</v>
      </c>
      <c r="Q2" s="11">
        <f t="shared" ref="Q2:Q26" si="8">IF(A2="미등록", "", COUNTIF(A$2:A2,"&lt;&gt;미등록"))</f>
        <v>1</v>
      </c>
      <c r="R2" s="5">
        <v>1359.0</v>
      </c>
      <c r="S2" s="12">
        <v>46061.975694444445</v>
      </c>
      <c r="T2" s="5" t="s">
        <v>25</v>
      </c>
      <c r="U2" s="5">
        <v>14.0</v>
      </c>
      <c r="V2" s="4" t="str">
        <f t="array" ref="V2">IFERROR(INDEX('사용자목록'!O:O, MATCH(A2, '사용자목록'!A:A, 0)),"아이언")</f>
        <v>마스터</v>
      </c>
      <c r="W2" s="9">
        <v>1.0</v>
      </c>
      <c r="X2" s="5" t="str">
        <f t="shared" ref="X2:X26" si="9">if(Q2&lt;W2, "🔼", if(Q2&gt;W2, "🔽", ""))</f>
        <v/>
      </c>
      <c r="Y2" s="4"/>
    </row>
    <row r="3">
      <c r="A3" s="5" t="s">
        <v>26</v>
      </c>
      <c r="B3" s="9">
        <v>8.0</v>
      </c>
      <c r="C3" s="5">
        <v>9.0</v>
      </c>
      <c r="D3" s="9">
        <v>11.0</v>
      </c>
      <c r="E3" s="5">
        <v>7.0</v>
      </c>
      <c r="F3" s="9">
        <v>6.0</v>
      </c>
      <c r="G3" s="9">
        <v>2.0</v>
      </c>
      <c r="H3" s="9">
        <v>7.0</v>
      </c>
      <c r="I3" s="9">
        <v>4.0</v>
      </c>
      <c r="J3" s="5">
        <f t="shared" ref="J3:K3" si="2">B3+D3+F3+H3</f>
        <v>32</v>
      </c>
      <c r="K3" s="4">
        <f t="shared" si="2"/>
        <v>22</v>
      </c>
      <c r="L3" s="10">
        <f t="shared" si="3"/>
        <v>59.3</v>
      </c>
      <c r="M3" s="10">
        <f t="shared" si="4"/>
        <v>47.1</v>
      </c>
      <c r="N3" s="10">
        <f t="shared" si="5"/>
        <v>61.1</v>
      </c>
      <c r="O3" s="10">
        <f t="shared" si="6"/>
        <v>75</v>
      </c>
      <c r="P3" s="10">
        <f t="shared" si="7"/>
        <v>63.6</v>
      </c>
      <c r="Q3" s="11">
        <f t="shared" si="8"/>
        <v>2</v>
      </c>
      <c r="R3" s="5">
        <v>1316.0</v>
      </c>
      <c r="S3" s="12">
        <v>46063.018055555556</v>
      </c>
      <c r="T3" s="5" t="s">
        <v>25</v>
      </c>
      <c r="U3" s="5">
        <v>12.0</v>
      </c>
      <c r="V3" s="4" t="str">
        <f t="array" ref="V3">IFERROR(INDEX('사용자목록'!O:O, MATCH(A3, '사용자목록'!A:A, 0)),"아이언")</f>
        <v>다이아</v>
      </c>
      <c r="W3" s="9">
        <v>2.0</v>
      </c>
      <c r="X3" s="5" t="str">
        <f t="shared" si="9"/>
        <v/>
      </c>
      <c r="Y3" s="4"/>
    </row>
    <row r="4">
      <c r="A4" s="5" t="s">
        <v>27</v>
      </c>
      <c r="B4" s="5">
        <v>15.0</v>
      </c>
      <c r="C4" s="5">
        <v>8.0</v>
      </c>
      <c r="D4" s="5">
        <v>9.0</v>
      </c>
      <c r="E4" s="9">
        <v>9.0</v>
      </c>
      <c r="F4" s="9">
        <v>11.0</v>
      </c>
      <c r="G4" s="9">
        <v>8.0</v>
      </c>
      <c r="H4" s="9">
        <v>0.0</v>
      </c>
      <c r="I4" s="9">
        <v>0.0</v>
      </c>
      <c r="J4" s="5">
        <f t="shared" ref="J4:K4" si="10">B4+D4+F4+H4</f>
        <v>35</v>
      </c>
      <c r="K4" s="4">
        <f t="shared" si="10"/>
        <v>25</v>
      </c>
      <c r="L4" s="10">
        <f t="shared" si="3"/>
        <v>58.3</v>
      </c>
      <c r="M4" s="10">
        <f t="shared" si="4"/>
        <v>65.2</v>
      </c>
      <c r="N4" s="10">
        <f t="shared" si="5"/>
        <v>50</v>
      </c>
      <c r="O4" s="10">
        <f t="shared" si="6"/>
        <v>57.9</v>
      </c>
      <c r="P4" s="10">
        <f t="shared" si="7"/>
        <v>0</v>
      </c>
      <c r="Q4" s="11">
        <f t="shared" si="8"/>
        <v>3</v>
      </c>
      <c r="R4" s="5">
        <v>1297.0</v>
      </c>
      <c r="S4" s="12">
        <v>46062.98402777778</v>
      </c>
      <c r="T4" s="5" t="s">
        <v>25</v>
      </c>
      <c r="U4" s="5">
        <v>10.0</v>
      </c>
      <c r="V4" s="4" t="str">
        <f t="array" ref="V4">IFERROR(INDEX('사용자목록'!O:O, MATCH(A4, '사용자목록'!A:A, 0)),"아이언")</f>
        <v>마스터</v>
      </c>
      <c r="W4" s="9">
        <v>3.0</v>
      </c>
      <c r="X4" s="5" t="str">
        <f t="shared" si="9"/>
        <v/>
      </c>
      <c r="Y4" s="4"/>
    </row>
    <row r="5">
      <c r="A5" s="5" t="s">
        <v>28</v>
      </c>
      <c r="B5" s="9">
        <v>0.0</v>
      </c>
      <c r="C5" s="5">
        <v>0.0</v>
      </c>
      <c r="D5" s="5">
        <v>6.0</v>
      </c>
      <c r="E5" s="9">
        <v>3.0</v>
      </c>
      <c r="F5" s="5">
        <v>5.0</v>
      </c>
      <c r="G5" s="9">
        <v>3.0</v>
      </c>
      <c r="H5" s="9">
        <v>9.0</v>
      </c>
      <c r="I5" s="5">
        <v>4.0</v>
      </c>
      <c r="J5" s="5">
        <f t="shared" ref="J5:K5" si="11">B5+D5+F5+H5</f>
        <v>20</v>
      </c>
      <c r="K5" s="4">
        <f t="shared" si="11"/>
        <v>10</v>
      </c>
      <c r="L5" s="10">
        <f t="shared" si="3"/>
        <v>66.7</v>
      </c>
      <c r="M5" s="10">
        <f t="shared" si="4"/>
        <v>0</v>
      </c>
      <c r="N5" s="10">
        <f t="shared" si="5"/>
        <v>66.7</v>
      </c>
      <c r="O5" s="10">
        <f t="shared" si="6"/>
        <v>62.5</v>
      </c>
      <c r="P5" s="10">
        <f t="shared" si="7"/>
        <v>69.2</v>
      </c>
      <c r="Q5" s="11">
        <f t="shared" si="8"/>
        <v>4</v>
      </c>
      <c r="R5" s="5">
        <v>1279.0</v>
      </c>
      <c r="S5" s="12">
        <v>46063.018055555556</v>
      </c>
      <c r="T5" s="5" t="s">
        <v>25</v>
      </c>
      <c r="U5" s="5">
        <v>12.0</v>
      </c>
      <c r="V5" s="4" t="str">
        <f t="array" ref="V5">IFERROR(INDEX('사용자목록'!O:O, MATCH(A5, '사용자목록'!A:A, 0)),"아이언")</f>
        <v>마스터</v>
      </c>
      <c r="W5" s="9">
        <v>4.0</v>
      </c>
      <c r="X5" s="5" t="str">
        <f t="shared" si="9"/>
        <v/>
      </c>
      <c r="Y5" s="4"/>
    </row>
    <row r="6">
      <c r="A6" s="5" t="s">
        <v>29</v>
      </c>
      <c r="B6" s="9">
        <v>5.0</v>
      </c>
      <c r="C6" s="5">
        <v>2.0</v>
      </c>
      <c r="D6" s="9">
        <v>3.0</v>
      </c>
      <c r="E6" s="9">
        <v>3.0</v>
      </c>
      <c r="F6" s="9">
        <v>2.0</v>
      </c>
      <c r="G6" s="9">
        <v>1.0</v>
      </c>
      <c r="H6" s="9">
        <v>1.0</v>
      </c>
      <c r="I6" s="9">
        <v>3.0</v>
      </c>
      <c r="J6" s="5">
        <f t="shared" ref="J6:K6" si="12">B6+D6+F6+H6</f>
        <v>11</v>
      </c>
      <c r="K6" s="4">
        <f t="shared" si="12"/>
        <v>9</v>
      </c>
      <c r="L6" s="10">
        <f t="shared" si="3"/>
        <v>55</v>
      </c>
      <c r="M6" s="10">
        <f t="shared" si="4"/>
        <v>71.4</v>
      </c>
      <c r="N6" s="10">
        <f t="shared" si="5"/>
        <v>50</v>
      </c>
      <c r="O6" s="10">
        <f t="shared" si="6"/>
        <v>66.7</v>
      </c>
      <c r="P6" s="10">
        <f t="shared" si="7"/>
        <v>25</v>
      </c>
      <c r="Q6" s="11">
        <f t="shared" si="8"/>
        <v>5</v>
      </c>
      <c r="R6" s="9">
        <v>1264.0</v>
      </c>
      <c r="S6" s="12">
        <v>46062.20972222222</v>
      </c>
      <c r="T6" s="5" t="s">
        <v>25</v>
      </c>
      <c r="U6" s="5">
        <v>11.0</v>
      </c>
      <c r="V6" s="4" t="str">
        <f t="array" ref="V6">IFERROR(INDEX('사용자목록'!O:O, MATCH(A6, '사용자목록'!A:A, 0)),"아이언")</f>
        <v>아이언</v>
      </c>
      <c r="W6" s="9">
        <v>5.0</v>
      </c>
      <c r="X6" s="5" t="str">
        <f t="shared" si="9"/>
        <v/>
      </c>
      <c r="Y6" s="4"/>
    </row>
    <row r="7">
      <c r="A7" s="5" t="s">
        <v>30</v>
      </c>
      <c r="B7" s="5">
        <v>5.0</v>
      </c>
      <c r="C7" s="5">
        <v>7.0</v>
      </c>
      <c r="D7" s="5">
        <v>8.0</v>
      </c>
      <c r="E7" s="5">
        <v>6.0</v>
      </c>
      <c r="F7" s="9">
        <v>4.0</v>
      </c>
      <c r="G7" s="9">
        <v>8.0</v>
      </c>
      <c r="H7" s="9">
        <v>8.0</v>
      </c>
      <c r="I7" s="9">
        <v>9.0</v>
      </c>
      <c r="J7" s="5">
        <f t="shared" ref="J7:K7" si="13">B7+D7+F7+H7</f>
        <v>25</v>
      </c>
      <c r="K7" s="4">
        <f t="shared" si="13"/>
        <v>30</v>
      </c>
      <c r="L7" s="10">
        <f t="shared" si="3"/>
        <v>45.5</v>
      </c>
      <c r="M7" s="10">
        <f t="shared" si="4"/>
        <v>41.7</v>
      </c>
      <c r="N7" s="10">
        <f t="shared" si="5"/>
        <v>57.1</v>
      </c>
      <c r="O7" s="10">
        <f t="shared" si="6"/>
        <v>33.3</v>
      </c>
      <c r="P7" s="10">
        <f t="shared" si="7"/>
        <v>47.1</v>
      </c>
      <c r="Q7" s="11">
        <f t="shared" si="8"/>
        <v>6</v>
      </c>
      <c r="R7" s="5">
        <v>1204.0</v>
      </c>
      <c r="S7" s="12">
        <v>46063.018055555556</v>
      </c>
      <c r="T7" s="5" t="s">
        <v>25</v>
      </c>
      <c r="U7" s="5">
        <v>7.0</v>
      </c>
      <c r="V7" s="4" t="str">
        <f t="array" ref="V7">IFERROR(INDEX('사용자목록'!O:O, MATCH(A7, '사용자목록'!A:A, 0)),"아이언")</f>
        <v>골드</v>
      </c>
      <c r="W7" s="9">
        <v>6.0</v>
      </c>
      <c r="X7" s="5" t="str">
        <f t="shared" si="9"/>
        <v/>
      </c>
      <c r="Y7" s="4"/>
    </row>
    <row r="8">
      <c r="A8" s="5" t="s">
        <v>31</v>
      </c>
      <c r="B8" s="9">
        <v>0.0</v>
      </c>
      <c r="C8" s="5">
        <v>4.0</v>
      </c>
      <c r="D8" s="9">
        <v>4.0</v>
      </c>
      <c r="E8" s="9">
        <v>3.0</v>
      </c>
      <c r="F8" s="5">
        <v>4.0</v>
      </c>
      <c r="G8" s="9">
        <v>1.0</v>
      </c>
      <c r="H8" s="9">
        <v>2.0</v>
      </c>
      <c r="I8" s="5">
        <v>4.0</v>
      </c>
      <c r="J8" s="5">
        <f t="shared" ref="J8:K8" si="14">B8+D8+F8+H8</f>
        <v>10</v>
      </c>
      <c r="K8" s="4">
        <f t="shared" si="14"/>
        <v>12</v>
      </c>
      <c r="L8" s="10">
        <f t="shared" si="3"/>
        <v>45.5</v>
      </c>
      <c r="M8" s="10">
        <f t="shared" si="4"/>
        <v>0</v>
      </c>
      <c r="N8" s="10">
        <f t="shared" si="5"/>
        <v>57.1</v>
      </c>
      <c r="O8" s="10">
        <f t="shared" si="6"/>
        <v>80</v>
      </c>
      <c r="P8" s="10">
        <f t="shared" si="7"/>
        <v>33.3</v>
      </c>
      <c r="Q8" s="11">
        <f t="shared" si="8"/>
        <v>7</v>
      </c>
      <c r="R8" s="5">
        <v>1204.0</v>
      </c>
      <c r="S8" s="12">
        <v>46052.895833333336</v>
      </c>
      <c r="T8" s="5" t="s">
        <v>25</v>
      </c>
      <c r="U8" s="5">
        <v>11.0</v>
      </c>
      <c r="V8" s="4" t="str">
        <f t="array" ref="V8">IFERROR(INDEX('사용자목록'!O:O, MATCH(A8, '사용자목록'!A:A, 0)),"아이언")</f>
        <v>마스터</v>
      </c>
      <c r="W8" s="9">
        <v>7.0</v>
      </c>
      <c r="X8" s="5" t="str">
        <f t="shared" si="9"/>
        <v/>
      </c>
      <c r="Y8" s="4"/>
    </row>
    <row r="9">
      <c r="A9" s="5" t="s">
        <v>32</v>
      </c>
      <c r="B9" s="9">
        <v>6.0</v>
      </c>
      <c r="C9" s="5">
        <v>7.0</v>
      </c>
      <c r="D9" s="9">
        <v>7.0</v>
      </c>
      <c r="E9" s="5">
        <v>10.0</v>
      </c>
      <c r="F9" s="9">
        <v>7.0</v>
      </c>
      <c r="G9" s="9">
        <v>5.0</v>
      </c>
      <c r="H9" s="9">
        <v>5.0</v>
      </c>
      <c r="I9" s="5">
        <v>5.0</v>
      </c>
      <c r="J9" s="5">
        <f t="shared" ref="J9:K9" si="15">B9+D9+F9+H9</f>
        <v>25</v>
      </c>
      <c r="K9" s="4">
        <f t="shared" si="15"/>
        <v>27</v>
      </c>
      <c r="L9" s="10">
        <f t="shared" si="3"/>
        <v>48.1</v>
      </c>
      <c r="M9" s="10">
        <f t="shared" si="4"/>
        <v>46.2</v>
      </c>
      <c r="N9" s="10">
        <f t="shared" si="5"/>
        <v>41.2</v>
      </c>
      <c r="O9" s="10">
        <f t="shared" si="6"/>
        <v>58.3</v>
      </c>
      <c r="P9" s="10">
        <f t="shared" si="7"/>
        <v>50</v>
      </c>
      <c r="Q9" s="11">
        <f t="shared" si="8"/>
        <v>8</v>
      </c>
      <c r="R9" s="5">
        <v>1189.0</v>
      </c>
      <c r="S9" s="12">
        <v>46063.018055555556</v>
      </c>
      <c r="T9" s="5" t="s">
        <v>25</v>
      </c>
      <c r="U9" s="5">
        <v>11.0</v>
      </c>
      <c r="V9" s="4" t="str">
        <f t="array" ref="V9">IFERROR(INDEX('사용자목록'!O:O, MATCH(A9, '사용자목록'!A:A, 0)),"아이언")</f>
        <v>아이언</v>
      </c>
      <c r="W9" s="9">
        <v>8.0</v>
      </c>
      <c r="X9" s="5" t="str">
        <f t="shared" si="9"/>
        <v/>
      </c>
      <c r="Y9" s="4"/>
    </row>
    <row r="10">
      <c r="A10" s="5" t="s">
        <v>33</v>
      </c>
      <c r="B10" s="9">
        <v>5.0</v>
      </c>
      <c r="C10" s="5">
        <v>2.0</v>
      </c>
      <c r="D10" s="9">
        <v>0.0</v>
      </c>
      <c r="E10" s="9">
        <v>0.0</v>
      </c>
      <c r="F10" s="9">
        <v>3.0</v>
      </c>
      <c r="G10" s="9">
        <v>6.0</v>
      </c>
      <c r="H10" s="9">
        <v>1.0</v>
      </c>
      <c r="I10" s="9">
        <v>6.0</v>
      </c>
      <c r="J10" s="5">
        <f t="shared" ref="J10:K10" si="16">B10+D10+F10+H10</f>
        <v>9</v>
      </c>
      <c r="K10" s="4">
        <f t="shared" si="16"/>
        <v>14</v>
      </c>
      <c r="L10" s="10">
        <f t="shared" si="3"/>
        <v>39.1</v>
      </c>
      <c r="M10" s="10">
        <f t="shared" si="4"/>
        <v>71.4</v>
      </c>
      <c r="N10" s="10">
        <f t="shared" si="5"/>
        <v>0</v>
      </c>
      <c r="O10" s="10">
        <f t="shared" si="6"/>
        <v>33.3</v>
      </c>
      <c r="P10" s="10">
        <f t="shared" si="7"/>
        <v>14.3</v>
      </c>
      <c r="Q10" s="11">
        <f t="shared" si="8"/>
        <v>9</v>
      </c>
      <c r="R10" s="9">
        <v>1177.0</v>
      </c>
      <c r="S10" s="12">
        <v>46062.902083333334</v>
      </c>
      <c r="T10" s="5" t="s">
        <v>25</v>
      </c>
      <c r="U10" s="5">
        <v>8.0</v>
      </c>
      <c r="V10" s="4" t="str">
        <f t="array" ref="V10">IFERROR(INDEX('사용자목록'!O:O, MATCH(A10, '사용자목록'!A:A, 0)),"아이언")</f>
        <v>플래티넘</v>
      </c>
      <c r="W10" s="9">
        <v>9.0</v>
      </c>
      <c r="X10" s="5" t="str">
        <f t="shared" si="9"/>
        <v/>
      </c>
      <c r="Y10" s="4"/>
    </row>
    <row r="11">
      <c r="A11" s="5" t="s">
        <v>34</v>
      </c>
      <c r="B11" s="9">
        <v>9.0</v>
      </c>
      <c r="C11" s="5">
        <v>5.0</v>
      </c>
      <c r="D11" s="9">
        <v>1.0</v>
      </c>
      <c r="E11" s="9">
        <v>4.0</v>
      </c>
      <c r="F11" s="5">
        <v>6.0</v>
      </c>
      <c r="G11" s="5">
        <v>6.0</v>
      </c>
      <c r="H11" s="5">
        <v>7.0</v>
      </c>
      <c r="I11" s="9">
        <v>11.0</v>
      </c>
      <c r="J11" s="5">
        <f t="shared" ref="J11:K11" si="17">B11+D11+F11+H11</f>
        <v>23</v>
      </c>
      <c r="K11" s="4">
        <f t="shared" si="17"/>
        <v>26</v>
      </c>
      <c r="L11" s="10">
        <f t="shared" si="3"/>
        <v>46.9</v>
      </c>
      <c r="M11" s="10">
        <f t="shared" si="4"/>
        <v>64.3</v>
      </c>
      <c r="N11" s="10">
        <f t="shared" si="5"/>
        <v>20</v>
      </c>
      <c r="O11" s="10">
        <f t="shared" si="6"/>
        <v>50</v>
      </c>
      <c r="P11" s="10">
        <f t="shared" si="7"/>
        <v>38.9</v>
      </c>
      <c r="Q11" s="11">
        <f t="shared" si="8"/>
        <v>10</v>
      </c>
      <c r="R11" s="5">
        <v>1149.0</v>
      </c>
      <c r="S11" s="12">
        <v>46062.20972222222</v>
      </c>
      <c r="T11" s="5" t="s">
        <v>25</v>
      </c>
      <c r="U11" s="5">
        <v>4.0</v>
      </c>
      <c r="V11" s="4" t="str">
        <f t="array" ref="V11">IFERROR(INDEX('사용자목록'!O:O, MATCH(A11, '사용자목록'!A:A, 0)),"아이언")</f>
        <v>실버</v>
      </c>
      <c r="W11" s="9">
        <v>10.0</v>
      </c>
      <c r="X11" s="5" t="str">
        <f t="shared" si="9"/>
        <v/>
      </c>
      <c r="Y11" s="4"/>
    </row>
    <row r="12">
      <c r="A12" s="5" t="s">
        <v>35</v>
      </c>
      <c r="B12" s="9">
        <v>1.0</v>
      </c>
      <c r="C12" s="5">
        <v>3.0</v>
      </c>
      <c r="D12" s="9">
        <v>9.0</v>
      </c>
      <c r="E12" s="9">
        <v>6.0</v>
      </c>
      <c r="F12" s="9">
        <v>4.0</v>
      </c>
      <c r="G12" s="5">
        <v>7.0</v>
      </c>
      <c r="H12" s="5">
        <v>5.0</v>
      </c>
      <c r="I12" s="9">
        <v>6.0</v>
      </c>
      <c r="J12" s="5">
        <f t="shared" ref="J12:K12" si="18">B12+D12+F12+H12</f>
        <v>19</v>
      </c>
      <c r="K12" s="4">
        <f t="shared" si="18"/>
        <v>22</v>
      </c>
      <c r="L12" s="10">
        <f t="shared" si="3"/>
        <v>46.3</v>
      </c>
      <c r="M12" s="10">
        <f t="shared" si="4"/>
        <v>25</v>
      </c>
      <c r="N12" s="10">
        <f t="shared" si="5"/>
        <v>60</v>
      </c>
      <c r="O12" s="10">
        <f t="shared" si="6"/>
        <v>36.4</v>
      </c>
      <c r="P12" s="10">
        <f t="shared" si="7"/>
        <v>45.5</v>
      </c>
      <c r="Q12" s="11">
        <f t="shared" si="8"/>
        <v>11</v>
      </c>
      <c r="R12" s="5">
        <v>1115.0</v>
      </c>
      <c r="S12" s="12">
        <v>46062.20972222222</v>
      </c>
      <c r="T12" s="5" t="s">
        <v>25</v>
      </c>
      <c r="U12" s="5">
        <v>10.0</v>
      </c>
      <c r="V12" s="4" t="str">
        <f t="array" ref="V12">IFERROR(INDEX('사용자목록'!O:O, MATCH(A12, '사용자목록'!A:A, 0)),"아이언")</f>
        <v>골드</v>
      </c>
      <c r="W12" s="9">
        <v>11.0</v>
      </c>
      <c r="X12" s="5" t="str">
        <f t="shared" si="9"/>
        <v/>
      </c>
      <c r="Y12" s="4"/>
    </row>
    <row r="13">
      <c r="A13" s="5" t="s">
        <v>36</v>
      </c>
      <c r="B13" s="9">
        <v>0.0</v>
      </c>
      <c r="C13" s="5">
        <v>4.0</v>
      </c>
      <c r="D13" s="9">
        <v>0.0</v>
      </c>
      <c r="E13" s="9">
        <v>0.0</v>
      </c>
      <c r="F13" s="9">
        <v>3.0</v>
      </c>
      <c r="G13" s="9">
        <v>2.0</v>
      </c>
      <c r="H13" s="9">
        <v>7.0</v>
      </c>
      <c r="I13" s="9">
        <v>3.0</v>
      </c>
      <c r="J13" s="5">
        <f t="shared" ref="J13:K13" si="19">B13+D13+F13+H13</f>
        <v>10</v>
      </c>
      <c r="K13" s="4">
        <f t="shared" si="19"/>
        <v>9</v>
      </c>
      <c r="L13" s="10">
        <f t="shared" si="3"/>
        <v>52.6</v>
      </c>
      <c r="M13" s="10">
        <f t="shared" si="4"/>
        <v>0</v>
      </c>
      <c r="N13" s="10">
        <f t="shared" si="5"/>
        <v>0</v>
      </c>
      <c r="O13" s="10">
        <f t="shared" si="6"/>
        <v>60</v>
      </c>
      <c r="P13" s="10">
        <f t="shared" si="7"/>
        <v>70</v>
      </c>
      <c r="Q13" s="11">
        <f t="shared" si="8"/>
        <v>12</v>
      </c>
      <c r="R13" s="9">
        <v>0.0</v>
      </c>
      <c r="S13" s="12">
        <v>46062.98402777778</v>
      </c>
      <c r="T13" s="5" t="s">
        <v>25</v>
      </c>
      <c r="U13" s="5">
        <v>6.0</v>
      </c>
      <c r="V13" s="4" t="str">
        <f t="array" ref="V13">IFERROR(INDEX('사용자목록'!O:O, MATCH(A13, '사용자목록'!A:A, 0)),"아이언")</f>
        <v>골드</v>
      </c>
      <c r="W13" s="9">
        <v>12.0</v>
      </c>
      <c r="X13" s="5" t="str">
        <f t="shared" si="9"/>
        <v/>
      </c>
      <c r="Y13" s="4"/>
    </row>
    <row r="14">
      <c r="A14" s="5" t="s">
        <v>37</v>
      </c>
      <c r="B14" s="9">
        <v>3.0</v>
      </c>
      <c r="C14" s="5">
        <v>1.0</v>
      </c>
      <c r="D14" s="9">
        <v>0.0</v>
      </c>
      <c r="E14" s="9">
        <v>0.0</v>
      </c>
      <c r="F14" s="9">
        <v>3.0</v>
      </c>
      <c r="G14" s="9">
        <v>1.0</v>
      </c>
      <c r="H14" s="9">
        <v>1.0</v>
      </c>
      <c r="I14" s="9">
        <v>3.0</v>
      </c>
      <c r="J14" s="5">
        <f t="shared" ref="J14:K14" si="20">B14+D14+F14+H14</f>
        <v>7</v>
      </c>
      <c r="K14" s="4">
        <f t="shared" si="20"/>
        <v>5</v>
      </c>
      <c r="L14" s="10">
        <f t="shared" si="3"/>
        <v>58.3</v>
      </c>
      <c r="M14" s="10">
        <f t="shared" si="4"/>
        <v>75</v>
      </c>
      <c r="N14" s="10">
        <f t="shared" si="5"/>
        <v>0</v>
      </c>
      <c r="O14" s="10">
        <f t="shared" si="6"/>
        <v>75</v>
      </c>
      <c r="P14" s="10">
        <f t="shared" si="7"/>
        <v>25</v>
      </c>
      <c r="Q14" s="11">
        <f t="shared" si="8"/>
        <v>13</v>
      </c>
      <c r="R14" s="9">
        <v>0.0</v>
      </c>
      <c r="S14" s="12">
        <v>46061.975694444445</v>
      </c>
      <c r="T14" s="5" t="s">
        <v>25</v>
      </c>
      <c r="U14" s="5">
        <v>4.0</v>
      </c>
      <c r="V14" s="4" t="str">
        <f t="array" ref="V14">IFERROR(INDEX('사용자목록'!O:O, MATCH(A14, '사용자목록'!A:A, 0)),"아이언")</f>
        <v>아이언</v>
      </c>
      <c r="W14" s="9">
        <v>13.0</v>
      </c>
      <c r="X14" s="5" t="str">
        <f t="shared" si="9"/>
        <v/>
      </c>
      <c r="Y14" s="4"/>
    </row>
    <row r="15">
      <c r="A15" s="5" t="s">
        <v>38</v>
      </c>
      <c r="B15" s="9">
        <v>1.0</v>
      </c>
      <c r="C15" s="5">
        <v>1.0</v>
      </c>
      <c r="D15" s="9">
        <v>2.0</v>
      </c>
      <c r="E15" s="9">
        <v>0.0</v>
      </c>
      <c r="F15" s="9">
        <v>0.0</v>
      </c>
      <c r="G15" s="9">
        <v>1.0</v>
      </c>
      <c r="H15" s="9">
        <v>1.0</v>
      </c>
      <c r="I15" s="9">
        <v>0.0</v>
      </c>
      <c r="J15" s="5">
        <f t="shared" ref="J15:K15" si="21">B15+D15+F15+H15</f>
        <v>4</v>
      </c>
      <c r="K15" s="4">
        <f t="shared" si="21"/>
        <v>2</v>
      </c>
      <c r="L15" s="10">
        <f t="shared" si="3"/>
        <v>66.7</v>
      </c>
      <c r="M15" s="10">
        <f t="shared" si="4"/>
        <v>50</v>
      </c>
      <c r="N15" s="10">
        <f t="shared" si="5"/>
        <v>100</v>
      </c>
      <c r="O15" s="10">
        <f t="shared" si="6"/>
        <v>0</v>
      </c>
      <c r="P15" s="10">
        <f t="shared" si="7"/>
        <v>100</v>
      </c>
      <c r="Q15" s="11">
        <f t="shared" si="8"/>
        <v>14</v>
      </c>
      <c r="R15" s="9">
        <v>0.0</v>
      </c>
      <c r="S15" s="12">
        <v>46063.018055555556</v>
      </c>
      <c r="T15" s="5" t="s">
        <v>25</v>
      </c>
      <c r="U15" s="5">
        <v>4.0</v>
      </c>
      <c r="V15" s="4" t="str">
        <f t="array" ref="V15">IFERROR(INDEX('사용자목록'!O:O, MATCH(A15, '사용자목록'!A:A, 0)),"아이언")</f>
        <v>아이언</v>
      </c>
      <c r="W15" s="9">
        <v>14.0</v>
      </c>
      <c r="X15" s="5" t="str">
        <f t="shared" si="9"/>
        <v/>
      </c>
      <c r="Y15" s="4"/>
    </row>
    <row r="16">
      <c r="A16" s="5" t="s">
        <v>39</v>
      </c>
      <c r="B16" s="9">
        <v>0.0</v>
      </c>
      <c r="C16" s="5">
        <v>3.0</v>
      </c>
      <c r="D16" s="9">
        <v>1.0</v>
      </c>
      <c r="E16" s="9">
        <v>2.0</v>
      </c>
      <c r="F16" s="9">
        <v>1.0</v>
      </c>
      <c r="G16" s="5">
        <v>2.0</v>
      </c>
      <c r="H16" s="5">
        <v>2.0</v>
      </c>
      <c r="I16" s="9">
        <v>1.0</v>
      </c>
      <c r="J16" s="5">
        <f t="shared" ref="J16:K16" si="22">B16+D16+F16+H16</f>
        <v>4</v>
      </c>
      <c r="K16" s="4">
        <f t="shared" si="22"/>
        <v>8</v>
      </c>
      <c r="L16" s="10">
        <f t="shared" si="3"/>
        <v>33.3</v>
      </c>
      <c r="M16" s="10">
        <f t="shared" si="4"/>
        <v>0</v>
      </c>
      <c r="N16" s="10">
        <f t="shared" si="5"/>
        <v>33.3</v>
      </c>
      <c r="O16" s="10">
        <f t="shared" si="6"/>
        <v>33.3</v>
      </c>
      <c r="P16" s="10">
        <f t="shared" si="7"/>
        <v>66.7</v>
      </c>
      <c r="Q16" s="11">
        <f t="shared" si="8"/>
        <v>15</v>
      </c>
      <c r="R16" s="5">
        <v>0.0</v>
      </c>
      <c r="S16" s="12">
        <v>46043.083333333336</v>
      </c>
      <c r="T16" s="5" t="s">
        <v>25</v>
      </c>
      <c r="U16" s="5">
        <v>4.0</v>
      </c>
      <c r="V16" s="4" t="str">
        <f t="array" ref="V16">IFERROR(INDEX('사용자목록'!O:O, MATCH(A16, '사용자목록'!A:A, 0)),"아이언")</f>
        <v>다이아</v>
      </c>
      <c r="W16" s="9">
        <v>15.0</v>
      </c>
      <c r="X16" s="5" t="str">
        <f t="shared" si="9"/>
        <v/>
      </c>
      <c r="Y16" s="4"/>
    </row>
    <row r="17">
      <c r="A17" s="5" t="s">
        <v>40</v>
      </c>
      <c r="B17" s="9">
        <v>0.0</v>
      </c>
      <c r="C17" s="5">
        <v>1.0</v>
      </c>
      <c r="D17" s="9">
        <v>0.0</v>
      </c>
      <c r="E17" s="9">
        <v>0.0</v>
      </c>
      <c r="F17" s="9">
        <v>1.0</v>
      </c>
      <c r="G17" s="9">
        <v>2.0</v>
      </c>
      <c r="H17" s="9">
        <v>2.0</v>
      </c>
      <c r="I17" s="9">
        <v>0.0</v>
      </c>
      <c r="J17" s="5">
        <f t="shared" ref="J17:K17" si="23">B17+D17+F17+H17</f>
        <v>3</v>
      </c>
      <c r="K17" s="4">
        <f t="shared" si="23"/>
        <v>3</v>
      </c>
      <c r="L17" s="10">
        <f t="shared" si="3"/>
        <v>50</v>
      </c>
      <c r="M17" s="10">
        <f t="shared" si="4"/>
        <v>0</v>
      </c>
      <c r="N17" s="10">
        <f t="shared" si="5"/>
        <v>0</v>
      </c>
      <c r="O17" s="10">
        <f t="shared" si="6"/>
        <v>33.3</v>
      </c>
      <c r="P17" s="10">
        <f t="shared" si="7"/>
        <v>100</v>
      </c>
      <c r="Q17" s="11">
        <f t="shared" si="8"/>
        <v>16</v>
      </c>
      <c r="R17" s="9">
        <v>0.0</v>
      </c>
      <c r="S17" s="12">
        <v>46063.018055555556</v>
      </c>
      <c r="T17" s="5" t="s">
        <v>25</v>
      </c>
      <c r="U17" s="5">
        <v>0.0</v>
      </c>
      <c r="V17" s="4" t="str">
        <f t="array" ref="V17">IFERROR(INDEX('사용자목록'!O:O, MATCH(A17, '사용자목록'!A:A, 0)),"아이언")</f>
        <v>아이언</v>
      </c>
      <c r="W17" s="9">
        <v>16.0</v>
      </c>
      <c r="X17" s="5" t="str">
        <f t="shared" si="9"/>
        <v/>
      </c>
      <c r="Y17" s="4"/>
    </row>
    <row r="18">
      <c r="A18" s="5" t="s">
        <v>41</v>
      </c>
      <c r="B18" s="9">
        <v>0.0</v>
      </c>
      <c r="C18" s="5">
        <v>0.0</v>
      </c>
      <c r="D18" s="9">
        <v>3.0</v>
      </c>
      <c r="E18" s="9">
        <v>1.0</v>
      </c>
      <c r="F18" s="9">
        <v>0.0</v>
      </c>
      <c r="G18" s="9">
        <v>3.0</v>
      </c>
      <c r="H18" s="9">
        <v>0.0</v>
      </c>
      <c r="I18" s="9">
        <v>1.0</v>
      </c>
      <c r="J18" s="5">
        <f t="shared" ref="J18:K18" si="24">B18+D18+F18+H18</f>
        <v>3</v>
      </c>
      <c r="K18" s="4">
        <f t="shared" si="24"/>
        <v>5</v>
      </c>
      <c r="L18" s="10">
        <f t="shared" si="3"/>
        <v>37.5</v>
      </c>
      <c r="M18" s="10">
        <f t="shared" si="4"/>
        <v>0</v>
      </c>
      <c r="N18" s="10">
        <f t="shared" si="5"/>
        <v>75</v>
      </c>
      <c r="O18" s="10">
        <f t="shared" si="6"/>
        <v>0</v>
      </c>
      <c r="P18" s="10">
        <f t="shared" si="7"/>
        <v>0</v>
      </c>
      <c r="Q18" s="11">
        <f t="shared" si="8"/>
        <v>17</v>
      </c>
      <c r="R18" s="9">
        <v>0.0</v>
      </c>
      <c r="S18" s="12">
        <v>46063.018055555556</v>
      </c>
      <c r="T18" s="5" t="s">
        <v>25</v>
      </c>
      <c r="U18" s="5">
        <v>0.0</v>
      </c>
      <c r="V18" s="4" t="str">
        <f t="array" ref="V18">IFERROR(INDEX('사용자목록'!O:O, MATCH(A18, '사용자목록'!A:A, 0)),"아이언")</f>
        <v>아이언</v>
      </c>
      <c r="W18" s="9">
        <v>17.0</v>
      </c>
      <c r="X18" s="5" t="str">
        <f t="shared" si="9"/>
        <v/>
      </c>
      <c r="Y18" s="4"/>
    </row>
    <row r="19">
      <c r="A19" s="5" t="s">
        <v>42</v>
      </c>
      <c r="B19" s="9">
        <v>3.0</v>
      </c>
      <c r="C19" s="5">
        <v>3.0</v>
      </c>
      <c r="D19" s="9">
        <v>0.0</v>
      </c>
      <c r="E19" s="9">
        <v>2.0</v>
      </c>
      <c r="F19" s="9">
        <v>0.0</v>
      </c>
      <c r="G19" s="9">
        <v>2.0</v>
      </c>
      <c r="H19" s="9">
        <v>0.0</v>
      </c>
      <c r="I19" s="9">
        <v>0.0</v>
      </c>
      <c r="J19" s="5">
        <f t="shared" ref="J19:K19" si="25">B19+D19+F19+H19</f>
        <v>3</v>
      </c>
      <c r="K19" s="4">
        <f t="shared" si="25"/>
        <v>7</v>
      </c>
      <c r="L19" s="10">
        <f t="shared" si="3"/>
        <v>30</v>
      </c>
      <c r="M19" s="10">
        <f t="shared" si="4"/>
        <v>50</v>
      </c>
      <c r="N19" s="10">
        <f t="shared" si="5"/>
        <v>0</v>
      </c>
      <c r="O19" s="10">
        <f t="shared" si="6"/>
        <v>0</v>
      </c>
      <c r="P19" s="10">
        <f t="shared" si="7"/>
        <v>0</v>
      </c>
      <c r="Q19" s="11">
        <f t="shared" si="8"/>
        <v>18</v>
      </c>
      <c r="R19" s="9">
        <v>0.0</v>
      </c>
      <c r="S19" s="12">
        <v>46001.89166666667</v>
      </c>
      <c r="T19" s="5" t="s">
        <v>25</v>
      </c>
      <c r="U19" s="5">
        <v>3.0</v>
      </c>
      <c r="V19" s="4" t="str">
        <f t="array" ref="V19">IFERROR(INDEX('사용자목록'!O:O, MATCH(A19, '사용자목록'!A:A, 0)),"아이언")</f>
        <v>다이아</v>
      </c>
      <c r="W19" s="9">
        <v>18.0</v>
      </c>
      <c r="X19" s="5" t="str">
        <f t="shared" si="9"/>
        <v/>
      </c>
      <c r="Y19" s="4"/>
    </row>
    <row r="20">
      <c r="A20" s="5" t="s">
        <v>43</v>
      </c>
      <c r="B20" s="9">
        <v>0.0</v>
      </c>
      <c r="C20" s="5">
        <v>1.0</v>
      </c>
      <c r="D20" s="9">
        <v>0.0</v>
      </c>
      <c r="E20" s="9">
        <v>0.0</v>
      </c>
      <c r="F20" s="9">
        <v>0.0</v>
      </c>
      <c r="G20" s="9">
        <v>0.0</v>
      </c>
      <c r="H20" s="9">
        <v>1.0</v>
      </c>
      <c r="I20" s="9">
        <v>1.0</v>
      </c>
      <c r="J20" s="5">
        <f t="shared" ref="J20:K20" si="26">B20+D20+F20+H20</f>
        <v>1</v>
      </c>
      <c r="K20" s="4">
        <f t="shared" si="26"/>
        <v>2</v>
      </c>
      <c r="L20" s="10">
        <f t="shared" si="3"/>
        <v>33.3</v>
      </c>
      <c r="M20" s="10">
        <f t="shared" si="4"/>
        <v>0</v>
      </c>
      <c r="N20" s="10">
        <f t="shared" si="5"/>
        <v>0</v>
      </c>
      <c r="O20" s="10">
        <f t="shared" si="6"/>
        <v>0</v>
      </c>
      <c r="P20" s="10">
        <f t="shared" si="7"/>
        <v>50</v>
      </c>
      <c r="Q20" s="11">
        <f t="shared" si="8"/>
        <v>19</v>
      </c>
      <c r="R20" s="9">
        <v>0.0</v>
      </c>
      <c r="S20" s="12">
        <v>46063.018055555556</v>
      </c>
      <c r="T20" s="5" t="s">
        <v>25</v>
      </c>
      <c r="U20" s="5">
        <v>0.0</v>
      </c>
      <c r="V20" s="4" t="str">
        <f t="array" ref="V20">IFERROR(INDEX('사용자목록'!O:O, MATCH(A20, '사용자목록'!A:A, 0)),"아이언")</f>
        <v>아이언</v>
      </c>
      <c r="W20" s="9">
        <v>19.0</v>
      </c>
      <c r="X20" s="5" t="str">
        <f t="shared" si="9"/>
        <v/>
      </c>
      <c r="Y20" s="4"/>
    </row>
    <row r="21">
      <c r="A21" s="5" t="s">
        <v>44</v>
      </c>
      <c r="B21" s="9">
        <v>0.0</v>
      </c>
      <c r="C21" s="5">
        <v>0.0</v>
      </c>
      <c r="D21" s="9">
        <v>0.0</v>
      </c>
      <c r="E21" s="9">
        <v>2.0</v>
      </c>
      <c r="F21" s="9">
        <v>0.0</v>
      </c>
      <c r="G21" s="9">
        <v>1.0</v>
      </c>
      <c r="H21" s="9">
        <v>1.0</v>
      </c>
      <c r="I21" s="9">
        <v>1.0</v>
      </c>
      <c r="J21" s="5">
        <f t="shared" ref="J21:K21" si="27">B21+D21+F21+H21</f>
        <v>1</v>
      </c>
      <c r="K21" s="4">
        <f t="shared" si="27"/>
        <v>4</v>
      </c>
      <c r="L21" s="10">
        <f t="shared" si="3"/>
        <v>20</v>
      </c>
      <c r="M21" s="10">
        <f t="shared" si="4"/>
        <v>0</v>
      </c>
      <c r="N21" s="10">
        <f t="shared" si="5"/>
        <v>0</v>
      </c>
      <c r="O21" s="10">
        <f t="shared" si="6"/>
        <v>0</v>
      </c>
      <c r="P21" s="10">
        <f t="shared" si="7"/>
        <v>50</v>
      </c>
      <c r="Q21" s="11">
        <f t="shared" si="8"/>
        <v>20</v>
      </c>
      <c r="R21" s="9">
        <v>0.0</v>
      </c>
      <c r="S21" s="12">
        <v>46049.916666666664</v>
      </c>
      <c r="T21" s="5" t="s">
        <v>25</v>
      </c>
      <c r="U21" s="5">
        <v>0.0</v>
      </c>
      <c r="V21" s="4" t="str">
        <f t="array" ref="V21">IFERROR(INDEX('사용자목록'!O:O, MATCH(A21, '사용자목록'!A:A, 0)),"아이언")</f>
        <v>아이언</v>
      </c>
      <c r="W21" s="9">
        <v>20.0</v>
      </c>
      <c r="X21" s="5" t="str">
        <f t="shared" si="9"/>
        <v/>
      </c>
      <c r="Y21" s="4"/>
    </row>
    <row r="22">
      <c r="A22" s="5" t="s">
        <v>45</v>
      </c>
      <c r="B22" s="9">
        <v>0.0</v>
      </c>
      <c r="C22" s="5">
        <v>0.0</v>
      </c>
      <c r="D22" s="9">
        <v>0.0</v>
      </c>
      <c r="E22" s="9">
        <v>3.0</v>
      </c>
      <c r="F22" s="9">
        <v>0.0</v>
      </c>
      <c r="G22" s="9">
        <v>3.0</v>
      </c>
      <c r="H22" s="9">
        <v>1.0</v>
      </c>
      <c r="I22" s="9">
        <v>1.0</v>
      </c>
      <c r="J22" s="5">
        <f t="shared" ref="J22:K22" si="28">B22+D22+F22+H22</f>
        <v>1</v>
      </c>
      <c r="K22" s="4">
        <f t="shared" si="28"/>
        <v>7</v>
      </c>
      <c r="L22" s="10">
        <f t="shared" si="3"/>
        <v>12.5</v>
      </c>
      <c r="M22" s="10">
        <f t="shared" si="4"/>
        <v>0</v>
      </c>
      <c r="N22" s="10">
        <f t="shared" si="5"/>
        <v>0</v>
      </c>
      <c r="O22" s="10">
        <f t="shared" si="6"/>
        <v>0</v>
      </c>
      <c r="P22" s="10">
        <f t="shared" si="7"/>
        <v>50</v>
      </c>
      <c r="Q22" s="11">
        <f t="shared" si="8"/>
        <v>21</v>
      </c>
      <c r="R22" s="9">
        <v>0.0</v>
      </c>
      <c r="S22" s="12">
        <v>45987.885416666664</v>
      </c>
      <c r="T22" s="5" t="s">
        <v>25</v>
      </c>
      <c r="U22" s="5">
        <v>0.0</v>
      </c>
      <c r="V22" s="4" t="str">
        <f t="array" ref="V22">IFERROR(INDEX('사용자목록'!O:O, MATCH(A22, '사용자목록'!A:A, 0)),"아이언")</f>
        <v>실버</v>
      </c>
      <c r="W22" s="9">
        <v>21.0</v>
      </c>
      <c r="X22" s="5" t="str">
        <f t="shared" si="9"/>
        <v/>
      </c>
      <c r="Y22" s="4"/>
    </row>
    <row r="23">
      <c r="A23" s="5" t="s">
        <v>46</v>
      </c>
      <c r="B23" s="9">
        <v>0.0</v>
      </c>
      <c r="C23" s="5">
        <v>0.0</v>
      </c>
      <c r="D23" s="9">
        <v>0.0</v>
      </c>
      <c r="E23" s="5">
        <v>0.0</v>
      </c>
      <c r="F23" s="9">
        <v>0.0</v>
      </c>
      <c r="G23" s="5">
        <v>0.0</v>
      </c>
      <c r="H23" s="9">
        <v>0.0</v>
      </c>
      <c r="I23" s="9">
        <v>0.0</v>
      </c>
      <c r="J23" s="5">
        <f t="shared" ref="J23:K23" si="29">B23+D23+F23+H23</f>
        <v>0</v>
      </c>
      <c r="K23" s="4">
        <f t="shared" si="29"/>
        <v>0</v>
      </c>
      <c r="L23" s="10">
        <f t="shared" si="3"/>
        <v>0</v>
      </c>
      <c r="M23" s="10">
        <f t="shared" si="4"/>
        <v>0</v>
      </c>
      <c r="N23" s="10">
        <f t="shared" si="5"/>
        <v>0</v>
      </c>
      <c r="O23" s="10">
        <f t="shared" si="6"/>
        <v>0</v>
      </c>
      <c r="P23" s="10">
        <f t="shared" si="7"/>
        <v>0</v>
      </c>
      <c r="Q23" s="11" t="str">
        <f t="shared" si="8"/>
        <v/>
      </c>
      <c r="R23" s="9">
        <v>0.0</v>
      </c>
      <c r="S23" s="12">
        <v>45953.032638888886</v>
      </c>
      <c r="T23" s="5" t="s">
        <v>47</v>
      </c>
      <c r="U23" s="5">
        <v>0.0</v>
      </c>
      <c r="V23" s="4" t="str">
        <f t="array" ref="V23">IFERROR(INDEX('사용자목록'!O:O, MATCH(A23, '사용자목록'!A:A, 0)),"아이언")</f>
        <v>아이언</v>
      </c>
      <c r="W23" s="5"/>
      <c r="X23" s="5" t="str">
        <f t="shared" si="9"/>
        <v/>
      </c>
      <c r="Y23" s="4"/>
    </row>
    <row r="24">
      <c r="A24" s="5" t="s">
        <v>48</v>
      </c>
      <c r="B24" s="9">
        <v>0.0</v>
      </c>
      <c r="C24" s="5">
        <v>0.0</v>
      </c>
      <c r="D24" s="9">
        <v>0.0</v>
      </c>
      <c r="E24" s="9">
        <v>0.0</v>
      </c>
      <c r="F24" s="9">
        <v>0.0</v>
      </c>
      <c r="G24" s="9">
        <v>1.0</v>
      </c>
      <c r="H24" s="9">
        <v>0.0</v>
      </c>
      <c r="I24" s="9">
        <v>1.0</v>
      </c>
      <c r="J24" s="5">
        <f t="shared" ref="J24:K24" si="30">B24+D24+F24+H24</f>
        <v>0</v>
      </c>
      <c r="K24" s="4">
        <f t="shared" si="30"/>
        <v>2</v>
      </c>
      <c r="L24" s="10">
        <f t="shared" si="3"/>
        <v>0</v>
      </c>
      <c r="M24" s="10">
        <f t="shared" si="4"/>
        <v>0</v>
      </c>
      <c r="N24" s="10">
        <f t="shared" si="5"/>
        <v>0</v>
      </c>
      <c r="O24" s="10">
        <f t="shared" si="6"/>
        <v>0</v>
      </c>
      <c r="P24" s="10">
        <f t="shared" si="7"/>
        <v>0</v>
      </c>
      <c r="Q24" s="11">
        <f t="shared" si="8"/>
        <v>22</v>
      </c>
      <c r="R24" s="9">
        <v>0.0</v>
      </c>
      <c r="S24" s="12">
        <v>46061.975694444445</v>
      </c>
      <c r="T24" s="5" t="s">
        <v>25</v>
      </c>
      <c r="U24" s="5">
        <v>0.0</v>
      </c>
      <c r="V24" s="4" t="str">
        <f t="array" ref="V24">IFERROR(INDEX('사용자목록'!O:O, MATCH(A24, '사용자목록'!A:A, 0)),"아이언")</f>
        <v>아이언</v>
      </c>
      <c r="W24" s="9">
        <v>22.0</v>
      </c>
      <c r="X24" s="5" t="str">
        <f t="shared" si="9"/>
        <v/>
      </c>
      <c r="Y24" s="4"/>
    </row>
    <row r="25">
      <c r="A25" s="5" t="s">
        <v>49</v>
      </c>
      <c r="B25" s="9">
        <v>0.0</v>
      </c>
      <c r="C25" s="5">
        <v>0.0</v>
      </c>
      <c r="D25" s="9">
        <v>0.0</v>
      </c>
      <c r="E25" s="9">
        <v>1.0</v>
      </c>
      <c r="F25" s="9">
        <v>0.0</v>
      </c>
      <c r="G25" s="9">
        <v>1.0</v>
      </c>
      <c r="H25" s="9">
        <v>0.0</v>
      </c>
      <c r="I25" s="9">
        <v>0.0</v>
      </c>
      <c r="J25" s="5">
        <f t="shared" ref="J25:K25" si="31">B25+D25+F25+H25</f>
        <v>0</v>
      </c>
      <c r="K25" s="4">
        <f t="shared" si="31"/>
        <v>2</v>
      </c>
      <c r="L25" s="10">
        <f t="shared" si="3"/>
        <v>0</v>
      </c>
      <c r="M25" s="10">
        <f t="shared" si="4"/>
        <v>0</v>
      </c>
      <c r="N25" s="10">
        <f t="shared" si="5"/>
        <v>0</v>
      </c>
      <c r="O25" s="10">
        <f t="shared" si="6"/>
        <v>0</v>
      </c>
      <c r="P25" s="10">
        <f t="shared" si="7"/>
        <v>0</v>
      </c>
      <c r="Q25" s="11">
        <f t="shared" si="8"/>
        <v>23</v>
      </c>
      <c r="R25" s="9">
        <v>0.0</v>
      </c>
      <c r="S25" s="12">
        <v>46062.20972222222</v>
      </c>
      <c r="T25" s="5" t="s">
        <v>25</v>
      </c>
      <c r="U25" s="5">
        <v>0.0</v>
      </c>
      <c r="V25" s="4" t="str">
        <f t="array" ref="V25">IFERROR(INDEX('사용자목록'!O:O, MATCH(A25, '사용자목록'!A:A, 0)),"아이언")</f>
        <v>아이언</v>
      </c>
      <c r="W25" s="9">
        <v>23.0</v>
      </c>
      <c r="X25" s="5" t="str">
        <f t="shared" si="9"/>
        <v/>
      </c>
      <c r="Y25" s="4"/>
    </row>
    <row r="26">
      <c r="A26" s="5" t="s">
        <v>50</v>
      </c>
      <c r="B26" s="9">
        <v>0.0</v>
      </c>
      <c r="C26" s="5">
        <v>2.0</v>
      </c>
      <c r="D26" s="9">
        <v>0.0</v>
      </c>
      <c r="E26" s="9">
        <v>2.0</v>
      </c>
      <c r="F26" s="9">
        <v>0.0</v>
      </c>
      <c r="G26" s="9">
        <v>0.0</v>
      </c>
      <c r="H26" s="5">
        <v>0.0</v>
      </c>
      <c r="I26" s="9">
        <v>0.0</v>
      </c>
      <c r="J26" s="5">
        <f t="shared" ref="J26:K26" si="32">B26+D26+F26+H26</f>
        <v>0</v>
      </c>
      <c r="K26" s="4">
        <f t="shared" si="32"/>
        <v>4</v>
      </c>
      <c r="L26" s="10">
        <f t="shared" si="3"/>
        <v>0</v>
      </c>
      <c r="M26" s="10">
        <f t="shared" si="4"/>
        <v>0</v>
      </c>
      <c r="N26" s="10">
        <f t="shared" si="5"/>
        <v>0</v>
      </c>
      <c r="O26" s="10">
        <f t="shared" si="6"/>
        <v>0</v>
      </c>
      <c r="P26" s="10">
        <f t="shared" si="7"/>
        <v>0</v>
      </c>
      <c r="Q26" s="11">
        <f t="shared" si="8"/>
        <v>24</v>
      </c>
      <c r="R26" s="9">
        <v>0.0</v>
      </c>
      <c r="S26" s="12">
        <v>45986.96805555555</v>
      </c>
      <c r="T26" s="5" t="s">
        <v>25</v>
      </c>
      <c r="U26" s="5">
        <v>0.0</v>
      </c>
      <c r="V26" s="4" t="str">
        <f t="array" ref="V26">IFERROR(INDEX('사용자목록'!O:O, MATCH(A26, '사용자목록'!A:A, 0)),"아이언")</f>
        <v>아이언</v>
      </c>
      <c r="W26" s="9">
        <v>24.0</v>
      </c>
      <c r="X26" s="5" t="str">
        <f t="shared" si="9"/>
        <v/>
      </c>
      <c r="Y26" s="4"/>
    </row>
    <row r="27">
      <c r="A27" s="5"/>
      <c r="B27" s="9"/>
      <c r="C27" s="5"/>
      <c r="D27" s="9"/>
      <c r="E27" s="9"/>
      <c r="F27" s="9"/>
      <c r="G27" s="9"/>
      <c r="H27" s="9"/>
      <c r="I27" s="9"/>
      <c r="J27" s="5"/>
      <c r="K27" s="4"/>
      <c r="L27" s="10"/>
      <c r="M27" s="10"/>
      <c r="N27" s="10"/>
      <c r="O27" s="10"/>
      <c r="P27" s="10"/>
      <c r="Q27" s="11"/>
      <c r="R27" s="9"/>
      <c r="S27" s="12"/>
      <c r="T27" s="5"/>
      <c r="U27" s="5"/>
      <c r="V27" s="4"/>
      <c r="W27" s="4"/>
      <c r="X27" s="4"/>
      <c r="Y27" s="4"/>
    </row>
    <row r="28">
      <c r="A28" s="5"/>
      <c r="B28" s="9"/>
      <c r="C28" s="5"/>
      <c r="D28" s="9"/>
      <c r="E28" s="9"/>
      <c r="F28" s="9"/>
      <c r="G28" s="9"/>
      <c r="H28" s="9"/>
      <c r="I28" s="9"/>
      <c r="J28" s="5"/>
      <c r="K28" s="4"/>
      <c r="L28" s="10"/>
      <c r="M28" s="10"/>
      <c r="N28" s="10"/>
      <c r="O28" s="10"/>
      <c r="P28" s="10"/>
      <c r="Q28" s="11"/>
      <c r="R28" s="9"/>
      <c r="S28" s="12"/>
      <c r="T28" s="5"/>
      <c r="U28" s="5"/>
      <c r="V28" s="4"/>
      <c r="W28" s="4"/>
      <c r="X28" s="4"/>
      <c r="Y28" s="4"/>
    </row>
    <row r="29">
      <c r="A29" s="5"/>
      <c r="B29" s="9"/>
      <c r="C29" s="5"/>
      <c r="D29" s="9"/>
      <c r="E29" s="9"/>
      <c r="F29" s="9"/>
      <c r="G29" s="9"/>
      <c r="H29" s="9"/>
      <c r="I29" s="9"/>
      <c r="J29" s="5"/>
      <c r="K29" s="4"/>
      <c r="L29" s="10"/>
      <c r="M29" s="10"/>
      <c r="N29" s="10"/>
      <c r="O29" s="10"/>
      <c r="P29" s="10"/>
      <c r="Q29" s="11"/>
      <c r="R29" s="9"/>
      <c r="S29" s="12"/>
      <c r="T29" s="5"/>
      <c r="U29" s="5"/>
      <c r="V29" s="4"/>
      <c r="W29" s="4"/>
      <c r="X29" s="4"/>
      <c r="Y29" s="4"/>
    </row>
    <row r="30">
      <c r="A30" s="5"/>
      <c r="B30" s="9"/>
      <c r="C30" s="5"/>
      <c r="D30" s="9"/>
      <c r="E30" s="9"/>
      <c r="F30" s="9"/>
      <c r="G30" s="9"/>
      <c r="H30" s="9"/>
      <c r="I30" s="9"/>
      <c r="J30" s="5"/>
      <c r="K30" s="4"/>
      <c r="L30" s="10"/>
      <c r="M30" s="10"/>
      <c r="N30" s="10"/>
      <c r="O30" s="10"/>
      <c r="P30" s="10"/>
      <c r="Q30" s="11"/>
      <c r="R30" s="9"/>
      <c r="S30" s="12"/>
      <c r="T30" s="5"/>
      <c r="U30" s="5"/>
      <c r="V30" s="4"/>
      <c r="W30" s="4"/>
      <c r="X30" s="4"/>
      <c r="Y30" s="4"/>
    </row>
    <row r="31">
      <c r="A31" s="5"/>
      <c r="B31" s="9"/>
      <c r="C31" s="5"/>
      <c r="D31" s="9"/>
      <c r="E31" s="9"/>
      <c r="F31" s="9"/>
      <c r="G31" s="9"/>
      <c r="H31" s="9"/>
      <c r="I31" s="9"/>
      <c r="J31" s="5"/>
      <c r="K31" s="4"/>
      <c r="L31" s="10"/>
      <c r="M31" s="10"/>
      <c r="N31" s="10"/>
      <c r="O31" s="10"/>
      <c r="P31" s="10"/>
      <c r="Q31" s="11"/>
      <c r="R31" s="9"/>
      <c r="S31" s="12"/>
      <c r="T31" s="5"/>
      <c r="U31" s="5"/>
      <c r="V31" s="4"/>
      <c r="W31" s="4"/>
      <c r="X31" s="4"/>
      <c r="Y31" s="4"/>
    </row>
    <row r="32">
      <c r="A32" s="5"/>
      <c r="B32" s="9"/>
      <c r="C32" s="5"/>
      <c r="D32" s="9"/>
      <c r="E32" s="9"/>
      <c r="F32" s="9"/>
      <c r="G32" s="9"/>
      <c r="H32" s="9"/>
      <c r="I32" s="9"/>
      <c r="J32" s="5"/>
      <c r="K32" s="4"/>
      <c r="L32" s="10"/>
      <c r="M32" s="10"/>
      <c r="N32" s="10"/>
      <c r="O32" s="10"/>
      <c r="P32" s="10"/>
      <c r="Q32" s="11"/>
      <c r="R32" s="9"/>
      <c r="S32" s="12"/>
      <c r="T32" s="5"/>
      <c r="U32" s="5"/>
      <c r="V32" s="4"/>
      <c r="W32" s="4"/>
      <c r="X32" s="4"/>
      <c r="Y32" s="4"/>
    </row>
    <row r="33">
      <c r="A33" s="5"/>
      <c r="B33" s="9"/>
      <c r="C33" s="5"/>
      <c r="D33" s="9"/>
      <c r="E33" s="9"/>
      <c r="F33" s="9"/>
      <c r="G33" s="9"/>
      <c r="H33" s="9"/>
      <c r="I33" s="9"/>
      <c r="J33" s="5"/>
      <c r="K33" s="4"/>
      <c r="L33" s="10"/>
      <c r="M33" s="10"/>
      <c r="N33" s="10"/>
      <c r="O33" s="10"/>
      <c r="P33" s="10"/>
      <c r="Q33" s="11"/>
      <c r="R33" s="9"/>
      <c r="S33" s="12"/>
      <c r="T33" s="5"/>
      <c r="U33" s="5"/>
      <c r="V33" s="4"/>
      <c r="W33" s="4"/>
      <c r="X33" s="4"/>
      <c r="Y33" s="4"/>
    </row>
    <row r="34">
      <c r="A34" s="5"/>
      <c r="B34" s="9"/>
      <c r="C34" s="5"/>
      <c r="D34" s="9"/>
      <c r="E34" s="9"/>
      <c r="F34" s="9"/>
      <c r="G34" s="9"/>
      <c r="H34" s="9"/>
      <c r="I34" s="9"/>
      <c r="J34" s="5"/>
      <c r="K34" s="4"/>
      <c r="L34" s="10"/>
      <c r="M34" s="10"/>
      <c r="N34" s="10"/>
      <c r="O34" s="10"/>
      <c r="P34" s="10"/>
      <c r="Q34" s="11"/>
      <c r="R34" s="9"/>
      <c r="S34" s="12"/>
      <c r="T34" s="5"/>
      <c r="U34" s="5"/>
      <c r="V34" s="4"/>
      <c r="W34" s="4"/>
      <c r="X34" s="4"/>
      <c r="Y34" s="4"/>
    </row>
    <row r="35">
      <c r="A35" s="5"/>
      <c r="B35" s="9"/>
      <c r="C35" s="5"/>
      <c r="D35" s="9"/>
      <c r="E35" s="9"/>
      <c r="F35" s="9"/>
      <c r="G35" s="9"/>
      <c r="H35" s="9"/>
      <c r="I35" s="9"/>
      <c r="J35" s="5"/>
      <c r="K35" s="4"/>
      <c r="L35" s="10"/>
      <c r="M35" s="10"/>
      <c r="N35" s="10"/>
      <c r="O35" s="10"/>
      <c r="P35" s="10"/>
      <c r="Q35" s="11"/>
      <c r="R35" s="9"/>
      <c r="S35" s="12"/>
      <c r="T35" s="5"/>
      <c r="U35" s="5"/>
      <c r="V35" s="4"/>
      <c r="W35" s="4"/>
      <c r="X35" s="4"/>
      <c r="Y35" s="4"/>
    </row>
    <row r="36">
      <c r="A36" s="5"/>
      <c r="B36" s="9"/>
      <c r="C36" s="5"/>
      <c r="D36" s="9"/>
      <c r="E36" s="9"/>
      <c r="F36" s="9"/>
      <c r="G36" s="9"/>
      <c r="H36" s="9"/>
      <c r="I36" s="9"/>
      <c r="J36" s="5"/>
      <c r="K36" s="4"/>
      <c r="L36" s="10"/>
      <c r="M36" s="10"/>
      <c r="N36" s="10"/>
      <c r="O36" s="10"/>
      <c r="P36" s="10"/>
      <c r="Q36" s="11"/>
      <c r="R36" s="9"/>
      <c r="S36" s="12"/>
      <c r="T36" s="5"/>
      <c r="U36" s="5"/>
      <c r="V36" s="4"/>
      <c r="W36" s="4"/>
      <c r="X36" s="4"/>
      <c r="Y36" s="4"/>
    </row>
    <row r="37">
      <c r="A37" s="5"/>
      <c r="B37" s="9"/>
      <c r="C37" s="5"/>
      <c r="D37" s="9"/>
      <c r="E37" s="9"/>
      <c r="F37" s="9"/>
      <c r="G37" s="9"/>
      <c r="H37" s="9"/>
      <c r="I37" s="9"/>
      <c r="J37" s="5"/>
      <c r="K37" s="4"/>
      <c r="L37" s="10"/>
      <c r="M37" s="10"/>
      <c r="N37" s="10"/>
      <c r="O37" s="10"/>
      <c r="P37" s="10"/>
      <c r="Q37" s="11"/>
      <c r="R37" s="9"/>
      <c r="S37" s="12"/>
      <c r="T37" s="5"/>
      <c r="U37" s="5"/>
      <c r="V37" s="4"/>
      <c r="W37" s="4"/>
      <c r="X37" s="4"/>
      <c r="Y37" s="4"/>
    </row>
    <row r="38">
      <c r="A38" s="5"/>
      <c r="B38" s="9"/>
      <c r="C38" s="5"/>
      <c r="D38" s="9"/>
      <c r="E38" s="9"/>
      <c r="F38" s="9"/>
      <c r="G38" s="9"/>
      <c r="H38" s="9"/>
      <c r="I38" s="9"/>
      <c r="J38" s="5"/>
      <c r="K38" s="4"/>
      <c r="L38" s="10"/>
      <c r="M38" s="10"/>
      <c r="N38" s="10"/>
      <c r="O38" s="10"/>
      <c r="P38" s="10"/>
      <c r="Q38" s="11"/>
      <c r="R38" s="9"/>
      <c r="S38" s="12"/>
      <c r="T38" s="5"/>
      <c r="U38" s="5"/>
      <c r="V38" s="4"/>
      <c r="W38" s="4"/>
      <c r="X38" s="4"/>
      <c r="Y38" s="4"/>
    </row>
    <row r="39">
      <c r="A39" s="5"/>
      <c r="B39" s="9"/>
      <c r="C39" s="5"/>
      <c r="D39" s="9"/>
      <c r="E39" s="9"/>
      <c r="F39" s="9"/>
      <c r="G39" s="9"/>
      <c r="H39" s="9"/>
      <c r="I39" s="9"/>
      <c r="J39" s="5"/>
      <c r="K39" s="4"/>
      <c r="L39" s="10"/>
      <c r="M39" s="10"/>
      <c r="N39" s="10"/>
      <c r="O39" s="10"/>
      <c r="P39" s="10"/>
      <c r="Q39" s="11"/>
      <c r="R39" s="9"/>
      <c r="S39" s="12"/>
      <c r="T39" s="5"/>
      <c r="U39" s="5"/>
      <c r="V39" s="4"/>
      <c r="W39" s="4"/>
      <c r="X39" s="4"/>
      <c r="Y39" s="4"/>
    </row>
    <row r="40">
      <c r="A40" s="5"/>
      <c r="B40" s="9"/>
      <c r="C40" s="5"/>
      <c r="D40" s="9"/>
      <c r="E40" s="9"/>
      <c r="F40" s="9"/>
      <c r="G40" s="9"/>
      <c r="H40" s="9"/>
      <c r="I40" s="9"/>
      <c r="J40" s="5"/>
      <c r="K40" s="4"/>
      <c r="L40" s="10"/>
      <c r="M40" s="10"/>
      <c r="N40" s="10"/>
      <c r="O40" s="10"/>
      <c r="P40" s="10"/>
      <c r="Q40" s="11"/>
      <c r="R40" s="9"/>
      <c r="S40" s="12"/>
      <c r="T40" s="5"/>
      <c r="U40" s="5"/>
      <c r="V40" s="4"/>
      <c r="W40" s="4"/>
      <c r="X40" s="4"/>
      <c r="Y40" s="4"/>
    </row>
    <row r="41">
      <c r="A41" s="5"/>
      <c r="B41" s="9"/>
      <c r="C41" s="5"/>
      <c r="D41" s="9"/>
      <c r="E41" s="9"/>
      <c r="F41" s="9"/>
      <c r="G41" s="9"/>
      <c r="H41" s="9"/>
      <c r="I41" s="9"/>
      <c r="J41" s="5"/>
      <c r="K41" s="4"/>
      <c r="L41" s="10"/>
      <c r="M41" s="10"/>
      <c r="N41" s="10"/>
      <c r="O41" s="10"/>
      <c r="P41" s="10"/>
      <c r="Q41" s="11"/>
      <c r="R41" s="9"/>
      <c r="S41" s="12"/>
      <c r="T41" s="5"/>
      <c r="U41" s="5"/>
      <c r="V41" s="4"/>
      <c r="W41" s="4"/>
      <c r="X41" s="4"/>
      <c r="Y41" s="4"/>
    </row>
    <row r="42">
      <c r="A42" s="5"/>
      <c r="B42" s="9"/>
      <c r="C42" s="5"/>
      <c r="D42" s="9"/>
      <c r="E42" s="9"/>
      <c r="F42" s="9"/>
      <c r="G42" s="9"/>
      <c r="H42" s="9"/>
      <c r="I42" s="9"/>
      <c r="J42" s="5"/>
      <c r="K42" s="4"/>
      <c r="L42" s="10"/>
      <c r="M42" s="10"/>
      <c r="N42" s="10"/>
      <c r="O42" s="10"/>
      <c r="P42" s="10"/>
      <c r="Q42" s="11"/>
      <c r="R42" s="9"/>
      <c r="S42" s="12"/>
      <c r="T42" s="5"/>
      <c r="U42" s="5"/>
      <c r="V42" s="4"/>
      <c r="W42" s="4"/>
      <c r="X42" s="4"/>
      <c r="Y42" s="4"/>
    </row>
    <row r="43">
      <c r="A43" s="5"/>
      <c r="B43" s="9"/>
      <c r="C43" s="5"/>
      <c r="D43" s="9"/>
      <c r="E43" s="9"/>
      <c r="F43" s="9"/>
      <c r="G43" s="9"/>
      <c r="H43" s="9"/>
      <c r="I43" s="9"/>
      <c r="J43" s="5"/>
      <c r="K43" s="4"/>
      <c r="L43" s="10"/>
      <c r="M43" s="10"/>
      <c r="N43" s="10"/>
      <c r="O43" s="10"/>
      <c r="P43" s="10"/>
      <c r="Q43" s="11"/>
      <c r="R43" s="9"/>
      <c r="S43" s="12"/>
      <c r="T43" s="5"/>
      <c r="U43" s="5"/>
      <c r="V43" s="4"/>
      <c r="W43" s="4"/>
      <c r="X43" s="4"/>
      <c r="Y43" s="4"/>
    </row>
    <row r="44">
      <c r="A44" s="5"/>
      <c r="B44" s="9"/>
      <c r="C44" s="5"/>
      <c r="D44" s="9"/>
      <c r="E44" s="9"/>
      <c r="F44" s="9"/>
      <c r="G44" s="9"/>
      <c r="H44" s="9"/>
      <c r="I44" s="9"/>
      <c r="J44" s="5"/>
      <c r="K44" s="4"/>
      <c r="L44" s="10"/>
      <c r="M44" s="10"/>
      <c r="N44" s="10"/>
      <c r="O44" s="10"/>
      <c r="P44" s="10"/>
      <c r="Q44" s="11"/>
      <c r="R44" s="9"/>
      <c r="S44" s="12"/>
      <c r="T44" s="5"/>
      <c r="U44" s="5"/>
      <c r="V44" s="4"/>
      <c r="W44" s="4"/>
      <c r="X44" s="4"/>
      <c r="Y44" s="4"/>
    </row>
    <row r="45">
      <c r="A45" s="5"/>
      <c r="B45" s="9"/>
      <c r="C45" s="5"/>
      <c r="D45" s="9"/>
      <c r="E45" s="9"/>
      <c r="F45" s="9"/>
      <c r="G45" s="9"/>
      <c r="H45" s="9"/>
      <c r="I45" s="9"/>
      <c r="J45" s="5"/>
      <c r="K45" s="4"/>
      <c r="L45" s="10"/>
      <c r="M45" s="10"/>
      <c r="N45" s="10"/>
      <c r="O45" s="10"/>
      <c r="P45" s="10"/>
      <c r="Q45" s="11"/>
      <c r="R45" s="9"/>
      <c r="S45" s="12"/>
      <c r="T45" s="5"/>
      <c r="U45" s="5"/>
      <c r="V45" s="4"/>
      <c r="W45" s="4"/>
      <c r="X45" s="4"/>
      <c r="Y45" s="4"/>
    </row>
    <row r="46">
      <c r="A46" s="5"/>
      <c r="B46" s="9"/>
      <c r="C46" s="5"/>
      <c r="D46" s="9"/>
      <c r="E46" s="9"/>
      <c r="F46" s="9"/>
      <c r="G46" s="9"/>
      <c r="H46" s="9"/>
      <c r="I46" s="9"/>
      <c r="J46" s="5"/>
      <c r="K46" s="4"/>
      <c r="L46" s="10"/>
      <c r="M46" s="10"/>
      <c r="N46" s="10"/>
      <c r="O46" s="10"/>
      <c r="P46" s="10"/>
      <c r="Q46" s="11"/>
      <c r="R46" s="9"/>
      <c r="S46" s="12"/>
      <c r="T46" s="5"/>
      <c r="U46" s="5"/>
      <c r="V46" s="4"/>
      <c r="W46" s="4"/>
      <c r="X46" s="4"/>
      <c r="Y46" s="4"/>
    </row>
    <row r="47">
      <c r="A47" s="5"/>
      <c r="B47" s="9"/>
      <c r="C47" s="5"/>
      <c r="D47" s="9"/>
      <c r="E47" s="9"/>
      <c r="F47" s="9"/>
      <c r="G47" s="9"/>
      <c r="H47" s="9"/>
      <c r="I47" s="9"/>
      <c r="J47" s="5"/>
      <c r="K47" s="4"/>
      <c r="L47" s="10"/>
      <c r="M47" s="10"/>
      <c r="N47" s="10"/>
      <c r="O47" s="10"/>
      <c r="P47" s="10"/>
      <c r="Q47" s="11"/>
      <c r="R47" s="9"/>
      <c r="S47" s="12"/>
      <c r="T47" s="5"/>
      <c r="U47" s="5"/>
      <c r="V47" s="4"/>
      <c r="W47" s="4"/>
      <c r="X47" s="4"/>
      <c r="Y47" s="4"/>
    </row>
    <row r="48">
      <c r="A48" s="5"/>
      <c r="B48" s="9"/>
      <c r="C48" s="5"/>
      <c r="D48" s="9"/>
      <c r="E48" s="9"/>
      <c r="F48" s="9"/>
      <c r="G48" s="9"/>
      <c r="H48" s="9"/>
      <c r="I48" s="9"/>
      <c r="J48" s="5"/>
      <c r="K48" s="4"/>
      <c r="L48" s="10"/>
      <c r="M48" s="10"/>
      <c r="N48" s="10"/>
      <c r="O48" s="10"/>
      <c r="P48" s="10"/>
      <c r="Q48" s="11"/>
      <c r="R48" s="9"/>
      <c r="S48" s="12"/>
      <c r="T48" s="5"/>
      <c r="U48" s="5"/>
      <c r="V48" s="4"/>
      <c r="W48" s="4"/>
      <c r="X48" s="4"/>
      <c r="Y48" s="4"/>
    </row>
    <row r="49">
      <c r="A49" s="5"/>
      <c r="B49" s="9"/>
      <c r="C49" s="5"/>
      <c r="D49" s="9"/>
      <c r="E49" s="9"/>
      <c r="F49" s="9"/>
      <c r="G49" s="9"/>
      <c r="H49" s="9"/>
      <c r="I49" s="9"/>
      <c r="J49" s="5"/>
      <c r="K49" s="4"/>
      <c r="L49" s="10"/>
      <c r="M49" s="10"/>
      <c r="N49" s="10"/>
      <c r="O49" s="10"/>
      <c r="P49" s="10"/>
      <c r="Q49" s="11"/>
      <c r="R49" s="9"/>
      <c r="S49" s="12"/>
      <c r="T49" s="5"/>
      <c r="U49" s="5"/>
      <c r="V49" s="4"/>
      <c r="W49" s="4"/>
      <c r="X49" s="4"/>
      <c r="Y49" s="4"/>
    </row>
    <row r="50">
      <c r="A50" s="5"/>
      <c r="B50" s="9"/>
      <c r="C50" s="5"/>
      <c r="D50" s="9"/>
      <c r="E50" s="9"/>
      <c r="F50" s="9"/>
      <c r="G50" s="9"/>
      <c r="H50" s="9"/>
      <c r="I50" s="9"/>
      <c r="J50" s="5"/>
      <c r="K50" s="4"/>
      <c r="L50" s="10"/>
      <c r="M50" s="10"/>
      <c r="N50" s="10"/>
      <c r="O50" s="10"/>
      <c r="P50" s="10"/>
      <c r="Q50" s="11"/>
      <c r="R50" s="9"/>
      <c r="S50" s="12"/>
      <c r="T50" s="5"/>
      <c r="U50" s="5"/>
      <c r="V50" s="4"/>
      <c r="W50" s="4"/>
      <c r="X50" s="4"/>
      <c r="Y50" s="4"/>
    </row>
    <row r="51">
      <c r="A51" s="5"/>
      <c r="B51" s="9"/>
      <c r="C51" s="5"/>
      <c r="D51" s="9"/>
      <c r="E51" s="9"/>
      <c r="F51" s="9"/>
      <c r="G51" s="9"/>
      <c r="H51" s="9"/>
      <c r="I51" s="9"/>
      <c r="J51" s="5"/>
      <c r="K51" s="4"/>
      <c r="L51" s="10"/>
      <c r="M51" s="10"/>
      <c r="N51" s="10"/>
      <c r="O51" s="10"/>
      <c r="P51" s="10"/>
      <c r="Q51" s="11"/>
      <c r="R51" s="9"/>
      <c r="S51" s="12"/>
      <c r="T51" s="5"/>
      <c r="U51" s="5"/>
      <c r="V51" s="4"/>
      <c r="W51" s="4"/>
      <c r="X51" s="4"/>
      <c r="Y51" s="4"/>
    </row>
    <row r="52">
      <c r="A52" s="5"/>
      <c r="B52" s="9"/>
      <c r="C52" s="5"/>
      <c r="D52" s="9"/>
      <c r="E52" s="9"/>
      <c r="F52" s="9"/>
      <c r="G52" s="9"/>
      <c r="H52" s="9"/>
      <c r="I52" s="9"/>
      <c r="J52" s="5"/>
      <c r="K52" s="4"/>
      <c r="L52" s="10"/>
      <c r="M52" s="10"/>
      <c r="N52" s="10"/>
      <c r="O52" s="10"/>
      <c r="P52" s="10"/>
      <c r="Q52" s="11"/>
      <c r="R52" s="9"/>
      <c r="S52" s="12"/>
      <c r="T52" s="5"/>
      <c r="U52" s="5"/>
      <c r="V52" s="4"/>
      <c r="W52" s="4"/>
      <c r="X52" s="4"/>
      <c r="Y52" s="4"/>
    </row>
    <row r="53">
      <c r="A53" s="5"/>
      <c r="B53" s="9"/>
      <c r="C53" s="5"/>
      <c r="D53" s="9"/>
      <c r="E53" s="9"/>
      <c r="F53" s="9"/>
      <c r="G53" s="9"/>
      <c r="H53" s="9"/>
      <c r="I53" s="9"/>
      <c r="J53" s="5"/>
      <c r="K53" s="4"/>
      <c r="L53" s="10"/>
      <c r="M53" s="10"/>
      <c r="N53" s="10"/>
      <c r="O53" s="10"/>
      <c r="P53" s="10"/>
      <c r="Q53" s="11"/>
      <c r="R53" s="9"/>
      <c r="S53" s="12"/>
      <c r="T53" s="5"/>
      <c r="U53" s="5"/>
      <c r="V53" s="4"/>
      <c r="W53" s="4"/>
      <c r="X53" s="4"/>
      <c r="Y53" s="4"/>
    </row>
    <row r="54">
      <c r="A54" s="5"/>
      <c r="B54" s="9"/>
      <c r="C54" s="5"/>
      <c r="D54" s="9"/>
      <c r="E54" s="9"/>
      <c r="F54" s="9"/>
      <c r="G54" s="9"/>
      <c r="H54" s="9"/>
      <c r="I54" s="9"/>
      <c r="J54" s="5"/>
      <c r="K54" s="4"/>
      <c r="L54" s="10"/>
      <c r="M54" s="10"/>
      <c r="N54" s="10"/>
      <c r="O54" s="10"/>
      <c r="P54" s="10"/>
      <c r="Q54" s="11"/>
      <c r="R54" s="9"/>
      <c r="S54" s="12"/>
      <c r="T54" s="5"/>
      <c r="U54" s="5"/>
      <c r="V54" s="4"/>
      <c r="W54" s="4"/>
      <c r="X54" s="4"/>
      <c r="Y54" s="4"/>
    </row>
    <row r="55">
      <c r="A55" s="5"/>
      <c r="B55" s="9"/>
      <c r="C55" s="5"/>
      <c r="D55" s="9"/>
      <c r="E55" s="9"/>
      <c r="F55" s="9"/>
      <c r="G55" s="9"/>
      <c r="H55" s="9"/>
      <c r="I55" s="9"/>
      <c r="J55" s="5"/>
      <c r="K55" s="4"/>
      <c r="L55" s="10"/>
      <c r="M55" s="10"/>
      <c r="N55" s="10"/>
      <c r="O55" s="10"/>
      <c r="P55" s="10"/>
      <c r="Q55" s="11"/>
      <c r="R55" s="9"/>
      <c r="S55" s="12"/>
      <c r="T55" s="5"/>
      <c r="U55" s="5"/>
      <c r="V55" s="4"/>
      <c r="W55" s="4"/>
      <c r="X55" s="4"/>
      <c r="Y55" s="4"/>
    </row>
    <row r="56">
      <c r="A56" s="5"/>
      <c r="B56" s="9"/>
      <c r="C56" s="5"/>
      <c r="D56" s="9"/>
      <c r="E56" s="9"/>
      <c r="F56" s="9"/>
      <c r="G56" s="9"/>
      <c r="H56" s="9"/>
      <c r="I56" s="9"/>
      <c r="J56" s="5"/>
      <c r="K56" s="4"/>
      <c r="L56" s="10"/>
      <c r="M56" s="10"/>
      <c r="N56" s="10"/>
      <c r="O56" s="10"/>
      <c r="P56" s="10"/>
      <c r="Q56" s="11"/>
      <c r="R56" s="9"/>
      <c r="S56" s="12"/>
      <c r="T56" s="5"/>
      <c r="U56" s="5"/>
      <c r="V56" s="4"/>
      <c r="W56" s="4"/>
      <c r="X56" s="4"/>
      <c r="Y56" s="4"/>
    </row>
    <row r="57">
      <c r="A57" s="5"/>
      <c r="B57" s="9"/>
      <c r="C57" s="5"/>
      <c r="D57" s="9"/>
      <c r="E57" s="9"/>
      <c r="F57" s="9"/>
      <c r="G57" s="9"/>
      <c r="H57" s="9"/>
      <c r="I57" s="9"/>
      <c r="J57" s="5"/>
      <c r="K57" s="4"/>
      <c r="L57" s="10"/>
      <c r="M57" s="10"/>
      <c r="N57" s="10"/>
      <c r="O57" s="10"/>
      <c r="P57" s="10"/>
      <c r="Q57" s="11"/>
      <c r="R57" s="9"/>
      <c r="S57" s="12"/>
      <c r="T57" s="5"/>
      <c r="U57" s="5"/>
      <c r="V57" s="4"/>
      <c r="W57" s="4"/>
      <c r="X57" s="4"/>
      <c r="Y57" s="4"/>
    </row>
    <row r="58">
      <c r="A58" s="5"/>
      <c r="B58" s="9"/>
      <c r="C58" s="5"/>
      <c r="D58" s="9"/>
      <c r="E58" s="9"/>
      <c r="F58" s="9"/>
      <c r="G58" s="9"/>
      <c r="H58" s="9"/>
      <c r="I58" s="9"/>
      <c r="J58" s="5"/>
      <c r="K58" s="4"/>
      <c r="L58" s="10"/>
      <c r="M58" s="10"/>
      <c r="N58" s="10"/>
      <c r="O58" s="10"/>
      <c r="P58" s="10"/>
      <c r="Q58" s="11"/>
      <c r="R58" s="9"/>
      <c r="S58" s="12"/>
      <c r="T58" s="5"/>
      <c r="U58" s="5"/>
      <c r="V58" s="4"/>
      <c r="W58" s="4"/>
      <c r="X58" s="4"/>
      <c r="Y58" s="4"/>
    </row>
    <row r="59">
      <c r="A59" s="5"/>
      <c r="B59" s="9"/>
      <c r="C59" s="5"/>
      <c r="D59" s="9"/>
      <c r="E59" s="9"/>
      <c r="F59" s="9"/>
      <c r="G59" s="9"/>
      <c r="H59" s="9"/>
      <c r="I59" s="9"/>
      <c r="J59" s="5"/>
      <c r="K59" s="4"/>
      <c r="L59" s="10"/>
      <c r="M59" s="10"/>
      <c r="N59" s="10"/>
      <c r="O59" s="10"/>
      <c r="P59" s="10"/>
      <c r="Q59" s="11"/>
      <c r="R59" s="9"/>
      <c r="S59" s="12"/>
      <c r="T59" s="5"/>
      <c r="U59" s="5"/>
      <c r="V59" s="4"/>
      <c r="W59" s="4"/>
      <c r="X59" s="4"/>
      <c r="Y59" s="4"/>
    </row>
    <row r="60">
      <c r="A60" s="5"/>
      <c r="B60" s="9"/>
      <c r="C60" s="5"/>
      <c r="D60" s="9"/>
      <c r="E60" s="9"/>
      <c r="F60" s="9"/>
      <c r="G60" s="9"/>
      <c r="H60" s="9"/>
      <c r="I60" s="9"/>
      <c r="J60" s="5"/>
      <c r="K60" s="4"/>
      <c r="L60" s="10"/>
      <c r="M60" s="10"/>
      <c r="N60" s="10"/>
      <c r="O60" s="10"/>
      <c r="P60" s="10"/>
      <c r="Q60" s="11"/>
      <c r="R60" s="9"/>
      <c r="S60" s="12"/>
      <c r="T60" s="5"/>
      <c r="U60" s="5"/>
      <c r="V60" s="4"/>
      <c r="W60" s="4"/>
      <c r="X60" s="4"/>
      <c r="Y60" s="4"/>
    </row>
    <row r="61">
      <c r="A61" s="5"/>
      <c r="B61" s="9"/>
      <c r="C61" s="5"/>
      <c r="D61" s="9"/>
      <c r="E61" s="9"/>
      <c r="F61" s="9"/>
      <c r="G61" s="9"/>
      <c r="H61" s="9"/>
      <c r="I61" s="9"/>
      <c r="J61" s="5"/>
      <c r="K61" s="4"/>
      <c r="L61" s="10"/>
      <c r="M61" s="10"/>
      <c r="N61" s="10"/>
      <c r="O61" s="10"/>
      <c r="P61" s="10"/>
      <c r="Q61" s="11"/>
      <c r="R61" s="9"/>
      <c r="S61" s="12"/>
      <c r="T61" s="5"/>
      <c r="U61" s="5"/>
      <c r="V61" s="4"/>
      <c r="W61" s="4"/>
      <c r="X61" s="4"/>
      <c r="Y61" s="4"/>
    </row>
    <row r="62">
      <c r="A62" s="5"/>
      <c r="B62" s="9"/>
      <c r="C62" s="5"/>
      <c r="D62" s="9"/>
      <c r="E62" s="9"/>
      <c r="F62" s="9"/>
      <c r="G62" s="9"/>
      <c r="H62" s="9"/>
      <c r="I62" s="9"/>
      <c r="J62" s="5"/>
      <c r="K62" s="4"/>
      <c r="L62" s="10"/>
      <c r="M62" s="10"/>
      <c r="N62" s="10"/>
      <c r="O62" s="10"/>
      <c r="P62" s="10"/>
      <c r="Q62" s="11"/>
      <c r="R62" s="9"/>
      <c r="S62" s="12"/>
      <c r="T62" s="5"/>
      <c r="U62" s="5"/>
      <c r="V62" s="4"/>
      <c r="W62" s="4"/>
      <c r="X62" s="4"/>
      <c r="Y62" s="4"/>
    </row>
    <row r="63">
      <c r="A63" s="5"/>
      <c r="B63" s="9"/>
      <c r="C63" s="5"/>
      <c r="D63" s="9"/>
      <c r="E63" s="9"/>
      <c r="F63" s="9"/>
      <c r="G63" s="9"/>
      <c r="H63" s="9"/>
      <c r="I63" s="9"/>
      <c r="J63" s="5"/>
      <c r="K63" s="4"/>
      <c r="L63" s="10"/>
      <c r="M63" s="10"/>
      <c r="N63" s="10"/>
      <c r="O63" s="10"/>
      <c r="P63" s="10"/>
      <c r="Q63" s="11"/>
      <c r="R63" s="9"/>
      <c r="S63" s="12"/>
      <c r="T63" s="5"/>
      <c r="U63" s="5"/>
      <c r="V63" s="4"/>
      <c r="W63" s="4"/>
      <c r="X63" s="4"/>
      <c r="Y63" s="4"/>
    </row>
    <row r="64">
      <c r="A64" s="5"/>
      <c r="B64" s="9"/>
      <c r="C64" s="5"/>
      <c r="D64" s="9"/>
      <c r="E64" s="9"/>
      <c r="F64" s="9"/>
      <c r="G64" s="9"/>
      <c r="H64" s="9"/>
      <c r="I64" s="9"/>
      <c r="J64" s="5"/>
      <c r="K64" s="4"/>
      <c r="L64" s="10"/>
      <c r="M64" s="10"/>
      <c r="N64" s="10"/>
      <c r="O64" s="10"/>
      <c r="P64" s="10"/>
      <c r="Q64" s="11"/>
      <c r="R64" s="9"/>
      <c r="S64" s="12"/>
      <c r="T64" s="5"/>
      <c r="U64" s="5"/>
      <c r="V64" s="4"/>
      <c r="W64" s="4"/>
      <c r="X64" s="4"/>
      <c r="Y64" s="4"/>
    </row>
    <row r="65">
      <c r="A65" s="5"/>
      <c r="B65" s="9"/>
      <c r="C65" s="5"/>
      <c r="D65" s="9"/>
      <c r="E65" s="9"/>
      <c r="F65" s="9"/>
      <c r="G65" s="9"/>
      <c r="H65" s="9"/>
      <c r="I65" s="9"/>
      <c r="J65" s="5"/>
      <c r="K65" s="4"/>
      <c r="L65" s="10"/>
      <c r="M65" s="10"/>
      <c r="N65" s="10"/>
      <c r="O65" s="10"/>
      <c r="P65" s="10"/>
      <c r="Q65" s="11"/>
      <c r="R65" s="9"/>
      <c r="S65" s="12"/>
      <c r="T65" s="5"/>
      <c r="U65" s="5"/>
      <c r="V65" s="4"/>
      <c r="W65" s="4"/>
      <c r="X65" s="4"/>
      <c r="Y65" s="4"/>
    </row>
    <row r="66">
      <c r="A66" s="5"/>
      <c r="B66" s="9"/>
      <c r="C66" s="5"/>
      <c r="D66" s="9"/>
      <c r="E66" s="9"/>
      <c r="F66" s="9"/>
      <c r="G66" s="9"/>
      <c r="H66" s="9"/>
      <c r="I66" s="9"/>
      <c r="J66" s="5"/>
      <c r="K66" s="4"/>
      <c r="L66" s="10"/>
      <c r="M66" s="10"/>
      <c r="N66" s="10"/>
      <c r="O66" s="10"/>
      <c r="P66" s="10"/>
      <c r="Q66" s="11"/>
      <c r="R66" s="9"/>
      <c r="S66" s="12"/>
      <c r="T66" s="5"/>
      <c r="U66" s="5"/>
      <c r="V66" s="4"/>
      <c r="W66" s="4"/>
      <c r="X66" s="4"/>
      <c r="Y66" s="4"/>
    </row>
    <row r="67">
      <c r="A67" s="5"/>
      <c r="B67" s="9"/>
      <c r="C67" s="5"/>
      <c r="D67" s="9"/>
      <c r="E67" s="9"/>
      <c r="F67" s="9"/>
      <c r="G67" s="9"/>
      <c r="H67" s="9"/>
      <c r="I67" s="9"/>
      <c r="J67" s="5"/>
      <c r="K67" s="4"/>
      <c r="L67" s="10"/>
      <c r="M67" s="10"/>
      <c r="N67" s="10"/>
      <c r="O67" s="10"/>
      <c r="P67" s="10"/>
      <c r="Q67" s="11"/>
      <c r="R67" s="9"/>
      <c r="S67" s="12"/>
      <c r="T67" s="5"/>
      <c r="U67" s="5"/>
      <c r="V67" s="4"/>
      <c r="W67" s="4"/>
      <c r="X67" s="4"/>
      <c r="Y67" s="4"/>
    </row>
    <row r="68">
      <c r="A68" s="5"/>
      <c r="B68" s="9"/>
      <c r="C68" s="5"/>
      <c r="D68" s="9"/>
      <c r="E68" s="9"/>
      <c r="F68" s="9"/>
      <c r="G68" s="9"/>
      <c r="H68" s="9"/>
      <c r="I68" s="9"/>
      <c r="J68" s="5"/>
      <c r="K68" s="4"/>
      <c r="L68" s="10"/>
      <c r="M68" s="10"/>
      <c r="N68" s="10"/>
      <c r="O68" s="10"/>
      <c r="P68" s="10"/>
      <c r="Q68" s="11"/>
      <c r="R68" s="9"/>
      <c r="S68" s="12"/>
      <c r="T68" s="5"/>
      <c r="U68" s="5"/>
      <c r="V68" s="4"/>
      <c r="W68" s="4"/>
      <c r="X68" s="4"/>
      <c r="Y68" s="4"/>
    </row>
    <row r="69">
      <c r="A69" s="5"/>
      <c r="B69" s="9"/>
      <c r="C69" s="5"/>
      <c r="D69" s="9"/>
      <c r="E69" s="9"/>
      <c r="F69" s="9"/>
      <c r="G69" s="9"/>
      <c r="H69" s="9"/>
      <c r="I69" s="9"/>
      <c r="J69" s="5"/>
      <c r="K69" s="4"/>
      <c r="L69" s="10"/>
      <c r="M69" s="10"/>
      <c r="N69" s="10"/>
      <c r="O69" s="10"/>
      <c r="P69" s="10"/>
      <c r="Q69" s="11"/>
      <c r="R69" s="9"/>
      <c r="S69" s="12"/>
      <c r="T69" s="5"/>
      <c r="U69" s="5"/>
      <c r="V69" s="4"/>
      <c r="W69" s="4"/>
      <c r="X69" s="4"/>
      <c r="Y69" s="4"/>
    </row>
    <row r="70">
      <c r="A70" s="5"/>
      <c r="B70" s="9"/>
      <c r="C70" s="5"/>
      <c r="D70" s="9"/>
      <c r="E70" s="9"/>
      <c r="F70" s="9"/>
      <c r="G70" s="9"/>
      <c r="H70" s="9"/>
      <c r="I70" s="9"/>
      <c r="J70" s="5"/>
      <c r="K70" s="4"/>
      <c r="L70" s="10"/>
      <c r="M70" s="10"/>
      <c r="N70" s="10"/>
      <c r="O70" s="10"/>
      <c r="P70" s="10"/>
      <c r="Q70" s="11"/>
      <c r="R70" s="9"/>
      <c r="S70" s="12"/>
      <c r="T70" s="5"/>
      <c r="U70" s="5"/>
      <c r="V70" s="4"/>
      <c r="W70" s="4"/>
      <c r="X70" s="4"/>
      <c r="Y70" s="4"/>
    </row>
    <row r="71">
      <c r="A71" s="5"/>
      <c r="B71" s="9"/>
      <c r="C71" s="5"/>
      <c r="D71" s="9"/>
      <c r="E71" s="9"/>
      <c r="F71" s="9"/>
      <c r="G71" s="9"/>
      <c r="H71" s="9"/>
      <c r="I71" s="9"/>
      <c r="J71" s="5"/>
      <c r="K71" s="4"/>
      <c r="L71" s="10"/>
      <c r="M71" s="10"/>
      <c r="N71" s="10"/>
      <c r="O71" s="10"/>
      <c r="P71" s="10"/>
      <c r="Q71" s="11"/>
      <c r="R71" s="9"/>
      <c r="S71" s="12"/>
      <c r="T71" s="5"/>
      <c r="U71" s="5"/>
      <c r="V71" s="4"/>
      <c r="W71" s="4"/>
      <c r="X71" s="4"/>
      <c r="Y71" s="4"/>
    </row>
    <row r="72">
      <c r="A72" s="5"/>
      <c r="B72" s="9"/>
      <c r="C72" s="5"/>
      <c r="D72" s="9"/>
      <c r="E72" s="9"/>
      <c r="F72" s="9"/>
      <c r="G72" s="9"/>
      <c r="H72" s="9"/>
      <c r="I72" s="9"/>
      <c r="J72" s="5"/>
      <c r="K72" s="4"/>
      <c r="L72" s="10"/>
      <c r="M72" s="10"/>
      <c r="N72" s="10"/>
      <c r="O72" s="10"/>
      <c r="P72" s="10"/>
      <c r="Q72" s="11"/>
      <c r="R72" s="9"/>
      <c r="S72" s="12"/>
      <c r="T72" s="5"/>
      <c r="U72" s="5"/>
      <c r="V72" s="4"/>
      <c r="W72" s="4"/>
      <c r="X72" s="4"/>
      <c r="Y72" s="4"/>
    </row>
    <row r="73">
      <c r="A73" s="5"/>
      <c r="B73" s="9"/>
      <c r="C73" s="5"/>
      <c r="D73" s="9"/>
      <c r="E73" s="9"/>
      <c r="F73" s="9"/>
      <c r="G73" s="9"/>
      <c r="H73" s="9"/>
      <c r="I73" s="9"/>
      <c r="J73" s="5"/>
      <c r="K73" s="4"/>
      <c r="L73" s="10"/>
      <c r="M73" s="10"/>
      <c r="N73" s="10"/>
      <c r="O73" s="10"/>
      <c r="P73" s="10"/>
      <c r="Q73" s="11"/>
      <c r="R73" s="9"/>
      <c r="S73" s="12"/>
      <c r="T73" s="5"/>
      <c r="U73" s="5"/>
      <c r="V73" s="4"/>
      <c r="W73" s="4"/>
      <c r="X73" s="4"/>
      <c r="Y73" s="4"/>
    </row>
    <row r="74">
      <c r="A74" s="5"/>
      <c r="B74" s="9"/>
      <c r="C74" s="5"/>
      <c r="D74" s="9"/>
      <c r="E74" s="9"/>
      <c r="F74" s="9"/>
      <c r="G74" s="9"/>
      <c r="H74" s="9"/>
      <c r="I74" s="9"/>
      <c r="J74" s="5"/>
      <c r="K74" s="4"/>
      <c r="L74" s="10"/>
      <c r="M74" s="10"/>
      <c r="N74" s="10"/>
      <c r="O74" s="10"/>
      <c r="P74" s="10"/>
      <c r="Q74" s="11"/>
      <c r="R74" s="9"/>
      <c r="S74" s="12"/>
      <c r="T74" s="5"/>
      <c r="U74" s="5"/>
      <c r="V74" s="4"/>
      <c r="W74" s="4"/>
      <c r="X74" s="4"/>
      <c r="Y74" s="4"/>
    </row>
    <row r="75">
      <c r="A75" s="5"/>
      <c r="B75" s="9"/>
      <c r="C75" s="5"/>
      <c r="D75" s="9"/>
      <c r="E75" s="9"/>
      <c r="F75" s="9"/>
      <c r="G75" s="9"/>
      <c r="H75" s="9"/>
      <c r="I75" s="9"/>
      <c r="J75" s="5"/>
      <c r="K75" s="4"/>
      <c r="L75" s="10"/>
      <c r="M75" s="10"/>
      <c r="N75" s="10"/>
      <c r="O75" s="10"/>
      <c r="P75" s="10"/>
      <c r="Q75" s="11"/>
      <c r="R75" s="9"/>
      <c r="S75" s="12"/>
      <c r="T75" s="5"/>
      <c r="U75" s="5"/>
      <c r="V75" s="4"/>
      <c r="W75" s="4"/>
      <c r="X75" s="4"/>
      <c r="Y75" s="4"/>
    </row>
    <row r="76">
      <c r="A76" s="5"/>
      <c r="B76" s="9"/>
      <c r="C76" s="5"/>
      <c r="D76" s="9"/>
      <c r="E76" s="9"/>
      <c r="F76" s="9"/>
      <c r="G76" s="9"/>
      <c r="H76" s="9"/>
      <c r="I76" s="9"/>
      <c r="J76" s="5"/>
      <c r="K76" s="4"/>
      <c r="L76" s="10"/>
      <c r="M76" s="10"/>
      <c r="N76" s="10"/>
      <c r="O76" s="10"/>
      <c r="P76" s="10"/>
      <c r="Q76" s="11"/>
      <c r="R76" s="9"/>
      <c r="S76" s="12"/>
      <c r="T76" s="5"/>
      <c r="U76" s="5"/>
      <c r="V76" s="4"/>
      <c r="W76" s="4"/>
      <c r="X76" s="4"/>
      <c r="Y76" s="4"/>
    </row>
    <row r="77">
      <c r="A77" s="5"/>
      <c r="B77" s="9"/>
      <c r="C77" s="5"/>
      <c r="D77" s="9"/>
      <c r="E77" s="9"/>
      <c r="F77" s="9"/>
      <c r="G77" s="9"/>
      <c r="H77" s="9"/>
      <c r="I77" s="9"/>
      <c r="J77" s="5"/>
      <c r="K77" s="4"/>
      <c r="L77" s="10"/>
      <c r="M77" s="10"/>
      <c r="N77" s="10"/>
      <c r="O77" s="10"/>
      <c r="P77" s="10"/>
      <c r="Q77" s="11"/>
      <c r="R77" s="9"/>
      <c r="S77" s="12"/>
      <c r="T77" s="5"/>
      <c r="U77" s="5"/>
      <c r="V77" s="4"/>
      <c r="W77" s="4"/>
      <c r="X77" s="4"/>
      <c r="Y77" s="4"/>
    </row>
    <row r="78">
      <c r="A78" s="5"/>
      <c r="B78" s="9"/>
      <c r="C78" s="5"/>
      <c r="D78" s="9"/>
      <c r="E78" s="9"/>
      <c r="F78" s="9"/>
      <c r="G78" s="9"/>
      <c r="H78" s="9"/>
      <c r="I78" s="9"/>
      <c r="J78" s="5"/>
      <c r="K78" s="4"/>
      <c r="L78" s="10"/>
      <c r="M78" s="10"/>
      <c r="N78" s="10"/>
      <c r="O78" s="10"/>
      <c r="P78" s="10"/>
      <c r="Q78" s="11"/>
      <c r="R78" s="9"/>
      <c r="S78" s="12"/>
      <c r="T78" s="5"/>
      <c r="U78" s="5"/>
      <c r="V78" s="4"/>
      <c r="W78" s="4"/>
      <c r="X78" s="4"/>
      <c r="Y78" s="4"/>
    </row>
    <row r="79">
      <c r="A79" s="5"/>
      <c r="B79" s="9"/>
      <c r="C79" s="5"/>
      <c r="D79" s="9"/>
      <c r="E79" s="9"/>
      <c r="F79" s="9"/>
      <c r="G79" s="9"/>
      <c r="H79" s="9"/>
      <c r="I79" s="9"/>
      <c r="J79" s="5"/>
      <c r="K79" s="4"/>
      <c r="L79" s="10"/>
      <c r="M79" s="10"/>
      <c r="N79" s="10"/>
      <c r="O79" s="10"/>
      <c r="P79" s="10"/>
      <c r="Q79" s="11"/>
      <c r="R79" s="9"/>
      <c r="S79" s="12"/>
      <c r="T79" s="5"/>
      <c r="U79" s="5"/>
      <c r="V79" s="4"/>
      <c r="W79" s="4"/>
      <c r="X79" s="4"/>
      <c r="Y79" s="4"/>
    </row>
    <row r="80">
      <c r="A80" s="5"/>
      <c r="B80" s="9"/>
      <c r="C80" s="5"/>
      <c r="D80" s="9"/>
      <c r="E80" s="9"/>
      <c r="F80" s="9"/>
      <c r="G80" s="9"/>
      <c r="H80" s="9"/>
      <c r="I80" s="9"/>
      <c r="J80" s="5"/>
      <c r="K80" s="4"/>
      <c r="L80" s="10"/>
      <c r="M80" s="10"/>
      <c r="N80" s="10"/>
      <c r="O80" s="10"/>
      <c r="P80" s="10"/>
      <c r="Q80" s="11"/>
      <c r="R80" s="9"/>
      <c r="S80" s="12"/>
      <c r="T80" s="5"/>
      <c r="U80" s="5"/>
      <c r="V80" s="4"/>
      <c r="W80" s="4"/>
      <c r="X80" s="4"/>
      <c r="Y80" s="4"/>
    </row>
    <row r="81">
      <c r="A81" s="5"/>
      <c r="B81" s="9"/>
      <c r="C81" s="5"/>
      <c r="D81" s="9"/>
      <c r="E81" s="9"/>
      <c r="F81" s="9"/>
      <c r="G81" s="9"/>
      <c r="H81" s="9"/>
      <c r="I81" s="9"/>
      <c r="J81" s="5"/>
      <c r="K81" s="4"/>
      <c r="L81" s="10"/>
      <c r="M81" s="10"/>
      <c r="N81" s="10"/>
      <c r="O81" s="10"/>
      <c r="P81" s="10"/>
      <c r="Q81" s="11"/>
      <c r="R81" s="9"/>
      <c r="S81" s="12"/>
      <c r="T81" s="5"/>
      <c r="U81" s="5"/>
      <c r="V81" s="4"/>
      <c r="W81" s="4"/>
      <c r="X81" s="4"/>
      <c r="Y81" s="4"/>
    </row>
    <row r="82">
      <c r="A82" s="5"/>
      <c r="B82" s="9"/>
      <c r="C82" s="5"/>
      <c r="D82" s="9"/>
      <c r="E82" s="9"/>
      <c r="F82" s="9"/>
      <c r="G82" s="9"/>
      <c r="H82" s="9"/>
      <c r="I82" s="9"/>
      <c r="J82" s="5"/>
      <c r="K82" s="4"/>
      <c r="L82" s="10"/>
      <c r="M82" s="10"/>
      <c r="N82" s="10"/>
      <c r="O82" s="10"/>
      <c r="P82" s="10"/>
      <c r="Q82" s="11"/>
      <c r="R82" s="9"/>
      <c r="S82" s="12"/>
      <c r="T82" s="5"/>
      <c r="U82" s="5"/>
      <c r="V82" s="4"/>
      <c r="W82" s="4"/>
      <c r="X82" s="4"/>
      <c r="Y82" s="4"/>
    </row>
    <row r="83">
      <c r="A83" s="5"/>
      <c r="B83" s="9"/>
      <c r="C83" s="5"/>
      <c r="D83" s="9"/>
      <c r="E83" s="9"/>
      <c r="F83" s="9"/>
      <c r="G83" s="9"/>
      <c r="H83" s="9"/>
      <c r="I83" s="9"/>
      <c r="J83" s="5"/>
      <c r="K83" s="4"/>
      <c r="L83" s="10"/>
      <c r="M83" s="10"/>
      <c r="N83" s="10"/>
      <c r="O83" s="10"/>
      <c r="P83" s="10"/>
      <c r="Q83" s="11"/>
      <c r="R83" s="9"/>
      <c r="S83" s="12"/>
      <c r="T83" s="5"/>
      <c r="U83" s="5"/>
      <c r="V83" s="4"/>
      <c r="W83" s="4"/>
      <c r="X83" s="4"/>
      <c r="Y83" s="4"/>
    </row>
    <row r="84">
      <c r="A84" s="5"/>
      <c r="B84" s="9"/>
      <c r="C84" s="5"/>
      <c r="D84" s="9"/>
      <c r="E84" s="9"/>
      <c r="F84" s="9"/>
      <c r="G84" s="9"/>
      <c r="H84" s="9"/>
      <c r="I84" s="9"/>
      <c r="J84" s="5"/>
      <c r="K84" s="4"/>
      <c r="L84" s="10"/>
      <c r="M84" s="10"/>
      <c r="N84" s="10"/>
      <c r="O84" s="10"/>
      <c r="P84" s="10"/>
      <c r="Q84" s="11"/>
      <c r="R84" s="9"/>
      <c r="S84" s="12"/>
      <c r="T84" s="5"/>
      <c r="U84" s="5"/>
      <c r="V84" s="4"/>
      <c r="W84" s="4"/>
      <c r="X84" s="4"/>
      <c r="Y84" s="4"/>
    </row>
    <row r="85">
      <c r="A85" s="5"/>
      <c r="B85" s="9"/>
      <c r="C85" s="5"/>
      <c r="D85" s="9"/>
      <c r="E85" s="9"/>
      <c r="F85" s="9"/>
      <c r="G85" s="9"/>
      <c r="H85" s="9"/>
      <c r="I85" s="9"/>
      <c r="J85" s="5"/>
      <c r="K85" s="4"/>
      <c r="L85" s="10"/>
      <c r="M85" s="10"/>
      <c r="N85" s="10"/>
      <c r="O85" s="10"/>
      <c r="P85" s="10"/>
      <c r="Q85" s="11"/>
      <c r="R85" s="9"/>
      <c r="S85" s="12"/>
      <c r="T85" s="5"/>
      <c r="U85" s="5"/>
      <c r="V85" s="4"/>
      <c r="W85" s="4"/>
      <c r="X85" s="4"/>
      <c r="Y85" s="4"/>
    </row>
    <row r="86">
      <c r="A86" s="5"/>
      <c r="B86" s="9"/>
      <c r="C86" s="5"/>
      <c r="D86" s="9"/>
      <c r="E86" s="9"/>
      <c r="F86" s="9"/>
      <c r="G86" s="9"/>
      <c r="H86" s="9"/>
      <c r="I86" s="9"/>
      <c r="J86" s="5"/>
      <c r="K86" s="4"/>
      <c r="L86" s="10"/>
      <c r="M86" s="10"/>
      <c r="N86" s="10"/>
      <c r="O86" s="10"/>
      <c r="P86" s="10"/>
      <c r="Q86" s="11"/>
      <c r="R86" s="9"/>
      <c r="S86" s="12"/>
      <c r="T86" s="5"/>
      <c r="U86" s="5"/>
      <c r="V86" s="4"/>
      <c r="W86" s="4"/>
      <c r="X86" s="4"/>
      <c r="Y86" s="4"/>
    </row>
    <row r="87">
      <c r="A87" s="5"/>
      <c r="B87" s="9"/>
      <c r="C87" s="5"/>
      <c r="D87" s="9"/>
      <c r="E87" s="9"/>
      <c r="F87" s="9"/>
      <c r="G87" s="9"/>
      <c r="H87" s="9"/>
      <c r="I87" s="9"/>
      <c r="J87" s="5"/>
      <c r="K87" s="4"/>
      <c r="L87" s="10"/>
      <c r="M87" s="10"/>
      <c r="N87" s="10"/>
      <c r="O87" s="10"/>
      <c r="P87" s="10"/>
      <c r="Q87" s="11"/>
      <c r="R87" s="9"/>
      <c r="S87" s="12"/>
      <c r="T87" s="5"/>
      <c r="U87" s="5"/>
      <c r="V87" s="4"/>
      <c r="W87" s="4"/>
      <c r="X87" s="4"/>
      <c r="Y87" s="4"/>
    </row>
    <row r="88">
      <c r="A88" s="5"/>
      <c r="B88" s="9"/>
      <c r="C88" s="5"/>
      <c r="D88" s="9"/>
      <c r="E88" s="9"/>
      <c r="F88" s="9"/>
      <c r="G88" s="9"/>
      <c r="H88" s="9"/>
      <c r="I88" s="9"/>
      <c r="J88" s="5"/>
      <c r="K88" s="4"/>
      <c r="L88" s="10"/>
      <c r="M88" s="10"/>
      <c r="N88" s="10"/>
      <c r="O88" s="10"/>
      <c r="P88" s="10"/>
      <c r="Q88" s="11"/>
      <c r="R88" s="9"/>
      <c r="S88" s="12"/>
      <c r="T88" s="5"/>
      <c r="U88" s="5"/>
      <c r="V88" s="4"/>
      <c r="W88" s="4"/>
      <c r="X88" s="4"/>
      <c r="Y88" s="4"/>
    </row>
    <row r="89">
      <c r="A89" s="5"/>
      <c r="B89" s="9"/>
      <c r="C89" s="5"/>
      <c r="D89" s="9"/>
      <c r="E89" s="9"/>
      <c r="F89" s="9"/>
      <c r="G89" s="9"/>
      <c r="H89" s="9"/>
      <c r="I89" s="9"/>
      <c r="J89" s="5"/>
      <c r="K89" s="4"/>
      <c r="L89" s="10"/>
      <c r="M89" s="10"/>
      <c r="N89" s="10"/>
      <c r="O89" s="10"/>
      <c r="P89" s="10"/>
      <c r="Q89" s="11"/>
      <c r="R89" s="9"/>
      <c r="S89" s="12"/>
      <c r="T89" s="5"/>
      <c r="U89" s="5"/>
      <c r="V89" s="4"/>
      <c r="W89" s="4"/>
      <c r="X89" s="4"/>
      <c r="Y89" s="4"/>
    </row>
    <row r="90">
      <c r="A90" s="5"/>
      <c r="B90" s="9"/>
      <c r="C90" s="5"/>
      <c r="D90" s="9"/>
      <c r="E90" s="9"/>
      <c r="F90" s="9"/>
      <c r="G90" s="9"/>
      <c r="H90" s="9"/>
      <c r="I90" s="9"/>
      <c r="J90" s="5"/>
      <c r="K90" s="4"/>
      <c r="L90" s="10"/>
      <c r="M90" s="10"/>
      <c r="N90" s="10"/>
      <c r="O90" s="10"/>
      <c r="P90" s="10"/>
      <c r="Q90" s="11"/>
      <c r="R90" s="9"/>
      <c r="S90" s="12"/>
      <c r="T90" s="5"/>
      <c r="U90" s="5"/>
      <c r="V90" s="4"/>
      <c r="W90" s="4"/>
      <c r="X90" s="4"/>
      <c r="Y90" s="4"/>
    </row>
    <row r="91">
      <c r="A91" s="5"/>
      <c r="B91" s="9"/>
      <c r="C91" s="5"/>
      <c r="D91" s="9"/>
      <c r="E91" s="9"/>
      <c r="F91" s="9"/>
      <c r="G91" s="9"/>
      <c r="H91" s="9"/>
      <c r="I91" s="9"/>
      <c r="J91" s="5"/>
      <c r="K91" s="4"/>
      <c r="L91" s="10"/>
      <c r="M91" s="10"/>
      <c r="N91" s="10"/>
      <c r="O91" s="10"/>
      <c r="P91" s="10"/>
      <c r="Q91" s="11"/>
      <c r="R91" s="9"/>
      <c r="S91" s="12"/>
      <c r="T91" s="5"/>
      <c r="U91" s="5"/>
      <c r="V91" s="4"/>
      <c r="W91" s="4"/>
      <c r="X91" s="4"/>
      <c r="Y91" s="4"/>
    </row>
    <row r="92">
      <c r="A92" s="5"/>
      <c r="B92" s="9"/>
      <c r="C92" s="5"/>
      <c r="D92" s="9"/>
      <c r="E92" s="9"/>
      <c r="F92" s="9"/>
      <c r="G92" s="9"/>
      <c r="H92" s="9"/>
      <c r="I92" s="9"/>
      <c r="J92" s="5"/>
      <c r="K92" s="4"/>
      <c r="L92" s="10"/>
      <c r="M92" s="10"/>
      <c r="N92" s="10"/>
      <c r="O92" s="10"/>
      <c r="P92" s="10"/>
      <c r="Q92" s="11"/>
      <c r="R92" s="9"/>
      <c r="S92" s="12"/>
      <c r="T92" s="5"/>
      <c r="U92" s="5"/>
      <c r="V92" s="4"/>
      <c r="W92" s="4"/>
      <c r="X92" s="4"/>
      <c r="Y92" s="4"/>
    </row>
    <row r="93">
      <c r="A93" s="5"/>
      <c r="B93" s="9"/>
      <c r="C93" s="5"/>
      <c r="D93" s="9"/>
      <c r="E93" s="9"/>
      <c r="F93" s="9"/>
      <c r="G93" s="9"/>
      <c r="H93" s="9"/>
      <c r="I93" s="9"/>
      <c r="J93" s="5"/>
      <c r="K93" s="4"/>
      <c r="L93" s="10"/>
      <c r="M93" s="10"/>
      <c r="N93" s="10"/>
      <c r="O93" s="10"/>
      <c r="P93" s="10"/>
      <c r="Q93" s="11"/>
      <c r="R93" s="9"/>
      <c r="S93" s="12"/>
      <c r="T93" s="5"/>
      <c r="U93" s="5"/>
      <c r="V93" s="4"/>
      <c r="W93" s="4"/>
      <c r="X93" s="4"/>
      <c r="Y93" s="4"/>
    </row>
    <row r="94">
      <c r="A94" s="5"/>
      <c r="B94" s="9"/>
      <c r="C94" s="5"/>
      <c r="D94" s="9"/>
      <c r="E94" s="9"/>
      <c r="F94" s="9"/>
      <c r="G94" s="9"/>
      <c r="H94" s="9"/>
      <c r="I94" s="9"/>
      <c r="J94" s="5"/>
      <c r="K94" s="4"/>
      <c r="L94" s="10"/>
      <c r="M94" s="10"/>
      <c r="N94" s="10"/>
      <c r="O94" s="10"/>
      <c r="P94" s="10"/>
      <c r="Q94" s="11"/>
      <c r="R94" s="9"/>
      <c r="S94" s="12"/>
      <c r="T94" s="5"/>
      <c r="U94" s="5"/>
      <c r="V94" s="4"/>
      <c r="W94" s="4"/>
      <c r="X94" s="4"/>
      <c r="Y94" s="4"/>
    </row>
    <row r="95">
      <c r="A95" s="5"/>
      <c r="B95" s="9"/>
      <c r="C95" s="5"/>
      <c r="D95" s="9"/>
      <c r="E95" s="9"/>
      <c r="F95" s="9"/>
      <c r="G95" s="9"/>
      <c r="H95" s="9"/>
      <c r="I95" s="9"/>
      <c r="J95" s="5"/>
      <c r="K95" s="4"/>
      <c r="L95" s="10"/>
      <c r="M95" s="10"/>
      <c r="N95" s="10"/>
      <c r="O95" s="10"/>
      <c r="P95" s="10"/>
      <c r="Q95" s="11"/>
      <c r="R95" s="9"/>
      <c r="S95" s="12"/>
      <c r="T95" s="5"/>
      <c r="U95" s="5"/>
      <c r="V95" s="4"/>
      <c r="W95" s="4"/>
      <c r="X95" s="4"/>
      <c r="Y95" s="4"/>
    </row>
    <row r="96">
      <c r="A96" s="5"/>
      <c r="B96" s="9"/>
      <c r="C96" s="5"/>
      <c r="D96" s="9"/>
      <c r="E96" s="9"/>
      <c r="F96" s="9"/>
      <c r="G96" s="9"/>
      <c r="H96" s="9"/>
      <c r="I96" s="9"/>
      <c r="J96" s="5"/>
      <c r="K96" s="4"/>
      <c r="L96" s="10"/>
      <c r="M96" s="10"/>
      <c r="N96" s="10"/>
      <c r="O96" s="10"/>
      <c r="P96" s="10"/>
      <c r="Q96" s="11"/>
      <c r="R96" s="9"/>
      <c r="S96" s="12"/>
      <c r="T96" s="5"/>
      <c r="U96" s="5"/>
      <c r="V96" s="4"/>
      <c r="W96" s="4"/>
      <c r="X96" s="4"/>
      <c r="Y96" s="4"/>
    </row>
    <row r="97">
      <c r="A97" s="5"/>
      <c r="B97" s="9"/>
      <c r="C97" s="5"/>
      <c r="D97" s="9"/>
      <c r="E97" s="9"/>
      <c r="F97" s="9"/>
      <c r="G97" s="9"/>
      <c r="H97" s="9"/>
      <c r="I97" s="9"/>
      <c r="J97" s="5"/>
      <c r="K97" s="4"/>
      <c r="L97" s="10"/>
      <c r="M97" s="10"/>
      <c r="N97" s="10"/>
      <c r="O97" s="10"/>
      <c r="P97" s="10"/>
      <c r="Q97" s="11"/>
      <c r="R97" s="9"/>
      <c r="S97" s="12"/>
      <c r="T97" s="5"/>
      <c r="U97" s="5"/>
      <c r="V97" s="4"/>
      <c r="W97" s="4"/>
      <c r="X97" s="4"/>
      <c r="Y97" s="4"/>
    </row>
    <row r="98">
      <c r="A98" s="5"/>
      <c r="B98" s="9"/>
      <c r="C98" s="5"/>
      <c r="D98" s="9"/>
      <c r="E98" s="9"/>
      <c r="F98" s="9"/>
      <c r="G98" s="9"/>
      <c r="H98" s="9"/>
      <c r="I98" s="9"/>
      <c r="J98" s="5"/>
      <c r="K98" s="4"/>
      <c r="L98" s="10"/>
      <c r="M98" s="10"/>
      <c r="N98" s="10"/>
      <c r="O98" s="10"/>
      <c r="P98" s="10"/>
      <c r="Q98" s="11"/>
      <c r="R98" s="9"/>
      <c r="S98" s="12"/>
      <c r="T98" s="5"/>
      <c r="U98" s="5"/>
      <c r="V98" s="4"/>
      <c r="W98" s="4"/>
      <c r="X98" s="4"/>
      <c r="Y98" s="4"/>
    </row>
    <row r="99">
      <c r="A99" s="5"/>
      <c r="B99" s="9"/>
      <c r="C99" s="5"/>
      <c r="D99" s="9"/>
      <c r="E99" s="9"/>
      <c r="F99" s="9"/>
      <c r="G99" s="9"/>
      <c r="H99" s="9"/>
      <c r="I99" s="9"/>
      <c r="J99" s="5"/>
      <c r="K99" s="4"/>
      <c r="L99" s="10"/>
      <c r="M99" s="10"/>
      <c r="N99" s="10"/>
      <c r="O99" s="10"/>
      <c r="P99" s="10"/>
      <c r="Q99" s="11"/>
      <c r="R99" s="9"/>
      <c r="S99" s="12"/>
      <c r="T99" s="5"/>
      <c r="U99" s="5"/>
      <c r="V99" s="4"/>
      <c r="W99" s="4"/>
      <c r="X99" s="4"/>
      <c r="Y99" s="4"/>
    </row>
    <row r="100">
      <c r="A100" s="5"/>
      <c r="B100" s="9"/>
      <c r="C100" s="5"/>
      <c r="D100" s="9"/>
      <c r="E100" s="9"/>
      <c r="F100" s="9"/>
      <c r="G100" s="9"/>
      <c r="H100" s="9"/>
      <c r="I100" s="9"/>
      <c r="J100" s="5"/>
      <c r="K100" s="4"/>
      <c r="L100" s="10"/>
      <c r="M100" s="10"/>
      <c r="N100" s="10"/>
      <c r="O100" s="10"/>
      <c r="P100" s="10"/>
      <c r="Q100" s="11"/>
      <c r="R100" s="9"/>
      <c r="S100" s="12"/>
      <c r="T100" s="5"/>
      <c r="U100" s="5"/>
      <c r="V100" s="4"/>
      <c r="W100" s="4"/>
      <c r="X100" s="4"/>
      <c r="Y100" s="4"/>
    </row>
    <row r="101">
      <c r="A101" s="5"/>
      <c r="B101" s="9"/>
      <c r="C101" s="5"/>
      <c r="D101" s="9"/>
      <c r="E101" s="9"/>
      <c r="F101" s="9"/>
      <c r="G101" s="9"/>
      <c r="H101" s="9"/>
      <c r="I101" s="9"/>
      <c r="J101" s="5"/>
      <c r="K101" s="4"/>
      <c r="L101" s="10"/>
      <c r="M101" s="10"/>
      <c r="N101" s="10"/>
      <c r="O101" s="10"/>
      <c r="P101" s="10"/>
      <c r="Q101" s="11"/>
      <c r="R101" s="9"/>
      <c r="S101" s="12"/>
      <c r="T101" s="5"/>
      <c r="U101" s="5"/>
      <c r="V101" s="4"/>
      <c r="W101" s="4"/>
      <c r="X101" s="4"/>
      <c r="Y101" s="4"/>
    </row>
    <row r="102">
      <c r="A102" s="5"/>
      <c r="B102" s="9"/>
      <c r="C102" s="5"/>
      <c r="D102" s="9"/>
      <c r="E102" s="9"/>
      <c r="F102" s="9"/>
      <c r="G102" s="9"/>
      <c r="H102" s="9"/>
      <c r="I102" s="9"/>
      <c r="J102" s="5"/>
      <c r="K102" s="4"/>
      <c r="L102" s="10"/>
      <c r="M102" s="10"/>
      <c r="N102" s="10"/>
      <c r="O102" s="10"/>
      <c r="P102" s="10"/>
      <c r="Q102" s="11"/>
      <c r="R102" s="9"/>
      <c r="S102" s="12"/>
      <c r="T102" s="5"/>
      <c r="U102" s="5"/>
      <c r="V102" s="4"/>
      <c r="W102" s="4"/>
      <c r="X102" s="4"/>
      <c r="Y102" s="4"/>
    </row>
    <row r="103">
      <c r="A103" s="5"/>
      <c r="B103" s="9"/>
      <c r="C103" s="5"/>
      <c r="D103" s="9"/>
      <c r="E103" s="9"/>
      <c r="F103" s="9"/>
      <c r="G103" s="9"/>
      <c r="H103" s="9"/>
      <c r="I103" s="9"/>
      <c r="J103" s="5"/>
      <c r="K103" s="4"/>
      <c r="L103" s="10"/>
      <c r="M103" s="10"/>
      <c r="N103" s="10"/>
      <c r="O103" s="10"/>
      <c r="P103" s="10"/>
      <c r="Q103" s="11"/>
      <c r="R103" s="9"/>
      <c r="S103" s="12"/>
      <c r="T103" s="5"/>
      <c r="U103" s="5"/>
      <c r="V103" s="4"/>
      <c r="W103" s="4"/>
      <c r="X103" s="4"/>
      <c r="Y103" s="4"/>
    </row>
    <row r="104">
      <c r="A104" s="5"/>
      <c r="B104" s="9"/>
      <c r="C104" s="5"/>
      <c r="D104" s="9"/>
      <c r="E104" s="9"/>
      <c r="F104" s="9"/>
      <c r="G104" s="9"/>
      <c r="H104" s="9"/>
      <c r="I104" s="9"/>
      <c r="J104" s="5"/>
      <c r="K104" s="4"/>
      <c r="L104" s="10"/>
      <c r="M104" s="10"/>
      <c r="N104" s="10"/>
      <c r="O104" s="10"/>
      <c r="P104" s="10"/>
      <c r="Q104" s="11"/>
      <c r="R104" s="9"/>
      <c r="S104" s="12"/>
      <c r="T104" s="5"/>
      <c r="U104" s="5"/>
      <c r="V104" s="4"/>
      <c r="W104" s="4"/>
      <c r="X104" s="4"/>
      <c r="Y104" s="4"/>
    </row>
    <row r="105">
      <c r="A105" s="5"/>
      <c r="B105" s="9"/>
      <c r="C105" s="5"/>
      <c r="D105" s="9"/>
      <c r="E105" s="9"/>
      <c r="F105" s="9"/>
      <c r="G105" s="9"/>
      <c r="H105" s="9"/>
      <c r="I105" s="9"/>
      <c r="J105" s="5"/>
      <c r="K105" s="4"/>
      <c r="L105" s="10"/>
      <c r="M105" s="10"/>
      <c r="N105" s="10"/>
      <c r="O105" s="10"/>
      <c r="P105" s="10"/>
      <c r="Q105" s="11"/>
      <c r="R105" s="9"/>
      <c r="S105" s="12"/>
      <c r="T105" s="5"/>
      <c r="U105" s="5"/>
      <c r="V105" s="4"/>
      <c r="W105" s="4"/>
      <c r="X105" s="4"/>
      <c r="Y105" s="4"/>
    </row>
    <row r="106">
      <c r="A106" s="5"/>
      <c r="B106" s="9"/>
      <c r="C106" s="5"/>
      <c r="D106" s="9"/>
      <c r="E106" s="9"/>
      <c r="F106" s="9"/>
      <c r="G106" s="9"/>
      <c r="H106" s="9"/>
      <c r="I106" s="9"/>
      <c r="J106" s="5"/>
      <c r="K106" s="4"/>
      <c r="L106" s="10"/>
      <c r="M106" s="10"/>
      <c r="N106" s="10"/>
      <c r="O106" s="10"/>
      <c r="P106" s="10"/>
      <c r="Q106" s="11"/>
      <c r="R106" s="9"/>
      <c r="S106" s="12"/>
      <c r="T106" s="5"/>
      <c r="U106" s="5"/>
      <c r="V106" s="4"/>
      <c r="W106" s="4"/>
      <c r="X106" s="4"/>
      <c r="Y106" s="4"/>
    </row>
    <row r="107">
      <c r="A107" s="5"/>
      <c r="B107" s="9"/>
      <c r="C107" s="5"/>
      <c r="D107" s="9"/>
      <c r="E107" s="9"/>
      <c r="F107" s="9"/>
      <c r="G107" s="9"/>
      <c r="H107" s="9"/>
      <c r="I107" s="9"/>
      <c r="J107" s="5"/>
      <c r="K107" s="4"/>
      <c r="L107" s="10"/>
      <c r="M107" s="10"/>
      <c r="N107" s="10"/>
      <c r="O107" s="10"/>
      <c r="P107" s="10"/>
      <c r="Q107" s="11"/>
      <c r="R107" s="9"/>
      <c r="S107" s="12"/>
      <c r="T107" s="5"/>
      <c r="U107" s="5"/>
      <c r="V107" s="4"/>
      <c r="W107" s="4"/>
      <c r="X107" s="4"/>
      <c r="Y107" s="4"/>
    </row>
    <row r="108">
      <c r="A108" s="5"/>
      <c r="B108" s="9"/>
      <c r="C108" s="5"/>
      <c r="D108" s="9"/>
      <c r="E108" s="9"/>
      <c r="F108" s="9"/>
      <c r="G108" s="9"/>
      <c r="H108" s="9"/>
      <c r="I108" s="9"/>
      <c r="J108" s="5"/>
      <c r="K108" s="4"/>
      <c r="L108" s="10"/>
      <c r="M108" s="10"/>
      <c r="N108" s="10"/>
      <c r="O108" s="10"/>
      <c r="P108" s="10"/>
      <c r="Q108" s="11"/>
      <c r="R108" s="9"/>
      <c r="S108" s="12"/>
      <c r="T108" s="5"/>
      <c r="U108" s="5"/>
      <c r="V108" s="4"/>
      <c r="W108" s="4"/>
      <c r="X108" s="4"/>
      <c r="Y108" s="4"/>
    </row>
    <row r="109">
      <c r="A109" s="5"/>
      <c r="B109" s="9"/>
      <c r="C109" s="5"/>
      <c r="D109" s="9"/>
      <c r="E109" s="9"/>
      <c r="F109" s="9"/>
      <c r="G109" s="9"/>
      <c r="H109" s="9"/>
      <c r="I109" s="9"/>
      <c r="J109" s="5"/>
      <c r="K109" s="4"/>
      <c r="L109" s="10"/>
      <c r="M109" s="10"/>
      <c r="N109" s="10"/>
      <c r="O109" s="10"/>
      <c r="P109" s="10"/>
      <c r="Q109" s="11"/>
      <c r="R109" s="9"/>
      <c r="S109" s="12"/>
      <c r="T109" s="5"/>
      <c r="U109" s="5"/>
      <c r="V109" s="4"/>
      <c r="W109" s="4"/>
      <c r="X109" s="4"/>
      <c r="Y109" s="4"/>
    </row>
    <row r="110">
      <c r="A110" s="5"/>
      <c r="B110" s="9"/>
      <c r="C110" s="5"/>
      <c r="D110" s="9"/>
      <c r="E110" s="9"/>
      <c r="F110" s="9"/>
      <c r="G110" s="9"/>
      <c r="H110" s="9"/>
      <c r="I110" s="9"/>
      <c r="J110" s="5"/>
      <c r="K110" s="4"/>
      <c r="L110" s="10"/>
      <c r="M110" s="10"/>
      <c r="N110" s="10"/>
      <c r="O110" s="10"/>
      <c r="P110" s="10"/>
      <c r="Q110" s="11"/>
      <c r="R110" s="9"/>
      <c r="S110" s="12"/>
      <c r="T110" s="5"/>
      <c r="U110" s="5"/>
      <c r="V110" s="4"/>
      <c r="W110" s="4"/>
      <c r="X110" s="4"/>
      <c r="Y110" s="4"/>
    </row>
    <row r="111">
      <c r="A111" s="5"/>
      <c r="B111" s="9"/>
      <c r="C111" s="5"/>
      <c r="D111" s="9"/>
      <c r="E111" s="9"/>
      <c r="F111" s="9"/>
      <c r="G111" s="9"/>
      <c r="H111" s="9"/>
      <c r="I111" s="9"/>
      <c r="J111" s="5"/>
      <c r="K111" s="4"/>
      <c r="L111" s="10"/>
      <c r="M111" s="10"/>
      <c r="N111" s="10"/>
      <c r="O111" s="10"/>
      <c r="P111" s="10"/>
      <c r="Q111" s="11"/>
      <c r="R111" s="9"/>
      <c r="S111" s="12"/>
      <c r="T111" s="5"/>
      <c r="U111" s="5"/>
      <c r="V111" s="4"/>
      <c r="W111" s="4"/>
      <c r="X111" s="4"/>
      <c r="Y111" s="4"/>
    </row>
    <row r="112">
      <c r="A112" s="5"/>
      <c r="B112" s="9"/>
      <c r="C112" s="5"/>
      <c r="D112" s="9"/>
      <c r="E112" s="9"/>
      <c r="F112" s="9"/>
      <c r="G112" s="9"/>
      <c r="H112" s="9"/>
      <c r="I112" s="9"/>
      <c r="J112" s="5"/>
      <c r="K112" s="4"/>
      <c r="L112" s="10"/>
      <c r="M112" s="10"/>
      <c r="N112" s="10"/>
      <c r="O112" s="10"/>
      <c r="P112" s="10"/>
      <c r="Q112" s="11"/>
      <c r="R112" s="9"/>
      <c r="S112" s="12"/>
      <c r="T112" s="5"/>
      <c r="U112" s="5"/>
      <c r="V112" s="4"/>
      <c r="W112" s="4"/>
      <c r="X112" s="4"/>
      <c r="Y112" s="4"/>
    </row>
    <row r="113">
      <c r="A113" s="5"/>
      <c r="B113" s="9"/>
      <c r="C113" s="5"/>
      <c r="D113" s="9"/>
      <c r="E113" s="9"/>
      <c r="F113" s="9"/>
      <c r="G113" s="9"/>
      <c r="H113" s="9"/>
      <c r="I113" s="9"/>
      <c r="J113" s="5"/>
      <c r="K113" s="4"/>
      <c r="L113" s="10"/>
      <c r="M113" s="10"/>
      <c r="N113" s="10"/>
      <c r="O113" s="10"/>
      <c r="P113" s="10"/>
      <c r="Q113" s="11"/>
      <c r="R113" s="9"/>
      <c r="S113" s="12"/>
      <c r="T113" s="5"/>
      <c r="U113" s="5"/>
      <c r="V113" s="4"/>
      <c r="W113" s="4"/>
      <c r="X113" s="4"/>
      <c r="Y113" s="4"/>
    </row>
    <row r="114">
      <c r="A114" s="5"/>
      <c r="B114" s="9"/>
      <c r="C114" s="5"/>
      <c r="D114" s="9"/>
      <c r="E114" s="9"/>
      <c r="F114" s="9"/>
      <c r="G114" s="9"/>
      <c r="H114" s="9"/>
      <c r="I114" s="9"/>
      <c r="J114" s="5"/>
      <c r="K114" s="4"/>
      <c r="L114" s="10"/>
      <c r="M114" s="10"/>
      <c r="N114" s="10"/>
      <c r="O114" s="10"/>
      <c r="P114" s="10"/>
      <c r="Q114" s="11"/>
      <c r="R114" s="9"/>
      <c r="S114" s="12"/>
      <c r="T114" s="5"/>
      <c r="U114" s="5"/>
      <c r="V114" s="4"/>
      <c r="W114" s="4"/>
      <c r="X114" s="4"/>
      <c r="Y114" s="4"/>
    </row>
    <row r="115">
      <c r="A115" s="5"/>
      <c r="B115" s="9"/>
      <c r="C115" s="5"/>
      <c r="D115" s="9"/>
      <c r="E115" s="9"/>
      <c r="F115" s="9"/>
      <c r="G115" s="9"/>
      <c r="H115" s="9"/>
      <c r="I115" s="9"/>
      <c r="J115" s="5"/>
      <c r="K115" s="4"/>
      <c r="L115" s="10"/>
      <c r="M115" s="10"/>
      <c r="N115" s="10"/>
      <c r="O115" s="10"/>
      <c r="P115" s="10"/>
      <c r="Q115" s="11"/>
      <c r="R115" s="9"/>
      <c r="S115" s="12"/>
      <c r="T115" s="5"/>
      <c r="U115" s="5"/>
      <c r="V115" s="4"/>
      <c r="W115" s="4"/>
      <c r="X115" s="4"/>
      <c r="Y115" s="4"/>
    </row>
    <row r="116">
      <c r="A116" s="5"/>
      <c r="B116" s="9"/>
      <c r="C116" s="5"/>
      <c r="D116" s="9"/>
      <c r="E116" s="9"/>
      <c r="F116" s="9"/>
      <c r="G116" s="9"/>
      <c r="H116" s="9"/>
      <c r="I116" s="9"/>
      <c r="J116" s="5"/>
      <c r="K116" s="4"/>
      <c r="L116" s="10"/>
      <c r="M116" s="10"/>
      <c r="N116" s="10"/>
      <c r="O116" s="10"/>
      <c r="P116" s="10"/>
      <c r="Q116" s="11"/>
      <c r="R116" s="9"/>
      <c r="S116" s="12"/>
      <c r="T116" s="5"/>
      <c r="U116" s="5"/>
      <c r="V116" s="4"/>
      <c r="W116" s="4"/>
      <c r="X116" s="4"/>
      <c r="Y116" s="4"/>
    </row>
    <row r="117">
      <c r="A117" s="5"/>
      <c r="B117" s="9"/>
      <c r="C117" s="5"/>
      <c r="D117" s="9"/>
      <c r="E117" s="9"/>
      <c r="F117" s="9"/>
      <c r="G117" s="9"/>
      <c r="H117" s="9"/>
      <c r="I117" s="9"/>
      <c r="J117" s="5"/>
      <c r="K117" s="4"/>
      <c r="L117" s="10"/>
      <c r="M117" s="10"/>
      <c r="N117" s="10"/>
      <c r="O117" s="10"/>
      <c r="P117" s="10"/>
      <c r="Q117" s="11"/>
      <c r="R117" s="9"/>
      <c r="S117" s="12"/>
      <c r="T117" s="5"/>
      <c r="U117" s="5"/>
      <c r="V117" s="4"/>
      <c r="W117" s="4"/>
      <c r="X117" s="4"/>
      <c r="Y117" s="4"/>
    </row>
    <row r="118">
      <c r="A118" s="5"/>
      <c r="B118" s="9"/>
      <c r="C118" s="5"/>
      <c r="D118" s="9"/>
      <c r="E118" s="9"/>
      <c r="F118" s="9"/>
      <c r="G118" s="9"/>
      <c r="H118" s="9"/>
      <c r="I118" s="9"/>
      <c r="J118" s="5"/>
      <c r="K118" s="4"/>
      <c r="L118" s="10"/>
      <c r="M118" s="10"/>
      <c r="N118" s="10"/>
      <c r="O118" s="10"/>
      <c r="P118" s="10"/>
      <c r="Q118" s="11"/>
      <c r="R118" s="9"/>
      <c r="S118" s="12"/>
      <c r="T118" s="5"/>
      <c r="U118" s="5"/>
      <c r="V118" s="4"/>
      <c r="W118" s="4"/>
      <c r="X118" s="4"/>
      <c r="Y118" s="4"/>
    </row>
    <row r="119">
      <c r="A119" s="5"/>
      <c r="B119" s="9"/>
      <c r="C119" s="5"/>
      <c r="D119" s="9"/>
      <c r="E119" s="9"/>
      <c r="F119" s="9"/>
      <c r="G119" s="9"/>
      <c r="H119" s="9"/>
      <c r="I119" s="9"/>
      <c r="J119" s="5"/>
      <c r="K119" s="4"/>
      <c r="L119" s="10"/>
      <c r="M119" s="10"/>
      <c r="N119" s="10"/>
      <c r="O119" s="10"/>
      <c r="P119" s="10"/>
      <c r="Q119" s="11"/>
      <c r="R119" s="9"/>
      <c r="S119" s="12"/>
      <c r="T119" s="5"/>
      <c r="U119" s="5"/>
      <c r="V119" s="4"/>
      <c r="W119" s="4"/>
      <c r="X119" s="4"/>
      <c r="Y119" s="4"/>
    </row>
    <row r="120">
      <c r="A120" s="5"/>
      <c r="B120" s="9"/>
      <c r="C120" s="5"/>
      <c r="D120" s="9"/>
      <c r="E120" s="9"/>
      <c r="F120" s="9"/>
      <c r="G120" s="9"/>
      <c r="H120" s="9"/>
      <c r="I120" s="9"/>
      <c r="J120" s="5"/>
      <c r="K120" s="4"/>
      <c r="L120" s="10"/>
      <c r="M120" s="10"/>
      <c r="N120" s="10"/>
      <c r="O120" s="10"/>
      <c r="P120" s="10"/>
      <c r="Q120" s="11"/>
      <c r="R120" s="9"/>
      <c r="S120" s="12"/>
      <c r="T120" s="5"/>
      <c r="U120" s="5"/>
      <c r="V120" s="4"/>
      <c r="W120" s="4"/>
      <c r="X120" s="4"/>
      <c r="Y120" s="4"/>
    </row>
    <row r="121">
      <c r="A121" s="5"/>
      <c r="B121" s="9"/>
      <c r="C121" s="5"/>
      <c r="D121" s="9"/>
      <c r="E121" s="9"/>
      <c r="F121" s="9"/>
      <c r="G121" s="9"/>
      <c r="H121" s="9"/>
      <c r="I121" s="9"/>
      <c r="J121" s="5"/>
      <c r="K121" s="4"/>
      <c r="L121" s="10"/>
      <c r="M121" s="10"/>
      <c r="N121" s="10"/>
      <c r="O121" s="10"/>
      <c r="P121" s="10"/>
      <c r="Q121" s="11"/>
      <c r="R121" s="9"/>
      <c r="S121" s="12"/>
      <c r="T121" s="5"/>
      <c r="U121" s="5"/>
      <c r="V121" s="4"/>
      <c r="W121" s="4"/>
      <c r="X121" s="4"/>
      <c r="Y121" s="4"/>
    </row>
    <row r="122">
      <c r="A122" s="5"/>
      <c r="B122" s="9"/>
      <c r="C122" s="5"/>
      <c r="D122" s="9"/>
      <c r="E122" s="9"/>
      <c r="F122" s="9"/>
      <c r="G122" s="9"/>
      <c r="H122" s="9"/>
      <c r="I122" s="9"/>
      <c r="J122" s="5"/>
      <c r="K122" s="4"/>
      <c r="L122" s="10"/>
      <c r="M122" s="10"/>
      <c r="N122" s="10"/>
      <c r="O122" s="10"/>
      <c r="P122" s="10"/>
      <c r="Q122" s="11"/>
      <c r="R122" s="9"/>
      <c r="S122" s="12"/>
      <c r="T122" s="5"/>
      <c r="U122" s="5"/>
      <c r="V122" s="4"/>
      <c r="W122" s="4"/>
      <c r="X122" s="4"/>
      <c r="Y122" s="4"/>
    </row>
    <row r="123">
      <c r="A123" s="5"/>
      <c r="B123" s="9"/>
      <c r="C123" s="5"/>
      <c r="D123" s="9"/>
      <c r="E123" s="9"/>
      <c r="F123" s="9"/>
      <c r="G123" s="9"/>
      <c r="H123" s="9"/>
      <c r="I123" s="9"/>
      <c r="J123" s="5"/>
      <c r="K123" s="4"/>
      <c r="L123" s="10"/>
      <c r="M123" s="10"/>
      <c r="N123" s="10"/>
      <c r="O123" s="10"/>
      <c r="P123" s="10"/>
      <c r="Q123" s="11"/>
      <c r="R123" s="9"/>
      <c r="S123" s="12"/>
      <c r="T123" s="5"/>
      <c r="U123" s="5"/>
      <c r="V123" s="4"/>
      <c r="W123" s="4"/>
      <c r="X123" s="4"/>
      <c r="Y123" s="4"/>
    </row>
    <row r="124">
      <c r="A124" s="5"/>
      <c r="B124" s="9"/>
      <c r="C124" s="5"/>
      <c r="D124" s="9"/>
      <c r="E124" s="9"/>
      <c r="F124" s="9"/>
      <c r="G124" s="9"/>
      <c r="H124" s="9"/>
      <c r="I124" s="9"/>
      <c r="J124" s="5"/>
      <c r="K124" s="4"/>
      <c r="L124" s="10"/>
      <c r="M124" s="10"/>
      <c r="N124" s="10"/>
      <c r="O124" s="10"/>
      <c r="P124" s="10"/>
      <c r="Q124" s="11"/>
      <c r="R124" s="9"/>
      <c r="S124" s="12"/>
      <c r="T124" s="5"/>
      <c r="U124" s="5"/>
      <c r="V124" s="4"/>
      <c r="W124" s="4"/>
      <c r="X124" s="4"/>
      <c r="Y124" s="4"/>
    </row>
    <row r="125">
      <c r="A125" s="5"/>
      <c r="B125" s="9"/>
      <c r="C125" s="5"/>
      <c r="D125" s="9"/>
      <c r="E125" s="9"/>
      <c r="F125" s="9"/>
      <c r="G125" s="9"/>
      <c r="H125" s="9"/>
      <c r="I125" s="9"/>
      <c r="J125" s="5"/>
      <c r="K125" s="4"/>
      <c r="L125" s="10"/>
      <c r="M125" s="10"/>
      <c r="N125" s="10"/>
      <c r="O125" s="10"/>
      <c r="P125" s="10"/>
      <c r="Q125" s="11"/>
      <c r="R125" s="9"/>
      <c r="S125" s="12"/>
      <c r="T125" s="5"/>
      <c r="U125" s="5"/>
      <c r="V125" s="4"/>
      <c r="W125" s="4"/>
      <c r="X125" s="4"/>
      <c r="Y125" s="4"/>
    </row>
    <row r="126">
      <c r="A126" s="5"/>
      <c r="B126" s="9"/>
      <c r="C126" s="5"/>
      <c r="D126" s="9"/>
      <c r="E126" s="9"/>
      <c r="F126" s="9"/>
      <c r="G126" s="9"/>
      <c r="H126" s="9"/>
      <c r="I126" s="9"/>
      <c r="J126" s="5"/>
      <c r="K126" s="4"/>
      <c r="L126" s="10"/>
      <c r="M126" s="10"/>
      <c r="N126" s="10"/>
      <c r="O126" s="10"/>
      <c r="P126" s="10"/>
      <c r="Q126" s="11"/>
      <c r="R126" s="9"/>
      <c r="S126" s="12"/>
      <c r="T126" s="5"/>
      <c r="U126" s="5"/>
      <c r="V126" s="4"/>
      <c r="W126" s="4"/>
      <c r="X126" s="4"/>
      <c r="Y126" s="4"/>
    </row>
    <row r="127">
      <c r="A127" s="5"/>
      <c r="B127" s="9"/>
      <c r="C127" s="5"/>
      <c r="D127" s="9"/>
      <c r="E127" s="9"/>
      <c r="F127" s="9"/>
      <c r="G127" s="9"/>
      <c r="H127" s="9"/>
      <c r="I127" s="9"/>
      <c r="J127" s="5"/>
      <c r="K127" s="4"/>
      <c r="L127" s="10"/>
      <c r="M127" s="10"/>
      <c r="N127" s="10"/>
      <c r="O127" s="10"/>
      <c r="P127" s="10"/>
      <c r="Q127" s="11"/>
      <c r="R127" s="9"/>
      <c r="S127" s="12"/>
      <c r="T127" s="5"/>
      <c r="U127" s="5"/>
      <c r="V127" s="4"/>
      <c r="W127" s="4"/>
      <c r="X127" s="4"/>
      <c r="Y127" s="4"/>
    </row>
    <row r="128">
      <c r="A128" s="5"/>
      <c r="B128" s="9"/>
      <c r="C128" s="5"/>
      <c r="D128" s="9"/>
      <c r="E128" s="9"/>
      <c r="F128" s="9"/>
      <c r="G128" s="9"/>
      <c r="H128" s="9"/>
      <c r="I128" s="9"/>
      <c r="J128" s="5"/>
      <c r="K128" s="4"/>
      <c r="L128" s="10"/>
      <c r="M128" s="10"/>
      <c r="N128" s="10"/>
      <c r="O128" s="10"/>
      <c r="P128" s="10"/>
      <c r="Q128" s="11"/>
      <c r="R128" s="9"/>
      <c r="S128" s="12"/>
      <c r="T128" s="5"/>
      <c r="U128" s="5"/>
      <c r="V128" s="4"/>
      <c r="W128" s="4"/>
      <c r="X128" s="4"/>
      <c r="Y128" s="4"/>
    </row>
    <row r="129">
      <c r="A129" s="5"/>
      <c r="B129" s="9"/>
      <c r="C129" s="5"/>
      <c r="D129" s="9"/>
      <c r="E129" s="9"/>
      <c r="F129" s="9"/>
      <c r="G129" s="9"/>
      <c r="H129" s="9"/>
      <c r="I129" s="9"/>
      <c r="J129" s="5"/>
      <c r="K129" s="4"/>
      <c r="L129" s="10"/>
      <c r="M129" s="10"/>
      <c r="N129" s="10"/>
      <c r="O129" s="10"/>
      <c r="P129" s="10"/>
      <c r="Q129" s="11"/>
      <c r="R129" s="9"/>
      <c r="S129" s="12"/>
      <c r="T129" s="5"/>
      <c r="U129" s="5"/>
      <c r="V129" s="4"/>
      <c r="W129" s="4"/>
      <c r="X129" s="4"/>
      <c r="Y129" s="4"/>
    </row>
    <row r="130">
      <c r="A130" s="5"/>
      <c r="B130" s="9"/>
      <c r="C130" s="5"/>
      <c r="D130" s="9"/>
      <c r="E130" s="9"/>
      <c r="F130" s="9"/>
      <c r="G130" s="9"/>
      <c r="H130" s="9"/>
      <c r="I130" s="9"/>
      <c r="J130" s="5"/>
      <c r="K130" s="4"/>
      <c r="L130" s="10"/>
      <c r="M130" s="10"/>
      <c r="N130" s="10"/>
      <c r="O130" s="10"/>
      <c r="P130" s="10"/>
      <c r="Q130" s="11"/>
      <c r="R130" s="9"/>
      <c r="S130" s="12"/>
      <c r="T130" s="5"/>
      <c r="U130" s="5"/>
      <c r="V130" s="4"/>
      <c r="W130" s="4"/>
      <c r="X130" s="4"/>
      <c r="Y130" s="4"/>
    </row>
    <row r="131">
      <c r="A131" s="5"/>
      <c r="B131" s="9"/>
      <c r="C131" s="5"/>
      <c r="D131" s="9"/>
      <c r="E131" s="9"/>
      <c r="F131" s="9"/>
      <c r="G131" s="9"/>
      <c r="H131" s="9"/>
      <c r="I131" s="9"/>
      <c r="J131" s="5"/>
      <c r="K131" s="4"/>
      <c r="L131" s="10"/>
      <c r="M131" s="10"/>
      <c r="N131" s="10"/>
      <c r="O131" s="10"/>
      <c r="P131" s="10"/>
      <c r="Q131" s="11"/>
      <c r="R131" s="9"/>
      <c r="S131" s="12"/>
      <c r="T131" s="5"/>
      <c r="U131" s="5"/>
      <c r="V131" s="4"/>
      <c r="W131" s="4"/>
      <c r="X131" s="4"/>
      <c r="Y131" s="4"/>
    </row>
    <row r="132">
      <c r="A132" s="5"/>
      <c r="B132" s="9"/>
      <c r="C132" s="5"/>
      <c r="D132" s="9"/>
      <c r="E132" s="9"/>
      <c r="F132" s="9"/>
      <c r="G132" s="9"/>
      <c r="H132" s="9"/>
      <c r="I132" s="9"/>
      <c r="J132" s="5"/>
      <c r="K132" s="4"/>
      <c r="L132" s="10"/>
      <c r="M132" s="10"/>
      <c r="N132" s="10"/>
      <c r="O132" s="10"/>
      <c r="P132" s="10"/>
      <c r="Q132" s="11"/>
      <c r="R132" s="9"/>
      <c r="S132" s="12"/>
      <c r="T132" s="5"/>
      <c r="U132" s="5"/>
      <c r="V132" s="4"/>
      <c r="W132" s="4"/>
      <c r="X132" s="4"/>
      <c r="Y132" s="4"/>
    </row>
    <row r="133">
      <c r="A133" s="5"/>
      <c r="B133" s="9"/>
      <c r="C133" s="5"/>
      <c r="D133" s="9"/>
      <c r="E133" s="9"/>
      <c r="F133" s="9"/>
      <c r="G133" s="9"/>
      <c r="H133" s="9"/>
      <c r="I133" s="9"/>
      <c r="J133" s="5"/>
      <c r="K133" s="4"/>
      <c r="L133" s="10"/>
      <c r="M133" s="10"/>
      <c r="N133" s="10"/>
      <c r="O133" s="10"/>
      <c r="P133" s="10"/>
      <c r="Q133" s="11"/>
      <c r="R133" s="9"/>
      <c r="S133" s="12"/>
      <c r="T133" s="5"/>
      <c r="U133" s="5"/>
      <c r="V133" s="4"/>
      <c r="W133" s="4"/>
      <c r="X133" s="4"/>
      <c r="Y133" s="4"/>
    </row>
    <row r="134">
      <c r="A134" s="5"/>
      <c r="B134" s="9"/>
      <c r="C134" s="5"/>
      <c r="D134" s="9"/>
      <c r="E134" s="9"/>
      <c r="F134" s="9"/>
      <c r="G134" s="9"/>
      <c r="H134" s="9"/>
      <c r="I134" s="9"/>
      <c r="J134" s="5"/>
      <c r="K134" s="4"/>
      <c r="L134" s="10"/>
      <c r="M134" s="10"/>
      <c r="N134" s="10"/>
      <c r="O134" s="10"/>
      <c r="P134" s="10"/>
      <c r="Q134" s="11"/>
      <c r="R134" s="9"/>
      <c r="S134" s="12"/>
      <c r="T134" s="5"/>
      <c r="U134" s="5"/>
      <c r="V134" s="4"/>
      <c r="W134" s="4"/>
      <c r="X134" s="4"/>
      <c r="Y134" s="4"/>
    </row>
    <row r="135">
      <c r="A135" s="5"/>
      <c r="B135" s="9"/>
      <c r="C135" s="5"/>
      <c r="D135" s="9"/>
      <c r="E135" s="9"/>
      <c r="F135" s="9"/>
      <c r="G135" s="9"/>
      <c r="H135" s="9"/>
      <c r="I135" s="9"/>
      <c r="J135" s="5"/>
      <c r="K135" s="4"/>
      <c r="L135" s="10"/>
      <c r="M135" s="10"/>
      <c r="N135" s="10"/>
      <c r="O135" s="10"/>
      <c r="P135" s="10"/>
      <c r="Q135" s="11"/>
      <c r="R135" s="9"/>
      <c r="S135" s="12"/>
      <c r="T135" s="5"/>
      <c r="U135" s="5"/>
      <c r="V135" s="4"/>
      <c r="W135" s="4"/>
      <c r="X135" s="4"/>
      <c r="Y135" s="4"/>
    </row>
    <row r="136">
      <c r="A136" s="5"/>
      <c r="B136" s="9"/>
      <c r="C136" s="5"/>
      <c r="D136" s="9"/>
      <c r="E136" s="9"/>
      <c r="F136" s="9"/>
      <c r="G136" s="9"/>
      <c r="H136" s="9"/>
      <c r="I136" s="9"/>
      <c r="J136" s="5"/>
      <c r="K136" s="4"/>
      <c r="L136" s="10"/>
      <c r="M136" s="10"/>
      <c r="N136" s="10"/>
      <c r="O136" s="10"/>
      <c r="P136" s="10"/>
      <c r="Q136" s="11"/>
      <c r="R136" s="9"/>
      <c r="S136" s="12"/>
      <c r="T136" s="5"/>
      <c r="U136" s="5"/>
      <c r="V136" s="4"/>
      <c r="W136" s="4"/>
      <c r="X136" s="4"/>
      <c r="Y136" s="4"/>
    </row>
    <row r="137">
      <c r="A137" s="5"/>
      <c r="B137" s="9"/>
      <c r="C137" s="5"/>
      <c r="D137" s="9"/>
      <c r="E137" s="9"/>
      <c r="F137" s="9"/>
      <c r="G137" s="9"/>
      <c r="H137" s="9"/>
      <c r="I137" s="9"/>
      <c r="J137" s="5"/>
      <c r="K137" s="4"/>
      <c r="L137" s="10"/>
      <c r="M137" s="10"/>
      <c r="N137" s="10"/>
      <c r="O137" s="10"/>
      <c r="P137" s="10"/>
      <c r="Q137" s="11"/>
      <c r="R137" s="9"/>
      <c r="S137" s="12"/>
      <c r="T137" s="5"/>
      <c r="U137" s="5"/>
      <c r="V137" s="4"/>
      <c r="W137" s="4"/>
      <c r="X137" s="4"/>
      <c r="Y137" s="4"/>
    </row>
    <row r="138">
      <c r="A138" s="5"/>
      <c r="B138" s="9"/>
      <c r="C138" s="5"/>
      <c r="D138" s="9"/>
      <c r="E138" s="9"/>
      <c r="F138" s="9"/>
      <c r="G138" s="9"/>
      <c r="H138" s="9"/>
      <c r="I138" s="9"/>
      <c r="J138" s="5"/>
      <c r="K138" s="4"/>
      <c r="L138" s="10"/>
      <c r="M138" s="10"/>
      <c r="N138" s="10"/>
      <c r="O138" s="10"/>
      <c r="P138" s="10"/>
      <c r="Q138" s="11"/>
      <c r="R138" s="9"/>
      <c r="S138" s="12"/>
      <c r="T138" s="5"/>
      <c r="U138" s="5"/>
      <c r="V138" s="4"/>
      <c r="W138" s="4"/>
      <c r="X138" s="4"/>
      <c r="Y138" s="4"/>
    </row>
    <row r="139">
      <c r="A139" s="5"/>
      <c r="B139" s="9"/>
      <c r="C139" s="5"/>
      <c r="D139" s="9"/>
      <c r="E139" s="9"/>
      <c r="F139" s="9"/>
      <c r="G139" s="9"/>
      <c r="H139" s="9"/>
      <c r="I139" s="9"/>
      <c r="J139" s="5"/>
      <c r="K139" s="4"/>
      <c r="L139" s="10"/>
      <c r="M139" s="10"/>
      <c r="N139" s="10"/>
      <c r="O139" s="10"/>
      <c r="P139" s="10"/>
      <c r="Q139" s="11"/>
      <c r="R139" s="9"/>
      <c r="S139" s="12"/>
      <c r="T139" s="5"/>
      <c r="U139" s="5"/>
      <c r="V139" s="4"/>
      <c r="W139" s="4"/>
      <c r="X139" s="4"/>
      <c r="Y139" s="4"/>
    </row>
    <row r="140">
      <c r="A140" s="5"/>
      <c r="B140" s="9"/>
      <c r="C140" s="5"/>
      <c r="D140" s="9"/>
      <c r="E140" s="9"/>
      <c r="F140" s="9"/>
      <c r="G140" s="9"/>
      <c r="H140" s="9"/>
      <c r="I140" s="9"/>
      <c r="J140" s="5"/>
      <c r="K140" s="4"/>
      <c r="L140" s="10"/>
      <c r="M140" s="10"/>
      <c r="N140" s="10"/>
      <c r="O140" s="10"/>
      <c r="P140" s="10"/>
      <c r="Q140" s="11"/>
      <c r="R140" s="9"/>
      <c r="S140" s="12"/>
      <c r="T140" s="5"/>
      <c r="U140" s="5"/>
      <c r="V140" s="4"/>
      <c r="W140" s="4"/>
      <c r="X140" s="4"/>
      <c r="Y140" s="4"/>
    </row>
    <row r="141">
      <c r="A141" s="5"/>
      <c r="B141" s="9"/>
      <c r="C141" s="5"/>
      <c r="D141" s="9"/>
      <c r="E141" s="9"/>
      <c r="F141" s="9"/>
      <c r="G141" s="9"/>
      <c r="H141" s="9"/>
      <c r="I141" s="9"/>
      <c r="J141" s="5"/>
      <c r="K141" s="4"/>
      <c r="L141" s="10"/>
      <c r="M141" s="10"/>
      <c r="N141" s="10"/>
      <c r="O141" s="10"/>
      <c r="P141" s="10"/>
      <c r="Q141" s="11"/>
      <c r="R141" s="9"/>
      <c r="S141" s="12"/>
      <c r="T141" s="5"/>
      <c r="U141" s="5"/>
      <c r="V141" s="4"/>
      <c r="W141" s="4"/>
      <c r="X141" s="4"/>
      <c r="Y141" s="4"/>
    </row>
    <row r="142">
      <c r="A142" s="5"/>
      <c r="B142" s="9"/>
      <c r="C142" s="5"/>
      <c r="D142" s="9"/>
      <c r="E142" s="9"/>
      <c r="F142" s="9"/>
      <c r="G142" s="9"/>
      <c r="H142" s="9"/>
      <c r="I142" s="9"/>
      <c r="J142" s="5"/>
      <c r="K142" s="4"/>
      <c r="L142" s="10"/>
      <c r="M142" s="10"/>
      <c r="N142" s="10"/>
      <c r="O142" s="10"/>
      <c r="P142" s="10"/>
      <c r="Q142" s="11"/>
      <c r="R142" s="9"/>
      <c r="S142" s="12"/>
      <c r="T142" s="5"/>
      <c r="U142" s="5"/>
      <c r="V142" s="4"/>
      <c r="W142" s="4"/>
      <c r="X142" s="4"/>
      <c r="Y142" s="4"/>
    </row>
    <row r="143">
      <c r="A143" s="5"/>
      <c r="B143" s="9"/>
      <c r="C143" s="5"/>
      <c r="D143" s="9"/>
      <c r="E143" s="9"/>
      <c r="F143" s="9"/>
      <c r="G143" s="9"/>
      <c r="H143" s="9"/>
      <c r="I143" s="9"/>
      <c r="J143" s="5"/>
      <c r="K143" s="4"/>
      <c r="L143" s="10"/>
      <c r="M143" s="10"/>
      <c r="N143" s="10"/>
      <c r="O143" s="10"/>
      <c r="P143" s="10"/>
      <c r="Q143" s="11"/>
      <c r="R143" s="9"/>
      <c r="S143" s="12"/>
      <c r="T143" s="5"/>
      <c r="U143" s="5"/>
      <c r="V143" s="4"/>
      <c r="W143" s="4"/>
      <c r="X143" s="4"/>
      <c r="Y143" s="4"/>
    </row>
    <row r="144">
      <c r="A144" s="5"/>
      <c r="B144" s="9"/>
      <c r="C144" s="5"/>
      <c r="D144" s="9"/>
      <c r="E144" s="9"/>
      <c r="F144" s="9"/>
      <c r="G144" s="9"/>
      <c r="H144" s="9"/>
      <c r="I144" s="9"/>
      <c r="J144" s="5"/>
      <c r="K144" s="4"/>
      <c r="L144" s="10"/>
      <c r="M144" s="10"/>
      <c r="N144" s="10"/>
      <c r="O144" s="10"/>
      <c r="P144" s="10"/>
      <c r="Q144" s="11"/>
      <c r="R144" s="9"/>
      <c r="S144" s="12"/>
      <c r="T144" s="5"/>
      <c r="U144" s="5"/>
      <c r="V144" s="4"/>
      <c r="W144" s="4"/>
      <c r="X144" s="4"/>
      <c r="Y144" s="4"/>
    </row>
    <row r="145">
      <c r="A145" s="5"/>
      <c r="B145" s="9"/>
      <c r="C145" s="5"/>
      <c r="D145" s="9"/>
      <c r="E145" s="9"/>
      <c r="F145" s="9"/>
      <c r="G145" s="9"/>
      <c r="H145" s="9"/>
      <c r="I145" s="9"/>
      <c r="J145" s="5"/>
      <c r="K145" s="4"/>
      <c r="L145" s="10"/>
      <c r="M145" s="10"/>
      <c r="N145" s="10"/>
      <c r="O145" s="10"/>
      <c r="P145" s="10"/>
      <c r="Q145" s="11"/>
      <c r="R145" s="9"/>
      <c r="S145" s="12"/>
      <c r="T145" s="5"/>
      <c r="U145" s="5"/>
      <c r="V145" s="4"/>
      <c r="W145" s="4"/>
      <c r="X145" s="4"/>
      <c r="Y145" s="4"/>
    </row>
    <row r="146">
      <c r="A146" s="5"/>
      <c r="B146" s="9"/>
      <c r="C146" s="5"/>
      <c r="D146" s="9"/>
      <c r="E146" s="9"/>
      <c r="F146" s="9"/>
      <c r="G146" s="9"/>
      <c r="H146" s="9"/>
      <c r="I146" s="9"/>
      <c r="J146" s="5"/>
      <c r="K146" s="4"/>
      <c r="L146" s="10"/>
      <c r="M146" s="10"/>
      <c r="N146" s="10"/>
      <c r="O146" s="10"/>
      <c r="P146" s="10"/>
      <c r="Q146" s="11"/>
      <c r="R146" s="9"/>
      <c r="S146" s="12"/>
      <c r="T146" s="5"/>
      <c r="U146" s="5"/>
      <c r="V146" s="4"/>
      <c r="W146" s="4"/>
      <c r="X146" s="4"/>
      <c r="Y146" s="4"/>
    </row>
    <row r="147">
      <c r="A147" s="5"/>
      <c r="B147" s="9"/>
      <c r="C147" s="5"/>
      <c r="D147" s="9"/>
      <c r="E147" s="9"/>
      <c r="F147" s="9"/>
      <c r="G147" s="9"/>
      <c r="H147" s="9"/>
      <c r="I147" s="9"/>
      <c r="J147" s="5"/>
      <c r="K147" s="4"/>
      <c r="L147" s="10"/>
      <c r="M147" s="10"/>
      <c r="N147" s="10"/>
      <c r="O147" s="10"/>
      <c r="P147" s="10"/>
      <c r="Q147" s="11"/>
      <c r="R147" s="9"/>
      <c r="S147" s="12"/>
      <c r="T147" s="5"/>
      <c r="U147" s="5"/>
      <c r="V147" s="4"/>
      <c r="W147" s="4"/>
      <c r="X147" s="4"/>
      <c r="Y147" s="4"/>
    </row>
    <row r="148">
      <c r="A148" s="5"/>
      <c r="B148" s="9"/>
      <c r="C148" s="5"/>
      <c r="D148" s="9"/>
      <c r="E148" s="9"/>
      <c r="F148" s="9"/>
      <c r="G148" s="9"/>
      <c r="H148" s="9"/>
      <c r="I148" s="9"/>
      <c r="J148" s="5"/>
      <c r="K148" s="4"/>
      <c r="L148" s="10"/>
      <c r="M148" s="10"/>
      <c r="N148" s="10"/>
      <c r="O148" s="10"/>
      <c r="P148" s="10"/>
      <c r="Q148" s="11"/>
      <c r="R148" s="9"/>
      <c r="S148" s="12"/>
      <c r="T148" s="5"/>
      <c r="U148" s="5"/>
      <c r="V148" s="4"/>
      <c r="W148" s="4"/>
      <c r="X148" s="4"/>
      <c r="Y148" s="4"/>
    </row>
    <row r="149">
      <c r="A149" s="5"/>
      <c r="B149" s="9"/>
      <c r="C149" s="5"/>
      <c r="D149" s="9"/>
      <c r="E149" s="9"/>
      <c r="F149" s="9"/>
      <c r="G149" s="9"/>
      <c r="H149" s="9"/>
      <c r="I149" s="9"/>
      <c r="J149" s="5"/>
      <c r="K149" s="4"/>
      <c r="L149" s="10"/>
      <c r="M149" s="10"/>
      <c r="N149" s="10"/>
      <c r="O149" s="10"/>
      <c r="P149" s="10"/>
      <c r="Q149" s="11"/>
      <c r="R149" s="9"/>
      <c r="S149" s="12"/>
      <c r="T149" s="5"/>
      <c r="U149" s="5"/>
      <c r="V149" s="4"/>
      <c r="W149" s="4"/>
      <c r="X149" s="4"/>
      <c r="Y149" s="4"/>
    </row>
    <row r="150">
      <c r="A150" s="5"/>
      <c r="B150" s="9"/>
      <c r="C150" s="5"/>
      <c r="D150" s="9"/>
      <c r="E150" s="9"/>
      <c r="F150" s="9"/>
      <c r="G150" s="9"/>
      <c r="H150" s="9"/>
      <c r="I150" s="9"/>
      <c r="J150" s="5"/>
      <c r="K150" s="4"/>
      <c r="L150" s="10"/>
      <c r="M150" s="10"/>
      <c r="N150" s="10"/>
      <c r="O150" s="10"/>
      <c r="P150" s="10"/>
      <c r="Q150" s="11"/>
      <c r="R150" s="9"/>
      <c r="S150" s="12"/>
      <c r="T150" s="5"/>
      <c r="U150" s="5"/>
      <c r="V150" s="4"/>
      <c r="W150" s="4"/>
      <c r="X150" s="4"/>
      <c r="Y150" s="4"/>
    </row>
    <row r="151">
      <c r="A151" s="5"/>
      <c r="B151" s="9"/>
      <c r="C151" s="5"/>
      <c r="D151" s="9"/>
      <c r="E151" s="9"/>
      <c r="F151" s="9"/>
      <c r="G151" s="9"/>
      <c r="H151" s="9"/>
      <c r="I151" s="9"/>
      <c r="J151" s="5"/>
      <c r="K151" s="4"/>
      <c r="L151" s="10"/>
      <c r="M151" s="10"/>
      <c r="N151" s="10"/>
      <c r="O151" s="10"/>
      <c r="P151" s="10"/>
      <c r="Q151" s="11"/>
      <c r="R151" s="9"/>
      <c r="S151" s="12"/>
      <c r="T151" s="5"/>
      <c r="U151" s="5"/>
      <c r="V151" s="4"/>
      <c r="W151" s="4"/>
      <c r="X151" s="4"/>
      <c r="Y151" s="4"/>
    </row>
    <row r="152">
      <c r="A152" s="5"/>
      <c r="B152" s="9"/>
      <c r="C152" s="5"/>
      <c r="D152" s="9"/>
      <c r="E152" s="9"/>
      <c r="F152" s="9"/>
      <c r="G152" s="9"/>
      <c r="H152" s="9"/>
      <c r="I152" s="9"/>
      <c r="J152" s="5"/>
      <c r="K152" s="4"/>
      <c r="L152" s="10"/>
      <c r="M152" s="10"/>
      <c r="N152" s="10"/>
      <c r="O152" s="10"/>
      <c r="P152" s="10"/>
      <c r="Q152" s="11"/>
      <c r="R152" s="9"/>
      <c r="S152" s="12"/>
      <c r="T152" s="5"/>
      <c r="U152" s="5"/>
      <c r="V152" s="4"/>
      <c r="W152" s="4"/>
      <c r="X152" s="4"/>
      <c r="Y152" s="4"/>
    </row>
    <row r="153">
      <c r="A153" s="5"/>
      <c r="B153" s="9"/>
      <c r="C153" s="5"/>
      <c r="D153" s="9"/>
      <c r="E153" s="9"/>
      <c r="F153" s="9"/>
      <c r="G153" s="9"/>
      <c r="H153" s="9"/>
      <c r="I153" s="9"/>
      <c r="J153" s="5"/>
      <c r="K153" s="4"/>
      <c r="L153" s="10"/>
      <c r="M153" s="10"/>
      <c r="N153" s="10"/>
      <c r="O153" s="10"/>
      <c r="P153" s="10"/>
      <c r="Q153" s="11"/>
      <c r="R153" s="9"/>
      <c r="S153" s="12"/>
      <c r="T153" s="5"/>
      <c r="U153" s="5"/>
      <c r="V153" s="4"/>
      <c r="W153" s="4"/>
      <c r="X153" s="4"/>
      <c r="Y153" s="4"/>
    </row>
    <row r="154">
      <c r="A154" s="5"/>
      <c r="B154" s="9"/>
      <c r="C154" s="5"/>
      <c r="D154" s="9"/>
      <c r="E154" s="9"/>
      <c r="F154" s="9"/>
      <c r="G154" s="9"/>
      <c r="H154" s="9"/>
      <c r="I154" s="9"/>
      <c r="J154" s="5"/>
      <c r="K154" s="4"/>
      <c r="L154" s="10"/>
      <c r="M154" s="10"/>
      <c r="N154" s="10"/>
      <c r="O154" s="10"/>
      <c r="P154" s="10"/>
      <c r="Q154" s="11"/>
      <c r="R154" s="9"/>
      <c r="S154" s="12"/>
      <c r="T154" s="5"/>
      <c r="U154" s="5"/>
      <c r="V154" s="4"/>
      <c r="W154" s="4"/>
      <c r="X154" s="4"/>
      <c r="Y154" s="4"/>
    </row>
    <row r="155">
      <c r="A155" s="5"/>
      <c r="B155" s="9"/>
      <c r="C155" s="5"/>
      <c r="D155" s="9"/>
      <c r="E155" s="9"/>
      <c r="F155" s="9"/>
      <c r="G155" s="9"/>
      <c r="H155" s="9"/>
      <c r="I155" s="9"/>
      <c r="J155" s="5"/>
      <c r="K155" s="4"/>
      <c r="L155" s="10"/>
      <c r="M155" s="10"/>
      <c r="N155" s="10"/>
      <c r="O155" s="10"/>
      <c r="P155" s="10"/>
      <c r="Q155" s="11"/>
      <c r="R155" s="9"/>
      <c r="S155" s="12"/>
      <c r="T155" s="5"/>
      <c r="U155" s="5"/>
      <c r="V155" s="4"/>
      <c r="W155" s="4"/>
      <c r="X155" s="4"/>
      <c r="Y155" s="4"/>
    </row>
    <row r="156">
      <c r="A156" s="5"/>
      <c r="B156" s="9"/>
      <c r="C156" s="5"/>
      <c r="D156" s="9"/>
      <c r="E156" s="9"/>
      <c r="F156" s="9"/>
      <c r="G156" s="9"/>
      <c r="H156" s="9"/>
      <c r="I156" s="9"/>
      <c r="J156" s="5"/>
      <c r="K156" s="4"/>
      <c r="L156" s="10"/>
      <c r="M156" s="10"/>
      <c r="N156" s="10"/>
      <c r="O156" s="10"/>
      <c r="P156" s="10"/>
      <c r="Q156" s="11"/>
      <c r="R156" s="9"/>
      <c r="S156" s="12"/>
      <c r="T156" s="5"/>
      <c r="U156" s="5"/>
      <c r="V156" s="4"/>
      <c r="W156" s="4"/>
      <c r="X156" s="4"/>
      <c r="Y156" s="4"/>
    </row>
    <row r="157">
      <c r="A157" s="5"/>
      <c r="B157" s="9"/>
      <c r="C157" s="5"/>
      <c r="D157" s="9"/>
      <c r="E157" s="9"/>
      <c r="F157" s="9"/>
      <c r="G157" s="9"/>
      <c r="H157" s="9"/>
      <c r="I157" s="9"/>
      <c r="J157" s="5"/>
      <c r="K157" s="4"/>
      <c r="L157" s="10"/>
      <c r="M157" s="10"/>
      <c r="N157" s="10"/>
      <c r="O157" s="10"/>
      <c r="P157" s="10"/>
      <c r="Q157" s="11"/>
      <c r="R157" s="9"/>
      <c r="S157" s="12"/>
      <c r="T157" s="5"/>
      <c r="U157" s="5"/>
      <c r="V157" s="4"/>
      <c r="W157" s="4"/>
      <c r="X157" s="4"/>
      <c r="Y157" s="4"/>
    </row>
    <row r="158">
      <c r="A158" s="5"/>
      <c r="B158" s="9"/>
      <c r="C158" s="5"/>
      <c r="D158" s="9"/>
      <c r="E158" s="9"/>
      <c r="F158" s="9"/>
      <c r="G158" s="9"/>
      <c r="H158" s="9"/>
      <c r="I158" s="9"/>
      <c r="J158" s="5"/>
      <c r="K158" s="4"/>
      <c r="L158" s="10"/>
      <c r="M158" s="10"/>
      <c r="N158" s="10"/>
      <c r="O158" s="10"/>
      <c r="P158" s="10"/>
      <c r="Q158" s="11"/>
      <c r="R158" s="9"/>
      <c r="S158" s="12"/>
      <c r="T158" s="5"/>
      <c r="U158" s="5"/>
      <c r="V158" s="4"/>
      <c r="W158" s="4"/>
      <c r="X158" s="4"/>
      <c r="Y158" s="4"/>
    </row>
    <row r="159">
      <c r="A159" s="5"/>
      <c r="B159" s="9"/>
      <c r="C159" s="5"/>
      <c r="D159" s="9"/>
      <c r="E159" s="9"/>
      <c r="F159" s="9"/>
      <c r="G159" s="9"/>
      <c r="H159" s="9"/>
      <c r="I159" s="9"/>
      <c r="J159" s="5"/>
      <c r="K159" s="4"/>
      <c r="L159" s="10"/>
      <c r="M159" s="10"/>
      <c r="N159" s="10"/>
      <c r="O159" s="10"/>
      <c r="P159" s="10"/>
      <c r="Q159" s="11"/>
      <c r="R159" s="9"/>
      <c r="S159" s="12"/>
      <c r="T159" s="5"/>
      <c r="U159" s="5"/>
      <c r="V159" s="4"/>
      <c r="W159" s="4"/>
      <c r="X159" s="4"/>
      <c r="Y159" s="4"/>
    </row>
    <row r="160">
      <c r="A160" s="5"/>
      <c r="B160" s="9"/>
      <c r="C160" s="5"/>
      <c r="D160" s="9"/>
      <c r="E160" s="9"/>
      <c r="F160" s="9"/>
      <c r="G160" s="9"/>
      <c r="H160" s="9"/>
      <c r="I160" s="9"/>
      <c r="J160" s="5"/>
      <c r="K160" s="4"/>
      <c r="L160" s="10"/>
      <c r="M160" s="10"/>
      <c r="N160" s="10"/>
      <c r="O160" s="10"/>
      <c r="P160" s="10"/>
      <c r="Q160" s="11"/>
      <c r="R160" s="9"/>
      <c r="S160" s="12"/>
      <c r="T160" s="5"/>
      <c r="U160" s="5"/>
      <c r="V160" s="4"/>
      <c r="W160" s="4"/>
      <c r="X160" s="4"/>
      <c r="Y160" s="4"/>
    </row>
    <row r="161">
      <c r="A161" s="5"/>
      <c r="B161" s="9"/>
      <c r="C161" s="5"/>
      <c r="D161" s="9"/>
      <c r="E161" s="9"/>
      <c r="F161" s="9"/>
      <c r="G161" s="9"/>
      <c r="H161" s="9"/>
      <c r="I161" s="9"/>
      <c r="J161" s="5"/>
      <c r="K161" s="4"/>
      <c r="L161" s="10"/>
      <c r="M161" s="10"/>
      <c r="N161" s="10"/>
      <c r="O161" s="10"/>
      <c r="P161" s="10"/>
      <c r="Q161" s="11"/>
      <c r="R161" s="9"/>
      <c r="S161" s="12"/>
      <c r="T161" s="5"/>
      <c r="U161" s="5"/>
      <c r="V161" s="4"/>
      <c r="W161" s="4"/>
      <c r="X161" s="4"/>
      <c r="Y161" s="4"/>
    </row>
    <row r="162">
      <c r="A162" s="5"/>
      <c r="B162" s="9"/>
      <c r="C162" s="5"/>
      <c r="D162" s="9"/>
      <c r="E162" s="9"/>
      <c r="F162" s="9"/>
      <c r="G162" s="9"/>
      <c r="H162" s="9"/>
      <c r="I162" s="9"/>
      <c r="J162" s="5"/>
      <c r="K162" s="4"/>
      <c r="L162" s="10"/>
      <c r="M162" s="10"/>
      <c r="N162" s="10"/>
      <c r="O162" s="10"/>
      <c r="P162" s="10"/>
      <c r="Q162" s="11"/>
      <c r="R162" s="9"/>
      <c r="S162" s="12"/>
      <c r="T162" s="5"/>
      <c r="U162" s="5"/>
      <c r="V162" s="4"/>
      <c r="W162" s="4"/>
      <c r="X162" s="4"/>
      <c r="Y162" s="4"/>
    </row>
    <row r="163">
      <c r="A163" s="5"/>
      <c r="B163" s="9"/>
      <c r="C163" s="5"/>
      <c r="D163" s="9"/>
      <c r="E163" s="9"/>
      <c r="F163" s="9"/>
      <c r="G163" s="9"/>
      <c r="H163" s="9"/>
      <c r="I163" s="9"/>
      <c r="J163" s="5"/>
      <c r="K163" s="4"/>
      <c r="L163" s="10"/>
      <c r="M163" s="10"/>
      <c r="N163" s="10"/>
      <c r="O163" s="10"/>
      <c r="P163" s="10"/>
      <c r="Q163" s="11"/>
      <c r="R163" s="9"/>
      <c r="S163" s="12"/>
      <c r="T163" s="5"/>
      <c r="U163" s="5"/>
      <c r="V163" s="4"/>
      <c r="W163" s="4"/>
      <c r="X163" s="4"/>
      <c r="Y163" s="4"/>
    </row>
    <row r="164">
      <c r="A164" s="5"/>
      <c r="B164" s="9"/>
      <c r="C164" s="5"/>
      <c r="D164" s="9"/>
      <c r="E164" s="9"/>
      <c r="F164" s="9"/>
      <c r="G164" s="9"/>
      <c r="H164" s="9"/>
      <c r="I164" s="9"/>
      <c r="J164" s="5"/>
      <c r="K164" s="4"/>
      <c r="L164" s="10"/>
      <c r="M164" s="10"/>
      <c r="N164" s="10"/>
      <c r="O164" s="10"/>
      <c r="P164" s="10"/>
      <c r="Q164" s="11"/>
      <c r="R164" s="9"/>
      <c r="S164" s="12"/>
      <c r="T164" s="5"/>
      <c r="U164" s="5"/>
      <c r="V164" s="4"/>
      <c r="W164" s="4"/>
      <c r="X164" s="4"/>
      <c r="Y164" s="4"/>
    </row>
    <row r="165">
      <c r="A165" s="5"/>
      <c r="B165" s="9"/>
      <c r="C165" s="5"/>
      <c r="D165" s="9"/>
      <c r="E165" s="9"/>
      <c r="F165" s="9"/>
      <c r="G165" s="9"/>
      <c r="H165" s="9"/>
      <c r="I165" s="9"/>
      <c r="J165" s="5"/>
      <c r="K165" s="4"/>
      <c r="L165" s="10"/>
      <c r="M165" s="10"/>
      <c r="N165" s="10"/>
      <c r="O165" s="10"/>
      <c r="P165" s="10"/>
      <c r="Q165" s="11"/>
      <c r="R165" s="9"/>
      <c r="S165" s="12"/>
      <c r="T165" s="5"/>
      <c r="U165" s="5"/>
      <c r="V165" s="4"/>
      <c r="W165" s="4"/>
      <c r="X165" s="4"/>
      <c r="Y165" s="4"/>
    </row>
    <row r="166">
      <c r="A166" s="5"/>
      <c r="B166" s="9"/>
      <c r="C166" s="5"/>
      <c r="D166" s="9"/>
      <c r="E166" s="9"/>
      <c r="F166" s="9"/>
      <c r="G166" s="9"/>
      <c r="H166" s="9"/>
      <c r="I166" s="9"/>
      <c r="J166" s="5"/>
      <c r="K166" s="4"/>
      <c r="L166" s="10"/>
      <c r="M166" s="10"/>
      <c r="N166" s="10"/>
      <c r="O166" s="10"/>
      <c r="P166" s="10"/>
      <c r="Q166" s="11"/>
      <c r="R166" s="9"/>
      <c r="S166" s="12"/>
      <c r="T166" s="5"/>
      <c r="U166" s="5"/>
      <c r="V166" s="4"/>
      <c r="W166" s="4"/>
      <c r="X166" s="4"/>
      <c r="Y166" s="4"/>
    </row>
    <row r="167">
      <c r="A167" s="5"/>
      <c r="B167" s="9"/>
      <c r="C167" s="5"/>
      <c r="D167" s="9"/>
      <c r="E167" s="9"/>
      <c r="F167" s="9"/>
      <c r="G167" s="9"/>
      <c r="H167" s="9"/>
      <c r="I167" s="9"/>
      <c r="J167" s="5"/>
      <c r="K167" s="4"/>
      <c r="L167" s="10"/>
      <c r="M167" s="10"/>
      <c r="N167" s="10"/>
      <c r="O167" s="10"/>
      <c r="P167" s="10"/>
      <c r="Q167" s="11"/>
      <c r="R167" s="9"/>
      <c r="S167" s="12"/>
      <c r="T167" s="5"/>
      <c r="U167" s="5"/>
      <c r="V167" s="4"/>
      <c r="W167" s="4"/>
      <c r="X167" s="4"/>
      <c r="Y167" s="4"/>
    </row>
    <row r="168">
      <c r="A168" s="5"/>
      <c r="B168" s="9"/>
      <c r="C168" s="5"/>
      <c r="D168" s="9"/>
      <c r="E168" s="9"/>
      <c r="F168" s="9"/>
      <c r="G168" s="9"/>
      <c r="H168" s="9"/>
      <c r="I168" s="9"/>
      <c r="J168" s="5"/>
      <c r="K168" s="4"/>
      <c r="L168" s="10"/>
      <c r="M168" s="10"/>
      <c r="N168" s="10"/>
      <c r="O168" s="10"/>
      <c r="P168" s="10"/>
      <c r="Q168" s="11"/>
      <c r="R168" s="9"/>
      <c r="S168" s="12"/>
      <c r="T168" s="5"/>
      <c r="U168" s="5"/>
      <c r="V168" s="4"/>
      <c r="W168" s="4"/>
      <c r="X168" s="4"/>
      <c r="Y168" s="4"/>
    </row>
    <row r="169">
      <c r="A169" s="5"/>
      <c r="B169" s="9"/>
      <c r="C169" s="5"/>
      <c r="D169" s="9"/>
      <c r="E169" s="9"/>
      <c r="F169" s="9"/>
      <c r="G169" s="9"/>
      <c r="H169" s="9"/>
      <c r="I169" s="9"/>
      <c r="J169" s="5"/>
      <c r="K169" s="4"/>
      <c r="L169" s="10"/>
      <c r="M169" s="10"/>
      <c r="N169" s="10"/>
      <c r="O169" s="10"/>
      <c r="P169" s="10"/>
      <c r="Q169" s="11"/>
      <c r="R169" s="9"/>
      <c r="S169" s="12"/>
      <c r="T169" s="5"/>
      <c r="U169" s="5"/>
      <c r="V169" s="4"/>
      <c r="W169" s="4"/>
      <c r="X169" s="4"/>
      <c r="Y169" s="4"/>
    </row>
    <row r="170">
      <c r="A170" s="5"/>
      <c r="B170" s="9"/>
      <c r="C170" s="5"/>
      <c r="D170" s="9"/>
      <c r="E170" s="9"/>
      <c r="F170" s="9"/>
      <c r="G170" s="9"/>
      <c r="H170" s="9"/>
      <c r="I170" s="9"/>
      <c r="J170" s="5"/>
      <c r="K170" s="4"/>
      <c r="L170" s="10"/>
      <c r="M170" s="10"/>
      <c r="N170" s="10"/>
      <c r="O170" s="10"/>
      <c r="P170" s="10"/>
      <c r="Q170" s="11"/>
      <c r="R170" s="9"/>
      <c r="S170" s="12"/>
      <c r="T170" s="5"/>
      <c r="U170" s="5"/>
      <c r="V170" s="4"/>
      <c r="W170" s="4"/>
      <c r="X170" s="4"/>
      <c r="Y170" s="4"/>
    </row>
    <row r="171">
      <c r="A171" s="5"/>
      <c r="B171" s="9"/>
      <c r="C171" s="5"/>
      <c r="D171" s="9"/>
      <c r="E171" s="9"/>
      <c r="F171" s="9"/>
      <c r="G171" s="9"/>
      <c r="H171" s="9"/>
      <c r="I171" s="9"/>
      <c r="J171" s="5"/>
      <c r="K171" s="4"/>
      <c r="L171" s="10"/>
      <c r="M171" s="10"/>
      <c r="N171" s="10"/>
      <c r="O171" s="10"/>
      <c r="P171" s="10"/>
      <c r="Q171" s="11"/>
      <c r="R171" s="9"/>
      <c r="S171" s="12"/>
      <c r="T171" s="5"/>
      <c r="U171" s="5"/>
      <c r="V171" s="4"/>
      <c r="W171" s="4"/>
      <c r="X171" s="4"/>
      <c r="Y171" s="4"/>
    </row>
    <row r="172">
      <c r="A172" s="5"/>
      <c r="B172" s="9"/>
      <c r="C172" s="5"/>
      <c r="D172" s="9"/>
      <c r="E172" s="9"/>
      <c r="F172" s="9"/>
      <c r="G172" s="9"/>
      <c r="H172" s="9"/>
      <c r="I172" s="9"/>
      <c r="J172" s="5"/>
      <c r="K172" s="4"/>
      <c r="L172" s="10"/>
      <c r="M172" s="10"/>
      <c r="N172" s="10"/>
      <c r="O172" s="10"/>
      <c r="P172" s="10"/>
      <c r="Q172" s="11"/>
      <c r="R172" s="9"/>
      <c r="S172" s="12"/>
      <c r="T172" s="5"/>
      <c r="U172" s="5"/>
      <c r="V172" s="4"/>
      <c r="W172" s="4"/>
      <c r="X172" s="4"/>
      <c r="Y172" s="4"/>
    </row>
    <row r="173">
      <c r="A173" s="5"/>
      <c r="B173" s="9"/>
      <c r="C173" s="5"/>
      <c r="D173" s="9"/>
      <c r="E173" s="9"/>
      <c r="F173" s="9"/>
      <c r="G173" s="9"/>
      <c r="H173" s="9"/>
      <c r="I173" s="9"/>
      <c r="J173" s="5"/>
      <c r="K173" s="4"/>
      <c r="L173" s="10"/>
      <c r="M173" s="10"/>
      <c r="N173" s="10"/>
      <c r="O173" s="10"/>
      <c r="P173" s="10"/>
      <c r="Q173" s="11"/>
      <c r="R173" s="9"/>
      <c r="S173" s="12"/>
      <c r="T173" s="5"/>
      <c r="U173" s="5"/>
      <c r="V173" s="4"/>
      <c r="W173" s="4"/>
      <c r="X173" s="4"/>
      <c r="Y173" s="4"/>
    </row>
    <row r="174">
      <c r="A174" s="5"/>
      <c r="B174" s="9"/>
      <c r="C174" s="5"/>
      <c r="D174" s="9"/>
      <c r="E174" s="9"/>
      <c r="F174" s="9"/>
      <c r="G174" s="9"/>
      <c r="H174" s="9"/>
      <c r="I174" s="9"/>
      <c r="J174" s="5"/>
      <c r="K174" s="4"/>
      <c r="L174" s="10"/>
      <c r="M174" s="10"/>
      <c r="N174" s="10"/>
      <c r="O174" s="10"/>
      <c r="P174" s="10"/>
      <c r="Q174" s="11"/>
      <c r="R174" s="9"/>
      <c r="S174" s="12"/>
      <c r="T174" s="5"/>
      <c r="U174" s="5"/>
      <c r="V174" s="4"/>
      <c r="W174" s="4"/>
      <c r="X174" s="4"/>
      <c r="Y174" s="4"/>
    </row>
    <row r="175">
      <c r="A175" s="5"/>
      <c r="B175" s="9"/>
      <c r="C175" s="5"/>
      <c r="D175" s="9"/>
      <c r="E175" s="9"/>
      <c r="F175" s="9"/>
      <c r="G175" s="9"/>
      <c r="H175" s="9"/>
      <c r="I175" s="9"/>
      <c r="J175" s="5"/>
      <c r="K175" s="4"/>
      <c r="L175" s="10"/>
      <c r="M175" s="10"/>
      <c r="N175" s="10"/>
      <c r="O175" s="10"/>
      <c r="P175" s="10"/>
      <c r="Q175" s="11"/>
      <c r="R175" s="9"/>
      <c r="S175" s="12"/>
      <c r="T175" s="5"/>
      <c r="U175" s="5"/>
      <c r="V175" s="4"/>
      <c r="W175" s="4"/>
      <c r="X175" s="4"/>
      <c r="Y175" s="4"/>
    </row>
    <row r="176">
      <c r="A176" s="5"/>
      <c r="B176" s="9"/>
      <c r="C176" s="5"/>
      <c r="D176" s="9"/>
      <c r="E176" s="9"/>
      <c r="F176" s="9"/>
      <c r="G176" s="9"/>
      <c r="H176" s="9"/>
      <c r="I176" s="9"/>
      <c r="J176" s="5"/>
      <c r="K176" s="4"/>
      <c r="L176" s="10"/>
      <c r="M176" s="10"/>
      <c r="N176" s="10"/>
      <c r="O176" s="10"/>
      <c r="P176" s="10"/>
      <c r="Q176" s="11"/>
      <c r="R176" s="9"/>
      <c r="S176" s="12"/>
      <c r="T176" s="5"/>
      <c r="U176" s="5"/>
      <c r="V176" s="4"/>
      <c r="W176" s="4"/>
      <c r="X176" s="4"/>
      <c r="Y176" s="4"/>
    </row>
    <row r="177">
      <c r="A177" s="5"/>
      <c r="B177" s="9"/>
      <c r="C177" s="5"/>
      <c r="D177" s="9"/>
      <c r="E177" s="9"/>
      <c r="F177" s="9"/>
      <c r="G177" s="9"/>
      <c r="H177" s="9"/>
      <c r="I177" s="9"/>
      <c r="J177" s="5"/>
      <c r="K177" s="4"/>
      <c r="L177" s="10"/>
      <c r="M177" s="10"/>
      <c r="N177" s="10"/>
      <c r="O177" s="10"/>
      <c r="P177" s="10"/>
      <c r="Q177" s="11"/>
      <c r="R177" s="9"/>
      <c r="S177" s="12"/>
      <c r="T177" s="5"/>
      <c r="U177" s="5"/>
      <c r="V177" s="4"/>
      <c r="W177" s="4"/>
      <c r="X177" s="4"/>
      <c r="Y177" s="4"/>
    </row>
    <row r="178">
      <c r="A178" s="5"/>
      <c r="B178" s="9"/>
      <c r="C178" s="5"/>
      <c r="D178" s="9"/>
      <c r="E178" s="9"/>
      <c r="F178" s="9"/>
      <c r="G178" s="9"/>
      <c r="H178" s="9"/>
      <c r="I178" s="9"/>
      <c r="J178" s="5"/>
      <c r="K178" s="4"/>
      <c r="L178" s="10"/>
      <c r="M178" s="10"/>
      <c r="N178" s="10"/>
      <c r="O178" s="10"/>
      <c r="P178" s="10"/>
      <c r="Q178" s="11"/>
      <c r="R178" s="9"/>
      <c r="S178" s="12"/>
      <c r="T178" s="5"/>
      <c r="U178" s="5"/>
      <c r="V178" s="4"/>
      <c r="W178" s="4"/>
      <c r="X178" s="4"/>
      <c r="Y178" s="4"/>
    </row>
    <row r="179">
      <c r="A179" s="5"/>
      <c r="B179" s="9"/>
      <c r="C179" s="5"/>
      <c r="D179" s="9"/>
      <c r="E179" s="9"/>
      <c r="F179" s="9"/>
      <c r="G179" s="9"/>
      <c r="H179" s="9"/>
      <c r="I179" s="9"/>
      <c r="J179" s="5"/>
      <c r="K179" s="4"/>
      <c r="L179" s="10"/>
      <c r="M179" s="10"/>
      <c r="N179" s="10"/>
      <c r="O179" s="10"/>
      <c r="P179" s="10"/>
      <c r="Q179" s="11"/>
      <c r="R179" s="9"/>
      <c r="S179" s="12"/>
      <c r="T179" s="5"/>
      <c r="U179" s="5"/>
      <c r="V179" s="4"/>
      <c r="W179" s="4"/>
      <c r="X179" s="4"/>
      <c r="Y179" s="4"/>
    </row>
    <row r="180">
      <c r="A180" s="5"/>
      <c r="B180" s="9"/>
      <c r="C180" s="5"/>
      <c r="D180" s="9"/>
      <c r="E180" s="9"/>
      <c r="F180" s="9"/>
      <c r="G180" s="9"/>
      <c r="H180" s="9"/>
      <c r="I180" s="9"/>
      <c r="J180" s="5"/>
      <c r="K180" s="4"/>
      <c r="L180" s="10"/>
      <c r="M180" s="10"/>
      <c r="N180" s="10"/>
      <c r="O180" s="10"/>
      <c r="P180" s="10"/>
      <c r="Q180" s="11"/>
      <c r="R180" s="9"/>
      <c r="S180" s="12"/>
      <c r="T180" s="5"/>
      <c r="U180" s="5"/>
      <c r="V180" s="4"/>
      <c r="W180" s="4"/>
      <c r="X180" s="4"/>
      <c r="Y180" s="4"/>
    </row>
    <row r="181">
      <c r="A181" s="5"/>
      <c r="B181" s="9"/>
      <c r="C181" s="5"/>
      <c r="D181" s="9"/>
      <c r="E181" s="9"/>
      <c r="F181" s="9"/>
      <c r="G181" s="9"/>
      <c r="H181" s="9"/>
      <c r="I181" s="9"/>
      <c r="J181" s="5"/>
      <c r="K181" s="4"/>
      <c r="L181" s="10"/>
      <c r="M181" s="10"/>
      <c r="N181" s="10"/>
      <c r="O181" s="10"/>
      <c r="P181" s="10"/>
      <c r="Q181" s="11"/>
      <c r="R181" s="9"/>
      <c r="S181" s="12"/>
      <c r="T181" s="5"/>
      <c r="U181" s="5"/>
      <c r="V181" s="4"/>
      <c r="W181" s="4"/>
      <c r="X181" s="4"/>
      <c r="Y181" s="4"/>
    </row>
    <row r="182">
      <c r="A182" s="5"/>
      <c r="B182" s="9"/>
      <c r="C182" s="5"/>
      <c r="D182" s="9"/>
      <c r="E182" s="9"/>
      <c r="F182" s="9"/>
      <c r="G182" s="9"/>
      <c r="H182" s="9"/>
      <c r="I182" s="9"/>
      <c r="J182" s="5"/>
      <c r="K182" s="4"/>
      <c r="L182" s="10"/>
      <c r="M182" s="10"/>
      <c r="N182" s="10"/>
      <c r="O182" s="10"/>
      <c r="P182" s="10"/>
      <c r="Q182" s="11"/>
      <c r="R182" s="9"/>
      <c r="S182" s="12"/>
      <c r="T182" s="5"/>
      <c r="U182" s="5"/>
      <c r="V182" s="4"/>
      <c r="W182" s="4"/>
      <c r="X182" s="4"/>
      <c r="Y182" s="4"/>
    </row>
    <row r="183">
      <c r="A183" s="5"/>
      <c r="B183" s="9"/>
      <c r="C183" s="5"/>
      <c r="D183" s="9"/>
      <c r="E183" s="9"/>
      <c r="F183" s="9"/>
      <c r="G183" s="9"/>
      <c r="H183" s="9"/>
      <c r="I183" s="9"/>
      <c r="J183" s="5"/>
      <c r="K183" s="4"/>
      <c r="L183" s="10"/>
      <c r="M183" s="10"/>
      <c r="N183" s="10"/>
      <c r="O183" s="10"/>
      <c r="P183" s="10"/>
      <c r="Q183" s="11"/>
      <c r="R183" s="9"/>
      <c r="S183" s="12"/>
      <c r="T183" s="5"/>
      <c r="U183" s="5"/>
      <c r="V183" s="4"/>
      <c r="W183" s="4"/>
      <c r="X183" s="4"/>
      <c r="Y183" s="4"/>
    </row>
    <row r="184">
      <c r="A184" s="5"/>
      <c r="B184" s="9"/>
      <c r="C184" s="5"/>
      <c r="D184" s="9"/>
      <c r="E184" s="9"/>
      <c r="F184" s="9"/>
      <c r="G184" s="9"/>
      <c r="H184" s="9"/>
      <c r="I184" s="9"/>
      <c r="J184" s="5"/>
      <c r="K184" s="4"/>
      <c r="L184" s="10"/>
      <c r="M184" s="10"/>
      <c r="N184" s="10"/>
      <c r="O184" s="10"/>
      <c r="P184" s="10"/>
      <c r="Q184" s="11"/>
      <c r="R184" s="9"/>
      <c r="S184" s="12"/>
      <c r="T184" s="5"/>
      <c r="U184" s="5"/>
      <c r="V184" s="4"/>
      <c r="W184" s="4"/>
      <c r="X184" s="4"/>
      <c r="Y184" s="4"/>
    </row>
    <row r="185">
      <c r="A185" s="5"/>
      <c r="B185" s="9"/>
      <c r="C185" s="5"/>
      <c r="D185" s="9"/>
      <c r="E185" s="9"/>
      <c r="F185" s="9"/>
      <c r="G185" s="9"/>
      <c r="H185" s="9"/>
      <c r="I185" s="9"/>
      <c r="J185" s="5"/>
      <c r="K185" s="4"/>
      <c r="L185" s="10"/>
      <c r="M185" s="10"/>
      <c r="N185" s="10"/>
      <c r="O185" s="10"/>
      <c r="P185" s="10"/>
      <c r="Q185" s="11"/>
      <c r="R185" s="9"/>
      <c r="S185" s="12"/>
      <c r="T185" s="5"/>
      <c r="U185" s="5"/>
      <c r="V185" s="4"/>
      <c r="W185" s="4"/>
      <c r="X185" s="4"/>
      <c r="Y185" s="4"/>
    </row>
    <row r="186">
      <c r="A186" s="5"/>
      <c r="B186" s="9"/>
      <c r="C186" s="5"/>
      <c r="D186" s="9"/>
      <c r="E186" s="9"/>
      <c r="F186" s="9"/>
      <c r="G186" s="9"/>
      <c r="H186" s="9"/>
      <c r="I186" s="9"/>
      <c r="J186" s="5"/>
      <c r="K186" s="4"/>
      <c r="L186" s="10"/>
      <c r="M186" s="10"/>
      <c r="N186" s="10"/>
      <c r="O186" s="10"/>
      <c r="P186" s="10"/>
      <c r="Q186" s="11"/>
      <c r="R186" s="9"/>
      <c r="S186" s="12"/>
      <c r="T186" s="5"/>
      <c r="U186" s="5"/>
      <c r="V186" s="4"/>
      <c r="W186" s="4"/>
      <c r="X186" s="4"/>
      <c r="Y186" s="4"/>
    </row>
    <row r="187">
      <c r="A187" s="5"/>
      <c r="B187" s="9"/>
      <c r="C187" s="5"/>
      <c r="D187" s="9"/>
      <c r="E187" s="9"/>
      <c r="F187" s="9"/>
      <c r="G187" s="9"/>
      <c r="H187" s="9"/>
      <c r="I187" s="9"/>
      <c r="J187" s="5"/>
      <c r="K187" s="4"/>
      <c r="L187" s="10"/>
      <c r="M187" s="10"/>
      <c r="N187" s="10"/>
      <c r="O187" s="10"/>
      <c r="P187" s="10"/>
      <c r="Q187" s="11"/>
      <c r="R187" s="9"/>
      <c r="S187" s="12"/>
      <c r="T187" s="5"/>
      <c r="U187" s="5"/>
      <c r="V187" s="4"/>
      <c r="W187" s="4"/>
      <c r="X187" s="4"/>
      <c r="Y187" s="4"/>
    </row>
    <row r="188">
      <c r="A188" s="5"/>
      <c r="B188" s="9"/>
      <c r="C188" s="5"/>
      <c r="D188" s="9"/>
      <c r="E188" s="9"/>
      <c r="F188" s="9"/>
      <c r="G188" s="9"/>
      <c r="H188" s="9"/>
      <c r="I188" s="9"/>
      <c r="J188" s="5"/>
      <c r="K188" s="4"/>
      <c r="L188" s="10"/>
      <c r="M188" s="10"/>
      <c r="N188" s="10"/>
      <c r="O188" s="10"/>
      <c r="P188" s="10"/>
      <c r="Q188" s="11"/>
      <c r="R188" s="9"/>
      <c r="S188" s="12"/>
      <c r="T188" s="5"/>
      <c r="U188" s="5"/>
      <c r="V188" s="4"/>
      <c r="W188" s="4"/>
      <c r="X188" s="4"/>
      <c r="Y188" s="4"/>
    </row>
    <row r="189">
      <c r="A189" s="5"/>
      <c r="B189" s="9"/>
      <c r="C189" s="5"/>
      <c r="D189" s="9"/>
      <c r="E189" s="9"/>
      <c r="F189" s="9"/>
      <c r="G189" s="9"/>
      <c r="H189" s="9"/>
      <c r="I189" s="9"/>
      <c r="J189" s="5"/>
      <c r="K189" s="4"/>
      <c r="L189" s="10"/>
      <c r="M189" s="10"/>
      <c r="N189" s="10"/>
      <c r="O189" s="10"/>
      <c r="P189" s="10"/>
      <c r="Q189" s="11"/>
      <c r="R189" s="9"/>
      <c r="S189" s="12"/>
      <c r="T189" s="5"/>
      <c r="U189" s="5"/>
      <c r="V189" s="4"/>
      <c r="W189" s="4"/>
      <c r="X189" s="4"/>
      <c r="Y189" s="4"/>
    </row>
    <row r="190">
      <c r="A190" s="5"/>
      <c r="B190" s="9"/>
      <c r="C190" s="5"/>
      <c r="D190" s="9"/>
      <c r="E190" s="9"/>
      <c r="F190" s="9"/>
      <c r="G190" s="9"/>
      <c r="H190" s="9"/>
      <c r="I190" s="9"/>
      <c r="J190" s="5"/>
      <c r="K190" s="4"/>
      <c r="L190" s="10"/>
      <c r="M190" s="10"/>
      <c r="N190" s="10"/>
      <c r="O190" s="10"/>
      <c r="P190" s="10"/>
      <c r="Q190" s="11"/>
      <c r="R190" s="9"/>
      <c r="S190" s="12"/>
      <c r="T190" s="5"/>
      <c r="U190" s="5"/>
      <c r="V190" s="4"/>
      <c r="W190" s="4"/>
      <c r="X190" s="4"/>
      <c r="Y190" s="4"/>
    </row>
    <row r="191">
      <c r="A191" s="5"/>
      <c r="B191" s="9"/>
      <c r="C191" s="5"/>
      <c r="D191" s="9"/>
      <c r="E191" s="9"/>
      <c r="F191" s="9"/>
      <c r="G191" s="9"/>
      <c r="H191" s="9"/>
      <c r="I191" s="9"/>
      <c r="J191" s="5"/>
      <c r="K191" s="4"/>
      <c r="L191" s="10"/>
      <c r="M191" s="10"/>
      <c r="N191" s="10"/>
      <c r="O191" s="10"/>
      <c r="P191" s="10"/>
      <c r="Q191" s="11"/>
      <c r="R191" s="9"/>
      <c r="S191" s="12"/>
      <c r="T191" s="5"/>
      <c r="U191" s="5"/>
      <c r="V191" s="4"/>
      <c r="W191" s="4"/>
      <c r="X191" s="4"/>
      <c r="Y191" s="4"/>
    </row>
    <row r="192">
      <c r="A192" s="5"/>
      <c r="B192" s="9"/>
      <c r="C192" s="5"/>
      <c r="D192" s="9"/>
      <c r="E192" s="9"/>
      <c r="F192" s="9"/>
      <c r="G192" s="9"/>
      <c r="H192" s="9"/>
      <c r="I192" s="9"/>
      <c r="J192" s="5"/>
      <c r="K192" s="4"/>
      <c r="L192" s="10"/>
      <c r="M192" s="10"/>
      <c r="N192" s="10"/>
      <c r="O192" s="10"/>
      <c r="P192" s="10"/>
      <c r="Q192" s="11"/>
      <c r="R192" s="9"/>
      <c r="S192" s="12"/>
      <c r="T192" s="5"/>
      <c r="U192" s="5"/>
      <c r="V192" s="4"/>
      <c r="W192" s="4"/>
      <c r="X192" s="4"/>
      <c r="Y192" s="4"/>
    </row>
    <row r="193">
      <c r="A193" s="5"/>
      <c r="B193" s="9"/>
      <c r="C193" s="5"/>
      <c r="D193" s="9"/>
      <c r="E193" s="9"/>
      <c r="F193" s="9"/>
      <c r="G193" s="9"/>
      <c r="H193" s="9"/>
      <c r="I193" s="9"/>
      <c r="J193" s="5"/>
      <c r="K193" s="4"/>
      <c r="L193" s="10"/>
      <c r="M193" s="10"/>
      <c r="N193" s="10"/>
      <c r="O193" s="10"/>
      <c r="P193" s="10"/>
      <c r="Q193" s="11"/>
      <c r="R193" s="9"/>
      <c r="S193" s="12"/>
      <c r="T193" s="5"/>
      <c r="U193" s="5"/>
      <c r="V193" s="4"/>
      <c r="W193" s="4"/>
      <c r="X193" s="4"/>
      <c r="Y193" s="4"/>
    </row>
    <row r="194">
      <c r="A194" s="5"/>
      <c r="B194" s="9"/>
      <c r="C194" s="5"/>
      <c r="D194" s="9"/>
      <c r="E194" s="9"/>
      <c r="F194" s="9"/>
      <c r="G194" s="9"/>
      <c r="H194" s="9"/>
      <c r="I194" s="9"/>
      <c r="J194" s="5"/>
      <c r="K194" s="4"/>
      <c r="L194" s="10"/>
      <c r="M194" s="10"/>
      <c r="N194" s="10"/>
      <c r="O194" s="10"/>
      <c r="P194" s="10"/>
      <c r="Q194" s="11"/>
      <c r="R194" s="9"/>
      <c r="S194" s="12"/>
      <c r="T194" s="5"/>
      <c r="U194" s="5"/>
      <c r="V194" s="4"/>
      <c r="W194" s="4"/>
      <c r="X194" s="4"/>
      <c r="Y194" s="4"/>
    </row>
    <row r="195">
      <c r="A195" s="5"/>
      <c r="B195" s="9"/>
      <c r="C195" s="5"/>
      <c r="D195" s="9"/>
      <c r="E195" s="9"/>
      <c r="F195" s="9"/>
      <c r="G195" s="9"/>
      <c r="H195" s="9"/>
      <c r="I195" s="9"/>
      <c r="J195" s="5"/>
      <c r="K195" s="4"/>
      <c r="L195" s="10"/>
      <c r="M195" s="10"/>
      <c r="N195" s="10"/>
      <c r="O195" s="10"/>
      <c r="P195" s="10"/>
      <c r="Q195" s="11"/>
      <c r="R195" s="9"/>
      <c r="S195" s="12"/>
      <c r="T195" s="5"/>
      <c r="U195" s="5"/>
      <c r="V195" s="4"/>
      <c r="W195" s="4"/>
      <c r="X195" s="4"/>
      <c r="Y195" s="4"/>
    </row>
    <row r="196">
      <c r="A196" s="5"/>
      <c r="B196" s="9"/>
      <c r="C196" s="5"/>
      <c r="D196" s="9"/>
      <c r="E196" s="9"/>
      <c r="F196" s="9"/>
      <c r="G196" s="9"/>
      <c r="H196" s="9"/>
      <c r="I196" s="9"/>
      <c r="J196" s="5"/>
      <c r="K196" s="4"/>
      <c r="L196" s="10"/>
      <c r="M196" s="10"/>
      <c r="N196" s="10"/>
      <c r="O196" s="10"/>
      <c r="P196" s="10"/>
      <c r="Q196" s="11"/>
      <c r="R196" s="9"/>
      <c r="S196" s="12"/>
      <c r="T196" s="5"/>
      <c r="U196" s="5"/>
      <c r="V196" s="4"/>
      <c r="W196" s="4"/>
      <c r="X196" s="4"/>
      <c r="Y196" s="4"/>
    </row>
    <row r="197">
      <c r="A197" s="5"/>
      <c r="B197" s="9"/>
      <c r="C197" s="5"/>
      <c r="D197" s="9"/>
      <c r="E197" s="9"/>
      <c r="F197" s="9"/>
      <c r="G197" s="9"/>
      <c r="H197" s="9"/>
      <c r="I197" s="9"/>
      <c r="J197" s="5"/>
      <c r="K197" s="4"/>
      <c r="L197" s="10"/>
      <c r="M197" s="10"/>
      <c r="N197" s="10"/>
      <c r="O197" s="10"/>
      <c r="P197" s="10"/>
      <c r="Q197" s="11"/>
      <c r="R197" s="9"/>
      <c r="S197" s="12"/>
      <c r="T197" s="5"/>
      <c r="U197" s="5"/>
      <c r="V197" s="4"/>
      <c r="W197" s="4"/>
      <c r="X197" s="4"/>
      <c r="Y197" s="4"/>
    </row>
    <row r="198">
      <c r="A198" s="5"/>
      <c r="B198" s="9"/>
      <c r="C198" s="5"/>
      <c r="D198" s="9"/>
      <c r="E198" s="9"/>
      <c r="F198" s="9"/>
      <c r="G198" s="9"/>
      <c r="H198" s="9"/>
      <c r="I198" s="9"/>
      <c r="J198" s="5"/>
      <c r="K198" s="4"/>
      <c r="L198" s="10"/>
      <c r="M198" s="10"/>
      <c r="N198" s="10"/>
      <c r="O198" s="10"/>
      <c r="P198" s="10"/>
      <c r="Q198" s="11"/>
      <c r="R198" s="9"/>
      <c r="S198" s="12"/>
      <c r="T198" s="5"/>
      <c r="U198" s="5"/>
      <c r="V198" s="4"/>
      <c r="W198" s="4"/>
      <c r="X198" s="4"/>
      <c r="Y198" s="4"/>
    </row>
    <row r="199">
      <c r="A199" s="5"/>
      <c r="B199" s="9"/>
      <c r="C199" s="5"/>
      <c r="D199" s="9"/>
      <c r="E199" s="9"/>
      <c r="F199" s="9"/>
      <c r="G199" s="9"/>
      <c r="H199" s="9"/>
      <c r="I199" s="9"/>
      <c r="J199" s="5"/>
      <c r="K199" s="4"/>
      <c r="L199" s="10"/>
      <c r="M199" s="10"/>
      <c r="N199" s="10"/>
      <c r="O199" s="10"/>
      <c r="P199" s="10"/>
      <c r="Q199" s="11"/>
      <c r="R199" s="9"/>
      <c r="S199" s="12"/>
      <c r="T199" s="5"/>
      <c r="U199" s="5"/>
      <c r="V199" s="4"/>
      <c r="W199" s="4"/>
      <c r="X199" s="4"/>
      <c r="Y199" s="4"/>
    </row>
    <row r="200">
      <c r="A200" s="5"/>
      <c r="B200" s="9"/>
      <c r="C200" s="5"/>
      <c r="D200" s="9"/>
      <c r="E200" s="9"/>
      <c r="F200" s="9"/>
      <c r="G200" s="9"/>
      <c r="H200" s="9"/>
      <c r="I200" s="9"/>
      <c r="J200" s="5"/>
      <c r="K200" s="4"/>
      <c r="L200" s="10"/>
      <c r="M200" s="10"/>
      <c r="N200" s="10"/>
      <c r="O200" s="10"/>
      <c r="P200" s="10"/>
      <c r="Q200" s="11"/>
      <c r="R200" s="9"/>
      <c r="S200" s="12"/>
      <c r="T200" s="5"/>
      <c r="U200" s="5"/>
      <c r="V200" s="4"/>
      <c r="W200" s="4"/>
      <c r="X200" s="4"/>
      <c r="Y200" s="4"/>
    </row>
    <row r="201">
      <c r="A201" s="5"/>
      <c r="B201" s="9"/>
      <c r="C201" s="5"/>
      <c r="D201" s="9"/>
      <c r="E201" s="9"/>
      <c r="F201" s="9"/>
      <c r="G201" s="9"/>
      <c r="H201" s="9"/>
      <c r="I201" s="9"/>
      <c r="J201" s="5"/>
      <c r="K201" s="4"/>
      <c r="L201" s="10"/>
      <c r="M201" s="10"/>
      <c r="N201" s="10"/>
      <c r="O201" s="10"/>
      <c r="P201" s="10"/>
      <c r="Q201" s="11"/>
      <c r="R201" s="9"/>
      <c r="S201" s="12"/>
      <c r="T201" s="5"/>
      <c r="U201" s="5"/>
      <c r="V201" s="4"/>
      <c r="W201" s="4"/>
      <c r="X201" s="4"/>
      <c r="Y201" s="4"/>
    </row>
    <row r="202">
      <c r="A202" s="5"/>
      <c r="B202" s="9"/>
      <c r="C202" s="5"/>
      <c r="D202" s="9"/>
      <c r="E202" s="9"/>
      <c r="F202" s="9"/>
      <c r="G202" s="9"/>
      <c r="H202" s="9"/>
      <c r="I202" s="9"/>
      <c r="J202" s="5"/>
      <c r="K202" s="4"/>
      <c r="L202" s="10"/>
      <c r="M202" s="10"/>
      <c r="N202" s="10"/>
      <c r="O202" s="10"/>
      <c r="P202" s="10"/>
      <c r="Q202" s="11"/>
      <c r="R202" s="9"/>
      <c r="S202" s="12"/>
      <c r="T202" s="5"/>
      <c r="U202" s="5"/>
      <c r="V202" s="4"/>
      <c r="W202" s="4"/>
      <c r="X202" s="4"/>
      <c r="Y202" s="4"/>
    </row>
    <row r="203">
      <c r="A203" s="5"/>
      <c r="B203" s="9"/>
      <c r="C203" s="5"/>
      <c r="D203" s="9"/>
      <c r="E203" s="9"/>
      <c r="F203" s="9"/>
      <c r="G203" s="9"/>
      <c r="H203" s="9"/>
      <c r="I203" s="9"/>
      <c r="J203" s="5"/>
      <c r="K203" s="4"/>
      <c r="L203" s="10"/>
      <c r="M203" s="10"/>
      <c r="N203" s="10"/>
      <c r="O203" s="10"/>
      <c r="P203" s="10"/>
      <c r="Q203" s="11"/>
      <c r="R203" s="9"/>
      <c r="S203" s="12"/>
      <c r="T203" s="5"/>
      <c r="U203" s="5"/>
      <c r="V203" s="4"/>
      <c r="W203" s="4"/>
      <c r="X203" s="4"/>
      <c r="Y203" s="4"/>
    </row>
    <row r="204">
      <c r="A204" s="5"/>
      <c r="B204" s="9"/>
      <c r="C204" s="5"/>
      <c r="D204" s="9"/>
      <c r="E204" s="9"/>
      <c r="F204" s="9"/>
      <c r="G204" s="9"/>
      <c r="H204" s="9"/>
      <c r="I204" s="9"/>
      <c r="J204" s="5"/>
      <c r="K204" s="4"/>
      <c r="L204" s="10"/>
      <c r="M204" s="10"/>
      <c r="N204" s="10"/>
      <c r="O204" s="10"/>
      <c r="P204" s="10"/>
      <c r="Q204" s="11"/>
      <c r="R204" s="9"/>
      <c r="S204" s="12"/>
      <c r="T204" s="5"/>
      <c r="U204" s="5"/>
      <c r="V204" s="4"/>
      <c r="W204" s="4"/>
      <c r="X204" s="4"/>
      <c r="Y204" s="4"/>
    </row>
    <row r="205">
      <c r="A205" s="5"/>
      <c r="B205" s="9"/>
      <c r="C205" s="5"/>
      <c r="D205" s="9"/>
      <c r="E205" s="9"/>
      <c r="F205" s="9"/>
      <c r="G205" s="9"/>
      <c r="H205" s="9"/>
      <c r="I205" s="9"/>
      <c r="J205" s="5"/>
      <c r="K205" s="4"/>
      <c r="L205" s="10"/>
      <c r="M205" s="10"/>
      <c r="N205" s="10"/>
      <c r="O205" s="10"/>
      <c r="P205" s="10"/>
      <c r="Q205" s="11"/>
      <c r="R205" s="9"/>
      <c r="S205" s="12"/>
      <c r="T205" s="5"/>
      <c r="U205" s="5"/>
      <c r="V205" s="4"/>
      <c r="W205" s="4"/>
      <c r="X205" s="4"/>
      <c r="Y205" s="4"/>
    </row>
    <row r="206">
      <c r="A206" s="5"/>
      <c r="B206" s="9"/>
      <c r="C206" s="5"/>
      <c r="D206" s="9"/>
      <c r="E206" s="9"/>
      <c r="F206" s="9"/>
      <c r="G206" s="9"/>
      <c r="H206" s="9"/>
      <c r="I206" s="9"/>
      <c r="J206" s="5"/>
      <c r="K206" s="4"/>
      <c r="L206" s="10"/>
      <c r="M206" s="10"/>
      <c r="N206" s="10"/>
      <c r="O206" s="10"/>
      <c r="P206" s="10"/>
      <c r="Q206" s="11"/>
      <c r="R206" s="9"/>
      <c r="S206" s="12"/>
      <c r="T206" s="5"/>
      <c r="U206" s="5"/>
      <c r="V206" s="4"/>
      <c r="W206" s="4"/>
      <c r="X206" s="4"/>
      <c r="Y206" s="4"/>
    </row>
    <row r="207">
      <c r="A207" s="5"/>
      <c r="B207" s="9"/>
      <c r="C207" s="5"/>
      <c r="D207" s="9"/>
      <c r="E207" s="9"/>
      <c r="F207" s="9"/>
      <c r="G207" s="9"/>
      <c r="H207" s="9"/>
      <c r="I207" s="9"/>
      <c r="J207" s="5"/>
      <c r="K207" s="4"/>
      <c r="L207" s="10"/>
      <c r="M207" s="10"/>
      <c r="N207" s="10"/>
      <c r="O207" s="10"/>
      <c r="P207" s="10"/>
      <c r="Q207" s="11"/>
      <c r="R207" s="9"/>
      <c r="S207" s="12"/>
      <c r="T207" s="5"/>
      <c r="U207" s="5"/>
      <c r="V207" s="4"/>
      <c r="W207" s="4"/>
      <c r="X207" s="4"/>
      <c r="Y207" s="4"/>
    </row>
    <row r="208">
      <c r="A208" s="5"/>
      <c r="B208" s="9"/>
      <c r="C208" s="5"/>
      <c r="D208" s="9"/>
      <c r="E208" s="9"/>
      <c r="F208" s="9"/>
      <c r="G208" s="9"/>
      <c r="H208" s="9"/>
      <c r="I208" s="9"/>
      <c r="J208" s="5"/>
      <c r="K208" s="4"/>
      <c r="L208" s="10"/>
      <c r="M208" s="10"/>
      <c r="N208" s="10"/>
      <c r="O208" s="10"/>
      <c r="P208" s="10"/>
      <c r="Q208" s="11"/>
      <c r="R208" s="9"/>
      <c r="S208" s="12"/>
      <c r="T208" s="5"/>
      <c r="U208" s="5"/>
      <c r="V208" s="4"/>
      <c r="W208" s="4"/>
      <c r="X208" s="4"/>
      <c r="Y208" s="4"/>
    </row>
    <row r="209">
      <c r="A209" s="5"/>
      <c r="B209" s="9"/>
      <c r="C209" s="5"/>
      <c r="D209" s="9"/>
      <c r="E209" s="9"/>
      <c r="F209" s="9"/>
      <c r="G209" s="9"/>
      <c r="H209" s="9"/>
      <c r="I209" s="9"/>
      <c r="J209" s="5"/>
      <c r="K209" s="4"/>
      <c r="L209" s="10"/>
      <c r="M209" s="10"/>
      <c r="N209" s="10"/>
      <c r="O209" s="10"/>
      <c r="P209" s="10"/>
      <c r="Q209" s="11"/>
      <c r="R209" s="9"/>
      <c r="S209" s="12"/>
      <c r="T209" s="5"/>
      <c r="U209" s="5"/>
      <c r="V209" s="4"/>
      <c r="W209" s="4"/>
      <c r="X209" s="4"/>
      <c r="Y209" s="4"/>
    </row>
    <row r="210">
      <c r="A210" s="5"/>
      <c r="B210" s="9"/>
      <c r="C210" s="5"/>
      <c r="D210" s="9"/>
      <c r="E210" s="9"/>
      <c r="F210" s="9"/>
      <c r="G210" s="9"/>
      <c r="H210" s="9"/>
      <c r="I210" s="9"/>
      <c r="J210" s="5"/>
      <c r="K210" s="4"/>
      <c r="L210" s="10"/>
      <c r="M210" s="10"/>
      <c r="N210" s="10"/>
      <c r="O210" s="10"/>
      <c r="P210" s="10"/>
      <c r="Q210" s="11"/>
      <c r="R210" s="9"/>
      <c r="S210" s="12"/>
      <c r="T210" s="5"/>
      <c r="U210" s="5"/>
      <c r="V210" s="4"/>
      <c r="W210" s="4"/>
      <c r="X210" s="4"/>
      <c r="Y210" s="4"/>
    </row>
    <row r="211">
      <c r="A211" s="5"/>
      <c r="B211" s="9"/>
      <c r="C211" s="5"/>
      <c r="D211" s="9"/>
      <c r="E211" s="9"/>
      <c r="F211" s="9"/>
      <c r="G211" s="9"/>
      <c r="H211" s="9"/>
      <c r="I211" s="9"/>
      <c r="J211" s="5"/>
      <c r="K211" s="4"/>
      <c r="L211" s="10"/>
      <c r="M211" s="10"/>
      <c r="N211" s="10"/>
      <c r="O211" s="10"/>
      <c r="P211" s="10"/>
      <c r="Q211" s="11"/>
      <c r="R211" s="9"/>
      <c r="S211" s="12"/>
      <c r="T211" s="5"/>
      <c r="U211" s="5"/>
      <c r="V211" s="4"/>
      <c r="W211" s="4"/>
      <c r="X211" s="4"/>
      <c r="Y211" s="4"/>
    </row>
    <row r="212">
      <c r="A212" s="5"/>
      <c r="B212" s="9"/>
      <c r="C212" s="5"/>
      <c r="D212" s="9"/>
      <c r="E212" s="9"/>
      <c r="F212" s="9"/>
      <c r="G212" s="9"/>
      <c r="H212" s="9"/>
      <c r="I212" s="9"/>
      <c r="J212" s="5"/>
      <c r="K212" s="4"/>
      <c r="L212" s="10"/>
      <c r="M212" s="10"/>
      <c r="N212" s="10"/>
      <c r="O212" s="10"/>
      <c r="P212" s="10"/>
      <c r="Q212" s="11"/>
      <c r="R212" s="9"/>
      <c r="S212" s="12"/>
      <c r="T212" s="5"/>
      <c r="U212" s="5"/>
      <c r="V212" s="4"/>
      <c r="W212" s="4"/>
      <c r="X212" s="4"/>
      <c r="Y212" s="4"/>
    </row>
    <row r="213">
      <c r="A213" s="5"/>
      <c r="B213" s="9"/>
      <c r="C213" s="5"/>
      <c r="D213" s="9"/>
      <c r="E213" s="9"/>
      <c r="F213" s="9"/>
      <c r="G213" s="9"/>
      <c r="H213" s="9"/>
      <c r="I213" s="9"/>
      <c r="J213" s="5"/>
      <c r="K213" s="4"/>
      <c r="L213" s="10"/>
      <c r="M213" s="10"/>
      <c r="N213" s="10"/>
      <c r="O213" s="10"/>
      <c r="P213" s="10"/>
      <c r="Q213" s="11"/>
      <c r="R213" s="9"/>
      <c r="S213" s="12"/>
      <c r="T213" s="5"/>
      <c r="U213" s="5"/>
      <c r="V213" s="4"/>
      <c r="W213" s="4"/>
      <c r="X213" s="4"/>
      <c r="Y213" s="4"/>
    </row>
    <row r="214">
      <c r="A214" s="5"/>
      <c r="B214" s="9"/>
      <c r="C214" s="5"/>
      <c r="D214" s="9"/>
      <c r="E214" s="9"/>
      <c r="F214" s="9"/>
      <c r="G214" s="9"/>
      <c r="H214" s="9"/>
      <c r="I214" s="9"/>
      <c r="J214" s="5"/>
      <c r="K214" s="4"/>
      <c r="L214" s="10"/>
      <c r="M214" s="10"/>
      <c r="N214" s="10"/>
      <c r="O214" s="10"/>
      <c r="P214" s="10"/>
      <c r="Q214" s="11"/>
      <c r="R214" s="9"/>
      <c r="S214" s="12"/>
      <c r="T214" s="5"/>
      <c r="U214" s="5"/>
      <c r="V214" s="4"/>
      <c r="W214" s="4"/>
      <c r="X214" s="4"/>
      <c r="Y214" s="4"/>
    </row>
    <row r="215">
      <c r="A215" s="5"/>
      <c r="B215" s="9"/>
      <c r="C215" s="5"/>
      <c r="D215" s="9"/>
      <c r="E215" s="9"/>
      <c r="F215" s="9"/>
      <c r="G215" s="9"/>
      <c r="H215" s="9"/>
      <c r="I215" s="9"/>
      <c r="J215" s="5"/>
      <c r="K215" s="4"/>
      <c r="L215" s="10"/>
      <c r="M215" s="10"/>
      <c r="N215" s="10"/>
      <c r="O215" s="10"/>
      <c r="P215" s="10"/>
      <c r="Q215" s="11"/>
      <c r="R215" s="9"/>
      <c r="S215" s="12"/>
      <c r="T215" s="5"/>
      <c r="U215" s="5"/>
      <c r="V215" s="4"/>
      <c r="W215" s="4"/>
      <c r="X215" s="4"/>
      <c r="Y215" s="4"/>
    </row>
    <row r="216">
      <c r="A216" s="5"/>
      <c r="B216" s="9"/>
      <c r="C216" s="5"/>
      <c r="D216" s="9"/>
      <c r="E216" s="9"/>
      <c r="F216" s="9"/>
      <c r="G216" s="9"/>
      <c r="H216" s="9"/>
      <c r="I216" s="9"/>
      <c r="J216" s="5"/>
      <c r="K216" s="4"/>
      <c r="L216" s="10"/>
      <c r="M216" s="10"/>
      <c r="N216" s="10"/>
      <c r="O216" s="10"/>
      <c r="P216" s="10"/>
      <c r="Q216" s="11"/>
      <c r="R216" s="9"/>
      <c r="S216" s="12"/>
      <c r="T216" s="5"/>
      <c r="U216" s="5"/>
      <c r="V216" s="4"/>
      <c r="W216" s="4"/>
      <c r="X216" s="4"/>
      <c r="Y216" s="4"/>
    </row>
    <row r="217">
      <c r="A217" s="5"/>
      <c r="B217" s="9"/>
      <c r="C217" s="5"/>
      <c r="D217" s="9"/>
      <c r="E217" s="9"/>
      <c r="F217" s="9"/>
      <c r="G217" s="9"/>
      <c r="H217" s="9"/>
      <c r="I217" s="9"/>
      <c r="J217" s="5"/>
      <c r="K217" s="4"/>
      <c r="L217" s="10"/>
      <c r="M217" s="10"/>
      <c r="N217" s="10"/>
      <c r="O217" s="10"/>
      <c r="P217" s="10"/>
      <c r="Q217" s="11"/>
      <c r="R217" s="9"/>
      <c r="S217" s="12"/>
      <c r="T217" s="5"/>
      <c r="U217" s="5"/>
      <c r="V217" s="4"/>
      <c r="W217" s="4"/>
      <c r="X217" s="4"/>
      <c r="Y217" s="4"/>
    </row>
    <row r="218">
      <c r="A218" s="5"/>
      <c r="B218" s="9"/>
      <c r="C218" s="5"/>
      <c r="D218" s="9"/>
      <c r="E218" s="9"/>
      <c r="F218" s="9"/>
      <c r="G218" s="9"/>
      <c r="H218" s="9"/>
      <c r="I218" s="9"/>
      <c r="J218" s="5"/>
      <c r="K218" s="4"/>
      <c r="L218" s="10"/>
      <c r="M218" s="10"/>
      <c r="N218" s="10"/>
      <c r="O218" s="10"/>
      <c r="P218" s="10"/>
      <c r="Q218" s="11"/>
      <c r="R218" s="9"/>
      <c r="S218" s="12"/>
      <c r="T218" s="5"/>
      <c r="U218" s="5"/>
      <c r="V218" s="4"/>
      <c r="W218" s="4"/>
      <c r="X218" s="4"/>
      <c r="Y218" s="4"/>
    </row>
    <row r="219">
      <c r="A219" s="5"/>
      <c r="B219" s="9"/>
      <c r="C219" s="5"/>
      <c r="D219" s="9"/>
      <c r="E219" s="9"/>
      <c r="F219" s="9"/>
      <c r="G219" s="9"/>
      <c r="H219" s="9"/>
      <c r="I219" s="9"/>
      <c r="J219" s="5"/>
      <c r="K219" s="4"/>
      <c r="L219" s="10"/>
      <c r="M219" s="10"/>
      <c r="N219" s="10"/>
      <c r="O219" s="10"/>
      <c r="P219" s="10"/>
      <c r="Q219" s="11"/>
      <c r="R219" s="9"/>
      <c r="S219" s="12"/>
      <c r="T219" s="5"/>
      <c r="U219" s="5"/>
      <c r="V219" s="4"/>
      <c r="W219" s="4"/>
      <c r="X219" s="4"/>
      <c r="Y219" s="4"/>
    </row>
    <row r="220">
      <c r="A220" s="5"/>
      <c r="B220" s="9"/>
      <c r="C220" s="5"/>
      <c r="D220" s="9"/>
      <c r="E220" s="9"/>
      <c r="F220" s="9"/>
      <c r="G220" s="9"/>
      <c r="H220" s="9"/>
      <c r="I220" s="9"/>
      <c r="J220" s="5"/>
      <c r="K220" s="4"/>
      <c r="L220" s="10"/>
      <c r="M220" s="10"/>
      <c r="N220" s="10"/>
      <c r="O220" s="10"/>
      <c r="P220" s="10"/>
      <c r="Q220" s="11"/>
      <c r="R220" s="9"/>
      <c r="S220" s="12"/>
      <c r="T220" s="5"/>
      <c r="U220" s="5"/>
      <c r="V220" s="4"/>
      <c r="W220" s="4"/>
      <c r="X220" s="4"/>
      <c r="Y220" s="4"/>
    </row>
    <row r="221">
      <c r="A221" s="5"/>
      <c r="B221" s="9"/>
      <c r="C221" s="5"/>
      <c r="D221" s="9"/>
      <c r="E221" s="9"/>
      <c r="F221" s="9"/>
      <c r="G221" s="9"/>
      <c r="H221" s="9"/>
      <c r="I221" s="9"/>
      <c r="J221" s="5"/>
      <c r="K221" s="4"/>
      <c r="L221" s="10"/>
      <c r="M221" s="10"/>
      <c r="N221" s="10"/>
      <c r="O221" s="10"/>
      <c r="P221" s="10"/>
      <c r="Q221" s="11"/>
      <c r="R221" s="9"/>
      <c r="S221" s="12"/>
      <c r="T221" s="5"/>
      <c r="U221" s="5"/>
      <c r="V221" s="4"/>
      <c r="W221" s="4"/>
      <c r="X221" s="4"/>
      <c r="Y221" s="4"/>
    </row>
    <row r="222">
      <c r="A222" s="5"/>
      <c r="B222" s="9"/>
      <c r="C222" s="5"/>
      <c r="D222" s="9"/>
      <c r="E222" s="9"/>
      <c r="F222" s="9"/>
      <c r="G222" s="9"/>
      <c r="H222" s="9"/>
      <c r="I222" s="9"/>
      <c r="J222" s="5"/>
      <c r="K222" s="4"/>
      <c r="L222" s="10"/>
      <c r="M222" s="10"/>
      <c r="N222" s="10"/>
      <c r="O222" s="10"/>
      <c r="P222" s="10"/>
      <c r="Q222" s="11"/>
      <c r="R222" s="9"/>
      <c r="S222" s="12"/>
      <c r="T222" s="5"/>
      <c r="U222" s="5"/>
      <c r="V222" s="4"/>
      <c r="W222" s="4"/>
      <c r="X222" s="4"/>
      <c r="Y222" s="4"/>
    </row>
    <row r="223">
      <c r="A223" s="5"/>
      <c r="B223" s="9"/>
      <c r="C223" s="5"/>
      <c r="D223" s="9"/>
      <c r="E223" s="9"/>
      <c r="F223" s="9"/>
      <c r="G223" s="9"/>
      <c r="H223" s="9"/>
      <c r="I223" s="9"/>
      <c r="J223" s="5"/>
      <c r="K223" s="4"/>
      <c r="L223" s="10"/>
      <c r="M223" s="10"/>
      <c r="N223" s="10"/>
      <c r="O223" s="10"/>
      <c r="P223" s="10"/>
      <c r="Q223" s="11"/>
      <c r="R223" s="9"/>
      <c r="S223" s="12"/>
      <c r="T223" s="5"/>
      <c r="U223" s="5"/>
      <c r="V223" s="4"/>
      <c r="W223" s="4"/>
      <c r="X223" s="4"/>
      <c r="Y223" s="4"/>
    </row>
    <row r="224">
      <c r="A224" s="5"/>
      <c r="B224" s="9"/>
      <c r="C224" s="5"/>
      <c r="D224" s="9"/>
      <c r="E224" s="9"/>
      <c r="F224" s="9"/>
      <c r="G224" s="9"/>
      <c r="H224" s="9"/>
      <c r="I224" s="9"/>
      <c r="J224" s="5"/>
      <c r="K224" s="4"/>
      <c r="L224" s="10"/>
      <c r="M224" s="10"/>
      <c r="N224" s="10"/>
      <c r="O224" s="10"/>
      <c r="P224" s="10"/>
      <c r="Q224" s="11"/>
      <c r="R224" s="9"/>
      <c r="S224" s="12"/>
      <c r="T224" s="5"/>
      <c r="U224" s="5"/>
      <c r="V224" s="4"/>
      <c r="W224" s="4"/>
      <c r="X224" s="4"/>
      <c r="Y224" s="4"/>
    </row>
    <row r="225">
      <c r="A225" s="5"/>
      <c r="B225" s="9"/>
      <c r="C225" s="5"/>
      <c r="D225" s="9"/>
      <c r="E225" s="9"/>
      <c r="F225" s="9"/>
      <c r="G225" s="9"/>
      <c r="H225" s="9"/>
      <c r="I225" s="9"/>
      <c r="J225" s="5"/>
      <c r="K225" s="4"/>
      <c r="L225" s="10"/>
      <c r="M225" s="10"/>
      <c r="N225" s="10"/>
      <c r="O225" s="10"/>
      <c r="P225" s="10"/>
      <c r="Q225" s="11"/>
      <c r="R225" s="9"/>
      <c r="S225" s="12"/>
      <c r="T225" s="5"/>
      <c r="U225" s="5"/>
      <c r="V225" s="4"/>
      <c r="W225" s="4"/>
      <c r="X225" s="4"/>
      <c r="Y225" s="4"/>
    </row>
    <row r="226">
      <c r="A226" s="5"/>
      <c r="B226" s="9"/>
      <c r="C226" s="5"/>
      <c r="D226" s="9"/>
      <c r="E226" s="9"/>
      <c r="F226" s="9"/>
      <c r="G226" s="9"/>
      <c r="H226" s="9"/>
      <c r="I226" s="9"/>
      <c r="J226" s="5"/>
      <c r="K226" s="4"/>
      <c r="L226" s="10"/>
      <c r="M226" s="10"/>
      <c r="N226" s="10"/>
      <c r="O226" s="10"/>
      <c r="P226" s="10"/>
      <c r="Q226" s="11"/>
      <c r="R226" s="9"/>
      <c r="S226" s="12"/>
      <c r="T226" s="5"/>
      <c r="U226" s="5"/>
      <c r="V226" s="4"/>
      <c r="W226" s="4"/>
      <c r="X226" s="4"/>
      <c r="Y226" s="4"/>
    </row>
    <row r="227">
      <c r="A227" s="5"/>
      <c r="B227" s="9"/>
      <c r="C227" s="5"/>
      <c r="D227" s="9"/>
      <c r="E227" s="9"/>
      <c r="F227" s="9"/>
      <c r="G227" s="9"/>
      <c r="H227" s="9"/>
      <c r="I227" s="9"/>
      <c r="J227" s="5"/>
      <c r="K227" s="4"/>
      <c r="L227" s="10"/>
      <c r="M227" s="10"/>
      <c r="N227" s="10"/>
      <c r="O227" s="10"/>
      <c r="P227" s="10"/>
      <c r="Q227" s="11"/>
      <c r="R227" s="9"/>
      <c r="S227" s="12"/>
      <c r="T227" s="5"/>
      <c r="U227" s="5"/>
      <c r="V227" s="4"/>
      <c r="W227" s="4"/>
      <c r="X227" s="4"/>
      <c r="Y227" s="4"/>
    </row>
    <row r="228">
      <c r="A228" s="5"/>
      <c r="B228" s="9"/>
      <c r="C228" s="5"/>
      <c r="D228" s="9"/>
      <c r="E228" s="9"/>
      <c r="F228" s="9"/>
      <c r="G228" s="9"/>
      <c r="H228" s="9"/>
      <c r="I228" s="9"/>
      <c r="J228" s="5"/>
      <c r="K228" s="4"/>
      <c r="L228" s="10"/>
      <c r="M228" s="10"/>
      <c r="N228" s="10"/>
      <c r="O228" s="10"/>
      <c r="P228" s="10"/>
      <c r="Q228" s="11"/>
      <c r="R228" s="9"/>
      <c r="S228" s="12"/>
      <c r="T228" s="5"/>
      <c r="U228" s="5"/>
      <c r="V228" s="4"/>
      <c r="W228" s="4"/>
      <c r="X228" s="4"/>
      <c r="Y228" s="4"/>
    </row>
    <row r="229">
      <c r="A229" s="5"/>
      <c r="B229" s="9"/>
      <c r="C229" s="5"/>
      <c r="D229" s="9"/>
      <c r="E229" s="9"/>
      <c r="F229" s="9"/>
      <c r="G229" s="9"/>
      <c r="H229" s="9"/>
      <c r="I229" s="9"/>
      <c r="J229" s="5"/>
      <c r="K229" s="4"/>
      <c r="L229" s="10"/>
      <c r="M229" s="10"/>
      <c r="N229" s="10"/>
      <c r="O229" s="10"/>
      <c r="P229" s="10"/>
      <c r="Q229" s="11"/>
      <c r="R229" s="9"/>
      <c r="S229" s="12"/>
      <c r="T229" s="5"/>
      <c r="U229" s="5"/>
      <c r="V229" s="4"/>
      <c r="W229" s="4"/>
      <c r="X229" s="4"/>
      <c r="Y229" s="4"/>
    </row>
    <row r="230">
      <c r="A230" s="5"/>
      <c r="B230" s="9"/>
      <c r="C230" s="5"/>
      <c r="D230" s="9"/>
      <c r="E230" s="9"/>
      <c r="F230" s="9"/>
      <c r="G230" s="9"/>
      <c r="H230" s="9"/>
      <c r="I230" s="9"/>
      <c r="J230" s="5"/>
      <c r="K230" s="4"/>
      <c r="L230" s="10"/>
      <c r="M230" s="10"/>
      <c r="N230" s="10"/>
      <c r="O230" s="10"/>
      <c r="P230" s="10"/>
      <c r="Q230" s="11"/>
      <c r="R230" s="9"/>
      <c r="S230" s="12"/>
      <c r="T230" s="5"/>
      <c r="U230" s="5"/>
      <c r="V230" s="4"/>
      <c r="W230" s="4"/>
      <c r="X230" s="4"/>
      <c r="Y230" s="4"/>
    </row>
    <row r="231">
      <c r="A231" s="5"/>
      <c r="B231" s="9"/>
      <c r="C231" s="5"/>
      <c r="D231" s="9"/>
      <c r="E231" s="9"/>
      <c r="F231" s="9"/>
      <c r="G231" s="9"/>
      <c r="H231" s="9"/>
      <c r="I231" s="9"/>
      <c r="J231" s="5"/>
      <c r="K231" s="4"/>
      <c r="L231" s="10"/>
      <c r="M231" s="10"/>
      <c r="N231" s="10"/>
      <c r="O231" s="10"/>
      <c r="P231" s="10"/>
      <c r="Q231" s="11"/>
      <c r="R231" s="9"/>
      <c r="S231" s="12"/>
      <c r="T231" s="5"/>
      <c r="U231" s="5"/>
      <c r="V231" s="4"/>
      <c r="W231" s="4"/>
      <c r="X231" s="4"/>
      <c r="Y231" s="4"/>
    </row>
    <row r="232">
      <c r="A232" s="5"/>
      <c r="B232" s="9"/>
      <c r="C232" s="5"/>
      <c r="D232" s="9"/>
      <c r="E232" s="9"/>
      <c r="F232" s="9"/>
      <c r="G232" s="9"/>
      <c r="H232" s="9"/>
      <c r="I232" s="9"/>
      <c r="J232" s="5"/>
      <c r="K232" s="4"/>
      <c r="L232" s="10"/>
      <c r="M232" s="10"/>
      <c r="N232" s="10"/>
      <c r="O232" s="10"/>
      <c r="P232" s="10"/>
      <c r="Q232" s="11"/>
      <c r="R232" s="9"/>
      <c r="S232" s="12"/>
      <c r="T232" s="5"/>
      <c r="U232" s="5"/>
      <c r="V232" s="4"/>
      <c r="W232" s="4"/>
      <c r="X232" s="4"/>
      <c r="Y232" s="4"/>
    </row>
    <row r="233">
      <c r="A233" s="5"/>
      <c r="B233" s="9"/>
      <c r="C233" s="5"/>
      <c r="D233" s="9"/>
      <c r="E233" s="9"/>
      <c r="F233" s="9"/>
      <c r="G233" s="9"/>
      <c r="H233" s="9"/>
      <c r="I233" s="9"/>
      <c r="J233" s="5"/>
      <c r="K233" s="4"/>
      <c r="L233" s="10"/>
      <c r="M233" s="10"/>
      <c r="N233" s="10"/>
      <c r="O233" s="10"/>
      <c r="P233" s="10"/>
      <c r="Q233" s="11"/>
      <c r="R233" s="9"/>
      <c r="S233" s="12"/>
      <c r="T233" s="5"/>
      <c r="U233" s="5"/>
      <c r="V233" s="4"/>
      <c r="W233" s="4"/>
      <c r="X233" s="4"/>
      <c r="Y233" s="4"/>
    </row>
    <row r="234">
      <c r="A234" s="5"/>
      <c r="B234" s="9"/>
      <c r="C234" s="5"/>
      <c r="D234" s="9"/>
      <c r="E234" s="9"/>
      <c r="F234" s="9"/>
      <c r="G234" s="9"/>
      <c r="H234" s="9"/>
      <c r="I234" s="9"/>
      <c r="J234" s="5"/>
      <c r="K234" s="4"/>
      <c r="L234" s="10"/>
      <c r="M234" s="10"/>
      <c r="N234" s="10"/>
      <c r="O234" s="10"/>
      <c r="P234" s="10"/>
      <c r="Q234" s="11"/>
      <c r="R234" s="9"/>
      <c r="S234" s="12"/>
      <c r="T234" s="5"/>
      <c r="U234" s="5"/>
      <c r="V234" s="4"/>
      <c r="W234" s="4"/>
      <c r="X234" s="4"/>
      <c r="Y234" s="4"/>
    </row>
    <row r="235">
      <c r="A235" s="5"/>
      <c r="B235" s="9"/>
      <c r="C235" s="5"/>
      <c r="D235" s="9"/>
      <c r="E235" s="9"/>
      <c r="F235" s="9"/>
      <c r="G235" s="9"/>
      <c r="H235" s="9"/>
      <c r="I235" s="9"/>
      <c r="J235" s="5"/>
      <c r="K235" s="4"/>
      <c r="L235" s="10"/>
      <c r="M235" s="10"/>
      <c r="N235" s="10"/>
      <c r="O235" s="10"/>
      <c r="P235" s="10"/>
      <c r="Q235" s="11"/>
      <c r="R235" s="9"/>
      <c r="S235" s="12"/>
      <c r="T235" s="5"/>
      <c r="U235" s="5"/>
      <c r="V235" s="4"/>
      <c r="W235" s="4"/>
      <c r="X235" s="4"/>
      <c r="Y235" s="4"/>
    </row>
    <row r="236">
      <c r="A236" s="5"/>
      <c r="B236" s="9"/>
      <c r="C236" s="5"/>
      <c r="D236" s="9"/>
      <c r="E236" s="9"/>
      <c r="F236" s="9"/>
      <c r="G236" s="9"/>
      <c r="H236" s="9"/>
      <c r="I236" s="9"/>
      <c r="J236" s="5"/>
      <c r="K236" s="4"/>
      <c r="L236" s="10"/>
      <c r="M236" s="10"/>
      <c r="N236" s="10"/>
      <c r="O236" s="10"/>
      <c r="P236" s="10"/>
      <c r="Q236" s="11"/>
      <c r="R236" s="9"/>
      <c r="S236" s="12"/>
      <c r="T236" s="5"/>
      <c r="U236" s="5"/>
      <c r="V236" s="4"/>
      <c r="W236" s="4"/>
      <c r="X236" s="4"/>
      <c r="Y236" s="4"/>
    </row>
    <row r="237">
      <c r="A237" s="5"/>
      <c r="B237" s="9"/>
      <c r="C237" s="5"/>
      <c r="D237" s="9"/>
      <c r="E237" s="9"/>
      <c r="F237" s="9"/>
      <c r="G237" s="9"/>
      <c r="H237" s="9"/>
      <c r="I237" s="9"/>
      <c r="J237" s="5"/>
      <c r="K237" s="4"/>
      <c r="L237" s="10"/>
      <c r="M237" s="10"/>
      <c r="N237" s="10"/>
      <c r="O237" s="10"/>
      <c r="P237" s="10"/>
      <c r="Q237" s="11"/>
      <c r="R237" s="9"/>
      <c r="S237" s="12"/>
      <c r="T237" s="5"/>
      <c r="U237" s="5"/>
      <c r="V237" s="4"/>
      <c r="W237" s="4"/>
      <c r="X237" s="4"/>
      <c r="Y237" s="4"/>
    </row>
    <row r="238">
      <c r="A238" s="5"/>
      <c r="B238" s="9"/>
      <c r="C238" s="5"/>
      <c r="D238" s="9"/>
      <c r="E238" s="9"/>
      <c r="F238" s="9"/>
      <c r="G238" s="9"/>
      <c r="H238" s="9"/>
      <c r="I238" s="9"/>
      <c r="J238" s="5"/>
      <c r="K238" s="4"/>
      <c r="L238" s="10"/>
      <c r="M238" s="10"/>
      <c r="N238" s="10"/>
      <c r="O238" s="10"/>
      <c r="P238" s="10"/>
      <c r="Q238" s="11"/>
      <c r="R238" s="9"/>
      <c r="S238" s="12"/>
      <c r="T238" s="5"/>
      <c r="U238" s="5"/>
      <c r="V238" s="4"/>
      <c r="W238" s="4"/>
      <c r="X238" s="4"/>
      <c r="Y238" s="4"/>
    </row>
    <row r="239">
      <c r="A239" s="5"/>
      <c r="B239" s="9"/>
      <c r="C239" s="5"/>
      <c r="D239" s="9"/>
      <c r="E239" s="9"/>
      <c r="F239" s="9"/>
      <c r="G239" s="9"/>
      <c r="H239" s="9"/>
      <c r="I239" s="9"/>
      <c r="J239" s="5"/>
      <c r="K239" s="4"/>
      <c r="L239" s="10"/>
      <c r="M239" s="10"/>
      <c r="N239" s="10"/>
      <c r="O239" s="10"/>
      <c r="P239" s="10"/>
      <c r="Q239" s="11"/>
      <c r="R239" s="9"/>
      <c r="S239" s="12"/>
      <c r="T239" s="5"/>
      <c r="U239" s="5"/>
      <c r="V239" s="4"/>
      <c r="W239" s="4"/>
      <c r="X239" s="4"/>
      <c r="Y239" s="4"/>
    </row>
    <row r="240">
      <c r="A240" s="5"/>
      <c r="B240" s="9"/>
      <c r="C240" s="5"/>
      <c r="D240" s="9"/>
      <c r="E240" s="9"/>
      <c r="F240" s="9"/>
      <c r="G240" s="9"/>
      <c r="H240" s="9"/>
      <c r="I240" s="9"/>
      <c r="J240" s="5"/>
      <c r="K240" s="4"/>
      <c r="L240" s="10"/>
      <c r="M240" s="10"/>
      <c r="N240" s="10"/>
      <c r="O240" s="10"/>
      <c r="P240" s="10"/>
      <c r="Q240" s="11"/>
      <c r="R240" s="9"/>
      <c r="S240" s="12"/>
      <c r="T240" s="5"/>
      <c r="U240" s="5"/>
      <c r="V240" s="4"/>
      <c r="W240" s="4"/>
      <c r="X240" s="4"/>
      <c r="Y240" s="4"/>
    </row>
    <row r="241">
      <c r="A241" s="5"/>
      <c r="B241" s="9"/>
      <c r="C241" s="5"/>
      <c r="D241" s="9"/>
      <c r="E241" s="9"/>
      <c r="F241" s="9"/>
      <c r="G241" s="9"/>
      <c r="H241" s="9"/>
      <c r="I241" s="9"/>
      <c r="J241" s="5"/>
      <c r="K241" s="4"/>
      <c r="L241" s="10"/>
      <c r="M241" s="10"/>
      <c r="N241" s="10"/>
      <c r="O241" s="10"/>
      <c r="P241" s="10"/>
      <c r="Q241" s="11"/>
      <c r="R241" s="9"/>
      <c r="S241" s="12"/>
      <c r="T241" s="5"/>
      <c r="U241" s="5"/>
      <c r="V241" s="4"/>
      <c r="W241" s="4"/>
      <c r="X241" s="4"/>
      <c r="Y241" s="4"/>
    </row>
    <row r="242">
      <c r="A242" s="5"/>
      <c r="B242" s="9"/>
      <c r="C242" s="5"/>
      <c r="D242" s="9"/>
      <c r="E242" s="9"/>
      <c r="F242" s="9"/>
      <c r="G242" s="9"/>
      <c r="H242" s="9"/>
      <c r="I242" s="9"/>
      <c r="J242" s="5"/>
      <c r="K242" s="4"/>
      <c r="L242" s="10"/>
      <c r="M242" s="10"/>
      <c r="N242" s="10"/>
      <c r="O242" s="10"/>
      <c r="P242" s="10"/>
      <c r="Q242" s="11"/>
      <c r="R242" s="9"/>
      <c r="S242" s="12"/>
      <c r="T242" s="5"/>
      <c r="U242" s="5"/>
      <c r="V242" s="4"/>
      <c r="W242" s="4"/>
      <c r="X242" s="4"/>
      <c r="Y242" s="4"/>
    </row>
    <row r="243">
      <c r="A243" s="5"/>
      <c r="B243" s="9"/>
      <c r="C243" s="5"/>
      <c r="D243" s="9"/>
      <c r="E243" s="9"/>
      <c r="F243" s="9"/>
      <c r="G243" s="9"/>
      <c r="H243" s="9"/>
      <c r="I243" s="9"/>
      <c r="J243" s="5"/>
      <c r="K243" s="4"/>
      <c r="L243" s="10"/>
      <c r="M243" s="10"/>
      <c r="N243" s="10"/>
      <c r="O243" s="10"/>
      <c r="P243" s="10"/>
      <c r="Q243" s="11"/>
      <c r="R243" s="9"/>
      <c r="S243" s="12"/>
      <c r="T243" s="5"/>
      <c r="U243" s="5"/>
      <c r="V243" s="4"/>
      <c r="W243" s="4"/>
      <c r="X243" s="4"/>
      <c r="Y243" s="4"/>
    </row>
    <row r="244">
      <c r="A244" s="5"/>
      <c r="B244" s="9"/>
      <c r="C244" s="5"/>
      <c r="D244" s="9"/>
      <c r="E244" s="9"/>
      <c r="F244" s="9"/>
      <c r="G244" s="9"/>
      <c r="H244" s="9"/>
      <c r="I244" s="9"/>
      <c r="J244" s="5"/>
      <c r="K244" s="4"/>
      <c r="L244" s="10"/>
      <c r="M244" s="10"/>
      <c r="N244" s="10"/>
      <c r="O244" s="10"/>
      <c r="P244" s="10"/>
      <c r="Q244" s="11"/>
      <c r="R244" s="9"/>
      <c r="S244" s="12"/>
      <c r="T244" s="5"/>
      <c r="U244" s="5"/>
      <c r="V244" s="4"/>
      <c r="W244" s="4"/>
      <c r="X244" s="4"/>
      <c r="Y244" s="4"/>
    </row>
    <row r="245">
      <c r="A245" s="5"/>
      <c r="B245" s="9"/>
      <c r="C245" s="5"/>
      <c r="D245" s="9"/>
      <c r="E245" s="9"/>
      <c r="F245" s="9"/>
      <c r="G245" s="9"/>
      <c r="H245" s="9"/>
      <c r="I245" s="9"/>
      <c r="J245" s="5"/>
      <c r="K245" s="4"/>
      <c r="L245" s="10"/>
      <c r="M245" s="10"/>
      <c r="N245" s="10"/>
      <c r="O245" s="10"/>
      <c r="P245" s="10"/>
      <c r="Q245" s="11"/>
      <c r="R245" s="9"/>
      <c r="S245" s="12"/>
      <c r="T245" s="5"/>
      <c r="U245" s="5"/>
      <c r="V245" s="4"/>
      <c r="W245" s="4"/>
      <c r="X245" s="4"/>
      <c r="Y245" s="4"/>
    </row>
    <row r="246">
      <c r="A246" s="5"/>
      <c r="B246" s="9"/>
      <c r="C246" s="5"/>
      <c r="D246" s="9"/>
      <c r="E246" s="9"/>
      <c r="F246" s="9"/>
      <c r="G246" s="9"/>
      <c r="H246" s="9"/>
      <c r="I246" s="9"/>
      <c r="J246" s="5"/>
      <c r="K246" s="4"/>
      <c r="L246" s="10"/>
      <c r="M246" s="10"/>
      <c r="N246" s="10"/>
      <c r="O246" s="10"/>
      <c r="P246" s="10"/>
      <c r="Q246" s="11"/>
      <c r="R246" s="9"/>
      <c r="S246" s="12"/>
      <c r="T246" s="5"/>
      <c r="U246" s="5"/>
      <c r="V246" s="4"/>
      <c r="W246" s="4"/>
      <c r="X246" s="4"/>
      <c r="Y246" s="4"/>
    </row>
    <row r="247">
      <c r="A247" s="5"/>
      <c r="B247" s="9"/>
      <c r="C247" s="5"/>
      <c r="D247" s="9"/>
      <c r="E247" s="9"/>
      <c r="F247" s="9"/>
      <c r="G247" s="9"/>
      <c r="H247" s="9"/>
      <c r="I247" s="9"/>
      <c r="J247" s="5"/>
      <c r="K247" s="4"/>
      <c r="L247" s="10"/>
      <c r="M247" s="10"/>
      <c r="N247" s="10"/>
      <c r="O247" s="10"/>
      <c r="P247" s="10"/>
      <c r="Q247" s="11"/>
      <c r="R247" s="9"/>
      <c r="S247" s="12"/>
      <c r="T247" s="5"/>
      <c r="U247" s="5"/>
      <c r="V247" s="4"/>
      <c r="W247" s="4"/>
      <c r="X247" s="4"/>
      <c r="Y247" s="4"/>
    </row>
    <row r="248">
      <c r="A248" s="5"/>
      <c r="B248" s="9"/>
      <c r="C248" s="5"/>
      <c r="D248" s="9"/>
      <c r="E248" s="9"/>
      <c r="F248" s="9"/>
      <c r="G248" s="9"/>
      <c r="H248" s="9"/>
      <c r="I248" s="9"/>
      <c r="J248" s="5"/>
      <c r="K248" s="4"/>
      <c r="L248" s="10"/>
      <c r="M248" s="10"/>
      <c r="N248" s="10"/>
      <c r="O248" s="10"/>
      <c r="P248" s="10"/>
      <c r="Q248" s="11"/>
      <c r="R248" s="9"/>
      <c r="S248" s="12"/>
      <c r="T248" s="5"/>
      <c r="U248" s="5"/>
      <c r="V248" s="4"/>
      <c r="W248" s="4"/>
      <c r="X248" s="4"/>
      <c r="Y248" s="4"/>
    </row>
    <row r="249">
      <c r="A249" s="5"/>
      <c r="B249" s="9"/>
      <c r="C249" s="5"/>
      <c r="D249" s="9"/>
      <c r="E249" s="9"/>
      <c r="F249" s="9"/>
      <c r="G249" s="9"/>
      <c r="H249" s="9"/>
      <c r="I249" s="9"/>
      <c r="J249" s="5"/>
      <c r="K249" s="4"/>
      <c r="L249" s="10"/>
      <c r="M249" s="10"/>
      <c r="N249" s="10"/>
      <c r="O249" s="10"/>
      <c r="P249" s="10"/>
      <c r="Q249" s="11"/>
      <c r="R249" s="9"/>
      <c r="S249" s="12"/>
      <c r="T249" s="5"/>
      <c r="U249" s="5"/>
      <c r="V249" s="4"/>
      <c r="W249" s="4"/>
      <c r="X249" s="4"/>
      <c r="Y249" s="4"/>
    </row>
    <row r="250">
      <c r="A250" s="5"/>
      <c r="B250" s="9"/>
      <c r="C250" s="5"/>
      <c r="D250" s="9"/>
      <c r="E250" s="9"/>
      <c r="F250" s="9"/>
      <c r="G250" s="9"/>
      <c r="H250" s="9"/>
      <c r="I250" s="9"/>
      <c r="J250" s="5"/>
      <c r="K250" s="4"/>
      <c r="L250" s="10"/>
      <c r="M250" s="10"/>
      <c r="N250" s="10"/>
      <c r="O250" s="10"/>
      <c r="P250" s="10"/>
      <c r="Q250" s="11"/>
      <c r="R250" s="9"/>
      <c r="S250" s="12"/>
      <c r="T250" s="5"/>
      <c r="U250" s="5"/>
      <c r="V250" s="4"/>
      <c r="W250" s="4"/>
      <c r="X250" s="4"/>
      <c r="Y250" s="4"/>
    </row>
    <row r="251">
      <c r="A251" s="5"/>
      <c r="B251" s="9"/>
      <c r="C251" s="5"/>
      <c r="D251" s="9"/>
      <c r="E251" s="9"/>
      <c r="F251" s="9"/>
      <c r="G251" s="9"/>
      <c r="H251" s="9"/>
      <c r="I251" s="9"/>
      <c r="J251" s="5"/>
      <c r="K251" s="4"/>
      <c r="L251" s="10"/>
      <c r="M251" s="10"/>
      <c r="N251" s="10"/>
      <c r="O251" s="10"/>
      <c r="P251" s="10"/>
      <c r="Q251" s="11"/>
      <c r="R251" s="9"/>
      <c r="S251" s="12"/>
      <c r="T251" s="5"/>
      <c r="U251" s="5"/>
      <c r="V251" s="4"/>
      <c r="W251" s="4"/>
      <c r="X251" s="4"/>
      <c r="Y251" s="4"/>
    </row>
    <row r="252">
      <c r="A252" s="5"/>
      <c r="B252" s="9"/>
      <c r="C252" s="5"/>
      <c r="D252" s="9"/>
      <c r="E252" s="9"/>
      <c r="F252" s="9"/>
      <c r="G252" s="9"/>
      <c r="H252" s="9"/>
      <c r="I252" s="9"/>
      <c r="J252" s="5"/>
      <c r="K252" s="4"/>
      <c r="L252" s="10"/>
      <c r="M252" s="10"/>
      <c r="N252" s="10"/>
      <c r="O252" s="10"/>
      <c r="P252" s="10"/>
      <c r="Q252" s="11"/>
      <c r="R252" s="9"/>
      <c r="S252" s="12"/>
      <c r="T252" s="5"/>
      <c r="U252" s="5"/>
      <c r="V252" s="4"/>
      <c r="W252" s="4"/>
      <c r="X252" s="4"/>
      <c r="Y252" s="4"/>
    </row>
    <row r="253">
      <c r="A253" s="5"/>
      <c r="B253" s="9"/>
      <c r="C253" s="5"/>
      <c r="D253" s="9"/>
      <c r="E253" s="9"/>
      <c r="F253" s="9"/>
      <c r="G253" s="9"/>
      <c r="H253" s="9"/>
      <c r="I253" s="9"/>
      <c r="J253" s="5"/>
      <c r="K253" s="4"/>
      <c r="L253" s="10"/>
      <c r="M253" s="10"/>
      <c r="N253" s="10"/>
      <c r="O253" s="10"/>
      <c r="P253" s="10"/>
      <c r="Q253" s="11"/>
      <c r="R253" s="9"/>
      <c r="S253" s="12"/>
      <c r="T253" s="5"/>
      <c r="U253" s="5"/>
      <c r="V253" s="4"/>
      <c r="W253" s="4"/>
      <c r="X253" s="4"/>
      <c r="Y253" s="4"/>
    </row>
    <row r="254">
      <c r="A254" s="5"/>
      <c r="B254" s="9"/>
      <c r="C254" s="5"/>
      <c r="D254" s="9"/>
      <c r="E254" s="9"/>
      <c r="F254" s="9"/>
      <c r="G254" s="9"/>
      <c r="H254" s="9"/>
      <c r="I254" s="9"/>
      <c r="J254" s="5"/>
      <c r="K254" s="4"/>
      <c r="L254" s="10"/>
      <c r="M254" s="10"/>
      <c r="N254" s="10"/>
      <c r="O254" s="10"/>
      <c r="P254" s="10"/>
      <c r="Q254" s="11"/>
      <c r="R254" s="9"/>
      <c r="S254" s="12"/>
      <c r="T254" s="5"/>
      <c r="U254" s="5"/>
      <c r="V254" s="4"/>
      <c r="W254" s="4"/>
      <c r="X254" s="4"/>
      <c r="Y254" s="4"/>
    </row>
    <row r="255">
      <c r="A255" s="5"/>
      <c r="B255" s="9"/>
      <c r="C255" s="5"/>
      <c r="D255" s="9"/>
      <c r="E255" s="9"/>
      <c r="F255" s="9"/>
      <c r="G255" s="9"/>
      <c r="H255" s="9"/>
      <c r="I255" s="9"/>
      <c r="J255" s="5"/>
      <c r="K255" s="4"/>
      <c r="L255" s="10"/>
      <c r="M255" s="10"/>
      <c r="N255" s="10"/>
      <c r="O255" s="10"/>
      <c r="P255" s="10"/>
      <c r="Q255" s="11"/>
      <c r="R255" s="9"/>
      <c r="S255" s="12"/>
      <c r="T255" s="5"/>
      <c r="U255" s="5"/>
      <c r="V255" s="4"/>
      <c r="W255" s="4"/>
      <c r="X255" s="4"/>
      <c r="Y255" s="4"/>
    </row>
    <row r="256">
      <c r="A256" s="5"/>
      <c r="B256" s="9"/>
      <c r="C256" s="5"/>
      <c r="D256" s="9"/>
      <c r="E256" s="9"/>
      <c r="F256" s="9"/>
      <c r="G256" s="9"/>
      <c r="H256" s="9"/>
      <c r="I256" s="9"/>
      <c r="J256" s="5"/>
      <c r="K256" s="4"/>
      <c r="L256" s="10"/>
      <c r="M256" s="10"/>
      <c r="N256" s="10"/>
      <c r="O256" s="10"/>
      <c r="P256" s="10"/>
      <c r="Q256" s="11"/>
      <c r="R256" s="9"/>
      <c r="S256" s="12"/>
      <c r="T256" s="5"/>
      <c r="U256" s="5"/>
      <c r="V256" s="4"/>
      <c r="W256" s="4"/>
      <c r="X256" s="4"/>
      <c r="Y256" s="4"/>
    </row>
    <row r="257">
      <c r="A257" s="5"/>
      <c r="B257" s="9"/>
      <c r="C257" s="5"/>
      <c r="D257" s="9"/>
      <c r="E257" s="9"/>
      <c r="F257" s="9"/>
      <c r="G257" s="9"/>
      <c r="H257" s="9"/>
      <c r="I257" s="9"/>
      <c r="J257" s="5"/>
      <c r="K257" s="4"/>
      <c r="L257" s="10"/>
      <c r="M257" s="10"/>
      <c r="N257" s="10"/>
      <c r="O257" s="10"/>
      <c r="P257" s="10"/>
      <c r="Q257" s="11"/>
      <c r="R257" s="9"/>
      <c r="S257" s="12"/>
      <c r="T257" s="5"/>
      <c r="U257" s="5"/>
      <c r="V257" s="4"/>
      <c r="W257" s="4"/>
      <c r="X257" s="4"/>
      <c r="Y257" s="4"/>
    </row>
    <row r="258">
      <c r="A258" s="5"/>
      <c r="B258" s="9"/>
      <c r="C258" s="5"/>
      <c r="D258" s="9"/>
      <c r="E258" s="9"/>
      <c r="F258" s="9"/>
      <c r="G258" s="9"/>
      <c r="H258" s="9"/>
      <c r="I258" s="9"/>
      <c r="J258" s="5"/>
      <c r="K258" s="4"/>
      <c r="L258" s="10"/>
      <c r="M258" s="10"/>
      <c r="N258" s="10"/>
      <c r="O258" s="10"/>
      <c r="P258" s="10"/>
      <c r="Q258" s="11"/>
      <c r="R258" s="9"/>
      <c r="S258" s="12"/>
      <c r="T258" s="5"/>
      <c r="U258" s="5"/>
      <c r="V258" s="4"/>
      <c r="W258" s="4"/>
      <c r="X258" s="4"/>
      <c r="Y258" s="4"/>
    </row>
    <row r="259">
      <c r="A259" s="5"/>
      <c r="B259" s="9"/>
      <c r="C259" s="5"/>
      <c r="D259" s="9"/>
      <c r="E259" s="9"/>
      <c r="F259" s="9"/>
      <c r="G259" s="9"/>
      <c r="H259" s="9"/>
      <c r="I259" s="9"/>
      <c r="J259" s="5"/>
      <c r="K259" s="4"/>
      <c r="L259" s="10"/>
      <c r="M259" s="10"/>
      <c r="N259" s="10"/>
      <c r="O259" s="10"/>
      <c r="P259" s="10"/>
      <c r="Q259" s="11"/>
      <c r="R259" s="9"/>
      <c r="S259" s="12"/>
      <c r="T259" s="5"/>
      <c r="U259" s="5"/>
      <c r="V259" s="4"/>
      <c r="W259" s="4"/>
      <c r="X259" s="4"/>
      <c r="Y259" s="4"/>
    </row>
    <row r="260">
      <c r="A260" s="5"/>
      <c r="B260" s="9"/>
      <c r="C260" s="5"/>
      <c r="D260" s="9"/>
      <c r="E260" s="9"/>
      <c r="F260" s="9"/>
      <c r="G260" s="9"/>
      <c r="H260" s="9"/>
      <c r="I260" s="9"/>
      <c r="J260" s="5"/>
      <c r="K260" s="4"/>
      <c r="L260" s="10"/>
      <c r="M260" s="10"/>
      <c r="N260" s="10"/>
      <c r="O260" s="10"/>
      <c r="P260" s="10"/>
      <c r="Q260" s="11"/>
      <c r="R260" s="9"/>
      <c r="S260" s="12"/>
      <c r="T260" s="5"/>
      <c r="U260" s="5"/>
      <c r="V260" s="4"/>
      <c r="W260" s="4"/>
      <c r="X260" s="4"/>
      <c r="Y260" s="4"/>
    </row>
    <row r="261">
      <c r="A261" s="5"/>
      <c r="B261" s="9"/>
      <c r="C261" s="5"/>
      <c r="D261" s="9"/>
      <c r="E261" s="9"/>
      <c r="F261" s="9"/>
      <c r="G261" s="9"/>
      <c r="H261" s="9"/>
      <c r="I261" s="9"/>
      <c r="J261" s="5"/>
      <c r="K261" s="4"/>
      <c r="L261" s="10"/>
      <c r="M261" s="10"/>
      <c r="N261" s="10"/>
      <c r="O261" s="10"/>
      <c r="P261" s="10"/>
      <c r="Q261" s="11"/>
      <c r="R261" s="9"/>
      <c r="S261" s="12"/>
      <c r="T261" s="5"/>
      <c r="U261" s="5"/>
      <c r="V261" s="4"/>
      <c r="W261" s="4"/>
      <c r="X261" s="4"/>
      <c r="Y261" s="4"/>
    </row>
    <row r="262">
      <c r="A262" s="5"/>
      <c r="B262" s="9"/>
      <c r="C262" s="5"/>
      <c r="D262" s="9"/>
      <c r="E262" s="9"/>
      <c r="F262" s="9"/>
      <c r="G262" s="9"/>
      <c r="H262" s="9"/>
      <c r="I262" s="9"/>
      <c r="J262" s="5"/>
      <c r="K262" s="4"/>
      <c r="L262" s="10"/>
      <c r="M262" s="10"/>
      <c r="N262" s="10"/>
      <c r="O262" s="10"/>
      <c r="P262" s="10"/>
      <c r="Q262" s="11"/>
      <c r="R262" s="9"/>
      <c r="S262" s="12"/>
      <c r="T262" s="5"/>
      <c r="U262" s="5"/>
      <c r="V262" s="4"/>
      <c r="W262" s="4"/>
      <c r="X262" s="4"/>
      <c r="Y262" s="4"/>
    </row>
    <row r="263">
      <c r="A263" s="5"/>
      <c r="B263" s="9"/>
      <c r="C263" s="5"/>
      <c r="D263" s="9"/>
      <c r="E263" s="9"/>
      <c r="F263" s="9"/>
      <c r="G263" s="9"/>
      <c r="H263" s="9"/>
      <c r="I263" s="9"/>
      <c r="J263" s="5"/>
      <c r="K263" s="4"/>
      <c r="L263" s="10"/>
      <c r="M263" s="10"/>
      <c r="N263" s="10"/>
      <c r="O263" s="10"/>
      <c r="P263" s="10"/>
      <c r="Q263" s="11"/>
      <c r="R263" s="9"/>
      <c r="S263" s="12"/>
      <c r="T263" s="5"/>
      <c r="U263" s="5"/>
      <c r="V263" s="4"/>
      <c r="W263" s="4"/>
      <c r="X263" s="4"/>
      <c r="Y263" s="4"/>
    </row>
    <row r="264">
      <c r="A264" s="5"/>
      <c r="B264" s="9"/>
      <c r="C264" s="5"/>
      <c r="D264" s="9"/>
      <c r="E264" s="9"/>
      <c r="F264" s="9"/>
      <c r="G264" s="9"/>
      <c r="H264" s="9"/>
      <c r="I264" s="9"/>
      <c r="J264" s="5"/>
      <c r="K264" s="4"/>
      <c r="L264" s="10"/>
      <c r="M264" s="10"/>
      <c r="N264" s="10"/>
      <c r="O264" s="10"/>
      <c r="P264" s="10"/>
      <c r="Q264" s="11"/>
      <c r="R264" s="9"/>
      <c r="S264" s="12"/>
      <c r="T264" s="5"/>
      <c r="U264" s="5"/>
      <c r="V264" s="4"/>
      <c r="W264" s="4"/>
      <c r="X264" s="4"/>
      <c r="Y264" s="4"/>
    </row>
    <row r="265">
      <c r="A265" s="5"/>
      <c r="B265" s="9"/>
      <c r="C265" s="5"/>
      <c r="D265" s="9"/>
      <c r="E265" s="9"/>
      <c r="F265" s="9"/>
      <c r="G265" s="9"/>
      <c r="H265" s="9"/>
      <c r="I265" s="9"/>
      <c r="J265" s="5"/>
      <c r="K265" s="4"/>
      <c r="L265" s="10"/>
      <c r="M265" s="10"/>
      <c r="N265" s="10"/>
      <c r="O265" s="10"/>
      <c r="P265" s="10"/>
      <c r="Q265" s="11"/>
      <c r="R265" s="9"/>
      <c r="S265" s="12"/>
      <c r="T265" s="5"/>
      <c r="U265" s="5"/>
      <c r="V265" s="4"/>
      <c r="W265" s="4"/>
      <c r="X265" s="4"/>
      <c r="Y265" s="4"/>
    </row>
    <row r="266">
      <c r="A266" s="5"/>
      <c r="B266" s="9"/>
      <c r="C266" s="5"/>
      <c r="D266" s="9"/>
      <c r="E266" s="9"/>
      <c r="F266" s="9"/>
      <c r="G266" s="9"/>
      <c r="H266" s="9"/>
      <c r="I266" s="9"/>
      <c r="J266" s="5"/>
      <c r="K266" s="4"/>
      <c r="L266" s="10"/>
      <c r="M266" s="10"/>
      <c r="N266" s="10"/>
      <c r="O266" s="10"/>
      <c r="P266" s="10"/>
      <c r="Q266" s="11"/>
      <c r="R266" s="9"/>
      <c r="S266" s="12"/>
      <c r="T266" s="5"/>
      <c r="U266" s="5"/>
      <c r="V266" s="4"/>
      <c r="W266" s="4"/>
      <c r="X266" s="4"/>
      <c r="Y266" s="4"/>
    </row>
    <row r="267">
      <c r="A267" s="5"/>
      <c r="B267" s="9"/>
      <c r="C267" s="5"/>
      <c r="D267" s="9"/>
      <c r="E267" s="9"/>
      <c r="F267" s="9"/>
      <c r="G267" s="9"/>
      <c r="H267" s="9"/>
      <c r="I267" s="9"/>
      <c r="J267" s="5"/>
      <c r="K267" s="4"/>
      <c r="L267" s="10"/>
      <c r="M267" s="10"/>
      <c r="N267" s="10"/>
      <c r="O267" s="10"/>
      <c r="P267" s="10"/>
      <c r="Q267" s="11"/>
      <c r="R267" s="9"/>
      <c r="S267" s="12"/>
      <c r="T267" s="5"/>
      <c r="U267" s="5"/>
      <c r="V267" s="4"/>
      <c r="W267" s="4"/>
      <c r="X267" s="4"/>
      <c r="Y267" s="4"/>
    </row>
    <row r="268">
      <c r="A268" s="5"/>
      <c r="B268" s="9"/>
      <c r="C268" s="5"/>
      <c r="D268" s="9"/>
      <c r="E268" s="9"/>
      <c r="F268" s="9"/>
      <c r="G268" s="9"/>
      <c r="H268" s="9"/>
      <c r="I268" s="9"/>
      <c r="J268" s="5"/>
      <c r="K268" s="4"/>
      <c r="L268" s="10"/>
      <c r="M268" s="10"/>
      <c r="N268" s="10"/>
      <c r="O268" s="10"/>
      <c r="P268" s="10"/>
      <c r="Q268" s="11"/>
      <c r="R268" s="9"/>
      <c r="S268" s="12"/>
      <c r="T268" s="5"/>
      <c r="U268" s="5"/>
      <c r="V268" s="4"/>
      <c r="W268" s="4"/>
      <c r="X268" s="4"/>
      <c r="Y268" s="4"/>
    </row>
    <row r="269">
      <c r="A269" s="5"/>
      <c r="B269" s="9"/>
      <c r="C269" s="5"/>
      <c r="D269" s="9"/>
      <c r="E269" s="9"/>
      <c r="F269" s="9"/>
      <c r="G269" s="9"/>
      <c r="H269" s="9"/>
      <c r="I269" s="9"/>
      <c r="J269" s="5"/>
      <c r="K269" s="4"/>
      <c r="L269" s="10"/>
      <c r="M269" s="10"/>
      <c r="N269" s="10"/>
      <c r="O269" s="10"/>
      <c r="P269" s="10"/>
      <c r="Q269" s="11"/>
      <c r="R269" s="9"/>
      <c r="S269" s="12"/>
      <c r="T269" s="5"/>
      <c r="U269" s="5"/>
      <c r="V269" s="4"/>
      <c r="W269" s="4"/>
      <c r="X269" s="4"/>
      <c r="Y269" s="4"/>
    </row>
    <row r="270">
      <c r="A270" s="5"/>
      <c r="B270" s="9"/>
      <c r="C270" s="5"/>
      <c r="D270" s="9"/>
      <c r="E270" s="9"/>
      <c r="F270" s="9"/>
      <c r="G270" s="9"/>
      <c r="H270" s="9"/>
      <c r="I270" s="9"/>
      <c r="J270" s="5"/>
      <c r="K270" s="4"/>
      <c r="L270" s="10"/>
      <c r="M270" s="10"/>
      <c r="N270" s="10"/>
      <c r="O270" s="10"/>
      <c r="P270" s="10"/>
      <c r="Q270" s="11"/>
      <c r="R270" s="9"/>
      <c r="S270" s="12"/>
      <c r="T270" s="5"/>
      <c r="U270" s="5"/>
      <c r="V270" s="4"/>
      <c r="W270" s="4"/>
      <c r="X270" s="4"/>
      <c r="Y270" s="4"/>
    </row>
    <row r="271">
      <c r="A271" s="5"/>
      <c r="B271" s="9"/>
      <c r="C271" s="5"/>
      <c r="D271" s="9"/>
      <c r="E271" s="9"/>
      <c r="F271" s="9"/>
      <c r="G271" s="9"/>
      <c r="H271" s="9"/>
      <c r="I271" s="9"/>
      <c r="J271" s="5"/>
      <c r="K271" s="4"/>
      <c r="L271" s="10"/>
      <c r="M271" s="10"/>
      <c r="N271" s="10"/>
      <c r="O271" s="10"/>
      <c r="P271" s="10"/>
      <c r="Q271" s="11"/>
      <c r="R271" s="9"/>
      <c r="S271" s="12"/>
      <c r="T271" s="5"/>
      <c r="U271" s="5"/>
      <c r="V271" s="4"/>
      <c r="W271" s="4"/>
      <c r="X271" s="4"/>
      <c r="Y271" s="4"/>
    </row>
    <row r="272">
      <c r="A272" s="5"/>
      <c r="B272" s="9"/>
      <c r="C272" s="5"/>
      <c r="D272" s="9"/>
      <c r="E272" s="9"/>
      <c r="F272" s="9"/>
      <c r="G272" s="9"/>
      <c r="H272" s="9"/>
      <c r="I272" s="9"/>
      <c r="J272" s="5"/>
      <c r="K272" s="4"/>
      <c r="L272" s="10"/>
      <c r="M272" s="10"/>
      <c r="N272" s="10"/>
      <c r="O272" s="10"/>
      <c r="P272" s="10"/>
      <c r="Q272" s="11"/>
      <c r="R272" s="9"/>
      <c r="S272" s="12"/>
      <c r="T272" s="5"/>
      <c r="U272" s="5"/>
      <c r="V272" s="4"/>
      <c r="W272" s="4"/>
      <c r="X272" s="4"/>
      <c r="Y272" s="4"/>
    </row>
    <row r="273">
      <c r="A273" s="5"/>
      <c r="B273" s="9"/>
      <c r="C273" s="5"/>
      <c r="D273" s="9"/>
      <c r="E273" s="9"/>
      <c r="F273" s="9"/>
      <c r="G273" s="9"/>
      <c r="H273" s="9"/>
      <c r="I273" s="9"/>
      <c r="J273" s="5"/>
      <c r="K273" s="4"/>
      <c r="L273" s="10"/>
      <c r="M273" s="10"/>
      <c r="N273" s="10"/>
      <c r="O273" s="10"/>
      <c r="P273" s="10"/>
      <c r="Q273" s="11"/>
      <c r="R273" s="9"/>
      <c r="S273" s="12"/>
      <c r="T273" s="5"/>
      <c r="U273" s="5"/>
      <c r="V273" s="4"/>
      <c r="W273" s="4"/>
      <c r="X273" s="4"/>
      <c r="Y273" s="4"/>
    </row>
    <row r="274">
      <c r="A274" s="5"/>
      <c r="B274" s="9"/>
      <c r="C274" s="5"/>
      <c r="D274" s="9"/>
      <c r="E274" s="9"/>
      <c r="F274" s="9"/>
      <c r="G274" s="9"/>
      <c r="H274" s="9"/>
      <c r="I274" s="9"/>
      <c r="J274" s="5"/>
      <c r="K274" s="4"/>
      <c r="L274" s="10"/>
      <c r="M274" s="10"/>
      <c r="N274" s="10"/>
      <c r="O274" s="10"/>
      <c r="P274" s="10"/>
      <c r="Q274" s="11"/>
      <c r="R274" s="9"/>
      <c r="S274" s="12"/>
      <c r="T274" s="5"/>
      <c r="U274" s="5"/>
      <c r="V274" s="4"/>
      <c r="W274" s="4"/>
      <c r="X274" s="4"/>
      <c r="Y274" s="4"/>
    </row>
    <row r="275">
      <c r="A275" s="5"/>
      <c r="B275" s="9"/>
      <c r="C275" s="5"/>
      <c r="D275" s="9"/>
      <c r="E275" s="9"/>
      <c r="F275" s="9"/>
      <c r="G275" s="9"/>
      <c r="H275" s="9"/>
      <c r="I275" s="9"/>
      <c r="J275" s="5"/>
      <c r="K275" s="4"/>
      <c r="L275" s="10"/>
      <c r="M275" s="10"/>
      <c r="N275" s="10"/>
      <c r="O275" s="10"/>
      <c r="P275" s="10"/>
      <c r="Q275" s="11"/>
      <c r="R275" s="9"/>
      <c r="S275" s="12"/>
      <c r="T275" s="5"/>
      <c r="U275" s="5"/>
      <c r="V275" s="4"/>
      <c r="W275" s="4"/>
      <c r="X275" s="4"/>
      <c r="Y275" s="4"/>
    </row>
    <row r="276">
      <c r="A276" s="5"/>
      <c r="B276" s="9"/>
      <c r="C276" s="5"/>
      <c r="D276" s="9"/>
      <c r="E276" s="9"/>
      <c r="F276" s="9"/>
      <c r="G276" s="9"/>
      <c r="H276" s="9"/>
      <c r="I276" s="9"/>
      <c r="J276" s="5"/>
      <c r="K276" s="4"/>
      <c r="L276" s="10"/>
      <c r="M276" s="10"/>
      <c r="N276" s="10"/>
      <c r="O276" s="10"/>
      <c r="P276" s="10"/>
      <c r="Q276" s="11"/>
      <c r="R276" s="9"/>
      <c r="S276" s="12"/>
      <c r="T276" s="5"/>
      <c r="U276" s="5"/>
      <c r="V276" s="4"/>
      <c r="W276" s="4"/>
      <c r="X276" s="4"/>
      <c r="Y276" s="4"/>
    </row>
    <row r="277">
      <c r="A277" s="5"/>
      <c r="B277" s="9"/>
      <c r="C277" s="5"/>
      <c r="D277" s="9"/>
      <c r="E277" s="9"/>
      <c r="F277" s="9"/>
      <c r="G277" s="9"/>
      <c r="H277" s="9"/>
      <c r="I277" s="9"/>
      <c r="J277" s="5"/>
      <c r="K277" s="4"/>
      <c r="L277" s="10"/>
      <c r="M277" s="10"/>
      <c r="N277" s="10"/>
      <c r="O277" s="10"/>
      <c r="P277" s="10"/>
      <c r="Q277" s="11"/>
      <c r="R277" s="9"/>
      <c r="S277" s="12"/>
      <c r="T277" s="5"/>
      <c r="U277" s="5"/>
      <c r="V277" s="4"/>
      <c r="W277" s="4"/>
      <c r="X277" s="4"/>
      <c r="Y277" s="4"/>
    </row>
    <row r="278">
      <c r="A278" s="5"/>
      <c r="B278" s="9"/>
      <c r="C278" s="5"/>
      <c r="D278" s="9"/>
      <c r="E278" s="9"/>
      <c r="F278" s="9"/>
      <c r="G278" s="9"/>
      <c r="H278" s="9"/>
      <c r="I278" s="9"/>
      <c r="J278" s="5"/>
      <c r="K278" s="4"/>
      <c r="L278" s="10"/>
      <c r="M278" s="10"/>
      <c r="N278" s="10"/>
      <c r="O278" s="10"/>
      <c r="P278" s="10"/>
      <c r="Q278" s="11"/>
      <c r="R278" s="9"/>
      <c r="S278" s="12"/>
      <c r="T278" s="5"/>
      <c r="U278" s="5"/>
      <c r="V278" s="4"/>
      <c r="W278" s="4"/>
      <c r="X278" s="4"/>
      <c r="Y278" s="4"/>
    </row>
    <row r="279">
      <c r="A279" s="5"/>
      <c r="B279" s="9"/>
      <c r="C279" s="5"/>
      <c r="D279" s="9"/>
      <c r="E279" s="9"/>
      <c r="F279" s="9"/>
      <c r="G279" s="9"/>
      <c r="H279" s="9"/>
      <c r="I279" s="9"/>
      <c r="J279" s="5"/>
      <c r="K279" s="4"/>
      <c r="L279" s="10"/>
      <c r="M279" s="10"/>
      <c r="N279" s="10"/>
      <c r="O279" s="10"/>
      <c r="P279" s="10"/>
      <c r="Q279" s="11"/>
      <c r="R279" s="9"/>
      <c r="S279" s="12"/>
      <c r="T279" s="5"/>
      <c r="U279" s="5"/>
      <c r="V279" s="4"/>
      <c r="W279" s="4"/>
      <c r="X279" s="4"/>
      <c r="Y279" s="4"/>
    </row>
    <row r="280">
      <c r="A280" s="5"/>
      <c r="B280" s="9"/>
      <c r="C280" s="5"/>
      <c r="D280" s="9"/>
      <c r="E280" s="9"/>
      <c r="F280" s="9"/>
      <c r="G280" s="9"/>
      <c r="H280" s="9"/>
      <c r="I280" s="9"/>
      <c r="J280" s="5"/>
      <c r="K280" s="4"/>
      <c r="L280" s="10"/>
      <c r="M280" s="10"/>
      <c r="N280" s="10"/>
      <c r="O280" s="10"/>
      <c r="P280" s="10"/>
      <c r="Q280" s="11"/>
      <c r="R280" s="9"/>
      <c r="S280" s="12"/>
      <c r="T280" s="5"/>
      <c r="U280" s="5"/>
      <c r="V280" s="4"/>
      <c r="W280" s="4"/>
      <c r="X280" s="4"/>
      <c r="Y280" s="4"/>
    </row>
    <row r="281">
      <c r="A281" s="5"/>
      <c r="B281" s="9"/>
      <c r="C281" s="5"/>
      <c r="D281" s="9"/>
      <c r="E281" s="9"/>
      <c r="F281" s="9"/>
      <c r="G281" s="9"/>
      <c r="H281" s="9"/>
      <c r="I281" s="9"/>
      <c r="J281" s="5"/>
      <c r="K281" s="4"/>
      <c r="L281" s="10"/>
      <c r="M281" s="10"/>
      <c r="N281" s="10"/>
      <c r="O281" s="10"/>
      <c r="P281" s="10"/>
      <c r="Q281" s="11"/>
      <c r="R281" s="9"/>
      <c r="S281" s="12"/>
      <c r="T281" s="5"/>
      <c r="U281" s="5"/>
      <c r="V281" s="4"/>
      <c r="W281" s="4"/>
      <c r="X281" s="4"/>
      <c r="Y281" s="4"/>
    </row>
    <row r="282">
      <c r="A282" s="5"/>
      <c r="B282" s="9"/>
      <c r="C282" s="5"/>
      <c r="D282" s="9"/>
      <c r="E282" s="9"/>
      <c r="F282" s="9"/>
      <c r="G282" s="9"/>
      <c r="H282" s="9"/>
      <c r="I282" s="9"/>
      <c r="J282" s="5"/>
      <c r="K282" s="4"/>
      <c r="L282" s="10"/>
      <c r="M282" s="10"/>
      <c r="N282" s="10"/>
      <c r="O282" s="10"/>
      <c r="P282" s="10"/>
      <c r="Q282" s="11"/>
      <c r="R282" s="9"/>
      <c r="S282" s="12"/>
      <c r="T282" s="5"/>
      <c r="U282" s="5"/>
      <c r="V282" s="4"/>
      <c r="W282" s="4"/>
      <c r="X282" s="4"/>
      <c r="Y282" s="4"/>
    </row>
    <row r="283">
      <c r="A283" s="5"/>
      <c r="B283" s="9"/>
      <c r="C283" s="5"/>
      <c r="D283" s="9"/>
      <c r="E283" s="9"/>
      <c r="F283" s="9"/>
      <c r="G283" s="9"/>
      <c r="H283" s="9"/>
      <c r="I283" s="9"/>
      <c r="J283" s="5"/>
      <c r="K283" s="4"/>
      <c r="L283" s="10"/>
      <c r="M283" s="10"/>
      <c r="N283" s="10"/>
      <c r="O283" s="10"/>
      <c r="P283" s="10"/>
      <c r="Q283" s="11"/>
      <c r="R283" s="9"/>
      <c r="S283" s="12"/>
      <c r="T283" s="5"/>
      <c r="U283" s="5"/>
      <c r="V283" s="4"/>
      <c r="W283" s="4"/>
      <c r="X283" s="4"/>
      <c r="Y283" s="4"/>
    </row>
    <row r="284">
      <c r="A284" s="5"/>
      <c r="B284" s="9"/>
      <c r="C284" s="5"/>
      <c r="D284" s="9"/>
      <c r="E284" s="9"/>
      <c r="F284" s="9"/>
      <c r="G284" s="9"/>
      <c r="H284" s="9"/>
      <c r="I284" s="9"/>
      <c r="J284" s="5"/>
      <c r="K284" s="4"/>
      <c r="L284" s="10"/>
      <c r="M284" s="10"/>
      <c r="N284" s="10"/>
      <c r="O284" s="10"/>
      <c r="P284" s="10"/>
      <c r="Q284" s="11"/>
      <c r="R284" s="9"/>
      <c r="S284" s="12"/>
      <c r="T284" s="5"/>
      <c r="U284" s="5"/>
      <c r="V284" s="4"/>
      <c r="W284" s="4"/>
      <c r="X284" s="4"/>
      <c r="Y284" s="4"/>
    </row>
    <row r="285">
      <c r="A285" s="5"/>
      <c r="B285" s="9"/>
      <c r="C285" s="5"/>
      <c r="D285" s="9"/>
      <c r="E285" s="9"/>
      <c r="F285" s="9"/>
      <c r="G285" s="9"/>
      <c r="H285" s="9"/>
      <c r="I285" s="9"/>
      <c r="J285" s="5"/>
      <c r="K285" s="4"/>
      <c r="L285" s="10"/>
      <c r="M285" s="10"/>
      <c r="N285" s="10"/>
      <c r="O285" s="10"/>
      <c r="P285" s="10"/>
      <c r="Q285" s="11"/>
      <c r="R285" s="9"/>
      <c r="S285" s="12"/>
      <c r="T285" s="5"/>
      <c r="U285" s="5"/>
      <c r="V285" s="4"/>
      <c r="W285" s="4"/>
      <c r="X285" s="4"/>
      <c r="Y285" s="4"/>
    </row>
    <row r="286">
      <c r="A286" s="5"/>
      <c r="B286" s="9"/>
      <c r="C286" s="5"/>
      <c r="D286" s="9"/>
      <c r="E286" s="9"/>
      <c r="F286" s="9"/>
      <c r="G286" s="9"/>
      <c r="H286" s="9"/>
      <c r="I286" s="9"/>
      <c r="J286" s="5"/>
      <c r="K286" s="4"/>
      <c r="L286" s="10"/>
      <c r="M286" s="10"/>
      <c r="N286" s="10"/>
      <c r="O286" s="10"/>
      <c r="P286" s="10"/>
      <c r="Q286" s="11"/>
      <c r="R286" s="9"/>
      <c r="S286" s="12"/>
      <c r="T286" s="5"/>
      <c r="U286" s="5"/>
      <c r="V286" s="4"/>
      <c r="W286" s="4"/>
      <c r="X286" s="4"/>
      <c r="Y286" s="4"/>
    </row>
    <row r="287">
      <c r="A287" s="5"/>
      <c r="B287" s="9"/>
      <c r="C287" s="5"/>
      <c r="D287" s="9"/>
      <c r="E287" s="9"/>
      <c r="F287" s="9"/>
      <c r="G287" s="9"/>
      <c r="H287" s="9"/>
      <c r="I287" s="9"/>
      <c r="J287" s="5"/>
      <c r="K287" s="4"/>
      <c r="L287" s="10"/>
      <c r="M287" s="10"/>
      <c r="N287" s="10"/>
      <c r="O287" s="10"/>
      <c r="P287" s="10"/>
      <c r="Q287" s="11"/>
      <c r="R287" s="9"/>
      <c r="S287" s="12"/>
      <c r="T287" s="5"/>
      <c r="U287" s="5"/>
      <c r="V287" s="4"/>
      <c r="W287" s="4"/>
      <c r="X287" s="4"/>
      <c r="Y287" s="4"/>
    </row>
    <row r="288">
      <c r="A288" s="5"/>
      <c r="B288" s="9"/>
      <c r="C288" s="5"/>
      <c r="D288" s="9"/>
      <c r="E288" s="9"/>
      <c r="F288" s="9"/>
      <c r="G288" s="9"/>
      <c r="H288" s="9"/>
      <c r="I288" s="9"/>
      <c r="J288" s="5"/>
      <c r="K288" s="4"/>
      <c r="L288" s="10"/>
      <c r="M288" s="10"/>
      <c r="N288" s="10"/>
      <c r="O288" s="10"/>
      <c r="P288" s="10"/>
      <c r="Q288" s="11"/>
      <c r="R288" s="9"/>
      <c r="S288" s="12"/>
      <c r="T288" s="5"/>
      <c r="U288" s="5"/>
      <c r="V288" s="4"/>
      <c r="W288" s="4"/>
      <c r="X288" s="4"/>
      <c r="Y288" s="4"/>
    </row>
    <row r="289">
      <c r="A289" s="5"/>
      <c r="B289" s="9"/>
      <c r="C289" s="5"/>
      <c r="D289" s="9"/>
      <c r="E289" s="9"/>
      <c r="F289" s="9"/>
      <c r="G289" s="9"/>
      <c r="H289" s="9"/>
      <c r="I289" s="9"/>
      <c r="J289" s="5"/>
      <c r="K289" s="4"/>
      <c r="L289" s="10"/>
      <c r="M289" s="10"/>
      <c r="N289" s="10"/>
      <c r="O289" s="10"/>
      <c r="P289" s="10"/>
      <c r="Q289" s="11"/>
      <c r="R289" s="9"/>
      <c r="S289" s="12"/>
      <c r="T289" s="5"/>
      <c r="U289" s="5"/>
      <c r="V289" s="4"/>
      <c r="W289" s="4"/>
      <c r="X289" s="4"/>
      <c r="Y289" s="4"/>
    </row>
    <row r="290">
      <c r="A290" s="5"/>
      <c r="B290" s="9"/>
      <c r="C290" s="5"/>
      <c r="D290" s="9"/>
      <c r="E290" s="9"/>
      <c r="F290" s="9"/>
      <c r="G290" s="9"/>
      <c r="H290" s="9"/>
      <c r="I290" s="9"/>
      <c r="J290" s="5"/>
      <c r="K290" s="4"/>
      <c r="L290" s="10"/>
      <c r="M290" s="10"/>
      <c r="N290" s="10"/>
      <c r="O290" s="10"/>
      <c r="P290" s="10"/>
      <c r="Q290" s="11"/>
      <c r="R290" s="9"/>
      <c r="S290" s="12"/>
      <c r="T290" s="5"/>
      <c r="U290" s="5"/>
      <c r="V290" s="4"/>
      <c r="W290" s="4"/>
      <c r="X290" s="4"/>
      <c r="Y290" s="4"/>
    </row>
    <row r="291">
      <c r="A291" s="5"/>
      <c r="B291" s="9"/>
      <c r="C291" s="5"/>
      <c r="D291" s="9"/>
      <c r="E291" s="9"/>
      <c r="F291" s="9"/>
      <c r="G291" s="9"/>
      <c r="H291" s="9"/>
      <c r="I291" s="9"/>
      <c r="J291" s="5"/>
      <c r="K291" s="4"/>
      <c r="L291" s="10"/>
      <c r="M291" s="10"/>
      <c r="N291" s="10"/>
      <c r="O291" s="10"/>
      <c r="P291" s="10"/>
      <c r="Q291" s="11"/>
      <c r="R291" s="9"/>
      <c r="S291" s="12"/>
      <c r="T291" s="5"/>
      <c r="U291" s="5"/>
      <c r="V291" s="4"/>
      <c r="W291" s="4"/>
      <c r="X291" s="4"/>
      <c r="Y291" s="4"/>
    </row>
    <row r="292">
      <c r="A292" s="5"/>
      <c r="B292" s="9"/>
      <c r="C292" s="5"/>
      <c r="D292" s="9"/>
      <c r="E292" s="9"/>
      <c r="F292" s="9"/>
      <c r="G292" s="9"/>
      <c r="H292" s="9"/>
      <c r="I292" s="9"/>
      <c r="J292" s="5"/>
      <c r="K292" s="4"/>
      <c r="L292" s="10"/>
      <c r="M292" s="10"/>
      <c r="N292" s="10"/>
      <c r="O292" s="10"/>
      <c r="P292" s="10"/>
      <c r="Q292" s="11"/>
      <c r="R292" s="9"/>
      <c r="S292" s="12"/>
      <c r="T292" s="5"/>
      <c r="U292" s="5"/>
      <c r="V292" s="4"/>
      <c r="W292" s="4"/>
      <c r="X292" s="4"/>
      <c r="Y292" s="4"/>
    </row>
    <row r="293">
      <c r="A293" s="5"/>
      <c r="B293" s="9"/>
      <c r="C293" s="5"/>
      <c r="D293" s="9"/>
      <c r="E293" s="9"/>
      <c r="F293" s="9"/>
      <c r="G293" s="9"/>
      <c r="H293" s="9"/>
      <c r="I293" s="9"/>
      <c r="J293" s="5"/>
      <c r="K293" s="4"/>
      <c r="L293" s="10"/>
      <c r="M293" s="10"/>
      <c r="N293" s="10"/>
      <c r="O293" s="10"/>
      <c r="P293" s="10"/>
      <c r="Q293" s="11"/>
      <c r="R293" s="9"/>
      <c r="S293" s="12"/>
      <c r="T293" s="5"/>
      <c r="U293" s="5"/>
      <c r="V293" s="4"/>
      <c r="W293" s="4"/>
      <c r="X293" s="4"/>
      <c r="Y293" s="4"/>
    </row>
    <row r="294">
      <c r="A294" s="5"/>
      <c r="B294" s="9"/>
      <c r="C294" s="5"/>
      <c r="D294" s="9"/>
      <c r="E294" s="9"/>
      <c r="F294" s="9"/>
      <c r="G294" s="9"/>
      <c r="H294" s="9"/>
      <c r="I294" s="9"/>
      <c r="J294" s="5"/>
      <c r="K294" s="4"/>
      <c r="L294" s="10"/>
      <c r="M294" s="10"/>
      <c r="N294" s="10"/>
      <c r="O294" s="10"/>
      <c r="P294" s="10"/>
      <c r="Q294" s="11"/>
      <c r="R294" s="9"/>
      <c r="S294" s="12"/>
      <c r="T294" s="5"/>
      <c r="U294" s="5"/>
      <c r="V294" s="4"/>
      <c r="W294" s="4"/>
      <c r="X294" s="4"/>
      <c r="Y294" s="4"/>
    </row>
    <row r="295">
      <c r="A295" s="5"/>
      <c r="B295" s="9"/>
      <c r="C295" s="5"/>
      <c r="D295" s="9"/>
      <c r="E295" s="9"/>
      <c r="F295" s="9"/>
      <c r="G295" s="9"/>
      <c r="H295" s="9"/>
      <c r="I295" s="9"/>
      <c r="J295" s="5"/>
      <c r="K295" s="4"/>
      <c r="L295" s="10"/>
      <c r="M295" s="10"/>
      <c r="N295" s="10"/>
      <c r="O295" s="10"/>
      <c r="P295" s="10"/>
      <c r="Q295" s="11"/>
      <c r="R295" s="9"/>
      <c r="S295" s="12"/>
      <c r="T295" s="5"/>
      <c r="U295" s="5"/>
      <c r="V295" s="4"/>
      <c r="W295" s="4"/>
      <c r="X295" s="4"/>
      <c r="Y295" s="4"/>
    </row>
    <row r="296">
      <c r="A296" s="5"/>
      <c r="B296" s="9"/>
      <c r="C296" s="5"/>
      <c r="D296" s="9"/>
      <c r="E296" s="9"/>
      <c r="F296" s="9"/>
      <c r="G296" s="9"/>
      <c r="H296" s="9"/>
      <c r="I296" s="9"/>
      <c r="J296" s="5"/>
      <c r="K296" s="4"/>
      <c r="L296" s="10"/>
      <c r="M296" s="10"/>
      <c r="N296" s="10"/>
      <c r="O296" s="10"/>
      <c r="P296" s="10"/>
      <c r="Q296" s="11"/>
      <c r="R296" s="9"/>
      <c r="S296" s="12"/>
      <c r="T296" s="5"/>
      <c r="U296" s="5"/>
      <c r="V296" s="4"/>
      <c r="W296" s="4"/>
      <c r="X296" s="4"/>
      <c r="Y296" s="4"/>
    </row>
    <row r="297">
      <c r="A297" s="5"/>
      <c r="B297" s="9"/>
      <c r="C297" s="5"/>
      <c r="D297" s="9"/>
      <c r="E297" s="9"/>
      <c r="F297" s="9"/>
      <c r="G297" s="9"/>
      <c r="H297" s="9"/>
      <c r="I297" s="9"/>
      <c r="J297" s="5"/>
      <c r="K297" s="4"/>
      <c r="L297" s="10"/>
      <c r="M297" s="10"/>
      <c r="N297" s="10"/>
      <c r="O297" s="10"/>
      <c r="P297" s="10"/>
      <c r="Q297" s="11"/>
      <c r="R297" s="9"/>
      <c r="S297" s="12"/>
      <c r="T297" s="5"/>
      <c r="U297" s="5"/>
      <c r="V297" s="4"/>
      <c r="W297" s="4"/>
      <c r="X297" s="4"/>
      <c r="Y297" s="4"/>
    </row>
    <row r="298">
      <c r="A298" s="5"/>
      <c r="B298" s="9"/>
      <c r="C298" s="5"/>
      <c r="D298" s="9"/>
      <c r="E298" s="9"/>
      <c r="F298" s="9"/>
      <c r="G298" s="9"/>
      <c r="H298" s="9"/>
      <c r="I298" s="9"/>
      <c r="J298" s="5"/>
      <c r="K298" s="4"/>
      <c r="L298" s="10"/>
      <c r="M298" s="10"/>
      <c r="N298" s="10"/>
      <c r="O298" s="10"/>
      <c r="P298" s="10"/>
      <c r="Q298" s="11"/>
      <c r="R298" s="9"/>
      <c r="S298" s="12"/>
      <c r="T298" s="5"/>
      <c r="U298" s="5"/>
      <c r="V298" s="4"/>
      <c r="W298" s="4"/>
      <c r="X298" s="4"/>
      <c r="Y298" s="4"/>
    </row>
    <row r="299">
      <c r="A299" s="5"/>
      <c r="B299" s="9"/>
      <c r="C299" s="5"/>
      <c r="D299" s="9"/>
      <c r="E299" s="9"/>
      <c r="F299" s="9"/>
      <c r="G299" s="9"/>
      <c r="H299" s="9"/>
      <c r="I299" s="9"/>
      <c r="J299" s="5"/>
      <c r="K299" s="4"/>
      <c r="L299" s="10"/>
      <c r="M299" s="10"/>
      <c r="N299" s="10"/>
      <c r="O299" s="10"/>
      <c r="P299" s="10"/>
      <c r="Q299" s="11"/>
      <c r="R299" s="9"/>
      <c r="S299" s="12"/>
      <c r="T299" s="5"/>
      <c r="U299" s="5"/>
      <c r="V299" s="4"/>
      <c r="W299" s="4"/>
      <c r="X299" s="4"/>
      <c r="Y299" s="4"/>
    </row>
    <row r="300">
      <c r="A300" s="5"/>
      <c r="B300" s="9"/>
      <c r="C300" s="5"/>
      <c r="D300" s="9"/>
      <c r="E300" s="9"/>
      <c r="F300" s="9"/>
      <c r="G300" s="9"/>
      <c r="H300" s="9"/>
      <c r="I300" s="9"/>
      <c r="J300" s="5"/>
      <c r="K300" s="4"/>
      <c r="L300" s="10"/>
      <c r="M300" s="10"/>
      <c r="N300" s="10"/>
      <c r="O300" s="10"/>
      <c r="P300" s="10"/>
      <c r="Q300" s="11"/>
      <c r="R300" s="9"/>
      <c r="S300" s="12"/>
      <c r="T300" s="5"/>
      <c r="U300" s="5"/>
      <c r="V300" s="4"/>
      <c r="W300" s="4"/>
      <c r="X300" s="4"/>
      <c r="Y300" s="4"/>
    </row>
    <row r="301">
      <c r="A301" s="5"/>
      <c r="B301" s="9"/>
      <c r="C301" s="5"/>
      <c r="D301" s="9"/>
      <c r="E301" s="9"/>
      <c r="F301" s="9"/>
      <c r="G301" s="9"/>
      <c r="H301" s="9"/>
      <c r="I301" s="9"/>
      <c r="J301" s="5"/>
      <c r="K301" s="4"/>
      <c r="L301" s="10"/>
      <c r="M301" s="10"/>
      <c r="N301" s="10"/>
      <c r="O301" s="10"/>
      <c r="P301" s="10"/>
      <c r="Q301" s="11"/>
      <c r="R301" s="9"/>
      <c r="S301" s="12"/>
      <c r="T301" s="5"/>
      <c r="U301" s="5"/>
      <c r="V301" s="4"/>
      <c r="W301" s="4"/>
      <c r="X301" s="4"/>
      <c r="Y301" s="4"/>
    </row>
    <row r="302">
      <c r="A302" s="5"/>
      <c r="B302" s="9"/>
      <c r="C302" s="5"/>
      <c r="D302" s="9"/>
      <c r="E302" s="9"/>
      <c r="F302" s="9"/>
      <c r="G302" s="9"/>
      <c r="H302" s="9"/>
      <c r="I302" s="9"/>
      <c r="J302" s="5"/>
      <c r="K302" s="4"/>
      <c r="L302" s="10"/>
      <c r="M302" s="10"/>
      <c r="N302" s="10"/>
      <c r="O302" s="10"/>
      <c r="P302" s="10"/>
      <c r="Q302" s="11"/>
      <c r="R302" s="9"/>
      <c r="S302" s="12"/>
      <c r="T302" s="5"/>
      <c r="U302" s="5"/>
      <c r="V302" s="4"/>
      <c r="W302" s="4"/>
      <c r="X302" s="4"/>
      <c r="Y302" s="4"/>
    </row>
    <row r="303">
      <c r="A303" s="5"/>
      <c r="B303" s="9"/>
      <c r="C303" s="5"/>
      <c r="D303" s="9"/>
      <c r="E303" s="9"/>
      <c r="F303" s="9"/>
      <c r="G303" s="9"/>
      <c r="H303" s="9"/>
      <c r="I303" s="9"/>
      <c r="J303" s="5"/>
      <c r="K303" s="4"/>
      <c r="L303" s="10"/>
      <c r="M303" s="10"/>
      <c r="N303" s="10"/>
      <c r="O303" s="10"/>
      <c r="P303" s="10"/>
      <c r="Q303" s="11"/>
      <c r="R303" s="9"/>
      <c r="S303" s="12"/>
      <c r="T303" s="5"/>
      <c r="U303" s="5"/>
      <c r="V303" s="4"/>
      <c r="W303" s="4"/>
      <c r="X303" s="4"/>
      <c r="Y303" s="4"/>
    </row>
    <row r="304">
      <c r="A304" s="5"/>
      <c r="B304" s="9"/>
      <c r="C304" s="5"/>
      <c r="D304" s="9"/>
      <c r="E304" s="9"/>
      <c r="F304" s="9"/>
      <c r="G304" s="9"/>
      <c r="H304" s="9"/>
      <c r="I304" s="9"/>
      <c r="J304" s="5"/>
      <c r="K304" s="4"/>
      <c r="L304" s="10"/>
      <c r="M304" s="10"/>
      <c r="N304" s="10"/>
      <c r="O304" s="10"/>
      <c r="P304" s="10"/>
      <c r="Q304" s="11"/>
      <c r="R304" s="9"/>
      <c r="S304" s="12"/>
      <c r="T304" s="5"/>
      <c r="U304" s="5"/>
      <c r="V304" s="4"/>
      <c r="W304" s="4"/>
      <c r="X304" s="4"/>
      <c r="Y304" s="4"/>
    </row>
    <row r="305">
      <c r="A305" s="5"/>
      <c r="B305" s="9"/>
      <c r="C305" s="5"/>
      <c r="D305" s="9"/>
      <c r="E305" s="9"/>
      <c r="F305" s="9"/>
      <c r="G305" s="9"/>
      <c r="H305" s="9"/>
      <c r="I305" s="9"/>
      <c r="J305" s="5"/>
      <c r="K305" s="4"/>
      <c r="L305" s="10"/>
      <c r="M305" s="10"/>
      <c r="N305" s="10"/>
      <c r="O305" s="10"/>
      <c r="P305" s="10"/>
      <c r="Q305" s="11"/>
      <c r="R305" s="9"/>
      <c r="S305" s="12"/>
      <c r="T305" s="5"/>
      <c r="U305" s="5"/>
      <c r="V305" s="4"/>
      <c r="W305" s="4"/>
      <c r="X305" s="4"/>
      <c r="Y305" s="4"/>
    </row>
    <row r="306">
      <c r="A306" s="5"/>
      <c r="B306" s="9"/>
      <c r="C306" s="5"/>
      <c r="D306" s="9"/>
      <c r="E306" s="9"/>
      <c r="F306" s="9"/>
      <c r="G306" s="9"/>
      <c r="H306" s="9"/>
      <c r="I306" s="9"/>
      <c r="J306" s="5"/>
      <c r="K306" s="4"/>
      <c r="L306" s="10"/>
      <c r="M306" s="10"/>
      <c r="N306" s="10"/>
      <c r="O306" s="10"/>
      <c r="P306" s="10"/>
      <c r="Q306" s="11"/>
      <c r="R306" s="9"/>
      <c r="S306" s="12"/>
      <c r="T306" s="5"/>
      <c r="U306" s="5"/>
      <c r="V306" s="4"/>
      <c r="W306" s="4"/>
      <c r="X306" s="4"/>
      <c r="Y306" s="4"/>
    </row>
    <row r="307">
      <c r="A307" s="5"/>
      <c r="B307" s="9"/>
      <c r="C307" s="5"/>
      <c r="D307" s="9"/>
      <c r="E307" s="9"/>
      <c r="F307" s="9"/>
      <c r="G307" s="9"/>
      <c r="H307" s="9"/>
      <c r="I307" s="9"/>
      <c r="J307" s="5"/>
      <c r="K307" s="4"/>
      <c r="L307" s="10"/>
      <c r="M307" s="10"/>
      <c r="N307" s="10"/>
      <c r="O307" s="10"/>
      <c r="P307" s="10"/>
      <c r="Q307" s="11"/>
      <c r="R307" s="9"/>
      <c r="S307" s="12"/>
      <c r="T307" s="5"/>
      <c r="U307" s="5"/>
      <c r="V307" s="4"/>
      <c r="W307" s="4"/>
      <c r="X307" s="4"/>
      <c r="Y307" s="4"/>
    </row>
    <row r="308">
      <c r="A308" s="5"/>
      <c r="B308" s="9"/>
      <c r="C308" s="5"/>
      <c r="D308" s="9"/>
      <c r="E308" s="9"/>
      <c r="F308" s="9"/>
      <c r="G308" s="9"/>
      <c r="H308" s="9"/>
      <c r="I308" s="9"/>
      <c r="J308" s="5"/>
      <c r="K308" s="4"/>
      <c r="L308" s="10"/>
      <c r="M308" s="10"/>
      <c r="N308" s="10"/>
      <c r="O308" s="10"/>
      <c r="P308" s="10"/>
      <c r="Q308" s="11"/>
      <c r="R308" s="9"/>
      <c r="S308" s="12"/>
      <c r="T308" s="5"/>
      <c r="U308" s="5"/>
      <c r="V308" s="4"/>
      <c r="W308" s="4"/>
      <c r="X308" s="4"/>
      <c r="Y308" s="4"/>
    </row>
    <row r="309">
      <c r="A309" s="5"/>
      <c r="B309" s="9"/>
      <c r="C309" s="5"/>
      <c r="D309" s="9"/>
      <c r="E309" s="9"/>
      <c r="F309" s="9"/>
      <c r="G309" s="9"/>
      <c r="H309" s="9"/>
      <c r="I309" s="9"/>
      <c r="J309" s="5"/>
      <c r="K309" s="4"/>
      <c r="L309" s="10"/>
      <c r="M309" s="10"/>
      <c r="N309" s="10"/>
      <c r="O309" s="10"/>
      <c r="P309" s="10"/>
      <c r="Q309" s="11"/>
      <c r="R309" s="9"/>
      <c r="S309" s="12"/>
      <c r="T309" s="5"/>
      <c r="U309" s="5"/>
      <c r="V309" s="4"/>
      <c r="W309" s="4"/>
      <c r="X309" s="4"/>
      <c r="Y309" s="4"/>
    </row>
    <row r="310">
      <c r="A310" s="5"/>
      <c r="B310" s="9"/>
      <c r="C310" s="5"/>
      <c r="D310" s="9"/>
      <c r="E310" s="9"/>
      <c r="F310" s="9"/>
      <c r="G310" s="9"/>
      <c r="H310" s="9"/>
      <c r="I310" s="9"/>
      <c r="J310" s="5"/>
      <c r="K310" s="4"/>
      <c r="L310" s="10"/>
      <c r="M310" s="10"/>
      <c r="N310" s="10"/>
      <c r="O310" s="10"/>
      <c r="P310" s="10"/>
      <c r="Q310" s="11"/>
      <c r="R310" s="9"/>
      <c r="S310" s="12"/>
      <c r="T310" s="5"/>
      <c r="U310" s="5"/>
      <c r="V310" s="4"/>
      <c r="W310" s="4"/>
      <c r="X310" s="4"/>
      <c r="Y310" s="4"/>
    </row>
    <row r="311">
      <c r="A311" s="5"/>
      <c r="B311" s="9"/>
      <c r="C311" s="5"/>
      <c r="D311" s="9"/>
      <c r="E311" s="9"/>
      <c r="F311" s="9"/>
      <c r="G311" s="9"/>
      <c r="H311" s="9"/>
      <c r="I311" s="9"/>
      <c r="J311" s="5"/>
      <c r="K311" s="4"/>
      <c r="L311" s="10"/>
      <c r="M311" s="10"/>
      <c r="N311" s="10"/>
      <c r="O311" s="10"/>
      <c r="P311" s="10"/>
      <c r="Q311" s="11"/>
      <c r="R311" s="9"/>
      <c r="S311" s="12"/>
      <c r="T311" s="5"/>
      <c r="U311" s="5"/>
      <c r="V311" s="4"/>
      <c r="W311" s="4"/>
      <c r="X311" s="4"/>
      <c r="Y311" s="4"/>
    </row>
    <row r="312">
      <c r="A312" s="5"/>
      <c r="B312" s="9"/>
      <c r="C312" s="5"/>
      <c r="D312" s="9"/>
      <c r="E312" s="9"/>
      <c r="F312" s="9"/>
      <c r="G312" s="9"/>
      <c r="H312" s="9"/>
      <c r="I312" s="9"/>
      <c r="J312" s="5"/>
      <c r="K312" s="4"/>
      <c r="L312" s="10"/>
      <c r="M312" s="10"/>
      <c r="N312" s="10"/>
      <c r="O312" s="10"/>
      <c r="P312" s="10"/>
      <c r="Q312" s="11"/>
      <c r="R312" s="9"/>
      <c r="S312" s="12"/>
      <c r="T312" s="5"/>
      <c r="U312" s="5"/>
      <c r="V312" s="4"/>
      <c r="W312" s="4"/>
      <c r="X312" s="4"/>
      <c r="Y312" s="4"/>
    </row>
    <row r="313">
      <c r="A313" s="5"/>
      <c r="B313" s="9"/>
      <c r="C313" s="5"/>
      <c r="D313" s="9"/>
      <c r="E313" s="9"/>
      <c r="F313" s="9"/>
      <c r="G313" s="9"/>
      <c r="H313" s="9"/>
      <c r="I313" s="9"/>
      <c r="J313" s="5"/>
      <c r="K313" s="4"/>
      <c r="L313" s="10"/>
      <c r="M313" s="10"/>
      <c r="N313" s="10"/>
      <c r="O313" s="10"/>
      <c r="P313" s="10"/>
      <c r="Q313" s="11"/>
      <c r="R313" s="9"/>
      <c r="S313" s="12"/>
      <c r="T313" s="5"/>
      <c r="U313" s="5"/>
      <c r="V313" s="4"/>
      <c r="W313" s="4"/>
      <c r="X313" s="4"/>
      <c r="Y313" s="4"/>
    </row>
    <row r="314">
      <c r="A314" s="5"/>
      <c r="B314" s="9"/>
      <c r="C314" s="5"/>
      <c r="D314" s="9"/>
      <c r="E314" s="9"/>
      <c r="F314" s="9"/>
      <c r="G314" s="9"/>
      <c r="H314" s="9"/>
      <c r="I314" s="9"/>
      <c r="J314" s="5"/>
      <c r="K314" s="4"/>
      <c r="L314" s="10"/>
      <c r="M314" s="10"/>
      <c r="N314" s="10"/>
      <c r="O314" s="10"/>
      <c r="P314" s="10"/>
      <c r="Q314" s="11"/>
      <c r="R314" s="9"/>
      <c r="S314" s="12"/>
      <c r="T314" s="5"/>
      <c r="U314" s="5"/>
      <c r="V314" s="4"/>
      <c r="W314" s="4"/>
      <c r="X314" s="4"/>
      <c r="Y314" s="4"/>
    </row>
    <row r="315">
      <c r="A315" s="5"/>
      <c r="B315" s="9"/>
      <c r="C315" s="5"/>
      <c r="D315" s="9"/>
      <c r="E315" s="9"/>
      <c r="F315" s="9"/>
      <c r="G315" s="9"/>
      <c r="H315" s="9"/>
      <c r="I315" s="9"/>
      <c r="J315" s="5"/>
      <c r="K315" s="4"/>
      <c r="L315" s="10"/>
      <c r="M315" s="10"/>
      <c r="N315" s="10"/>
      <c r="O315" s="10"/>
      <c r="P315" s="10"/>
      <c r="Q315" s="11"/>
      <c r="R315" s="9"/>
      <c r="S315" s="12"/>
      <c r="T315" s="5"/>
      <c r="U315" s="5"/>
      <c r="V315" s="4"/>
      <c r="W315" s="4"/>
      <c r="X315" s="4"/>
      <c r="Y315" s="4"/>
    </row>
    <row r="316">
      <c r="A316" s="5"/>
      <c r="B316" s="9"/>
      <c r="C316" s="5"/>
      <c r="D316" s="9"/>
      <c r="E316" s="9"/>
      <c r="F316" s="9"/>
      <c r="G316" s="9"/>
      <c r="H316" s="9"/>
      <c r="I316" s="9"/>
      <c r="J316" s="5"/>
      <c r="K316" s="4"/>
      <c r="L316" s="10"/>
      <c r="M316" s="10"/>
      <c r="N316" s="10"/>
      <c r="O316" s="10"/>
      <c r="P316" s="10"/>
      <c r="Q316" s="11"/>
      <c r="R316" s="9"/>
      <c r="S316" s="12"/>
      <c r="T316" s="5"/>
      <c r="U316" s="5"/>
      <c r="V316" s="4"/>
      <c r="W316" s="4"/>
      <c r="X316" s="4"/>
      <c r="Y316" s="4"/>
    </row>
    <row r="317">
      <c r="A317" s="5"/>
      <c r="B317" s="9"/>
      <c r="C317" s="5"/>
      <c r="D317" s="9"/>
      <c r="E317" s="9"/>
      <c r="F317" s="9"/>
      <c r="G317" s="9"/>
      <c r="H317" s="9"/>
      <c r="I317" s="9"/>
      <c r="J317" s="5"/>
      <c r="K317" s="4"/>
      <c r="L317" s="10"/>
      <c r="M317" s="10"/>
      <c r="N317" s="10"/>
      <c r="O317" s="10"/>
      <c r="P317" s="10"/>
      <c r="Q317" s="11"/>
      <c r="R317" s="9"/>
      <c r="S317" s="12"/>
      <c r="T317" s="5"/>
      <c r="U317" s="5"/>
      <c r="V317" s="4"/>
      <c r="W317" s="4"/>
      <c r="X317" s="4"/>
      <c r="Y317" s="4"/>
    </row>
    <row r="318">
      <c r="A318" s="5"/>
      <c r="B318" s="9"/>
      <c r="C318" s="5"/>
      <c r="D318" s="9"/>
      <c r="E318" s="9"/>
      <c r="F318" s="9"/>
      <c r="G318" s="9"/>
      <c r="H318" s="9"/>
      <c r="I318" s="9"/>
      <c r="J318" s="5"/>
      <c r="K318" s="4"/>
      <c r="L318" s="10"/>
      <c r="M318" s="10"/>
      <c r="N318" s="10"/>
      <c r="O318" s="10"/>
      <c r="P318" s="10"/>
      <c r="Q318" s="11"/>
      <c r="R318" s="9"/>
      <c r="S318" s="12"/>
      <c r="T318" s="5"/>
      <c r="U318" s="5"/>
      <c r="V318" s="4"/>
      <c r="W318" s="4"/>
      <c r="X318" s="4"/>
      <c r="Y318" s="4"/>
    </row>
    <row r="319">
      <c r="A319" s="5"/>
      <c r="B319" s="9"/>
      <c r="C319" s="5"/>
      <c r="D319" s="9"/>
      <c r="E319" s="9"/>
      <c r="F319" s="9"/>
      <c r="G319" s="9"/>
      <c r="H319" s="9"/>
      <c r="I319" s="9"/>
      <c r="J319" s="5"/>
      <c r="K319" s="4"/>
      <c r="L319" s="10"/>
      <c r="M319" s="10"/>
      <c r="N319" s="10"/>
      <c r="O319" s="10"/>
      <c r="P319" s="10"/>
      <c r="Q319" s="11"/>
      <c r="R319" s="9"/>
      <c r="S319" s="12"/>
      <c r="T319" s="5"/>
      <c r="U319" s="5"/>
      <c r="V319" s="4"/>
      <c r="W319" s="4"/>
      <c r="X319" s="4"/>
      <c r="Y319" s="4"/>
    </row>
    <row r="320">
      <c r="A320" s="5"/>
      <c r="B320" s="9"/>
      <c r="C320" s="5"/>
      <c r="D320" s="9"/>
      <c r="E320" s="9"/>
      <c r="F320" s="9"/>
      <c r="G320" s="9"/>
      <c r="H320" s="9"/>
      <c r="I320" s="9"/>
      <c r="J320" s="5"/>
      <c r="K320" s="4"/>
      <c r="L320" s="10"/>
      <c r="M320" s="10"/>
      <c r="N320" s="10"/>
      <c r="O320" s="10"/>
      <c r="P320" s="10"/>
      <c r="Q320" s="11"/>
      <c r="R320" s="9"/>
      <c r="S320" s="12"/>
      <c r="T320" s="5"/>
      <c r="U320" s="5"/>
      <c r="V320" s="4"/>
      <c r="W320" s="4"/>
      <c r="X320" s="4"/>
      <c r="Y320" s="4"/>
    </row>
    <row r="321">
      <c r="A321" s="5"/>
      <c r="B321" s="9"/>
      <c r="C321" s="5"/>
      <c r="D321" s="9"/>
      <c r="E321" s="9"/>
      <c r="F321" s="9"/>
      <c r="G321" s="9"/>
      <c r="H321" s="9"/>
      <c r="I321" s="9"/>
      <c r="J321" s="5"/>
      <c r="K321" s="4"/>
      <c r="L321" s="10"/>
      <c r="M321" s="10"/>
      <c r="N321" s="10"/>
      <c r="O321" s="10"/>
      <c r="P321" s="10"/>
      <c r="Q321" s="11"/>
      <c r="R321" s="9"/>
      <c r="S321" s="12"/>
      <c r="T321" s="5"/>
      <c r="U321" s="5"/>
      <c r="V321" s="4"/>
      <c r="W321" s="4"/>
      <c r="X321" s="4"/>
      <c r="Y321" s="4"/>
    </row>
    <row r="322">
      <c r="A322" s="5"/>
      <c r="B322" s="9"/>
      <c r="C322" s="5"/>
      <c r="D322" s="9"/>
      <c r="E322" s="9"/>
      <c r="F322" s="9"/>
      <c r="G322" s="9"/>
      <c r="H322" s="9"/>
      <c r="I322" s="9"/>
      <c r="J322" s="5"/>
      <c r="K322" s="4"/>
      <c r="L322" s="10"/>
      <c r="M322" s="10"/>
      <c r="N322" s="10"/>
      <c r="O322" s="10"/>
      <c r="P322" s="10"/>
      <c r="Q322" s="11"/>
      <c r="R322" s="9"/>
      <c r="S322" s="12"/>
      <c r="T322" s="5"/>
      <c r="U322" s="5"/>
      <c r="V322" s="4"/>
      <c r="W322" s="4"/>
      <c r="X322" s="4"/>
      <c r="Y322" s="4"/>
    </row>
    <row r="323">
      <c r="A323" s="5"/>
      <c r="B323" s="9"/>
      <c r="C323" s="5"/>
      <c r="D323" s="9"/>
      <c r="E323" s="9"/>
      <c r="F323" s="9"/>
      <c r="G323" s="9"/>
      <c r="H323" s="9"/>
      <c r="I323" s="9"/>
      <c r="J323" s="5"/>
      <c r="K323" s="4"/>
      <c r="L323" s="10"/>
      <c r="M323" s="10"/>
      <c r="N323" s="10"/>
      <c r="O323" s="10"/>
      <c r="P323" s="10"/>
      <c r="Q323" s="11"/>
      <c r="R323" s="9"/>
      <c r="S323" s="12"/>
      <c r="T323" s="5"/>
      <c r="U323" s="5"/>
      <c r="V323" s="4"/>
      <c r="W323" s="4"/>
      <c r="X323" s="4"/>
      <c r="Y323" s="4"/>
    </row>
    <row r="324">
      <c r="A324" s="5"/>
      <c r="B324" s="9"/>
      <c r="C324" s="5"/>
      <c r="D324" s="9"/>
      <c r="E324" s="9"/>
      <c r="F324" s="9"/>
      <c r="G324" s="9"/>
      <c r="H324" s="9"/>
      <c r="I324" s="9"/>
      <c r="J324" s="5"/>
      <c r="K324" s="4"/>
      <c r="L324" s="10"/>
      <c r="M324" s="10"/>
      <c r="N324" s="10"/>
      <c r="O324" s="10"/>
      <c r="P324" s="10"/>
      <c r="Q324" s="11"/>
      <c r="R324" s="9"/>
      <c r="S324" s="12"/>
      <c r="T324" s="5"/>
      <c r="U324" s="5"/>
      <c r="V324" s="4"/>
      <c r="W324" s="4"/>
      <c r="X324" s="4"/>
      <c r="Y324" s="4"/>
    </row>
    <row r="325">
      <c r="A325" s="5"/>
      <c r="B325" s="9"/>
      <c r="C325" s="5"/>
      <c r="D325" s="9"/>
      <c r="E325" s="9"/>
      <c r="F325" s="9"/>
      <c r="G325" s="9"/>
      <c r="H325" s="9"/>
      <c r="I325" s="9"/>
      <c r="J325" s="5"/>
      <c r="K325" s="4"/>
      <c r="L325" s="10"/>
      <c r="M325" s="10"/>
      <c r="N325" s="10"/>
      <c r="O325" s="10"/>
      <c r="P325" s="10"/>
      <c r="Q325" s="11"/>
      <c r="R325" s="9"/>
      <c r="S325" s="12"/>
      <c r="T325" s="5"/>
      <c r="U325" s="5"/>
      <c r="V325" s="4"/>
      <c r="W325" s="4"/>
      <c r="X325" s="4"/>
      <c r="Y325" s="4"/>
    </row>
    <row r="326">
      <c r="A326" s="5"/>
      <c r="B326" s="9"/>
      <c r="C326" s="5"/>
      <c r="D326" s="9"/>
      <c r="E326" s="9"/>
      <c r="F326" s="9"/>
      <c r="G326" s="9"/>
      <c r="H326" s="9"/>
      <c r="I326" s="9"/>
      <c r="J326" s="5"/>
      <c r="K326" s="4"/>
      <c r="L326" s="10"/>
      <c r="M326" s="10"/>
      <c r="N326" s="10"/>
      <c r="O326" s="10"/>
      <c r="P326" s="10"/>
      <c r="Q326" s="11"/>
      <c r="R326" s="9"/>
      <c r="S326" s="12"/>
      <c r="T326" s="5"/>
      <c r="U326" s="5"/>
      <c r="V326" s="4"/>
      <c r="W326" s="4"/>
      <c r="X326" s="4"/>
      <c r="Y326" s="4"/>
    </row>
    <row r="327">
      <c r="A327" s="5"/>
      <c r="B327" s="9"/>
      <c r="C327" s="5"/>
      <c r="D327" s="9"/>
      <c r="E327" s="9"/>
      <c r="F327" s="9"/>
      <c r="G327" s="9"/>
      <c r="H327" s="9"/>
      <c r="I327" s="9"/>
      <c r="J327" s="5"/>
      <c r="K327" s="4"/>
      <c r="L327" s="10"/>
      <c r="M327" s="10"/>
      <c r="N327" s="10"/>
      <c r="O327" s="10"/>
      <c r="P327" s="10"/>
      <c r="Q327" s="11"/>
      <c r="R327" s="9"/>
      <c r="S327" s="12"/>
      <c r="T327" s="5"/>
      <c r="U327" s="5"/>
      <c r="V327" s="4"/>
      <c r="W327" s="4"/>
      <c r="X327" s="4"/>
      <c r="Y327" s="4"/>
    </row>
    <row r="328">
      <c r="A328" s="5"/>
      <c r="B328" s="9"/>
      <c r="C328" s="5"/>
      <c r="D328" s="9"/>
      <c r="E328" s="9"/>
      <c r="F328" s="9"/>
      <c r="G328" s="9"/>
      <c r="H328" s="9"/>
      <c r="I328" s="9"/>
      <c r="J328" s="5"/>
      <c r="K328" s="4"/>
      <c r="L328" s="10"/>
      <c r="M328" s="10"/>
      <c r="N328" s="10"/>
      <c r="O328" s="10"/>
      <c r="P328" s="10"/>
      <c r="Q328" s="11"/>
      <c r="R328" s="9"/>
      <c r="S328" s="12"/>
      <c r="T328" s="5"/>
      <c r="U328" s="5"/>
      <c r="V328" s="4"/>
      <c r="W328" s="4"/>
      <c r="X328" s="4"/>
      <c r="Y328" s="4"/>
    </row>
    <row r="329">
      <c r="A329" s="5"/>
      <c r="B329" s="9"/>
      <c r="C329" s="5"/>
      <c r="D329" s="9"/>
      <c r="E329" s="9"/>
      <c r="F329" s="9"/>
      <c r="G329" s="9"/>
      <c r="H329" s="9"/>
      <c r="I329" s="9"/>
      <c r="J329" s="5"/>
      <c r="K329" s="4"/>
      <c r="L329" s="10"/>
      <c r="M329" s="10"/>
      <c r="N329" s="10"/>
      <c r="O329" s="10"/>
      <c r="P329" s="10"/>
      <c r="Q329" s="11"/>
      <c r="R329" s="9"/>
      <c r="S329" s="12"/>
      <c r="T329" s="5"/>
      <c r="U329" s="5"/>
      <c r="V329" s="4"/>
      <c r="W329" s="4"/>
      <c r="X329" s="4"/>
      <c r="Y329" s="4"/>
    </row>
    <row r="330">
      <c r="A330" s="5"/>
      <c r="B330" s="9"/>
      <c r="C330" s="5"/>
      <c r="D330" s="9"/>
      <c r="E330" s="9"/>
      <c r="F330" s="9"/>
      <c r="G330" s="9"/>
      <c r="H330" s="9"/>
      <c r="I330" s="9"/>
      <c r="J330" s="5"/>
      <c r="K330" s="4"/>
      <c r="L330" s="10"/>
      <c r="M330" s="10"/>
      <c r="N330" s="10"/>
      <c r="O330" s="10"/>
      <c r="P330" s="10"/>
      <c r="Q330" s="11"/>
      <c r="R330" s="9"/>
      <c r="S330" s="12"/>
      <c r="T330" s="5"/>
      <c r="U330" s="5"/>
      <c r="V330" s="4"/>
      <c r="W330" s="4"/>
      <c r="X330" s="4"/>
      <c r="Y330" s="4"/>
    </row>
    <row r="331">
      <c r="A331" s="5"/>
      <c r="B331" s="9"/>
      <c r="C331" s="5"/>
      <c r="D331" s="9"/>
      <c r="E331" s="9"/>
      <c r="F331" s="9"/>
      <c r="G331" s="9"/>
      <c r="H331" s="9"/>
      <c r="I331" s="9"/>
      <c r="J331" s="5"/>
      <c r="K331" s="4"/>
      <c r="L331" s="10"/>
      <c r="M331" s="10"/>
      <c r="N331" s="10"/>
      <c r="O331" s="10"/>
      <c r="P331" s="10"/>
      <c r="Q331" s="11"/>
      <c r="R331" s="9"/>
      <c r="S331" s="12"/>
      <c r="T331" s="5"/>
      <c r="U331" s="5"/>
      <c r="V331" s="4"/>
      <c r="W331" s="4"/>
      <c r="X331" s="4"/>
      <c r="Y331" s="4"/>
    </row>
    <row r="332">
      <c r="A332" s="5"/>
      <c r="B332" s="9"/>
      <c r="C332" s="5"/>
      <c r="D332" s="9"/>
      <c r="E332" s="9"/>
      <c r="F332" s="9"/>
      <c r="G332" s="9"/>
      <c r="H332" s="9"/>
      <c r="I332" s="9"/>
      <c r="J332" s="5"/>
      <c r="K332" s="4"/>
      <c r="L332" s="10"/>
      <c r="M332" s="10"/>
      <c r="N332" s="10"/>
      <c r="O332" s="10"/>
      <c r="P332" s="10"/>
      <c r="Q332" s="11"/>
      <c r="R332" s="9"/>
      <c r="S332" s="12"/>
      <c r="T332" s="5"/>
      <c r="U332" s="5"/>
      <c r="V332" s="4"/>
      <c r="W332" s="4"/>
      <c r="X332" s="4"/>
      <c r="Y332" s="4"/>
    </row>
    <row r="333">
      <c r="A333" s="5"/>
      <c r="B333" s="9"/>
      <c r="C333" s="5"/>
      <c r="D333" s="9"/>
      <c r="E333" s="9"/>
      <c r="F333" s="9"/>
      <c r="G333" s="9"/>
      <c r="H333" s="9"/>
      <c r="I333" s="9"/>
      <c r="J333" s="5"/>
      <c r="K333" s="4"/>
      <c r="L333" s="10"/>
      <c r="M333" s="10"/>
      <c r="N333" s="10"/>
      <c r="O333" s="10"/>
      <c r="P333" s="10"/>
      <c r="Q333" s="11"/>
      <c r="R333" s="9"/>
      <c r="S333" s="12"/>
      <c r="T333" s="5"/>
      <c r="U333" s="5"/>
      <c r="V333" s="4"/>
      <c r="W333" s="4"/>
      <c r="X333" s="4"/>
      <c r="Y333" s="4"/>
    </row>
    <row r="334">
      <c r="A334" s="5"/>
      <c r="B334" s="9"/>
      <c r="C334" s="5"/>
      <c r="D334" s="9"/>
      <c r="E334" s="9"/>
      <c r="F334" s="9"/>
      <c r="G334" s="9"/>
      <c r="H334" s="9"/>
      <c r="I334" s="9"/>
      <c r="J334" s="5"/>
      <c r="K334" s="4"/>
      <c r="L334" s="10"/>
      <c r="M334" s="10"/>
      <c r="N334" s="10"/>
      <c r="O334" s="10"/>
      <c r="P334" s="10"/>
      <c r="Q334" s="11"/>
      <c r="R334" s="9"/>
      <c r="S334" s="12"/>
      <c r="T334" s="5"/>
      <c r="U334" s="5"/>
      <c r="V334" s="4"/>
      <c r="W334" s="4"/>
      <c r="X334" s="4"/>
      <c r="Y334" s="4"/>
    </row>
    <row r="335">
      <c r="A335" s="5"/>
      <c r="B335" s="9"/>
      <c r="C335" s="5"/>
      <c r="D335" s="9"/>
      <c r="E335" s="9"/>
      <c r="F335" s="9"/>
      <c r="G335" s="9"/>
      <c r="H335" s="9"/>
      <c r="I335" s="9"/>
      <c r="J335" s="5"/>
      <c r="K335" s="4"/>
      <c r="L335" s="10"/>
      <c r="M335" s="10"/>
      <c r="N335" s="10"/>
      <c r="O335" s="10"/>
      <c r="P335" s="10"/>
      <c r="Q335" s="11"/>
      <c r="R335" s="9"/>
      <c r="S335" s="12"/>
      <c r="T335" s="5"/>
      <c r="U335" s="5"/>
      <c r="V335" s="4"/>
      <c r="W335" s="4"/>
      <c r="X335" s="4"/>
      <c r="Y335" s="4"/>
    </row>
    <row r="336">
      <c r="A336" s="5"/>
      <c r="B336" s="9"/>
      <c r="C336" s="5"/>
      <c r="D336" s="9"/>
      <c r="E336" s="9"/>
      <c r="F336" s="9"/>
      <c r="G336" s="9"/>
      <c r="H336" s="9"/>
      <c r="I336" s="9"/>
      <c r="J336" s="5"/>
      <c r="K336" s="4"/>
      <c r="L336" s="10"/>
      <c r="M336" s="10"/>
      <c r="N336" s="10"/>
      <c r="O336" s="10"/>
      <c r="P336" s="10"/>
      <c r="Q336" s="11"/>
      <c r="R336" s="9"/>
      <c r="S336" s="12"/>
      <c r="T336" s="5"/>
      <c r="U336" s="5"/>
      <c r="V336" s="4"/>
      <c r="W336" s="4"/>
      <c r="X336" s="4"/>
      <c r="Y336" s="4"/>
    </row>
    <row r="337">
      <c r="A337" s="5"/>
      <c r="B337" s="9"/>
      <c r="C337" s="5"/>
      <c r="D337" s="9"/>
      <c r="E337" s="9"/>
      <c r="F337" s="9"/>
      <c r="G337" s="9"/>
      <c r="H337" s="9"/>
      <c r="I337" s="9"/>
      <c r="J337" s="5"/>
      <c r="K337" s="4"/>
      <c r="L337" s="10"/>
      <c r="M337" s="10"/>
      <c r="N337" s="10"/>
      <c r="O337" s="10"/>
      <c r="P337" s="10"/>
      <c r="Q337" s="11"/>
      <c r="R337" s="9"/>
      <c r="S337" s="12"/>
      <c r="T337" s="5"/>
      <c r="U337" s="5"/>
      <c r="V337" s="4"/>
      <c r="W337" s="4"/>
      <c r="X337" s="4"/>
      <c r="Y337" s="4"/>
    </row>
    <row r="338">
      <c r="A338" s="5"/>
      <c r="B338" s="9"/>
      <c r="C338" s="5"/>
      <c r="D338" s="9"/>
      <c r="E338" s="9"/>
      <c r="F338" s="9"/>
      <c r="G338" s="9"/>
      <c r="H338" s="9"/>
      <c r="I338" s="9"/>
      <c r="J338" s="5"/>
      <c r="K338" s="4"/>
      <c r="L338" s="10"/>
      <c r="M338" s="10"/>
      <c r="N338" s="10"/>
      <c r="O338" s="10"/>
      <c r="P338" s="10"/>
      <c r="Q338" s="11"/>
      <c r="R338" s="9"/>
      <c r="S338" s="12"/>
      <c r="T338" s="5"/>
      <c r="U338" s="5"/>
      <c r="V338" s="4"/>
      <c r="W338" s="4"/>
      <c r="X338" s="4"/>
      <c r="Y338" s="4"/>
    </row>
    <row r="339">
      <c r="A339" s="5"/>
      <c r="B339" s="9"/>
      <c r="C339" s="5"/>
      <c r="D339" s="9"/>
      <c r="E339" s="9"/>
      <c r="F339" s="9"/>
      <c r="G339" s="9"/>
      <c r="H339" s="9"/>
      <c r="I339" s="9"/>
      <c r="J339" s="5"/>
      <c r="K339" s="4"/>
      <c r="L339" s="10"/>
      <c r="M339" s="10"/>
      <c r="N339" s="10"/>
      <c r="O339" s="10"/>
      <c r="P339" s="10"/>
      <c r="Q339" s="11"/>
      <c r="R339" s="9"/>
      <c r="S339" s="12"/>
      <c r="T339" s="5"/>
      <c r="U339" s="5"/>
      <c r="V339" s="4"/>
      <c r="W339" s="4"/>
      <c r="X339" s="4"/>
      <c r="Y339" s="4"/>
    </row>
    <row r="340">
      <c r="A340" s="5"/>
      <c r="B340" s="9"/>
      <c r="C340" s="5"/>
      <c r="D340" s="9"/>
      <c r="E340" s="9"/>
      <c r="F340" s="9"/>
      <c r="G340" s="9"/>
      <c r="H340" s="9"/>
      <c r="I340" s="9"/>
      <c r="J340" s="5"/>
      <c r="K340" s="4"/>
      <c r="L340" s="10"/>
      <c r="M340" s="10"/>
      <c r="N340" s="10"/>
      <c r="O340" s="10"/>
      <c r="P340" s="10"/>
      <c r="Q340" s="11"/>
      <c r="R340" s="9"/>
      <c r="S340" s="12"/>
      <c r="T340" s="5"/>
      <c r="U340" s="5"/>
      <c r="V340" s="4"/>
      <c r="W340" s="4"/>
      <c r="X340" s="4"/>
      <c r="Y340" s="4"/>
    </row>
    <row r="341">
      <c r="A341" s="5"/>
      <c r="B341" s="9"/>
      <c r="C341" s="5"/>
      <c r="D341" s="9"/>
      <c r="E341" s="9"/>
      <c r="F341" s="9"/>
      <c r="G341" s="9"/>
      <c r="H341" s="9"/>
      <c r="I341" s="9"/>
      <c r="J341" s="5"/>
      <c r="K341" s="4"/>
      <c r="L341" s="10"/>
      <c r="M341" s="10"/>
      <c r="N341" s="10"/>
      <c r="O341" s="10"/>
      <c r="P341" s="10"/>
      <c r="Q341" s="11"/>
      <c r="R341" s="9"/>
      <c r="S341" s="12"/>
      <c r="T341" s="5"/>
      <c r="U341" s="5"/>
      <c r="V341" s="4"/>
      <c r="W341" s="4"/>
      <c r="X341" s="4"/>
      <c r="Y341" s="4"/>
    </row>
    <row r="342">
      <c r="A342" s="5"/>
      <c r="B342" s="9"/>
      <c r="C342" s="5"/>
      <c r="D342" s="9"/>
      <c r="E342" s="9"/>
      <c r="F342" s="9"/>
      <c r="G342" s="9"/>
      <c r="H342" s="9"/>
      <c r="I342" s="9"/>
      <c r="J342" s="5"/>
      <c r="K342" s="4"/>
      <c r="L342" s="10"/>
      <c r="M342" s="10"/>
      <c r="N342" s="10"/>
      <c r="O342" s="10"/>
      <c r="P342" s="10"/>
      <c r="Q342" s="11"/>
      <c r="R342" s="9"/>
      <c r="S342" s="12"/>
      <c r="T342" s="5"/>
      <c r="U342" s="5"/>
      <c r="V342" s="4"/>
      <c r="W342" s="4"/>
      <c r="X342" s="4"/>
      <c r="Y342" s="4"/>
    </row>
    <row r="343">
      <c r="A343" s="5"/>
      <c r="B343" s="9"/>
      <c r="C343" s="5"/>
      <c r="D343" s="9"/>
      <c r="E343" s="9"/>
      <c r="F343" s="9"/>
      <c r="G343" s="9"/>
      <c r="H343" s="9"/>
      <c r="I343" s="9"/>
      <c r="J343" s="5"/>
      <c r="K343" s="4"/>
      <c r="L343" s="10"/>
      <c r="M343" s="10"/>
      <c r="N343" s="10"/>
      <c r="O343" s="10"/>
      <c r="P343" s="10"/>
      <c r="Q343" s="11"/>
      <c r="R343" s="9"/>
      <c r="S343" s="12"/>
      <c r="T343" s="5"/>
      <c r="U343" s="5"/>
      <c r="V343" s="4"/>
      <c r="W343" s="4"/>
      <c r="X343" s="4"/>
      <c r="Y343" s="4"/>
    </row>
    <row r="344">
      <c r="A344" s="5"/>
      <c r="B344" s="9"/>
      <c r="C344" s="5"/>
      <c r="D344" s="9"/>
      <c r="E344" s="9"/>
      <c r="F344" s="9"/>
      <c r="G344" s="9"/>
      <c r="H344" s="9"/>
      <c r="I344" s="9"/>
      <c r="J344" s="5"/>
      <c r="K344" s="4"/>
      <c r="L344" s="10"/>
      <c r="M344" s="10"/>
      <c r="N344" s="10"/>
      <c r="O344" s="10"/>
      <c r="P344" s="10"/>
      <c r="Q344" s="11"/>
      <c r="R344" s="9"/>
      <c r="S344" s="12"/>
      <c r="T344" s="5"/>
      <c r="U344" s="5"/>
      <c r="V344" s="4"/>
      <c r="W344" s="4"/>
      <c r="X344" s="4"/>
      <c r="Y344" s="4"/>
    </row>
    <row r="345">
      <c r="A345" s="5"/>
      <c r="B345" s="9"/>
      <c r="C345" s="5"/>
      <c r="D345" s="9"/>
      <c r="E345" s="9"/>
      <c r="F345" s="9"/>
      <c r="G345" s="9"/>
      <c r="H345" s="9"/>
      <c r="I345" s="9"/>
      <c r="J345" s="5"/>
      <c r="K345" s="4"/>
      <c r="L345" s="10"/>
      <c r="M345" s="10"/>
      <c r="N345" s="10"/>
      <c r="O345" s="10"/>
      <c r="P345" s="10"/>
      <c r="Q345" s="11"/>
      <c r="R345" s="9"/>
      <c r="S345" s="12"/>
      <c r="T345" s="5"/>
      <c r="U345" s="5"/>
      <c r="V345" s="4"/>
      <c r="W345" s="4"/>
      <c r="X345" s="4"/>
      <c r="Y345" s="4"/>
    </row>
    <row r="346">
      <c r="A346" s="5"/>
      <c r="B346" s="9"/>
      <c r="C346" s="5"/>
      <c r="D346" s="9"/>
      <c r="E346" s="9"/>
      <c r="F346" s="9"/>
      <c r="G346" s="9"/>
      <c r="H346" s="9"/>
      <c r="I346" s="9"/>
      <c r="J346" s="5"/>
      <c r="K346" s="4"/>
      <c r="L346" s="10"/>
      <c r="M346" s="10"/>
      <c r="N346" s="10"/>
      <c r="O346" s="10"/>
      <c r="P346" s="10"/>
      <c r="Q346" s="11"/>
      <c r="R346" s="9"/>
      <c r="S346" s="12"/>
      <c r="T346" s="5"/>
      <c r="U346" s="5"/>
      <c r="V346" s="4"/>
      <c r="W346" s="4"/>
      <c r="X346" s="4"/>
      <c r="Y346" s="4"/>
    </row>
    <row r="347">
      <c r="A347" s="5"/>
      <c r="B347" s="9"/>
      <c r="C347" s="5"/>
      <c r="D347" s="9"/>
      <c r="E347" s="9"/>
      <c r="F347" s="9"/>
      <c r="G347" s="9"/>
      <c r="H347" s="9"/>
      <c r="I347" s="9"/>
      <c r="J347" s="5"/>
      <c r="K347" s="4"/>
      <c r="L347" s="10"/>
      <c r="M347" s="10"/>
      <c r="N347" s="10"/>
      <c r="O347" s="10"/>
      <c r="P347" s="10"/>
      <c r="Q347" s="11"/>
      <c r="R347" s="9"/>
      <c r="S347" s="12"/>
      <c r="T347" s="5"/>
      <c r="U347" s="5"/>
      <c r="V347" s="4"/>
      <c r="W347" s="4"/>
      <c r="X347" s="4"/>
      <c r="Y347" s="4"/>
    </row>
    <row r="348">
      <c r="A348" s="5"/>
      <c r="B348" s="9"/>
      <c r="C348" s="5"/>
      <c r="D348" s="9"/>
      <c r="E348" s="9"/>
      <c r="F348" s="9"/>
      <c r="G348" s="9"/>
      <c r="H348" s="9"/>
      <c r="I348" s="9"/>
      <c r="J348" s="5"/>
      <c r="K348" s="4"/>
      <c r="L348" s="10"/>
      <c r="M348" s="10"/>
      <c r="N348" s="10"/>
      <c r="O348" s="10"/>
      <c r="P348" s="10"/>
      <c r="Q348" s="11"/>
      <c r="R348" s="9"/>
      <c r="S348" s="12"/>
      <c r="T348" s="5"/>
      <c r="U348" s="5"/>
      <c r="V348" s="4"/>
      <c r="W348" s="4"/>
      <c r="X348" s="4"/>
      <c r="Y348" s="4"/>
    </row>
    <row r="349">
      <c r="A349" s="5"/>
      <c r="B349" s="9"/>
      <c r="C349" s="5"/>
      <c r="D349" s="9"/>
      <c r="E349" s="9"/>
      <c r="F349" s="9"/>
      <c r="G349" s="9"/>
      <c r="H349" s="9"/>
      <c r="I349" s="9"/>
      <c r="J349" s="5"/>
      <c r="K349" s="4"/>
      <c r="L349" s="10"/>
      <c r="M349" s="10"/>
      <c r="N349" s="10"/>
      <c r="O349" s="10"/>
      <c r="P349" s="10"/>
      <c r="Q349" s="11"/>
      <c r="R349" s="9"/>
      <c r="S349" s="12"/>
      <c r="T349" s="5"/>
      <c r="U349" s="5"/>
      <c r="V349" s="4"/>
      <c r="W349" s="4"/>
      <c r="X349" s="4"/>
      <c r="Y349" s="4"/>
    </row>
    <row r="350">
      <c r="A350" s="5"/>
      <c r="B350" s="9"/>
      <c r="C350" s="5"/>
      <c r="D350" s="9"/>
      <c r="E350" s="9"/>
      <c r="F350" s="9"/>
      <c r="G350" s="9"/>
      <c r="H350" s="9"/>
      <c r="I350" s="9"/>
      <c r="J350" s="5"/>
      <c r="K350" s="4"/>
      <c r="L350" s="10"/>
      <c r="M350" s="10"/>
      <c r="N350" s="10"/>
      <c r="O350" s="10"/>
      <c r="P350" s="10"/>
      <c r="Q350" s="11"/>
      <c r="R350" s="9"/>
      <c r="S350" s="12"/>
      <c r="T350" s="5"/>
      <c r="U350" s="5"/>
      <c r="V350" s="4"/>
      <c r="W350" s="4"/>
      <c r="X350" s="4"/>
      <c r="Y350" s="4"/>
    </row>
    <row r="351">
      <c r="A351" s="5"/>
      <c r="B351" s="9"/>
      <c r="C351" s="5"/>
      <c r="D351" s="9"/>
      <c r="E351" s="9"/>
      <c r="F351" s="9"/>
      <c r="G351" s="9"/>
      <c r="H351" s="9"/>
      <c r="I351" s="9"/>
      <c r="J351" s="5"/>
      <c r="K351" s="4"/>
      <c r="L351" s="10"/>
      <c r="M351" s="10"/>
      <c r="N351" s="10"/>
      <c r="O351" s="10"/>
      <c r="P351" s="10"/>
      <c r="Q351" s="11"/>
      <c r="R351" s="9"/>
      <c r="S351" s="12"/>
      <c r="T351" s="5"/>
      <c r="U351" s="5"/>
      <c r="V351" s="4"/>
      <c r="W351" s="4"/>
      <c r="X351" s="4"/>
      <c r="Y351" s="4"/>
    </row>
    <row r="352">
      <c r="A352" s="5"/>
      <c r="B352" s="9"/>
      <c r="C352" s="5"/>
      <c r="D352" s="9"/>
      <c r="E352" s="9"/>
      <c r="F352" s="9"/>
      <c r="G352" s="9"/>
      <c r="H352" s="9"/>
      <c r="I352" s="9"/>
      <c r="J352" s="5"/>
      <c r="K352" s="4"/>
      <c r="L352" s="10"/>
      <c r="M352" s="10"/>
      <c r="N352" s="10"/>
      <c r="O352" s="10"/>
      <c r="P352" s="10"/>
      <c r="Q352" s="11"/>
      <c r="R352" s="9"/>
      <c r="S352" s="12"/>
      <c r="T352" s="5"/>
      <c r="U352" s="5"/>
      <c r="V352" s="4"/>
      <c r="W352" s="4"/>
      <c r="X352" s="4"/>
      <c r="Y352" s="4"/>
    </row>
    <row r="353">
      <c r="A353" s="5"/>
      <c r="B353" s="9"/>
      <c r="C353" s="5"/>
      <c r="D353" s="9"/>
      <c r="E353" s="9"/>
      <c r="F353" s="9"/>
      <c r="G353" s="9"/>
      <c r="H353" s="9"/>
      <c r="I353" s="9"/>
      <c r="J353" s="5"/>
      <c r="K353" s="4"/>
      <c r="L353" s="10"/>
      <c r="M353" s="10"/>
      <c r="N353" s="10"/>
      <c r="O353" s="10"/>
      <c r="P353" s="10"/>
      <c r="Q353" s="11"/>
      <c r="R353" s="9"/>
      <c r="S353" s="12"/>
      <c r="T353" s="5"/>
      <c r="U353" s="5"/>
      <c r="V353" s="4"/>
      <c r="W353" s="4"/>
      <c r="X353" s="4"/>
      <c r="Y353" s="4"/>
    </row>
    <row r="354">
      <c r="A354" s="5"/>
      <c r="B354" s="9"/>
      <c r="C354" s="5"/>
      <c r="D354" s="9"/>
      <c r="E354" s="9"/>
      <c r="F354" s="9"/>
      <c r="G354" s="9"/>
      <c r="H354" s="9"/>
      <c r="I354" s="9"/>
      <c r="J354" s="5"/>
      <c r="K354" s="4"/>
      <c r="L354" s="10"/>
      <c r="M354" s="10"/>
      <c r="N354" s="10"/>
      <c r="O354" s="10"/>
      <c r="P354" s="10"/>
      <c r="Q354" s="11"/>
      <c r="R354" s="9"/>
      <c r="S354" s="12"/>
      <c r="T354" s="5"/>
      <c r="U354" s="5"/>
      <c r="V354" s="4"/>
      <c r="W354" s="4"/>
      <c r="X354" s="4"/>
      <c r="Y354" s="4"/>
    </row>
    <row r="355">
      <c r="A355" s="5"/>
      <c r="B355" s="9"/>
      <c r="C355" s="5"/>
      <c r="D355" s="9"/>
      <c r="E355" s="9"/>
      <c r="F355" s="9"/>
      <c r="G355" s="9"/>
      <c r="H355" s="9"/>
      <c r="I355" s="9"/>
      <c r="J355" s="5"/>
      <c r="K355" s="4"/>
      <c r="L355" s="10"/>
      <c r="M355" s="10"/>
      <c r="N355" s="10"/>
      <c r="O355" s="10"/>
      <c r="P355" s="10"/>
      <c r="Q355" s="11"/>
      <c r="R355" s="9"/>
      <c r="S355" s="12"/>
      <c r="T355" s="5"/>
      <c r="U355" s="5"/>
      <c r="V355" s="4"/>
      <c r="W355" s="4"/>
      <c r="X355" s="4"/>
      <c r="Y355" s="4"/>
    </row>
    <row r="356">
      <c r="A356" s="5"/>
      <c r="B356" s="9"/>
      <c r="C356" s="5"/>
      <c r="D356" s="9"/>
      <c r="E356" s="9"/>
      <c r="F356" s="9"/>
      <c r="G356" s="9"/>
      <c r="H356" s="9"/>
      <c r="I356" s="9"/>
      <c r="J356" s="5"/>
      <c r="K356" s="4"/>
      <c r="L356" s="10"/>
      <c r="M356" s="10"/>
      <c r="N356" s="10"/>
      <c r="O356" s="10"/>
      <c r="P356" s="10"/>
      <c r="Q356" s="11"/>
      <c r="R356" s="9"/>
      <c r="S356" s="12"/>
      <c r="T356" s="5"/>
      <c r="U356" s="5"/>
      <c r="V356" s="4"/>
      <c r="W356" s="4"/>
      <c r="X356" s="4"/>
      <c r="Y356" s="4"/>
    </row>
    <row r="357">
      <c r="A357" s="5"/>
      <c r="B357" s="9"/>
      <c r="C357" s="5"/>
      <c r="D357" s="9"/>
      <c r="E357" s="9"/>
      <c r="F357" s="9"/>
      <c r="G357" s="9"/>
      <c r="H357" s="9"/>
      <c r="I357" s="9"/>
      <c r="J357" s="5"/>
      <c r="K357" s="4"/>
      <c r="L357" s="10"/>
      <c r="M357" s="10"/>
      <c r="N357" s="10"/>
      <c r="O357" s="10"/>
      <c r="P357" s="10"/>
      <c r="Q357" s="11"/>
      <c r="R357" s="9"/>
      <c r="S357" s="12"/>
      <c r="T357" s="5"/>
      <c r="U357" s="5"/>
      <c r="V357" s="4"/>
      <c r="W357" s="4"/>
      <c r="X357" s="4"/>
      <c r="Y357" s="4"/>
    </row>
    <row r="358">
      <c r="A358" s="5"/>
      <c r="B358" s="9"/>
      <c r="C358" s="5"/>
      <c r="D358" s="9"/>
      <c r="E358" s="9"/>
      <c r="F358" s="9"/>
      <c r="G358" s="9"/>
      <c r="H358" s="9"/>
      <c r="I358" s="9"/>
      <c r="J358" s="5"/>
      <c r="K358" s="4"/>
      <c r="L358" s="10"/>
      <c r="M358" s="10"/>
      <c r="N358" s="10"/>
      <c r="O358" s="10"/>
      <c r="P358" s="10"/>
      <c r="Q358" s="11"/>
      <c r="R358" s="9"/>
      <c r="S358" s="12"/>
      <c r="T358" s="5"/>
      <c r="U358" s="5"/>
      <c r="V358" s="4"/>
      <c r="W358" s="4"/>
      <c r="X358" s="4"/>
      <c r="Y358" s="4"/>
    </row>
    <row r="359">
      <c r="A359" s="5"/>
      <c r="B359" s="9"/>
      <c r="C359" s="5"/>
      <c r="D359" s="9"/>
      <c r="E359" s="9"/>
      <c r="F359" s="9"/>
      <c r="G359" s="9"/>
      <c r="H359" s="9"/>
      <c r="I359" s="9"/>
      <c r="J359" s="5"/>
      <c r="K359" s="4"/>
      <c r="L359" s="10"/>
      <c r="M359" s="10"/>
      <c r="N359" s="10"/>
      <c r="O359" s="10"/>
      <c r="P359" s="10"/>
      <c r="Q359" s="11"/>
      <c r="R359" s="9"/>
      <c r="S359" s="12"/>
      <c r="T359" s="5"/>
      <c r="U359" s="5"/>
      <c r="V359" s="4"/>
      <c r="W359" s="4"/>
      <c r="X359" s="4"/>
      <c r="Y359" s="4"/>
    </row>
    <row r="360">
      <c r="A360" s="5"/>
      <c r="B360" s="9"/>
      <c r="C360" s="5"/>
      <c r="D360" s="9"/>
      <c r="E360" s="9"/>
      <c r="F360" s="9"/>
      <c r="G360" s="9"/>
      <c r="H360" s="9"/>
      <c r="I360" s="9"/>
      <c r="J360" s="5"/>
      <c r="K360" s="4"/>
      <c r="L360" s="10"/>
      <c r="M360" s="10"/>
      <c r="N360" s="10"/>
      <c r="O360" s="10"/>
      <c r="P360" s="10"/>
      <c r="Q360" s="11"/>
      <c r="R360" s="9"/>
      <c r="S360" s="12"/>
      <c r="T360" s="5"/>
      <c r="U360" s="5"/>
      <c r="V360" s="4"/>
      <c r="W360" s="4"/>
      <c r="X360" s="4"/>
      <c r="Y360" s="4"/>
    </row>
    <row r="361">
      <c r="A361" s="5"/>
      <c r="B361" s="9"/>
      <c r="C361" s="5"/>
      <c r="D361" s="9"/>
      <c r="E361" s="9"/>
      <c r="F361" s="9"/>
      <c r="G361" s="9"/>
      <c r="H361" s="9"/>
      <c r="I361" s="9"/>
      <c r="J361" s="5"/>
      <c r="K361" s="4"/>
      <c r="L361" s="10"/>
      <c r="M361" s="10"/>
      <c r="N361" s="10"/>
      <c r="O361" s="10"/>
      <c r="P361" s="10"/>
      <c r="Q361" s="11"/>
      <c r="R361" s="9"/>
      <c r="S361" s="12"/>
      <c r="T361" s="5"/>
      <c r="U361" s="5"/>
      <c r="V361" s="4"/>
      <c r="W361" s="4"/>
      <c r="X361" s="4"/>
      <c r="Y361" s="4"/>
    </row>
    <row r="362">
      <c r="A362" s="5"/>
      <c r="B362" s="9"/>
      <c r="C362" s="5"/>
      <c r="D362" s="9"/>
      <c r="E362" s="9"/>
      <c r="F362" s="9"/>
      <c r="G362" s="9"/>
      <c r="H362" s="9"/>
      <c r="I362" s="9"/>
      <c r="J362" s="5"/>
      <c r="K362" s="4"/>
      <c r="L362" s="10"/>
      <c r="M362" s="10"/>
      <c r="N362" s="10"/>
      <c r="O362" s="10"/>
      <c r="P362" s="10"/>
      <c r="Q362" s="11"/>
      <c r="R362" s="9"/>
      <c r="S362" s="12"/>
      <c r="T362" s="5"/>
      <c r="U362" s="5"/>
      <c r="V362" s="4"/>
      <c r="W362" s="4"/>
      <c r="X362" s="4"/>
      <c r="Y362" s="4"/>
    </row>
    <row r="363">
      <c r="A363" s="5"/>
      <c r="B363" s="9"/>
      <c r="C363" s="5"/>
      <c r="D363" s="9"/>
      <c r="E363" s="9"/>
      <c r="F363" s="9"/>
      <c r="G363" s="9"/>
      <c r="H363" s="9"/>
      <c r="I363" s="9"/>
      <c r="J363" s="5"/>
      <c r="K363" s="4"/>
      <c r="L363" s="10"/>
      <c r="M363" s="10"/>
      <c r="N363" s="10"/>
      <c r="O363" s="10"/>
      <c r="P363" s="10"/>
      <c r="Q363" s="11"/>
      <c r="R363" s="9"/>
      <c r="S363" s="12"/>
      <c r="T363" s="5"/>
      <c r="U363" s="5"/>
      <c r="V363" s="4"/>
      <c r="W363" s="4"/>
      <c r="X363" s="4"/>
      <c r="Y363" s="4"/>
    </row>
    <row r="364">
      <c r="A364" s="5"/>
      <c r="B364" s="9"/>
      <c r="C364" s="5"/>
      <c r="D364" s="9"/>
      <c r="E364" s="9"/>
      <c r="F364" s="9"/>
      <c r="G364" s="9"/>
      <c r="H364" s="9"/>
      <c r="I364" s="9"/>
      <c r="J364" s="5"/>
      <c r="K364" s="4"/>
      <c r="L364" s="10"/>
      <c r="M364" s="10"/>
      <c r="N364" s="10"/>
      <c r="O364" s="10"/>
      <c r="P364" s="10"/>
      <c r="Q364" s="11"/>
      <c r="R364" s="9"/>
      <c r="S364" s="12"/>
      <c r="T364" s="5"/>
      <c r="U364" s="5"/>
      <c r="V364" s="4"/>
      <c r="W364" s="4"/>
      <c r="X364" s="4"/>
      <c r="Y364" s="4"/>
    </row>
    <row r="365">
      <c r="A365" s="5"/>
      <c r="B365" s="9"/>
      <c r="C365" s="5"/>
      <c r="D365" s="9"/>
      <c r="E365" s="9"/>
      <c r="F365" s="9"/>
      <c r="G365" s="9"/>
      <c r="H365" s="9"/>
      <c r="I365" s="9"/>
      <c r="J365" s="5"/>
      <c r="K365" s="4"/>
      <c r="L365" s="10"/>
      <c r="M365" s="10"/>
      <c r="N365" s="10"/>
      <c r="O365" s="10"/>
      <c r="P365" s="10"/>
      <c r="Q365" s="11"/>
      <c r="R365" s="9"/>
      <c r="S365" s="12"/>
      <c r="T365" s="5"/>
      <c r="U365" s="5"/>
      <c r="V365" s="4"/>
      <c r="W365" s="4"/>
      <c r="X365" s="4"/>
      <c r="Y365" s="4"/>
    </row>
    <row r="366">
      <c r="A366" s="5"/>
      <c r="B366" s="9"/>
      <c r="C366" s="5"/>
      <c r="D366" s="9"/>
      <c r="E366" s="9"/>
      <c r="F366" s="9"/>
      <c r="G366" s="9"/>
      <c r="H366" s="9"/>
      <c r="I366" s="9"/>
      <c r="J366" s="5"/>
      <c r="K366" s="4"/>
      <c r="L366" s="10"/>
      <c r="M366" s="10"/>
      <c r="N366" s="10"/>
      <c r="O366" s="10"/>
      <c r="P366" s="10"/>
      <c r="Q366" s="11"/>
      <c r="R366" s="9"/>
      <c r="S366" s="12"/>
      <c r="T366" s="5"/>
      <c r="U366" s="5"/>
      <c r="V366" s="4"/>
      <c r="W366" s="4"/>
      <c r="X366" s="4"/>
      <c r="Y366" s="4"/>
    </row>
    <row r="367">
      <c r="A367" s="5"/>
      <c r="B367" s="9"/>
      <c r="C367" s="5"/>
      <c r="D367" s="9"/>
      <c r="E367" s="9"/>
      <c r="F367" s="9"/>
      <c r="G367" s="9"/>
      <c r="H367" s="9"/>
      <c r="I367" s="9"/>
      <c r="J367" s="5"/>
      <c r="K367" s="4"/>
      <c r="L367" s="10"/>
      <c r="M367" s="10"/>
      <c r="N367" s="10"/>
      <c r="O367" s="10"/>
      <c r="P367" s="10"/>
      <c r="Q367" s="11"/>
      <c r="R367" s="9"/>
      <c r="S367" s="12"/>
      <c r="T367" s="5"/>
      <c r="U367" s="5"/>
      <c r="V367" s="4"/>
      <c r="W367" s="4"/>
      <c r="X367" s="4"/>
      <c r="Y367" s="4"/>
    </row>
    <row r="368">
      <c r="A368" s="5"/>
      <c r="B368" s="9"/>
      <c r="C368" s="5"/>
      <c r="D368" s="9"/>
      <c r="E368" s="9"/>
      <c r="F368" s="9"/>
      <c r="G368" s="9"/>
      <c r="H368" s="9"/>
      <c r="I368" s="9"/>
      <c r="J368" s="5"/>
      <c r="K368" s="4"/>
      <c r="L368" s="10"/>
      <c r="M368" s="10"/>
      <c r="N368" s="10"/>
      <c r="O368" s="10"/>
      <c r="P368" s="10"/>
      <c r="Q368" s="11"/>
      <c r="R368" s="9"/>
      <c r="S368" s="12"/>
      <c r="T368" s="5"/>
      <c r="U368" s="5"/>
      <c r="V368" s="4"/>
      <c r="W368" s="4"/>
      <c r="X368" s="4"/>
      <c r="Y368" s="4"/>
    </row>
    <row r="369">
      <c r="A369" s="5"/>
      <c r="B369" s="9"/>
      <c r="C369" s="5"/>
      <c r="D369" s="9"/>
      <c r="E369" s="9"/>
      <c r="F369" s="9"/>
      <c r="G369" s="9"/>
      <c r="H369" s="9"/>
      <c r="I369" s="9"/>
      <c r="J369" s="5"/>
      <c r="K369" s="4"/>
      <c r="L369" s="10"/>
      <c r="M369" s="10"/>
      <c r="N369" s="10"/>
      <c r="O369" s="10"/>
      <c r="P369" s="10"/>
      <c r="Q369" s="11"/>
      <c r="R369" s="9"/>
      <c r="S369" s="12"/>
      <c r="T369" s="5"/>
      <c r="U369" s="5"/>
      <c r="V369" s="4"/>
      <c r="W369" s="4"/>
      <c r="X369" s="4"/>
      <c r="Y369" s="4"/>
    </row>
    <row r="370">
      <c r="A370" s="5"/>
      <c r="B370" s="9"/>
      <c r="C370" s="5"/>
      <c r="D370" s="9"/>
      <c r="E370" s="9"/>
      <c r="F370" s="9"/>
      <c r="G370" s="9"/>
      <c r="H370" s="9"/>
      <c r="I370" s="9"/>
      <c r="J370" s="5"/>
      <c r="K370" s="4"/>
      <c r="L370" s="10"/>
      <c r="M370" s="10"/>
      <c r="N370" s="10"/>
      <c r="O370" s="10"/>
      <c r="P370" s="10"/>
      <c r="Q370" s="11"/>
      <c r="R370" s="9"/>
      <c r="S370" s="12"/>
      <c r="T370" s="5"/>
      <c r="U370" s="5"/>
      <c r="V370" s="4"/>
      <c r="W370" s="4"/>
      <c r="X370" s="4"/>
      <c r="Y370" s="4"/>
    </row>
    <row r="371">
      <c r="A371" s="5"/>
      <c r="B371" s="9"/>
      <c r="C371" s="5"/>
      <c r="D371" s="9"/>
      <c r="E371" s="9"/>
      <c r="F371" s="9"/>
      <c r="G371" s="9"/>
      <c r="H371" s="9"/>
      <c r="I371" s="9"/>
      <c r="J371" s="5"/>
      <c r="K371" s="4"/>
      <c r="L371" s="10"/>
      <c r="M371" s="10"/>
      <c r="N371" s="10"/>
      <c r="O371" s="10"/>
      <c r="P371" s="10"/>
      <c r="Q371" s="11"/>
      <c r="R371" s="9"/>
      <c r="S371" s="12"/>
      <c r="T371" s="5"/>
      <c r="U371" s="5"/>
      <c r="V371" s="4"/>
      <c r="W371" s="4"/>
      <c r="X371" s="4"/>
      <c r="Y371" s="4"/>
    </row>
    <row r="372">
      <c r="A372" s="5"/>
      <c r="B372" s="9"/>
      <c r="C372" s="5"/>
      <c r="D372" s="9"/>
      <c r="E372" s="9"/>
      <c r="F372" s="9"/>
      <c r="G372" s="9"/>
      <c r="H372" s="9"/>
      <c r="I372" s="9"/>
      <c r="J372" s="5"/>
      <c r="K372" s="4"/>
      <c r="L372" s="10"/>
      <c r="M372" s="10"/>
      <c r="N372" s="10"/>
      <c r="O372" s="10"/>
      <c r="P372" s="10"/>
      <c r="Q372" s="11"/>
      <c r="R372" s="9"/>
      <c r="S372" s="12"/>
      <c r="T372" s="5"/>
      <c r="U372" s="5"/>
      <c r="V372" s="4"/>
      <c r="W372" s="4"/>
      <c r="X372" s="4"/>
      <c r="Y372" s="4"/>
    </row>
    <row r="373">
      <c r="A373" s="5"/>
      <c r="B373" s="9"/>
      <c r="C373" s="5"/>
      <c r="D373" s="9"/>
      <c r="E373" s="9"/>
      <c r="F373" s="9"/>
      <c r="G373" s="9"/>
      <c r="H373" s="9"/>
      <c r="I373" s="9"/>
      <c r="J373" s="5"/>
      <c r="K373" s="4"/>
      <c r="L373" s="10"/>
      <c r="M373" s="10"/>
      <c r="N373" s="10"/>
      <c r="O373" s="10"/>
      <c r="P373" s="10"/>
      <c r="Q373" s="11"/>
      <c r="R373" s="9"/>
      <c r="S373" s="12"/>
      <c r="T373" s="5"/>
      <c r="U373" s="5"/>
      <c r="V373" s="4"/>
      <c r="W373" s="4"/>
      <c r="X373" s="4"/>
      <c r="Y373" s="4"/>
    </row>
    <row r="374">
      <c r="A374" s="5"/>
      <c r="B374" s="9"/>
      <c r="C374" s="5"/>
      <c r="D374" s="9"/>
      <c r="E374" s="9"/>
      <c r="F374" s="9"/>
      <c r="G374" s="9"/>
      <c r="H374" s="9"/>
      <c r="I374" s="9"/>
      <c r="J374" s="5"/>
      <c r="K374" s="4"/>
      <c r="L374" s="10"/>
      <c r="M374" s="10"/>
      <c r="N374" s="10"/>
      <c r="O374" s="10"/>
      <c r="P374" s="10"/>
      <c r="Q374" s="11"/>
      <c r="R374" s="9"/>
      <c r="S374" s="12"/>
      <c r="T374" s="5"/>
      <c r="U374" s="5"/>
      <c r="V374" s="4"/>
      <c r="W374" s="4"/>
      <c r="X374" s="4"/>
      <c r="Y374" s="4"/>
    </row>
    <row r="375">
      <c r="A375" s="5"/>
      <c r="B375" s="9"/>
      <c r="C375" s="5"/>
      <c r="D375" s="9"/>
      <c r="E375" s="9"/>
      <c r="F375" s="9"/>
      <c r="G375" s="9"/>
      <c r="H375" s="9"/>
      <c r="I375" s="9"/>
      <c r="J375" s="5"/>
      <c r="K375" s="4"/>
      <c r="L375" s="10"/>
      <c r="M375" s="10"/>
      <c r="N375" s="10"/>
      <c r="O375" s="10"/>
      <c r="P375" s="10"/>
      <c r="Q375" s="11"/>
      <c r="R375" s="9"/>
      <c r="S375" s="12"/>
      <c r="T375" s="5"/>
      <c r="U375" s="5"/>
      <c r="V375" s="4"/>
      <c r="W375" s="4"/>
      <c r="X375" s="4"/>
      <c r="Y375" s="4"/>
    </row>
    <row r="376">
      <c r="A376" s="5"/>
      <c r="B376" s="9"/>
      <c r="C376" s="5"/>
      <c r="D376" s="9"/>
      <c r="E376" s="9"/>
      <c r="F376" s="9"/>
      <c r="G376" s="9"/>
      <c r="H376" s="9"/>
      <c r="I376" s="9"/>
      <c r="J376" s="5"/>
      <c r="K376" s="4"/>
      <c r="L376" s="10"/>
      <c r="M376" s="10"/>
      <c r="N376" s="10"/>
      <c r="O376" s="10"/>
      <c r="P376" s="10"/>
      <c r="Q376" s="11"/>
      <c r="R376" s="9"/>
      <c r="S376" s="12"/>
      <c r="T376" s="5"/>
      <c r="U376" s="5"/>
      <c r="V376" s="4"/>
      <c r="W376" s="4"/>
      <c r="X376" s="4"/>
      <c r="Y376" s="4"/>
    </row>
    <row r="377">
      <c r="A377" s="5"/>
      <c r="B377" s="9"/>
      <c r="C377" s="5"/>
      <c r="D377" s="9"/>
      <c r="E377" s="9"/>
      <c r="F377" s="9"/>
      <c r="G377" s="9"/>
      <c r="H377" s="9"/>
      <c r="I377" s="9"/>
      <c r="J377" s="5"/>
      <c r="K377" s="4"/>
      <c r="L377" s="10"/>
      <c r="M377" s="10"/>
      <c r="N377" s="10"/>
      <c r="O377" s="10"/>
      <c r="P377" s="10"/>
      <c r="Q377" s="11"/>
      <c r="R377" s="9"/>
      <c r="S377" s="12"/>
      <c r="T377" s="5"/>
      <c r="U377" s="5"/>
      <c r="V377" s="4"/>
      <c r="W377" s="4"/>
      <c r="X377" s="4"/>
      <c r="Y377" s="4"/>
    </row>
    <row r="378">
      <c r="A378" s="5"/>
      <c r="B378" s="9"/>
      <c r="C378" s="5"/>
      <c r="D378" s="9"/>
      <c r="E378" s="9"/>
      <c r="F378" s="9"/>
      <c r="G378" s="9"/>
      <c r="H378" s="9"/>
      <c r="I378" s="9"/>
      <c r="J378" s="5"/>
      <c r="K378" s="4"/>
      <c r="L378" s="10"/>
      <c r="M378" s="10"/>
      <c r="N378" s="10"/>
      <c r="O378" s="10"/>
      <c r="P378" s="10"/>
      <c r="Q378" s="11"/>
      <c r="R378" s="9"/>
      <c r="S378" s="12"/>
      <c r="T378" s="5"/>
      <c r="U378" s="5"/>
      <c r="V378" s="4"/>
      <c r="W378" s="4"/>
      <c r="X378" s="4"/>
      <c r="Y378" s="4"/>
    </row>
    <row r="379">
      <c r="A379" s="5"/>
      <c r="B379" s="9"/>
      <c r="C379" s="5"/>
      <c r="D379" s="9"/>
      <c r="E379" s="9"/>
      <c r="F379" s="9"/>
      <c r="G379" s="9"/>
      <c r="H379" s="9"/>
      <c r="I379" s="9"/>
      <c r="J379" s="5"/>
      <c r="K379" s="4"/>
      <c r="L379" s="10"/>
      <c r="M379" s="10"/>
      <c r="N379" s="10"/>
      <c r="O379" s="10"/>
      <c r="P379" s="10"/>
      <c r="Q379" s="11"/>
      <c r="R379" s="9"/>
      <c r="S379" s="12"/>
      <c r="T379" s="5"/>
      <c r="U379" s="5"/>
      <c r="V379" s="4"/>
      <c r="W379" s="4"/>
      <c r="X379" s="4"/>
      <c r="Y379" s="4"/>
    </row>
    <row r="380">
      <c r="A380" s="5"/>
      <c r="B380" s="9"/>
      <c r="C380" s="5"/>
      <c r="D380" s="9"/>
      <c r="E380" s="9"/>
      <c r="F380" s="9"/>
      <c r="G380" s="9"/>
      <c r="H380" s="9"/>
      <c r="I380" s="9"/>
      <c r="J380" s="5"/>
      <c r="K380" s="4"/>
      <c r="L380" s="10"/>
      <c r="M380" s="10"/>
      <c r="N380" s="10"/>
      <c r="O380" s="10"/>
      <c r="P380" s="10"/>
      <c r="Q380" s="11"/>
      <c r="R380" s="9"/>
      <c r="S380" s="12"/>
      <c r="T380" s="5"/>
      <c r="U380" s="5"/>
      <c r="V380" s="4"/>
      <c r="W380" s="4"/>
      <c r="X380" s="4"/>
      <c r="Y380" s="4"/>
    </row>
    <row r="381">
      <c r="A381" s="5"/>
      <c r="B381" s="9"/>
      <c r="C381" s="5"/>
      <c r="D381" s="9"/>
      <c r="E381" s="9"/>
      <c r="F381" s="9"/>
      <c r="G381" s="9"/>
      <c r="H381" s="9"/>
      <c r="I381" s="9"/>
      <c r="J381" s="5"/>
      <c r="K381" s="4"/>
      <c r="L381" s="10"/>
      <c r="M381" s="10"/>
      <c r="N381" s="10"/>
      <c r="O381" s="10"/>
      <c r="P381" s="10"/>
      <c r="Q381" s="11"/>
      <c r="R381" s="9"/>
      <c r="S381" s="12"/>
      <c r="T381" s="5"/>
      <c r="U381" s="5"/>
      <c r="V381" s="4"/>
      <c r="W381" s="4"/>
      <c r="X381" s="4"/>
      <c r="Y381" s="4"/>
    </row>
    <row r="382">
      <c r="A382" s="5"/>
      <c r="B382" s="9"/>
      <c r="C382" s="5"/>
      <c r="D382" s="9"/>
      <c r="E382" s="9"/>
      <c r="F382" s="9"/>
      <c r="G382" s="9"/>
      <c r="H382" s="9"/>
      <c r="I382" s="9"/>
      <c r="J382" s="5"/>
      <c r="K382" s="4"/>
      <c r="L382" s="10"/>
      <c r="M382" s="10"/>
      <c r="N382" s="10"/>
      <c r="O382" s="10"/>
      <c r="P382" s="10"/>
      <c r="Q382" s="11"/>
      <c r="R382" s="9"/>
      <c r="S382" s="12"/>
      <c r="T382" s="5"/>
      <c r="U382" s="5"/>
      <c r="V382" s="4"/>
      <c r="W382" s="4"/>
      <c r="X382" s="4"/>
      <c r="Y382" s="4"/>
    </row>
    <row r="383">
      <c r="A383" s="5"/>
      <c r="B383" s="9"/>
      <c r="C383" s="5"/>
      <c r="D383" s="9"/>
      <c r="E383" s="9"/>
      <c r="F383" s="9"/>
      <c r="G383" s="9"/>
      <c r="H383" s="9"/>
      <c r="I383" s="9"/>
      <c r="J383" s="5"/>
      <c r="K383" s="4"/>
      <c r="L383" s="10"/>
      <c r="M383" s="10"/>
      <c r="N383" s="10"/>
      <c r="O383" s="10"/>
      <c r="P383" s="10"/>
      <c r="Q383" s="11"/>
      <c r="R383" s="9"/>
      <c r="S383" s="12"/>
      <c r="T383" s="5"/>
      <c r="U383" s="5"/>
      <c r="V383" s="4"/>
      <c r="W383" s="4"/>
      <c r="X383" s="4"/>
      <c r="Y383" s="4"/>
    </row>
    <row r="384">
      <c r="A384" s="5"/>
      <c r="B384" s="9"/>
      <c r="C384" s="5"/>
      <c r="D384" s="9"/>
      <c r="E384" s="9"/>
      <c r="F384" s="9"/>
      <c r="G384" s="9"/>
      <c r="H384" s="9"/>
      <c r="I384" s="9"/>
      <c r="J384" s="5"/>
      <c r="K384" s="4"/>
      <c r="L384" s="10"/>
      <c r="M384" s="10"/>
      <c r="N384" s="10"/>
      <c r="O384" s="10"/>
      <c r="P384" s="10"/>
      <c r="Q384" s="11"/>
      <c r="R384" s="9"/>
      <c r="S384" s="12"/>
      <c r="T384" s="5"/>
      <c r="U384" s="5"/>
      <c r="V384" s="4"/>
      <c r="W384" s="4"/>
      <c r="X384" s="4"/>
      <c r="Y384" s="4"/>
    </row>
    <row r="385">
      <c r="A385" s="5"/>
      <c r="B385" s="9"/>
      <c r="C385" s="5"/>
      <c r="D385" s="9"/>
      <c r="E385" s="9"/>
      <c r="F385" s="9"/>
      <c r="G385" s="9"/>
      <c r="H385" s="9"/>
      <c r="I385" s="9"/>
      <c r="J385" s="5"/>
      <c r="K385" s="4"/>
      <c r="L385" s="10"/>
      <c r="M385" s="10"/>
      <c r="N385" s="10"/>
      <c r="O385" s="10"/>
      <c r="P385" s="10"/>
      <c r="Q385" s="11"/>
      <c r="R385" s="9"/>
      <c r="S385" s="12"/>
      <c r="T385" s="5"/>
      <c r="U385" s="5"/>
      <c r="V385" s="4"/>
      <c r="W385" s="4"/>
      <c r="X385" s="4"/>
      <c r="Y385" s="4"/>
    </row>
    <row r="386">
      <c r="A386" s="5"/>
      <c r="B386" s="9"/>
      <c r="C386" s="5"/>
      <c r="D386" s="9"/>
      <c r="E386" s="9"/>
      <c r="F386" s="9"/>
      <c r="G386" s="9"/>
      <c r="H386" s="9"/>
      <c r="I386" s="9"/>
      <c r="J386" s="5"/>
      <c r="K386" s="4"/>
      <c r="L386" s="10"/>
      <c r="M386" s="10"/>
      <c r="N386" s="10"/>
      <c r="O386" s="10"/>
      <c r="P386" s="10"/>
      <c r="Q386" s="11"/>
      <c r="R386" s="9"/>
      <c r="S386" s="12"/>
      <c r="T386" s="5"/>
      <c r="U386" s="5"/>
      <c r="V386" s="4"/>
      <c r="W386" s="4"/>
      <c r="X386" s="4"/>
      <c r="Y386" s="4"/>
    </row>
    <row r="387">
      <c r="A387" s="5"/>
      <c r="B387" s="9"/>
      <c r="C387" s="5"/>
      <c r="D387" s="9"/>
      <c r="E387" s="9"/>
      <c r="F387" s="9"/>
      <c r="G387" s="9"/>
      <c r="H387" s="9"/>
      <c r="I387" s="9"/>
      <c r="J387" s="5"/>
      <c r="K387" s="4"/>
      <c r="L387" s="10"/>
      <c r="M387" s="10"/>
      <c r="N387" s="10"/>
      <c r="O387" s="10"/>
      <c r="P387" s="10"/>
      <c r="Q387" s="11"/>
      <c r="R387" s="9"/>
      <c r="S387" s="12"/>
      <c r="T387" s="5"/>
      <c r="U387" s="5"/>
      <c r="V387" s="4"/>
      <c r="W387" s="4"/>
      <c r="X387" s="4"/>
      <c r="Y387" s="4"/>
    </row>
    <row r="388">
      <c r="A388" s="5"/>
      <c r="B388" s="9"/>
      <c r="C388" s="5"/>
      <c r="D388" s="9"/>
      <c r="E388" s="9"/>
      <c r="F388" s="9"/>
      <c r="G388" s="9"/>
      <c r="H388" s="9"/>
      <c r="I388" s="9"/>
      <c r="J388" s="5"/>
      <c r="K388" s="4"/>
      <c r="L388" s="10"/>
      <c r="M388" s="10"/>
      <c r="N388" s="10"/>
      <c r="O388" s="10"/>
      <c r="P388" s="10"/>
      <c r="Q388" s="11"/>
      <c r="R388" s="9"/>
      <c r="S388" s="12"/>
      <c r="T388" s="5"/>
      <c r="U388" s="5"/>
      <c r="V388" s="4"/>
      <c r="W388" s="4"/>
      <c r="X388" s="4"/>
      <c r="Y388" s="4"/>
    </row>
    <row r="389">
      <c r="A389" s="5"/>
      <c r="B389" s="9"/>
      <c r="C389" s="5"/>
      <c r="D389" s="9"/>
      <c r="E389" s="9"/>
      <c r="F389" s="9"/>
      <c r="G389" s="9"/>
      <c r="H389" s="9"/>
      <c r="I389" s="9"/>
      <c r="J389" s="5"/>
      <c r="K389" s="4"/>
      <c r="L389" s="10"/>
      <c r="M389" s="10"/>
      <c r="N389" s="10"/>
      <c r="O389" s="10"/>
      <c r="P389" s="10"/>
      <c r="Q389" s="11"/>
      <c r="R389" s="9"/>
      <c r="S389" s="12"/>
      <c r="T389" s="5"/>
      <c r="U389" s="5"/>
      <c r="V389" s="4"/>
      <c r="W389" s="4"/>
      <c r="X389" s="4"/>
      <c r="Y389" s="4"/>
    </row>
    <row r="390">
      <c r="A390" s="5"/>
      <c r="B390" s="9"/>
      <c r="C390" s="5"/>
      <c r="D390" s="9"/>
      <c r="E390" s="9"/>
      <c r="F390" s="9"/>
      <c r="G390" s="9"/>
      <c r="H390" s="9"/>
      <c r="I390" s="9"/>
      <c r="J390" s="5"/>
      <c r="K390" s="4"/>
      <c r="L390" s="10"/>
      <c r="M390" s="10"/>
      <c r="N390" s="10"/>
      <c r="O390" s="10"/>
      <c r="P390" s="10"/>
      <c r="Q390" s="11"/>
      <c r="R390" s="9"/>
      <c r="S390" s="12"/>
      <c r="T390" s="5"/>
      <c r="U390" s="5"/>
      <c r="V390" s="4"/>
      <c r="W390" s="4"/>
      <c r="X390" s="4"/>
      <c r="Y390" s="4"/>
    </row>
    <row r="391">
      <c r="A391" s="5"/>
      <c r="B391" s="9"/>
      <c r="C391" s="5"/>
      <c r="D391" s="9"/>
      <c r="E391" s="9"/>
      <c r="F391" s="9"/>
      <c r="G391" s="9"/>
      <c r="H391" s="9"/>
      <c r="I391" s="9"/>
      <c r="J391" s="5"/>
      <c r="K391" s="4"/>
      <c r="L391" s="10"/>
      <c r="M391" s="10"/>
      <c r="N391" s="10"/>
      <c r="O391" s="10"/>
      <c r="P391" s="10"/>
      <c r="Q391" s="11"/>
      <c r="R391" s="9"/>
      <c r="S391" s="12"/>
      <c r="T391" s="5"/>
      <c r="U391" s="5"/>
      <c r="V391" s="4"/>
      <c r="W391" s="4"/>
      <c r="X391" s="4"/>
      <c r="Y391" s="4"/>
    </row>
    <row r="392">
      <c r="A392" s="5"/>
      <c r="B392" s="9"/>
      <c r="C392" s="5"/>
      <c r="D392" s="9"/>
      <c r="E392" s="9"/>
      <c r="F392" s="9"/>
      <c r="G392" s="9"/>
      <c r="H392" s="9"/>
      <c r="I392" s="9"/>
      <c r="J392" s="5"/>
      <c r="K392" s="4"/>
      <c r="L392" s="10"/>
      <c r="M392" s="10"/>
      <c r="N392" s="10"/>
      <c r="O392" s="10"/>
      <c r="P392" s="10"/>
      <c r="Q392" s="11"/>
      <c r="R392" s="9"/>
      <c r="S392" s="12"/>
      <c r="T392" s="5"/>
      <c r="U392" s="5"/>
      <c r="V392" s="4"/>
      <c r="W392" s="4"/>
      <c r="X392" s="4"/>
      <c r="Y392" s="4"/>
    </row>
    <row r="393">
      <c r="A393" s="5"/>
      <c r="B393" s="9"/>
      <c r="C393" s="5"/>
      <c r="D393" s="9"/>
      <c r="E393" s="9"/>
      <c r="F393" s="9"/>
      <c r="G393" s="9"/>
      <c r="H393" s="9"/>
      <c r="I393" s="9"/>
      <c r="J393" s="5"/>
      <c r="K393" s="4"/>
      <c r="L393" s="10"/>
      <c r="M393" s="10"/>
      <c r="N393" s="10"/>
      <c r="O393" s="10"/>
      <c r="P393" s="10"/>
      <c r="Q393" s="11"/>
      <c r="R393" s="9"/>
      <c r="S393" s="12"/>
      <c r="T393" s="5"/>
      <c r="U393" s="5"/>
      <c r="V393" s="4"/>
      <c r="W393" s="4"/>
      <c r="X393" s="4"/>
      <c r="Y393" s="4"/>
    </row>
    <row r="394">
      <c r="A394" s="5"/>
      <c r="B394" s="9"/>
      <c r="C394" s="5"/>
      <c r="D394" s="9"/>
      <c r="E394" s="9"/>
      <c r="F394" s="9"/>
      <c r="G394" s="9"/>
      <c r="H394" s="9"/>
      <c r="I394" s="9"/>
      <c r="J394" s="5"/>
      <c r="K394" s="4"/>
      <c r="L394" s="10"/>
      <c r="M394" s="10"/>
      <c r="N394" s="10"/>
      <c r="O394" s="10"/>
      <c r="P394" s="10"/>
      <c r="Q394" s="11"/>
      <c r="R394" s="9"/>
      <c r="S394" s="12"/>
      <c r="T394" s="5"/>
      <c r="U394" s="5"/>
      <c r="V394" s="4"/>
      <c r="W394" s="4"/>
      <c r="X394" s="4"/>
      <c r="Y394" s="4"/>
    </row>
    <row r="395">
      <c r="A395" s="5"/>
      <c r="B395" s="9"/>
      <c r="C395" s="5"/>
      <c r="D395" s="9"/>
      <c r="E395" s="9"/>
      <c r="F395" s="9"/>
      <c r="G395" s="9"/>
      <c r="H395" s="9"/>
      <c r="I395" s="9"/>
      <c r="J395" s="5"/>
      <c r="K395" s="4"/>
      <c r="L395" s="10"/>
      <c r="M395" s="10"/>
      <c r="N395" s="10"/>
      <c r="O395" s="10"/>
      <c r="P395" s="10"/>
      <c r="Q395" s="11"/>
      <c r="R395" s="9"/>
      <c r="S395" s="12"/>
      <c r="T395" s="5"/>
      <c r="U395" s="5"/>
      <c r="V395" s="4"/>
      <c r="W395" s="4"/>
      <c r="X395" s="4"/>
      <c r="Y395" s="4"/>
    </row>
    <row r="396">
      <c r="A396" s="5"/>
      <c r="B396" s="9"/>
      <c r="C396" s="5"/>
      <c r="D396" s="9"/>
      <c r="E396" s="9"/>
      <c r="F396" s="9"/>
      <c r="G396" s="9"/>
      <c r="H396" s="9"/>
      <c r="I396" s="9"/>
      <c r="J396" s="5"/>
      <c r="K396" s="4"/>
      <c r="L396" s="10"/>
      <c r="M396" s="10"/>
      <c r="N396" s="10"/>
      <c r="O396" s="10"/>
      <c r="P396" s="10"/>
      <c r="Q396" s="11"/>
      <c r="R396" s="9"/>
      <c r="S396" s="12"/>
      <c r="T396" s="5"/>
      <c r="U396" s="5"/>
      <c r="V396" s="4"/>
      <c r="W396" s="4"/>
      <c r="X396" s="4"/>
      <c r="Y396" s="4"/>
    </row>
    <row r="397">
      <c r="A397" s="5"/>
      <c r="B397" s="9"/>
      <c r="C397" s="5"/>
      <c r="D397" s="9"/>
      <c r="E397" s="9"/>
      <c r="F397" s="9"/>
      <c r="G397" s="9"/>
      <c r="H397" s="9"/>
      <c r="I397" s="9"/>
      <c r="J397" s="5"/>
      <c r="K397" s="4"/>
      <c r="L397" s="10"/>
      <c r="M397" s="10"/>
      <c r="N397" s="10"/>
      <c r="O397" s="10"/>
      <c r="P397" s="10"/>
      <c r="Q397" s="11"/>
      <c r="R397" s="9"/>
      <c r="S397" s="12"/>
      <c r="T397" s="5"/>
      <c r="U397" s="5"/>
      <c r="V397" s="4"/>
      <c r="W397" s="4"/>
      <c r="X397" s="4"/>
      <c r="Y397" s="4"/>
    </row>
    <row r="398">
      <c r="A398" s="5"/>
      <c r="B398" s="9"/>
      <c r="C398" s="5"/>
      <c r="D398" s="9"/>
      <c r="E398" s="9"/>
      <c r="F398" s="9"/>
      <c r="G398" s="9"/>
      <c r="H398" s="9"/>
      <c r="I398" s="9"/>
      <c r="J398" s="5"/>
      <c r="K398" s="4"/>
      <c r="L398" s="10"/>
      <c r="M398" s="10"/>
      <c r="N398" s="10"/>
      <c r="O398" s="10"/>
      <c r="P398" s="10"/>
      <c r="Q398" s="11"/>
      <c r="R398" s="9"/>
      <c r="S398" s="12"/>
      <c r="T398" s="5"/>
      <c r="U398" s="5"/>
      <c r="V398" s="4"/>
      <c r="W398" s="4"/>
      <c r="X398" s="4"/>
      <c r="Y398" s="4"/>
    </row>
    <row r="399">
      <c r="A399" s="5"/>
      <c r="B399" s="9"/>
      <c r="C399" s="5"/>
      <c r="D399" s="9"/>
      <c r="E399" s="9"/>
      <c r="F399" s="9"/>
      <c r="G399" s="9"/>
      <c r="H399" s="9"/>
      <c r="I399" s="9"/>
      <c r="J399" s="5"/>
      <c r="K399" s="4"/>
      <c r="L399" s="10"/>
      <c r="M399" s="10"/>
      <c r="N399" s="10"/>
      <c r="O399" s="10"/>
      <c r="P399" s="10"/>
      <c r="Q399" s="11"/>
      <c r="R399" s="9"/>
      <c r="S399" s="12"/>
      <c r="T399" s="5"/>
      <c r="U399" s="5"/>
      <c r="V399" s="4"/>
      <c r="W399" s="4"/>
      <c r="X399" s="4"/>
      <c r="Y399" s="4"/>
    </row>
    <row r="400">
      <c r="A400" s="5"/>
      <c r="B400" s="9"/>
      <c r="C400" s="5"/>
      <c r="D400" s="9"/>
      <c r="E400" s="9"/>
      <c r="F400" s="9"/>
      <c r="G400" s="9"/>
      <c r="H400" s="9"/>
      <c r="I400" s="9"/>
      <c r="J400" s="5"/>
      <c r="K400" s="4"/>
      <c r="L400" s="10"/>
      <c r="M400" s="10"/>
      <c r="N400" s="10"/>
      <c r="O400" s="10"/>
      <c r="P400" s="10"/>
      <c r="Q400" s="11"/>
      <c r="R400" s="9"/>
      <c r="S400" s="12"/>
      <c r="T400" s="5"/>
      <c r="U400" s="5"/>
      <c r="V400" s="4"/>
      <c r="W400" s="4"/>
      <c r="X400" s="4"/>
      <c r="Y400" s="4"/>
    </row>
    <row r="401">
      <c r="A401" s="5"/>
      <c r="B401" s="9"/>
      <c r="C401" s="5"/>
      <c r="D401" s="9"/>
      <c r="E401" s="9"/>
      <c r="F401" s="9"/>
      <c r="G401" s="9"/>
      <c r="H401" s="9"/>
      <c r="I401" s="9"/>
      <c r="J401" s="5"/>
      <c r="K401" s="4"/>
      <c r="L401" s="10"/>
      <c r="M401" s="10"/>
      <c r="N401" s="10"/>
      <c r="O401" s="10"/>
      <c r="P401" s="10"/>
      <c r="Q401" s="11"/>
      <c r="R401" s="9"/>
      <c r="S401" s="12"/>
      <c r="T401" s="5"/>
      <c r="U401" s="5"/>
      <c r="V401" s="4"/>
      <c r="W401" s="4"/>
      <c r="X401" s="4"/>
      <c r="Y401" s="4"/>
    </row>
    <row r="402">
      <c r="A402" s="5"/>
      <c r="B402" s="9"/>
      <c r="C402" s="5"/>
      <c r="D402" s="9"/>
      <c r="E402" s="9"/>
      <c r="F402" s="9"/>
      <c r="G402" s="9"/>
      <c r="H402" s="9"/>
      <c r="I402" s="9"/>
      <c r="J402" s="5"/>
      <c r="K402" s="4"/>
      <c r="L402" s="10"/>
      <c r="M402" s="10"/>
      <c r="N402" s="10"/>
      <c r="O402" s="10"/>
      <c r="P402" s="10"/>
      <c r="Q402" s="11"/>
      <c r="R402" s="9"/>
      <c r="S402" s="12"/>
      <c r="T402" s="5"/>
      <c r="U402" s="5"/>
      <c r="V402" s="4"/>
      <c r="W402" s="4"/>
      <c r="X402" s="4"/>
      <c r="Y402" s="4"/>
    </row>
    <row r="403">
      <c r="A403" s="5"/>
      <c r="B403" s="9"/>
      <c r="C403" s="5"/>
      <c r="D403" s="9"/>
      <c r="E403" s="9"/>
      <c r="F403" s="9"/>
      <c r="G403" s="9"/>
      <c r="H403" s="9"/>
      <c r="I403" s="9"/>
      <c r="J403" s="5"/>
      <c r="K403" s="4"/>
      <c r="L403" s="10"/>
      <c r="M403" s="10"/>
      <c r="N403" s="10"/>
      <c r="O403" s="10"/>
      <c r="P403" s="10"/>
      <c r="Q403" s="11"/>
      <c r="R403" s="9"/>
      <c r="S403" s="12"/>
      <c r="T403" s="5"/>
      <c r="U403" s="5"/>
      <c r="V403" s="4"/>
      <c r="W403" s="4"/>
      <c r="X403" s="4"/>
      <c r="Y403" s="4"/>
    </row>
    <row r="404">
      <c r="A404" s="5"/>
      <c r="B404" s="9"/>
      <c r="C404" s="5"/>
      <c r="D404" s="9"/>
      <c r="E404" s="9"/>
      <c r="F404" s="9"/>
      <c r="G404" s="9"/>
      <c r="H404" s="9"/>
      <c r="I404" s="9"/>
      <c r="J404" s="5"/>
      <c r="K404" s="4"/>
      <c r="L404" s="10"/>
      <c r="M404" s="10"/>
      <c r="N404" s="10"/>
      <c r="O404" s="10"/>
      <c r="P404" s="10"/>
      <c r="Q404" s="11"/>
      <c r="R404" s="9"/>
      <c r="S404" s="12"/>
      <c r="T404" s="5"/>
      <c r="U404" s="5"/>
      <c r="V404" s="4"/>
      <c r="W404" s="4"/>
      <c r="X404" s="4"/>
      <c r="Y404" s="4"/>
    </row>
    <row r="405">
      <c r="A405" s="5"/>
      <c r="B405" s="9"/>
      <c r="C405" s="5"/>
      <c r="D405" s="9"/>
      <c r="E405" s="9"/>
      <c r="F405" s="9"/>
      <c r="G405" s="9"/>
      <c r="H405" s="9"/>
      <c r="I405" s="9"/>
      <c r="J405" s="5"/>
      <c r="K405" s="4"/>
      <c r="L405" s="10"/>
      <c r="M405" s="10"/>
      <c r="N405" s="10"/>
      <c r="O405" s="10"/>
      <c r="P405" s="10"/>
      <c r="Q405" s="11"/>
      <c r="R405" s="9"/>
      <c r="S405" s="12"/>
      <c r="T405" s="5"/>
      <c r="U405" s="5"/>
      <c r="V405" s="4"/>
      <c r="W405" s="4"/>
      <c r="X405" s="4"/>
      <c r="Y405" s="4"/>
    </row>
    <row r="406">
      <c r="A406" s="5"/>
      <c r="B406" s="9"/>
      <c r="C406" s="5"/>
      <c r="D406" s="9"/>
      <c r="E406" s="9"/>
      <c r="F406" s="9"/>
      <c r="G406" s="9"/>
      <c r="H406" s="9"/>
      <c r="I406" s="9"/>
      <c r="J406" s="5"/>
      <c r="K406" s="4"/>
      <c r="L406" s="10"/>
      <c r="M406" s="10"/>
      <c r="N406" s="10"/>
      <c r="O406" s="10"/>
      <c r="P406" s="10"/>
      <c r="Q406" s="11"/>
      <c r="R406" s="9"/>
      <c r="S406" s="12"/>
      <c r="T406" s="5"/>
      <c r="U406" s="5"/>
      <c r="V406" s="4"/>
      <c r="W406" s="4"/>
      <c r="X406" s="4"/>
      <c r="Y406" s="4"/>
    </row>
    <row r="407">
      <c r="A407" s="5"/>
      <c r="B407" s="9"/>
      <c r="C407" s="5"/>
      <c r="D407" s="9"/>
      <c r="E407" s="9"/>
      <c r="F407" s="9"/>
      <c r="G407" s="9"/>
      <c r="H407" s="9"/>
      <c r="I407" s="9"/>
      <c r="J407" s="5"/>
      <c r="K407" s="4"/>
      <c r="L407" s="10"/>
      <c r="M407" s="10"/>
      <c r="N407" s="10"/>
      <c r="O407" s="10"/>
      <c r="P407" s="10"/>
      <c r="Q407" s="11"/>
      <c r="R407" s="9"/>
      <c r="S407" s="12"/>
      <c r="T407" s="5"/>
      <c r="U407" s="5"/>
      <c r="V407" s="4"/>
      <c r="W407" s="4"/>
      <c r="X407" s="4"/>
      <c r="Y407" s="4"/>
    </row>
    <row r="408">
      <c r="A408" s="5"/>
      <c r="B408" s="9"/>
      <c r="C408" s="5"/>
      <c r="D408" s="9"/>
      <c r="E408" s="9"/>
      <c r="F408" s="9"/>
      <c r="G408" s="9"/>
      <c r="H408" s="9"/>
      <c r="I408" s="9"/>
      <c r="J408" s="5"/>
      <c r="K408" s="4"/>
      <c r="L408" s="10"/>
      <c r="M408" s="10"/>
      <c r="N408" s="10"/>
      <c r="O408" s="10"/>
      <c r="P408" s="10"/>
      <c r="Q408" s="11"/>
      <c r="R408" s="9"/>
      <c r="S408" s="12"/>
      <c r="T408" s="5"/>
      <c r="U408" s="5"/>
      <c r="V408" s="4"/>
      <c r="W408" s="4"/>
      <c r="X408" s="4"/>
      <c r="Y408" s="4"/>
    </row>
    <row r="409">
      <c r="A409" s="5"/>
      <c r="B409" s="9"/>
      <c r="C409" s="5"/>
      <c r="D409" s="9"/>
      <c r="E409" s="9"/>
      <c r="F409" s="9"/>
      <c r="G409" s="9"/>
      <c r="H409" s="9"/>
      <c r="I409" s="9"/>
      <c r="J409" s="5"/>
      <c r="K409" s="4"/>
      <c r="L409" s="10"/>
      <c r="M409" s="10"/>
      <c r="N409" s="10"/>
      <c r="O409" s="10"/>
      <c r="P409" s="10"/>
      <c r="Q409" s="11"/>
      <c r="R409" s="9"/>
      <c r="S409" s="12"/>
      <c r="T409" s="5"/>
      <c r="U409" s="5"/>
      <c r="V409" s="4"/>
      <c r="W409" s="4"/>
      <c r="X409" s="4"/>
      <c r="Y409" s="4"/>
    </row>
    <row r="410">
      <c r="A410" s="5"/>
      <c r="B410" s="9"/>
      <c r="C410" s="5"/>
      <c r="D410" s="9"/>
      <c r="E410" s="9"/>
      <c r="F410" s="9"/>
      <c r="G410" s="9"/>
      <c r="H410" s="9"/>
      <c r="I410" s="9"/>
      <c r="J410" s="5"/>
      <c r="K410" s="4"/>
      <c r="L410" s="10"/>
      <c r="M410" s="10"/>
      <c r="N410" s="10"/>
      <c r="O410" s="10"/>
      <c r="P410" s="10"/>
      <c r="Q410" s="11"/>
      <c r="R410" s="9"/>
      <c r="S410" s="12"/>
      <c r="T410" s="5"/>
      <c r="U410" s="5"/>
      <c r="V410" s="4"/>
      <c r="W410" s="4"/>
      <c r="X410" s="4"/>
      <c r="Y410" s="4"/>
    </row>
    <row r="411">
      <c r="A411" s="5"/>
      <c r="B411" s="9"/>
      <c r="C411" s="5"/>
      <c r="D411" s="9"/>
      <c r="E411" s="9"/>
      <c r="F411" s="9"/>
      <c r="G411" s="9"/>
      <c r="H411" s="9"/>
      <c r="I411" s="9"/>
      <c r="J411" s="5"/>
      <c r="K411" s="4"/>
      <c r="L411" s="10"/>
      <c r="M411" s="10"/>
      <c r="N411" s="10"/>
      <c r="O411" s="10"/>
      <c r="P411" s="10"/>
      <c r="Q411" s="11"/>
      <c r="R411" s="9"/>
      <c r="S411" s="12"/>
      <c r="T411" s="5"/>
      <c r="U411" s="5"/>
      <c r="V411" s="4"/>
      <c r="W411" s="4"/>
      <c r="X411" s="4"/>
      <c r="Y411" s="4"/>
    </row>
    <row r="412">
      <c r="A412" s="5"/>
      <c r="B412" s="9"/>
      <c r="C412" s="5"/>
      <c r="D412" s="9"/>
      <c r="E412" s="9"/>
      <c r="F412" s="9"/>
      <c r="G412" s="9"/>
      <c r="H412" s="9"/>
      <c r="I412" s="9"/>
      <c r="J412" s="5"/>
      <c r="K412" s="4"/>
      <c r="L412" s="10"/>
      <c r="M412" s="10"/>
      <c r="N412" s="10"/>
      <c r="O412" s="10"/>
      <c r="P412" s="10"/>
      <c r="Q412" s="11"/>
      <c r="R412" s="9"/>
      <c r="S412" s="12"/>
      <c r="T412" s="5"/>
      <c r="U412" s="5"/>
      <c r="V412" s="4"/>
      <c r="W412" s="4"/>
      <c r="X412" s="4"/>
      <c r="Y412" s="4"/>
    </row>
    <row r="413">
      <c r="A413" s="5"/>
      <c r="B413" s="9"/>
      <c r="C413" s="5"/>
      <c r="D413" s="9"/>
      <c r="E413" s="9"/>
      <c r="F413" s="9"/>
      <c r="G413" s="9"/>
      <c r="H413" s="9"/>
      <c r="I413" s="9"/>
      <c r="J413" s="5"/>
      <c r="K413" s="4"/>
      <c r="L413" s="10"/>
      <c r="M413" s="10"/>
      <c r="N413" s="10"/>
      <c r="O413" s="10"/>
      <c r="P413" s="10"/>
      <c r="Q413" s="11"/>
      <c r="R413" s="9"/>
      <c r="S413" s="12"/>
      <c r="T413" s="5"/>
      <c r="U413" s="5"/>
      <c r="V413" s="4"/>
      <c r="W413" s="4"/>
      <c r="X413" s="4"/>
      <c r="Y413" s="4"/>
    </row>
    <row r="414">
      <c r="A414" s="5"/>
      <c r="B414" s="9"/>
      <c r="C414" s="5"/>
      <c r="D414" s="9"/>
      <c r="E414" s="9"/>
      <c r="F414" s="9"/>
      <c r="G414" s="9"/>
      <c r="H414" s="9"/>
      <c r="I414" s="9"/>
      <c r="J414" s="5"/>
      <c r="K414" s="4"/>
      <c r="L414" s="10"/>
      <c r="M414" s="10"/>
      <c r="N414" s="10"/>
      <c r="O414" s="10"/>
      <c r="P414" s="10"/>
      <c r="Q414" s="11"/>
      <c r="R414" s="9"/>
      <c r="S414" s="12"/>
      <c r="T414" s="5"/>
      <c r="U414" s="5"/>
      <c r="V414" s="4"/>
      <c r="W414" s="4"/>
      <c r="X414" s="4"/>
      <c r="Y414" s="4"/>
    </row>
    <row r="415">
      <c r="A415" s="5"/>
      <c r="B415" s="9"/>
      <c r="C415" s="5"/>
      <c r="D415" s="9"/>
      <c r="E415" s="9"/>
      <c r="F415" s="9"/>
      <c r="G415" s="9"/>
      <c r="H415" s="9"/>
      <c r="I415" s="9"/>
      <c r="J415" s="5"/>
      <c r="K415" s="4"/>
      <c r="L415" s="10"/>
      <c r="M415" s="10"/>
      <c r="N415" s="10"/>
      <c r="O415" s="10"/>
      <c r="P415" s="10"/>
      <c r="Q415" s="11"/>
      <c r="R415" s="9"/>
      <c r="S415" s="12"/>
      <c r="T415" s="5"/>
      <c r="U415" s="5"/>
      <c r="V415" s="4"/>
      <c r="W415" s="4"/>
      <c r="X415" s="4"/>
      <c r="Y415" s="4"/>
    </row>
    <row r="416">
      <c r="A416" s="5"/>
      <c r="B416" s="9"/>
      <c r="C416" s="5"/>
      <c r="D416" s="9"/>
      <c r="E416" s="9"/>
      <c r="F416" s="9"/>
      <c r="G416" s="9"/>
      <c r="H416" s="9"/>
      <c r="I416" s="9"/>
      <c r="J416" s="5"/>
      <c r="K416" s="4"/>
      <c r="L416" s="10"/>
      <c r="M416" s="10"/>
      <c r="N416" s="10"/>
      <c r="O416" s="10"/>
      <c r="P416" s="10"/>
      <c r="Q416" s="11"/>
      <c r="R416" s="9"/>
      <c r="S416" s="12"/>
      <c r="T416" s="5"/>
      <c r="U416" s="5"/>
      <c r="V416" s="4"/>
      <c r="W416" s="4"/>
      <c r="X416" s="4"/>
      <c r="Y416" s="4"/>
    </row>
    <row r="417">
      <c r="A417" s="5"/>
      <c r="B417" s="9"/>
      <c r="C417" s="5"/>
      <c r="D417" s="9"/>
      <c r="E417" s="9"/>
      <c r="F417" s="9"/>
      <c r="G417" s="9"/>
      <c r="H417" s="9"/>
      <c r="I417" s="9"/>
      <c r="J417" s="5"/>
      <c r="K417" s="4"/>
      <c r="L417" s="10"/>
      <c r="M417" s="10"/>
      <c r="N417" s="10"/>
      <c r="O417" s="10"/>
      <c r="P417" s="10"/>
      <c r="Q417" s="11"/>
      <c r="R417" s="9"/>
      <c r="S417" s="12"/>
      <c r="T417" s="5"/>
      <c r="U417" s="5"/>
      <c r="V417" s="4"/>
      <c r="W417" s="4"/>
      <c r="X417" s="4"/>
      <c r="Y417" s="4"/>
    </row>
    <row r="418">
      <c r="A418" s="5"/>
      <c r="B418" s="9"/>
      <c r="C418" s="5"/>
      <c r="D418" s="9"/>
      <c r="E418" s="9"/>
      <c r="F418" s="9"/>
      <c r="G418" s="9"/>
      <c r="H418" s="9"/>
      <c r="I418" s="9"/>
      <c r="J418" s="5"/>
      <c r="K418" s="4"/>
      <c r="L418" s="10"/>
      <c r="M418" s="10"/>
      <c r="N418" s="10"/>
      <c r="O418" s="10"/>
      <c r="P418" s="10"/>
      <c r="Q418" s="11"/>
      <c r="R418" s="9"/>
      <c r="S418" s="12"/>
      <c r="T418" s="5"/>
      <c r="U418" s="5"/>
      <c r="V418" s="4"/>
      <c r="W418" s="4"/>
      <c r="X418" s="4"/>
      <c r="Y418" s="4"/>
    </row>
    <row r="419">
      <c r="A419" s="5"/>
      <c r="B419" s="9"/>
      <c r="C419" s="5"/>
      <c r="D419" s="9"/>
      <c r="E419" s="9"/>
      <c r="F419" s="9"/>
      <c r="G419" s="9"/>
      <c r="H419" s="9"/>
      <c r="I419" s="9"/>
      <c r="J419" s="5"/>
      <c r="K419" s="4"/>
      <c r="L419" s="10"/>
      <c r="M419" s="10"/>
      <c r="N419" s="10"/>
      <c r="O419" s="10"/>
      <c r="P419" s="10"/>
      <c r="Q419" s="11"/>
      <c r="R419" s="9"/>
      <c r="S419" s="12"/>
      <c r="T419" s="5"/>
      <c r="U419" s="5"/>
      <c r="V419" s="4"/>
      <c r="W419" s="4"/>
      <c r="X419" s="4"/>
      <c r="Y419" s="4"/>
    </row>
    <row r="420">
      <c r="A420" s="5"/>
      <c r="B420" s="9"/>
      <c r="C420" s="5"/>
      <c r="D420" s="9"/>
      <c r="E420" s="9"/>
      <c r="F420" s="9"/>
      <c r="G420" s="9"/>
      <c r="H420" s="9"/>
      <c r="I420" s="9"/>
      <c r="J420" s="5"/>
      <c r="K420" s="4"/>
      <c r="L420" s="10"/>
      <c r="M420" s="10"/>
      <c r="N420" s="10"/>
      <c r="O420" s="10"/>
      <c r="P420" s="10"/>
      <c r="Q420" s="11"/>
      <c r="R420" s="9"/>
      <c r="S420" s="12"/>
      <c r="T420" s="5"/>
      <c r="U420" s="5"/>
      <c r="V420" s="4"/>
      <c r="W420" s="4"/>
      <c r="X420" s="4"/>
      <c r="Y420" s="4"/>
    </row>
    <row r="421">
      <c r="A421" s="5"/>
      <c r="B421" s="9"/>
      <c r="C421" s="5"/>
      <c r="D421" s="9"/>
      <c r="E421" s="9"/>
      <c r="F421" s="9"/>
      <c r="G421" s="9"/>
      <c r="H421" s="9"/>
      <c r="I421" s="9"/>
      <c r="J421" s="5"/>
      <c r="K421" s="4"/>
      <c r="L421" s="10"/>
      <c r="M421" s="10"/>
      <c r="N421" s="10"/>
      <c r="O421" s="10"/>
      <c r="P421" s="10"/>
      <c r="Q421" s="11"/>
      <c r="R421" s="9"/>
      <c r="S421" s="12"/>
      <c r="T421" s="5"/>
      <c r="U421" s="5"/>
      <c r="V421" s="4"/>
      <c r="W421" s="4"/>
      <c r="X421" s="4"/>
      <c r="Y421" s="4"/>
    </row>
    <row r="422">
      <c r="A422" s="5"/>
      <c r="B422" s="9"/>
      <c r="C422" s="5"/>
      <c r="D422" s="9"/>
      <c r="E422" s="9"/>
      <c r="F422" s="9"/>
      <c r="G422" s="9"/>
      <c r="H422" s="9"/>
      <c r="I422" s="9"/>
      <c r="J422" s="5"/>
      <c r="K422" s="4"/>
      <c r="L422" s="10"/>
      <c r="M422" s="10"/>
      <c r="N422" s="10"/>
      <c r="O422" s="10"/>
      <c r="P422" s="10"/>
      <c r="Q422" s="11"/>
      <c r="R422" s="9"/>
      <c r="S422" s="12"/>
      <c r="T422" s="5"/>
      <c r="U422" s="5"/>
      <c r="V422" s="4"/>
      <c r="W422" s="4"/>
      <c r="X422" s="4"/>
      <c r="Y422" s="4"/>
    </row>
    <row r="423">
      <c r="A423" s="5"/>
      <c r="B423" s="9"/>
      <c r="C423" s="5"/>
      <c r="D423" s="9"/>
      <c r="E423" s="9"/>
      <c r="F423" s="9"/>
      <c r="G423" s="9"/>
      <c r="H423" s="9"/>
      <c r="I423" s="9"/>
      <c r="J423" s="5"/>
      <c r="K423" s="4"/>
      <c r="L423" s="10"/>
      <c r="M423" s="10"/>
      <c r="N423" s="10"/>
      <c r="O423" s="10"/>
      <c r="P423" s="10"/>
      <c r="Q423" s="11"/>
      <c r="R423" s="9"/>
      <c r="S423" s="12"/>
      <c r="T423" s="5"/>
      <c r="U423" s="5"/>
      <c r="V423" s="4"/>
      <c r="W423" s="4"/>
      <c r="X423" s="4"/>
      <c r="Y423" s="4"/>
    </row>
    <row r="424">
      <c r="A424" s="5"/>
      <c r="B424" s="9"/>
      <c r="C424" s="5"/>
      <c r="D424" s="9"/>
      <c r="E424" s="9"/>
      <c r="F424" s="9"/>
      <c r="G424" s="9"/>
      <c r="H424" s="9"/>
      <c r="I424" s="9"/>
      <c r="J424" s="5"/>
      <c r="K424" s="4"/>
      <c r="L424" s="10"/>
      <c r="M424" s="10"/>
      <c r="N424" s="10"/>
      <c r="O424" s="10"/>
      <c r="P424" s="10"/>
      <c r="Q424" s="11"/>
      <c r="R424" s="9"/>
      <c r="S424" s="12"/>
      <c r="T424" s="5"/>
      <c r="U424" s="5"/>
      <c r="V424" s="4"/>
      <c r="W424" s="4"/>
      <c r="X424" s="4"/>
      <c r="Y424" s="4"/>
    </row>
    <row r="425">
      <c r="A425" s="5"/>
      <c r="B425" s="9"/>
      <c r="C425" s="5"/>
      <c r="D425" s="9"/>
      <c r="E425" s="9"/>
      <c r="F425" s="9"/>
      <c r="G425" s="9"/>
      <c r="H425" s="9"/>
      <c r="I425" s="9"/>
      <c r="J425" s="5"/>
      <c r="K425" s="4"/>
      <c r="L425" s="10"/>
      <c r="M425" s="10"/>
      <c r="N425" s="10"/>
      <c r="O425" s="10"/>
      <c r="P425" s="10"/>
      <c r="Q425" s="11"/>
      <c r="R425" s="9"/>
      <c r="S425" s="12"/>
      <c r="T425" s="5"/>
      <c r="U425" s="5"/>
      <c r="V425" s="4"/>
      <c r="W425" s="4"/>
      <c r="X425" s="4"/>
      <c r="Y425" s="4"/>
    </row>
    <row r="426">
      <c r="A426" s="5"/>
      <c r="B426" s="9"/>
      <c r="C426" s="5"/>
      <c r="D426" s="9"/>
      <c r="E426" s="9"/>
      <c r="F426" s="9"/>
      <c r="G426" s="9"/>
      <c r="H426" s="9"/>
      <c r="I426" s="9"/>
      <c r="J426" s="5"/>
      <c r="K426" s="4"/>
      <c r="L426" s="10"/>
      <c r="M426" s="10"/>
      <c r="N426" s="10"/>
      <c r="O426" s="10"/>
      <c r="P426" s="10"/>
      <c r="Q426" s="11"/>
      <c r="R426" s="9"/>
      <c r="S426" s="12"/>
      <c r="T426" s="5"/>
      <c r="U426" s="5"/>
      <c r="V426" s="4"/>
      <c r="W426" s="4"/>
      <c r="X426" s="4"/>
      <c r="Y426" s="4"/>
    </row>
    <row r="427">
      <c r="A427" s="5"/>
      <c r="B427" s="9"/>
      <c r="C427" s="5"/>
      <c r="D427" s="9"/>
      <c r="E427" s="9"/>
      <c r="F427" s="9"/>
      <c r="G427" s="9"/>
      <c r="H427" s="9"/>
      <c r="I427" s="9"/>
      <c r="J427" s="5"/>
      <c r="K427" s="4"/>
      <c r="L427" s="10"/>
      <c r="M427" s="10"/>
      <c r="N427" s="10"/>
      <c r="O427" s="10"/>
      <c r="P427" s="10"/>
      <c r="Q427" s="11"/>
      <c r="R427" s="9"/>
      <c r="S427" s="12"/>
      <c r="T427" s="5"/>
      <c r="U427" s="5"/>
      <c r="V427" s="4"/>
      <c r="W427" s="4"/>
      <c r="X427" s="4"/>
      <c r="Y427" s="4"/>
    </row>
    <row r="428">
      <c r="A428" s="5"/>
      <c r="B428" s="9"/>
      <c r="C428" s="5"/>
      <c r="D428" s="9"/>
      <c r="E428" s="9"/>
      <c r="F428" s="9"/>
      <c r="G428" s="9"/>
      <c r="H428" s="9"/>
      <c r="I428" s="9"/>
      <c r="J428" s="5"/>
      <c r="K428" s="4"/>
      <c r="L428" s="10"/>
      <c r="M428" s="10"/>
      <c r="N428" s="10"/>
      <c r="O428" s="10"/>
      <c r="P428" s="10"/>
      <c r="Q428" s="11"/>
      <c r="R428" s="9"/>
      <c r="S428" s="12"/>
      <c r="T428" s="5"/>
      <c r="U428" s="5"/>
      <c r="V428" s="4"/>
      <c r="W428" s="4"/>
      <c r="X428" s="4"/>
      <c r="Y428" s="4"/>
    </row>
    <row r="429">
      <c r="A429" s="5"/>
      <c r="B429" s="9"/>
      <c r="C429" s="5"/>
      <c r="D429" s="9"/>
      <c r="E429" s="9"/>
      <c r="F429" s="9"/>
      <c r="G429" s="9"/>
      <c r="H429" s="9"/>
      <c r="I429" s="9"/>
      <c r="J429" s="5"/>
      <c r="K429" s="4"/>
      <c r="L429" s="10"/>
      <c r="M429" s="10"/>
      <c r="N429" s="10"/>
      <c r="O429" s="10"/>
      <c r="P429" s="10"/>
      <c r="Q429" s="11"/>
      <c r="R429" s="9"/>
      <c r="S429" s="12"/>
      <c r="T429" s="5"/>
      <c r="U429" s="5"/>
      <c r="V429" s="4"/>
      <c r="W429" s="4"/>
      <c r="X429" s="4"/>
      <c r="Y429" s="4"/>
    </row>
    <row r="430">
      <c r="A430" s="5"/>
      <c r="B430" s="9"/>
      <c r="C430" s="5"/>
      <c r="D430" s="9"/>
      <c r="E430" s="9"/>
      <c r="F430" s="9"/>
      <c r="G430" s="9"/>
      <c r="H430" s="9"/>
      <c r="I430" s="9"/>
      <c r="J430" s="5"/>
      <c r="K430" s="4"/>
      <c r="L430" s="10"/>
      <c r="M430" s="10"/>
      <c r="N430" s="10"/>
      <c r="O430" s="10"/>
      <c r="P430" s="10"/>
      <c r="Q430" s="11"/>
      <c r="R430" s="9"/>
      <c r="S430" s="12"/>
      <c r="T430" s="5"/>
      <c r="U430" s="5"/>
      <c r="V430" s="4"/>
      <c r="W430" s="4"/>
      <c r="X430" s="4"/>
      <c r="Y430" s="4"/>
    </row>
    <row r="431">
      <c r="A431" s="5"/>
      <c r="B431" s="9"/>
      <c r="C431" s="5"/>
      <c r="D431" s="9"/>
      <c r="E431" s="9"/>
      <c r="F431" s="9"/>
      <c r="G431" s="9"/>
      <c r="H431" s="9"/>
      <c r="I431" s="9"/>
      <c r="J431" s="5"/>
      <c r="K431" s="4"/>
      <c r="L431" s="10"/>
      <c r="M431" s="10"/>
      <c r="N431" s="10"/>
      <c r="O431" s="10"/>
      <c r="P431" s="10"/>
      <c r="Q431" s="11"/>
      <c r="R431" s="9"/>
      <c r="S431" s="12"/>
      <c r="T431" s="5"/>
      <c r="U431" s="5"/>
      <c r="V431" s="4"/>
      <c r="W431" s="4"/>
      <c r="X431" s="4"/>
      <c r="Y431" s="4"/>
    </row>
    <row r="432">
      <c r="A432" s="5"/>
      <c r="B432" s="9"/>
      <c r="C432" s="5"/>
      <c r="D432" s="9"/>
      <c r="E432" s="9"/>
      <c r="F432" s="9"/>
      <c r="G432" s="9"/>
      <c r="H432" s="9"/>
      <c r="I432" s="9"/>
      <c r="J432" s="5"/>
      <c r="K432" s="4"/>
      <c r="L432" s="10"/>
      <c r="M432" s="10"/>
      <c r="N432" s="10"/>
      <c r="O432" s="10"/>
      <c r="P432" s="10"/>
      <c r="Q432" s="11"/>
      <c r="R432" s="9"/>
      <c r="S432" s="12"/>
      <c r="T432" s="5"/>
      <c r="U432" s="5"/>
      <c r="V432" s="4"/>
      <c r="W432" s="4"/>
      <c r="X432" s="4"/>
      <c r="Y432" s="4"/>
    </row>
    <row r="433">
      <c r="A433" s="5"/>
      <c r="B433" s="9"/>
      <c r="C433" s="5"/>
      <c r="D433" s="9"/>
      <c r="E433" s="9"/>
      <c r="F433" s="9"/>
      <c r="G433" s="9"/>
      <c r="H433" s="9"/>
      <c r="I433" s="9"/>
      <c r="J433" s="5"/>
      <c r="K433" s="4"/>
      <c r="L433" s="10"/>
      <c r="M433" s="10"/>
      <c r="N433" s="10"/>
      <c r="O433" s="10"/>
      <c r="P433" s="10"/>
      <c r="Q433" s="11"/>
      <c r="R433" s="9"/>
      <c r="S433" s="12"/>
      <c r="T433" s="5"/>
      <c r="U433" s="5"/>
      <c r="V433" s="4"/>
      <c r="W433" s="4"/>
      <c r="X433" s="4"/>
      <c r="Y433" s="4"/>
    </row>
    <row r="434">
      <c r="A434" s="5"/>
      <c r="B434" s="9"/>
      <c r="C434" s="5"/>
      <c r="D434" s="9"/>
      <c r="E434" s="9"/>
      <c r="F434" s="9"/>
      <c r="G434" s="9"/>
      <c r="H434" s="9"/>
      <c r="I434" s="9"/>
      <c r="J434" s="5"/>
      <c r="K434" s="4"/>
      <c r="L434" s="10"/>
      <c r="M434" s="10"/>
      <c r="N434" s="10"/>
      <c r="O434" s="10"/>
      <c r="P434" s="10"/>
      <c r="Q434" s="11"/>
      <c r="R434" s="9"/>
      <c r="S434" s="12"/>
      <c r="T434" s="5"/>
      <c r="U434" s="5"/>
      <c r="V434" s="4"/>
      <c r="W434" s="4"/>
      <c r="X434" s="4"/>
      <c r="Y434" s="4"/>
    </row>
    <row r="435">
      <c r="A435" s="5"/>
      <c r="B435" s="9"/>
      <c r="C435" s="5"/>
      <c r="D435" s="9"/>
      <c r="E435" s="9"/>
      <c r="F435" s="9"/>
      <c r="G435" s="9"/>
      <c r="H435" s="9"/>
      <c r="I435" s="9"/>
      <c r="J435" s="5"/>
      <c r="K435" s="4"/>
      <c r="L435" s="10"/>
      <c r="M435" s="10"/>
      <c r="N435" s="10"/>
      <c r="O435" s="10"/>
      <c r="P435" s="10"/>
      <c r="Q435" s="11"/>
      <c r="R435" s="9"/>
      <c r="S435" s="12"/>
      <c r="T435" s="5"/>
      <c r="U435" s="5"/>
      <c r="V435" s="4"/>
      <c r="W435" s="4"/>
      <c r="X435" s="4"/>
      <c r="Y435" s="4"/>
    </row>
    <row r="436">
      <c r="A436" s="5"/>
      <c r="B436" s="9"/>
      <c r="C436" s="5"/>
      <c r="D436" s="9"/>
      <c r="E436" s="9"/>
      <c r="F436" s="9"/>
      <c r="G436" s="9"/>
      <c r="H436" s="9"/>
      <c r="I436" s="9"/>
      <c r="J436" s="5"/>
      <c r="K436" s="4"/>
      <c r="L436" s="10"/>
      <c r="M436" s="10"/>
      <c r="N436" s="10"/>
      <c r="O436" s="10"/>
      <c r="P436" s="10"/>
      <c r="Q436" s="11"/>
      <c r="R436" s="9"/>
      <c r="S436" s="12"/>
      <c r="T436" s="5"/>
      <c r="U436" s="5"/>
      <c r="V436" s="4"/>
      <c r="W436" s="4"/>
      <c r="X436" s="4"/>
      <c r="Y436" s="4"/>
    </row>
    <row r="437">
      <c r="A437" s="5"/>
      <c r="B437" s="9"/>
      <c r="C437" s="5"/>
      <c r="D437" s="9"/>
      <c r="E437" s="9"/>
      <c r="F437" s="9"/>
      <c r="G437" s="9"/>
      <c r="H437" s="9"/>
      <c r="I437" s="9"/>
      <c r="J437" s="5"/>
      <c r="K437" s="4"/>
      <c r="L437" s="10"/>
      <c r="M437" s="10"/>
      <c r="N437" s="10"/>
      <c r="O437" s="10"/>
      <c r="P437" s="10"/>
      <c r="Q437" s="11"/>
      <c r="R437" s="9"/>
      <c r="S437" s="12"/>
      <c r="T437" s="5"/>
      <c r="U437" s="5"/>
      <c r="V437" s="4"/>
      <c r="W437" s="4"/>
      <c r="X437" s="4"/>
      <c r="Y437" s="4"/>
    </row>
    <row r="438">
      <c r="A438" s="5"/>
      <c r="B438" s="9"/>
      <c r="C438" s="5"/>
      <c r="D438" s="9"/>
      <c r="E438" s="9"/>
      <c r="F438" s="9"/>
      <c r="G438" s="9"/>
      <c r="H438" s="9"/>
      <c r="I438" s="9"/>
      <c r="J438" s="5"/>
      <c r="K438" s="4"/>
      <c r="L438" s="10"/>
      <c r="M438" s="10"/>
      <c r="N438" s="10"/>
      <c r="O438" s="10"/>
      <c r="P438" s="10"/>
      <c r="Q438" s="11"/>
      <c r="R438" s="9"/>
      <c r="S438" s="12"/>
      <c r="T438" s="5"/>
      <c r="U438" s="5"/>
      <c r="V438" s="4"/>
      <c r="W438" s="4"/>
      <c r="X438" s="4"/>
      <c r="Y438" s="4"/>
    </row>
    <row r="439">
      <c r="A439" s="5"/>
      <c r="B439" s="9"/>
      <c r="C439" s="5"/>
      <c r="D439" s="9"/>
      <c r="E439" s="9"/>
      <c r="F439" s="9"/>
      <c r="G439" s="9"/>
      <c r="H439" s="9"/>
      <c r="I439" s="9"/>
      <c r="J439" s="5"/>
      <c r="K439" s="4"/>
      <c r="L439" s="10"/>
      <c r="M439" s="10"/>
      <c r="N439" s="10"/>
      <c r="O439" s="10"/>
      <c r="P439" s="10"/>
      <c r="Q439" s="11"/>
      <c r="R439" s="9"/>
      <c r="S439" s="12"/>
      <c r="T439" s="5"/>
      <c r="U439" s="5"/>
      <c r="V439" s="4"/>
      <c r="W439" s="4"/>
      <c r="X439" s="4"/>
      <c r="Y439" s="4"/>
    </row>
    <row r="440">
      <c r="A440" s="5"/>
      <c r="B440" s="9"/>
      <c r="C440" s="5"/>
      <c r="D440" s="9"/>
      <c r="E440" s="9"/>
      <c r="F440" s="9"/>
      <c r="G440" s="9"/>
      <c r="H440" s="9"/>
      <c r="I440" s="9"/>
      <c r="J440" s="5"/>
      <c r="K440" s="4"/>
      <c r="L440" s="10"/>
      <c r="M440" s="10"/>
      <c r="N440" s="10"/>
      <c r="O440" s="10"/>
      <c r="P440" s="10"/>
      <c r="Q440" s="11"/>
      <c r="R440" s="9"/>
      <c r="S440" s="12"/>
      <c r="T440" s="5"/>
      <c r="U440" s="5"/>
      <c r="V440" s="4"/>
      <c r="W440" s="4"/>
      <c r="X440" s="4"/>
      <c r="Y440" s="4"/>
    </row>
    <row r="441">
      <c r="A441" s="5"/>
      <c r="B441" s="9"/>
      <c r="C441" s="5"/>
      <c r="D441" s="9"/>
      <c r="E441" s="9"/>
      <c r="F441" s="9"/>
      <c r="G441" s="9"/>
      <c r="H441" s="9"/>
      <c r="I441" s="9"/>
      <c r="J441" s="5"/>
      <c r="K441" s="4"/>
      <c r="L441" s="10"/>
      <c r="M441" s="10"/>
      <c r="N441" s="10"/>
      <c r="O441" s="10"/>
      <c r="P441" s="10"/>
      <c r="Q441" s="11"/>
      <c r="R441" s="9"/>
      <c r="S441" s="12"/>
      <c r="T441" s="5"/>
      <c r="U441" s="5"/>
      <c r="V441" s="4"/>
      <c r="W441" s="4"/>
      <c r="X441" s="4"/>
      <c r="Y441" s="4"/>
    </row>
    <row r="442">
      <c r="A442" s="5"/>
      <c r="B442" s="9"/>
      <c r="C442" s="5"/>
      <c r="D442" s="9"/>
      <c r="E442" s="9"/>
      <c r="F442" s="9"/>
      <c r="G442" s="9"/>
      <c r="H442" s="9"/>
      <c r="I442" s="9"/>
      <c r="J442" s="5"/>
      <c r="K442" s="4"/>
      <c r="L442" s="10"/>
      <c r="M442" s="10"/>
      <c r="N442" s="10"/>
      <c r="O442" s="10"/>
      <c r="P442" s="10"/>
      <c r="Q442" s="11"/>
      <c r="R442" s="9"/>
      <c r="S442" s="12"/>
      <c r="T442" s="5"/>
      <c r="U442" s="5"/>
      <c r="V442" s="4"/>
      <c r="W442" s="4"/>
      <c r="X442" s="4"/>
      <c r="Y442" s="4"/>
    </row>
    <row r="443">
      <c r="A443" s="5"/>
      <c r="B443" s="9"/>
      <c r="C443" s="5"/>
      <c r="D443" s="9"/>
      <c r="E443" s="9"/>
      <c r="F443" s="9"/>
      <c r="G443" s="9"/>
      <c r="H443" s="9"/>
      <c r="I443" s="9"/>
      <c r="J443" s="5"/>
      <c r="K443" s="4"/>
      <c r="L443" s="10"/>
      <c r="M443" s="10"/>
      <c r="N443" s="10"/>
      <c r="O443" s="10"/>
      <c r="P443" s="10"/>
      <c r="Q443" s="11"/>
      <c r="R443" s="9"/>
      <c r="S443" s="12"/>
      <c r="T443" s="5"/>
      <c r="U443" s="5"/>
      <c r="V443" s="4"/>
      <c r="W443" s="4"/>
      <c r="X443" s="4"/>
      <c r="Y443" s="4"/>
    </row>
    <row r="444">
      <c r="A444" s="5"/>
      <c r="B444" s="9"/>
      <c r="C444" s="5"/>
      <c r="D444" s="9"/>
      <c r="E444" s="9"/>
      <c r="F444" s="9"/>
      <c r="G444" s="9"/>
      <c r="H444" s="9"/>
      <c r="I444" s="9"/>
      <c r="J444" s="5"/>
      <c r="K444" s="4"/>
      <c r="L444" s="10"/>
      <c r="M444" s="10"/>
      <c r="N444" s="10"/>
      <c r="O444" s="10"/>
      <c r="P444" s="10"/>
      <c r="Q444" s="11"/>
      <c r="R444" s="9"/>
      <c r="S444" s="12"/>
      <c r="T444" s="5"/>
      <c r="U444" s="5"/>
      <c r="V444" s="4"/>
      <c r="W444" s="4"/>
      <c r="X444" s="4"/>
      <c r="Y444" s="4"/>
    </row>
    <row r="445">
      <c r="A445" s="5"/>
      <c r="B445" s="9"/>
      <c r="C445" s="5"/>
      <c r="D445" s="9"/>
      <c r="E445" s="9"/>
      <c r="F445" s="9"/>
      <c r="G445" s="9"/>
      <c r="H445" s="9"/>
      <c r="I445" s="9"/>
      <c r="J445" s="5"/>
      <c r="K445" s="4"/>
      <c r="L445" s="10"/>
      <c r="M445" s="10"/>
      <c r="N445" s="10"/>
      <c r="O445" s="10"/>
      <c r="P445" s="10"/>
      <c r="Q445" s="11"/>
      <c r="R445" s="9"/>
      <c r="S445" s="12"/>
      <c r="T445" s="5"/>
      <c r="U445" s="5"/>
      <c r="V445" s="4"/>
      <c r="W445" s="4"/>
      <c r="X445" s="4"/>
      <c r="Y445" s="4"/>
    </row>
    <row r="446">
      <c r="A446" s="5"/>
      <c r="B446" s="9"/>
      <c r="C446" s="5"/>
      <c r="D446" s="9"/>
      <c r="E446" s="9"/>
      <c r="F446" s="9"/>
      <c r="G446" s="9"/>
      <c r="H446" s="9"/>
      <c r="I446" s="9"/>
      <c r="J446" s="5"/>
      <c r="K446" s="4"/>
      <c r="L446" s="10"/>
      <c r="M446" s="10"/>
      <c r="N446" s="10"/>
      <c r="O446" s="10"/>
      <c r="P446" s="10"/>
      <c r="Q446" s="11"/>
      <c r="R446" s="9"/>
      <c r="S446" s="12"/>
      <c r="T446" s="5"/>
      <c r="U446" s="5"/>
      <c r="V446" s="4"/>
      <c r="W446" s="4"/>
      <c r="X446" s="4"/>
      <c r="Y446" s="4"/>
    </row>
    <row r="447">
      <c r="A447" s="5"/>
      <c r="B447" s="9"/>
      <c r="C447" s="5"/>
      <c r="D447" s="9"/>
      <c r="E447" s="9"/>
      <c r="F447" s="9"/>
      <c r="G447" s="9"/>
      <c r="H447" s="9"/>
      <c r="I447" s="9"/>
      <c r="J447" s="5"/>
      <c r="K447" s="4"/>
      <c r="L447" s="10"/>
      <c r="M447" s="10"/>
      <c r="N447" s="10"/>
      <c r="O447" s="10"/>
      <c r="P447" s="10"/>
      <c r="Q447" s="11"/>
      <c r="R447" s="9"/>
      <c r="S447" s="12"/>
      <c r="T447" s="5"/>
      <c r="U447" s="5"/>
      <c r="V447" s="4"/>
      <c r="W447" s="4"/>
      <c r="X447" s="4"/>
      <c r="Y447" s="4"/>
    </row>
    <row r="448">
      <c r="A448" s="5"/>
      <c r="B448" s="9"/>
      <c r="C448" s="5"/>
      <c r="D448" s="9"/>
      <c r="E448" s="9"/>
      <c r="F448" s="9"/>
      <c r="G448" s="9"/>
      <c r="H448" s="9"/>
      <c r="I448" s="9"/>
      <c r="J448" s="5"/>
      <c r="K448" s="4"/>
      <c r="L448" s="10"/>
      <c r="M448" s="10"/>
      <c r="N448" s="10"/>
      <c r="O448" s="10"/>
      <c r="P448" s="10"/>
      <c r="Q448" s="11"/>
      <c r="R448" s="9"/>
      <c r="S448" s="12"/>
      <c r="T448" s="5"/>
      <c r="U448" s="5"/>
      <c r="V448" s="4"/>
      <c r="W448" s="4"/>
      <c r="X448" s="4"/>
      <c r="Y448" s="4"/>
    </row>
    <row r="449">
      <c r="A449" s="5"/>
      <c r="B449" s="9"/>
      <c r="C449" s="5"/>
      <c r="D449" s="9"/>
      <c r="E449" s="9"/>
      <c r="F449" s="9"/>
      <c r="G449" s="9"/>
      <c r="H449" s="9"/>
      <c r="I449" s="9"/>
      <c r="J449" s="5"/>
      <c r="K449" s="4"/>
      <c r="L449" s="10"/>
      <c r="M449" s="10"/>
      <c r="N449" s="10"/>
      <c r="O449" s="10"/>
      <c r="P449" s="10"/>
      <c r="Q449" s="11"/>
      <c r="R449" s="9"/>
      <c r="S449" s="12"/>
      <c r="T449" s="5"/>
      <c r="U449" s="5"/>
      <c r="V449" s="4"/>
      <c r="W449" s="4"/>
      <c r="X449" s="4"/>
      <c r="Y449" s="4"/>
    </row>
    <row r="450">
      <c r="A450" s="5"/>
      <c r="B450" s="9"/>
      <c r="C450" s="5"/>
      <c r="D450" s="9"/>
      <c r="E450" s="9"/>
      <c r="F450" s="9"/>
      <c r="G450" s="9"/>
      <c r="H450" s="9"/>
      <c r="I450" s="9"/>
      <c r="J450" s="5"/>
      <c r="K450" s="4"/>
      <c r="L450" s="10"/>
      <c r="M450" s="10"/>
      <c r="N450" s="10"/>
      <c r="O450" s="10"/>
      <c r="P450" s="10"/>
      <c r="Q450" s="11"/>
      <c r="R450" s="9"/>
      <c r="S450" s="12"/>
      <c r="T450" s="5"/>
      <c r="U450" s="5"/>
      <c r="V450" s="4"/>
      <c r="W450" s="4"/>
      <c r="X450" s="4"/>
      <c r="Y450" s="4"/>
    </row>
    <row r="451">
      <c r="A451" s="5"/>
      <c r="B451" s="9"/>
      <c r="C451" s="5"/>
      <c r="D451" s="9"/>
      <c r="E451" s="9"/>
      <c r="F451" s="9"/>
      <c r="G451" s="9"/>
      <c r="H451" s="9"/>
      <c r="I451" s="9"/>
      <c r="J451" s="5"/>
      <c r="K451" s="4"/>
      <c r="L451" s="10"/>
      <c r="M451" s="10"/>
      <c r="N451" s="10"/>
      <c r="O451" s="10"/>
      <c r="P451" s="10"/>
      <c r="Q451" s="11"/>
      <c r="R451" s="9"/>
      <c r="S451" s="12"/>
      <c r="T451" s="5"/>
      <c r="U451" s="5"/>
      <c r="V451" s="4"/>
      <c r="W451" s="4"/>
      <c r="X451" s="4"/>
      <c r="Y451" s="4"/>
    </row>
    <row r="452">
      <c r="A452" s="5"/>
      <c r="B452" s="9"/>
      <c r="C452" s="5"/>
      <c r="D452" s="9"/>
      <c r="E452" s="9"/>
      <c r="F452" s="9"/>
      <c r="G452" s="9"/>
      <c r="H452" s="9"/>
      <c r="I452" s="9"/>
      <c r="J452" s="5"/>
      <c r="K452" s="4"/>
      <c r="L452" s="10"/>
      <c r="M452" s="10"/>
      <c r="N452" s="10"/>
      <c r="O452" s="10"/>
      <c r="P452" s="10"/>
      <c r="Q452" s="11"/>
      <c r="R452" s="9"/>
      <c r="S452" s="12"/>
      <c r="T452" s="5"/>
      <c r="U452" s="5"/>
      <c r="V452" s="4"/>
      <c r="W452" s="4"/>
      <c r="X452" s="4"/>
      <c r="Y452" s="4"/>
    </row>
    <row r="453">
      <c r="A453" s="5"/>
      <c r="B453" s="9"/>
      <c r="C453" s="5"/>
      <c r="D453" s="9"/>
      <c r="E453" s="9"/>
      <c r="F453" s="9"/>
      <c r="G453" s="9"/>
      <c r="H453" s="9"/>
      <c r="I453" s="9"/>
      <c r="J453" s="5"/>
      <c r="K453" s="4"/>
      <c r="L453" s="10"/>
      <c r="M453" s="10"/>
      <c r="N453" s="10"/>
      <c r="O453" s="10"/>
      <c r="P453" s="10"/>
      <c r="Q453" s="11"/>
      <c r="R453" s="9"/>
      <c r="S453" s="12"/>
      <c r="T453" s="5"/>
      <c r="U453" s="5"/>
      <c r="V453" s="4"/>
      <c r="W453" s="4"/>
      <c r="X453" s="4"/>
      <c r="Y453" s="4"/>
    </row>
    <row r="454">
      <c r="A454" s="5"/>
      <c r="B454" s="9"/>
      <c r="C454" s="5"/>
      <c r="D454" s="9"/>
      <c r="E454" s="9"/>
      <c r="F454" s="9"/>
      <c r="G454" s="9"/>
      <c r="H454" s="9"/>
      <c r="I454" s="9"/>
      <c r="J454" s="5"/>
      <c r="K454" s="4"/>
      <c r="L454" s="10"/>
      <c r="M454" s="10"/>
      <c r="N454" s="10"/>
      <c r="O454" s="10"/>
      <c r="P454" s="10"/>
      <c r="Q454" s="11"/>
      <c r="R454" s="9"/>
      <c r="S454" s="12"/>
      <c r="T454" s="5"/>
      <c r="U454" s="5"/>
      <c r="V454" s="4"/>
      <c r="W454" s="4"/>
      <c r="X454" s="4"/>
      <c r="Y454" s="4"/>
    </row>
    <row r="455">
      <c r="A455" s="5"/>
      <c r="B455" s="9"/>
      <c r="C455" s="5"/>
      <c r="D455" s="9"/>
      <c r="E455" s="9"/>
      <c r="F455" s="9"/>
      <c r="G455" s="9"/>
      <c r="H455" s="9"/>
      <c r="I455" s="9"/>
      <c r="J455" s="5"/>
      <c r="K455" s="4"/>
      <c r="L455" s="10"/>
      <c r="M455" s="10"/>
      <c r="N455" s="10"/>
      <c r="O455" s="10"/>
      <c r="P455" s="10"/>
      <c r="Q455" s="11"/>
      <c r="R455" s="9"/>
      <c r="S455" s="12"/>
      <c r="T455" s="5"/>
      <c r="U455" s="5"/>
      <c r="V455" s="4"/>
      <c r="W455" s="4"/>
      <c r="X455" s="4"/>
      <c r="Y455" s="4"/>
    </row>
    <row r="456">
      <c r="A456" s="5"/>
      <c r="B456" s="9"/>
      <c r="C456" s="5"/>
      <c r="D456" s="9"/>
      <c r="E456" s="9"/>
      <c r="F456" s="9"/>
      <c r="G456" s="9"/>
      <c r="H456" s="9"/>
      <c r="I456" s="9"/>
      <c r="J456" s="5"/>
      <c r="K456" s="4"/>
      <c r="L456" s="10"/>
      <c r="M456" s="10"/>
      <c r="N456" s="10"/>
      <c r="O456" s="10"/>
      <c r="P456" s="10"/>
      <c r="Q456" s="11"/>
      <c r="R456" s="9"/>
      <c r="S456" s="12"/>
      <c r="T456" s="5"/>
      <c r="U456" s="5"/>
      <c r="V456" s="4"/>
      <c r="W456" s="4"/>
      <c r="X456" s="4"/>
      <c r="Y456" s="4"/>
    </row>
    <row r="457">
      <c r="A457" s="5"/>
      <c r="B457" s="9"/>
      <c r="C457" s="5"/>
      <c r="D457" s="9"/>
      <c r="E457" s="9"/>
      <c r="F457" s="9"/>
      <c r="G457" s="9"/>
      <c r="H457" s="9"/>
      <c r="I457" s="9"/>
      <c r="J457" s="5"/>
      <c r="K457" s="4"/>
      <c r="L457" s="10"/>
      <c r="M457" s="10"/>
      <c r="N457" s="10"/>
      <c r="O457" s="10"/>
      <c r="P457" s="10"/>
      <c r="Q457" s="11"/>
      <c r="R457" s="9"/>
      <c r="S457" s="12"/>
      <c r="T457" s="5"/>
      <c r="U457" s="5"/>
      <c r="V457" s="4"/>
      <c r="W457" s="4"/>
      <c r="X457" s="4"/>
      <c r="Y457" s="4"/>
    </row>
    <row r="458">
      <c r="A458" s="5"/>
      <c r="B458" s="9"/>
      <c r="C458" s="5"/>
      <c r="D458" s="9"/>
      <c r="E458" s="9"/>
      <c r="F458" s="9"/>
      <c r="G458" s="9"/>
      <c r="H458" s="9"/>
      <c r="I458" s="9"/>
      <c r="J458" s="5"/>
      <c r="K458" s="4"/>
      <c r="L458" s="10"/>
      <c r="M458" s="10"/>
      <c r="N458" s="10"/>
      <c r="O458" s="10"/>
      <c r="P458" s="10"/>
      <c r="Q458" s="11"/>
      <c r="R458" s="9"/>
      <c r="S458" s="12"/>
      <c r="T458" s="5"/>
      <c r="U458" s="5"/>
      <c r="V458" s="4"/>
      <c r="W458" s="4"/>
      <c r="X458" s="4"/>
      <c r="Y458" s="4"/>
    </row>
    <row r="459">
      <c r="A459" s="5"/>
      <c r="B459" s="9"/>
      <c r="C459" s="5"/>
      <c r="D459" s="9"/>
      <c r="E459" s="9"/>
      <c r="F459" s="9"/>
      <c r="G459" s="9"/>
      <c r="H459" s="9"/>
      <c r="I459" s="9"/>
      <c r="J459" s="5"/>
      <c r="K459" s="4"/>
      <c r="L459" s="10"/>
      <c r="M459" s="10"/>
      <c r="N459" s="10"/>
      <c r="O459" s="10"/>
      <c r="P459" s="10"/>
      <c r="Q459" s="11"/>
      <c r="R459" s="9"/>
      <c r="S459" s="12"/>
      <c r="T459" s="5"/>
      <c r="U459" s="5"/>
      <c r="V459" s="4"/>
      <c r="W459" s="4"/>
      <c r="X459" s="4"/>
      <c r="Y459" s="4"/>
    </row>
    <row r="460">
      <c r="A460" s="5"/>
      <c r="B460" s="9"/>
      <c r="C460" s="5"/>
      <c r="D460" s="9"/>
      <c r="E460" s="9"/>
      <c r="F460" s="9"/>
      <c r="G460" s="9"/>
      <c r="H460" s="9"/>
      <c r="I460" s="9"/>
      <c r="J460" s="5"/>
      <c r="K460" s="4"/>
      <c r="L460" s="10"/>
      <c r="M460" s="10"/>
      <c r="N460" s="10"/>
      <c r="O460" s="10"/>
      <c r="P460" s="10"/>
      <c r="Q460" s="11"/>
      <c r="R460" s="9"/>
      <c r="S460" s="12"/>
      <c r="T460" s="5"/>
      <c r="U460" s="5"/>
      <c r="V460" s="4"/>
      <c r="W460" s="4"/>
      <c r="X460" s="4"/>
      <c r="Y460" s="4"/>
    </row>
    <row r="461">
      <c r="A461" s="5"/>
      <c r="B461" s="9"/>
      <c r="C461" s="5"/>
      <c r="D461" s="9"/>
      <c r="E461" s="9"/>
      <c r="F461" s="9"/>
      <c r="G461" s="9"/>
      <c r="H461" s="9"/>
      <c r="I461" s="9"/>
      <c r="J461" s="5"/>
      <c r="K461" s="4"/>
      <c r="L461" s="10"/>
      <c r="M461" s="10"/>
      <c r="N461" s="10"/>
      <c r="O461" s="10"/>
      <c r="P461" s="10"/>
      <c r="Q461" s="11"/>
      <c r="R461" s="9"/>
      <c r="S461" s="12"/>
      <c r="T461" s="5"/>
      <c r="U461" s="5"/>
      <c r="V461" s="4"/>
      <c r="W461" s="4"/>
      <c r="X461" s="4"/>
      <c r="Y461" s="4"/>
    </row>
    <row r="462">
      <c r="A462" s="5"/>
      <c r="B462" s="9"/>
      <c r="C462" s="5"/>
      <c r="D462" s="9"/>
      <c r="E462" s="9"/>
      <c r="F462" s="9"/>
      <c r="G462" s="9"/>
      <c r="H462" s="9"/>
      <c r="I462" s="9"/>
      <c r="J462" s="5"/>
      <c r="K462" s="4"/>
      <c r="L462" s="10"/>
      <c r="M462" s="10"/>
      <c r="N462" s="10"/>
      <c r="O462" s="10"/>
      <c r="P462" s="10"/>
      <c r="Q462" s="11"/>
      <c r="R462" s="9"/>
      <c r="S462" s="12"/>
      <c r="T462" s="5"/>
      <c r="U462" s="5"/>
      <c r="V462" s="4"/>
      <c r="W462" s="4"/>
      <c r="X462" s="4"/>
      <c r="Y462" s="4"/>
    </row>
    <row r="463">
      <c r="A463" s="5"/>
      <c r="B463" s="9"/>
      <c r="C463" s="5"/>
      <c r="D463" s="9"/>
      <c r="E463" s="9"/>
      <c r="F463" s="9"/>
      <c r="G463" s="9"/>
      <c r="H463" s="9"/>
      <c r="I463" s="9"/>
      <c r="J463" s="5"/>
      <c r="K463" s="4"/>
      <c r="L463" s="10"/>
      <c r="M463" s="10"/>
      <c r="N463" s="10"/>
      <c r="O463" s="10"/>
      <c r="P463" s="10"/>
      <c r="Q463" s="11"/>
      <c r="R463" s="9"/>
      <c r="S463" s="12"/>
      <c r="T463" s="5"/>
      <c r="U463" s="5"/>
      <c r="V463" s="4"/>
      <c r="W463" s="4"/>
      <c r="X463" s="4"/>
      <c r="Y463" s="4"/>
    </row>
    <row r="464">
      <c r="A464" s="5"/>
      <c r="B464" s="9"/>
      <c r="C464" s="5"/>
      <c r="D464" s="9"/>
      <c r="E464" s="9"/>
      <c r="F464" s="9"/>
      <c r="G464" s="9"/>
      <c r="H464" s="9"/>
      <c r="I464" s="9"/>
      <c r="J464" s="5"/>
      <c r="K464" s="4"/>
      <c r="L464" s="10"/>
      <c r="M464" s="10"/>
      <c r="N464" s="10"/>
      <c r="O464" s="10"/>
      <c r="P464" s="10"/>
      <c r="Q464" s="11"/>
      <c r="R464" s="9"/>
      <c r="S464" s="12"/>
      <c r="T464" s="5"/>
      <c r="U464" s="5"/>
      <c r="V464" s="4"/>
      <c r="W464" s="4"/>
      <c r="X464" s="4"/>
      <c r="Y464" s="4"/>
    </row>
    <row r="465">
      <c r="A465" s="5"/>
      <c r="B465" s="9"/>
      <c r="C465" s="5"/>
      <c r="D465" s="9"/>
      <c r="E465" s="9"/>
      <c r="F465" s="9"/>
      <c r="G465" s="9"/>
      <c r="H465" s="9"/>
      <c r="I465" s="9"/>
      <c r="J465" s="5"/>
      <c r="K465" s="4"/>
      <c r="L465" s="10"/>
      <c r="M465" s="10"/>
      <c r="N465" s="10"/>
      <c r="O465" s="10"/>
      <c r="P465" s="10"/>
      <c r="Q465" s="11"/>
      <c r="R465" s="9"/>
      <c r="S465" s="12"/>
      <c r="T465" s="5"/>
      <c r="U465" s="5"/>
      <c r="V465" s="4"/>
      <c r="W465" s="4"/>
      <c r="X465" s="4"/>
      <c r="Y465" s="4"/>
    </row>
    <row r="466">
      <c r="A466" s="5"/>
      <c r="B466" s="9"/>
      <c r="C466" s="5"/>
      <c r="D466" s="9"/>
      <c r="E466" s="9"/>
      <c r="F466" s="9"/>
      <c r="G466" s="9"/>
      <c r="H466" s="9"/>
      <c r="I466" s="9"/>
      <c r="J466" s="5"/>
      <c r="K466" s="4"/>
      <c r="L466" s="10"/>
      <c r="M466" s="10"/>
      <c r="N466" s="10"/>
      <c r="O466" s="10"/>
      <c r="P466" s="10"/>
      <c r="Q466" s="11"/>
      <c r="R466" s="9"/>
      <c r="S466" s="12"/>
      <c r="T466" s="5"/>
      <c r="U466" s="5"/>
      <c r="V466" s="4"/>
      <c r="W466" s="4"/>
      <c r="X466" s="4"/>
      <c r="Y466" s="4"/>
    </row>
    <row r="467">
      <c r="A467" s="5"/>
      <c r="B467" s="9"/>
      <c r="C467" s="5"/>
      <c r="D467" s="9"/>
      <c r="E467" s="9"/>
      <c r="F467" s="9"/>
      <c r="G467" s="9"/>
      <c r="H467" s="9"/>
      <c r="I467" s="9"/>
      <c r="J467" s="5"/>
      <c r="K467" s="4"/>
      <c r="L467" s="10"/>
      <c r="M467" s="10"/>
      <c r="N467" s="10"/>
      <c r="O467" s="10"/>
      <c r="P467" s="10"/>
      <c r="Q467" s="11"/>
      <c r="R467" s="9"/>
      <c r="S467" s="12"/>
      <c r="T467" s="5"/>
      <c r="U467" s="5"/>
      <c r="V467" s="4"/>
      <c r="W467" s="4"/>
      <c r="X467" s="4"/>
      <c r="Y467" s="4"/>
    </row>
    <row r="468">
      <c r="A468" s="5"/>
      <c r="B468" s="9"/>
      <c r="C468" s="5"/>
      <c r="D468" s="9"/>
      <c r="E468" s="9"/>
      <c r="F468" s="9"/>
      <c r="G468" s="9"/>
      <c r="H468" s="9"/>
      <c r="I468" s="9"/>
      <c r="J468" s="5"/>
      <c r="K468" s="4"/>
      <c r="L468" s="10"/>
      <c r="M468" s="10"/>
      <c r="N468" s="10"/>
      <c r="O468" s="10"/>
      <c r="P468" s="10"/>
      <c r="Q468" s="11"/>
      <c r="R468" s="9"/>
      <c r="S468" s="12"/>
      <c r="T468" s="5"/>
      <c r="U468" s="5"/>
      <c r="V468" s="4"/>
      <c r="W468" s="4"/>
      <c r="X468" s="4"/>
      <c r="Y468" s="4"/>
    </row>
    <row r="469">
      <c r="A469" s="5"/>
      <c r="B469" s="9"/>
      <c r="C469" s="5"/>
      <c r="D469" s="9"/>
      <c r="E469" s="9"/>
      <c r="F469" s="9"/>
      <c r="G469" s="9"/>
      <c r="H469" s="9"/>
      <c r="I469" s="9"/>
      <c r="J469" s="5"/>
      <c r="K469" s="4"/>
      <c r="L469" s="10"/>
      <c r="M469" s="10"/>
      <c r="N469" s="10"/>
      <c r="O469" s="10"/>
      <c r="P469" s="10"/>
      <c r="Q469" s="11"/>
      <c r="R469" s="9"/>
      <c r="S469" s="12"/>
      <c r="T469" s="5"/>
      <c r="U469" s="5"/>
      <c r="V469" s="4"/>
      <c r="W469" s="4"/>
      <c r="X469" s="4"/>
      <c r="Y469" s="4"/>
    </row>
    <row r="470">
      <c r="A470" s="5"/>
      <c r="B470" s="9"/>
      <c r="C470" s="5"/>
      <c r="D470" s="9"/>
      <c r="E470" s="9"/>
      <c r="F470" s="9"/>
      <c r="G470" s="9"/>
      <c r="H470" s="9"/>
      <c r="I470" s="9"/>
      <c r="J470" s="5"/>
      <c r="K470" s="4"/>
      <c r="L470" s="10"/>
      <c r="M470" s="10"/>
      <c r="N470" s="10"/>
      <c r="O470" s="10"/>
      <c r="P470" s="10"/>
      <c r="Q470" s="11"/>
      <c r="R470" s="9"/>
      <c r="S470" s="12"/>
      <c r="T470" s="5"/>
      <c r="U470" s="5"/>
      <c r="V470" s="4"/>
      <c r="W470" s="4"/>
      <c r="X470" s="4"/>
      <c r="Y470" s="4"/>
    </row>
    <row r="471">
      <c r="A471" s="5"/>
      <c r="B471" s="9"/>
      <c r="C471" s="5"/>
      <c r="D471" s="9"/>
      <c r="E471" s="9"/>
      <c r="F471" s="9"/>
      <c r="G471" s="9"/>
      <c r="H471" s="9"/>
      <c r="I471" s="9"/>
      <c r="J471" s="5"/>
      <c r="K471" s="4"/>
      <c r="L471" s="10"/>
      <c r="M471" s="10"/>
      <c r="N471" s="10"/>
      <c r="O471" s="10"/>
      <c r="P471" s="10"/>
      <c r="Q471" s="11"/>
      <c r="R471" s="9"/>
      <c r="S471" s="12"/>
      <c r="T471" s="5"/>
      <c r="U471" s="5"/>
      <c r="V471" s="4"/>
      <c r="W471" s="4"/>
      <c r="X471" s="4"/>
      <c r="Y471" s="4"/>
    </row>
    <row r="472">
      <c r="A472" s="5"/>
      <c r="B472" s="9"/>
      <c r="C472" s="5"/>
      <c r="D472" s="9"/>
      <c r="E472" s="9"/>
      <c r="F472" s="9"/>
      <c r="G472" s="9"/>
      <c r="H472" s="9"/>
      <c r="I472" s="9"/>
      <c r="J472" s="5"/>
      <c r="K472" s="4"/>
      <c r="L472" s="10"/>
      <c r="M472" s="10"/>
      <c r="N472" s="10"/>
      <c r="O472" s="10"/>
      <c r="P472" s="10"/>
      <c r="Q472" s="11"/>
      <c r="R472" s="9"/>
      <c r="S472" s="12"/>
      <c r="T472" s="5"/>
      <c r="U472" s="5"/>
      <c r="V472" s="4"/>
      <c r="W472" s="4"/>
      <c r="X472" s="4"/>
      <c r="Y472" s="4"/>
    </row>
    <row r="473">
      <c r="A473" s="5"/>
      <c r="B473" s="9"/>
      <c r="C473" s="5"/>
      <c r="D473" s="9"/>
      <c r="E473" s="9"/>
      <c r="F473" s="9"/>
      <c r="G473" s="9"/>
      <c r="H473" s="9"/>
      <c r="I473" s="9"/>
      <c r="J473" s="5"/>
      <c r="K473" s="4"/>
      <c r="L473" s="10"/>
      <c r="M473" s="10"/>
      <c r="N473" s="10"/>
      <c r="O473" s="10"/>
      <c r="P473" s="10"/>
      <c r="Q473" s="11"/>
      <c r="R473" s="9"/>
      <c r="S473" s="12"/>
      <c r="T473" s="5"/>
      <c r="U473" s="5"/>
      <c r="V473" s="4"/>
      <c r="W473" s="4"/>
      <c r="X473" s="4"/>
      <c r="Y473" s="4"/>
    </row>
    <row r="474">
      <c r="A474" s="5"/>
      <c r="B474" s="9"/>
      <c r="C474" s="5"/>
      <c r="D474" s="9"/>
      <c r="E474" s="9"/>
      <c r="F474" s="9"/>
      <c r="G474" s="9"/>
      <c r="H474" s="9"/>
      <c r="I474" s="9"/>
      <c r="J474" s="5"/>
      <c r="K474" s="4"/>
      <c r="L474" s="10"/>
      <c r="M474" s="10"/>
      <c r="N474" s="10"/>
      <c r="O474" s="10"/>
      <c r="P474" s="10"/>
      <c r="Q474" s="11"/>
      <c r="R474" s="9"/>
      <c r="S474" s="12"/>
      <c r="T474" s="5"/>
      <c r="U474" s="5"/>
      <c r="V474" s="4"/>
      <c r="W474" s="4"/>
      <c r="X474" s="4"/>
      <c r="Y474" s="4"/>
    </row>
    <row r="475">
      <c r="A475" s="5"/>
      <c r="B475" s="9"/>
      <c r="C475" s="5"/>
      <c r="D475" s="9"/>
      <c r="E475" s="9"/>
      <c r="F475" s="9"/>
      <c r="G475" s="9"/>
      <c r="H475" s="9"/>
      <c r="I475" s="9"/>
      <c r="J475" s="5"/>
      <c r="K475" s="4"/>
      <c r="L475" s="10"/>
      <c r="M475" s="10"/>
      <c r="N475" s="10"/>
      <c r="O475" s="10"/>
      <c r="P475" s="10"/>
      <c r="Q475" s="11"/>
      <c r="R475" s="9"/>
      <c r="S475" s="12"/>
      <c r="T475" s="5"/>
      <c r="U475" s="5"/>
      <c r="V475" s="4"/>
      <c r="W475" s="4"/>
      <c r="X475" s="4"/>
      <c r="Y475" s="4"/>
    </row>
    <row r="476">
      <c r="A476" s="5"/>
      <c r="B476" s="9"/>
      <c r="C476" s="5"/>
      <c r="D476" s="9"/>
      <c r="E476" s="9"/>
      <c r="F476" s="9"/>
      <c r="G476" s="9"/>
      <c r="H476" s="9"/>
      <c r="I476" s="9"/>
      <c r="J476" s="5"/>
      <c r="K476" s="4"/>
      <c r="L476" s="10"/>
      <c r="M476" s="10"/>
      <c r="N476" s="10"/>
      <c r="O476" s="10"/>
      <c r="P476" s="10"/>
      <c r="Q476" s="11"/>
      <c r="R476" s="9"/>
      <c r="S476" s="12"/>
      <c r="T476" s="5"/>
      <c r="U476" s="5"/>
      <c r="V476" s="4"/>
      <c r="W476" s="4"/>
      <c r="X476" s="4"/>
      <c r="Y476" s="4"/>
    </row>
    <row r="477">
      <c r="A477" s="5"/>
      <c r="B477" s="9"/>
      <c r="C477" s="5"/>
      <c r="D477" s="9"/>
      <c r="E477" s="9"/>
      <c r="F477" s="9"/>
      <c r="G477" s="9"/>
      <c r="H477" s="9"/>
      <c r="I477" s="9"/>
      <c r="J477" s="5"/>
      <c r="K477" s="4"/>
      <c r="L477" s="10"/>
      <c r="M477" s="10"/>
      <c r="N477" s="10"/>
      <c r="O477" s="10"/>
      <c r="P477" s="10"/>
      <c r="Q477" s="11"/>
      <c r="R477" s="9"/>
      <c r="S477" s="12"/>
      <c r="T477" s="5"/>
      <c r="U477" s="5"/>
      <c r="V477" s="4"/>
      <c r="W477" s="4"/>
      <c r="X477" s="4"/>
      <c r="Y477" s="4"/>
    </row>
    <row r="478">
      <c r="A478" s="5"/>
      <c r="B478" s="9"/>
      <c r="C478" s="5"/>
      <c r="D478" s="9"/>
      <c r="E478" s="9"/>
      <c r="F478" s="9"/>
      <c r="G478" s="9"/>
      <c r="H478" s="9"/>
      <c r="I478" s="9"/>
      <c r="J478" s="5"/>
      <c r="K478" s="4"/>
      <c r="L478" s="10"/>
      <c r="M478" s="10"/>
      <c r="N478" s="10"/>
      <c r="O478" s="10"/>
      <c r="P478" s="10"/>
      <c r="Q478" s="11"/>
      <c r="R478" s="9"/>
      <c r="S478" s="12"/>
      <c r="T478" s="5"/>
      <c r="U478" s="5"/>
      <c r="V478" s="4"/>
      <c r="W478" s="4"/>
      <c r="X478" s="4"/>
      <c r="Y478" s="4"/>
    </row>
    <row r="479">
      <c r="A479" s="5"/>
      <c r="B479" s="9"/>
      <c r="C479" s="5"/>
      <c r="D479" s="9"/>
      <c r="E479" s="9"/>
      <c r="F479" s="9"/>
      <c r="G479" s="9"/>
      <c r="H479" s="9"/>
      <c r="I479" s="9"/>
      <c r="J479" s="5"/>
      <c r="K479" s="4"/>
      <c r="L479" s="10"/>
      <c r="M479" s="10"/>
      <c r="N479" s="10"/>
      <c r="O479" s="10"/>
      <c r="P479" s="10"/>
      <c r="Q479" s="11"/>
      <c r="R479" s="9"/>
      <c r="S479" s="12"/>
      <c r="T479" s="5"/>
      <c r="U479" s="5"/>
      <c r="V479" s="4"/>
      <c r="W479" s="4"/>
      <c r="X479" s="4"/>
      <c r="Y479" s="4"/>
    </row>
    <row r="480">
      <c r="A480" s="5"/>
      <c r="B480" s="9"/>
      <c r="C480" s="5"/>
      <c r="D480" s="9"/>
      <c r="E480" s="9"/>
      <c r="F480" s="9"/>
      <c r="G480" s="9"/>
      <c r="H480" s="9"/>
      <c r="I480" s="9"/>
      <c r="J480" s="5"/>
      <c r="K480" s="4"/>
      <c r="L480" s="10"/>
      <c r="M480" s="10"/>
      <c r="N480" s="10"/>
      <c r="O480" s="10"/>
      <c r="P480" s="10"/>
      <c r="Q480" s="11"/>
      <c r="R480" s="9"/>
      <c r="S480" s="12"/>
      <c r="T480" s="5"/>
      <c r="U480" s="5"/>
      <c r="V480" s="4"/>
      <c r="W480" s="4"/>
      <c r="X480" s="4"/>
      <c r="Y480" s="4"/>
    </row>
    <row r="481">
      <c r="A481" s="5"/>
      <c r="B481" s="9"/>
      <c r="C481" s="5"/>
      <c r="D481" s="9"/>
      <c r="E481" s="9"/>
      <c r="F481" s="9"/>
      <c r="G481" s="9"/>
      <c r="H481" s="9"/>
      <c r="I481" s="9"/>
      <c r="J481" s="5"/>
      <c r="K481" s="4"/>
      <c r="L481" s="10"/>
      <c r="M481" s="10"/>
      <c r="N481" s="10"/>
      <c r="O481" s="10"/>
      <c r="P481" s="10"/>
      <c r="Q481" s="11"/>
      <c r="R481" s="9"/>
      <c r="S481" s="12"/>
      <c r="T481" s="5"/>
      <c r="U481" s="5"/>
      <c r="V481" s="4"/>
      <c r="W481" s="4"/>
      <c r="X481" s="4"/>
      <c r="Y481" s="4"/>
    </row>
    <row r="482">
      <c r="A482" s="5"/>
      <c r="B482" s="9"/>
      <c r="C482" s="5"/>
      <c r="D482" s="9"/>
      <c r="E482" s="9"/>
      <c r="F482" s="9"/>
      <c r="G482" s="9"/>
      <c r="H482" s="9"/>
      <c r="I482" s="9"/>
      <c r="J482" s="5"/>
      <c r="K482" s="4"/>
      <c r="L482" s="10"/>
      <c r="M482" s="10"/>
      <c r="N482" s="10"/>
      <c r="O482" s="10"/>
      <c r="P482" s="10"/>
      <c r="Q482" s="11"/>
      <c r="R482" s="9"/>
      <c r="S482" s="12"/>
      <c r="T482" s="5"/>
      <c r="U482" s="5"/>
      <c r="V482" s="4"/>
      <c r="W482" s="4"/>
      <c r="X482" s="4"/>
      <c r="Y482" s="4"/>
    </row>
    <row r="483">
      <c r="A483" s="5"/>
      <c r="B483" s="9"/>
      <c r="C483" s="5"/>
      <c r="D483" s="9"/>
      <c r="E483" s="9"/>
      <c r="F483" s="9"/>
      <c r="G483" s="9"/>
      <c r="H483" s="9"/>
      <c r="I483" s="9"/>
      <c r="J483" s="5"/>
      <c r="K483" s="4"/>
      <c r="L483" s="10"/>
      <c r="M483" s="10"/>
      <c r="N483" s="10"/>
      <c r="O483" s="10"/>
      <c r="P483" s="10"/>
      <c r="Q483" s="11"/>
      <c r="R483" s="9"/>
      <c r="S483" s="12"/>
      <c r="T483" s="5"/>
      <c r="U483" s="5"/>
      <c r="V483" s="4"/>
      <c r="W483" s="4"/>
      <c r="X483" s="4"/>
      <c r="Y483" s="4"/>
    </row>
    <row r="484">
      <c r="A484" s="5"/>
      <c r="B484" s="9"/>
      <c r="C484" s="5"/>
      <c r="D484" s="9"/>
      <c r="E484" s="9"/>
      <c r="F484" s="9"/>
      <c r="G484" s="9"/>
      <c r="H484" s="9"/>
      <c r="I484" s="9"/>
      <c r="J484" s="5"/>
      <c r="K484" s="4"/>
      <c r="L484" s="10"/>
      <c r="M484" s="10"/>
      <c r="N484" s="10"/>
      <c r="O484" s="10"/>
      <c r="P484" s="10"/>
      <c r="Q484" s="11"/>
      <c r="R484" s="9"/>
      <c r="S484" s="12"/>
      <c r="T484" s="5"/>
      <c r="U484" s="5"/>
      <c r="V484" s="4"/>
      <c r="W484" s="4"/>
      <c r="X484" s="4"/>
      <c r="Y484" s="4"/>
    </row>
    <row r="485">
      <c r="A485" s="5"/>
      <c r="B485" s="9"/>
      <c r="C485" s="5"/>
      <c r="D485" s="9"/>
      <c r="E485" s="9"/>
      <c r="F485" s="9"/>
      <c r="G485" s="9"/>
      <c r="H485" s="9"/>
      <c r="I485" s="9"/>
      <c r="J485" s="5"/>
      <c r="K485" s="4"/>
      <c r="L485" s="10"/>
      <c r="M485" s="10"/>
      <c r="N485" s="10"/>
      <c r="O485" s="10"/>
      <c r="P485" s="10"/>
      <c r="Q485" s="11"/>
      <c r="R485" s="9"/>
      <c r="S485" s="12"/>
      <c r="T485" s="5"/>
      <c r="U485" s="5"/>
      <c r="V485" s="4"/>
      <c r="W485" s="4"/>
      <c r="X485" s="4"/>
      <c r="Y485" s="4"/>
    </row>
    <row r="486">
      <c r="A486" s="5"/>
      <c r="B486" s="9"/>
      <c r="C486" s="5"/>
      <c r="D486" s="9"/>
      <c r="E486" s="9"/>
      <c r="F486" s="9"/>
      <c r="G486" s="9"/>
      <c r="H486" s="9"/>
      <c r="I486" s="9"/>
      <c r="J486" s="5"/>
      <c r="K486" s="4"/>
      <c r="L486" s="10"/>
      <c r="M486" s="10"/>
      <c r="N486" s="10"/>
      <c r="O486" s="10"/>
      <c r="P486" s="10"/>
      <c r="Q486" s="11"/>
      <c r="R486" s="9"/>
      <c r="S486" s="12"/>
      <c r="T486" s="5"/>
      <c r="U486" s="5"/>
      <c r="V486" s="4"/>
      <c r="W486" s="4"/>
      <c r="X486" s="4"/>
      <c r="Y486" s="4"/>
    </row>
    <row r="487">
      <c r="A487" s="5"/>
      <c r="B487" s="9"/>
      <c r="C487" s="5"/>
      <c r="D487" s="9"/>
      <c r="E487" s="9"/>
      <c r="F487" s="9"/>
      <c r="G487" s="9"/>
      <c r="H487" s="9"/>
      <c r="I487" s="9"/>
      <c r="J487" s="5"/>
      <c r="K487" s="4"/>
      <c r="L487" s="10"/>
      <c r="M487" s="10"/>
      <c r="N487" s="10"/>
      <c r="O487" s="10"/>
      <c r="P487" s="10"/>
      <c r="Q487" s="11"/>
      <c r="R487" s="9"/>
      <c r="S487" s="12"/>
      <c r="T487" s="5"/>
      <c r="U487" s="5"/>
      <c r="V487" s="4"/>
      <c r="W487" s="4"/>
      <c r="X487" s="4"/>
      <c r="Y487" s="4"/>
    </row>
    <row r="488">
      <c r="A488" s="5"/>
      <c r="B488" s="9"/>
      <c r="C488" s="5"/>
      <c r="D488" s="9"/>
      <c r="E488" s="9"/>
      <c r="F488" s="9"/>
      <c r="G488" s="9"/>
      <c r="H488" s="9"/>
      <c r="I488" s="9"/>
      <c r="J488" s="5"/>
      <c r="K488" s="4"/>
      <c r="L488" s="10"/>
      <c r="M488" s="10"/>
      <c r="N488" s="10"/>
      <c r="O488" s="10"/>
      <c r="P488" s="10"/>
      <c r="Q488" s="11"/>
      <c r="R488" s="9"/>
      <c r="S488" s="12"/>
      <c r="T488" s="5"/>
      <c r="U488" s="5"/>
      <c r="V488" s="4"/>
      <c r="W488" s="4"/>
      <c r="X488" s="4"/>
      <c r="Y488" s="4"/>
    </row>
    <row r="489">
      <c r="A489" s="5"/>
      <c r="B489" s="9"/>
      <c r="C489" s="5"/>
      <c r="D489" s="9"/>
      <c r="E489" s="9"/>
      <c r="F489" s="9"/>
      <c r="G489" s="9"/>
      <c r="H489" s="9"/>
      <c r="I489" s="9"/>
      <c r="J489" s="5"/>
      <c r="K489" s="4"/>
      <c r="L489" s="10"/>
      <c r="M489" s="10"/>
      <c r="N489" s="10"/>
      <c r="O489" s="10"/>
      <c r="P489" s="10"/>
      <c r="Q489" s="11"/>
      <c r="R489" s="9"/>
      <c r="S489" s="12"/>
      <c r="T489" s="5"/>
      <c r="U489" s="5"/>
      <c r="V489" s="4"/>
      <c r="W489" s="4"/>
      <c r="X489" s="4"/>
      <c r="Y489" s="4"/>
    </row>
    <row r="490">
      <c r="A490" s="5"/>
      <c r="B490" s="9"/>
      <c r="C490" s="5"/>
      <c r="D490" s="9"/>
      <c r="E490" s="9"/>
      <c r="F490" s="9"/>
      <c r="G490" s="9"/>
      <c r="H490" s="9"/>
      <c r="I490" s="9"/>
      <c r="J490" s="5"/>
      <c r="K490" s="4"/>
      <c r="L490" s="10"/>
      <c r="M490" s="10"/>
      <c r="N490" s="10"/>
      <c r="O490" s="10"/>
      <c r="P490" s="10"/>
      <c r="Q490" s="11"/>
      <c r="R490" s="9"/>
      <c r="S490" s="12"/>
      <c r="T490" s="5"/>
      <c r="U490" s="5"/>
      <c r="V490" s="4"/>
      <c r="W490" s="4"/>
      <c r="X490" s="4"/>
      <c r="Y490" s="4"/>
    </row>
    <row r="491">
      <c r="A491" s="5"/>
      <c r="B491" s="9"/>
      <c r="C491" s="5"/>
      <c r="D491" s="9"/>
      <c r="E491" s="9"/>
      <c r="F491" s="9"/>
      <c r="G491" s="9"/>
      <c r="H491" s="9"/>
      <c r="I491" s="9"/>
      <c r="J491" s="5"/>
      <c r="K491" s="4"/>
      <c r="L491" s="10"/>
      <c r="M491" s="10"/>
      <c r="N491" s="10"/>
      <c r="O491" s="10"/>
      <c r="P491" s="10"/>
      <c r="Q491" s="11"/>
      <c r="R491" s="9"/>
      <c r="S491" s="12"/>
      <c r="T491" s="5"/>
      <c r="U491" s="5"/>
      <c r="V491" s="4"/>
      <c r="W491" s="4"/>
      <c r="X491" s="4"/>
      <c r="Y491" s="4"/>
    </row>
    <row r="492">
      <c r="A492" s="5"/>
      <c r="B492" s="9"/>
      <c r="C492" s="5"/>
      <c r="D492" s="9"/>
      <c r="E492" s="9"/>
      <c r="F492" s="9"/>
      <c r="G492" s="9"/>
      <c r="H492" s="9"/>
      <c r="I492" s="9"/>
      <c r="J492" s="5"/>
      <c r="K492" s="4"/>
      <c r="L492" s="10"/>
      <c r="M492" s="10"/>
      <c r="N492" s="10"/>
      <c r="O492" s="10"/>
      <c r="P492" s="10"/>
      <c r="Q492" s="11"/>
      <c r="R492" s="9"/>
      <c r="S492" s="12"/>
      <c r="T492" s="5"/>
      <c r="U492" s="5"/>
      <c r="V492" s="4"/>
      <c r="W492" s="4"/>
      <c r="X492" s="4"/>
      <c r="Y492" s="4"/>
    </row>
    <row r="493">
      <c r="A493" s="5"/>
      <c r="B493" s="9"/>
      <c r="C493" s="5"/>
      <c r="D493" s="9"/>
      <c r="E493" s="9"/>
      <c r="F493" s="9"/>
      <c r="G493" s="9"/>
      <c r="H493" s="9"/>
      <c r="I493" s="9"/>
      <c r="J493" s="5"/>
      <c r="K493" s="4"/>
      <c r="L493" s="10"/>
      <c r="M493" s="10"/>
      <c r="N493" s="10"/>
      <c r="O493" s="10"/>
      <c r="P493" s="10"/>
      <c r="Q493" s="11"/>
      <c r="R493" s="9"/>
      <c r="S493" s="12"/>
      <c r="T493" s="5"/>
      <c r="U493" s="5"/>
      <c r="V493" s="4"/>
      <c r="W493" s="4"/>
      <c r="X493" s="4"/>
      <c r="Y493" s="4"/>
    </row>
    <row r="494">
      <c r="A494" s="5"/>
      <c r="B494" s="9"/>
      <c r="C494" s="5"/>
      <c r="D494" s="9"/>
      <c r="E494" s="9"/>
      <c r="F494" s="9"/>
      <c r="G494" s="9"/>
      <c r="H494" s="9"/>
      <c r="I494" s="9"/>
      <c r="J494" s="5"/>
      <c r="K494" s="4"/>
      <c r="L494" s="10"/>
      <c r="M494" s="10"/>
      <c r="N494" s="10"/>
      <c r="O494" s="10"/>
      <c r="P494" s="10"/>
      <c r="Q494" s="11"/>
      <c r="R494" s="9"/>
      <c r="S494" s="12"/>
      <c r="T494" s="5"/>
      <c r="U494" s="5"/>
      <c r="V494" s="4"/>
      <c r="W494" s="4"/>
      <c r="X494" s="4"/>
      <c r="Y494" s="4"/>
    </row>
    <row r="495">
      <c r="A495" s="5"/>
      <c r="B495" s="9"/>
      <c r="C495" s="5"/>
      <c r="D495" s="9"/>
      <c r="E495" s="9"/>
      <c r="F495" s="9"/>
      <c r="G495" s="9"/>
      <c r="H495" s="9"/>
      <c r="I495" s="9"/>
      <c r="J495" s="5"/>
      <c r="K495" s="4"/>
      <c r="L495" s="10"/>
      <c r="M495" s="10"/>
      <c r="N495" s="10"/>
      <c r="O495" s="10"/>
      <c r="P495" s="10"/>
      <c r="Q495" s="11"/>
      <c r="R495" s="9"/>
      <c r="S495" s="12"/>
      <c r="T495" s="5"/>
      <c r="U495" s="5"/>
      <c r="V495" s="4"/>
      <c r="W495" s="4"/>
      <c r="X495" s="4"/>
      <c r="Y495" s="4"/>
    </row>
    <row r="496">
      <c r="A496" s="5"/>
      <c r="B496" s="9"/>
      <c r="C496" s="5"/>
      <c r="D496" s="9"/>
      <c r="E496" s="9"/>
      <c r="F496" s="9"/>
      <c r="G496" s="9"/>
      <c r="H496" s="9"/>
      <c r="I496" s="9"/>
      <c r="J496" s="5"/>
      <c r="K496" s="4"/>
      <c r="L496" s="10"/>
      <c r="M496" s="10"/>
      <c r="N496" s="10"/>
      <c r="O496" s="10"/>
      <c r="P496" s="10"/>
      <c r="Q496" s="11"/>
      <c r="R496" s="9"/>
      <c r="S496" s="12"/>
      <c r="T496" s="5"/>
      <c r="U496" s="5"/>
      <c r="V496" s="4"/>
      <c r="W496" s="4"/>
      <c r="X496" s="4"/>
      <c r="Y496" s="4"/>
    </row>
    <row r="497">
      <c r="A497" s="5"/>
      <c r="B497" s="9"/>
      <c r="C497" s="5"/>
      <c r="D497" s="9"/>
      <c r="E497" s="9"/>
      <c r="F497" s="9"/>
      <c r="G497" s="9"/>
      <c r="H497" s="9"/>
      <c r="I497" s="9"/>
      <c r="J497" s="5"/>
      <c r="K497" s="4"/>
      <c r="L497" s="10"/>
      <c r="M497" s="10"/>
      <c r="N497" s="10"/>
      <c r="O497" s="10"/>
      <c r="P497" s="10"/>
      <c r="Q497" s="11"/>
      <c r="R497" s="9"/>
      <c r="S497" s="12"/>
      <c r="T497" s="5"/>
      <c r="U497" s="5"/>
      <c r="V497" s="4"/>
      <c r="W497" s="4"/>
      <c r="X497" s="4"/>
      <c r="Y497" s="4"/>
    </row>
    <row r="498">
      <c r="A498" s="5"/>
      <c r="B498" s="9"/>
      <c r="C498" s="5"/>
      <c r="D498" s="9"/>
      <c r="E498" s="9"/>
      <c r="F498" s="9"/>
      <c r="G498" s="9"/>
      <c r="H498" s="9"/>
      <c r="I498" s="9"/>
      <c r="J498" s="5"/>
      <c r="K498" s="4"/>
      <c r="L498" s="10"/>
      <c r="M498" s="10"/>
      <c r="N498" s="10"/>
      <c r="O498" s="10"/>
      <c r="P498" s="10"/>
      <c r="Q498" s="11"/>
      <c r="R498" s="9"/>
      <c r="S498" s="12"/>
      <c r="T498" s="5"/>
      <c r="U498" s="5"/>
      <c r="V498" s="4"/>
      <c r="W498" s="4"/>
      <c r="X498" s="4"/>
      <c r="Y498" s="4"/>
    </row>
    <row r="499">
      <c r="A499" s="5"/>
      <c r="B499" s="9"/>
      <c r="C499" s="5"/>
      <c r="D499" s="9"/>
      <c r="E499" s="9"/>
      <c r="F499" s="9"/>
      <c r="G499" s="9"/>
      <c r="H499" s="9"/>
      <c r="I499" s="9"/>
      <c r="J499" s="5"/>
      <c r="K499" s="4"/>
      <c r="L499" s="10"/>
      <c r="M499" s="10"/>
      <c r="N499" s="10"/>
      <c r="O499" s="10"/>
      <c r="P499" s="10"/>
      <c r="Q499" s="11"/>
      <c r="R499" s="9"/>
      <c r="S499" s="12"/>
      <c r="T499" s="5"/>
      <c r="U499" s="5"/>
      <c r="V499" s="4"/>
      <c r="W499" s="4"/>
      <c r="X499" s="4"/>
      <c r="Y499" s="4"/>
    </row>
    <row r="500">
      <c r="A500" s="5"/>
      <c r="B500" s="9"/>
      <c r="C500" s="5"/>
      <c r="D500" s="9"/>
      <c r="E500" s="9"/>
      <c r="F500" s="9"/>
      <c r="G500" s="9"/>
      <c r="H500" s="9"/>
      <c r="I500" s="9"/>
      <c r="J500" s="5"/>
      <c r="K500" s="4"/>
      <c r="L500" s="10"/>
      <c r="M500" s="10"/>
      <c r="N500" s="10"/>
      <c r="O500" s="10"/>
      <c r="P500" s="10"/>
      <c r="Q500" s="11"/>
      <c r="R500" s="9"/>
      <c r="S500" s="12"/>
      <c r="T500" s="5"/>
      <c r="U500" s="5"/>
      <c r="V500" s="4"/>
      <c r="W500" s="4"/>
      <c r="X500" s="4"/>
      <c r="Y500" s="4"/>
    </row>
    <row r="501">
      <c r="A501" s="5"/>
      <c r="B501" s="9"/>
      <c r="C501" s="5"/>
      <c r="D501" s="9"/>
      <c r="E501" s="9"/>
      <c r="F501" s="9"/>
      <c r="G501" s="9"/>
      <c r="H501" s="9"/>
      <c r="I501" s="9"/>
      <c r="J501" s="5"/>
      <c r="K501" s="4"/>
      <c r="L501" s="10"/>
      <c r="M501" s="10"/>
      <c r="N501" s="10"/>
      <c r="O501" s="10"/>
      <c r="P501" s="10"/>
      <c r="Q501" s="11"/>
      <c r="R501" s="9"/>
      <c r="S501" s="12"/>
      <c r="T501" s="5"/>
      <c r="U501" s="5"/>
      <c r="V501" s="4"/>
      <c r="W501" s="4"/>
      <c r="X501" s="4"/>
      <c r="Y501" s="4"/>
    </row>
    <row r="502">
      <c r="A502" s="5"/>
      <c r="B502" s="9"/>
      <c r="C502" s="5"/>
      <c r="D502" s="9"/>
      <c r="E502" s="9"/>
      <c r="F502" s="9"/>
      <c r="G502" s="9"/>
      <c r="H502" s="9"/>
      <c r="I502" s="9"/>
      <c r="J502" s="5"/>
      <c r="K502" s="4"/>
      <c r="L502" s="10"/>
      <c r="M502" s="10"/>
      <c r="N502" s="10"/>
      <c r="O502" s="10"/>
      <c r="P502" s="10"/>
      <c r="Q502" s="11"/>
      <c r="R502" s="9"/>
      <c r="S502" s="12"/>
      <c r="T502" s="5"/>
      <c r="U502" s="5"/>
      <c r="V502" s="4"/>
      <c r="W502" s="4"/>
      <c r="X502" s="4"/>
      <c r="Y502" s="4"/>
    </row>
    <row r="503">
      <c r="A503" s="5"/>
      <c r="B503" s="9"/>
      <c r="C503" s="5"/>
      <c r="D503" s="9"/>
      <c r="E503" s="9"/>
      <c r="F503" s="9"/>
      <c r="G503" s="9"/>
      <c r="H503" s="9"/>
      <c r="I503" s="9"/>
      <c r="J503" s="5"/>
      <c r="K503" s="4"/>
      <c r="L503" s="10"/>
      <c r="M503" s="10"/>
      <c r="N503" s="10"/>
      <c r="O503" s="10"/>
      <c r="P503" s="10"/>
      <c r="Q503" s="11"/>
      <c r="R503" s="9"/>
      <c r="S503" s="12"/>
      <c r="T503" s="5"/>
      <c r="U503" s="5"/>
      <c r="V503" s="4"/>
      <c r="W503" s="4"/>
      <c r="X503" s="4"/>
      <c r="Y503" s="4"/>
    </row>
    <row r="504">
      <c r="A504" s="5"/>
      <c r="B504" s="9"/>
      <c r="C504" s="5"/>
      <c r="D504" s="9"/>
      <c r="E504" s="9"/>
      <c r="F504" s="9"/>
      <c r="G504" s="9"/>
      <c r="H504" s="9"/>
      <c r="I504" s="9"/>
      <c r="J504" s="5"/>
      <c r="K504" s="4"/>
      <c r="L504" s="10"/>
      <c r="M504" s="10"/>
      <c r="N504" s="10"/>
      <c r="O504" s="10"/>
      <c r="P504" s="10"/>
      <c r="Q504" s="11"/>
      <c r="R504" s="9"/>
      <c r="S504" s="12"/>
      <c r="T504" s="5"/>
      <c r="U504" s="5"/>
      <c r="V504" s="4"/>
      <c r="W504" s="4"/>
      <c r="X504" s="4"/>
      <c r="Y504" s="4"/>
    </row>
    <row r="505">
      <c r="A505" s="5"/>
      <c r="B505" s="9"/>
      <c r="C505" s="5"/>
      <c r="D505" s="9"/>
      <c r="E505" s="9"/>
      <c r="F505" s="9"/>
      <c r="G505" s="9"/>
      <c r="H505" s="9"/>
      <c r="I505" s="9"/>
      <c r="J505" s="5"/>
      <c r="K505" s="4"/>
      <c r="L505" s="10"/>
      <c r="M505" s="10"/>
      <c r="N505" s="10"/>
      <c r="O505" s="10"/>
      <c r="P505" s="10"/>
      <c r="Q505" s="11"/>
      <c r="R505" s="9"/>
      <c r="S505" s="12"/>
      <c r="T505" s="5"/>
      <c r="U505" s="5"/>
      <c r="V505" s="4"/>
      <c r="W505" s="4"/>
      <c r="X505" s="4"/>
      <c r="Y505" s="4"/>
    </row>
    <row r="506">
      <c r="A506" s="5"/>
      <c r="B506" s="9"/>
      <c r="C506" s="5"/>
      <c r="D506" s="9"/>
      <c r="E506" s="9"/>
      <c r="F506" s="9"/>
      <c r="G506" s="9"/>
      <c r="H506" s="9"/>
      <c r="I506" s="9"/>
      <c r="J506" s="5"/>
      <c r="K506" s="4"/>
      <c r="L506" s="10"/>
      <c r="M506" s="10"/>
      <c r="N506" s="10"/>
      <c r="O506" s="10"/>
      <c r="P506" s="10"/>
      <c r="Q506" s="11"/>
      <c r="R506" s="9"/>
      <c r="S506" s="12"/>
      <c r="T506" s="5"/>
      <c r="U506" s="5"/>
      <c r="V506" s="4"/>
      <c r="W506" s="4"/>
      <c r="X506" s="4"/>
      <c r="Y506" s="4"/>
    </row>
    <row r="507">
      <c r="A507" s="5"/>
      <c r="B507" s="9"/>
      <c r="C507" s="5"/>
      <c r="D507" s="9"/>
      <c r="E507" s="9"/>
      <c r="F507" s="9"/>
      <c r="G507" s="9"/>
      <c r="H507" s="9"/>
      <c r="I507" s="9"/>
      <c r="J507" s="5"/>
      <c r="K507" s="4"/>
      <c r="L507" s="10"/>
      <c r="M507" s="10"/>
      <c r="N507" s="10"/>
      <c r="O507" s="10"/>
      <c r="P507" s="10"/>
      <c r="Q507" s="11"/>
      <c r="R507" s="9"/>
      <c r="S507" s="12"/>
      <c r="T507" s="5"/>
      <c r="U507" s="5"/>
      <c r="V507" s="4"/>
      <c r="W507" s="4"/>
      <c r="X507" s="4"/>
      <c r="Y507" s="4"/>
    </row>
    <row r="508">
      <c r="A508" s="5"/>
      <c r="B508" s="9"/>
      <c r="C508" s="5"/>
      <c r="D508" s="9"/>
      <c r="E508" s="9"/>
      <c r="F508" s="9"/>
      <c r="G508" s="9"/>
      <c r="H508" s="9"/>
      <c r="I508" s="9"/>
      <c r="J508" s="5"/>
      <c r="K508" s="4"/>
      <c r="L508" s="10"/>
      <c r="M508" s="10"/>
      <c r="N508" s="10"/>
      <c r="O508" s="10"/>
      <c r="P508" s="10"/>
      <c r="Q508" s="11"/>
      <c r="R508" s="9"/>
      <c r="S508" s="12"/>
      <c r="T508" s="5"/>
      <c r="U508" s="5"/>
      <c r="V508" s="4"/>
      <c r="W508" s="4"/>
      <c r="X508" s="4"/>
      <c r="Y508" s="4"/>
    </row>
    <row r="509">
      <c r="A509" s="5"/>
      <c r="B509" s="9"/>
      <c r="C509" s="5"/>
      <c r="D509" s="9"/>
      <c r="E509" s="9"/>
      <c r="F509" s="9"/>
      <c r="G509" s="9"/>
      <c r="H509" s="9"/>
      <c r="I509" s="9"/>
      <c r="J509" s="5"/>
      <c r="K509" s="4"/>
      <c r="L509" s="10"/>
      <c r="M509" s="10"/>
      <c r="N509" s="10"/>
      <c r="O509" s="10"/>
      <c r="P509" s="10"/>
      <c r="Q509" s="11"/>
      <c r="R509" s="9"/>
      <c r="S509" s="12"/>
      <c r="T509" s="5"/>
      <c r="U509" s="5"/>
      <c r="V509" s="4"/>
      <c r="W509" s="4"/>
      <c r="X509" s="4"/>
      <c r="Y509" s="4"/>
    </row>
    <row r="510">
      <c r="A510" s="5"/>
      <c r="B510" s="9"/>
      <c r="C510" s="5"/>
      <c r="D510" s="9"/>
      <c r="E510" s="9"/>
      <c r="F510" s="9"/>
      <c r="G510" s="9"/>
      <c r="H510" s="9"/>
      <c r="I510" s="9"/>
      <c r="J510" s="5"/>
      <c r="K510" s="4"/>
      <c r="L510" s="10"/>
      <c r="M510" s="10"/>
      <c r="N510" s="10"/>
      <c r="O510" s="10"/>
      <c r="P510" s="10"/>
      <c r="Q510" s="11"/>
      <c r="R510" s="9"/>
      <c r="S510" s="12"/>
      <c r="T510" s="5"/>
      <c r="U510" s="5"/>
      <c r="V510" s="4"/>
      <c r="W510" s="4"/>
      <c r="X510" s="4"/>
      <c r="Y510" s="4"/>
    </row>
    <row r="511">
      <c r="A511" s="5"/>
      <c r="B511" s="9"/>
      <c r="C511" s="5"/>
      <c r="D511" s="9"/>
      <c r="E511" s="9"/>
      <c r="F511" s="9"/>
      <c r="G511" s="9"/>
      <c r="H511" s="9"/>
      <c r="I511" s="9"/>
      <c r="J511" s="5"/>
      <c r="K511" s="4"/>
      <c r="L511" s="10"/>
      <c r="M511" s="10"/>
      <c r="N511" s="10"/>
      <c r="O511" s="10"/>
      <c r="P511" s="10"/>
      <c r="Q511" s="11"/>
      <c r="R511" s="9"/>
      <c r="S511" s="12"/>
      <c r="T511" s="5"/>
      <c r="U511" s="5"/>
      <c r="V511" s="4"/>
      <c r="W511" s="4"/>
      <c r="X511" s="4"/>
      <c r="Y511" s="4"/>
    </row>
    <row r="512">
      <c r="A512" s="5"/>
      <c r="B512" s="9"/>
      <c r="C512" s="5"/>
      <c r="D512" s="9"/>
      <c r="E512" s="9"/>
      <c r="F512" s="9"/>
      <c r="G512" s="9"/>
      <c r="H512" s="9"/>
      <c r="I512" s="9"/>
      <c r="J512" s="5"/>
      <c r="K512" s="4"/>
      <c r="L512" s="10"/>
      <c r="M512" s="10"/>
      <c r="N512" s="10"/>
      <c r="O512" s="10"/>
      <c r="P512" s="10"/>
      <c r="Q512" s="11"/>
      <c r="R512" s="9"/>
      <c r="S512" s="12"/>
      <c r="T512" s="5"/>
      <c r="U512" s="5"/>
      <c r="V512" s="4"/>
      <c r="W512" s="4"/>
      <c r="X512" s="4"/>
      <c r="Y512" s="4"/>
    </row>
    <row r="513">
      <c r="A513" s="5"/>
      <c r="B513" s="9"/>
      <c r="C513" s="5"/>
      <c r="D513" s="9"/>
      <c r="E513" s="9"/>
      <c r="F513" s="9"/>
      <c r="G513" s="9"/>
      <c r="H513" s="9"/>
      <c r="I513" s="9"/>
      <c r="J513" s="5"/>
      <c r="K513" s="4"/>
      <c r="L513" s="10"/>
      <c r="M513" s="10"/>
      <c r="N513" s="10"/>
      <c r="O513" s="10"/>
      <c r="P513" s="10"/>
      <c r="Q513" s="11"/>
      <c r="R513" s="9"/>
      <c r="S513" s="12"/>
      <c r="T513" s="5"/>
      <c r="U513" s="5"/>
      <c r="V513" s="4"/>
      <c r="W513" s="4"/>
      <c r="X513" s="4"/>
      <c r="Y513" s="4"/>
    </row>
    <row r="514">
      <c r="A514" s="5"/>
      <c r="B514" s="9"/>
      <c r="C514" s="5"/>
      <c r="D514" s="9"/>
      <c r="E514" s="9"/>
      <c r="F514" s="9"/>
      <c r="G514" s="9"/>
      <c r="H514" s="9"/>
      <c r="I514" s="9"/>
      <c r="J514" s="5"/>
      <c r="K514" s="4"/>
      <c r="L514" s="10"/>
      <c r="M514" s="10"/>
      <c r="N514" s="10"/>
      <c r="O514" s="10"/>
      <c r="P514" s="10"/>
      <c r="Q514" s="11"/>
      <c r="R514" s="9"/>
      <c r="S514" s="12"/>
      <c r="T514" s="5"/>
      <c r="U514" s="5"/>
      <c r="V514" s="4"/>
      <c r="W514" s="4"/>
      <c r="X514" s="4"/>
      <c r="Y514" s="4"/>
    </row>
    <row r="515">
      <c r="A515" s="5"/>
      <c r="B515" s="9"/>
      <c r="C515" s="5"/>
      <c r="D515" s="9"/>
      <c r="E515" s="9"/>
      <c r="F515" s="9"/>
      <c r="G515" s="9"/>
      <c r="H515" s="9"/>
      <c r="I515" s="9"/>
      <c r="J515" s="5"/>
      <c r="K515" s="4"/>
      <c r="L515" s="10"/>
      <c r="M515" s="10"/>
      <c r="N515" s="10"/>
      <c r="O515" s="10"/>
      <c r="P515" s="10"/>
      <c r="Q515" s="11"/>
      <c r="R515" s="9"/>
      <c r="S515" s="12"/>
      <c r="T515" s="5"/>
      <c r="U515" s="5"/>
      <c r="V515" s="4"/>
      <c r="W515" s="4"/>
      <c r="X515" s="4"/>
      <c r="Y515" s="4"/>
    </row>
    <row r="516">
      <c r="A516" s="5"/>
      <c r="B516" s="9"/>
      <c r="C516" s="5"/>
      <c r="D516" s="9"/>
      <c r="E516" s="9"/>
      <c r="F516" s="9"/>
      <c r="G516" s="9"/>
      <c r="H516" s="9"/>
      <c r="I516" s="9"/>
      <c r="J516" s="5"/>
      <c r="K516" s="4"/>
      <c r="L516" s="10"/>
      <c r="M516" s="10"/>
      <c r="N516" s="10"/>
      <c r="O516" s="10"/>
      <c r="P516" s="10"/>
      <c r="Q516" s="11"/>
      <c r="R516" s="9"/>
      <c r="S516" s="12"/>
      <c r="T516" s="5"/>
      <c r="U516" s="5"/>
      <c r="V516" s="4"/>
      <c r="W516" s="4"/>
      <c r="X516" s="4"/>
      <c r="Y516" s="4"/>
    </row>
    <row r="517">
      <c r="A517" s="5"/>
      <c r="B517" s="9"/>
      <c r="C517" s="5"/>
      <c r="D517" s="9"/>
      <c r="E517" s="9"/>
      <c r="F517" s="9"/>
      <c r="G517" s="9"/>
      <c r="H517" s="9"/>
      <c r="I517" s="9"/>
      <c r="J517" s="5"/>
      <c r="K517" s="4"/>
      <c r="L517" s="10"/>
      <c r="M517" s="10"/>
      <c r="N517" s="10"/>
      <c r="O517" s="10"/>
      <c r="P517" s="10"/>
      <c r="Q517" s="11"/>
      <c r="R517" s="9"/>
      <c r="S517" s="12"/>
      <c r="T517" s="5"/>
      <c r="U517" s="5"/>
      <c r="V517" s="4"/>
      <c r="W517" s="4"/>
      <c r="X517" s="4"/>
      <c r="Y517" s="4"/>
    </row>
    <row r="518">
      <c r="A518" s="5"/>
      <c r="B518" s="9"/>
      <c r="C518" s="5"/>
      <c r="D518" s="9"/>
      <c r="E518" s="9"/>
      <c r="F518" s="9"/>
      <c r="G518" s="9"/>
      <c r="H518" s="9"/>
      <c r="I518" s="9"/>
      <c r="J518" s="5"/>
      <c r="K518" s="4"/>
      <c r="L518" s="10"/>
      <c r="M518" s="10"/>
      <c r="N518" s="10"/>
      <c r="O518" s="10"/>
      <c r="P518" s="10"/>
      <c r="Q518" s="11"/>
      <c r="R518" s="9"/>
      <c r="S518" s="12"/>
      <c r="T518" s="5"/>
      <c r="U518" s="5"/>
      <c r="V518" s="4"/>
      <c r="W518" s="4"/>
      <c r="X518" s="4"/>
      <c r="Y518" s="4"/>
    </row>
    <row r="519">
      <c r="A519" s="5"/>
      <c r="B519" s="9"/>
      <c r="C519" s="5"/>
      <c r="D519" s="9"/>
      <c r="E519" s="9"/>
      <c r="F519" s="9"/>
      <c r="G519" s="9"/>
      <c r="H519" s="9"/>
      <c r="I519" s="9"/>
      <c r="J519" s="5"/>
      <c r="K519" s="4"/>
      <c r="L519" s="10"/>
      <c r="M519" s="10"/>
      <c r="N519" s="10"/>
      <c r="O519" s="10"/>
      <c r="P519" s="10"/>
      <c r="Q519" s="11"/>
      <c r="R519" s="9"/>
      <c r="S519" s="12"/>
      <c r="T519" s="5"/>
      <c r="U519" s="5"/>
      <c r="V519" s="4"/>
      <c r="W519" s="4"/>
      <c r="X519" s="4"/>
      <c r="Y519" s="4"/>
    </row>
    <row r="520">
      <c r="A520" s="5"/>
      <c r="B520" s="9"/>
      <c r="C520" s="5"/>
      <c r="D520" s="9"/>
      <c r="E520" s="9"/>
      <c r="F520" s="9"/>
      <c r="G520" s="9"/>
      <c r="H520" s="9"/>
      <c r="I520" s="9"/>
      <c r="J520" s="5"/>
      <c r="K520" s="4"/>
      <c r="L520" s="10"/>
      <c r="M520" s="10"/>
      <c r="N520" s="10"/>
      <c r="O520" s="10"/>
      <c r="P520" s="10"/>
      <c r="Q520" s="11"/>
      <c r="R520" s="9"/>
      <c r="S520" s="12"/>
      <c r="T520" s="5"/>
      <c r="U520" s="5"/>
      <c r="V520" s="4"/>
      <c r="W520" s="4"/>
      <c r="X520" s="4"/>
      <c r="Y520" s="4"/>
    </row>
    <row r="521">
      <c r="A521" s="5"/>
      <c r="B521" s="9"/>
      <c r="C521" s="5"/>
      <c r="D521" s="9"/>
      <c r="E521" s="9"/>
      <c r="F521" s="9"/>
      <c r="G521" s="9"/>
      <c r="H521" s="9"/>
      <c r="I521" s="9"/>
      <c r="J521" s="5"/>
      <c r="K521" s="4"/>
      <c r="L521" s="10"/>
      <c r="M521" s="10"/>
      <c r="N521" s="10"/>
      <c r="O521" s="10"/>
      <c r="P521" s="10"/>
      <c r="Q521" s="11"/>
      <c r="R521" s="9"/>
      <c r="S521" s="12"/>
      <c r="T521" s="5"/>
      <c r="U521" s="5"/>
      <c r="V521" s="4"/>
      <c r="W521" s="4"/>
      <c r="X521" s="4"/>
      <c r="Y521" s="4"/>
    </row>
    <row r="522">
      <c r="A522" s="5"/>
      <c r="B522" s="9"/>
      <c r="C522" s="5"/>
      <c r="D522" s="9"/>
      <c r="E522" s="9"/>
      <c r="F522" s="9"/>
      <c r="G522" s="9"/>
      <c r="H522" s="9"/>
      <c r="I522" s="9"/>
      <c r="J522" s="5"/>
      <c r="K522" s="4"/>
      <c r="L522" s="10"/>
      <c r="M522" s="10"/>
      <c r="N522" s="10"/>
      <c r="O522" s="10"/>
      <c r="P522" s="10"/>
      <c r="Q522" s="11"/>
      <c r="R522" s="9"/>
      <c r="S522" s="12"/>
      <c r="T522" s="5"/>
      <c r="U522" s="5"/>
      <c r="V522" s="4"/>
      <c r="W522" s="4"/>
      <c r="X522" s="4"/>
      <c r="Y522" s="4"/>
    </row>
    <row r="523">
      <c r="A523" s="5"/>
      <c r="B523" s="9"/>
      <c r="C523" s="5"/>
      <c r="D523" s="9"/>
      <c r="E523" s="9"/>
      <c r="F523" s="9"/>
      <c r="G523" s="9"/>
      <c r="H523" s="9"/>
      <c r="I523" s="9"/>
      <c r="J523" s="5"/>
      <c r="K523" s="4"/>
      <c r="L523" s="10"/>
      <c r="M523" s="10"/>
      <c r="N523" s="10"/>
      <c r="O523" s="10"/>
      <c r="P523" s="10"/>
      <c r="Q523" s="11"/>
      <c r="R523" s="9"/>
      <c r="S523" s="12"/>
      <c r="T523" s="5"/>
      <c r="U523" s="5"/>
      <c r="V523" s="4"/>
      <c r="W523" s="4"/>
      <c r="X523" s="4"/>
      <c r="Y523" s="4"/>
    </row>
    <row r="524">
      <c r="A524" s="5"/>
      <c r="B524" s="9"/>
      <c r="C524" s="5"/>
      <c r="D524" s="9"/>
      <c r="E524" s="9"/>
      <c r="F524" s="9"/>
      <c r="G524" s="9"/>
      <c r="H524" s="9"/>
      <c r="I524" s="9"/>
      <c r="J524" s="5"/>
      <c r="K524" s="4"/>
      <c r="L524" s="10"/>
      <c r="M524" s="10"/>
      <c r="N524" s="10"/>
      <c r="O524" s="10"/>
      <c r="P524" s="10"/>
      <c r="Q524" s="11"/>
      <c r="R524" s="9"/>
      <c r="S524" s="12"/>
      <c r="T524" s="5"/>
      <c r="U524" s="5"/>
      <c r="V524" s="4"/>
      <c r="W524" s="4"/>
      <c r="X524" s="4"/>
      <c r="Y524" s="4"/>
    </row>
    <row r="525">
      <c r="A525" s="5"/>
      <c r="B525" s="9"/>
      <c r="C525" s="5"/>
      <c r="D525" s="9"/>
      <c r="E525" s="9"/>
      <c r="F525" s="9"/>
      <c r="G525" s="9"/>
      <c r="H525" s="9"/>
      <c r="I525" s="9"/>
      <c r="J525" s="5"/>
      <c r="K525" s="4"/>
      <c r="L525" s="10"/>
      <c r="M525" s="10"/>
      <c r="N525" s="10"/>
      <c r="O525" s="10"/>
      <c r="P525" s="10"/>
      <c r="Q525" s="11"/>
      <c r="R525" s="9"/>
      <c r="S525" s="12"/>
      <c r="T525" s="5"/>
      <c r="U525" s="5"/>
      <c r="V525" s="4"/>
      <c r="W525" s="4"/>
      <c r="X525" s="4"/>
      <c r="Y525" s="4"/>
    </row>
    <row r="526">
      <c r="A526" s="5"/>
      <c r="B526" s="9"/>
      <c r="C526" s="5"/>
      <c r="D526" s="9"/>
      <c r="E526" s="9"/>
      <c r="F526" s="9"/>
      <c r="G526" s="9"/>
      <c r="H526" s="9"/>
      <c r="I526" s="9"/>
      <c r="J526" s="5"/>
      <c r="K526" s="4"/>
      <c r="L526" s="10"/>
      <c r="M526" s="10"/>
      <c r="N526" s="10"/>
      <c r="O526" s="10"/>
      <c r="P526" s="10"/>
      <c r="Q526" s="11"/>
      <c r="R526" s="9"/>
      <c r="S526" s="12"/>
      <c r="T526" s="5"/>
      <c r="U526" s="5"/>
      <c r="V526" s="4"/>
      <c r="W526" s="4"/>
      <c r="X526" s="4"/>
      <c r="Y526" s="4"/>
    </row>
    <row r="527">
      <c r="A527" s="5"/>
      <c r="B527" s="9"/>
      <c r="C527" s="5"/>
      <c r="D527" s="9"/>
      <c r="E527" s="9"/>
      <c r="F527" s="9"/>
      <c r="G527" s="9"/>
      <c r="H527" s="9"/>
      <c r="I527" s="9"/>
      <c r="J527" s="5"/>
      <c r="K527" s="4"/>
      <c r="L527" s="10"/>
      <c r="M527" s="10"/>
      <c r="N527" s="10"/>
      <c r="O527" s="10"/>
      <c r="P527" s="10"/>
      <c r="Q527" s="11"/>
      <c r="R527" s="9"/>
      <c r="S527" s="12"/>
      <c r="T527" s="5"/>
      <c r="U527" s="5"/>
      <c r="V527" s="4"/>
      <c r="W527" s="4"/>
      <c r="X527" s="4"/>
      <c r="Y527" s="4"/>
    </row>
    <row r="528">
      <c r="A528" s="5"/>
      <c r="B528" s="9"/>
      <c r="C528" s="5"/>
      <c r="D528" s="9"/>
      <c r="E528" s="9"/>
      <c r="F528" s="9"/>
      <c r="G528" s="9"/>
      <c r="H528" s="9"/>
      <c r="I528" s="9"/>
      <c r="J528" s="5"/>
      <c r="K528" s="4"/>
      <c r="L528" s="10"/>
      <c r="M528" s="10"/>
      <c r="N528" s="10"/>
      <c r="O528" s="10"/>
      <c r="P528" s="10"/>
      <c r="Q528" s="11"/>
      <c r="R528" s="9"/>
      <c r="S528" s="12"/>
      <c r="T528" s="5"/>
      <c r="U528" s="5"/>
      <c r="V528" s="4"/>
      <c r="W528" s="4"/>
      <c r="X528" s="4"/>
      <c r="Y528" s="4"/>
    </row>
    <row r="529">
      <c r="A529" s="5"/>
      <c r="B529" s="9"/>
      <c r="C529" s="5"/>
      <c r="D529" s="9"/>
      <c r="E529" s="9"/>
      <c r="F529" s="9"/>
      <c r="G529" s="9"/>
      <c r="H529" s="9"/>
      <c r="I529" s="9"/>
      <c r="J529" s="5"/>
      <c r="K529" s="4"/>
      <c r="L529" s="10"/>
      <c r="M529" s="10"/>
      <c r="N529" s="10"/>
      <c r="O529" s="10"/>
      <c r="P529" s="10"/>
      <c r="Q529" s="11"/>
      <c r="R529" s="9"/>
      <c r="S529" s="12"/>
      <c r="T529" s="5"/>
      <c r="U529" s="5"/>
      <c r="V529" s="4"/>
      <c r="W529" s="4"/>
      <c r="X529" s="4"/>
      <c r="Y529" s="4"/>
    </row>
    <row r="530">
      <c r="A530" s="5"/>
      <c r="B530" s="9"/>
      <c r="C530" s="5"/>
      <c r="D530" s="9"/>
      <c r="E530" s="9"/>
      <c r="F530" s="9"/>
      <c r="G530" s="9"/>
      <c r="H530" s="9"/>
      <c r="I530" s="9"/>
      <c r="J530" s="5"/>
      <c r="K530" s="4"/>
      <c r="L530" s="10"/>
      <c r="M530" s="10"/>
      <c r="N530" s="10"/>
      <c r="O530" s="10"/>
      <c r="P530" s="10"/>
      <c r="Q530" s="11"/>
      <c r="R530" s="9"/>
      <c r="S530" s="12"/>
      <c r="T530" s="5"/>
      <c r="U530" s="5"/>
      <c r="V530" s="4"/>
      <c r="W530" s="4"/>
      <c r="X530" s="4"/>
      <c r="Y530" s="4"/>
    </row>
    <row r="531">
      <c r="A531" s="5"/>
      <c r="B531" s="9"/>
      <c r="C531" s="5"/>
      <c r="D531" s="9"/>
      <c r="E531" s="9"/>
      <c r="F531" s="9"/>
      <c r="G531" s="9"/>
      <c r="H531" s="9"/>
      <c r="I531" s="9"/>
      <c r="J531" s="5"/>
      <c r="K531" s="4"/>
      <c r="L531" s="10"/>
      <c r="M531" s="10"/>
      <c r="N531" s="10"/>
      <c r="O531" s="10"/>
      <c r="P531" s="10"/>
      <c r="Q531" s="11"/>
      <c r="R531" s="9"/>
      <c r="S531" s="12"/>
      <c r="T531" s="5"/>
      <c r="U531" s="5"/>
      <c r="V531" s="4"/>
      <c r="W531" s="4"/>
      <c r="X531" s="4"/>
      <c r="Y531" s="4"/>
    </row>
    <row r="532">
      <c r="A532" s="5"/>
      <c r="B532" s="9"/>
      <c r="C532" s="5"/>
      <c r="D532" s="9"/>
      <c r="E532" s="9"/>
      <c r="F532" s="9"/>
      <c r="G532" s="9"/>
      <c r="H532" s="9"/>
      <c r="I532" s="9"/>
      <c r="J532" s="5"/>
      <c r="K532" s="4"/>
      <c r="L532" s="10"/>
      <c r="M532" s="10"/>
      <c r="N532" s="10"/>
      <c r="O532" s="10"/>
      <c r="P532" s="10"/>
      <c r="Q532" s="11"/>
      <c r="R532" s="9"/>
      <c r="S532" s="12"/>
      <c r="T532" s="5"/>
      <c r="U532" s="5"/>
      <c r="V532" s="4"/>
      <c r="W532" s="4"/>
      <c r="X532" s="4"/>
      <c r="Y532" s="4"/>
    </row>
    <row r="533">
      <c r="A533" s="5"/>
      <c r="B533" s="9"/>
      <c r="C533" s="5"/>
      <c r="D533" s="9"/>
      <c r="E533" s="9"/>
      <c r="F533" s="9"/>
      <c r="G533" s="9"/>
      <c r="H533" s="9"/>
      <c r="I533" s="9"/>
      <c r="J533" s="5"/>
      <c r="K533" s="4"/>
      <c r="L533" s="10"/>
      <c r="M533" s="10"/>
      <c r="N533" s="10"/>
      <c r="O533" s="10"/>
      <c r="P533" s="10"/>
      <c r="Q533" s="11"/>
      <c r="R533" s="9"/>
      <c r="S533" s="12"/>
      <c r="T533" s="5"/>
      <c r="U533" s="5"/>
      <c r="V533" s="4"/>
      <c r="W533" s="4"/>
      <c r="X533" s="4"/>
      <c r="Y533" s="4"/>
    </row>
    <row r="534">
      <c r="A534" s="5"/>
      <c r="B534" s="9"/>
      <c r="C534" s="5"/>
      <c r="D534" s="9"/>
      <c r="E534" s="9"/>
      <c r="F534" s="9"/>
      <c r="G534" s="9"/>
      <c r="H534" s="9"/>
      <c r="I534" s="9"/>
      <c r="J534" s="5"/>
      <c r="K534" s="4"/>
      <c r="L534" s="10"/>
      <c r="M534" s="10"/>
      <c r="N534" s="10"/>
      <c r="O534" s="10"/>
      <c r="P534" s="10"/>
      <c r="Q534" s="11"/>
      <c r="R534" s="9"/>
      <c r="S534" s="12"/>
      <c r="T534" s="5"/>
      <c r="U534" s="5"/>
      <c r="V534" s="4"/>
      <c r="W534" s="4"/>
      <c r="X534" s="4"/>
      <c r="Y534" s="4"/>
    </row>
    <row r="535">
      <c r="A535" s="5"/>
      <c r="B535" s="9"/>
      <c r="C535" s="5"/>
      <c r="D535" s="9"/>
      <c r="E535" s="9"/>
      <c r="F535" s="9"/>
      <c r="G535" s="9"/>
      <c r="H535" s="9"/>
      <c r="I535" s="9"/>
      <c r="J535" s="5"/>
      <c r="K535" s="4"/>
      <c r="L535" s="10"/>
      <c r="M535" s="10"/>
      <c r="N535" s="10"/>
      <c r="O535" s="10"/>
      <c r="P535" s="10"/>
      <c r="Q535" s="11"/>
      <c r="R535" s="9"/>
      <c r="S535" s="12"/>
      <c r="T535" s="5"/>
      <c r="U535" s="5"/>
      <c r="V535" s="4"/>
      <c r="W535" s="4"/>
      <c r="X535" s="4"/>
      <c r="Y535" s="4"/>
    </row>
    <row r="536">
      <c r="A536" s="5"/>
      <c r="B536" s="9"/>
      <c r="C536" s="5"/>
      <c r="D536" s="9"/>
      <c r="E536" s="9"/>
      <c r="F536" s="9"/>
      <c r="G536" s="9"/>
      <c r="H536" s="9"/>
      <c r="I536" s="9"/>
      <c r="J536" s="5"/>
      <c r="K536" s="4"/>
      <c r="L536" s="10"/>
      <c r="M536" s="10"/>
      <c r="N536" s="10"/>
      <c r="O536" s="10"/>
      <c r="P536" s="10"/>
      <c r="Q536" s="11"/>
      <c r="R536" s="9"/>
      <c r="S536" s="12"/>
      <c r="T536" s="5"/>
      <c r="U536" s="5"/>
      <c r="V536" s="4"/>
      <c r="W536" s="4"/>
      <c r="X536" s="4"/>
      <c r="Y536" s="4"/>
    </row>
    <row r="537">
      <c r="A537" s="5"/>
      <c r="B537" s="9"/>
      <c r="C537" s="5"/>
      <c r="D537" s="9"/>
      <c r="E537" s="9"/>
      <c r="F537" s="9"/>
      <c r="G537" s="9"/>
      <c r="H537" s="9"/>
      <c r="I537" s="9"/>
      <c r="J537" s="5"/>
      <c r="K537" s="4"/>
      <c r="L537" s="10"/>
      <c r="M537" s="10"/>
      <c r="N537" s="10"/>
      <c r="O537" s="10"/>
      <c r="P537" s="10"/>
      <c r="Q537" s="11"/>
      <c r="R537" s="9"/>
      <c r="S537" s="12"/>
      <c r="T537" s="5"/>
      <c r="U537" s="5"/>
      <c r="V537" s="4"/>
      <c r="W537" s="4"/>
      <c r="X537" s="4"/>
      <c r="Y537" s="4"/>
    </row>
    <row r="538">
      <c r="A538" s="5"/>
      <c r="B538" s="9"/>
      <c r="C538" s="5"/>
      <c r="D538" s="9"/>
      <c r="E538" s="9"/>
      <c r="F538" s="9"/>
      <c r="G538" s="9"/>
      <c r="H538" s="9"/>
      <c r="I538" s="9"/>
      <c r="J538" s="5"/>
      <c r="K538" s="4"/>
      <c r="L538" s="10"/>
      <c r="M538" s="10"/>
      <c r="N538" s="10"/>
      <c r="O538" s="10"/>
      <c r="P538" s="10"/>
      <c r="Q538" s="11"/>
      <c r="R538" s="9"/>
      <c r="S538" s="12"/>
      <c r="T538" s="5"/>
      <c r="U538" s="5"/>
      <c r="V538" s="4"/>
      <c r="W538" s="4"/>
      <c r="X538" s="4"/>
      <c r="Y538" s="4"/>
    </row>
    <row r="539">
      <c r="A539" s="5"/>
      <c r="B539" s="9"/>
      <c r="C539" s="5"/>
      <c r="D539" s="9"/>
      <c r="E539" s="9"/>
      <c r="F539" s="9"/>
      <c r="G539" s="9"/>
      <c r="H539" s="9"/>
      <c r="I539" s="9"/>
      <c r="J539" s="5"/>
      <c r="K539" s="4"/>
      <c r="L539" s="10"/>
      <c r="M539" s="10"/>
      <c r="N539" s="10"/>
      <c r="O539" s="10"/>
      <c r="P539" s="10"/>
      <c r="Q539" s="11"/>
      <c r="R539" s="9"/>
      <c r="S539" s="12"/>
      <c r="T539" s="5"/>
      <c r="U539" s="5"/>
      <c r="V539" s="4"/>
      <c r="W539" s="4"/>
      <c r="X539" s="4"/>
      <c r="Y539" s="4"/>
    </row>
    <row r="540">
      <c r="A540" s="5"/>
      <c r="B540" s="9"/>
      <c r="C540" s="5"/>
      <c r="D540" s="9"/>
      <c r="E540" s="9"/>
      <c r="F540" s="9"/>
      <c r="G540" s="9"/>
      <c r="H540" s="9"/>
      <c r="I540" s="9"/>
      <c r="J540" s="5"/>
      <c r="K540" s="4"/>
      <c r="L540" s="10"/>
      <c r="M540" s="10"/>
      <c r="N540" s="10"/>
      <c r="O540" s="10"/>
      <c r="P540" s="10"/>
      <c r="Q540" s="11"/>
      <c r="R540" s="9"/>
      <c r="S540" s="12"/>
      <c r="T540" s="5"/>
      <c r="U540" s="5"/>
      <c r="V540" s="4"/>
      <c r="W540" s="4"/>
      <c r="X540" s="4"/>
      <c r="Y540" s="4"/>
    </row>
    <row r="541">
      <c r="A541" s="5"/>
      <c r="B541" s="9"/>
      <c r="C541" s="5"/>
      <c r="D541" s="9"/>
      <c r="E541" s="9"/>
      <c r="F541" s="9"/>
      <c r="G541" s="9"/>
      <c r="H541" s="9"/>
      <c r="I541" s="9"/>
      <c r="J541" s="5"/>
      <c r="K541" s="4"/>
      <c r="L541" s="10"/>
      <c r="M541" s="10"/>
      <c r="N541" s="10"/>
      <c r="O541" s="10"/>
      <c r="P541" s="10"/>
      <c r="Q541" s="11"/>
      <c r="R541" s="9"/>
      <c r="S541" s="12"/>
      <c r="T541" s="5"/>
      <c r="U541" s="5"/>
      <c r="V541" s="4"/>
      <c r="W541" s="4"/>
      <c r="X541" s="4"/>
      <c r="Y541" s="4"/>
    </row>
    <row r="542">
      <c r="A542" s="5"/>
      <c r="B542" s="9"/>
      <c r="C542" s="5"/>
      <c r="D542" s="9"/>
      <c r="E542" s="9"/>
      <c r="F542" s="9"/>
      <c r="G542" s="9"/>
      <c r="H542" s="9"/>
      <c r="I542" s="9"/>
      <c r="J542" s="5"/>
      <c r="K542" s="4"/>
      <c r="L542" s="10"/>
      <c r="M542" s="10"/>
      <c r="N542" s="10"/>
      <c r="O542" s="10"/>
      <c r="P542" s="10"/>
      <c r="Q542" s="11"/>
      <c r="R542" s="9"/>
      <c r="S542" s="12"/>
      <c r="T542" s="5"/>
      <c r="U542" s="5"/>
      <c r="V542" s="4"/>
      <c r="W542" s="4"/>
      <c r="X542" s="4"/>
      <c r="Y542" s="4"/>
    </row>
    <row r="543">
      <c r="A543" s="5"/>
      <c r="B543" s="9"/>
      <c r="C543" s="5"/>
      <c r="D543" s="9"/>
      <c r="E543" s="9"/>
      <c r="F543" s="9"/>
      <c r="G543" s="9"/>
      <c r="H543" s="9"/>
      <c r="I543" s="9"/>
      <c r="J543" s="5"/>
      <c r="K543" s="4"/>
      <c r="L543" s="10"/>
      <c r="M543" s="10"/>
      <c r="N543" s="10"/>
      <c r="O543" s="10"/>
      <c r="P543" s="10"/>
      <c r="Q543" s="11"/>
      <c r="R543" s="9"/>
      <c r="S543" s="12"/>
      <c r="T543" s="5"/>
      <c r="U543" s="5"/>
      <c r="V543" s="4"/>
      <c r="W543" s="4"/>
      <c r="X543" s="4"/>
      <c r="Y543" s="4"/>
    </row>
    <row r="544">
      <c r="A544" s="5"/>
      <c r="B544" s="9"/>
      <c r="C544" s="5"/>
      <c r="D544" s="9"/>
      <c r="E544" s="9"/>
      <c r="F544" s="9"/>
      <c r="G544" s="9"/>
      <c r="H544" s="9"/>
      <c r="I544" s="9"/>
      <c r="J544" s="5"/>
      <c r="K544" s="4"/>
      <c r="L544" s="10"/>
      <c r="M544" s="10"/>
      <c r="N544" s="10"/>
      <c r="O544" s="10"/>
      <c r="P544" s="10"/>
      <c r="Q544" s="11"/>
      <c r="R544" s="9"/>
      <c r="S544" s="12"/>
      <c r="T544" s="5"/>
      <c r="U544" s="5"/>
      <c r="V544" s="4"/>
      <c r="W544" s="4"/>
      <c r="X544" s="4"/>
      <c r="Y544" s="4"/>
    </row>
    <row r="545">
      <c r="A545" s="5"/>
      <c r="B545" s="9"/>
      <c r="C545" s="5"/>
      <c r="D545" s="9"/>
      <c r="E545" s="9"/>
      <c r="F545" s="9"/>
      <c r="G545" s="9"/>
      <c r="H545" s="9"/>
      <c r="I545" s="9"/>
      <c r="J545" s="5"/>
      <c r="K545" s="4"/>
      <c r="L545" s="10"/>
      <c r="M545" s="10"/>
      <c r="N545" s="10"/>
      <c r="O545" s="10"/>
      <c r="P545" s="10"/>
      <c r="Q545" s="11"/>
      <c r="R545" s="9"/>
      <c r="S545" s="12"/>
      <c r="T545" s="5"/>
      <c r="U545" s="5"/>
      <c r="V545" s="4"/>
      <c r="W545" s="4"/>
      <c r="X545" s="4"/>
      <c r="Y545" s="4"/>
    </row>
    <row r="546">
      <c r="A546" s="5"/>
      <c r="B546" s="9"/>
      <c r="C546" s="5"/>
      <c r="D546" s="9"/>
      <c r="E546" s="9"/>
      <c r="F546" s="9"/>
      <c r="G546" s="9"/>
      <c r="H546" s="9"/>
      <c r="I546" s="9"/>
      <c r="J546" s="5"/>
      <c r="K546" s="4"/>
      <c r="L546" s="10"/>
      <c r="M546" s="10"/>
      <c r="N546" s="10"/>
      <c r="O546" s="10"/>
      <c r="P546" s="10"/>
      <c r="Q546" s="11"/>
      <c r="R546" s="9"/>
      <c r="S546" s="12"/>
      <c r="T546" s="5"/>
      <c r="U546" s="5"/>
      <c r="V546" s="4"/>
      <c r="W546" s="4"/>
      <c r="X546" s="4"/>
      <c r="Y546" s="4"/>
    </row>
    <row r="547">
      <c r="A547" s="5"/>
      <c r="B547" s="9"/>
      <c r="C547" s="5"/>
      <c r="D547" s="9"/>
      <c r="E547" s="9"/>
      <c r="F547" s="9"/>
      <c r="G547" s="9"/>
      <c r="H547" s="9"/>
      <c r="I547" s="9"/>
      <c r="J547" s="5"/>
      <c r="K547" s="4"/>
      <c r="L547" s="10"/>
      <c r="M547" s="10"/>
      <c r="N547" s="10"/>
      <c r="O547" s="10"/>
      <c r="P547" s="10"/>
      <c r="Q547" s="11"/>
      <c r="R547" s="9"/>
      <c r="S547" s="12"/>
      <c r="T547" s="5"/>
      <c r="U547" s="5"/>
      <c r="V547" s="4"/>
      <c r="W547" s="4"/>
      <c r="X547" s="4"/>
      <c r="Y547" s="4"/>
    </row>
    <row r="548">
      <c r="A548" s="5"/>
      <c r="B548" s="9"/>
      <c r="C548" s="5"/>
      <c r="D548" s="9"/>
      <c r="E548" s="9"/>
      <c r="F548" s="9"/>
      <c r="G548" s="9"/>
      <c r="H548" s="9"/>
      <c r="I548" s="9"/>
      <c r="J548" s="5"/>
      <c r="K548" s="4"/>
      <c r="L548" s="10"/>
      <c r="M548" s="10"/>
      <c r="N548" s="10"/>
      <c r="O548" s="10"/>
      <c r="P548" s="10"/>
      <c r="Q548" s="11"/>
      <c r="R548" s="9"/>
      <c r="S548" s="12"/>
      <c r="T548" s="5"/>
      <c r="U548" s="5"/>
      <c r="V548" s="4"/>
      <c r="W548" s="4"/>
      <c r="X548" s="4"/>
      <c r="Y548" s="4"/>
    </row>
    <row r="549">
      <c r="A549" s="5"/>
      <c r="B549" s="9"/>
      <c r="C549" s="5"/>
      <c r="D549" s="9"/>
      <c r="E549" s="9"/>
      <c r="F549" s="9"/>
      <c r="G549" s="9"/>
      <c r="H549" s="9"/>
      <c r="I549" s="9"/>
      <c r="J549" s="5"/>
      <c r="K549" s="4"/>
      <c r="L549" s="10"/>
      <c r="M549" s="10"/>
      <c r="N549" s="10"/>
      <c r="O549" s="10"/>
      <c r="P549" s="10"/>
      <c r="Q549" s="11"/>
      <c r="R549" s="9"/>
      <c r="S549" s="12"/>
      <c r="T549" s="5"/>
      <c r="U549" s="5"/>
      <c r="V549" s="4"/>
      <c r="W549" s="4"/>
      <c r="X549" s="4"/>
      <c r="Y549" s="4"/>
    </row>
    <row r="550">
      <c r="A550" s="5"/>
      <c r="B550" s="9"/>
      <c r="C550" s="5"/>
      <c r="D550" s="9"/>
      <c r="E550" s="9"/>
      <c r="F550" s="9"/>
      <c r="G550" s="9"/>
      <c r="H550" s="9"/>
      <c r="I550" s="9"/>
      <c r="J550" s="5"/>
      <c r="K550" s="4"/>
      <c r="L550" s="10"/>
      <c r="M550" s="10"/>
      <c r="N550" s="10"/>
      <c r="O550" s="10"/>
      <c r="P550" s="10"/>
      <c r="Q550" s="11"/>
      <c r="R550" s="9"/>
      <c r="S550" s="12"/>
      <c r="T550" s="5"/>
      <c r="U550" s="5"/>
      <c r="V550" s="4"/>
      <c r="W550" s="4"/>
      <c r="X550" s="4"/>
      <c r="Y550" s="4"/>
    </row>
    <row r="551">
      <c r="A551" s="5"/>
      <c r="B551" s="9"/>
      <c r="C551" s="5"/>
      <c r="D551" s="9"/>
      <c r="E551" s="9"/>
      <c r="F551" s="9"/>
      <c r="G551" s="9"/>
      <c r="H551" s="9"/>
      <c r="I551" s="9"/>
      <c r="J551" s="5"/>
      <c r="K551" s="4"/>
      <c r="L551" s="10"/>
      <c r="M551" s="10"/>
      <c r="N551" s="10"/>
      <c r="O551" s="10"/>
      <c r="P551" s="10"/>
      <c r="Q551" s="11"/>
      <c r="R551" s="9"/>
      <c r="S551" s="12"/>
      <c r="T551" s="5"/>
      <c r="U551" s="5"/>
      <c r="V551" s="4"/>
      <c r="W551" s="4"/>
      <c r="X551" s="4"/>
      <c r="Y551" s="4"/>
    </row>
    <row r="552">
      <c r="A552" s="5"/>
      <c r="B552" s="9"/>
      <c r="C552" s="5"/>
      <c r="D552" s="9"/>
      <c r="E552" s="9"/>
      <c r="F552" s="9"/>
      <c r="G552" s="9"/>
      <c r="H552" s="9"/>
      <c r="I552" s="9"/>
      <c r="J552" s="5"/>
      <c r="K552" s="4"/>
      <c r="L552" s="10"/>
      <c r="M552" s="10"/>
      <c r="N552" s="10"/>
      <c r="O552" s="10"/>
      <c r="P552" s="10"/>
      <c r="Q552" s="11"/>
      <c r="R552" s="9"/>
      <c r="S552" s="12"/>
      <c r="T552" s="5"/>
      <c r="U552" s="5"/>
      <c r="V552" s="4"/>
      <c r="W552" s="4"/>
      <c r="X552" s="4"/>
      <c r="Y552" s="4"/>
    </row>
    <row r="553">
      <c r="A553" s="5"/>
      <c r="B553" s="9"/>
      <c r="C553" s="5"/>
      <c r="D553" s="9"/>
      <c r="E553" s="9"/>
      <c r="F553" s="9"/>
      <c r="G553" s="9"/>
      <c r="H553" s="9"/>
      <c r="I553" s="9"/>
      <c r="J553" s="5"/>
      <c r="K553" s="4"/>
      <c r="L553" s="10"/>
      <c r="M553" s="10"/>
      <c r="N553" s="10"/>
      <c r="O553" s="10"/>
      <c r="P553" s="10"/>
      <c r="Q553" s="11"/>
      <c r="R553" s="9"/>
      <c r="S553" s="12"/>
      <c r="T553" s="5"/>
      <c r="U553" s="5"/>
      <c r="V553" s="4"/>
      <c r="W553" s="4"/>
      <c r="X553" s="4"/>
      <c r="Y553" s="4"/>
    </row>
    <row r="554">
      <c r="A554" s="5"/>
      <c r="B554" s="9"/>
      <c r="C554" s="5"/>
      <c r="D554" s="9"/>
      <c r="E554" s="9"/>
      <c r="F554" s="9"/>
      <c r="G554" s="9"/>
      <c r="H554" s="9"/>
      <c r="I554" s="9"/>
      <c r="J554" s="5"/>
      <c r="K554" s="4"/>
      <c r="L554" s="10"/>
      <c r="M554" s="10"/>
      <c r="N554" s="10"/>
      <c r="O554" s="10"/>
      <c r="P554" s="10"/>
      <c r="Q554" s="11"/>
      <c r="R554" s="9"/>
      <c r="S554" s="12"/>
      <c r="T554" s="5"/>
      <c r="U554" s="5"/>
      <c r="V554" s="4"/>
      <c r="W554" s="4"/>
      <c r="X554" s="4"/>
      <c r="Y554" s="4"/>
    </row>
    <row r="555">
      <c r="A555" s="5"/>
      <c r="B555" s="9"/>
      <c r="C555" s="5"/>
      <c r="D555" s="9"/>
      <c r="E555" s="9"/>
      <c r="F555" s="9"/>
      <c r="G555" s="9"/>
      <c r="H555" s="9"/>
      <c r="I555" s="9"/>
      <c r="J555" s="5"/>
      <c r="K555" s="4"/>
      <c r="L555" s="10"/>
      <c r="M555" s="10"/>
      <c r="N555" s="10"/>
      <c r="O555" s="10"/>
      <c r="P555" s="10"/>
      <c r="Q555" s="11"/>
      <c r="R555" s="9"/>
      <c r="S555" s="12"/>
      <c r="T555" s="5"/>
      <c r="U555" s="5"/>
      <c r="V555" s="4"/>
      <c r="W555" s="4"/>
      <c r="X555" s="4"/>
      <c r="Y555" s="4"/>
    </row>
    <row r="556">
      <c r="A556" s="5"/>
      <c r="B556" s="9"/>
      <c r="C556" s="5"/>
      <c r="D556" s="9"/>
      <c r="E556" s="9"/>
      <c r="F556" s="9"/>
      <c r="G556" s="9"/>
      <c r="H556" s="9"/>
      <c r="I556" s="9"/>
      <c r="J556" s="5"/>
      <c r="K556" s="4"/>
      <c r="L556" s="10"/>
      <c r="M556" s="10"/>
      <c r="N556" s="10"/>
      <c r="O556" s="10"/>
      <c r="P556" s="10"/>
      <c r="Q556" s="11"/>
      <c r="R556" s="9"/>
      <c r="S556" s="12"/>
      <c r="T556" s="5"/>
      <c r="U556" s="5"/>
      <c r="V556" s="4"/>
      <c r="W556" s="4"/>
      <c r="X556" s="4"/>
      <c r="Y556" s="4"/>
    </row>
    <row r="557">
      <c r="A557" s="5"/>
      <c r="B557" s="9"/>
      <c r="C557" s="5"/>
      <c r="D557" s="9"/>
      <c r="E557" s="9"/>
      <c r="F557" s="9"/>
      <c r="G557" s="9"/>
      <c r="H557" s="9"/>
      <c r="I557" s="9"/>
      <c r="J557" s="5"/>
      <c r="K557" s="4"/>
      <c r="L557" s="10"/>
      <c r="M557" s="10"/>
      <c r="N557" s="10"/>
      <c r="O557" s="10"/>
      <c r="P557" s="10"/>
      <c r="Q557" s="11"/>
      <c r="R557" s="9"/>
      <c r="S557" s="12"/>
      <c r="T557" s="5"/>
      <c r="U557" s="5"/>
      <c r="V557" s="4"/>
      <c r="W557" s="4"/>
      <c r="X557" s="4"/>
      <c r="Y557" s="4"/>
    </row>
    <row r="558">
      <c r="A558" s="5"/>
      <c r="B558" s="9"/>
      <c r="C558" s="5"/>
      <c r="D558" s="9"/>
      <c r="E558" s="9"/>
      <c r="F558" s="9"/>
      <c r="G558" s="9"/>
      <c r="H558" s="9"/>
      <c r="I558" s="9"/>
      <c r="J558" s="5"/>
      <c r="K558" s="4"/>
      <c r="L558" s="10"/>
      <c r="M558" s="10"/>
      <c r="N558" s="10"/>
      <c r="O558" s="10"/>
      <c r="P558" s="10"/>
      <c r="Q558" s="11"/>
      <c r="R558" s="9"/>
      <c r="S558" s="12"/>
      <c r="T558" s="5"/>
      <c r="U558" s="5"/>
      <c r="V558" s="4"/>
      <c r="W558" s="4"/>
      <c r="X558" s="4"/>
      <c r="Y558" s="4"/>
    </row>
    <row r="559">
      <c r="A559" s="5"/>
      <c r="B559" s="9"/>
      <c r="C559" s="5"/>
      <c r="D559" s="9"/>
      <c r="E559" s="9"/>
      <c r="F559" s="9"/>
      <c r="G559" s="9"/>
      <c r="H559" s="9"/>
      <c r="I559" s="9"/>
      <c r="J559" s="5"/>
      <c r="K559" s="4"/>
      <c r="L559" s="10"/>
      <c r="M559" s="10"/>
      <c r="N559" s="10"/>
      <c r="O559" s="10"/>
      <c r="P559" s="10"/>
      <c r="Q559" s="11"/>
      <c r="R559" s="9"/>
      <c r="S559" s="12"/>
      <c r="T559" s="5"/>
      <c r="U559" s="5"/>
      <c r="V559" s="4"/>
      <c r="W559" s="4"/>
      <c r="X559" s="4"/>
      <c r="Y559" s="4"/>
    </row>
    <row r="560">
      <c r="A560" s="5"/>
      <c r="B560" s="9"/>
      <c r="C560" s="5"/>
      <c r="D560" s="9"/>
      <c r="E560" s="9"/>
      <c r="F560" s="9"/>
      <c r="G560" s="9"/>
      <c r="H560" s="9"/>
      <c r="I560" s="9"/>
      <c r="J560" s="5"/>
      <c r="K560" s="4"/>
      <c r="L560" s="10"/>
      <c r="M560" s="10"/>
      <c r="N560" s="10"/>
      <c r="O560" s="10"/>
      <c r="P560" s="10"/>
      <c r="Q560" s="11"/>
      <c r="R560" s="9"/>
      <c r="S560" s="12"/>
      <c r="T560" s="5"/>
      <c r="U560" s="5"/>
      <c r="V560" s="4"/>
      <c r="W560" s="4"/>
      <c r="X560" s="4"/>
      <c r="Y560" s="4"/>
    </row>
    <row r="561">
      <c r="A561" s="5"/>
      <c r="B561" s="9"/>
      <c r="C561" s="5"/>
      <c r="D561" s="9"/>
      <c r="E561" s="9"/>
      <c r="F561" s="9"/>
      <c r="G561" s="9"/>
      <c r="H561" s="9"/>
      <c r="I561" s="9"/>
      <c r="J561" s="5"/>
      <c r="K561" s="4"/>
      <c r="L561" s="10"/>
      <c r="M561" s="10"/>
      <c r="N561" s="10"/>
      <c r="O561" s="10"/>
      <c r="P561" s="10"/>
      <c r="Q561" s="11"/>
      <c r="R561" s="9"/>
      <c r="S561" s="12"/>
      <c r="T561" s="5"/>
      <c r="U561" s="5"/>
      <c r="V561" s="4"/>
      <c r="W561" s="4"/>
      <c r="X561" s="4"/>
      <c r="Y561" s="4"/>
    </row>
    <row r="562">
      <c r="A562" s="5"/>
      <c r="B562" s="9"/>
      <c r="C562" s="5"/>
      <c r="D562" s="9"/>
      <c r="E562" s="9"/>
      <c r="F562" s="9"/>
      <c r="G562" s="9"/>
      <c r="H562" s="9"/>
      <c r="I562" s="9"/>
      <c r="J562" s="5"/>
      <c r="K562" s="4"/>
      <c r="L562" s="10"/>
      <c r="M562" s="10"/>
      <c r="N562" s="10"/>
      <c r="O562" s="10"/>
      <c r="P562" s="10"/>
      <c r="Q562" s="11"/>
      <c r="R562" s="9"/>
      <c r="S562" s="12"/>
      <c r="T562" s="5"/>
      <c r="U562" s="5"/>
      <c r="V562" s="4"/>
      <c r="W562" s="4"/>
      <c r="X562" s="4"/>
      <c r="Y562" s="4"/>
    </row>
    <row r="563">
      <c r="A563" s="5"/>
      <c r="B563" s="9"/>
      <c r="C563" s="5"/>
      <c r="D563" s="9"/>
      <c r="E563" s="9"/>
      <c r="F563" s="9"/>
      <c r="G563" s="9"/>
      <c r="H563" s="9"/>
      <c r="I563" s="9"/>
      <c r="J563" s="5"/>
      <c r="K563" s="4"/>
      <c r="L563" s="10"/>
      <c r="M563" s="10"/>
      <c r="N563" s="10"/>
      <c r="O563" s="10"/>
      <c r="P563" s="10"/>
      <c r="Q563" s="11"/>
      <c r="R563" s="9"/>
      <c r="S563" s="12"/>
      <c r="T563" s="5"/>
      <c r="U563" s="5"/>
      <c r="V563" s="4"/>
      <c r="W563" s="4"/>
      <c r="X563" s="4"/>
      <c r="Y563" s="4"/>
    </row>
    <row r="564">
      <c r="A564" s="5"/>
      <c r="B564" s="9"/>
      <c r="C564" s="5"/>
      <c r="D564" s="9"/>
      <c r="E564" s="9"/>
      <c r="F564" s="9"/>
      <c r="G564" s="9"/>
      <c r="H564" s="9"/>
      <c r="I564" s="9"/>
      <c r="J564" s="5"/>
      <c r="K564" s="4"/>
      <c r="L564" s="10"/>
      <c r="M564" s="10"/>
      <c r="N564" s="10"/>
      <c r="O564" s="10"/>
      <c r="P564" s="10"/>
      <c r="Q564" s="11"/>
      <c r="R564" s="9"/>
      <c r="S564" s="12"/>
      <c r="T564" s="5"/>
      <c r="U564" s="5"/>
      <c r="V564" s="4"/>
      <c r="W564" s="4"/>
      <c r="X564" s="4"/>
      <c r="Y564" s="4"/>
    </row>
    <row r="565">
      <c r="A565" s="5"/>
      <c r="B565" s="9"/>
      <c r="C565" s="5"/>
      <c r="D565" s="9"/>
      <c r="E565" s="9"/>
      <c r="F565" s="9"/>
      <c r="G565" s="9"/>
      <c r="H565" s="9"/>
      <c r="I565" s="9"/>
      <c r="J565" s="5"/>
      <c r="K565" s="4"/>
      <c r="L565" s="10"/>
      <c r="M565" s="10"/>
      <c r="N565" s="10"/>
      <c r="O565" s="10"/>
      <c r="P565" s="10"/>
      <c r="Q565" s="11"/>
      <c r="R565" s="9"/>
      <c r="S565" s="12"/>
      <c r="T565" s="5"/>
      <c r="U565" s="5"/>
      <c r="V565" s="4"/>
      <c r="W565" s="4"/>
      <c r="X565" s="4"/>
      <c r="Y565" s="4"/>
    </row>
    <row r="566">
      <c r="A566" s="5"/>
      <c r="B566" s="9"/>
      <c r="C566" s="5"/>
      <c r="D566" s="9"/>
      <c r="E566" s="9"/>
      <c r="F566" s="9"/>
      <c r="G566" s="9"/>
      <c r="H566" s="9"/>
      <c r="I566" s="9"/>
      <c r="J566" s="5"/>
      <c r="K566" s="4"/>
      <c r="L566" s="10"/>
      <c r="M566" s="10"/>
      <c r="N566" s="10"/>
      <c r="O566" s="10"/>
      <c r="P566" s="10"/>
      <c r="Q566" s="11"/>
      <c r="R566" s="9"/>
      <c r="S566" s="12"/>
      <c r="T566" s="5"/>
      <c r="U566" s="5"/>
      <c r="V566" s="4"/>
      <c r="W566" s="4"/>
      <c r="X566" s="4"/>
      <c r="Y566" s="4"/>
    </row>
    <row r="567">
      <c r="A567" s="5"/>
      <c r="B567" s="9"/>
      <c r="C567" s="5"/>
      <c r="D567" s="9"/>
      <c r="E567" s="9"/>
      <c r="F567" s="9"/>
      <c r="G567" s="9"/>
      <c r="H567" s="9"/>
      <c r="I567" s="9"/>
      <c r="J567" s="5"/>
      <c r="K567" s="4"/>
      <c r="L567" s="10"/>
      <c r="M567" s="10"/>
      <c r="N567" s="10"/>
      <c r="O567" s="10"/>
      <c r="P567" s="10"/>
      <c r="Q567" s="11"/>
      <c r="R567" s="9"/>
      <c r="S567" s="12"/>
      <c r="T567" s="5"/>
      <c r="U567" s="5"/>
      <c r="V567" s="4"/>
      <c r="W567" s="4"/>
      <c r="X567" s="4"/>
      <c r="Y567" s="4"/>
    </row>
    <row r="568">
      <c r="A568" s="5"/>
      <c r="B568" s="9"/>
      <c r="C568" s="5"/>
      <c r="D568" s="9"/>
      <c r="E568" s="9"/>
      <c r="F568" s="9"/>
      <c r="G568" s="9"/>
      <c r="H568" s="9"/>
      <c r="I568" s="9"/>
      <c r="J568" s="5"/>
      <c r="K568" s="4"/>
      <c r="L568" s="10"/>
      <c r="M568" s="10"/>
      <c r="N568" s="10"/>
      <c r="O568" s="10"/>
      <c r="P568" s="10"/>
      <c r="Q568" s="11"/>
      <c r="R568" s="9"/>
      <c r="S568" s="12"/>
      <c r="T568" s="5"/>
      <c r="U568" s="5"/>
      <c r="V568" s="4"/>
      <c r="W568" s="4"/>
      <c r="X568" s="4"/>
      <c r="Y568" s="4"/>
    </row>
    <row r="569">
      <c r="A569" s="5"/>
      <c r="B569" s="9"/>
      <c r="C569" s="5"/>
      <c r="D569" s="9"/>
      <c r="E569" s="9"/>
      <c r="F569" s="9"/>
      <c r="G569" s="9"/>
      <c r="H569" s="9"/>
      <c r="I569" s="9"/>
      <c r="J569" s="5"/>
      <c r="K569" s="4"/>
      <c r="L569" s="10"/>
      <c r="M569" s="10"/>
      <c r="N569" s="10"/>
      <c r="O569" s="10"/>
      <c r="P569" s="10"/>
      <c r="Q569" s="11"/>
      <c r="R569" s="9"/>
      <c r="S569" s="12"/>
      <c r="T569" s="5"/>
      <c r="U569" s="5"/>
      <c r="V569" s="4"/>
      <c r="W569" s="4"/>
      <c r="X569" s="4"/>
      <c r="Y569" s="4"/>
    </row>
    <row r="570">
      <c r="A570" s="5"/>
      <c r="B570" s="9"/>
      <c r="C570" s="5"/>
      <c r="D570" s="9"/>
      <c r="E570" s="9"/>
      <c r="F570" s="9"/>
      <c r="G570" s="9"/>
      <c r="H570" s="9"/>
      <c r="I570" s="9"/>
      <c r="J570" s="5"/>
      <c r="K570" s="4"/>
      <c r="L570" s="10"/>
      <c r="M570" s="10"/>
      <c r="N570" s="10"/>
      <c r="O570" s="10"/>
      <c r="P570" s="10"/>
      <c r="Q570" s="11"/>
      <c r="R570" s="9"/>
      <c r="S570" s="12"/>
      <c r="T570" s="5"/>
      <c r="U570" s="5"/>
      <c r="V570" s="4"/>
      <c r="W570" s="4"/>
      <c r="X570" s="4"/>
      <c r="Y570" s="4"/>
    </row>
    <row r="571">
      <c r="A571" s="5"/>
      <c r="B571" s="9"/>
      <c r="C571" s="5"/>
      <c r="D571" s="9"/>
      <c r="E571" s="9"/>
      <c r="F571" s="9"/>
      <c r="G571" s="9"/>
      <c r="H571" s="9"/>
      <c r="I571" s="9"/>
      <c r="J571" s="5"/>
      <c r="K571" s="4"/>
      <c r="L571" s="10"/>
      <c r="M571" s="10"/>
      <c r="N571" s="10"/>
      <c r="O571" s="10"/>
      <c r="P571" s="10"/>
      <c r="Q571" s="11"/>
      <c r="R571" s="9"/>
      <c r="S571" s="12"/>
      <c r="T571" s="5"/>
      <c r="U571" s="5"/>
      <c r="V571" s="4"/>
      <c r="W571" s="4"/>
      <c r="X571" s="4"/>
      <c r="Y571" s="4"/>
    </row>
    <row r="572">
      <c r="A572" s="5"/>
      <c r="B572" s="9"/>
      <c r="C572" s="5"/>
      <c r="D572" s="9"/>
      <c r="E572" s="9"/>
      <c r="F572" s="9"/>
      <c r="G572" s="9"/>
      <c r="H572" s="9"/>
      <c r="I572" s="9"/>
      <c r="J572" s="5"/>
      <c r="K572" s="4"/>
      <c r="L572" s="10"/>
      <c r="M572" s="10"/>
      <c r="N572" s="10"/>
      <c r="O572" s="10"/>
      <c r="P572" s="10"/>
      <c r="Q572" s="11"/>
      <c r="R572" s="9"/>
      <c r="S572" s="12"/>
      <c r="T572" s="5"/>
      <c r="U572" s="5"/>
      <c r="V572" s="4"/>
      <c r="W572" s="4"/>
      <c r="X572" s="4"/>
      <c r="Y572" s="4"/>
    </row>
    <row r="573">
      <c r="A573" s="5"/>
      <c r="B573" s="9"/>
      <c r="C573" s="5"/>
      <c r="D573" s="9"/>
      <c r="E573" s="9"/>
      <c r="F573" s="9"/>
      <c r="G573" s="9"/>
      <c r="H573" s="9"/>
      <c r="I573" s="9"/>
      <c r="J573" s="5"/>
      <c r="K573" s="4"/>
      <c r="L573" s="10"/>
      <c r="M573" s="10"/>
      <c r="N573" s="10"/>
      <c r="O573" s="10"/>
      <c r="P573" s="10"/>
      <c r="Q573" s="11"/>
      <c r="R573" s="9"/>
      <c r="S573" s="12"/>
      <c r="T573" s="5"/>
      <c r="U573" s="5"/>
      <c r="V573" s="4"/>
      <c r="W573" s="4"/>
      <c r="X573" s="4"/>
      <c r="Y573" s="4"/>
    </row>
    <row r="574">
      <c r="A574" s="5"/>
      <c r="B574" s="9"/>
      <c r="C574" s="5"/>
      <c r="D574" s="9"/>
      <c r="E574" s="9"/>
      <c r="F574" s="9"/>
      <c r="G574" s="9"/>
      <c r="H574" s="9"/>
      <c r="I574" s="9"/>
      <c r="J574" s="5"/>
      <c r="K574" s="4"/>
      <c r="L574" s="10"/>
      <c r="M574" s="10"/>
      <c r="N574" s="10"/>
      <c r="O574" s="10"/>
      <c r="P574" s="10"/>
      <c r="Q574" s="11"/>
      <c r="R574" s="9"/>
      <c r="S574" s="12"/>
      <c r="T574" s="5"/>
      <c r="U574" s="5"/>
      <c r="V574" s="4"/>
      <c r="W574" s="4"/>
      <c r="X574" s="4"/>
      <c r="Y574" s="4"/>
    </row>
    <row r="575">
      <c r="A575" s="5"/>
      <c r="B575" s="9"/>
      <c r="C575" s="5"/>
      <c r="D575" s="9"/>
      <c r="E575" s="9"/>
      <c r="F575" s="9"/>
      <c r="G575" s="9"/>
      <c r="H575" s="9"/>
      <c r="I575" s="9"/>
      <c r="J575" s="5"/>
      <c r="K575" s="4"/>
      <c r="L575" s="10"/>
      <c r="M575" s="10"/>
      <c r="N575" s="10"/>
      <c r="O575" s="10"/>
      <c r="P575" s="10"/>
      <c r="Q575" s="11"/>
      <c r="R575" s="9"/>
      <c r="S575" s="12"/>
      <c r="T575" s="5"/>
      <c r="U575" s="5"/>
      <c r="V575" s="4"/>
      <c r="W575" s="4"/>
      <c r="X575" s="4"/>
      <c r="Y575" s="4"/>
    </row>
    <row r="576">
      <c r="A576" s="5"/>
      <c r="B576" s="9"/>
      <c r="C576" s="5"/>
      <c r="D576" s="9"/>
      <c r="E576" s="9"/>
      <c r="F576" s="9"/>
      <c r="G576" s="9"/>
      <c r="H576" s="9"/>
      <c r="I576" s="9"/>
      <c r="J576" s="5"/>
      <c r="K576" s="4"/>
      <c r="L576" s="10"/>
      <c r="M576" s="10"/>
      <c r="N576" s="10"/>
      <c r="O576" s="10"/>
      <c r="P576" s="10"/>
      <c r="Q576" s="11"/>
      <c r="R576" s="9"/>
      <c r="S576" s="12"/>
      <c r="T576" s="5"/>
      <c r="U576" s="5"/>
      <c r="V576" s="4"/>
      <c r="W576" s="4"/>
      <c r="X576" s="4"/>
      <c r="Y576" s="4"/>
    </row>
    <row r="577">
      <c r="A577" s="5"/>
      <c r="B577" s="9"/>
      <c r="C577" s="5"/>
      <c r="D577" s="9"/>
      <c r="E577" s="9"/>
      <c r="F577" s="9"/>
      <c r="G577" s="9"/>
      <c r="H577" s="9"/>
      <c r="I577" s="9"/>
      <c r="J577" s="5"/>
      <c r="K577" s="4"/>
      <c r="L577" s="10"/>
      <c r="M577" s="10"/>
      <c r="N577" s="10"/>
      <c r="O577" s="10"/>
      <c r="P577" s="10"/>
      <c r="Q577" s="11"/>
      <c r="R577" s="9"/>
      <c r="S577" s="12"/>
      <c r="T577" s="5"/>
      <c r="U577" s="5"/>
      <c r="V577" s="4"/>
      <c r="W577" s="4"/>
      <c r="X577" s="4"/>
      <c r="Y577" s="4"/>
    </row>
    <row r="578">
      <c r="A578" s="5"/>
      <c r="B578" s="9"/>
      <c r="C578" s="5"/>
      <c r="D578" s="9"/>
      <c r="E578" s="9"/>
      <c r="F578" s="9"/>
      <c r="G578" s="9"/>
      <c r="H578" s="9"/>
      <c r="I578" s="9"/>
      <c r="J578" s="5"/>
      <c r="K578" s="4"/>
      <c r="L578" s="10"/>
      <c r="M578" s="10"/>
      <c r="N578" s="10"/>
      <c r="O578" s="10"/>
      <c r="P578" s="10"/>
      <c r="Q578" s="11"/>
      <c r="R578" s="9"/>
      <c r="S578" s="12"/>
      <c r="T578" s="5"/>
      <c r="U578" s="5"/>
      <c r="V578" s="4"/>
      <c r="W578" s="4"/>
      <c r="X578" s="4"/>
      <c r="Y578" s="4"/>
    </row>
    <row r="579">
      <c r="A579" s="5"/>
      <c r="B579" s="9"/>
      <c r="C579" s="5"/>
      <c r="D579" s="9"/>
      <c r="E579" s="9"/>
      <c r="F579" s="9"/>
      <c r="G579" s="9"/>
      <c r="H579" s="9"/>
      <c r="I579" s="9"/>
      <c r="J579" s="5"/>
      <c r="K579" s="4"/>
      <c r="L579" s="10"/>
      <c r="M579" s="10"/>
      <c r="N579" s="10"/>
      <c r="O579" s="10"/>
      <c r="P579" s="10"/>
      <c r="Q579" s="11"/>
      <c r="R579" s="9"/>
      <c r="S579" s="12"/>
      <c r="T579" s="5"/>
      <c r="U579" s="5"/>
      <c r="V579" s="4"/>
      <c r="W579" s="4"/>
      <c r="X579" s="4"/>
      <c r="Y579" s="4"/>
    </row>
    <row r="580">
      <c r="A580" s="5"/>
      <c r="B580" s="9"/>
      <c r="C580" s="5"/>
      <c r="D580" s="9"/>
      <c r="E580" s="9"/>
      <c r="F580" s="9"/>
      <c r="G580" s="9"/>
      <c r="H580" s="9"/>
      <c r="I580" s="9"/>
      <c r="J580" s="5"/>
      <c r="K580" s="4"/>
      <c r="L580" s="10"/>
      <c r="M580" s="10"/>
      <c r="N580" s="10"/>
      <c r="O580" s="10"/>
      <c r="P580" s="10"/>
      <c r="Q580" s="11"/>
      <c r="R580" s="9"/>
      <c r="S580" s="12"/>
      <c r="T580" s="5"/>
      <c r="U580" s="5"/>
      <c r="V580" s="4"/>
      <c r="W580" s="4"/>
      <c r="X580" s="4"/>
      <c r="Y580" s="4"/>
    </row>
    <row r="581">
      <c r="A581" s="5"/>
      <c r="B581" s="9"/>
      <c r="C581" s="5"/>
      <c r="D581" s="9"/>
      <c r="E581" s="9"/>
      <c r="F581" s="9"/>
      <c r="G581" s="9"/>
      <c r="H581" s="9"/>
      <c r="I581" s="9"/>
      <c r="J581" s="5"/>
      <c r="K581" s="4"/>
      <c r="L581" s="10"/>
      <c r="M581" s="10"/>
      <c r="N581" s="10"/>
      <c r="O581" s="10"/>
      <c r="P581" s="10"/>
      <c r="Q581" s="11"/>
      <c r="R581" s="9"/>
      <c r="S581" s="12"/>
      <c r="T581" s="5"/>
      <c r="U581" s="5"/>
      <c r="V581" s="4"/>
      <c r="W581" s="4"/>
      <c r="X581" s="4"/>
      <c r="Y581" s="4"/>
    </row>
    <row r="582">
      <c r="A582" s="5"/>
      <c r="B582" s="9"/>
      <c r="C582" s="5"/>
      <c r="D582" s="9"/>
      <c r="E582" s="9"/>
      <c r="F582" s="9"/>
      <c r="G582" s="9"/>
      <c r="H582" s="9"/>
      <c r="I582" s="9"/>
      <c r="J582" s="5"/>
      <c r="K582" s="4"/>
      <c r="L582" s="10"/>
      <c r="M582" s="10"/>
      <c r="N582" s="10"/>
      <c r="O582" s="10"/>
      <c r="P582" s="10"/>
      <c r="Q582" s="11"/>
      <c r="R582" s="9"/>
      <c r="S582" s="12"/>
      <c r="T582" s="5"/>
      <c r="U582" s="5"/>
      <c r="V582" s="4"/>
      <c r="W582" s="4"/>
      <c r="X582" s="4"/>
      <c r="Y582" s="4"/>
    </row>
    <row r="583">
      <c r="A583" s="5"/>
      <c r="B583" s="9"/>
      <c r="C583" s="5"/>
      <c r="D583" s="9"/>
      <c r="E583" s="9"/>
      <c r="F583" s="9"/>
      <c r="G583" s="9"/>
      <c r="H583" s="9"/>
      <c r="I583" s="9"/>
      <c r="J583" s="5"/>
      <c r="K583" s="4"/>
      <c r="L583" s="10"/>
      <c r="M583" s="10"/>
      <c r="N583" s="10"/>
      <c r="O583" s="10"/>
      <c r="P583" s="10"/>
      <c r="Q583" s="11"/>
      <c r="R583" s="9"/>
      <c r="S583" s="12"/>
      <c r="T583" s="5"/>
      <c r="U583" s="5"/>
      <c r="V583" s="4"/>
      <c r="W583" s="4"/>
      <c r="X583" s="4"/>
      <c r="Y583" s="4"/>
    </row>
    <row r="584">
      <c r="A584" s="5"/>
      <c r="B584" s="9"/>
      <c r="C584" s="5"/>
      <c r="D584" s="9"/>
      <c r="E584" s="9"/>
      <c r="F584" s="9"/>
      <c r="G584" s="9"/>
      <c r="H584" s="9"/>
      <c r="I584" s="9"/>
      <c r="J584" s="5"/>
      <c r="K584" s="4"/>
      <c r="L584" s="10"/>
      <c r="M584" s="10"/>
      <c r="N584" s="10"/>
      <c r="O584" s="10"/>
      <c r="P584" s="10"/>
      <c r="Q584" s="11"/>
      <c r="R584" s="9"/>
      <c r="S584" s="12"/>
      <c r="T584" s="5"/>
      <c r="U584" s="5"/>
      <c r="V584" s="4"/>
      <c r="W584" s="4"/>
      <c r="X584" s="4"/>
      <c r="Y584" s="4"/>
    </row>
    <row r="585">
      <c r="A585" s="5"/>
      <c r="B585" s="9"/>
      <c r="C585" s="5"/>
      <c r="D585" s="9"/>
      <c r="E585" s="9"/>
      <c r="F585" s="9"/>
      <c r="G585" s="9"/>
      <c r="H585" s="9"/>
      <c r="I585" s="9"/>
      <c r="J585" s="5"/>
      <c r="K585" s="4"/>
      <c r="L585" s="10"/>
      <c r="M585" s="10"/>
      <c r="N585" s="10"/>
      <c r="O585" s="10"/>
      <c r="P585" s="10"/>
      <c r="Q585" s="11"/>
      <c r="R585" s="9"/>
      <c r="S585" s="12"/>
      <c r="T585" s="5"/>
      <c r="U585" s="5"/>
      <c r="V585" s="4"/>
      <c r="W585" s="4"/>
      <c r="X585" s="4"/>
      <c r="Y585" s="4"/>
    </row>
    <row r="586">
      <c r="A586" s="5"/>
      <c r="B586" s="9"/>
      <c r="C586" s="5"/>
      <c r="D586" s="9"/>
      <c r="E586" s="9"/>
      <c r="F586" s="9"/>
      <c r="G586" s="9"/>
      <c r="H586" s="9"/>
      <c r="I586" s="9"/>
      <c r="J586" s="5"/>
      <c r="K586" s="4"/>
      <c r="L586" s="10"/>
      <c r="M586" s="10"/>
      <c r="N586" s="10"/>
      <c r="O586" s="10"/>
      <c r="P586" s="10"/>
      <c r="Q586" s="11"/>
      <c r="R586" s="9"/>
      <c r="S586" s="12"/>
      <c r="T586" s="5"/>
      <c r="U586" s="5"/>
      <c r="V586" s="4"/>
      <c r="W586" s="4"/>
      <c r="X586" s="4"/>
      <c r="Y586" s="4"/>
    </row>
    <row r="587">
      <c r="A587" s="5"/>
      <c r="B587" s="9"/>
      <c r="C587" s="5"/>
      <c r="D587" s="9"/>
      <c r="E587" s="9"/>
      <c r="F587" s="9"/>
      <c r="G587" s="9"/>
      <c r="H587" s="9"/>
      <c r="I587" s="9"/>
      <c r="J587" s="5"/>
      <c r="K587" s="4"/>
      <c r="L587" s="10"/>
      <c r="M587" s="10"/>
      <c r="N587" s="10"/>
      <c r="O587" s="10"/>
      <c r="P587" s="10"/>
      <c r="Q587" s="11"/>
      <c r="R587" s="9"/>
      <c r="S587" s="12"/>
      <c r="T587" s="5"/>
      <c r="U587" s="5"/>
      <c r="V587" s="4"/>
      <c r="W587" s="4"/>
      <c r="X587" s="4"/>
      <c r="Y587" s="4"/>
    </row>
    <row r="588">
      <c r="A588" s="5"/>
      <c r="B588" s="9"/>
      <c r="C588" s="5"/>
      <c r="D588" s="9"/>
      <c r="E588" s="9"/>
      <c r="F588" s="9"/>
      <c r="G588" s="9"/>
      <c r="H588" s="9"/>
      <c r="I588" s="9"/>
      <c r="J588" s="5"/>
      <c r="K588" s="4"/>
      <c r="L588" s="10"/>
      <c r="M588" s="10"/>
      <c r="N588" s="10"/>
      <c r="O588" s="10"/>
      <c r="P588" s="10"/>
      <c r="Q588" s="11"/>
      <c r="R588" s="9"/>
      <c r="S588" s="12"/>
      <c r="T588" s="5"/>
      <c r="U588" s="5"/>
      <c r="V588" s="4"/>
      <c r="W588" s="4"/>
      <c r="X588" s="4"/>
      <c r="Y588" s="4"/>
    </row>
    <row r="589">
      <c r="A589" s="5"/>
      <c r="B589" s="9"/>
      <c r="C589" s="5"/>
      <c r="D589" s="9"/>
      <c r="E589" s="9"/>
      <c r="F589" s="9"/>
      <c r="G589" s="9"/>
      <c r="H589" s="9"/>
      <c r="I589" s="9"/>
      <c r="J589" s="5"/>
      <c r="K589" s="4"/>
      <c r="L589" s="10"/>
      <c r="M589" s="10"/>
      <c r="N589" s="10"/>
      <c r="O589" s="10"/>
      <c r="P589" s="10"/>
      <c r="Q589" s="11"/>
      <c r="R589" s="9"/>
      <c r="S589" s="12"/>
      <c r="T589" s="5"/>
      <c r="U589" s="5"/>
      <c r="V589" s="4"/>
      <c r="W589" s="4"/>
      <c r="X589" s="4"/>
      <c r="Y589" s="4"/>
    </row>
    <row r="590">
      <c r="A590" s="5"/>
      <c r="B590" s="9"/>
      <c r="C590" s="5"/>
      <c r="D590" s="9"/>
      <c r="E590" s="9"/>
      <c r="F590" s="9"/>
      <c r="G590" s="9"/>
      <c r="H590" s="9"/>
      <c r="I590" s="9"/>
      <c r="J590" s="5"/>
      <c r="K590" s="4"/>
      <c r="L590" s="10"/>
      <c r="M590" s="10"/>
      <c r="N590" s="10"/>
      <c r="O590" s="10"/>
      <c r="P590" s="10"/>
      <c r="Q590" s="11"/>
      <c r="R590" s="9"/>
      <c r="S590" s="12"/>
      <c r="T590" s="5"/>
      <c r="U590" s="5"/>
      <c r="V590" s="4"/>
      <c r="W590" s="4"/>
      <c r="X590" s="4"/>
      <c r="Y590" s="4"/>
    </row>
    <row r="591">
      <c r="A591" s="5"/>
      <c r="B591" s="9"/>
      <c r="C591" s="5"/>
      <c r="D591" s="9"/>
      <c r="E591" s="9"/>
      <c r="F591" s="9"/>
      <c r="G591" s="9"/>
      <c r="H591" s="9"/>
      <c r="I591" s="9"/>
      <c r="J591" s="5"/>
      <c r="K591" s="4"/>
      <c r="L591" s="10"/>
      <c r="M591" s="10"/>
      <c r="N591" s="10"/>
      <c r="O591" s="10"/>
      <c r="P591" s="10"/>
      <c r="Q591" s="11"/>
      <c r="R591" s="9"/>
      <c r="S591" s="12"/>
      <c r="T591" s="5"/>
      <c r="U591" s="5"/>
      <c r="V591" s="4"/>
      <c r="W591" s="4"/>
      <c r="X591" s="4"/>
      <c r="Y591" s="4"/>
    </row>
    <row r="592">
      <c r="A592" s="5"/>
      <c r="B592" s="9"/>
      <c r="C592" s="5"/>
      <c r="D592" s="9"/>
      <c r="E592" s="9"/>
      <c r="F592" s="9"/>
      <c r="G592" s="9"/>
      <c r="H592" s="9"/>
      <c r="I592" s="9"/>
      <c r="J592" s="5"/>
      <c r="K592" s="4"/>
      <c r="L592" s="10"/>
      <c r="M592" s="10"/>
      <c r="N592" s="10"/>
      <c r="O592" s="10"/>
      <c r="P592" s="10"/>
      <c r="Q592" s="11"/>
      <c r="R592" s="9"/>
      <c r="S592" s="12"/>
      <c r="T592" s="5"/>
      <c r="U592" s="5"/>
      <c r="V592" s="4"/>
      <c r="W592" s="4"/>
      <c r="X592" s="4"/>
      <c r="Y592" s="4"/>
    </row>
    <row r="593">
      <c r="A593" s="5"/>
      <c r="B593" s="9"/>
      <c r="C593" s="5"/>
      <c r="D593" s="9"/>
      <c r="E593" s="9"/>
      <c r="F593" s="9"/>
      <c r="G593" s="9"/>
      <c r="H593" s="9"/>
      <c r="I593" s="9"/>
      <c r="J593" s="5"/>
      <c r="K593" s="4"/>
      <c r="L593" s="10"/>
      <c r="M593" s="10"/>
      <c r="N593" s="10"/>
      <c r="O593" s="10"/>
      <c r="P593" s="10"/>
      <c r="Q593" s="11"/>
      <c r="R593" s="9"/>
      <c r="S593" s="12"/>
      <c r="T593" s="5"/>
      <c r="U593" s="5"/>
      <c r="V593" s="4"/>
      <c r="W593" s="4"/>
      <c r="X593" s="4"/>
      <c r="Y593" s="4"/>
    </row>
    <row r="594">
      <c r="A594" s="5"/>
      <c r="B594" s="9"/>
      <c r="C594" s="5"/>
      <c r="D594" s="9"/>
      <c r="E594" s="9"/>
      <c r="F594" s="9"/>
      <c r="G594" s="9"/>
      <c r="H594" s="9"/>
      <c r="I594" s="9"/>
      <c r="J594" s="5"/>
      <c r="K594" s="4"/>
      <c r="L594" s="10"/>
      <c r="M594" s="10"/>
      <c r="N594" s="10"/>
      <c r="O594" s="10"/>
      <c r="P594" s="10"/>
      <c r="Q594" s="11"/>
      <c r="R594" s="9"/>
      <c r="S594" s="12"/>
      <c r="T594" s="5"/>
      <c r="U594" s="5"/>
      <c r="V594" s="4"/>
      <c r="W594" s="4"/>
      <c r="X594" s="4"/>
      <c r="Y594" s="4"/>
    </row>
    <row r="595">
      <c r="A595" s="5"/>
      <c r="B595" s="9"/>
      <c r="C595" s="5"/>
      <c r="D595" s="9"/>
      <c r="E595" s="9"/>
      <c r="F595" s="9"/>
      <c r="G595" s="9"/>
      <c r="H595" s="9"/>
      <c r="I595" s="9"/>
      <c r="J595" s="5"/>
      <c r="K595" s="4"/>
      <c r="L595" s="10"/>
      <c r="M595" s="10"/>
      <c r="N595" s="10"/>
      <c r="O595" s="10"/>
      <c r="P595" s="10"/>
      <c r="Q595" s="11"/>
      <c r="R595" s="9"/>
      <c r="S595" s="12"/>
      <c r="T595" s="5"/>
      <c r="U595" s="5"/>
      <c r="V595" s="4"/>
      <c r="W595" s="4"/>
      <c r="X595" s="4"/>
      <c r="Y595" s="4"/>
    </row>
    <row r="596">
      <c r="A596" s="5"/>
      <c r="B596" s="9"/>
      <c r="C596" s="5"/>
      <c r="D596" s="9"/>
      <c r="E596" s="9"/>
      <c r="F596" s="9"/>
      <c r="G596" s="9"/>
      <c r="H596" s="9"/>
      <c r="I596" s="9"/>
      <c r="J596" s="5"/>
      <c r="K596" s="4"/>
      <c r="L596" s="10"/>
      <c r="M596" s="10"/>
      <c r="N596" s="10"/>
      <c r="O596" s="10"/>
      <c r="P596" s="10"/>
      <c r="Q596" s="11"/>
      <c r="R596" s="9"/>
      <c r="S596" s="12"/>
      <c r="T596" s="5"/>
      <c r="U596" s="5"/>
      <c r="V596" s="4"/>
      <c r="W596" s="4"/>
      <c r="X596" s="4"/>
      <c r="Y596" s="4"/>
    </row>
    <row r="597">
      <c r="A597" s="5"/>
      <c r="B597" s="9"/>
      <c r="C597" s="5"/>
      <c r="D597" s="9"/>
      <c r="E597" s="9"/>
      <c r="F597" s="9"/>
      <c r="G597" s="9"/>
      <c r="H597" s="9"/>
      <c r="I597" s="9"/>
      <c r="J597" s="5"/>
      <c r="K597" s="4"/>
      <c r="L597" s="10"/>
      <c r="M597" s="10"/>
      <c r="N597" s="10"/>
      <c r="O597" s="10"/>
      <c r="P597" s="10"/>
      <c r="Q597" s="11"/>
      <c r="R597" s="9"/>
      <c r="S597" s="12"/>
      <c r="T597" s="5"/>
      <c r="U597" s="5"/>
      <c r="V597" s="4"/>
      <c r="W597" s="4"/>
      <c r="X597" s="4"/>
      <c r="Y597" s="4"/>
    </row>
    <row r="598">
      <c r="A598" s="5"/>
      <c r="B598" s="9"/>
      <c r="C598" s="5"/>
      <c r="D598" s="9"/>
      <c r="E598" s="9"/>
      <c r="F598" s="9"/>
      <c r="G598" s="9"/>
      <c r="H598" s="9"/>
      <c r="I598" s="9"/>
      <c r="J598" s="5"/>
      <c r="K598" s="4"/>
      <c r="L598" s="10"/>
      <c r="M598" s="10"/>
      <c r="N598" s="10"/>
      <c r="O598" s="10"/>
      <c r="P598" s="10"/>
      <c r="Q598" s="11"/>
      <c r="R598" s="9"/>
      <c r="S598" s="12"/>
      <c r="T598" s="5"/>
      <c r="U598" s="5"/>
      <c r="V598" s="4"/>
      <c r="W598" s="4"/>
      <c r="X598" s="4"/>
      <c r="Y598" s="4"/>
    </row>
    <row r="599">
      <c r="A599" s="5"/>
      <c r="B599" s="9"/>
      <c r="C599" s="5"/>
      <c r="D599" s="9"/>
      <c r="E599" s="9"/>
      <c r="F599" s="9"/>
      <c r="G599" s="9"/>
      <c r="H599" s="9"/>
      <c r="I599" s="9"/>
      <c r="J599" s="5"/>
      <c r="K599" s="4"/>
      <c r="L599" s="10"/>
      <c r="M599" s="10"/>
      <c r="N599" s="10"/>
      <c r="O599" s="10"/>
      <c r="P599" s="10"/>
      <c r="Q599" s="11"/>
      <c r="R599" s="9"/>
      <c r="S599" s="12"/>
      <c r="T599" s="5"/>
      <c r="U599" s="5"/>
      <c r="V599" s="4"/>
      <c r="W599" s="4"/>
      <c r="X599" s="4"/>
      <c r="Y599" s="4"/>
    </row>
    <row r="600">
      <c r="A600" s="5"/>
      <c r="B600" s="9"/>
      <c r="C600" s="5"/>
      <c r="D600" s="9"/>
      <c r="E600" s="9"/>
      <c r="F600" s="9"/>
      <c r="G600" s="9"/>
      <c r="H600" s="9"/>
      <c r="I600" s="9"/>
      <c r="J600" s="5"/>
      <c r="K600" s="4"/>
      <c r="L600" s="10"/>
      <c r="M600" s="10"/>
      <c r="N600" s="10"/>
      <c r="O600" s="10"/>
      <c r="P600" s="10"/>
      <c r="Q600" s="11"/>
      <c r="R600" s="9"/>
      <c r="S600" s="12"/>
      <c r="T600" s="5"/>
      <c r="U600" s="5"/>
      <c r="V600" s="4"/>
      <c r="W600" s="4"/>
      <c r="X600" s="4"/>
      <c r="Y600" s="4"/>
    </row>
    <row r="601">
      <c r="A601" s="5"/>
      <c r="B601" s="9"/>
      <c r="C601" s="5"/>
      <c r="D601" s="9"/>
      <c r="E601" s="9"/>
      <c r="F601" s="9"/>
      <c r="G601" s="9"/>
      <c r="H601" s="9"/>
      <c r="I601" s="9"/>
      <c r="J601" s="5"/>
      <c r="K601" s="4"/>
      <c r="L601" s="10"/>
      <c r="M601" s="10"/>
      <c r="N601" s="10"/>
      <c r="O601" s="10"/>
      <c r="P601" s="10"/>
      <c r="Q601" s="11"/>
      <c r="R601" s="9"/>
      <c r="S601" s="12"/>
      <c r="T601" s="5"/>
      <c r="U601" s="5"/>
      <c r="V601" s="4"/>
      <c r="W601" s="4"/>
      <c r="X601" s="4"/>
      <c r="Y601" s="4"/>
    </row>
    <row r="602">
      <c r="A602" s="5"/>
      <c r="B602" s="9"/>
      <c r="C602" s="5"/>
      <c r="D602" s="9"/>
      <c r="E602" s="9"/>
      <c r="F602" s="9"/>
      <c r="G602" s="9"/>
      <c r="H602" s="9"/>
      <c r="I602" s="9"/>
      <c r="J602" s="5"/>
      <c r="K602" s="4"/>
      <c r="L602" s="10"/>
      <c r="M602" s="10"/>
      <c r="N602" s="10"/>
      <c r="O602" s="10"/>
      <c r="P602" s="10"/>
      <c r="Q602" s="11"/>
      <c r="R602" s="9"/>
      <c r="S602" s="12"/>
      <c r="T602" s="5"/>
      <c r="U602" s="5"/>
      <c r="V602" s="4"/>
      <c r="W602" s="4"/>
      <c r="X602" s="4"/>
      <c r="Y602" s="4"/>
    </row>
    <row r="603">
      <c r="A603" s="5"/>
      <c r="B603" s="9"/>
      <c r="C603" s="5"/>
      <c r="D603" s="9"/>
      <c r="E603" s="9"/>
      <c r="F603" s="9"/>
      <c r="G603" s="9"/>
      <c r="H603" s="9"/>
      <c r="I603" s="9"/>
      <c r="J603" s="5"/>
      <c r="K603" s="4"/>
      <c r="L603" s="10"/>
      <c r="M603" s="10"/>
      <c r="N603" s="10"/>
      <c r="O603" s="10"/>
      <c r="P603" s="10"/>
      <c r="Q603" s="11"/>
      <c r="R603" s="9"/>
      <c r="S603" s="12"/>
      <c r="T603" s="5"/>
      <c r="U603" s="5"/>
      <c r="V603" s="4"/>
      <c r="W603" s="4"/>
      <c r="X603" s="4"/>
      <c r="Y603" s="4"/>
    </row>
    <row r="604">
      <c r="A604" s="5"/>
      <c r="B604" s="9"/>
      <c r="C604" s="5"/>
      <c r="D604" s="9"/>
      <c r="E604" s="9"/>
      <c r="F604" s="9"/>
      <c r="G604" s="9"/>
      <c r="H604" s="9"/>
      <c r="I604" s="9"/>
      <c r="J604" s="5"/>
      <c r="K604" s="4"/>
      <c r="L604" s="10"/>
      <c r="M604" s="10"/>
      <c r="N604" s="10"/>
      <c r="O604" s="10"/>
      <c r="P604" s="10"/>
      <c r="Q604" s="11"/>
      <c r="R604" s="9"/>
      <c r="S604" s="12"/>
      <c r="T604" s="5"/>
      <c r="U604" s="5"/>
      <c r="V604" s="4"/>
      <c r="W604" s="4"/>
      <c r="X604" s="4"/>
      <c r="Y604" s="4"/>
    </row>
    <row r="605">
      <c r="A605" s="5"/>
      <c r="B605" s="9"/>
      <c r="C605" s="5"/>
      <c r="D605" s="9"/>
      <c r="E605" s="9"/>
      <c r="F605" s="9"/>
      <c r="G605" s="9"/>
      <c r="H605" s="9"/>
      <c r="I605" s="9"/>
      <c r="J605" s="5"/>
      <c r="K605" s="4"/>
      <c r="L605" s="10"/>
      <c r="M605" s="10"/>
      <c r="N605" s="10"/>
      <c r="O605" s="10"/>
      <c r="P605" s="10"/>
      <c r="Q605" s="11"/>
      <c r="R605" s="9"/>
      <c r="S605" s="12"/>
      <c r="T605" s="5"/>
      <c r="U605" s="5"/>
      <c r="V605" s="4"/>
      <c r="W605" s="4"/>
      <c r="X605" s="4"/>
      <c r="Y605" s="4"/>
    </row>
    <row r="606">
      <c r="A606" s="5"/>
      <c r="B606" s="9"/>
      <c r="C606" s="5"/>
      <c r="D606" s="9"/>
      <c r="E606" s="9"/>
      <c r="F606" s="9"/>
      <c r="G606" s="9"/>
      <c r="H606" s="9"/>
      <c r="I606" s="9"/>
      <c r="J606" s="5"/>
      <c r="K606" s="4"/>
      <c r="L606" s="10"/>
      <c r="M606" s="10"/>
      <c r="N606" s="10"/>
      <c r="O606" s="10"/>
      <c r="P606" s="10"/>
      <c r="Q606" s="11"/>
      <c r="R606" s="9"/>
      <c r="S606" s="12"/>
      <c r="T606" s="5"/>
      <c r="U606" s="5"/>
      <c r="V606" s="4"/>
      <c r="W606" s="4"/>
      <c r="X606" s="4"/>
      <c r="Y606" s="4"/>
    </row>
    <row r="607">
      <c r="A607" s="5"/>
      <c r="B607" s="9"/>
      <c r="C607" s="5"/>
      <c r="D607" s="9"/>
      <c r="E607" s="9"/>
      <c r="F607" s="9"/>
      <c r="G607" s="9"/>
      <c r="H607" s="9"/>
      <c r="I607" s="9"/>
      <c r="J607" s="5"/>
      <c r="K607" s="4"/>
      <c r="L607" s="10"/>
      <c r="M607" s="10"/>
      <c r="N607" s="10"/>
      <c r="O607" s="10"/>
      <c r="P607" s="10"/>
      <c r="Q607" s="11"/>
      <c r="R607" s="9"/>
      <c r="S607" s="12"/>
      <c r="T607" s="5"/>
      <c r="U607" s="5"/>
      <c r="V607" s="4"/>
      <c r="W607" s="4"/>
      <c r="X607" s="4"/>
      <c r="Y607" s="4"/>
    </row>
    <row r="608">
      <c r="A608" s="5"/>
      <c r="B608" s="9"/>
      <c r="C608" s="5"/>
      <c r="D608" s="9"/>
      <c r="E608" s="9"/>
      <c r="F608" s="9"/>
      <c r="G608" s="9"/>
      <c r="H608" s="9"/>
      <c r="I608" s="9"/>
      <c r="J608" s="5"/>
      <c r="K608" s="4"/>
      <c r="L608" s="10"/>
      <c r="M608" s="10"/>
      <c r="N608" s="10"/>
      <c r="O608" s="10"/>
      <c r="P608" s="10"/>
      <c r="Q608" s="11"/>
      <c r="R608" s="9"/>
      <c r="S608" s="12"/>
      <c r="T608" s="5"/>
      <c r="U608" s="5"/>
      <c r="V608" s="4"/>
      <c r="W608" s="4"/>
      <c r="X608" s="4"/>
      <c r="Y608" s="4"/>
    </row>
    <row r="609">
      <c r="A609" s="5"/>
      <c r="B609" s="9"/>
      <c r="C609" s="5"/>
      <c r="D609" s="9"/>
      <c r="E609" s="9"/>
      <c r="F609" s="9"/>
      <c r="G609" s="9"/>
      <c r="H609" s="9"/>
      <c r="I609" s="9"/>
      <c r="J609" s="5"/>
      <c r="K609" s="4"/>
      <c r="L609" s="10"/>
      <c r="M609" s="10"/>
      <c r="N609" s="10"/>
      <c r="O609" s="10"/>
      <c r="P609" s="10"/>
      <c r="Q609" s="11"/>
      <c r="R609" s="9"/>
      <c r="S609" s="12"/>
      <c r="T609" s="5"/>
      <c r="U609" s="5"/>
      <c r="V609" s="4"/>
      <c r="W609" s="4"/>
      <c r="X609" s="4"/>
      <c r="Y609" s="4"/>
    </row>
    <row r="610">
      <c r="A610" s="5"/>
      <c r="B610" s="9"/>
      <c r="C610" s="5"/>
      <c r="D610" s="9"/>
      <c r="E610" s="9"/>
      <c r="F610" s="9"/>
      <c r="G610" s="9"/>
      <c r="H610" s="9"/>
      <c r="I610" s="9"/>
      <c r="J610" s="5"/>
      <c r="K610" s="4"/>
      <c r="L610" s="10"/>
      <c r="M610" s="10"/>
      <c r="N610" s="10"/>
      <c r="O610" s="10"/>
      <c r="P610" s="10"/>
      <c r="Q610" s="11"/>
      <c r="R610" s="9"/>
      <c r="S610" s="12"/>
      <c r="T610" s="5"/>
      <c r="U610" s="5"/>
      <c r="V610" s="4"/>
      <c r="W610" s="4"/>
      <c r="X610" s="4"/>
      <c r="Y610" s="4"/>
    </row>
    <row r="611">
      <c r="A611" s="5"/>
      <c r="B611" s="9"/>
      <c r="C611" s="5"/>
      <c r="D611" s="9"/>
      <c r="E611" s="9"/>
      <c r="F611" s="9"/>
      <c r="G611" s="9"/>
      <c r="H611" s="9"/>
      <c r="I611" s="9"/>
      <c r="J611" s="5"/>
      <c r="K611" s="4"/>
      <c r="L611" s="10"/>
      <c r="M611" s="10"/>
      <c r="N611" s="10"/>
      <c r="O611" s="10"/>
      <c r="P611" s="10"/>
      <c r="Q611" s="11"/>
      <c r="R611" s="9"/>
      <c r="S611" s="12"/>
      <c r="T611" s="5"/>
      <c r="U611" s="5"/>
      <c r="V611" s="4"/>
      <c r="W611" s="4"/>
      <c r="X611" s="4"/>
      <c r="Y611" s="4"/>
    </row>
    <row r="612">
      <c r="A612" s="5"/>
      <c r="B612" s="9"/>
      <c r="C612" s="5"/>
      <c r="D612" s="9"/>
      <c r="E612" s="9"/>
      <c r="F612" s="9"/>
      <c r="G612" s="9"/>
      <c r="H612" s="9"/>
      <c r="I612" s="9"/>
      <c r="J612" s="5"/>
      <c r="K612" s="4"/>
      <c r="L612" s="10"/>
      <c r="M612" s="10"/>
      <c r="N612" s="10"/>
      <c r="O612" s="10"/>
      <c r="P612" s="10"/>
      <c r="Q612" s="11"/>
      <c r="R612" s="9"/>
      <c r="S612" s="12"/>
      <c r="T612" s="5"/>
      <c r="U612" s="5"/>
      <c r="V612" s="4"/>
      <c r="W612" s="4"/>
      <c r="X612" s="4"/>
      <c r="Y612" s="4"/>
    </row>
    <row r="613">
      <c r="A613" s="5"/>
      <c r="B613" s="9"/>
      <c r="C613" s="5"/>
      <c r="D613" s="9"/>
      <c r="E613" s="9"/>
      <c r="F613" s="9"/>
      <c r="G613" s="9"/>
      <c r="H613" s="9"/>
      <c r="I613" s="9"/>
      <c r="J613" s="5"/>
      <c r="K613" s="4"/>
      <c r="L613" s="10"/>
      <c r="M613" s="10"/>
      <c r="N613" s="10"/>
      <c r="O613" s="10"/>
      <c r="P613" s="10"/>
      <c r="Q613" s="11"/>
      <c r="R613" s="9"/>
      <c r="S613" s="12"/>
      <c r="T613" s="5"/>
      <c r="U613" s="5"/>
      <c r="V613" s="4"/>
      <c r="W613" s="4"/>
      <c r="X613" s="4"/>
      <c r="Y613" s="4"/>
    </row>
    <row r="614">
      <c r="A614" s="5"/>
      <c r="B614" s="9"/>
      <c r="C614" s="5"/>
      <c r="D614" s="9"/>
      <c r="E614" s="9"/>
      <c r="F614" s="9"/>
      <c r="G614" s="9"/>
      <c r="H614" s="9"/>
      <c r="I614" s="9"/>
      <c r="J614" s="5"/>
      <c r="K614" s="4"/>
      <c r="L614" s="10"/>
      <c r="M614" s="10"/>
      <c r="N614" s="10"/>
      <c r="O614" s="10"/>
      <c r="P614" s="10"/>
      <c r="Q614" s="11"/>
      <c r="R614" s="9"/>
      <c r="S614" s="12"/>
      <c r="T614" s="5"/>
      <c r="U614" s="5"/>
      <c r="V614" s="4"/>
      <c r="W614" s="4"/>
      <c r="X614" s="4"/>
      <c r="Y614" s="4"/>
    </row>
    <row r="615">
      <c r="A615" s="5"/>
      <c r="B615" s="9"/>
      <c r="C615" s="5"/>
      <c r="D615" s="9"/>
      <c r="E615" s="9"/>
      <c r="F615" s="9"/>
      <c r="G615" s="9"/>
      <c r="H615" s="9"/>
      <c r="I615" s="9"/>
      <c r="J615" s="5"/>
      <c r="K615" s="4"/>
      <c r="L615" s="10"/>
      <c r="M615" s="10"/>
      <c r="N615" s="10"/>
      <c r="O615" s="10"/>
      <c r="P615" s="10"/>
      <c r="Q615" s="11"/>
      <c r="R615" s="9"/>
      <c r="S615" s="12"/>
      <c r="T615" s="5"/>
      <c r="U615" s="5"/>
      <c r="V615" s="4"/>
      <c r="W615" s="4"/>
      <c r="X615" s="4"/>
      <c r="Y615" s="4"/>
    </row>
    <row r="616">
      <c r="A616" s="5"/>
      <c r="B616" s="9"/>
      <c r="C616" s="5"/>
      <c r="D616" s="9"/>
      <c r="E616" s="9"/>
      <c r="F616" s="9"/>
      <c r="G616" s="9"/>
      <c r="H616" s="9"/>
      <c r="I616" s="9"/>
      <c r="J616" s="5"/>
      <c r="K616" s="4"/>
      <c r="L616" s="10"/>
      <c r="M616" s="10"/>
      <c r="N616" s="10"/>
      <c r="O616" s="10"/>
      <c r="P616" s="10"/>
      <c r="Q616" s="11"/>
      <c r="R616" s="9"/>
      <c r="S616" s="12"/>
      <c r="T616" s="5"/>
      <c r="U616" s="5"/>
      <c r="V616" s="4"/>
      <c r="W616" s="4"/>
      <c r="X616" s="4"/>
      <c r="Y616" s="4"/>
    </row>
    <row r="617">
      <c r="A617" s="5"/>
      <c r="B617" s="9"/>
      <c r="C617" s="5"/>
      <c r="D617" s="9"/>
      <c r="E617" s="9"/>
      <c r="F617" s="9"/>
      <c r="G617" s="9"/>
      <c r="H617" s="9"/>
      <c r="I617" s="9"/>
      <c r="J617" s="5"/>
      <c r="K617" s="4"/>
      <c r="L617" s="10"/>
      <c r="M617" s="10"/>
      <c r="N617" s="10"/>
      <c r="O617" s="10"/>
      <c r="P617" s="10"/>
      <c r="Q617" s="11"/>
      <c r="R617" s="9"/>
      <c r="S617" s="12"/>
      <c r="T617" s="5"/>
      <c r="U617" s="5"/>
      <c r="V617" s="4"/>
      <c r="W617" s="4"/>
      <c r="X617" s="4"/>
      <c r="Y617" s="4"/>
    </row>
    <row r="618">
      <c r="A618" s="5"/>
      <c r="B618" s="9"/>
      <c r="C618" s="5"/>
      <c r="D618" s="9"/>
      <c r="E618" s="9"/>
      <c r="F618" s="9"/>
      <c r="G618" s="9"/>
      <c r="H618" s="9"/>
      <c r="I618" s="9"/>
      <c r="J618" s="5"/>
      <c r="K618" s="4"/>
      <c r="L618" s="10"/>
      <c r="M618" s="10"/>
      <c r="N618" s="10"/>
      <c r="O618" s="10"/>
      <c r="P618" s="10"/>
      <c r="Q618" s="11"/>
      <c r="R618" s="9"/>
      <c r="S618" s="12"/>
      <c r="T618" s="5"/>
      <c r="U618" s="5"/>
      <c r="V618" s="4"/>
      <c r="W618" s="4"/>
      <c r="X618" s="4"/>
      <c r="Y618" s="4"/>
    </row>
    <row r="619">
      <c r="A619" s="5"/>
      <c r="B619" s="9"/>
      <c r="C619" s="5"/>
      <c r="D619" s="9"/>
      <c r="E619" s="9"/>
      <c r="F619" s="9"/>
      <c r="G619" s="9"/>
      <c r="H619" s="9"/>
      <c r="I619" s="9"/>
      <c r="J619" s="5"/>
      <c r="K619" s="4"/>
      <c r="L619" s="10"/>
      <c r="M619" s="10"/>
      <c r="N619" s="10"/>
      <c r="O619" s="10"/>
      <c r="P619" s="10"/>
      <c r="Q619" s="11"/>
      <c r="R619" s="9"/>
      <c r="S619" s="12"/>
      <c r="T619" s="5"/>
      <c r="U619" s="5"/>
      <c r="V619" s="4"/>
      <c r="W619" s="4"/>
      <c r="X619" s="4"/>
      <c r="Y619" s="4"/>
    </row>
    <row r="620">
      <c r="A620" s="5"/>
      <c r="B620" s="9"/>
      <c r="C620" s="5"/>
      <c r="D620" s="9"/>
      <c r="E620" s="9"/>
      <c r="F620" s="9"/>
      <c r="G620" s="9"/>
      <c r="H620" s="9"/>
      <c r="I620" s="9"/>
      <c r="J620" s="5"/>
      <c r="K620" s="4"/>
      <c r="L620" s="10"/>
      <c r="M620" s="10"/>
      <c r="N620" s="10"/>
      <c r="O620" s="10"/>
      <c r="P620" s="10"/>
      <c r="Q620" s="11"/>
      <c r="R620" s="9"/>
      <c r="S620" s="12"/>
      <c r="T620" s="5"/>
      <c r="U620" s="5"/>
      <c r="V620" s="4"/>
      <c r="W620" s="4"/>
      <c r="X620" s="4"/>
      <c r="Y620" s="4"/>
    </row>
    <row r="621">
      <c r="A621" s="5"/>
      <c r="B621" s="9"/>
      <c r="C621" s="5"/>
      <c r="D621" s="9"/>
      <c r="E621" s="9"/>
      <c r="F621" s="9"/>
      <c r="G621" s="9"/>
      <c r="H621" s="9"/>
      <c r="I621" s="9"/>
      <c r="J621" s="5"/>
      <c r="K621" s="4"/>
      <c r="L621" s="10"/>
      <c r="M621" s="10"/>
      <c r="N621" s="10"/>
      <c r="O621" s="10"/>
      <c r="P621" s="10"/>
      <c r="Q621" s="11"/>
      <c r="R621" s="9"/>
      <c r="S621" s="12"/>
      <c r="T621" s="5"/>
      <c r="U621" s="5"/>
      <c r="V621" s="4"/>
      <c r="W621" s="4"/>
      <c r="X621" s="4"/>
      <c r="Y621" s="4"/>
    </row>
    <row r="622">
      <c r="A622" s="5"/>
      <c r="B622" s="9"/>
      <c r="C622" s="5"/>
      <c r="D622" s="9"/>
      <c r="E622" s="9"/>
      <c r="F622" s="9"/>
      <c r="G622" s="9"/>
      <c r="H622" s="9"/>
      <c r="I622" s="9"/>
      <c r="J622" s="5"/>
      <c r="K622" s="4"/>
      <c r="L622" s="10"/>
      <c r="M622" s="10"/>
      <c r="N622" s="10"/>
      <c r="O622" s="10"/>
      <c r="P622" s="10"/>
      <c r="Q622" s="11"/>
      <c r="R622" s="9"/>
      <c r="S622" s="12"/>
      <c r="T622" s="5"/>
      <c r="U622" s="5"/>
      <c r="V622" s="4"/>
      <c r="W622" s="4"/>
      <c r="X622" s="4"/>
      <c r="Y622" s="4"/>
    </row>
    <row r="623">
      <c r="A623" s="5"/>
      <c r="B623" s="9"/>
      <c r="C623" s="5"/>
      <c r="D623" s="9"/>
      <c r="E623" s="9"/>
      <c r="F623" s="9"/>
      <c r="G623" s="9"/>
      <c r="H623" s="9"/>
      <c r="I623" s="9"/>
      <c r="J623" s="5"/>
      <c r="K623" s="4"/>
      <c r="L623" s="10"/>
      <c r="M623" s="10"/>
      <c r="N623" s="10"/>
      <c r="O623" s="10"/>
      <c r="P623" s="10"/>
      <c r="Q623" s="11"/>
      <c r="R623" s="9"/>
      <c r="S623" s="12"/>
      <c r="T623" s="5"/>
      <c r="U623" s="5"/>
      <c r="V623" s="4"/>
      <c r="W623" s="4"/>
      <c r="X623" s="4"/>
      <c r="Y623" s="4"/>
    </row>
    <row r="624">
      <c r="A624" s="5"/>
      <c r="B624" s="9"/>
      <c r="C624" s="5"/>
      <c r="D624" s="9"/>
      <c r="E624" s="9"/>
      <c r="F624" s="9"/>
      <c r="G624" s="9"/>
      <c r="H624" s="9"/>
      <c r="I624" s="9"/>
      <c r="J624" s="5"/>
      <c r="K624" s="4"/>
      <c r="L624" s="10"/>
      <c r="M624" s="10"/>
      <c r="N624" s="10"/>
      <c r="O624" s="10"/>
      <c r="P624" s="10"/>
      <c r="Q624" s="11"/>
      <c r="R624" s="9"/>
      <c r="S624" s="12"/>
      <c r="T624" s="5"/>
      <c r="U624" s="5"/>
      <c r="V624" s="4"/>
      <c r="W624" s="4"/>
      <c r="X624" s="4"/>
      <c r="Y624" s="4"/>
    </row>
    <row r="625">
      <c r="A625" s="5"/>
      <c r="B625" s="9"/>
      <c r="C625" s="5"/>
      <c r="D625" s="9"/>
      <c r="E625" s="9"/>
      <c r="F625" s="9"/>
      <c r="G625" s="9"/>
      <c r="H625" s="9"/>
      <c r="I625" s="9"/>
      <c r="J625" s="5"/>
      <c r="K625" s="4"/>
      <c r="L625" s="10"/>
      <c r="M625" s="10"/>
      <c r="N625" s="10"/>
      <c r="O625" s="10"/>
      <c r="P625" s="10"/>
      <c r="Q625" s="11"/>
      <c r="R625" s="9"/>
      <c r="S625" s="12"/>
      <c r="T625" s="5"/>
      <c r="U625" s="5"/>
      <c r="V625" s="4"/>
      <c r="W625" s="4"/>
      <c r="X625" s="4"/>
      <c r="Y625" s="4"/>
    </row>
    <row r="626">
      <c r="A626" s="5"/>
      <c r="B626" s="9"/>
      <c r="C626" s="5"/>
      <c r="D626" s="9"/>
      <c r="E626" s="9"/>
      <c r="F626" s="9"/>
      <c r="G626" s="9"/>
      <c r="H626" s="9"/>
      <c r="I626" s="9"/>
      <c r="J626" s="5"/>
      <c r="K626" s="4"/>
      <c r="L626" s="10"/>
      <c r="M626" s="10"/>
      <c r="N626" s="10"/>
      <c r="O626" s="10"/>
      <c r="P626" s="10"/>
      <c r="Q626" s="11"/>
      <c r="R626" s="9"/>
      <c r="S626" s="12"/>
      <c r="T626" s="5"/>
      <c r="U626" s="5"/>
      <c r="V626" s="4"/>
      <c r="W626" s="4"/>
      <c r="X626" s="4"/>
      <c r="Y626" s="4"/>
    </row>
    <row r="627">
      <c r="A627" s="5"/>
      <c r="B627" s="9"/>
      <c r="C627" s="5"/>
      <c r="D627" s="9"/>
      <c r="E627" s="9"/>
      <c r="F627" s="9"/>
      <c r="G627" s="9"/>
      <c r="H627" s="9"/>
      <c r="I627" s="9"/>
      <c r="J627" s="5"/>
      <c r="K627" s="4"/>
      <c r="L627" s="10"/>
      <c r="M627" s="10"/>
      <c r="N627" s="10"/>
      <c r="O627" s="10"/>
      <c r="P627" s="10"/>
      <c r="Q627" s="11"/>
      <c r="R627" s="9"/>
      <c r="S627" s="12"/>
      <c r="T627" s="5"/>
      <c r="U627" s="5"/>
      <c r="V627" s="4"/>
      <c r="W627" s="4"/>
      <c r="X627" s="4"/>
      <c r="Y627" s="4"/>
    </row>
    <row r="628">
      <c r="A628" s="5"/>
      <c r="B628" s="9"/>
      <c r="C628" s="5"/>
      <c r="D628" s="9"/>
      <c r="E628" s="9"/>
      <c r="F628" s="9"/>
      <c r="G628" s="9"/>
      <c r="H628" s="9"/>
      <c r="I628" s="9"/>
      <c r="J628" s="5"/>
      <c r="K628" s="4"/>
      <c r="L628" s="10"/>
      <c r="M628" s="10"/>
      <c r="N628" s="10"/>
      <c r="O628" s="10"/>
      <c r="P628" s="10"/>
      <c r="Q628" s="11"/>
      <c r="R628" s="9"/>
      <c r="S628" s="12"/>
      <c r="T628" s="5"/>
      <c r="U628" s="5"/>
      <c r="V628" s="4"/>
      <c r="W628" s="4"/>
      <c r="X628" s="4"/>
      <c r="Y628" s="4"/>
    </row>
    <row r="629">
      <c r="A629" s="5"/>
      <c r="B629" s="9"/>
      <c r="C629" s="5"/>
      <c r="D629" s="9"/>
      <c r="E629" s="9"/>
      <c r="F629" s="9"/>
      <c r="G629" s="9"/>
      <c r="H629" s="9"/>
      <c r="I629" s="9"/>
      <c r="J629" s="5"/>
      <c r="K629" s="4"/>
      <c r="L629" s="10"/>
      <c r="M629" s="10"/>
      <c r="N629" s="10"/>
      <c r="O629" s="10"/>
      <c r="P629" s="10"/>
      <c r="Q629" s="11"/>
      <c r="R629" s="9"/>
      <c r="S629" s="12"/>
      <c r="T629" s="5"/>
      <c r="U629" s="5"/>
      <c r="V629" s="4"/>
      <c r="W629" s="4"/>
      <c r="X629" s="4"/>
      <c r="Y629" s="4"/>
    </row>
    <row r="630">
      <c r="A630" s="5"/>
      <c r="B630" s="9"/>
      <c r="C630" s="5"/>
      <c r="D630" s="9"/>
      <c r="E630" s="9"/>
      <c r="F630" s="9"/>
      <c r="G630" s="9"/>
      <c r="H630" s="9"/>
      <c r="I630" s="9"/>
      <c r="J630" s="5"/>
      <c r="K630" s="4"/>
      <c r="L630" s="10"/>
      <c r="M630" s="10"/>
      <c r="N630" s="10"/>
      <c r="O630" s="10"/>
      <c r="P630" s="10"/>
      <c r="Q630" s="11"/>
      <c r="R630" s="9"/>
      <c r="S630" s="12"/>
      <c r="T630" s="5"/>
      <c r="U630" s="5"/>
      <c r="V630" s="4"/>
      <c r="W630" s="4"/>
      <c r="X630" s="4"/>
      <c r="Y630" s="4"/>
    </row>
    <row r="631">
      <c r="A631" s="5"/>
      <c r="B631" s="9"/>
      <c r="C631" s="5"/>
      <c r="D631" s="9"/>
      <c r="E631" s="9"/>
      <c r="F631" s="9"/>
      <c r="G631" s="9"/>
      <c r="H631" s="9"/>
      <c r="I631" s="9"/>
      <c r="J631" s="5"/>
      <c r="K631" s="4"/>
      <c r="L631" s="10"/>
      <c r="M631" s="10"/>
      <c r="N631" s="10"/>
      <c r="O631" s="10"/>
      <c r="P631" s="10"/>
      <c r="Q631" s="11"/>
      <c r="R631" s="9"/>
      <c r="S631" s="12"/>
      <c r="T631" s="5"/>
      <c r="U631" s="5"/>
      <c r="V631" s="4"/>
      <c r="W631" s="4"/>
      <c r="X631" s="4"/>
      <c r="Y631" s="4"/>
    </row>
    <row r="632">
      <c r="A632" s="5"/>
      <c r="B632" s="9"/>
      <c r="C632" s="5"/>
      <c r="D632" s="9"/>
      <c r="E632" s="9"/>
      <c r="F632" s="9"/>
      <c r="G632" s="9"/>
      <c r="H632" s="9"/>
      <c r="I632" s="9"/>
      <c r="J632" s="5"/>
      <c r="K632" s="4"/>
      <c r="L632" s="10"/>
      <c r="M632" s="10"/>
      <c r="N632" s="10"/>
      <c r="O632" s="10"/>
      <c r="P632" s="10"/>
      <c r="Q632" s="11"/>
      <c r="R632" s="9"/>
      <c r="S632" s="12"/>
      <c r="T632" s="5"/>
      <c r="U632" s="5"/>
      <c r="V632" s="4"/>
      <c r="W632" s="4"/>
      <c r="X632" s="4"/>
      <c r="Y632" s="4"/>
    </row>
    <row r="633">
      <c r="A633" s="5"/>
      <c r="B633" s="9"/>
      <c r="C633" s="5"/>
      <c r="D633" s="9"/>
      <c r="E633" s="9"/>
      <c r="F633" s="9"/>
      <c r="G633" s="9"/>
      <c r="H633" s="9"/>
      <c r="I633" s="9"/>
      <c r="J633" s="5"/>
      <c r="K633" s="4"/>
      <c r="L633" s="10"/>
      <c r="M633" s="10"/>
      <c r="N633" s="10"/>
      <c r="O633" s="10"/>
      <c r="P633" s="10"/>
      <c r="Q633" s="11"/>
      <c r="R633" s="9"/>
      <c r="S633" s="12"/>
      <c r="T633" s="5"/>
      <c r="U633" s="5"/>
      <c r="V633" s="4"/>
      <c r="W633" s="4"/>
      <c r="X633" s="4"/>
      <c r="Y633" s="4"/>
    </row>
    <row r="634">
      <c r="A634" s="5"/>
      <c r="B634" s="9"/>
      <c r="C634" s="5"/>
      <c r="D634" s="9"/>
      <c r="E634" s="9"/>
      <c r="F634" s="9"/>
      <c r="G634" s="9"/>
      <c r="H634" s="9"/>
      <c r="I634" s="9"/>
      <c r="J634" s="5"/>
      <c r="K634" s="4"/>
      <c r="L634" s="10"/>
      <c r="M634" s="10"/>
      <c r="N634" s="10"/>
      <c r="O634" s="10"/>
      <c r="P634" s="10"/>
      <c r="Q634" s="11"/>
      <c r="R634" s="9"/>
      <c r="S634" s="12"/>
      <c r="T634" s="5"/>
      <c r="U634" s="5"/>
      <c r="V634" s="4"/>
      <c r="W634" s="4"/>
      <c r="X634" s="4"/>
      <c r="Y634" s="4"/>
    </row>
    <row r="635">
      <c r="A635" s="5"/>
      <c r="B635" s="9"/>
      <c r="C635" s="5"/>
      <c r="D635" s="9"/>
      <c r="E635" s="9"/>
      <c r="F635" s="9"/>
      <c r="G635" s="9"/>
      <c r="H635" s="9"/>
      <c r="I635" s="9"/>
      <c r="J635" s="5"/>
      <c r="K635" s="4"/>
      <c r="L635" s="10"/>
      <c r="M635" s="10"/>
      <c r="N635" s="10"/>
      <c r="O635" s="10"/>
      <c r="P635" s="10"/>
      <c r="Q635" s="11"/>
      <c r="R635" s="9"/>
      <c r="S635" s="12"/>
      <c r="T635" s="5"/>
      <c r="U635" s="5"/>
      <c r="V635" s="4"/>
      <c r="W635" s="4"/>
      <c r="X635" s="4"/>
      <c r="Y635" s="4"/>
    </row>
    <row r="636">
      <c r="A636" s="5"/>
      <c r="B636" s="9"/>
      <c r="C636" s="5"/>
      <c r="D636" s="9"/>
      <c r="E636" s="9"/>
      <c r="F636" s="9"/>
      <c r="G636" s="9"/>
      <c r="H636" s="9"/>
      <c r="I636" s="9"/>
      <c r="J636" s="5"/>
      <c r="K636" s="4"/>
      <c r="L636" s="10"/>
      <c r="M636" s="10"/>
      <c r="N636" s="10"/>
      <c r="O636" s="10"/>
      <c r="P636" s="10"/>
      <c r="Q636" s="11"/>
      <c r="R636" s="9"/>
      <c r="S636" s="12"/>
      <c r="T636" s="5"/>
      <c r="U636" s="5"/>
      <c r="V636" s="4"/>
      <c r="W636" s="4"/>
      <c r="X636" s="4"/>
      <c r="Y636" s="4"/>
    </row>
    <row r="637">
      <c r="A637" s="5"/>
      <c r="B637" s="9"/>
      <c r="C637" s="5"/>
      <c r="D637" s="9"/>
      <c r="E637" s="9"/>
      <c r="F637" s="9"/>
      <c r="G637" s="9"/>
      <c r="H637" s="9"/>
      <c r="I637" s="9"/>
      <c r="J637" s="5"/>
      <c r="K637" s="4"/>
      <c r="L637" s="10"/>
      <c r="M637" s="10"/>
      <c r="N637" s="10"/>
      <c r="O637" s="10"/>
      <c r="P637" s="10"/>
      <c r="Q637" s="11"/>
      <c r="R637" s="9"/>
      <c r="S637" s="12"/>
      <c r="T637" s="5"/>
      <c r="U637" s="5"/>
      <c r="V637" s="4"/>
      <c r="W637" s="4"/>
      <c r="X637" s="4"/>
      <c r="Y637" s="4"/>
    </row>
    <row r="638">
      <c r="A638" s="5"/>
      <c r="B638" s="9"/>
      <c r="C638" s="5"/>
      <c r="D638" s="9"/>
      <c r="E638" s="9"/>
      <c r="F638" s="9"/>
      <c r="G638" s="9"/>
      <c r="H638" s="9"/>
      <c r="I638" s="9"/>
      <c r="J638" s="5"/>
      <c r="K638" s="4"/>
      <c r="L638" s="10"/>
      <c r="M638" s="10"/>
      <c r="N638" s="10"/>
      <c r="O638" s="10"/>
      <c r="P638" s="10"/>
      <c r="Q638" s="11"/>
      <c r="R638" s="9"/>
      <c r="S638" s="12"/>
      <c r="T638" s="5"/>
      <c r="U638" s="5"/>
      <c r="V638" s="4"/>
      <c r="W638" s="4"/>
      <c r="X638" s="4"/>
      <c r="Y638" s="4"/>
    </row>
    <row r="639">
      <c r="A639" s="5"/>
      <c r="B639" s="9"/>
      <c r="C639" s="5"/>
      <c r="D639" s="9"/>
      <c r="E639" s="9"/>
      <c r="F639" s="9"/>
      <c r="G639" s="9"/>
      <c r="H639" s="9"/>
      <c r="I639" s="9"/>
      <c r="J639" s="5"/>
      <c r="K639" s="4"/>
      <c r="L639" s="10"/>
      <c r="M639" s="10"/>
      <c r="N639" s="10"/>
      <c r="O639" s="10"/>
      <c r="P639" s="10"/>
      <c r="Q639" s="11"/>
      <c r="R639" s="9"/>
      <c r="S639" s="12"/>
      <c r="T639" s="5"/>
      <c r="U639" s="5"/>
      <c r="V639" s="4"/>
      <c r="W639" s="4"/>
      <c r="X639" s="4"/>
      <c r="Y639" s="4"/>
    </row>
    <row r="640">
      <c r="A640" s="5"/>
      <c r="B640" s="9"/>
      <c r="C640" s="5"/>
      <c r="D640" s="9"/>
      <c r="E640" s="9"/>
      <c r="F640" s="9"/>
      <c r="G640" s="9"/>
      <c r="H640" s="9"/>
      <c r="I640" s="9"/>
      <c r="J640" s="5"/>
      <c r="K640" s="4"/>
      <c r="L640" s="10"/>
      <c r="M640" s="10"/>
      <c r="N640" s="10"/>
      <c r="O640" s="10"/>
      <c r="P640" s="10"/>
      <c r="Q640" s="11"/>
      <c r="R640" s="9"/>
      <c r="S640" s="12"/>
      <c r="T640" s="5"/>
      <c r="U640" s="5"/>
      <c r="V640" s="4"/>
      <c r="W640" s="4"/>
      <c r="X640" s="4"/>
      <c r="Y640" s="4"/>
    </row>
    <row r="641">
      <c r="A641" s="5"/>
      <c r="B641" s="9"/>
      <c r="C641" s="5"/>
      <c r="D641" s="9"/>
      <c r="E641" s="9"/>
      <c r="F641" s="9"/>
      <c r="G641" s="9"/>
      <c r="H641" s="9"/>
      <c r="I641" s="9"/>
      <c r="J641" s="5"/>
      <c r="K641" s="4"/>
      <c r="L641" s="10"/>
      <c r="M641" s="10"/>
      <c r="N641" s="10"/>
      <c r="O641" s="10"/>
      <c r="P641" s="10"/>
      <c r="Q641" s="11"/>
      <c r="R641" s="9"/>
      <c r="S641" s="12"/>
      <c r="T641" s="5"/>
      <c r="U641" s="5"/>
      <c r="V641" s="4"/>
      <c r="W641" s="4"/>
      <c r="X641" s="4"/>
      <c r="Y641" s="4"/>
    </row>
    <row r="642">
      <c r="A642" s="5"/>
      <c r="B642" s="9"/>
      <c r="C642" s="5"/>
      <c r="D642" s="9"/>
      <c r="E642" s="9"/>
      <c r="F642" s="9"/>
      <c r="G642" s="9"/>
      <c r="H642" s="9"/>
      <c r="I642" s="9"/>
      <c r="J642" s="5"/>
      <c r="K642" s="4"/>
      <c r="L642" s="10"/>
      <c r="M642" s="10"/>
      <c r="N642" s="10"/>
      <c r="O642" s="10"/>
      <c r="P642" s="10"/>
      <c r="Q642" s="11"/>
      <c r="R642" s="9"/>
      <c r="S642" s="12"/>
      <c r="T642" s="5"/>
      <c r="U642" s="5"/>
      <c r="V642" s="4"/>
      <c r="W642" s="4"/>
      <c r="X642" s="4"/>
      <c r="Y642" s="4"/>
    </row>
    <row r="643">
      <c r="A643" s="5"/>
      <c r="B643" s="9"/>
      <c r="C643" s="5"/>
      <c r="D643" s="9"/>
      <c r="E643" s="9"/>
      <c r="F643" s="9"/>
      <c r="G643" s="9"/>
      <c r="H643" s="9"/>
      <c r="I643" s="9"/>
      <c r="J643" s="5"/>
      <c r="K643" s="4"/>
      <c r="L643" s="10"/>
      <c r="M643" s="10"/>
      <c r="N643" s="10"/>
      <c r="O643" s="10"/>
      <c r="P643" s="10"/>
      <c r="Q643" s="11"/>
      <c r="R643" s="9"/>
      <c r="S643" s="12"/>
      <c r="T643" s="5"/>
      <c r="U643" s="5"/>
      <c r="V643" s="4"/>
      <c r="W643" s="4"/>
      <c r="X643" s="4"/>
      <c r="Y643" s="4"/>
    </row>
    <row r="644">
      <c r="A644" s="5"/>
      <c r="B644" s="9"/>
      <c r="C644" s="5"/>
      <c r="D644" s="9"/>
      <c r="E644" s="9"/>
      <c r="F644" s="9"/>
      <c r="G644" s="9"/>
      <c r="H644" s="9"/>
      <c r="I644" s="9"/>
      <c r="J644" s="5"/>
      <c r="K644" s="4"/>
      <c r="L644" s="10"/>
      <c r="M644" s="10"/>
      <c r="N644" s="10"/>
      <c r="O644" s="10"/>
      <c r="P644" s="10"/>
      <c r="Q644" s="11"/>
      <c r="R644" s="9"/>
      <c r="S644" s="12"/>
      <c r="T644" s="5"/>
      <c r="U644" s="5"/>
      <c r="V644" s="4"/>
      <c r="W644" s="4"/>
      <c r="X644" s="4"/>
      <c r="Y644" s="4"/>
    </row>
    <row r="645">
      <c r="A645" s="5"/>
      <c r="B645" s="9"/>
      <c r="C645" s="5"/>
      <c r="D645" s="9"/>
      <c r="E645" s="9"/>
      <c r="F645" s="9"/>
      <c r="G645" s="9"/>
      <c r="H645" s="9"/>
      <c r="I645" s="9"/>
      <c r="J645" s="5"/>
      <c r="K645" s="4"/>
      <c r="L645" s="10"/>
      <c r="M645" s="10"/>
      <c r="N645" s="10"/>
      <c r="O645" s="10"/>
      <c r="P645" s="10"/>
      <c r="Q645" s="11"/>
      <c r="R645" s="9"/>
      <c r="S645" s="12"/>
      <c r="T645" s="5"/>
      <c r="U645" s="5"/>
      <c r="V645" s="4"/>
      <c r="W645" s="4"/>
      <c r="X645" s="4"/>
      <c r="Y645" s="4"/>
    </row>
    <row r="646">
      <c r="A646" s="5"/>
      <c r="B646" s="9"/>
      <c r="C646" s="5"/>
      <c r="D646" s="9"/>
      <c r="E646" s="9"/>
      <c r="F646" s="9"/>
      <c r="G646" s="9"/>
      <c r="H646" s="9"/>
      <c r="I646" s="9"/>
      <c r="J646" s="5"/>
      <c r="K646" s="4"/>
      <c r="L646" s="10"/>
      <c r="M646" s="10"/>
      <c r="N646" s="10"/>
      <c r="O646" s="10"/>
      <c r="P646" s="10"/>
      <c r="Q646" s="11"/>
      <c r="R646" s="9"/>
      <c r="S646" s="12"/>
      <c r="T646" s="5"/>
      <c r="U646" s="5"/>
      <c r="V646" s="4"/>
      <c r="W646" s="4"/>
      <c r="X646" s="4"/>
      <c r="Y646" s="4"/>
    </row>
    <row r="647">
      <c r="A647" s="5"/>
      <c r="B647" s="9"/>
      <c r="C647" s="5"/>
      <c r="D647" s="9"/>
      <c r="E647" s="9"/>
      <c r="F647" s="9"/>
      <c r="G647" s="9"/>
      <c r="H647" s="9"/>
      <c r="I647" s="9"/>
      <c r="J647" s="5"/>
      <c r="K647" s="4"/>
      <c r="L647" s="10"/>
      <c r="M647" s="10"/>
      <c r="N647" s="10"/>
      <c r="O647" s="10"/>
      <c r="P647" s="10"/>
      <c r="Q647" s="11"/>
      <c r="R647" s="9"/>
      <c r="S647" s="12"/>
      <c r="T647" s="5"/>
      <c r="U647" s="5"/>
      <c r="V647" s="4"/>
      <c r="W647" s="4"/>
      <c r="X647" s="4"/>
      <c r="Y647" s="4"/>
    </row>
    <row r="648">
      <c r="A648" s="5"/>
      <c r="B648" s="9"/>
      <c r="C648" s="5"/>
      <c r="D648" s="9"/>
      <c r="E648" s="9"/>
      <c r="F648" s="9"/>
      <c r="G648" s="9"/>
      <c r="H648" s="9"/>
      <c r="I648" s="9"/>
      <c r="J648" s="5"/>
      <c r="K648" s="4"/>
      <c r="L648" s="10"/>
      <c r="M648" s="10"/>
      <c r="N648" s="10"/>
      <c r="O648" s="10"/>
      <c r="P648" s="10"/>
      <c r="Q648" s="11"/>
      <c r="R648" s="9"/>
      <c r="S648" s="12"/>
      <c r="T648" s="5"/>
      <c r="U648" s="5"/>
      <c r="V648" s="4"/>
      <c r="W648" s="4"/>
      <c r="X648" s="4"/>
      <c r="Y648" s="4"/>
    </row>
    <row r="649">
      <c r="A649" s="5"/>
      <c r="B649" s="9"/>
      <c r="C649" s="5"/>
      <c r="D649" s="9"/>
      <c r="E649" s="9"/>
      <c r="F649" s="9"/>
      <c r="G649" s="9"/>
      <c r="H649" s="9"/>
      <c r="I649" s="9"/>
      <c r="J649" s="5"/>
      <c r="K649" s="4"/>
      <c r="L649" s="10"/>
      <c r="M649" s="10"/>
      <c r="N649" s="10"/>
      <c r="O649" s="10"/>
      <c r="P649" s="10"/>
      <c r="Q649" s="11"/>
      <c r="R649" s="9"/>
      <c r="S649" s="12"/>
      <c r="T649" s="5"/>
      <c r="U649" s="5"/>
      <c r="V649" s="4"/>
      <c r="W649" s="4"/>
      <c r="X649" s="4"/>
      <c r="Y649" s="4"/>
    </row>
    <row r="650">
      <c r="A650" s="5"/>
      <c r="B650" s="9"/>
      <c r="C650" s="5"/>
      <c r="D650" s="9"/>
      <c r="E650" s="9"/>
      <c r="F650" s="9"/>
      <c r="G650" s="9"/>
      <c r="H650" s="9"/>
      <c r="I650" s="9"/>
      <c r="J650" s="5"/>
      <c r="K650" s="4"/>
      <c r="L650" s="10"/>
      <c r="M650" s="10"/>
      <c r="N650" s="10"/>
      <c r="O650" s="10"/>
      <c r="P650" s="10"/>
      <c r="Q650" s="11"/>
      <c r="R650" s="9"/>
      <c r="S650" s="12"/>
      <c r="T650" s="5"/>
      <c r="U650" s="5"/>
      <c r="V650" s="4"/>
      <c r="W650" s="4"/>
      <c r="X650" s="4"/>
      <c r="Y650" s="4"/>
    </row>
    <row r="651">
      <c r="A651" s="5"/>
      <c r="B651" s="9"/>
      <c r="C651" s="5"/>
      <c r="D651" s="9"/>
      <c r="E651" s="9"/>
      <c r="F651" s="9"/>
      <c r="G651" s="9"/>
      <c r="H651" s="9"/>
      <c r="I651" s="9"/>
      <c r="J651" s="5"/>
      <c r="K651" s="4"/>
      <c r="L651" s="10"/>
      <c r="M651" s="10"/>
      <c r="N651" s="10"/>
      <c r="O651" s="10"/>
      <c r="P651" s="10"/>
      <c r="Q651" s="11"/>
      <c r="R651" s="9"/>
      <c r="S651" s="12"/>
      <c r="T651" s="5"/>
      <c r="U651" s="5"/>
      <c r="V651" s="4"/>
      <c r="W651" s="4"/>
      <c r="X651" s="4"/>
      <c r="Y651" s="4"/>
    </row>
    <row r="652">
      <c r="A652" s="5"/>
      <c r="B652" s="9"/>
      <c r="C652" s="5"/>
      <c r="D652" s="9"/>
      <c r="E652" s="9"/>
      <c r="F652" s="9"/>
      <c r="G652" s="9"/>
      <c r="H652" s="9"/>
      <c r="I652" s="9"/>
      <c r="J652" s="5"/>
      <c r="K652" s="4"/>
      <c r="L652" s="10"/>
      <c r="M652" s="10"/>
      <c r="N652" s="10"/>
      <c r="O652" s="10"/>
      <c r="P652" s="10"/>
      <c r="Q652" s="11"/>
      <c r="R652" s="9"/>
      <c r="S652" s="12"/>
      <c r="T652" s="5"/>
      <c r="U652" s="5"/>
      <c r="V652" s="4"/>
      <c r="W652" s="4"/>
      <c r="X652" s="4"/>
      <c r="Y652" s="4"/>
    </row>
    <row r="653">
      <c r="A653" s="5"/>
      <c r="B653" s="9"/>
      <c r="C653" s="5"/>
      <c r="D653" s="9"/>
      <c r="E653" s="9"/>
      <c r="F653" s="9"/>
      <c r="G653" s="9"/>
      <c r="H653" s="9"/>
      <c r="I653" s="9"/>
      <c r="J653" s="5"/>
      <c r="K653" s="4"/>
      <c r="L653" s="10"/>
      <c r="M653" s="10"/>
      <c r="N653" s="10"/>
      <c r="O653" s="10"/>
      <c r="P653" s="10"/>
      <c r="Q653" s="11"/>
      <c r="R653" s="9"/>
      <c r="S653" s="12"/>
      <c r="T653" s="5"/>
      <c r="U653" s="5"/>
      <c r="V653" s="4"/>
      <c r="W653" s="4"/>
      <c r="X653" s="4"/>
      <c r="Y653" s="4"/>
    </row>
    <row r="654">
      <c r="A654" s="5"/>
      <c r="B654" s="9"/>
      <c r="C654" s="5"/>
      <c r="D654" s="9"/>
      <c r="E654" s="9"/>
      <c r="F654" s="9"/>
      <c r="G654" s="9"/>
      <c r="H654" s="9"/>
      <c r="I654" s="9"/>
      <c r="J654" s="5"/>
      <c r="K654" s="4"/>
      <c r="L654" s="10"/>
      <c r="M654" s="10"/>
      <c r="N654" s="10"/>
      <c r="O654" s="10"/>
      <c r="P654" s="10"/>
      <c r="Q654" s="11"/>
      <c r="R654" s="9"/>
      <c r="S654" s="12"/>
      <c r="T654" s="5"/>
      <c r="U654" s="5"/>
      <c r="V654" s="4"/>
      <c r="W654" s="4"/>
      <c r="X654" s="4"/>
      <c r="Y654" s="4"/>
    </row>
    <row r="655">
      <c r="A655" s="5"/>
      <c r="B655" s="9"/>
      <c r="C655" s="5"/>
      <c r="D655" s="9"/>
      <c r="E655" s="9"/>
      <c r="F655" s="9"/>
      <c r="G655" s="9"/>
      <c r="H655" s="9"/>
      <c r="I655" s="9"/>
      <c r="J655" s="5"/>
      <c r="K655" s="4"/>
      <c r="L655" s="10"/>
      <c r="M655" s="10"/>
      <c r="N655" s="10"/>
      <c r="O655" s="10"/>
      <c r="P655" s="10"/>
      <c r="Q655" s="11"/>
      <c r="R655" s="9"/>
      <c r="S655" s="12"/>
      <c r="T655" s="5"/>
      <c r="U655" s="5"/>
      <c r="V655" s="4"/>
      <c r="W655" s="4"/>
      <c r="X655" s="4"/>
      <c r="Y655" s="4"/>
    </row>
    <row r="656">
      <c r="A656" s="5"/>
      <c r="B656" s="9"/>
      <c r="C656" s="5"/>
      <c r="D656" s="9"/>
      <c r="E656" s="9"/>
      <c r="F656" s="9"/>
      <c r="G656" s="9"/>
      <c r="H656" s="9"/>
      <c r="I656" s="9"/>
      <c r="J656" s="5"/>
      <c r="K656" s="4"/>
      <c r="L656" s="10"/>
      <c r="M656" s="10"/>
      <c r="N656" s="10"/>
      <c r="O656" s="10"/>
      <c r="P656" s="10"/>
      <c r="Q656" s="11"/>
      <c r="R656" s="9"/>
      <c r="S656" s="12"/>
      <c r="T656" s="5"/>
      <c r="U656" s="5"/>
      <c r="V656" s="4"/>
      <c r="W656" s="4"/>
      <c r="X656" s="4"/>
      <c r="Y656" s="4"/>
    </row>
    <row r="657">
      <c r="A657" s="5"/>
      <c r="B657" s="9"/>
      <c r="C657" s="5"/>
      <c r="D657" s="9"/>
      <c r="E657" s="9"/>
      <c r="F657" s="9"/>
      <c r="G657" s="9"/>
      <c r="H657" s="9"/>
      <c r="I657" s="9"/>
      <c r="J657" s="5"/>
      <c r="K657" s="4"/>
      <c r="L657" s="10"/>
      <c r="M657" s="10"/>
      <c r="N657" s="10"/>
      <c r="O657" s="10"/>
      <c r="P657" s="10"/>
      <c r="Q657" s="11"/>
      <c r="R657" s="9"/>
      <c r="S657" s="12"/>
      <c r="T657" s="5"/>
      <c r="U657" s="5"/>
      <c r="V657" s="4"/>
      <c r="W657" s="4"/>
      <c r="X657" s="4"/>
      <c r="Y657" s="4"/>
    </row>
    <row r="658">
      <c r="A658" s="5"/>
      <c r="B658" s="9"/>
      <c r="C658" s="5"/>
      <c r="D658" s="9"/>
      <c r="E658" s="9"/>
      <c r="F658" s="9"/>
      <c r="G658" s="9"/>
      <c r="H658" s="9"/>
      <c r="I658" s="9"/>
      <c r="J658" s="5"/>
      <c r="K658" s="4"/>
      <c r="L658" s="10"/>
      <c r="M658" s="10"/>
      <c r="N658" s="10"/>
      <c r="O658" s="10"/>
      <c r="P658" s="10"/>
      <c r="Q658" s="11"/>
      <c r="R658" s="9"/>
      <c r="S658" s="12"/>
      <c r="T658" s="5"/>
      <c r="U658" s="5"/>
      <c r="V658" s="4"/>
      <c r="W658" s="4"/>
      <c r="X658" s="4"/>
      <c r="Y658" s="4"/>
    </row>
    <row r="659">
      <c r="A659" s="5"/>
      <c r="B659" s="9"/>
      <c r="C659" s="5"/>
      <c r="D659" s="9"/>
      <c r="E659" s="9"/>
      <c r="F659" s="9"/>
      <c r="G659" s="9"/>
      <c r="H659" s="9"/>
      <c r="I659" s="9"/>
      <c r="J659" s="5"/>
      <c r="K659" s="4"/>
      <c r="L659" s="10"/>
      <c r="M659" s="10"/>
      <c r="N659" s="10"/>
      <c r="O659" s="10"/>
      <c r="P659" s="10"/>
      <c r="Q659" s="11"/>
      <c r="R659" s="9"/>
      <c r="S659" s="12"/>
      <c r="T659" s="5"/>
      <c r="U659" s="5"/>
      <c r="V659" s="4"/>
      <c r="W659" s="4"/>
      <c r="X659" s="4"/>
      <c r="Y659" s="4"/>
    </row>
    <row r="660">
      <c r="A660" s="5"/>
      <c r="B660" s="9"/>
      <c r="C660" s="5"/>
      <c r="D660" s="9"/>
      <c r="E660" s="9"/>
      <c r="F660" s="9"/>
      <c r="G660" s="9"/>
      <c r="H660" s="9"/>
      <c r="I660" s="9"/>
      <c r="J660" s="5"/>
      <c r="K660" s="4"/>
      <c r="L660" s="10"/>
      <c r="M660" s="10"/>
      <c r="N660" s="10"/>
      <c r="O660" s="10"/>
      <c r="P660" s="10"/>
      <c r="Q660" s="11"/>
      <c r="R660" s="9"/>
      <c r="S660" s="12"/>
      <c r="T660" s="5"/>
      <c r="U660" s="5"/>
      <c r="V660" s="4"/>
      <c r="W660" s="4"/>
      <c r="X660" s="4"/>
      <c r="Y660" s="4"/>
    </row>
    <row r="661">
      <c r="A661" s="5"/>
      <c r="B661" s="9"/>
      <c r="C661" s="5"/>
      <c r="D661" s="9"/>
      <c r="E661" s="9"/>
      <c r="F661" s="9"/>
      <c r="G661" s="9"/>
      <c r="H661" s="9"/>
      <c r="I661" s="9"/>
      <c r="J661" s="5"/>
      <c r="K661" s="4"/>
      <c r="L661" s="10"/>
      <c r="M661" s="10"/>
      <c r="N661" s="10"/>
      <c r="O661" s="10"/>
      <c r="P661" s="10"/>
      <c r="Q661" s="11"/>
      <c r="R661" s="9"/>
      <c r="S661" s="12"/>
      <c r="T661" s="5"/>
      <c r="U661" s="5"/>
      <c r="V661" s="4"/>
      <c r="W661" s="4"/>
      <c r="X661" s="4"/>
      <c r="Y661" s="4"/>
    </row>
    <row r="662">
      <c r="A662" s="5"/>
      <c r="B662" s="9"/>
      <c r="C662" s="5"/>
      <c r="D662" s="9"/>
      <c r="E662" s="9"/>
      <c r="F662" s="9"/>
      <c r="G662" s="9"/>
      <c r="H662" s="9"/>
      <c r="I662" s="9"/>
      <c r="J662" s="5"/>
      <c r="K662" s="4"/>
      <c r="L662" s="10"/>
      <c r="M662" s="10"/>
      <c r="N662" s="10"/>
      <c r="O662" s="10"/>
      <c r="P662" s="10"/>
      <c r="Q662" s="11"/>
      <c r="R662" s="9"/>
      <c r="S662" s="12"/>
      <c r="T662" s="5"/>
      <c r="U662" s="5"/>
      <c r="V662" s="4"/>
      <c r="W662" s="4"/>
      <c r="X662" s="4"/>
      <c r="Y662" s="4"/>
    </row>
    <row r="663">
      <c r="A663" s="5"/>
      <c r="B663" s="9"/>
      <c r="C663" s="5"/>
      <c r="D663" s="9"/>
      <c r="E663" s="9"/>
      <c r="F663" s="9"/>
      <c r="G663" s="9"/>
      <c r="H663" s="9"/>
      <c r="I663" s="9"/>
      <c r="J663" s="5"/>
      <c r="K663" s="4"/>
      <c r="L663" s="10"/>
      <c r="M663" s="10"/>
      <c r="N663" s="10"/>
      <c r="O663" s="10"/>
      <c r="P663" s="10"/>
      <c r="Q663" s="11"/>
      <c r="R663" s="9"/>
      <c r="S663" s="12"/>
      <c r="T663" s="5"/>
      <c r="U663" s="5"/>
      <c r="V663" s="4"/>
      <c r="W663" s="4"/>
      <c r="X663" s="4"/>
      <c r="Y663" s="4"/>
    </row>
    <row r="664">
      <c r="A664" s="5"/>
      <c r="B664" s="9"/>
      <c r="C664" s="5"/>
      <c r="D664" s="9"/>
      <c r="E664" s="9"/>
      <c r="F664" s="9"/>
      <c r="G664" s="9"/>
      <c r="H664" s="9"/>
      <c r="I664" s="9"/>
      <c r="J664" s="5"/>
      <c r="K664" s="4"/>
      <c r="L664" s="10"/>
      <c r="M664" s="10"/>
      <c r="N664" s="10"/>
      <c r="O664" s="10"/>
      <c r="P664" s="10"/>
      <c r="Q664" s="11"/>
      <c r="R664" s="9"/>
      <c r="S664" s="12"/>
      <c r="T664" s="5"/>
      <c r="U664" s="5"/>
      <c r="V664" s="4"/>
      <c r="W664" s="4"/>
      <c r="X664" s="4"/>
      <c r="Y664" s="4"/>
    </row>
    <row r="665">
      <c r="A665" s="5"/>
      <c r="B665" s="9"/>
      <c r="C665" s="5"/>
      <c r="D665" s="9"/>
      <c r="E665" s="9"/>
      <c r="F665" s="9"/>
      <c r="G665" s="9"/>
      <c r="H665" s="9"/>
      <c r="I665" s="9"/>
      <c r="J665" s="5"/>
      <c r="K665" s="4"/>
      <c r="L665" s="10"/>
      <c r="M665" s="10"/>
      <c r="N665" s="10"/>
      <c r="O665" s="10"/>
      <c r="P665" s="10"/>
      <c r="Q665" s="11"/>
      <c r="R665" s="9"/>
      <c r="S665" s="12"/>
      <c r="T665" s="5"/>
      <c r="U665" s="5"/>
      <c r="V665" s="4"/>
      <c r="W665" s="4"/>
      <c r="X665" s="4"/>
      <c r="Y665" s="4"/>
    </row>
    <row r="666">
      <c r="A666" s="5"/>
      <c r="B666" s="9"/>
      <c r="C666" s="5"/>
      <c r="D666" s="9"/>
      <c r="E666" s="9"/>
      <c r="F666" s="9"/>
      <c r="G666" s="9"/>
      <c r="H666" s="9"/>
      <c r="I666" s="9"/>
      <c r="J666" s="5"/>
      <c r="K666" s="4"/>
      <c r="L666" s="10"/>
      <c r="M666" s="10"/>
      <c r="N666" s="10"/>
      <c r="O666" s="10"/>
      <c r="P666" s="10"/>
      <c r="Q666" s="11"/>
      <c r="R666" s="9"/>
      <c r="S666" s="12"/>
      <c r="T666" s="5"/>
      <c r="U666" s="5"/>
      <c r="V666" s="4"/>
      <c r="W666" s="4"/>
      <c r="X666" s="4"/>
      <c r="Y666" s="4"/>
    </row>
    <row r="667">
      <c r="A667" s="5"/>
      <c r="B667" s="9"/>
      <c r="C667" s="5"/>
      <c r="D667" s="9"/>
      <c r="E667" s="9"/>
      <c r="F667" s="9"/>
      <c r="G667" s="9"/>
      <c r="H667" s="9"/>
      <c r="I667" s="9"/>
      <c r="J667" s="5"/>
      <c r="K667" s="4"/>
      <c r="L667" s="10"/>
      <c r="M667" s="10"/>
      <c r="N667" s="10"/>
      <c r="O667" s="10"/>
      <c r="P667" s="10"/>
      <c r="Q667" s="11"/>
      <c r="R667" s="9"/>
      <c r="S667" s="12"/>
      <c r="T667" s="5"/>
      <c r="U667" s="5"/>
      <c r="V667" s="4"/>
      <c r="W667" s="4"/>
      <c r="X667" s="4"/>
      <c r="Y667" s="4"/>
    </row>
    <row r="668">
      <c r="A668" s="5"/>
      <c r="B668" s="9"/>
      <c r="C668" s="5"/>
      <c r="D668" s="9"/>
      <c r="E668" s="9"/>
      <c r="F668" s="9"/>
      <c r="G668" s="9"/>
      <c r="H668" s="9"/>
      <c r="I668" s="9"/>
      <c r="J668" s="5"/>
      <c r="K668" s="4"/>
      <c r="L668" s="10"/>
      <c r="M668" s="10"/>
      <c r="N668" s="10"/>
      <c r="O668" s="10"/>
      <c r="P668" s="10"/>
      <c r="Q668" s="11"/>
      <c r="R668" s="9"/>
      <c r="S668" s="12"/>
      <c r="T668" s="5"/>
      <c r="U668" s="5"/>
      <c r="V668" s="4"/>
      <c r="W668" s="4"/>
      <c r="X668" s="4"/>
      <c r="Y668" s="4"/>
    </row>
    <row r="669">
      <c r="A669" s="5"/>
      <c r="B669" s="9"/>
      <c r="C669" s="5"/>
      <c r="D669" s="9"/>
      <c r="E669" s="9"/>
      <c r="F669" s="9"/>
      <c r="G669" s="9"/>
      <c r="H669" s="9"/>
      <c r="I669" s="9"/>
      <c r="J669" s="5"/>
      <c r="K669" s="4"/>
      <c r="L669" s="10"/>
      <c r="M669" s="10"/>
      <c r="N669" s="10"/>
      <c r="O669" s="10"/>
      <c r="P669" s="10"/>
      <c r="Q669" s="11"/>
      <c r="R669" s="9"/>
      <c r="S669" s="12"/>
      <c r="T669" s="5"/>
      <c r="U669" s="5"/>
      <c r="V669" s="4"/>
      <c r="W669" s="4"/>
      <c r="X669" s="4"/>
      <c r="Y669" s="4"/>
    </row>
    <row r="670">
      <c r="A670" s="5"/>
      <c r="B670" s="9"/>
      <c r="C670" s="5"/>
      <c r="D670" s="9"/>
      <c r="E670" s="9"/>
      <c r="F670" s="9"/>
      <c r="G670" s="9"/>
      <c r="H670" s="9"/>
      <c r="I670" s="9"/>
      <c r="J670" s="5"/>
      <c r="K670" s="4"/>
      <c r="L670" s="10"/>
      <c r="M670" s="10"/>
      <c r="N670" s="10"/>
      <c r="O670" s="10"/>
      <c r="P670" s="10"/>
      <c r="Q670" s="11"/>
      <c r="R670" s="9"/>
      <c r="S670" s="12"/>
      <c r="T670" s="5"/>
      <c r="U670" s="5"/>
      <c r="V670" s="4"/>
      <c r="W670" s="4"/>
      <c r="X670" s="4"/>
      <c r="Y670" s="4"/>
    </row>
    <row r="671">
      <c r="A671" s="5"/>
      <c r="B671" s="9"/>
      <c r="C671" s="5"/>
      <c r="D671" s="9"/>
      <c r="E671" s="9"/>
      <c r="F671" s="9"/>
      <c r="G671" s="9"/>
      <c r="H671" s="9"/>
      <c r="I671" s="9"/>
      <c r="J671" s="5"/>
      <c r="K671" s="4"/>
      <c r="L671" s="10"/>
      <c r="M671" s="10"/>
      <c r="N671" s="10"/>
      <c r="O671" s="10"/>
      <c r="P671" s="10"/>
      <c r="Q671" s="11"/>
      <c r="R671" s="9"/>
      <c r="S671" s="12"/>
      <c r="T671" s="5"/>
      <c r="U671" s="5"/>
      <c r="V671" s="4"/>
      <c r="W671" s="4"/>
      <c r="X671" s="4"/>
      <c r="Y671" s="4"/>
    </row>
    <row r="672">
      <c r="A672" s="5"/>
      <c r="B672" s="9"/>
      <c r="C672" s="5"/>
      <c r="D672" s="9"/>
      <c r="E672" s="9"/>
      <c r="F672" s="9"/>
      <c r="G672" s="9"/>
      <c r="H672" s="9"/>
      <c r="I672" s="9"/>
      <c r="J672" s="5"/>
      <c r="K672" s="4"/>
      <c r="L672" s="10"/>
      <c r="M672" s="10"/>
      <c r="N672" s="10"/>
      <c r="O672" s="10"/>
      <c r="P672" s="10"/>
      <c r="Q672" s="11"/>
      <c r="R672" s="9"/>
      <c r="S672" s="12"/>
      <c r="T672" s="5"/>
      <c r="U672" s="5"/>
      <c r="V672" s="4"/>
      <c r="W672" s="4"/>
      <c r="X672" s="4"/>
      <c r="Y672" s="4"/>
    </row>
    <row r="673">
      <c r="A673" s="5"/>
      <c r="B673" s="9"/>
      <c r="C673" s="5"/>
      <c r="D673" s="9"/>
      <c r="E673" s="9"/>
      <c r="F673" s="9"/>
      <c r="G673" s="9"/>
      <c r="H673" s="9"/>
      <c r="I673" s="9"/>
      <c r="J673" s="5"/>
      <c r="K673" s="4"/>
      <c r="L673" s="10"/>
      <c r="M673" s="10"/>
      <c r="N673" s="10"/>
      <c r="O673" s="10"/>
      <c r="P673" s="10"/>
      <c r="Q673" s="11"/>
      <c r="R673" s="9"/>
      <c r="S673" s="12"/>
      <c r="T673" s="5"/>
      <c r="U673" s="5"/>
      <c r="V673" s="4"/>
      <c r="W673" s="4"/>
      <c r="X673" s="4"/>
      <c r="Y673" s="4"/>
    </row>
    <row r="674">
      <c r="A674" s="5"/>
      <c r="B674" s="9"/>
      <c r="C674" s="5"/>
      <c r="D674" s="9"/>
      <c r="E674" s="9"/>
      <c r="F674" s="9"/>
      <c r="G674" s="9"/>
      <c r="H674" s="9"/>
      <c r="I674" s="9"/>
      <c r="J674" s="5"/>
      <c r="K674" s="4"/>
      <c r="L674" s="10"/>
      <c r="M674" s="10"/>
      <c r="N674" s="10"/>
      <c r="O674" s="10"/>
      <c r="P674" s="10"/>
      <c r="Q674" s="11"/>
      <c r="R674" s="9"/>
      <c r="S674" s="12"/>
      <c r="T674" s="5"/>
      <c r="U674" s="5"/>
      <c r="V674" s="4"/>
      <c r="W674" s="4"/>
      <c r="X674" s="4"/>
      <c r="Y674" s="4"/>
    </row>
    <row r="675">
      <c r="A675" s="5"/>
      <c r="B675" s="9"/>
      <c r="C675" s="5"/>
      <c r="D675" s="9"/>
      <c r="E675" s="9"/>
      <c r="F675" s="9"/>
      <c r="G675" s="9"/>
      <c r="H675" s="9"/>
      <c r="I675" s="9"/>
      <c r="J675" s="5"/>
      <c r="K675" s="4"/>
      <c r="L675" s="10"/>
      <c r="M675" s="10"/>
      <c r="N675" s="10"/>
      <c r="O675" s="10"/>
      <c r="P675" s="10"/>
      <c r="Q675" s="11"/>
      <c r="R675" s="9"/>
      <c r="S675" s="12"/>
      <c r="T675" s="5"/>
      <c r="U675" s="5"/>
      <c r="V675" s="4"/>
      <c r="W675" s="4"/>
      <c r="X675" s="4"/>
      <c r="Y675" s="4"/>
    </row>
    <row r="676">
      <c r="A676" s="5"/>
      <c r="B676" s="9"/>
      <c r="C676" s="5"/>
      <c r="D676" s="9"/>
      <c r="E676" s="9"/>
      <c r="F676" s="9"/>
      <c r="G676" s="9"/>
      <c r="H676" s="9"/>
      <c r="I676" s="9"/>
      <c r="J676" s="5"/>
      <c r="K676" s="4"/>
      <c r="L676" s="10"/>
      <c r="M676" s="10"/>
      <c r="N676" s="10"/>
      <c r="O676" s="10"/>
      <c r="P676" s="10"/>
      <c r="Q676" s="11"/>
      <c r="R676" s="9"/>
      <c r="S676" s="12"/>
      <c r="T676" s="5"/>
      <c r="U676" s="5"/>
      <c r="V676" s="4"/>
      <c r="W676" s="4"/>
      <c r="X676" s="4"/>
      <c r="Y676" s="4"/>
    </row>
    <row r="677">
      <c r="A677" s="5"/>
      <c r="B677" s="9"/>
      <c r="C677" s="5"/>
      <c r="D677" s="9"/>
      <c r="E677" s="9"/>
      <c r="F677" s="9"/>
      <c r="G677" s="9"/>
      <c r="H677" s="9"/>
      <c r="I677" s="9"/>
      <c r="J677" s="5"/>
      <c r="K677" s="4"/>
      <c r="L677" s="10"/>
      <c r="M677" s="10"/>
      <c r="N677" s="10"/>
      <c r="O677" s="10"/>
      <c r="P677" s="10"/>
      <c r="Q677" s="11"/>
      <c r="R677" s="9"/>
      <c r="S677" s="12"/>
      <c r="T677" s="5"/>
      <c r="U677" s="5"/>
      <c r="V677" s="4"/>
      <c r="W677" s="4"/>
      <c r="X677" s="4"/>
      <c r="Y677" s="4"/>
    </row>
    <row r="678">
      <c r="A678" s="5"/>
      <c r="B678" s="9"/>
      <c r="C678" s="5"/>
      <c r="D678" s="9"/>
      <c r="E678" s="9"/>
      <c r="F678" s="9"/>
      <c r="G678" s="9"/>
      <c r="H678" s="9"/>
      <c r="I678" s="9"/>
      <c r="J678" s="5"/>
      <c r="K678" s="4"/>
      <c r="L678" s="10"/>
      <c r="M678" s="10"/>
      <c r="N678" s="10"/>
      <c r="O678" s="10"/>
      <c r="P678" s="10"/>
      <c r="Q678" s="11"/>
      <c r="R678" s="9"/>
      <c r="S678" s="12"/>
      <c r="T678" s="5"/>
      <c r="U678" s="5"/>
      <c r="V678" s="4"/>
      <c r="W678" s="4"/>
      <c r="X678" s="4"/>
      <c r="Y678" s="4"/>
    </row>
    <row r="679">
      <c r="A679" s="5"/>
      <c r="B679" s="9"/>
      <c r="C679" s="5"/>
      <c r="D679" s="9"/>
      <c r="E679" s="9"/>
      <c r="F679" s="9"/>
      <c r="G679" s="9"/>
      <c r="H679" s="9"/>
      <c r="I679" s="9"/>
      <c r="J679" s="5"/>
      <c r="K679" s="4"/>
      <c r="L679" s="10"/>
      <c r="M679" s="10"/>
      <c r="N679" s="10"/>
      <c r="O679" s="10"/>
      <c r="P679" s="10"/>
      <c r="Q679" s="11"/>
      <c r="R679" s="9"/>
      <c r="S679" s="12"/>
      <c r="T679" s="5"/>
      <c r="U679" s="5"/>
      <c r="V679" s="4"/>
      <c r="W679" s="4"/>
      <c r="X679" s="4"/>
      <c r="Y679" s="4"/>
    </row>
    <row r="680">
      <c r="A680" s="5"/>
      <c r="B680" s="9"/>
      <c r="C680" s="5"/>
      <c r="D680" s="9"/>
      <c r="E680" s="9"/>
      <c r="F680" s="9"/>
      <c r="G680" s="9"/>
      <c r="H680" s="9"/>
      <c r="I680" s="9"/>
      <c r="J680" s="5"/>
      <c r="K680" s="4"/>
      <c r="L680" s="10"/>
      <c r="M680" s="10"/>
      <c r="N680" s="10"/>
      <c r="O680" s="10"/>
      <c r="P680" s="10"/>
      <c r="Q680" s="11"/>
      <c r="R680" s="9"/>
      <c r="S680" s="12"/>
      <c r="T680" s="5"/>
      <c r="U680" s="5"/>
      <c r="V680" s="4"/>
      <c r="W680" s="4"/>
      <c r="X680" s="4"/>
      <c r="Y680" s="4"/>
    </row>
    <row r="681">
      <c r="A681" s="5"/>
      <c r="B681" s="9"/>
      <c r="C681" s="5"/>
      <c r="D681" s="9"/>
      <c r="E681" s="9"/>
      <c r="F681" s="9"/>
      <c r="G681" s="9"/>
      <c r="H681" s="9"/>
      <c r="I681" s="9"/>
      <c r="J681" s="5"/>
      <c r="K681" s="4"/>
      <c r="L681" s="10"/>
      <c r="M681" s="10"/>
      <c r="N681" s="10"/>
      <c r="O681" s="10"/>
      <c r="P681" s="10"/>
      <c r="Q681" s="11"/>
      <c r="R681" s="9"/>
      <c r="S681" s="12"/>
      <c r="T681" s="5"/>
      <c r="U681" s="5"/>
      <c r="V681" s="4"/>
      <c r="W681" s="4"/>
      <c r="X681" s="4"/>
      <c r="Y681" s="4"/>
    </row>
    <row r="682">
      <c r="A682" s="5"/>
      <c r="B682" s="9"/>
      <c r="C682" s="5"/>
      <c r="D682" s="9"/>
      <c r="E682" s="9"/>
      <c r="F682" s="9"/>
      <c r="G682" s="9"/>
      <c r="H682" s="9"/>
      <c r="I682" s="9"/>
      <c r="J682" s="5"/>
      <c r="K682" s="4"/>
      <c r="L682" s="10"/>
      <c r="M682" s="10"/>
      <c r="N682" s="10"/>
      <c r="O682" s="10"/>
      <c r="P682" s="10"/>
      <c r="Q682" s="11"/>
      <c r="R682" s="9"/>
      <c r="S682" s="12"/>
      <c r="T682" s="5"/>
      <c r="U682" s="5"/>
      <c r="V682" s="4"/>
      <c r="W682" s="4"/>
      <c r="X682" s="4"/>
      <c r="Y682" s="4"/>
    </row>
    <row r="683">
      <c r="A683" s="5"/>
      <c r="B683" s="9"/>
      <c r="C683" s="5"/>
      <c r="D683" s="9"/>
      <c r="E683" s="9"/>
      <c r="F683" s="9"/>
      <c r="G683" s="9"/>
      <c r="H683" s="9"/>
      <c r="I683" s="9"/>
      <c r="J683" s="5"/>
      <c r="K683" s="4"/>
      <c r="L683" s="10"/>
      <c r="M683" s="10"/>
      <c r="N683" s="10"/>
      <c r="O683" s="10"/>
      <c r="P683" s="10"/>
      <c r="Q683" s="11"/>
      <c r="R683" s="9"/>
      <c r="S683" s="12"/>
      <c r="T683" s="5"/>
      <c r="U683" s="5"/>
      <c r="V683" s="4"/>
      <c r="W683" s="4"/>
      <c r="X683" s="4"/>
      <c r="Y683" s="4"/>
    </row>
    <row r="684">
      <c r="A684" s="5"/>
      <c r="B684" s="9"/>
      <c r="C684" s="5"/>
      <c r="D684" s="9"/>
      <c r="E684" s="9"/>
      <c r="F684" s="9"/>
      <c r="G684" s="9"/>
      <c r="H684" s="9"/>
      <c r="I684" s="9"/>
      <c r="J684" s="5"/>
      <c r="K684" s="4"/>
      <c r="L684" s="10"/>
      <c r="M684" s="10"/>
      <c r="N684" s="10"/>
      <c r="O684" s="10"/>
      <c r="P684" s="10"/>
      <c r="Q684" s="11"/>
      <c r="R684" s="9"/>
      <c r="S684" s="12"/>
      <c r="T684" s="5"/>
      <c r="U684" s="5"/>
      <c r="V684" s="4"/>
      <c r="W684" s="4"/>
      <c r="X684" s="4"/>
      <c r="Y684" s="4"/>
    </row>
    <row r="685">
      <c r="A685" s="5"/>
      <c r="B685" s="9"/>
      <c r="C685" s="5"/>
      <c r="D685" s="9"/>
      <c r="E685" s="9"/>
      <c r="F685" s="9"/>
      <c r="G685" s="9"/>
      <c r="H685" s="9"/>
      <c r="I685" s="9"/>
      <c r="J685" s="5"/>
      <c r="K685" s="4"/>
      <c r="L685" s="10"/>
      <c r="M685" s="10"/>
      <c r="N685" s="10"/>
      <c r="O685" s="10"/>
      <c r="P685" s="10"/>
      <c r="Q685" s="11"/>
      <c r="R685" s="9"/>
      <c r="S685" s="12"/>
      <c r="T685" s="5"/>
      <c r="U685" s="5"/>
      <c r="V685" s="4"/>
      <c r="W685" s="4"/>
      <c r="X685" s="4"/>
      <c r="Y685" s="4"/>
    </row>
    <row r="686">
      <c r="A686" s="5"/>
      <c r="B686" s="9"/>
      <c r="C686" s="5"/>
      <c r="D686" s="9"/>
      <c r="E686" s="9"/>
      <c r="F686" s="9"/>
      <c r="G686" s="9"/>
      <c r="H686" s="9"/>
      <c r="I686" s="9"/>
      <c r="J686" s="5"/>
      <c r="K686" s="4"/>
      <c r="L686" s="10"/>
      <c r="M686" s="10"/>
      <c r="N686" s="10"/>
      <c r="O686" s="10"/>
      <c r="P686" s="10"/>
      <c r="Q686" s="11"/>
      <c r="R686" s="9"/>
      <c r="S686" s="12"/>
      <c r="T686" s="5"/>
      <c r="U686" s="5"/>
      <c r="V686" s="4"/>
      <c r="W686" s="4"/>
      <c r="X686" s="4"/>
      <c r="Y686" s="4"/>
    </row>
    <row r="687">
      <c r="A687" s="5"/>
      <c r="B687" s="9"/>
      <c r="C687" s="5"/>
      <c r="D687" s="9"/>
      <c r="E687" s="9"/>
      <c r="F687" s="9"/>
      <c r="G687" s="9"/>
      <c r="H687" s="9"/>
      <c r="I687" s="9"/>
      <c r="J687" s="5"/>
      <c r="K687" s="4"/>
      <c r="L687" s="10"/>
      <c r="M687" s="10"/>
      <c r="N687" s="10"/>
      <c r="O687" s="10"/>
      <c r="P687" s="10"/>
      <c r="Q687" s="11"/>
      <c r="R687" s="9"/>
      <c r="S687" s="12"/>
      <c r="T687" s="5"/>
      <c r="U687" s="5"/>
      <c r="V687" s="4"/>
      <c r="W687" s="4"/>
      <c r="X687" s="4"/>
      <c r="Y687" s="4"/>
    </row>
    <row r="688">
      <c r="A688" s="5"/>
      <c r="B688" s="9"/>
      <c r="C688" s="5"/>
      <c r="D688" s="9"/>
      <c r="E688" s="9"/>
      <c r="F688" s="9"/>
      <c r="G688" s="9"/>
      <c r="H688" s="9"/>
      <c r="I688" s="9"/>
      <c r="J688" s="5"/>
      <c r="K688" s="4"/>
      <c r="L688" s="10"/>
      <c r="M688" s="10"/>
      <c r="N688" s="10"/>
      <c r="O688" s="10"/>
      <c r="P688" s="10"/>
      <c r="Q688" s="11"/>
      <c r="R688" s="9"/>
      <c r="S688" s="12"/>
      <c r="T688" s="5"/>
      <c r="U688" s="5"/>
      <c r="V688" s="4"/>
      <c r="W688" s="4"/>
      <c r="X688" s="4"/>
      <c r="Y688" s="4"/>
    </row>
    <row r="689">
      <c r="A689" s="5"/>
      <c r="B689" s="9"/>
      <c r="C689" s="5"/>
      <c r="D689" s="9"/>
      <c r="E689" s="9"/>
      <c r="F689" s="9"/>
      <c r="G689" s="9"/>
      <c r="H689" s="9"/>
      <c r="I689" s="9"/>
      <c r="J689" s="5"/>
      <c r="K689" s="4"/>
      <c r="L689" s="10"/>
      <c r="M689" s="10"/>
      <c r="N689" s="10"/>
      <c r="O689" s="10"/>
      <c r="P689" s="10"/>
      <c r="Q689" s="11"/>
      <c r="R689" s="9"/>
      <c r="S689" s="12"/>
      <c r="T689" s="5"/>
      <c r="U689" s="5"/>
      <c r="V689" s="4"/>
      <c r="W689" s="4"/>
      <c r="X689" s="4"/>
      <c r="Y689" s="4"/>
    </row>
    <row r="690">
      <c r="A690" s="5"/>
      <c r="B690" s="9"/>
      <c r="C690" s="5"/>
      <c r="D690" s="9"/>
      <c r="E690" s="9"/>
      <c r="F690" s="9"/>
      <c r="G690" s="9"/>
      <c r="H690" s="9"/>
      <c r="I690" s="9"/>
      <c r="J690" s="5"/>
      <c r="K690" s="4"/>
      <c r="L690" s="10"/>
      <c r="M690" s="10"/>
      <c r="N690" s="10"/>
      <c r="O690" s="10"/>
      <c r="P690" s="10"/>
      <c r="Q690" s="11"/>
      <c r="R690" s="9"/>
      <c r="S690" s="12"/>
      <c r="T690" s="5"/>
      <c r="U690" s="5"/>
      <c r="V690" s="4"/>
      <c r="W690" s="4"/>
      <c r="X690" s="4"/>
      <c r="Y690" s="4"/>
    </row>
    <row r="691">
      <c r="A691" s="5"/>
      <c r="B691" s="9"/>
      <c r="C691" s="5"/>
      <c r="D691" s="9"/>
      <c r="E691" s="9"/>
      <c r="F691" s="9"/>
      <c r="G691" s="9"/>
      <c r="H691" s="9"/>
      <c r="I691" s="9"/>
      <c r="J691" s="5"/>
      <c r="K691" s="4"/>
      <c r="L691" s="10"/>
      <c r="M691" s="10"/>
      <c r="N691" s="10"/>
      <c r="O691" s="10"/>
      <c r="P691" s="10"/>
      <c r="Q691" s="11"/>
      <c r="R691" s="9"/>
      <c r="S691" s="12"/>
      <c r="T691" s="5"/>
      <c r="U691" s="5"/>
      <c r="V691" s="4"/>
      <c r="W691" s="4"/>
      <c r="X691" s="4"/>
      <c r="Y691" s="4"/>
    </row>
    <row r="692">
      <c r="A692" s="5"/>
      <c r="B692" s="9"/>
      <c r="C692" s="5"/>
      <c r="D692" s="9"/>
      <c r="E692" s="9"/>
      <c r="F692" s="9"/>
      <c r="G692" s="9"/>
      <c r="H692" s="9"/>
      <c r="I692" s="9"/>
      <c r="J692" s="5"/>
      <c r="K692" s="4"/>
      <c r="L692" s="10"/>
      <c r="M692" s="10"/>
      <c r="N692" s="10"/>
      <c r="O692" s="10"/>
      <c r="P692" s="10"/>
      <c r="Q692" s="11"/>
      <c r="R692" s="9"/>
      <c r="S692" s="12"/>
      <c r="T692" s="5"/>
      <c r="U692" s="5"/>
      <c r="V692" s="4"/>
      <c r="W692" s="4"/>
      <c r="X692" s="4"/>
      <c r="Y692" s="4"/>
    </row>
    <row r="693">
      <c r="A693" s="5"/>
      <c r="B693" s="9"/>
      <c r="C693" s="5"/>
      <c r="D693" s="9"/>
      <c r="E693" s="9"/>
      <c r="F693" s="9"/>
      <c r="G693" s="9"/>
      <c r="H693" s="9"/>
      <c r="I693" s="9"/>
      <c r="J693" s="5"/>
      <c r="K693" s="4"/>
      <c r="L693" s="10"/>
      <c r="M693" s="10"/>
      <c r="N693" s="10"/>
      <c r="O693" s="10"/>
      <c r="P693" s="10"/>
      <c r="Q693" s="11"/>
      <c r="R693" s="9"/>
      <c r="S693" s="12"/>
      <c r="T693" s="5"/>
      <c r="U693" s="5"/>
      <c r="V693" s="4"/>
      <c r="W693" s="4"/>
      <c r="X693" s="4"/>
      <c r="Y693" s="4"/>
    </row>
    <row r="694">
      <c r="A694" s="5"/>
      <c r="B694" s="9"/>
      <c r="C694" s="5"/>
      <c r="D694" s="9"/>
      <c r="E694" s="9"/>
      <c r="F694" s="9"/>
      <c r="G694" s="9"/>
      <c r="H694" s="9"/>
      <c r="I694" s="9"/>
      <c r="J694" s="5"/>
      <c r="K694" s="4"/>
      <c r="L694" s="10"/>
      <c r="M694" s="10"/>
      <c r="N694" s="10"/>
      <c r="O694" s="10"/>
      <c r="P694" s="10"/>
      <c r="Q694" s="11"/>
      <c r="R694" s="9"/>
      <c r="S694" s="12"/>
      <c r="T694" s="5"/>
      <c r="U694" s="5"/>
      <c r="V694" s="4"/>
      <c r="W694" s="4"/>
      <c r="X694" s="4"/>
      <c r="Y694" s="4"/>
    </row>
    <row r="695">
      <c r="A695" s="5"/>
      <c r="B695" s="9"/>
      <c r="C695" s="5"/>
      <c r="D695" s="9"/>
      <c r="E695" s="9"/>
      <c r="F695" s="9"/>
      <c r="G695" s="9"/>
      <c r="H695" s="9"/>
      <c r="I695" s="9"/>
      <c r="J695" s="5"/>
      <c r="K695" s="4"/>
      <c r="L695" s="10"/>
      <c r="M695" s="10"/>
      <c r="N695" s="10"/>
      <c r="O695" s="10"/>
      <c r="P695" s="10"/>
      <c r="Q695" s="11"/>
      <c r="R695" s="9"/>
      <c r="S695" s="12"/>
      <c r="T695" s="5"/>
      <c r="U695" s="5"/>
      <c r="V695" s="4"/>
      <c r="W695" s="4"/>
      <c r="X695" s="4"/>
      <c r="Y695" s="4"/>
    </row>
    <row r="696">
      <c r="A696" s="5"/>
      <c r="B696" s="9"/>
      <c r="C696" s="5"/>
      <c r="D696" s="9"/>
      <c r="E696" s="9"/>
      <c r="F696" s="9"/>
      <c r="G696" s="9"/>
      <c r="H696" s="9"/>
      <c r="I696" s="9"/>
      <c r="J696" s="5"/>
      <c r="K696" s="4"/>
      <c r="L696" s="10"/>
      <c r="M696" s="10"/>
      <c r="N696" s="10"/>
      <c r="O696" s="10"/>
      <c r="P696" s="10"/>
      <c r="Q696" s="11"/>
      <c r="R696" s="9"/>
      <c r="S696" s="12"/>
      <c r="T696" s="5"/>
      <c r="U696" s="5"/>
      <c r="V696" s="4"/>
      <c r="W696" s="4"/>
      <c r="X696" s="4"/>
      <c r="Y696" s="4"/>
    </row>
    <row r="697">
      <c r="A697" s="5"/>
      <c r="B697" s="9"/>
      <c r="C697" s="5"/>
      <c r="D697" s="9"/>
      <c r="E697" s="9"/>
      <c r="F697" s="9"/>
      <c r="G697" s="9"/>
      <c r="H697" s="9"/>
      <c r="I697" s="9"/>
      <c r="J697" s="5"/>
      <c r="K697" s="4"/>
      <c r="L697" s="10"/>
      <c r="M697" s="10"/>
      <c r="N697" s="10"/>
      <c r="O697" s="10"/>
      <c r="P697" s="10"/>
      <c r="Q697" s="11"/>
      <c r="R697" s="9"/>
      <c r="S697" s="12"/>
      <c r="T697" s="5"/>
      <c r="U697" s="5"/>
      <c r="V697" s="4"/>
      <c r="W697" s="4"/>
      <c r="X697" s="4"/>
      <c r="Y697" s="4"/>
    </row>
    <row r="698">
      <c r="A698" s="5"/>
      <c r="B698" s="9"/>
      <c r="C698" s="5"/>
      <c r="D698" s="9"/>
      <c r="E698" s="9"/>
      <c r="F698" s="9"/>
      <c r="G698" s="9"/>
      <c r="H698" s="9"/>
      <c r="I698" s="9"/>
      <c r="J698" s="5"/>
      <c r="K698" s="4"/>
      <c r="L698" s="10"/>
      <c r="M698" s="10"/>
      <c r="N698" s="10"/>
      <c r="O698" s="10"/>
      <c r="P698" s="10"/>
      <c r="Q698" s="11"/>
      <c r="R698" s="9"/>
      <c r="S698" s="12"/>
      <c r="T698" s="5"/>
      <c r="U698" s="5"/>
      <c r="V698" s="4"/>
      <c r="W698" s="4"/>
      <c r="X698" s="4"/>
      <c r="Y698" s="4"/>
    </row>
    <row r="699">
      <c r="A699" s="5"/>
      <c r="B699" s="9"/>
      <c r="C699" s="5"/>
      <c r="D699" s="9"/>
      <c r="E699" s="9"/>
      <c r="F699" s="9"/>
      <c r="G699" s="9"/>
      <c r="H699" s="9"/>
      <c r="I699" s="9"/>
      <c r="J699" s="5"/>
      <c r="K699" s="4"/>
      <c r="L699" s="10"/>
      <c r="M699" s="10"/>
      <c r="N699" s="10"/>
      <c r="O699" s="10"/>
      <c r="P699" s="10"/>
      <c r="Q699" s="11"/>
      <c r="R699" s="9"/>
      <c r="S699" s="12"/>
      <c r="T699" s="5"/>
      <c r="U699" s="5"/>
      <c r="V699" s="4"/>
      <c r="W699" s="4"/>
      <c r="X699" s="4"/>
      <c r="Y699" s="4"/>
    </row>
    <row r="700">
      <c r="A700" s="5"/>
      <c r="B700" s="9"/>
      <c r="C700" s="5"/>
      <c r="D700" s="9"/>
      <c r="E700" s="9"/>
      <c r="F700" s="9"/>
      <c r="G700" s="9"/>
      <c r="H700" s="9"/>
      <c r="I700" s="9"/>
      <c r="J700" s="5"/>
      <c r="K700" s="4"/>
      <c r="L700" s="10"/>
      <c r="M700" s="10"/>
      <c r="N700" s="10"/>
      <c r="O700" s="10"/>
      <c r="P700" s="10"/>
      <c r="Q700" s="11"/>
      <c r="R700" s="9"/>
      <c r="S700" s="12"/>
      <c r="T700" s="5"/>
      <c r="U700" s="5"/>
      <c r="V700" s="4"/>
      <c r="W700" s="4"/>
      <c r="X700" s="4"/>
      <c r="Y700" s="4"/>
    </row>
    <row r="701">
      <c r="A701" s="5"/>
      <c r="B701" s="9"/>
      <c r="C701" s="5"/>
      <c r="D701" s="9"/>
      <c r="E701" s="9"/>
      <c r="F701" s="9"/>
      <c r="G701" s="9"/>
      <c r="H701" s="9"/>
      <c r="I701" s="9"/>
      <c r="J701" s="5"/>
      <c r="K701" s="4"/>
      <c r="L701" s="10"/>
      <c r="M701" s="10"/>
      <c r="N701" s="10"/>
      <c r="O701" s="10"/>
      <c r="P701" s="10"/>
      <c r="Q701" s="11"/>
      <c r="R701" s="9"/>
      <c r="S701" s="12"/>
      <c r="T701" s="5"/>
      <c r="U701" s="5"/>
      <c r="V701" s="4"/>
      <c r="W701" s="4"/>
      <c r="X701" s="4"/>
      <c r="Y701" s="4"/>
    </row>
    <row r="702">
      <c r="A702" s="5"/>
      <c r="B702" s="9"/>
      <c r="C702" s="5"/>
      <c r="D702" s="9"/>
      <c r="E702" s="9"/>
      <c r="F702" s="9"/>
      <c r="G702" s="9"/>
      <c r="H702" s="9"/>
      <c r="I702" s="9"/>
      <c r="J702" s="5"/>
      <c r="K702" s="4"/>
      <c r="L702" s="10"/>
      <c r="M702" s="10"/>
      <c r="N702" s="10"/>
      <c r="O702" s="10"/>
      <c r="P702" s="10"/>
      <c r="Q702" s="11"/>
      <c r="R702" s="9"/>
      <c r="S702" s="12"/>
      <c r="T702" s="5"/>
      <c r="U702" s="5"/>
      <c r="V702" s="4"/>
      <c r="W702" s="4"/>
      <c r="X702" s="4"/>
      <c r="Y702" s="4"/>
    </row>
    <row r="703">
      <c r="A703" s="5"/>
      <c r="B703" s="9"/>
      <c r="C703" s="5"/>
      <c r="D703" s="9"/>
      <c r="E703" s="9"/>
      <c r="F703" s="9"/>
      <c r="G703" s="9"/>
      <c r="H703" s="9"/>
      <c r="I703" s="9"/>
      <c r="J703" s="5"/>
      <c r="K703" s="4"/>
      <c r="L703" s="10"/>
      <c r="M703" s="10"/>
      <c r="N703" s="10"/>
      <c r="O703" s="10"/>
      <c r="P703" s="10"/>
      <c r="Q703" s="11"/>
      <c r="R703" s="9"/>
      <c r="S703" s="12"/>
      <c r="T703" s="5"/>
      <c r="U703" s="5"/>
      <c r="V703" s="4"/>
      <c r="W703" s="4"/>
      <c r="X703" s="4"/>
      <c r="Y703" s="4"/>
    </row>
    <row r="704">
      <c r="A704" s="5"/>
      <c r="B704" s="9"/>
      <c r="C704" s="5"/>
      <c r="D704" s="9"/>
      <c r="E704" s="9"/>
      <c r="F704" s="9"/>
      <c r="G704" s="9"/>
      <c r="H704" s="9"/>
      <c r="I704" s="9"/>
      <c r="J704" s="5"/>
      <c r="K704" s="4"/>
      <c r="L704" s="10"/>
      <c r="M704" s="10"/>
      <c r="N704" s="10"/>
      <c r="O704" s="10"/>
      <c r="P704" s="10"/>
      <c r="Q704" s="11"/>
      <c r="R704" s="9"/>
      <c r="S704" s="12"/>
      <c r="T704" s="5"/>
      <c r="U704" s="5"/>
      <c r="V704" s="4"/>
      <c r="W704" s="4"/>
      <c r="X704" s="4"/>
      <c r="Y704" s="4"/>
    </row>
    <row r="705">
      <c r="A705" s="5"/>
      <c r="B705" s="9"/>
      <c r="C705" s="5"/>
      <c r="D705" s="9"/>
      <c r="E705" s="9"/>
      <c r="F705" s="9"/>
      <c r="G705" s="9"/>
      <c r="H705" s="9"/>
      <c r="I705" s="9"/>
      <c r="J705" s="5"/>
      <c r="K705" s="4"/>
      <c r="L705" s="10"/>
      <c r="M705" s="10"/>
      <c r="N705" s="10"/>
      <c r="O705" s="10"/>
      <c r="P705" s="10"/>
      <c r="Q705" s="11"/>
      <c r="R705" s="9"/>
      <c r="S705" s="12"/>
      <c r="T705" s="5"/>
      <c r="U705" s="5"/>
      <c r="V705" s="4"/>
      <c r="W705" s="4"/>
      <c r="X705" s="4"/>
      <c r="Y705" s="4"/>
    </row>
    <row r="706">
      <c r="A706" s="5"/>
      <c r="B706" s="9"/>
      <c r="C706" s="5"/>
      <c r="D706" s="9"/>
      <c r="E706" s="9"/>
      <c r="F706" s="9"/>
      <c r="G706" s="9"/>
      <c r="H706" s="9"/>
      <c r="I706" s="9"/>
      <c r="J706" s="5"/>
      <c r="K706" s="4"/>
      <c r="L706" s="10"/>
      <c r="M706" s="10"/>
      <c r="N706" s="10"/>
      <c r="O706" s="10"/>
      <c r="P706" s="10"/>
      <c r="Q706" s="11"/>
      <c r="R706" s="9"/>
      <c r="S706" s="12"/>
      <c r="T706" s="5"/>
      <c r="U706" s="5"/>
      <c r="V706" s="4"/>
      <c r="W706" s="4"/>
      <c r="X706" s="4"/>
      <c r="Y706" s="4"/>
    </row>
    <row r="707">
      <c r="A707" s="5"/>
      <c r="B707" s="9"/>
      <c r="C707" s="5"/>
      <c r="D707" s="9"/>
      <c r="E707" s="9"/>
      <c r="F707" s="9"/>
      <c r="G707" s="9"/>
      <c r="H707" s="9"/>
      <c r="I707" s="9"/>
      <c r="J707" s="5"/>
      <c r="K707" s="4"/>
      <c r="L707" s="10"/>
      <c r="M707" s="10"/>
      <c r="N707" s="10"/>
      <c r="O707" s="10"/>
      <c r="P707" s="10"/>
      <c r="Q707" s="11"/>
      <c r="R707" s="9"/>
      <c r="S707" s="12"/>
      <c r="T707" s="5"/>
      <c r="U707" s="5"/>
      <c r="V707" s="4"/>
      <c r="W707" s="4"/>
      <c r="X707" s="4"/>
      <c r="Y707" s="4"/>
    </row>
    <row r="708">
      <c r="A708" s="5"/>
      <c r="B708" s="9"/>
      <c r="C708" s="5"/>
      <c r="D708" s="9"/>
      <c r="E708" s="9"/>
      <c r="F708" s="9"/>
      <c r="G708" s="9"/>
      <c r="H708" s="9"/>
      <c r="I708" s="9"/>
      <c r="J708" s="5"/>
      <c r="K708" s="4"/>
      <c r="L708" s="10"/>
      <c r="M708" s="10"/>
      <c r="N708" s="10"/>
      <c r="O708" s="10"/>
      <c r="P708" s="10"/>
      <c r="Q708" s="11"/>
      <c r="R708" s="9"/>
      <c r="S708" s="12"/>
      <c r="T708" s="5"/>
      <c r="U708" s="5"/>
      <c r="V708" s="4"/>
      <c r="W708" s="4"/>
      <c r="X708" s="4"/>
      <c r="Y708" s="4"/>
    </row>
    <row r="709">
      <c r="A709" s="5"/>
      <c r="B709" s="9"/>
      <c r="C709" s="5"/>
      <c r="D709" s="9"/>
      <c r="E709" s="9"/>
      <c r="F709" s="9"/>
      <c r="G709" s="9"/>
      <c r="H709" s="9"/>
      <c r="I709" s="9"/>
      <c r="J709" s="5"/>
      <c r="K709" s="4"/>
      <c r="L709" s="10"/>
      <c r="M709" s="10"/>
      <c r="N709" s="10"/>
      <c r="O709" s="10"/>
      <c r="P709" s="10"/>
      <c r="Q709" s="11"/>
      <c r="R709" s="9"/>
      <c r="S709" s="12"/>
      <c r="T709" s="5"/>
      <c r="U709" s="5"/>
      <c r="V709" s="4"/>
      <c r="W709" s="4"/>
      <c r="X709" s="4"/>
      <c r="Y709" s="4"/>
    </row>
    <row r="710">
      <c r="A710" s="5"/>
      <c r="B710" s="9"/>
      <c r="C710" s="5"/>
      <c r="D710" s="9"/>
      <c r="E710" s="9"/>
      <c r="F710" s="9"/>
      <c r="G710" s="9"/>
      <c r="H710" s="9"/>
      <c r="I710" s="9"/>
      <c r="J710" s="5"/>
      <c r="K710" s="4"/>
      <c r="L710" s="10"/>
      <c r="M710" s="10"/>
      <c r="N710" s="10"/>
      <c r="O710" s="10"/>
      <c r="P710" s="10"/>
      <c r="Q710" s="11"/>
      <c r="R710" s="9"/>
      <c r="S710" s="12"/>
      <c r="T710" s="5"/>
      <c r="U710" s="5"/>
      <c r="V710" s="4"/>
      <c r="W710" s="4"/>
      <c r="X710" s="4"/>
      <c r="Y710" s="4"/>
    </row>
    <row r="711">
      <c r="A711" s="5"/>
      <c r="B711" s="9"/>
      <c r="C711" s="5"/>
      <c r="D711" s="9"/>
      <c r="E711" s="9"/>
      <c r="F711" s="9"/>
      <c r="G711" s="9"/>
      <c r="H711" s="9"/>
      <c r="I711" s="9"/>
      <c r="J711" s="5"/>
      <c r="K711" s="4"/>
      <c r="L711" s="10"/>
      <c r="M711" s="10"/>
      <c r="N711" s="10"/>
      <c r="O711" s="10"/>
      <c r="P711" s="10"/>
      <c r="Q711" s="11"/>
      <c r="R711" s="9"/>
      <c r="S711" s="12"/>
      <c r="T711" s="5"/>
      <c r="U711" s="5"/>
      <c r="V711" s="4"/>
      <c r="W711" s="4"/>
      <c r="X711" s="4"/>
      <c r="Y711" s="4"/>
    </row>
    <row r="712">
      <c r="A712" s="5"/>
      <c r="B712" s="9"/>
      <c r="C712" s="5"/>
      <c r="D712" s="9"/>
      <c r="E712" s="9"/>
      <c r="F712" s="9"/>
      <c r="G712" s="9"/>
      <c r="H712" s="9"/>
      <c r="I712" s="9"/>
      <c r="J712" s="5"/>
      <c r="K712" s="4"/>
      <c r="L712" s="10"/>
      <c r="M712" s="10"/>
      <c r="N712" s="10"/>
      <c r="O712" s="10"/>
      <c r="P712" s="10"/>
      <c r="Q712" s="11"/>
      <c r="R712" s="9"/>
      <c r="S712" s="12"/>
      <c r="T712" s="5"/>
      <c r="U712" s="5"/>
      <c r="V712" s="4"/>
      <c r="W712" s="4"/>
      <c r="X712" s="4"/>
      <c r="Y712" s="4"/>
    </row>
    <row r="713">
      <c r="A713" s="5"/>
      <c r="B713" s="9"/>
      <c r="C713" s="5"/>
      <c r="D713" s="9"/>
      <c r="E713" s="9"/>
      <c r="F713" s="9"/>
      <c r="G713" s="9"/>
      <c r="H713" s="9"/>
      <c r="I713" s="9"/>
      <c r="J713" s="5"/>
      <c r="K713" s="4"/>
      <c r="L713" s="10"/>
      <c r="M713" s="10"/>
      <c r="N713" s="10"/>
      <c r="O713" s="10"/>
      <c r="P713" s="10"/>
      <c r="Q713" s="11"/>
      <c r="R713" s="9"/>
      <c r="S713" s="12"/>
      <c r="T713" s="5"/>
      <c r="U713" s="5"/>
      <c r="V713" s="4"/>
      <c r="W713" s="4"/>
      <c r="X713" s="4"/>
      <c r="Y713" s="4"/>
    </row>
    <row r="714">
      <c r="A714" s="5"/>
      <c r="B714" s="9"/>
      <c r="C714" s="5"/>
      <c r="D714" s="9"/>
      <c r="E714" s="9"/>
      <c r="F714" s="9"/>
      <c r="G714" s="9"/>
      <c r="H714" s="9"/>
      <c r="I714" s="9"/>
      <c r="J714" s="5"/>
      <c r="K714" s="4"/>
      <c r="L714" s="10"/>
      <c r="M714" s="10"/>
      <c r="N714" s="10"/>
      <c r="O714" s="10"/>
      <c r="P714" s="10"/>
      <c r="Q714" s="11"/>
      <c r="R714" s="9"/>
      <c r="S714" s="12"/>
      <c r="T714" s="5"/>
      <c r="U714" s="5"/>
      <c r="V714" s="4"/>
      <c r="W714" s="4"/>
      <c r="X714" s="4"/>
      <c r="Y714" s="4"/>
    </row>
    <row r="715">
      <c r="A715" s="5"/>
      <c r="B715" s="9"/>
      <c r="C715" s="5"/>
      <c r="D715" s="9"/>
      <c r="E715" s="9"/>
      <c r="F715" s="9"/>
      <c r="G715" s="9"/>
      <c r="H715" s="9"/>
      <c r="I715" s="9"/>
      <c r="J715" s="5"/>
      <c r="K715" s="4"/>
      <c r="L715" s="10"/>
      <c r="M715" s="10"/>
      <c r="N715" s="10"/>
      <c r="O715" s="10"/>
      <c r="P715" s="10"/>
      <c r="Q715" s="11"/>
      <c r="R715" s="9"/>
      <c r="S715" s="12"/>
      <c r="T715" s="5"/>
      <c r="U715" s="5"/>
      <c r="V715" s="4"/>
      <c r="W715" s="4"/>
      <c r="X715" s="4"/>
      <c r="Y715" s="4"/>
    </row>
    <row r="716">
      <c r="A716" s="5"/>
      <c r="B716" s="9"/>
      <c r="C716" s="5"/>
      <c r="D716" s="9"/>
      <c r="E716" s="9"/>
      <c r="F716" s="9"/>
      <c r="G716" s="9"/>
      <c r="H716" s="9"/>
      <c r="I716" s="9"/>
      <c r="J716" s="5"/>
      <c r="K716" s="4"/>
      <c r="L716" s="10"/>
      <c r="M716" s="10"/>
      <c r="N716" s="10"/>
      <c r="O716" s="10"/>
      <c r="P716" s="10"/>
      <c r="Q716" s="11"/>
      <c r="R716" s="9"/>
      <c r="S716" s="12"/>
      <c r="T716" s="5"/>
      <c r="U716" s="5"/>
      <c r="V716" s="4"/>
      <c r="W716" s="4"/>
      <c r="X716" s="4"/>
      <c r="Y716" s="4"/>
    </row>
    <row r="717">
      <c r="A717" s="5"/>
      <c r="B717" s="9"/>
      <c r="C717" s="5"/>
      <c r="D717" s="9"/>
      <c r="E717" s="9"/>
      <c r="F717" s="9"/>
      <c r="G717" s="9"/>
      <c r="H717" s="9"/>
      <c r="I717" s="9"/>
      <c r="J717" s="5"/>
      <c r="K717" s="4"/>
      <c r="L717" s="10"/>
      <c r="M717" s="10"/>
      <c r="N717" s="10"/>
      <c r="O717" s="10"/>
      <c r="P717" s="10"/>
      <c r="Q717" s="11"/>
      <c r="R717" s="9"/>
      <c r="S717" s="12"/>
      <c r="T717" s="5"/>
      <c r="U717" s="5"/>
      <c r="V717" s="4"/>
      <c r="W717" s="4"/>
      <c r="X717" s="4"/>
      <c r="Y717" s="4"/>
    </row>
    <row r="718">
      <c r="A718" s="5"/>
      <c r="B718" s="9"/>
      <c r="C718" s="5"/>
      <c r="D718" s="9"/>
      <c r="E718" s="9"/>
      <c r="F718" s="9"/>
      <c r="G718" s="9"/>
      <c r="H718" s="9"/>
      <c r="I718" s="9"/>
      <c r="J718" s="5"/>
      <c r="K718" s="4"/>
      <c r="L718" s="10"/>
      <c r="M718" s="10"/>
      <c r="N718" s="10"/>
      <c r="O718" s="10"/>
      <c r="P718" s="10"/>
      <c r="Q718" s="11"/>
      <c r="R718" s="9"/>
      <c r="S718" s="12"/>
      <c r="T718" s="5"/>
      <c r="U718" s="5"/>
      <c r="V718" s="4"/>
      <c r="W718" s="4"/>
      <c r="X718" s="4"/>
      <c r="Y718" s="4"/>
    </row>
    <row r="719">
      <c r="A719" s="5"/>
      <c r="B719" s="9"/>
      <c r="C719" s="5"/>
      <c r="D719" s="9"/>
      <c r="E719" s="9"/>
      <c r="F719" s="9"/>
      <c r="G719" s="9"/>
      <c r="H719" s="9"/>
      <c r="I719" s="9"/>
      <c r="J719" s="5"/>
      <c r="K719" s="4"/>
      <c r="L719" s="10"/>
      <c r="M719" s="10"/>
      <c r="N719" s="10"/>
      <c r="O719" s="10"/>
      <c r="P719" s="10"/>
      <c r="Q719" s="11"/>
      <c r="R719" s="9"/>
      <c r="S719" s="12"/>
      <c r="T719" s="5"/>
      <c r="U719" s="5"/>
      <c r="V719" s="4"/>
      <c r="W719" s="4"/>
      <c r="X719" s="4"/>
      <c r="Y719" s="4"/>
    </row>
    <row r="720">
      <c r="A720" s="5"/>
      <c r="B720" s="9"/>
      <c r="C720" s="5"/>
      <c r="D720" s="9"/>
      <c r="E720" s="9"/>
      <c r="F720" s="9"/>
      <c r="G720" s="9"/>
      <c r="H720" s="9"/>
      <c r="I720" s="9"/>
      <c r="J720" s="5"/>
      <c r="K720" s="4"/>
      <c r="L720" s="10"/>
      <c r="M720" s="10"/>
      <c r="N720" s="10"/>
      <c r="O720" s="10"/>
      <c r="P720" s="10"/>
      <c r="Q720" s="11"/>
      <c r="R720" s="9"/>
      <c r="S720" s="12"/>
      <c r="T720" s="5"/>
      <c r="U720" s="5"/>
      <c r="V720" s="4"/>
      <c r="W720" s="4"/>
      <c r="X720" s="4"/>
      <c r="Y720" s="4"/>
    </row>
    <row r="721">
      <c r="A721" s="5"/>
      <c r="B721" s="9"/>
      <c r="C721" s="5"/>
      <c r="D721" s="9"/>
      <c r="E721" s="9"/>
      <c r="F721" s="9"/>
      <c r="G721" s="9"/>
      <c r="H721" s="9"/>
      <c r="I721" s="9"/>
      <c r="J721" s="5"/>
      <c r="K721" s="4"/>
      <c r="L721" s="10"/>
      <c r="M721" s="10"/>
      <c r="N721" s="10"/>
      <c r="O721" s="10"/>
      <c r="P721" s="10"/>
      <c r="Q721" s="11"/>
      <c r="R721" s="9"/>
      <c r="S721" s="12"/>
      <c r="T721" s="5"/>
      <c r="U721" s="5"/>
      <c r="V721" s="4"/>
      <c r="W721" s="4"/>
      <c r="X721" s="4"/>
      <c r="Y721" s="4"/>
    </row>
    <row r="722">
      <c r="A722" s="5"/>
      <c r="B722" s="9"/>
      <c r="C722" s="5"/>
      <c r="D722" s="9"/>
      <c r="E722" s="9"/>
      <c r="F722" s="9"/>
      <c r="G722" s="9"/>
      <c r="H722" s="9"/>
      <c r="I722" s="9"/>
      <c r="J722" s="5"/>
      <c r="K722" s="4"/>
      <c r="L722" s="10"/>
      <c r="M722" s="10"/>
      <c r="N722" s="10"/>
      <c r="O722" s="10"/>
      <c r="P722" s="10"/>
      <c r="Q722" s="11"/>
      <c r="R722" s="9"/>
      <c r="S722" s="12"/>
      <c r="T722" s="5"/>
      <c r="U722" s="5"/>
      <c r="V722" s="4"/>
      <c r="W722" s="4"/>
      <c r="X722" s="4"/>
      <c r="Y722" s="4"/>
    </row>
    <row r="723">
      <c r="A723" s="5"/>
      <c r="B723" s="9"/>
      <c r="C723" s="5"/>
      <c r="D723" s="9"/>
      <c r="E723" s="9"/>
      <c r="F723" s="9"/>
      <c r="G723" s="9"/>
      <c r="H723" s="9"/>
      <c r="I723" s="9"/>
      <c r="J723" s="5"/>
      <c r="K723" s="4"/>
      <c r="L723" s="10"/>
      <c r="M723" s="10"/>
      <c r="N723" s="10"/>
      <c r="O723" s="10"/>
      <c r="P723" s="10"/>
      <c r="Q723" s="11"/>
      <c r="R723" s="9"/>
      <c r="S723" s="12"/>
      <c r="T723" s="5"/>
      <c r="U723" s="5"/>
      <c r="V723" s="4"/>
      <c r="W723" s="4"/>
      <c r="X723" s="4"/>
      <c r="Y723" s="4"/>
    </row>
    <row r="724">
      <c r="A724" s="5"/>
      <c r="B724" s="9"/>
      <c r="C724" s="5"/>
      <c r="D724" s="9"/>
      <c r="E724" s="9"/>
      <c r="F724" s="9"/>
      <c r="G724" s="9"/>
      <c r="H724" s="9"/>
      <c r="I724" s="9"/>
      <c r="J724" s="5"/>
      <c r="K724" s="4"/>
      <c r="L724" s="10"/>
      <c r="M724" s="10"/>
      <c r="N724" s="10"/>
      <c r="O724" s="10"/>
      <c r="P724" s="10"/>
      <c r="Q724" s="11"/>
      <c r="R724" s="9"/>
      <c r="S724" s="12"/>
      <c r="T724" s="5"/>
      <c r="U724" s="5"/>
      <c r="V724" s="4"/>
      <c r="W724" s="4"/>
      <c r="X724" s="4"/>
      <c r="Y724" s="4"/>
    </row>
    <row r="725">
      <c r="A725" s="5"/>
      <c r="B725" s="9"/>
      <c r="C725" s="5"/>
      <c r="D725" s="9"/>
      <c r="E725" s="9"/>
      <c r="F725" s="9"/>
      <c r="G725" s="9"/>
      <c r="H725" s="9"/>
      <c r="I725" s="9"/>
      <c r="J725" s="5"/>
      <c r="K725" s="4"/>
      <c r="L725" s="10"/>
      <c r="M725" s="10"/>
      <c r="N725" s="10"/>
      <c r="O725" s="10"/>
      <c r="P725" s="10"/>
      <c r="Q725" s="11"/>
      <c r="R725" s="9"/>
      <c r="S725" s="12"/>
      <c r="T725" s="5"/>
      <c r="U725" s="5"/>
      <c r="V725" s="4"/>
      <c r="W725" s="4"/>
      <c r="X725" s="4"/>
      <c r="Y725" s="4"/>
    </row>
    <row r="726">
      <c r="A726" s="5"/>
      <c r="B726" s="9"/>
      <c r="C726" s="5"/>
      <c r="D726" s="9"/>
      <c r="E726" s="9"/>
      <c r="F726" s="9"/>
      <c r="G726" s="9"/>
      <c r="H726" s="9"/>
      <c r="I726" s="9"/>
      <c r="J726" s="5"/>
      <c r="K726" s="4"/>
      <c r="L726" s="10"/>
      <c r="M726" s="10"/>
      <c r="N726" s="10"/>
      <c r="O726" s="10"/>
      <c r="P726" s="10"/>
      <c r="Q726" s="11"/>
      <c r="R726" s="9"/>
      <c r="S726" s="12"/>
      <c r="T726" s="5"/>
      <c r="U726" s="5"/>
      <c r="V726" s="4"/>
      <c r="W726" s="4"/>
      <c r="X726" s="4"/>
      <c r="Y726" s="4"/>
    </row>
    <row r="727">
      <c r="A727" s="5"/>
      <c r="B727" s="9"/>
      <c r="C727" s="5"/>
      <c r="D727" s="9"/>
      <c r="E727" s="9"/>
      <c r="F727" s="9"/>
      <c r="G727" s="9"/>
      <c r="H727" s="9"/>
      <c r="I727" s="9"/>
      <c r="J727" s="5"/>
      <c r="K727" s="4"/>
      <c r="L727" s="10"/>
      <c r="M727" s="10"/>
      <c r="N727" s="10"/>
      <c r="O727" s="10"/>
      <c r="P727" s="10"/>
      <c r="Q727" s="11"/>
      <c r="R727" s="9"/>
      <c r="S727" s="12"/>
      <c r="T727" s="5"/>
      <c r="U727" s="5"/>
      <c r="V727" s="4"/>
      <c r="W727" s="4"/>
      <c r="X727" s="4"/>
      <c r="Y727" s="4"/>
    </row>
    <row r="728">
      <c r="A728" s="5"/>
      <c r="B728" s="9"/>
      <c r="C728" s="5"/>
      <c r="D728" s="9"/>
      <c r="E728" s="9"/>
      <c r="F728" s="9"/>
      <c r="G728" s="9"/>
      <c r="H728" s="9"/>
      <c r="I728" s="9"/>
      <c r="J728" s="5"/>
      <c r="K728" s="4"/>
      <c r="L728" s="10"/>
      <c r="M728" s="10"/>
      <c r="N728" s="10"/>
      <c r="O728" s="10"/>
      <c r="P728" s="10"/>
      <c r="Q728" s="11"/>
      <c r="R728" s="9"/>
      <c r="S728" s="12"/>
      <c r="T728" s="5"/>
      <c r="U728" s="5"/>
      <c r="V728" s="4"/>
      <c r="W728" s="4"/>
      <c r="X728" s="4"/>
      <c r="Y728" s="4"/>
    </row>
    <row r="729">
      <c r="A729" s="5"/>
      <c r="B729" s="9"/>
      <c r="C729" s="5"/>
      <c r="D729" s="9"/>
      <c r="E729" s="9"/>
      <c r="F729" s="9"/>
      <c r="G729" s="9"/>
      <c r="H729" s="9"/>
      <c r="I729" s="9"/>
      <c r="J729" s="5"/>
      <c r="K729" s="4"/>
      <c r="L729" s="10"/>
      <c r="M729" s="10"/>
      <c r="N729" s="10"/>
      <c r="O729" s="10"/>
      <c r="P729" s="10"/>
      <c r="Q729" s="11"/>
      <c r="R729" s="9"/>
      <c r="S729" s="12"/>
      <c r="T729" s="5"/>
      <c r="U729" s="5"/>
      <c r="V729" s="4"/>
      <c r="W729" s="4"/>
      <c r="X729" s="4"/>
      <c r="Y729" s="4"/>
    </row>
    <row r="730">
      <c r="A730" s="5"/>
      <c r="B730" s="9"/>
      <c r="C730" s="5"/>
      <c r="D730" s="9"/>
      <c r="E730" s="9"/>
      <c r="F730" s="9"/>
      <c r="G730" s="9"/>
      <c r="H730" s="9"/>
      <c r="I730" s="9"/>
      <c r="J730" s="5"/>
      <c r="K730" s="4"/>
      <c r="L730" s="10"/>
      <c r="M730" s="10"/>
      <c r="N730" s="10"/>
      <c r="O730" s="10"/>
      <c r="P730" s="10"/>
      <c r="Q730" s="11"/>
      <c r="R730" s="9"/>
      <c r="S730" s="12"/>
      <c r="T730" s="5"/>
      <c r="U730" s="5"/>
      <c r="V730" s="4"/>
      <c r="W730" s="4"/>
      <c r="X730" s="4"/>
      <c r="Y730" s="4"/>
    </row>
    <row r="731">
      <c r="A731" s="5"/>
      <c r="B731" s="9"/>
      <c r="C731" s="5"/>
      <c r="D731" s="9"/>
      <c r="E731" s="9"/>
      <c r="F731" s="9"/>
      <c r="G731" s="9"/>
      <c r="H731" s="9"/>
      <c r="I731" s="9"/>
      <c r="J731" s="5"/>
      <c r="K731" s="4"/>
      <c r="L731" s="10"/>
      <c r="M731" s="10"/>
      <c r="N731" s="10"/>
      <c r="O731" s="10"/>
      <c r="P731" s="10"/>
      <c r="Q731" s="11"/>
      <c r="R731" s="9"/>
      <c r="S731" s="12"/>
      <c r="T731" s="5"/>
      <c r="U731" s="5"/>
      <c r="V731" s="4"/>
      <c r="W731" s="4"/>
      <c r="X731" s="4"/>
      <c r="Y731" s="4"/>
    </row>
    <row r="732">
      <c r="A732" s="5"/>
      <c r="B732" s="9"/>
      <c r="C732" s="5"/>
      <c r="D732" s="9"/>
      <c r="E732" s="9"/>
      <c r="F732" s="9"/>
      <c r="G732" s="9"/>
      <c r="H732" s="9"/>
      <c r="I732" s="9"/>
      <c r="J732" s="5"/>
      <c r="K732" s="4"/>
      <c r="L732" s="10"/>
      <c r="M732" s="10"/>
      <c r="N732" s="10"/>
      <c r="O732" s="10"/>
      <c r="P732" s="10"/>
      <c r="Q732" s="11"/>
      <c r="R732" s="9"/>
      <c r="S732" s="12"/>
      <c r="T732" s="5"/>
      <c r="U732" s="5"/>
      <c r="V732" s="4"/>
      <c r="W732" s="4"/>
      <c r="X732" s="4"/>
      <c r="Y732" s="4"/>
    </row>
    <row r="733">
      <c r="A733" s="5"/>
      <c r="B733" s="9"/>
      <c r="C733" s="5"/>
      <c r="D733" s="9"/>
      <c r="E733" s="9"/>
      <c r="F733" s="9"/>
      <c r="G733" s="9"/>
      <c r="H733" s="9"/>
      <c r="I733" s="9"/>
      <c r="J733" s="5"/>
      <c r="K733" s="4"/>
      <c r="L733" s="10"/>
      <c r="M733" s="10"/>
      <c r="N733" s="10"/>
      <c r="O733" s="10"/>
      <c r="P733" s="10"/>
      <c r="Q733" s="11"/>
      <c r="R733" s="9"/>
      <c r="S733" s="12"/>
      <c r="T733" s="5"/>
      <c r="U733" s="5"/>
      <c r="V733" s="4"/>
      <c r="W733" s="4"/>
      <c r="X733" s="4"/>
      <c r="Y733" s="4"/>
    </row>
    <row r="734">
      <c r="A734" s="5"/>
      <c r="B734" s="9"/>
      <c r="C734" s="5"/>
      <c r="D734" s="9"/>
      <c r="E734" s="9"/>
      <c r="F734" s="9"/>
      <c r="G734" s="9"/>
      <c r="H734" s="9"/>
      <c r="I734" s="9"/>
      <c r="J734" s="5"/>
      <c r="K734" s="4"/>
      <c r="L734" s="10"/>
      <c r="M734" s="10"/>
      <c r="N734" s="10"/>
      <c r="O734" s="10"/>
      <c r="P734" s="10"/>
      <c r="Q734" s="11"/>
      <c r="R734" s="9"/>
      <c r="S734" s="12"/>
      <c r="T734" s="5"/>
      <c r="U734" s="5"/>
      <c r="V734" s="4"/>
      <c r="W734" s="4"/>
      <c r="X734" s="4"/>
      <c r="Y734" s="4"/>
    </row>
    <row r="735">
      <c r="A735" s="5"/>
      <c r="B735" s="9"/>
      <c r="C735" s="5"/>
      <c r="D735" s="9"/>
      <c r="E735" s="9"/>
      <c r="F735" s="9"/>
      <c r="G735" s="9"/>
      <c r="H735" s="9"/>
      <c r="I735" s="9"/>
      <c r="J735" s="5"/>
      <c r="K735" s="4"/>
      <c r="L735" s="10"/>
      <c r="M735" s="10"/>
      <c r="N735" s="10"/>
      <c r="O735" s="10"/>
      <c r="P735" s="10"/>
      <c r="Q735" s="11"/>
      <c r="R735" s="9"/>
      <c r="S735" s="12"/>
      <c r="T735" s="5"/>
      <c r="U735" s="5"/>
      <c r="V735" s="4"/>
      <c r="W735" s="4"/>
      <c r="X735" s="4"/>
      <c r="Y735" s="4"/>
    </row>
    <row r="736">
      <c r="A736" s="5"/>
      <c r="B736" s="9"/>
      <c r="C736" s="5"/>
      <c r="D736" s="9"/>
      <c r="E736" s="9"/>
      <c r="F736" s="9"/>
      <c r="G736" s="9"/>
      <c r="H736" s="9"/>
      <c r="I736" s="9"/>
      <c r="J736" s="5"/>
      <c r="K736" s="4"/>
      <c r="L736" s="10"/>
      <c r="M736" s="10"/>
      <c r="N736" s="10"/>
      <c r="O736" s="10"/>
      <c r="P736" s="10"/>
      <c r="Q736" s="11"/>
      <c r="R736" s="9"/>
      <c r="S736" s="12"/>
      <c r="T736" s="5"/>
      <c r="U736" s="5"/>
      <c r="V736" s="4"/>
      <c r="W736" s="4"/>
      <c r="X736" s="4"/>
      <c r="Y736" s="4"/>
    </row>
    <row r="737">
      <c r="A737" s="5"/>
      <c r="B737" s="9"/>
      <c r="C737" s="5"/>
      <c r="D737" s="9"/>
      <c r="E737" s="9"/>
      <c r="F737" s="9"/>
      <c r="G737" s="9"/>
      <c r="H737" s="9"/>
      <c r="I737" s="9"/>
      <c r="J737" s="5"/>
      <c r="K737" s="4"/>
      <c r="L737" s="10"/>
      <c r="M737" s="10"/>
      <c r="N737" s="10"/>
      <c r="O737" s="10"/>
      <c r="P737" s="10"/>
      <c r="Q737" s="11"/>
      <c r="R737" s="9"/>
      <c r="S737" s="12"/>
      <c r="T737" s="5"/>
      <c r="U737" s="5"/>
      <c r="V737" s="4"/>
      <c r="W737" s="4"/>
      <c r="X737" s="4"/>
      <c r="Y737" s="4"/>
    </row>
    <row r="738">
      <c r="A738" s="5"/>
      <c r="B738" s="9"/>
      <c r="C738" s="5"/>
      <c r="D738" s="9"/>
      <c r="E738" s="9"/>
      <c r="F738" s="9"/>
      <c r="G738" s="9"/>
      <c r="H738" s="9"/>
      <c r="I738" s="9"/>
      <c r="J738" s="5"/>
      <c r="K738" s="4"/>
      <c r="L738" s="10"/>
      <c r="M738" s="10"/>
      <c r="N738" s="10"/>
      <c r="O738" s="10"/>
      <c r="P738" s="10"/>
      <c r="Q738" s="11"/>
      <c r="R738" s="9"/>
      <c r="S738" s="12"/>
      <c r="T738" s="5"/>
      <c r="U738" s="5"/>
      <c r="V738" s="4"/>
      <c r="W738" s="4"/>
      <c r="X738" s="4"/>
      <c r="Y738" s="4"/>
    </row>
    <row r="739">
      <c r="A739" s="5"/>
      <c r="B739" s="9"/>
      <c r="C739" s="5"/>
      <c r="D739" s="9"/>
      <c r="E739" s="9"/>
      <c r="F739" s="9"/>
      <c r="G739" s="9"/>
      <c r="H739" s="9"/>
      <c r="I739" s="9"/>
      <c r="J739" s="5"/>
      <c r="K739" s="4"/>
      <c r="L739" s="10"/>
      <c r="M739" s="10"/>
      <c r="N739" s="10"/>
      <c r="O739" s="10"/>
      <c r="P739" s="10"/>
      <c r="Q739" s="11"/>
      <c r="R739" s="9"/>
      <c r="S739" s="12"/>
      <c r="T739" s="5"/>
      <c r="U739" s="5"/>
      <c r="V739" s="4"/>
      <c r="W739" s="4"/>
      <c r="X739" s="4"/>
      <c r="Y739" s="4"/>
    </row>
    <row r="740">
      <c r="A740" s="5"/>
      <c r="B740" s="9"/>
      <c r="C740" s="5"/>
      <c r="D740" s="9"/>
      <c r="E740" s="9"/>
      <c r="F740" s="9"/>
      <c r="G740" s="9"/>
      <c r="H740" s="9"/>
      <c r="I740" s="9"/>
      <c r="J740" s="5"/>
      <c r="K740" s="4"/>
      <c r="L740" s="10"/>
      <c r="M740" s="10"/>
      <c r="N740" s="10"/>
      <c r="O740" s="10"/>
      <c r="P740" s="10"/>
      <c r="Q740" s="11"/>
      <c r="R740" s="9"/>
      <c r="S740" s="12"/>
      <c r="T740" s="5"/>
      <c r="U740" s="5"/>
      <c r="V740" s="4"/>
      <c r="W740" s="4"/>
      <c r="X740" s="4"/>
      <c r="Y740" s="4"/>
    </row>
    <row r="741">
      <c r="A741" s="5"/>
      <c r="B741" s="9"/>
      <c r="C741" s="5"/>
      <c r="D741" s="9"/>
      <c r="E741" s="9"/>
      <c r="F741" s="9"/>
      <c r="G741" s="9"/>
      <c r="H741" s="9"/>
      <c r="I741" s="9"/>
      <c r="J741" s="5"/>
      <c r="K741" s="4"/>
      <c r="L741" s="10"/>
      <c r="M741" s="10"/>
      <c r="N741" s="10"/>
      <c r="O741" s="10"/>
      <c r="P741" s="10"/>
      <c r="Q741" s="11"/>
      <c r="R741" s="9"/>
      <c r="S741" s="12"/>
      <c r="T741" s="5"/>
      <c r="U741" s="5"/>
      <c r="V741" s="4"/>
      <c r="W741" s="4"/>
      <c r="X741" s="4"/>
      <c r="Y741" s="4"/>
    </row>
    <row r="742">
      <c r="A742" s="5"/>
      <c r="B742" s="9"/>
      <c r="C742" s="5"/>
      <c r="D742" s="9"/>
      <c r="E742" s="9"/>
      <c r="F742" s="9"/>
      <c r="G742" s="9"/>
      <c r="H742" s="9"/>
      <c r="I742" s="9"/>
      <c r="J742" s="5"/>
      <c r="K742" s="4"/>
      <c r="L742" s="10"/>
      <c r="M742" s="10"/>
      <c r="N742" s="10"/>
      <c r="O742" s="10"/>
      <c r="P742" s="10"/>
      <c r="Q742" s="11"/>
      <c r="R742" s="9"/>
      <c r="S742" s="12"/>
      <c r="T742" s="5"/>
      <c r="U742" s="5"/>
      <c r="V742" s="4"/>
      <c r="W742" s="4"/>
      <c r="X742" s="4"/>
      <c r="Y742" s="4"/>
    </row>
    <row r="743">
      <c r="A743" s="5"/>
      <c r="B743" s="9"/>
      <c r="C743" s="5"/>
      <c r="D743" s="9"/>
      <c r="E743" s="9"/>
      <c r="F743" s="9"/>
      <c r="G743" s="9"/>
      <c r="H743" s="9"/>
      <c r="I743" s="9"/>
      <c r="J743" s="5"/>
      <c r="K743" s="4"/>
      <c r="L743" s="10"/>
      <c r="M743" s="10"/>
      <c r="N743" s="10"/>
      <c r="O743" s="10"/>
      <c r="P743" s="10"/>
      <c r="Q743" s="11"/>
      <c r="R743" s="9"/>
      <c r="S743" s="12"/>
      <c r="T743" s="5"/>
      <c r="U743" s="5"/>
      <c r="V743" s="4"/>
      <c r="W743" s="4"/>
      <c r="X743" s="4"/>
      <c r="Y743" s="4"/>
    </row>
    <row r="744">
      <c r="A744" s="5"/>
      <c r="B744" s="9"/>
      <c r="C744" s="5"/>
      <c r="D744" s="9"/>
      <c r="E744" s="9"/>
      <c r="F744" s="9"/>
      <c r="G744" s="9"/>
      <c r="H744" s="9"/>
      <c r="I744" s="9"/>
      <c r="J744" s="5"/>
      <c r="K744" s="4"/>
      <c r="L744" s="10"/>
      <c r="M744" s="10"/>
      <c r="N744" s="10"/>
      <c r="O744" s="10"/>
      <c r="P744" s="10"/>
      <c r="Q744" s="11"/>
      <c r="R744" s="9"/>
      <c r="S744" s="12"/>
      <c r="T744" s="5"/>
      <c r="U744" s="5"/>
      <c r="V744" s="4"/>
      <c r="W744" s="4"/>
      <c r="X744" s="4"/>
      <c r="Y744" s="4"/>
    </row>
    <row r="745">
      <c r="A745" s="5"/>
      <c r="B745" s="9"/>
      <c r="C745" s="5"/>
      <c r="D745" s="9"/>
      <c r="E745" s="9"/>
      <c r="F745" s="9"/>
      <c r="G745" s="9"/>
      <c r="H745" s="9"/>
      <c r="I745" s="9"/>
      <c r="J745" s="5"/>
      <c r="K745" s="4"/>
      <c r="L745" s="10"/>
      <c r="M745" s="10"/>
      <c r="N745" s="10"/>
      <c r="O745" s="10"/>
      <c r="P745" s="10"/>
      <c r="Q745" s="11"/>
      <c r="R745" s="9"/>
      <c r="S745" s="12"/>
      <c r="T745" s="5"/>
      <c r="U745" s="5"/>
      <c r="V745" s="4"/>
      <c r="W745" s="4"/>
      <c r="X745" s="4"/>
      <c r="Y745" s="4"/>
    </row>
    <row r="746">
      <c r="A746" s="5"/>
      <c r="B746" s="9"/>
      <c r="C746" s="5"/>
      <c r="D746" s="9"/>
      <c r="E746" s="9"/>
      <c r="F746" s="9"/>
      <c r="G746" s="9"/>
      <c r="H746" s="9"/>
      <c r="I746" s="9"/>
      <c r="J746" s="5"/>
      <c r="K746" s="4"/>
      <c r="L746" s="10"/>
      <c r="M746" s="10"/>
      <c r="N746" s="10"/>
      <c r="O746" s="10"/>
      <c r="P746" s="10"/>
      <c r="Q746" s="11"/>
      <c r="R746" s="9"/>
      <c r="S746" s="12"/>
      <c r="T746" s="5"/>
      <c r="U746" s="5"/>
      <c r="V746" s="4"/>
      <c r="W746" s="4"/>
      <c r="X746" s="4"/>
      <c r="Y746" s="4"/>
    </row>
    <row r="747">
      <c r="A747" s="5"/>
      <c r="B747" s="9"/>
      <c r="C747" s="5"/>
      <c r="D747" s="9"/>
      <c r="E747" s="9"/>
      <c r="F747" s="9"/>
      <c r="G747" s="9"/>
      <c r="H747" s="9"/>
      <c r="I747" s="9"/>
      <c r="J747" s="5"/>
      <c r="K747" s="4"/>
      <c r="L747" s="10"/>
      <c r="M747" s="10"/>
      <c r="N747" s="10"/>
      <c r="O747" s="10"/>
      <c r="P747" s="10"/>
      <c r="Q747" s="11"/>
      <c r="R747" s="9"/>
      <c r="S747" s="12"/>
      <c r="T747" s="5"/>
      <c r="U747" s="5"/>
      <c r="V747" s="4"/>
      <c r="W747" s="4"/>
      <c r="X747" s="4"/>
      <c r="Y747" s="4"/>
    </row>
    <row r="748">
      <c r="A748" s="5"/>
      <c r="B748" s="9"/>
      <c r="C748" s="5"/>
      <c r="D748" s="9"/>
      <c r="E748" s="9"/>
      <c r="F748" s="9"/>
      <c r="G748" s="9"/>
      <c r="H748" s="9"/>
      <c r="I748" s="9"/>
      <c r="J748" s="5"/>
      <c r="K748" s="4"/>
      <c r="L748" s="10"/>
      <c r="M748" s="10"/>
      <c r="N748" s="10"/>
      <c r="O748" s="10"/>
      <c r="P748" s="10"/>
      <c r="Q748" s="11"/>
      <c r="R748" s="9"/>
      <c r="S748" s="12"/>
      <c r="T748" s="5"/>
      <c r="U748" s="5"/>
      <c r="V748" s="4"/>
      <c r="W748" s="4"/>
      <c r="X748" s="4"/>
      <c r="Y748" s="4"/>
    </row>
    <row r="749">
      <c r="A749" s="5"/>
      <c r="B749" s="9"/>
      <c r="C749" s="5"/>
      <c r="D749" s="9"/>
      <c r="E749" s="9"/>
      <c r="F749" s="9"/>
      <c r="G749" s="9"/>
      <c r="H749" s="9"/>
      <c r="I749" s="9"/>
      <c r="J749" s="5"/>
      <c r="K749" s="4"/>
      <c r="L749" s="10"/>
      <c r="M749" s="10"/>
      <c r="N749" s="10"/>
      <c r="O749" s="10"/>
      <c r="P749" s="10"/>
      <c r="Q749" s="11"/>
      <c r="R749" s="9"/>
      <c r="S749" s="12"/>
      <c r="T749" s="5"/>
      <c r="U749" s="5"/>
      <c r="V749" s="4"/>
      <c r="W749" s="4"/>
      <c r="X749" s="4"/>
      <c r="Y749" s="4"/>
    </row>
    <row r="750">
      <c r="A750" s="5"/>
      <c r="B750" s="9"/>
      <c r="C750" s="5"/>
      <c r="D750" s="9"/>
      <c r="E750" s="9"/>
      <c r="F750" s="9"/>
      <c r="G750" s="9"/>
      <c r="H750" s="9"/>
      <c r="I750" s="9"/>
      <c r="J750" s="5"/>
      <c r="K750" s="4"/>
      <c r="L750" s="10"/>
      <c r="M750" s="10"/>
      <c r="N750" s="10"/>
      <c r="O750" s="10"/>
      <c r="P750" s="10"/>
      <c r="Q750" s="11"/>
      <c r="R750" s="9"/>
      <c r="S750" s="12"/>
      <c r="T750" s="5"/>
      <c r="U750" s="5"/>
      <c r="V750" s="4"/>
      <c r="W750" s="4"/>
      <c r="X750" s="4"/>
      <c r="Y750" s="4"/>
    </row>
    <row r="751">
      <c r="A751" s="5"/>
      <c r="B751" s="9"/>
      <c r="C751" s="5"/>
      <c r="D751" s="9"/>
      <c r="E751" s="9"/>
      <c r="F751" s="9"/>
      <c r="G751" s="9"/>
      <c r="H751" s="9"/>
      <c r="I751" s="9"/>
      <c r="J751" s="5"/>
      <c r="K751" s="4"/>
      <c r="L751" s="10"/>
      <c r="M751" s="10"/>
      <c r="N751" s="10"/>
      <c r="O751" s="10"/>
      <c r="P751" s="10"/>
      <c r="Q751" s="11"/>
      <c r="R751" s="9"/>
      <c r="S751" s="12"/>
      <c r="T751" s="5"/>
      <c r="U751" s="5"/>
      <c r="V751" s="4"/>
      <c r="W751" s="4"/>
      <c r="X751" s="4"/>
      <c r="Y751" s="4"/>
    </row>
    <row r="752">
      <c r="A752" s="5"/>
      <c r="B752" s="9"/>
      <c r="C752" s="5"/>
      <c r="D752" s="9"/>
      <c r="E752" s="9"/>
      <c r="F752" s="9"/>
      <c r="G752" s="9"/>
      <c r="H752" s="9"/>
      <c r="I752" s="9"/>
      <c r="J752" s="5"/>
      <c r="K752" s="4"/>
      <c r="L752" s="10"/>
      <c r="M752" s="10"/>
      <c r="N752" s="10"/>
      <c r="O752" s="10"/>
      <c r="P752" s="10"/>
      <c r="Q752" s="11"/>
      <c r="R752" s="9"/>
      <c r="S752" s="12"/>
      <c r="T752" s="5"/>
      <c r="U752" s="5"/>
      <c r="V752" s="4"/>
      <c r="W752" s="4"/>
      <c r="X752" s="4"/>
      <c r="Y752" s="4"/>
    </row>
    <row r="753">
      <c r="A753" s="5"/>
      <c r="B753" s="9"/>
      <c r="C753" s="5"/>
      <c r="D753" s="9"/>
      <c r="E753" s="9"/>
      <c r="F753" s="9"/>
      <c r="G753" s="9"/>
      <c r="H753" s="9"/>
      <c r="I753" s="9"/>
      <c r="J753" s="5"/>
      <c r="K753" s="4"/>
      <c r="L753" s="10"/>
      <c r="M753" s="10"/>
      <c r="N753" s="10"/>
      <c r="O753" s="10"/>
      <c r="P753" s="10"/>
      <c r="Q753" s="11"/>
      <c r="R753" s="9"/>
      <c r="S753" s="12"/>
      <c r="T753" s="5"/>
      <c r="U753" s="5"/>
      <c r="V753" s="4"/>
      <c r="W753" s="4"/>
      <c r="X753" s="4"/>
      <c r="Y753" s="4"/>
    </row>
    <row r="754">
      <c r="A754" s="5"/>
      <c r="B754" s="9"/>
      <c r="C754" s="5"/>
      <c r="D754" s="9"/>
      <c r="E754" s="9"/>
      <c r="F754" s="9"/>
      <c r="G754" s="9"/>
      <c r="H754" s="9"/>
      <c r="I754" s="9"/>
      <c r="J754" s="5"/>
      <c r="K754" s="4"/>
      <c r="L754" s="10"/>
      <c r="M754" s="10"/>
      <c r="N754" s="10"/>
      <c r="O754" s="10"/>
      <c r="P754" s="10"/>
      <c r="Q754" s="11"/>
      <c r="R754" s="9"/>
      <c r="S754" s="12"/>
      <c r="T754" s="5"/>
      <c r="U754" s="5"/>
      <c r="V754" s="4"/>
      <c r="W754" s="4"/>
      <c r="X754" s="4"/>
      <c r="Y754" s="4"/>
    </row>
    <row r="755">
      <c r="A755" s="5"/>
      <c r="B755" s="9"/>
      <c r="C755" s="5"/>
      <c r="D755" s="9"/>
      <c r="E755" s="9"/>
      <c r="F755" s="9"/>
      <c r="G755" s="9"/>
      <c r="H755" s="9"/>
      <c r="I755" s="9"/>
      <c r="J755" s="5"/>
      <c r="K755" s="4"/>
      <c r="L755" s="10"/>
      <c r="M755" s="10"/>
      <c r="N755" s="10"/>
      <c r="O755" s="10"/>
      <c r="P755" s="10"/>
      <c r="Q755" s="11"/>
      <c r="R755" s="9"/>
      <c r="S755" s="12"/>
      <c r="T755" s="5"/>
      <c r="U755" s="5"/>
      <c r="V755" s="4"/>
      <c r="W755" s="4"/>
      <c r="X755" s="4"/>
      <c r="Y755" s="4"/>
    </row>
    <row r="756">
      <c r="A756" s="5"/>
      <c r="B756" s="9"/>
      <c r="C756" s="5"/>
      <c r="D756" s="9"/>
      <c r="E756" s="9"/>
      <c r="F756" s="9"/>
      <c r="G756" s="9"/>
      <c r="H756" s="9"/>
      <c r="I756" s="9"/>
      <c r="J756" s="5"/>
      <c r="K756" s="4"/>
      <c r="L756" s="10"/>
      <c r="M756" s="10"/>
      <c r="N756" s="10"/>
      <c r="O756" s="10"/>
      <c r="P756" s="10"/>
      <c r="Q756" s="11"/>
      <c r="R756" s="9"/>
      <c r="S756" s="12"/>
      <c r="T756" s="5"/>
      <c r="U756" s="5"/>
      <c r="V756" s="4"/>
      <c r="W756" s="4"/>
      <c r="X756" s="4"/>
      <c r="Y756" s="4"/>
    </row>
    <row r="757">
      <c r="A757" s="5"/>
      <c r="B757" s="9"/>
      <c r="C757" s="5"/>
      <c r="D757" s="9"/>
      <c r="E757" s="9"/>
      <c r="F757" s="9"/>
      <c r="G757" s="9"/>
      <c r="H757" s="9"/>
      <c r="I757" s="9"/>
      <c r="J757" s="5"/>
      <c r="K757" s="4"/>
      <c r="L757" s="10"/>
      <c r="M757" s="10"/>
      <c r="N757" s="10"/>
      <c r="O757" s="10"/>
      <c r="P757" s="10"/>
      <c r="Q757" s="11"/>
      <c r="R757" s="9"/>
      <c r="S757" s="12"/>
      <c r="T757" s="5"/>
      <c r="U757" s="5"/>
      <c r="V757" s="4"/>
      <c r="W757" s="4"/>
      <c r="X757" s="4"/>
      <c r="Y757" s="4"/>
    </row>
    <row r="758">
      <c r="A758" s="5"/>
      <c r="B758" s="9"/>
      <c r="C758" s="5"/>
      <c r="D758" s="9"/>
      <c r="E758" s="9"/>
      <c r="F758" s="9"/>
      <c r="G758" s="9"/>
      <c r="H758" s="9"/>
      <c r="I758" s="9"/>
      <c r="J758" s="5"/>
      <c r="K758" s="4"/>
      <c r="L758" s="10"/>
      <c r="M758" s="10"/>
      <c r="N758" s="10"/>
      <c r="O758" s="10"/>
      <c r="P758" s="10"/>
      <c r="Q758" s="11"/>
      <c r="R758" s="9"/>
      <c r="S758" s="12"/>
      <c r="T758" s="5"/>
      <c r="U758" s="5"/>
      <c r="V758" s="4"/>
      <c r="W758" s="4"/>
      <c r="X758" s="4"/>
      <c r="Y758" s="4"/>
    </row>
    <row r="759">
      <c r="A759" s="5"/>
      <c r="B759" s="9"/>
      <c r="C759" s="5"/>
      <c r="D759" s="9"/>
      <c r="E759" s="9"/>
      <c r="F759" s="9"/>
      <c r="G759" s="9"/>
      <c r="H759" s="9"/>
      <c r="I759" s="9"/>
      <c r="J759" s="5"/>
      <c r="K759" s="4"/>
      <c r="L759" s="10"/>
      <c r="M759" s="10"/>
      <c r="N759" s="10"/>
      <c r="O759" s="10"/>
      <c r="P759" s="10"/>
      <c r="Q759" s="11"/>
      <c r="R759" s="9"/>
      <c r="S759" s="12"/>
      <c r="T759" s="5"/>
      <c r="U759" s="5"/>
      <c r="V759" s="4"/>
      <c r="W759" s="4"/>
      <c r="X759" s="4"/>
      <c r="Y759" s="4"/>
    </row>
    <row r="760">
      <c r="A760" s="5"/>
      <c r="B760" s="9"/>
      <c r="C760" s="5"/>
      <c r="D760" s="9"/>
      <c r="E760" s="9"/>
      <c r="F760" s="9"/>
      <c r="G760" s="9"/>
      <c r="H760" s="9"/>
      <c r="I760" s="9"/>
      <c r="J760" s="5"/>
      <c r="K760" s="4"/>
      <c r="L760" s="10"/>
      <c r="M760" s="10"/>
      <c r="N760" s="10"/>
      <c r="O760" s="10"/>
      <c r="P760" s="10"/>
      <c r="Q760" s="11"/>
      <c r="R760" s="9"/>
      <c r="S760" s="12"/>
      <c r="T760" s="5"/>
      <c r="U760" s="5"/>
      <c r="V760" s="4"/>
      <c r="W760" s="4"/>
      <c r="X760" s="4"/>
      <c r="Y760" s="4"/>
    </row>
    <row r="761">
      <c r="A761" s="5"/>
      <c r="B761" s="9"/>
      <c r="C761" s="5"/>
      <c r="D761" s="9"/>
      <c r="E761" s="9"/>
      <c r="F761" s="9"/>
      <c r="G761" s="9"/>
      <c r="H761" s="9"/>
      <c r="I761" s="9"/>
      <c r="J761" s="5"/>
      <c r="K761" s="4"/>
      <c r="L761" s="10"/>
      <c r="M761" s="10"/>
      <c r="N761" s="10"/>
      <c r="O761" s="10"/>
      <c r="P761" s="10"/>
      <c r="Q761" s="11"/>
      <c r="R761" s="9"/>
      <c r="S761" s="12"/>
      <c r="T761" s="5"/>
      <c r="U761" s="5"/>
      <c r="V761" s="4"/>
      <c r="W761" s="4"/>
      <c r="X761" s="4"/>
      <c r="Y761" s="4"/>
    </row>
    <row r="762">
      <c r="A762" s="5"/>
      <c r="B762" s="9"/>
      <c r="C762" s="5"/>
      <c r="D762" s="9"/>
      <c r="E762" s="9"/>
      <c r="F762" s="9"/>
      <c r="G762" s="9"/>
      <c r="H762" s="9"/>
      <c r="I762" s="9"/>
      <c r="J762" s="5"/>
      <c r="K762" s="4"/>
      <c r="L762" s="10"/>
      <c r="M762" s="10"/>
      <c r="N762" s="10"/>
      <c r="O762" s="10"/>
      <c r="P762" s="10"/>
      <c r="Q762" s="11"/>
      <c r="R762" s="9"/>
      <c r="S762" s="12"/>
      <c r="T762" s="5"/>
      <c r="U762" s="5"/>
      <c r="V762" s="4"/>
      <c r="W762" s="4"/>
      <c r="X762" s="4"/>
      <c r="Y762" s="4"/>
    </row>
    <row r="763">
      <c r="A763" s="5"/>
      <c r="B763" s="9"/>
      <c r="C763" s="5"/>
      <c r="D763" s="9"/>
      <c r="E763" s="9"/>
      <c r="F763" s="9"/>
      <c r="G763" s="9"/>
      <c r="H763" s="9"/>
      <c r="I763" s="9"/>
      <c r="J763" s="5"/>
      <c r="K763" s="4"/>
      <c r="L763" s="10"/>
      <c r="M763" s="10"/>
      <c r="N763" s="10"/>
      <c r="O763" s="10"/>
      <c r="P763" s="10"/>
      <c r="Q763" s="11"/>
      <c r="R763" s="9"/>
      <c r="S763" s="12"/>
      <c r="T763" s="5"/>
      <c r="U763" s="5"/>
      <c r="V763" s="4"/>
      <c r="W763" s="4"/>
      <c r="X763" s="4"/>
      <c r="Y763" s="4"/>
    </row>
    <row r="764">
      <c r="A764" s="5"/>
      <c r="B764" s="9"/>
      <c r="C764" s="5"/>
      <c r="D764" s="9"/>
      <c r="E764" s="9"/>
      <c r="F764" s="9"/>
      <c r="G764" s="9"/>
      <c r="H764" s="9"/>
      <c r="I764" s="9"/>
      <c r="J764" s="5"/>
      <c r="K764" s="4"/>
      <c r="L764" s="10"/>
      <c r="M764" s="10"/>
      <c r="N764" s="10"/>
      <c r="O764" s="10"/>
      <c r="P764" s="10"/>
      <c r="Q764" s="11"/>
      <c r="R764" s="9"/>
      <c r="S764" s="12"/>
      <c r="T764" s="5"/>
      <c r="U764" s="5"/>
      <c r="V764" s="4"/>
      <c r="W764" s="4"/>
      <c r="X764" s="4"/>
      <c r="Y764" s="4"/>
    </row>
    <row r="765">
      <c r="A765" s="5"/>
      <c r="B765" s="9"/>
      <c r="C765" s="5"/>
      <c r="D765" s="9"/>
      <c r="E765" s="9"/>
      <c r="F765" s="9"/>
      <c r="G765" s="9"/>
      <c r="H765" s="9"/>
      <c r="I765" s="9"/>
      <c r="J765" s="5"/>
      <c r="K765" s="4"/>
      <c r="L765" s="10"/>
      <c r="M765" s="10"/>
      <c r="N765" s="10"/>
      <c r="O765" s="10"/>
      <c r="P765" s="10"/>
      <c r="Q765" s="11"/>
      <c r="R765" s="9"/>
      <c r="S765" s="12"/>
      <c r="T765" s="5"/>
      <c r="U765" s="5"/>
      <c r="V765" s="4"/>
      <c r="W765" s="4"/>
      <c r="X765" s="4"/>
      <c r="Y765" s="4"/>
    </row>
    <row r="766">
      <c r="A766" s="5"/>
      <c r="B766" s="9"/>
      <c r="C766" s="5"/>
      <c r="D766" s="9"/>
      <c r="E766" s="9"/>
      <c r="F766" s="9"/>
      <c r="G766" s="9"/>
      <c r="H766" s="9"/>
      <c r="I766" s="9"/>
      <c r="J766" s="5"/>
      <c r="K766" s="4"/>
      <c r="L766" s="10"/>
      <c r="M766" s="10"/>
      <c r="N766" s="10"/>
      <c r="O766" s="10"/>
      <c r="P766" s="10"/>
      <c r="Q766" s="11"/>
      <c r="R766" s="9"/>
      <c r="S766" s="12"/>
      <c r="T766" s="5"/>
      <c r="U766" s="5"/>
      <c r="V766" s="4"/>
      <c r="W766" s="4"/>
      <c r="X766" s="4"/>
      <c r="Y766" s="4"/>
    </row>
    <row r="767">
      <c r="A767" s="5"/>
      <c r="B767" s="9"/>
      <c r="C767" s="5"/>
      <c r="D767" s="9"/>
      <c r="E767" s="9"/>
      <c r="F767" s="9"/>
      <c r="G767" s="9"/>
      <c r="H767" s="9"/>
      <c r="I767" s="9"/>
      <c r="J767" s="5"/>
      <c r="K767" s="4"/>
      <c r="L767" s="10"/>
      <c r="M767" s="10"/>
      <c r="N767" s="10"/>
      <c r="O767" s="10"/>
      <c r="P767" s="10"/>
      <c r="Q767" s="11"/>
      <c r="R767" s="9"/>
      <c r="S767" s="12"/>
      <c r="T767" s="5"/>
      <c r="U767" s="5"/>
      <c r="V767" s="4"/>
      <c r="W767" s="4"/>
      <c r="X767" s="4"/>
      <c r="Y767" s="4"/>
    </row>
    <row r="768">
      <c r="A768" s="5"/>
      <c r="B768" s="9"/>
      <c r="C768" s="5"/>
      <c r="D768" s="9"/>
      <c r="E768" s="9"/>
      <c r="F768" s="9"/>
      <c r="G768" s="9"/>
      <c r="H768" s="9"/>
      <c r="I768" s="9"/>
      <c r="J768" s="5"/>
      <c r="K768" s="4"/>
      <c r="L768" s="10"/>
      <c r="M768" s="10"/>
      <c r="N768" s="10"/>
      <c r="O768" s="10"/>
      <c r="P768" s="10"/>
      <c r="Q768" s="11"/>
      <c r="R768" s="9"/>
      <c r="S768" s="12"/>
      <c r="T768" s="5"/>
      <c r="U768" s="5"/>
      <c r="V768" s="4"/>
      <c r="W768" s="4"/>
      <c r="X768" s="4"/>
      <c r="Y768" s="4"/>
    </row>
    <row r="769">
      <c r="A769" s="5"/>
      <c r="B769" s="9"/>
      <c r="C769" s="5"/>
      <c r="D769" s="9"/>
      <c r="E769" s="9"/>
      <c r="F769" s="9"/>
      <c r="G769" s="9"/>
      <c r="H769" s="9"/>
      <c r="I769" s="9"/>
      <c r="J769" s="5"/>
      <c r="K769" s="4"/>
      <c r="L769" s="10"/>
      <c r="M769" s="10"/>
      <c r="N769" s="10"/>
      <c r="O769" s="10"/>
      <c r="P769" s="10"/>
      <c r="Q769" s="11"/>
      <c r="R769" s="9"/>
      <c r="S769" s="12"/>
      <c r="T769" s="5"/>
      <c r="U769" s="5"/>
      <c r="V769" s="4"/>
      <c r="W769" s="4"/>
      <c r="X769" s="4"/>
      <c r="Y769" s="4"/>
    </row>
    <row r="770">
      <c r="A770" s="5"/>
      <c r="B770" s="9"/>
      <c r="C770" s="5"/>
      <c r="D770" s="9"/>
      <c r="E770" s="9"/>
      <c r="F770" s="9"/>
      <c r="G770" s="9"/>
      <c r="H770" s="9"/>
      <c r="I770" s="9"/>
      <c r="J770" s="5"/>
      <c r="K770" s="4"/>
      <c r="L770" s="10"/>
      <c r="M770" s="10"/>
      <c r="N770" s="10"/>
      <c r="O770" s="10"/>
      <c r="P770" s="10"/>
      <c r="Q770" s="11"/>
      <c r="R770" s="9"/>
      <c r="S770" s="12"/>
      <c r="T770" s="5"/>
      <c r="U770" s="5"/>
      <c r="V770" s="4"/>
      <c r="W770" s="4"/>
      <c r="X770" s="4"/>
      <c r="Y770" s="4"/>
    </row>
    <row r="771">
      <c r="A771" s="5"/>
      <c r="B771" s="9"/>
      <c r="C771" s="5"/>
      <c r="D771" s="9"/>
      <c r="E771" s="9"/>
      <c r="F771" s="9"/>
      <c r="G771" s="9"/>
      <c r="H771" s="9"/>
      <c r="I771" s="9"/>
      <c r="J771" s="5"/>
      <c r="K771" s="4"/>
      <c r="L771" s="10"/>
      <c r="M771" s="10"/>
      <c r="N771" s="10"/>
      <c r="O771" s="10"/>
      <c r="P771" s="10"/>
      <c r="Q771" s="11"/>
      <c r="R771" s="9"/>
      <c r="S771" s="12"/>
      <c r="T771" s="5"/>
      <c r="U771" s="5"/>
      <c r="V771" s="4"/>
      <c r="W771" s="4"/>
      <c r="X771" s="4"/>
      <c r="Y771" s="4"/>
    </row>
    <row r="772">
      <c r="A772" s="5"/>
      <c r="B772" s="9"/>
      <c r="C772" s="5"/>
      <c r="D772" s="9"/>
      <c r="E772" s="9"/>
      <c r="F772" s="9"/>
      <c r="G772" s="9"/>
      <c r="H772" s="9"/>
      <c r="I772" s="9"/>
      <c r="J772" s="5"/>
      <c r="K772" s="4"/>
      <c r="L772" s="10"/>
      <c r="M772" s="10"/>
      <c r="N772" s="10"/>
      <c r="O772" s="10"/>
      <c r="P772" s="10"/>
      <c r="Q772" s="11"/>
      <c r="R772" s="9"/>
      <c r="S772" s="12"/>
      <c r="T772" s="5"/>
      <c r="U772" s="5"/>
      <c r="V772" s="4"/>
      <c r="W772" s="4"/>
      <c r="X772" s="4"/>
      <c r="Y772" s="4"/>
    </row>
    <row r="773">
      <c r="A773" s="5"/>
      <c r="B773" s="9"/>
      <c r="C773" s="5"/>
      <c r="D773" s="9"/>
      <c r="E773" s="9"/>
      <c r="F773" s="9"/>
      <c r="G773" s="9"/>
      <c r="H773" s="9"/>
      <c r="I773" s="9"/>
      <c r="J773" s="5"/>
      <c r="K773" s="4"/>
      <c r="L773" s="10"/>
      <c r="M773" s="10"/>
      <c r="N773" s="10"/>
      <c r="O773" s="10"/>
      <c r="P773" s="10"/>
      <c r="Q773" s="11"/>
      <c r="R773" s="9"/>
      <c r="S773" s="12"/>
      <c r="T773" s="5"/>
      <c r="U773" s="5"/>
      <c r="V773" s="4"/>
      <c r="W773" s="4"/>
      <c r="X773" s="4"/>
      <c r="Y773" s="4"/>
    </row>
    <row r="774">
      <c r="A774" s="5"/>
      <c r="B774" s="9"/>
      <c r="C774" s="5"/>
      <c r="D774" s="9"/>
      <c r="E774" s="9"/>
      <c r="F774" s="9"/>
      <c r="G774" s="9"/>
      <c r="H774" s="9"/>
      <c r="I774" s="9"/>
      <c r="J774" s="5"/>
      <c r="K774" s="4"/>
      <c r="L774" s="10"/>
      <c r="M774" s="10"/>
      <c r="N774" s="10"/>
      <c r="O774" s="10"/>
      <c r="P774" s="10"/>
      <c r="Q774" s="11"/>
      <c r="R774" s="9"/>
      <c r="S774" s="12"/>
      <c r="T774" s="5"/>
      <c r="U774" s="5"/>
      <c r="V774" s="4"/>
      <c r="W774" s="4"/>
      <c r="X774" s="4"/>
      <c r="Y774" s="4"/>
    </row>
    <row r="775">
      <c r="A775" s="5"/>
      <c r="B775" s="9"/>
      <c r="C775" s="5"/>
      <c r="D775" s="9"/>
      <c r="E775" s="9"/>
      <c r="F775" s="9"/>
      <c r="G775" s="9"/>
      <c r="H775" s="9"/>
      <c r="I775" s="9"/>
      <c r="J775" s="5"/>
      <c r="K775" s="4"/>
      <c r="L775" s="10"/>
      <c r="M775" s="10"/>
      <c r="N775" s="10"/>
      <c r="O775" s="10"/>
      <c r="P775" s="10"/>
      <c r="Q775" s="11"/>
      <c r="R775" s="9"/>
      <c r="S775" s="12"/>
      <c r="T775" s="5"/>
      <c r="U775" s="5"/>
      <c r="V775" s="4"/>
      <c r="W775" s="4"/>
      <c r="X775" s="4"/>
      <c r="Y775" s="4"/>
    </row>
    <row r="776">
      <c r="A776" s="5"/>
      <c r="B776" s="9"/>
      <c r="C776" s="5"/>
      <c r="D776" s="9"/>
      <c r="E776" s="9"/>
      <c r="F776" s="9"/>
      <c r="G776" s="9"/>
      <c r="H776" s="9"/>
      <c r="I776" s="9"/>
      <c r="J776" s="5"/>
      <c r="K776" s="4"/>
      <c r="L776" s="10"/>
      <c r="M776" s="10"/>
      <c r="N776" s="10"/>
      <c r="O776" s="10"/>
      <c r="P776" s="10"/>
      <c r="Q776" s="11"/>
      <c r="R776" s="9"/>
      <c r="S776" s="12"/>
      <c r="T776" s="5"/>
      <c r="U776" s="5"/>
      <c r="V776" s="4"/>
      <c r="W776" s="4"/>
      <c r="X776" s="4"/>
      <c r="Y776" s="4"/>
    </row>
    <row r="777">
      <c r="A777" s="5"/>
      <c r="B777" s="9"/>
      <c r="C777" s="5"/>
      <c r="D777" s="9"/>
      <c r="E777" s="9"/>
      <c r="F777" s="9"/>
      <c r="G777" s="9"/>
      <c r="H777" s="9"/>
      <c r="I777" s="9"/>
      <c r="J777" s="5"/>
      <c r="K777" s="4"/>
      <c r="L777" s="10"/>
      <c r="M777" s="10"/>
      <c r="N777" s="10"/>
      <c r="O777" s="10"/>
      <c r="P777" s="10"/>
      <c r="Q777" s="11"/>
      <c r="R777" s="9"/>
      <c r="S777" s="12"/>
      <c r="T777" s="5"/>
      <c r="U777" s="5"/>
      <c r="V777" s="4"/>
      <c r="W777" s="4"/>
      <c r="X777" s="4"/>
      <c r="Y777" s="4"/>
    </row>
    <row r="778">
      <c r="A778" s="5"/>
      <c r="B778" s="9"/>
      <c r="C778" s="5"/>
      <c r="D778" s="9"/>
      <c r="E778" s="9"/>
      <c r="F778" s="9"/>
      <c r="G778" s="9"/>
      <c r="H778" s="9"/>
      <c r="I778" s="9"/>
      <c r="J778" s="5"/>
      <c r="K778" s="4"/>
      <c r="L778" s="10"/>
      <c r="M778" s="10"/>
      <c r="N778" s="10"/>
      <c r="O778" s="10"/>
      <c r="P778" s="10"/>
      <c r="Q778" s="11"/>
      <c r="R778" s="9"/>
      <c r="S778" s="12"/>
      <c r="T778" s="5"/>
      <c r="U778" s="5"/>
      <c r="V778" s="4"/>
      <c r="W778" s="4"/>
      <c r="X778" s="4"/>
      <c r="Y778" s="4"/>
    </row>
    <row r="779">
      <c r="A779" s="5"/>
      <c r="B779" s="9"/>
      <c r="C779" s="5"/>
      <c r="D779" s="9"/>
      <c r="E779" s="9"/>
      <c r="F779" s="9"/>
      <c r="G779" s="9"/>
      <c r="H779" s="9"/>
      <c r="I779" s="9"/>
      <c r="J779" s="5"/>
      <c r="K779" s="4"/>
      <c r="L779" s="10"/>
      <c r="M779" s="10"/>
      <c r="N779" s="10"/>
      <c r="O779" s="10"/>
      <c r="P779" s="10"/>
      <c r="Q779" s="11"/>
      <c r="R779" s="9"/>
      <c r="S779" s="12"/>
      <c r="T779" s="5"/>
      <c r="U779" s="5"/>
      <c r="V779" s="4"/>
      <c r="W779" s="4"/>
      <c r="X779" s="4"/>
      <c r="Y779" s="4"/>
    </row>
    <row r="780">
      <c r="A780" s="5"/>
      <c r="B780" s="9"/>
      <c r="C780" s="5"/>
      <c r="D780" s="9"/>
      <c r="E780" s="9"/>
      <c r="F780" s="9"/>
      <c r="G780" s="9"/>
      <c r="H780" s="9"/>
      <c r="I780" s="9"/>
      <c r="J780" s="5"/>
      <c r="K780" s="4"/>
      <c r="L780" s="10"/>
      <c r="M780" s="10"/>
      <c r="N780" s="10"/>
      <c r="O780" s="10"/>
      <c r="P780" s="10"/>
      <c r="Q780" s="11"/>
      <c r="R780" s="9"/>
      <c r="S780" s="12"/>
      <c r="T780" s="5"/>
      <c r="U780" s="5"/>
      <c r="V780" s="4"/>
      <c r="W780" s="4"/>
      <c r="X780" s="4"/>
      <c r="Y780" s="4"/>
    </row>
    <row r="781">
      <c r="A781" s="5"/>
      <c r="B781" s="9"/>
      <c r="C781" s="5"/>
      <c r="D781" s="9"/>
      <c r="E781" s="9"/>
      <c r="F781" s="9"/>
      <c r="G781" s="9"/>
      <c r="H781" s="9"/>
      <c r="I781" s="9"/>
      <c r="J781" s="5"/>
      <c r="K781" s="4"/>
      <c r="L781" s="10"/>
      <c r="M781" s="10"/>
      <c r="N781" s="10"/>
      <c r="O781" s="10"/>
      <c r="P781" s="10"/>
      <c r="Q781" s="11"/>
      <c r="R781" s="9"/>
      <c r="S781" s="12"/>
      <c r="T781" s="5"/>
      <c r="U781" s="5"/>
      <c r="V781" s="4"/>
      <c r="W781" s="4"/>
      <c r="X781" s="4"/>
      <c r="Y781" s="4"/>
    </row>
    <row r="782">
      <c r="A782" s="5"/>
      <c r="B782" s="9"/>
      <c r="C782" s="5"/>
      <c r="D782" s="9"/>
      <c r="E782" s="9"/>
      <c r="F782" s="9"/>
      <c r="G782" s="9"/>
      <c r="H782" s="9"/>
      <c r="I782" s="9"/>
      <c r="J782" s="5"/>
      <c r="K782" s="4"/>
      <c r="L782" s="10"/>
      <c r="M782" s="10"/>
      <c r="N782" s="10"/>
      <c r="O782" s="10"/>
      <c r="P782" s="10"/>
      <c r="Q782" s="11"/>
      <c r="R782" s="9"/>
      <c r="S782" s="12"/>
      <c r="T782" s="5"/>
      <c r="U782" s="5"/>
      <c r="V782" s="4"/>
      <c r="W782" s="4"/>
      <c r="X782" s="4"/>
      <c r="Y782" s="4"/>
    </row>
    <row r="783">
      <c r="A783" s="5"/>
      <c r="B783" s="9"/>
      <c r="C783" s="5"/>
      <c r="D783" s="9"/>
      <c r="E783" s="9"/>
      <c r="F783" s="9"/>
      <c r="G783" s="9"/>
      <c r="H783" s="9"/>
      <c r="I783" s="9"/>
      <c r="J783" s="5"/>
      <c r="K783" s="4"/>
      <c r="L783" s="10"/>
      <c r="M783" s="10"/>
      <c r="N783" s="10"/>
      <c r="O783" s="10"/>
      <c r="P783" s="10"/>
      <c r="Q783" s="11"/>
      <c r="R783" s="9"/>
      <c r="S783" s="12"/>
      <c r="T783" s="5"/>
      <c r="U783" s="5"/>
      <c r="V783" s="4"/>
      <c r="W783" s="4"/>
      <c r="X783" s="4"/>
      <c r="Y783" s="4"/>
    </row>
    <row r="784">
      <c r="A784" s="5"/>
      <c r="B784" s="9"/>
      <c r="C784" s="5"/>
      <c r="D784" s="9"/>
      <c r="E784" s="9"/>
      <c r="F784" s="9"/>
      <c r="G784" s="9"/>
      <c r="H784" s="9"/>
      <c r="I784" s="9"/>
      <c r="J784" s="5"/>
      <c r="K784" s="4"/>
      <c r="L784" s="10"/>
      <c r="M784" s="10"/>
      <c r="N784" s="10"/>
      <c r="O784" s="10"/>
      <c r="P784" s="10"/>
      <c r="Q784" s="11"/>
      <c r="R784" s="9"/>
      <c r="S784" s="12"/>
      <c r="T784" s="5"/>
      <c r="U784" s="5"/>
      <c r="V784" s="4"/>
      <c r="W784" s="4"/>
      <c r="X784" s="4"/>
      <c r="Y784" s="4"/>
    </row>
    <row r="785">
      <c r="A785" s="5"/>
      <c r="B785" s="9"/>
      <c r="C785" s="5"/>
      <c r="D785" s="9"/>
      <c r="E785" s="9"/>
      <c r="F785" s="9"/>
      <c r="G785" s="9"/>
      <c r="H785" s="9"/>
      <c r="I785" s="9"/>
      <c r="J785" s="5"/>
      <c r="K785" s="4"/>
      <c r="L785" s="10"/>
      <c r="M785" s="10"/>
      <c r="N785" s="10"/>
      <c r="O785" s="10"/>
      <c r="P785" s="10"/>
      <c r="Q785" s="11"/>
      <c r="R785" s="9"/>
      <c r="S785" s="12"/>
      <c r="T785" s="5"/>
      <c r="U785" s="5"/>
      <c r="V785" s="4"/>
      <c r="W785" s="4"/>
      <c r="X785" s="4"/>
      <c r="Y785" s="4"/>
    </row>
    <row r="786">
      <c r="A786" s="5"/>
      <c r="B786" s="9"/>
      <c r="C786" s="5"/>
      <c r="D786" s="9"/>
      <c r="E786" s="9"/>
      <c r="F786" s="9"/>
      <c r="G786" s="9"/>
      <c r="H786" s="9"/>
      <c r="I786" s="9"/>
      <c r="J786" s="5"/>
      <c r="K786" s="4"/>
      <c r="L786" s="10"/>
      <c r="M786" s="10"/>
      <c r="N786" s="10"/>
      <c r="O786" s="10"/>
      <c r="P786" s="10"/>
      <c r="Q786" s="11"/>
      <c r="R786" s="9"/>
      <c r="S786" s="12"/>
      <c r="T786" s="5"/>
      <c r="U786" s="5"/>
      <c r="V786" s="4"/>
      <c r="W786" s="4"/>
      <c r="X786" s="4"/>
      <c r="Y786" s="4"/>
    </row>
    <row r="787">
      <c r="A787" s="5"/>
      <c r="B787" s="9"/>
      <c r="C787" s="5"/>
      <c r="D787" s="9"/>
      <c r="E787" s="9"/>
      <c r="F787" s="9"/>
      <c r="G787" s="9"/>
      <c r="H787" s="9"/>
      <c r="I787" s="9"/>
      <c r="J787" s="5"/>
      <c r="K787" s="4"/>
      <c r="L787" s="10"/>
      <c r="M787" s="10"/>
      <c r="N787" s="10"/>
      <c r="O787" s="10"/>
      <c r="P787" s="10"/>
      <c r="Q787" s="11"/>
      <c r="R787" s="9"/>
      <c r="S787" s="12"/>
      <c r="T787" s="5"/>
      <c r="U787" s="5"/>
      <c r="V787" s="4"/>
      <c r="W787" s="4"/>
      <c r="X787" s="4"/>
      <c r="Y787" s="4"/>
    </row>
    <row r="788">
      <c r="A788" s="5"/>
      <c r="B788" s="9"/>
      <c r="C788" s="5"/>
      <c r="D788" s="9"/>
      <c r="E788" s="9"/>
      <c r="F788" s="9"/>
      <c r="G788" s="9"/>
      <c r="H788" s="9"/>
      <c r="I788" s="9"/>
      <c r="J788" s="5"/>
      <c r="K788" s="4"/>
      <c r="L788" s="10"/>
      <c r="M788" s="10"/>
      <c r="N788" s="10"/>
      <c r="O788" s="10"/>
      <c r="P788" s="10"/>
      <c r="Q788" s="11"/>
      <c r="R788" s="9"/>
      <c r="S788" s="12"/>
      <c r="T788" s="5"/>
      <c r="U788" s="5"/>
      <c r="V788" s="4"/>
      <c r="W788" s="4"/>
      <c r="X788" s="4"/>
      <c r="Y788" s="4"/>
    </row>
    <row r="789">
      <c r="A789" s="5"/>
      <c r="B789" s="9"/>
      <c r="C789" s="5"/>
      <c r="D789" s="9"/>
      <c r="E789" s="9"/>
      <c r="F789" s="9"/>
      <c r="G789" s="9"/>
      <c r="H789" s="9"/>
      <c r="I789" s="9"/>
      <c r="J789" s="5"/>
      <c r="K789" s="4"/>
      <c r="L789" s="10"/>
      <c r="M789" s="10"/>
      <c r="N789" s="10"/>
      <c r="O789" s="10"/>
      <c r="P789" s="10"/>
      <c r="Q789" s="11"/>
      <c r="R789" s="9"/>
      <c r="S789" s="12"/>
      <c r="T789" s="5"/>
      <c r="U789" s="5"/>
      <c r="V789" s="4"/>
      <c r="W789" s="4"/>
      <c r="X789" s="4"/>
      <c r="Y789" s="4"/>
    </row>
    <row r="790">
      <c r="A790" s="5"/>
      <c r="B790" s="9"/>
      <c r="C790" s="5"/>
      <c r="D790" s="9"/>
      <c r="E790" s="9"/>
      <c r="F790" s="9"/>
      <c r="G790" s="9"/>
      <c r="H790" s="9"/>
      <c r="I790" s="9"/>
      <c r="J790" s="5"/>
      <c r="K790" s="4"/>
      <c r="L790" s="10"/>
      <c r="M790" s="10"/>
      <c r="N790" s="10"/>
      <c r="O790" s="10"/>
      <c r="P790" s="10"/>
      <c r="Q790" s="11"/>
      <c r="R790" s="9"/>
      <c r="S790" s="12"/>
      <c r="T790" s="5"/>
      <c r="U790" s="5"/>
      <c r="V790" s="4"/>
      <c r="W790" s="4"/>
      <c r="X790" s="4"/>
      <c r="Y790" s="4"/>
    </row>
    <row r="791">
      <c r="A791" s="5"/>
      <c r="B791" s="9"/>
      <c r="C791" s="5"/>
      <c r="D791" s="9"/>
      <c r="E791" s="9"/>
      <c r="F791" s="9"/>
      <c r="G791" s="9"/>
      <c r="H791" s="9"/>
      <c r="I791" s="9"/>
      <c r="J791" s="5"/>
      <c r="K791" s="4"/>
      <c r="L791" s="10"/>
      <c r="M791" s="10"/>
      <c r="N791" s="10"/>
      <c r="O791" s="10"/>
      <c r="P791" s="10"/>
      <c r="Q791" s="11"/>
      <c r="R791" s="9"/>
      <c r="S791" s="12"/>
      <c r="T791" s="5"/>
      <c r="U791" s="5"/>
      <c r="V791" s="4"/>
      <c r="W791" s="4"/>
      <c r="X791" s="4"/>
      <c r="Y791" s="4"/>
    </row>
    <row r="792">
      <c r="A792" s="5"/>
      <c r="B792" s="9"/>
      <c r="C792" s="5"/>
      <c r="D792" s="9"/>
      <c r="E792" s="9"/>
      <c r="F792" s="9"/>
      <c r="G792" s="9"/>
      <c r="H792" s="9"/>
      <c r="I792" s="9"/>
      <c r="J792" s="5"/>
      <c r="K792" s="4"/>
      <c r="L792" s="10"/>
      <c r="M792" s="10"/>
      <c r="N792" s="10"/>
      <c r="O792" s="10"/>
      <c r="P792" s="10"/>
      <c r="Q792" s="11"/>
      <c r="R792" s="9"/>
      <c r="S792" s="12"/>
      <c r="T792" s="5"/>
      <c r="U792" s="5"/>
      <c r="V792" s="4"/>
      <c r="W792" s="4"/>
      <c r="X792" s="4"/>
      <c r="Y792" s="4"/>
    </row>
    <row r="793">
      <c r="A793" s="5"/>
      <c r="B793" s="9"/>
      <c r="C793" s="5"/>
      <c r="D793" s="9"/>
      <c r="E793" s="9"/>
      <c r="F793" s="9"/>
      <c r="G793" s="9"/>
      <c r="H793" s="9"/>
      <c r="I793" s="9"/>
      <c r="J793" s="5"/>
      <c r="K793" s="4"/>
      <c r="L793" s="10"/>
      <c r="M793" s="10"/>
      <c r="N793" s="10"/>
      <c r="O793" s="10"/>
      <c r="P793" s="10"/>
      <c r="Q793" s="11"/>
      <c r="R793" s="9"/>
      <c r="S793" s="12"/>
      <c r="T793" s="5"/>
      <c r="U793" s="5"/>
      <c r="V793" s="4"/>
      <c r="W793" s="4"/>
      <c r="X793" s="4"/>
      <c r="Y793" s="4"/>
    </row>
    <row r="794">
      <c r="A794" s="5"/>
      <c r="B794" s="9"/>
      <c r="C794" s="5"/>
      <c r="D794" s="9"/>
      <c r="E794" s="9"/>
      <c r="F794" s="9"/>
      <c r="G794" s="9"/>
      <c r="H794" s="9"/>
      <c r="I794" s="9"/>
      <c r="J794" s="5"/>
      <c r="K794" s="4"/>
      <c r="L794" s="10"/>
      <c r="M794" s="10"/>
      <c r="N794" s="10"/>
      <c r="O794" s="10"/>
      <c r="P794" s="10"/>
      <c r="Q794" s="11"/>
      <c r="R794" s="9"/>
      <c r="S794" s="12"/>
      <c r="T794" s="5"/>
      <c r="U794" s="5"/>
      <c r="V794" s="4"/>
      <c r="W794" s="4"/>
      <c r="X794" s="4"/>
      <c r="Y794" s="4"/>
    </row>
    <row r="795">
      <c r="A795" s="5"/>
      <c r="B795" s="9"/>
      <c r="C795" s="5"/>
      <c r="D795" s="9"/>
      <c r="E795" s="9"/>
      <c r="F795" s="9"/>
      <c r="G795" s="9"/>
      <c r="H795" s="9"/>
      <c r="I795" s="9"/>
      <c r="J795" s="5"/>
      <c r="K795" s="4"/>
      <c r="L795" s="10"/>
      <c r="M795" s="10"/>
      <c r="N795" s="10"/>
      <c r="O795" s="10"/>
      <c r="P795" s="10"/>
      <c r="Q795" s="11"/>
      <c r="R795" s="9"/>
      <c r="S795" s="12"/>
      <c r="T795" s="5"/>
      <c r="U795" s="5"/>
      <c r="V795" s="4"/>
      <c r="W795" s="4"/>
      <c r="X795" s="4"/>
      <c r="Y795" s="4"/>
    </row>
    <row r="796">
      <c r="A796" s="5"/>
      <c r="B796" s="9"/>
      <c r="C796" s="5"/>
      <c r="D796" s="9"/>
      <c r="E796" s="9"/>
      <c r="F796" s="9"/>
      <c r="G796" s="9"/>
      <c r="H796" s="9"/>
      <c r="I796" s="9"/>
      <c r="J796" s="5"/>
      <c r="K796" s="4"/>
      <c r="L796" s="10"/>
      <c r="M796" s="10"/>
      <c r="N796" s="10"/>
      <c r="O796" s="10"/>
      <c r="P796" s="10"/>
      <c r="Q796" s="11"/>
      <c r="R796" s="9"/>
      <c r="S796" s="12"/>
      <c r="T796" s="5"/>
      <c r="U796" s="5"/>
      <c r="V796" s="4"/>
      <c r="W796" s="4"/>
      <c r="X796" s="4"/>
      <c r="Y796" s="4"/>
    </row>
    <row r="797">
      <c r="A797" s="5"/>
      <c r="B797" s="9"/>
      <c r="C797" s="5"/>
      <c r="D797" s="9"/>
      <c r="E797" s="9"/>
      <c r="F797" s="9"/>
      <c r="G797" s="9"/>
      <c r="H797" s="9"/>
      <c r="I797" s="9"/>
      <c r="J797" s="5"/>
      <c r="K797" s="4"/>
      <c r="L797" s="10"/>
      <c r="M797" s="10"/>
      <c r="N797" s="10"/>
      <c r="O797" s="10"/>
      <c r="P797" s="10"/>
      <c r="Q797" s="11"/>
      <c r="R797" s="9"/>
      <c r="S797" s="12"/>
      <c r="T797" s="5"/>
      <c r="U797" s="5"/>
      <c r="V797" s="4"/>
      <c r="W797" s="4"/>
      <c r="X797" s="4"/>
      <c r="Y797" s="4"/>
    </row>
    <row r="798">
      <c r="A798" s="5"/>
      <c r="B798" s="9"/>
      <c r="C798" s="5"/>
      <c r="D798" s="9"/>
      <c r="E798" s="9"/>
      <c r="F798" s="9"/>
      <c r="G798" s="9"/>
      <c r="H798" s="9"/>
      <c r="I798" s="9"/>
      <c r="J798" s="5"/>
      <c r="K798" s="4"/>
      <c r="L798" s="10"/>
      <c r="M798" s="10"/>
      <c r="N798" s="10"/>
      <c r="O798" s="10"/>
      <c r="P798" s="10"/>
      <c r="Q798" s="11"/>
      <c r="R798" s="9"/>
      <c r="S798" s="12"/>
      <c r="T798" s="5"/>
      <c r="U798" s="5"/>
      <c r="V798" s="4"/>
      <c r="W798" s="4"/>
      <c r="X798" s="4"/>
      <c r="Y798" s="4"/>
    </row>
    <row r="799">
      <c r="A799" s="5"/>
      <c r="B799" s="9"/>
      <c r="C799" s="5"/>
      <c r="D799" s="9"/>
      <c r="E799" s="9"/>
      <c r="F799" s="9"/>
      <c r="G799" s="9"/>
      <c r="H799" s="9"/>
      <c r="I799" s="9"/>
      <c r="J799" s="5"/>
      <c r="K799" s="4"/>
      <c r="L799" s="10"/>
      <c r="M799" s="10"/>
      <c r="N799" s="10"/>
      <c r="O799" s="10"/>
      <c r="P799" s="10"/>
      <c r="Q799" s="11"/>
      <c r="R799" s="9"/>
      <c r="S799" s="12"/>
      <c r="T799" s="5"/>
      <c r="U799" s="5"/>
      <c r="V799" s="4"/>
      <c r="W799" s="4"/>
      <c r="X799" s="4"/>
      <c r="Y799" s="4"/>
    </row>
    <row r="800">
      <c r="A800" s="5"/>
      <c r="B800" s="9"/>
      <c r="C800" s="5"/>
      <c r="D800" s="9"/>
      <c r="E800" s="9"/>
      <c r="F800" s="9"/>
      <c r="G800" s="9"/>
      <c r="H800" s="9"/>
      <c r="I800" s="9"/>
      <c r="J800" s="5"/>
      <c r="K800" s="4"/>
      <c r="L800" s="10"/>
      <c r="M800" s="10"/>
      <c r="N800" s="10"/>
      <c r="O800" s="10"/>
      <c r="P800" s="10"/>
      <c r="Q800" s="11"/>
      <c r="R800" s="9"/>
      <c r="S800" s="12"/>
      <c r="T800" s="5"/>
      <c r="U800" s="5"/>
      <c r="V800" s="4"/>
      <c r="W800" s="4"/>
      <c r="X800" s="4"/>
      <c r="Y800" s="4"/>
    </row>
    <row r="801">
      <c r="A801" s="5"/>
      <c r="B801" s="9"/>
      <c r="C801" s="5"/>
      <c r="D801" s="9"/>
      <c r="E801" s="9"/>
      <c r="F801" s="9"/>
      <c r="G801" s="9"/>
      <c r="H801" s="9"/>
      <c r="I801" s="9"/>
      <c r="J801" s="5"/>
      <c r="K801" s="4"/>
      <c r="L801" s="10"/>
      <c r="M801" s="10"/>
      <c r="N801" s="10"/>
      <c r="O801" s="10"/>
      <c r="P801" s="10"/>
      <c r="Q801" s="11"/>
      <c r="R801" s="9"/>
      <c r="S801" s="12"/>
      <c r="T801" s="5"/>
      <c r="U801" s="5"/>
      <c r="V801" s="4"/>
      <c r="W801" s="4"/>
      <c r="X801" s="4"/>
      <c r="Y801" s="4"/>
    </row>
    <row r="802">
      <c r="A802" s="5"/>
      <c r="B802" s="9"/>
      <c r="C802" s="5"/>
      <c r="D802" s="9"/>
      <c r="E802" s="9"/>
      <c r="F802" s="9"/>
      <c r="G802" s="9"/>
      <c r="H802" s="9"/>
      <c r="I802" s="9"/>
      <c r="J802" s="5"/>
      <c r="K802" s="4"/>
      <c r="L802" s="10"/>
      <c r="M802" s="10"/>
      <c r="N802" s="10"/>
      <c r="O802" s="10"/>
      <c r="P802" s="10"/>
      <c r="Q802" s="11"/>
      <c r="R802" s="9"/>
      <c r="S802" s="12"/>
      <c r="T802" s="5"/>
      <c r="U802" s="5"/>
      <c r="V802" s="4"/>
      <c r="W802" s="4"/>
      <c r="X802" s="4"/>
      <c r="Y802" s="4"/>
    </row>
    <row r="803">
      <c r="A803" s="5"/>
      <c r="B803" s="9"/>
      <c r="C803" s="5"/>
      <c r="D803" s="9"/>
      <c r="E803" s="9"/>
      <c r="F803" s="9"/>
      <c r="G803" s="9"/>
      <c r="H803" s="9"/>
      <c r="I803" s="9"/>
      <c r="J803" s="5"/>
      <c r="K803" s="4"/>
      <c r="L803" s="10"/>
      <c r="M803" s="10"/>
      <c r="N803" s="10"/>
      <c r="O803" s="10"/>
      <c r="P803" s="10"/>
      <c r="Q803" s="11"/>
      <c r="R803" s="9"/>
      <c r="S803" s="12"/>
      <c r="T803" s="5"/>
      <c r="U803" s="5"/>
      <c r="V803" s="4"/>
      <c r="W803" s="4"/>
      <c r="X803" s="4"/>
      <c r="Y803" s="4"/>
    </row>
    <row r="804">
      <c r="A804" s="5"/>
      <c r="B804" s="9"/>
      <c r="C804" s="5"/>
      <c r="D804" s="9"/>
      <c r="E804" s="9"/>
      <c r="F804" s="9"/>
      <c r="G804" s="9"/>
      <c r="H804" s="9"/>
      <c r="I804" s="9"/>
      <c r="J804" s="5"/>
      <c r="K804" s="4"/>
      <c r="L804" s="10"/>
      <c r="M804" s="10"/>
      <c r="N804" s="10"/>
      <c r="O804" s="10"/>
      <c r="P804" s="10"/>
      <c r="Q804" s="11"/>
      <c r="R804" s="9"/>
      <c r="S804" s="12"/>
      <c r="T804" s="5"/>
      <c r="U804" s="5"/>
      <c r="V804" s="4"/>
      <c r="W804" s="4"/>
      <c r="X804" s="4"/>
      <c r="Y804" s="4"/>
    </row>
    <row r="805">
      <c r="A805" s="5"/>
      <c r="B805" s="9"/>
      <c r="C805" s="5"/>
      <c r="D805" s="9"/>
      <c r="E805" s="9"/>
      <c r="F805" s="9"/>
      <c r="G805" s="9"/>
      <c r="H805" s="9"/>
      <c r="I805" s="9"/>
      <c r="J805" s="5"/>
      <c r="K805" s="4"/>
      <c r="L805" s="10"/>
      <c r="M805" s="10"/>
      <c r="N805" s="10"/>
      <c r="O805" s="10"/>
      <c r="P805" s="10"/>
      <c r="Q805" s="11"/>
      <c r="R805" s="9"/>
      <c r="S805" s="12"/>
      <c r="T805" s="5"/>
      <c r="U805" s="5"/>
      <c r="V805" s="4"/>
      <c r="W805" s="4"/>
      <c r="X805" s="4"/>
      <c r="Y805" s="4"/>
    </row>
    <row r="806">
      <c r="A806" s="5"/>
      <c r="B806" s="9"/>
      <c r="C806" s="5"/>
      <c r="D806" s="9"/>
      <c r="E806" s="9"/>
      <c r="F806" s="9"/>
      <c r="G806" s="9"/>
      <c r="H806" s="9"/>
      <c r="I806" s="9"/>
      <c r="J806" s="5"/>
      <c r="K806" s="4"/>
      <c r="L806" s="10"/>
      <c r="M806" s="10"/>
      <c r="N806" s="10"/>
      <c r="O806" s="10"/>
      <c r="P806" s="10"/>
      <c r="Q806" s="11"/>
      <c r="R806" s="9"/>
      <c r="S806" s="12"/>
      <c r="T806" s="5"/>
      <c r="U806" s="5"/>
      <c r="V806" s="4"/>
      <c r="W806" s="4"/>
      <c r="X806" s="4"/>
      <c r="Y806" s="4"/>
    </row>
    <row r="807">
      <c r="A807" s="5"/>
      <c r="B807" s="9"/>
      <c r="C807" s="5"/>
      <c r="D807" s="9"/>
      <c r="E807" s="9"/>
      <c r="F807" s="9"/>
      <c r="G807" s="9"/>
      <c r="H807" s="9"/>
      <c r="I807" s="9"/>
      <c r="J807" s="5"/>
      <c r="K807" s="4"/>
      <c r="L807" s="10"/>
      <c r="M807" s="10"/>
      <c r="N807" s="10"/>
      <c r="O807" s="10"/>
      <c r="P807" s="10"/>
      <c r="Q807" s="11"/>
      <c r="R807" s="9"/>
      <c r="S807" s="12"/>
      <c r="T807" s="5"/>
      <c r="U807" s="5"/>
      <c r="V807" s="4"/>
      <c r="W807" s="4"/>
      <c r="X807" s="4"/>
      <c r="Y807" s="4"/>
    </row>
    <row r="808">
      <c r="A808" s="5"/>
      <c r="B808" s="9"/>
      <c r="C808" s="5"/>
      <c r="D808" s="9"/>
      <c r="E808" s="9"/>
      <c r="F808" s="9"/>
      <c r="G808" s="9"/>
      <c r="H808" s="9"/>
      <c r="I808" s="9"/>
      <c r="J808" s="5"/>
      <c r="K808" s="4"/>
      <c r="L808" s="10"/>
      <c r="M808" s="10"/>
      <c r="N808" s="10"/>
      <c r="O808" s="10"/>
      <c r="P808" s="10"/>
      <c r="Q808" s="11"/>
      <c r="R808" s="9"/>
      <c r="S808" s="12"/>
      <c r="T808" s="5"/>
      <c r="U808" s="5"/>
      <c r="V808" s="4"/>
      <c r="W808" s="4"/>
      <c r="X808" s="4"/>
      <c r="Y808" s="4"/>
    </row>
    <row r="809">
      <c r="A809" s="5"/>
      <c r="B809" s="9"/>
      <c r="C809" s="5"/>
      <c r="D809" s="9"/>
      <c r="E809" s="9"/>
      <c r="F809" s="9"/>
      <c r="G809" s="9"/>
      <c r="H809" s="9"/>
      <c r="I809" s="9"/>
      <c r="J809" s="5"/>
      <c r="K809" s="4"/>
      <c r="L809" s="10"/>
      <c r="M809" s="10"/>
      <c r="N809" s="10"/>
      <c r="O809" s="10"/>
      <c r="P809" s="10"/>
      <c r="Q809" s="11"/>
      <c r="R809" s="9"/>
      <c r="S809" s="12"/>
      <c r="T809" s="5"/>
      <c r="U809" s="5"/>
      <c r="V809" s="4"/>
      <c r="W809" s="4"/>
      <c r="X809" s="4"/>
      <c r="Y809" s="4"/>
    </row>
    <row r="810">
      <c r="A810" s="5"/>
      <c r="B810" s="9"/>
      <c r="C810" s="5"/>
      <c r="D810" s="9"/>
      <c r="E810" s="9"/>
      <c r="F810" s="9"/>
      <c r="G810" s="9"/>
      <c r="H810" s="9"/>
      <c r="I810" s="9"/>
      <c r="J810" s="5"/>
      <c r="K810" s="4"/>
      <c r="L810" s="10"/>
      <c r="M810" s="10"/>
      <c r="N810" s="10"/>
      <c r="O810" s="10"/>
      <c r="P810" s="10"/>
      <c r="Q810" s="11"/>
      <c r="R810" s="9"/>
      <c r="S810" s="12"/>
      <c r="T810" s="5"/>
      <c r="U810" s="5"/>
      <c r="V810" s="4"/>
      <c r="W810" s="4"/>
      <c r="X810" s="4"/>
      <c r="Y810" s="4"/>
    </row>
    <row r="811">
      <c r="A811" s="5"/>
      <c r="B811" s="9"/>
      <c r="C811" s="5"/>
      <c r="D811" s="9"/>
      <c r="E811" s="9"/>
      <c r="F811" s="9"/>
      <c r="G811" s="9"/>
      <c r="H811" s="9"/>
      <c r="I811" s="9"/>
      <c r="J811" s="5"/>
      <c r="K811" s="4"/>
      <c r="L811" s="10"/>
      <c r="M811" s="10"/>
      <c r="N811" s="10"/>
      <c r="O811" s="10"/>
      <c r="P811" s="10"/>
      <c r="Q811" s="11"/>
      <c r="R811" s="9"/>
      <c r="S811" s="12"/>
      <c r="T811" s="5"/>
      <c r="U811" s="5"/>
      <c r="V811" s="4"/>
      <c r="W811" s="4"/>
      <c r="X811" s="4"/>
      <c r="Y811" s="4"/>
    </row>
    <row r="812">
      <c r="A812" s="5"/>
      <c r="B812" s="9"/>
      <c r="C812" s="5"/>
      <c r="D812" s="9"/>
      <c r="E812" s="9"/>
      <c r="F812" s="9"/>
      <c r="G812" s="9"/>
      <c r="H812" s="9"/>
      <c r="I812" s="9"/>
      <c r="J812" s="5"/>
      <c r="K812" s="4"/>
      <c r="L812" s="10"/>
      <c r="M812" s="10"/>
      <c r="N812" s="10"/>
      <c r="O812" s="10"/>
      <c r="P812" s="10"/>
      <c r="Q812" s="11"/>
      <c r="R812" s="9"/>
      <c r="S812" s="12"/>
      <c r="T812" s="5"/>
      <c r="U812" s="5"/>
      <c r="V812" s="4"/>
      <c r="W812" s="4"/>
      <c r="X812" s="4"/>
      <c r="Y812" s="4"/>
    </row>
    <row r="813">
      <c r="A813" s="5"/>
      <c r="B813" s="9"/>
      <c r="C813" s="5"/>
      <c r="D813" s="9"/>
      <c r="E813" s="9"/>
      <c r="F813" s="9"/>
      <c r="G813" s="9"/>
      <c r="H813" s="9"/>
      <c r="I813" s="9"/>
      <c r="J813" s="5"/>
      <c r="K813" s="4"/>
      <c r="L813" s="10"/>
      <c r="M813" s="10"/>
      <c r="N813" s="10"/>
      <c r="O813" s="10"/>
      <c r="P813" s="10"/>
      <c r="Q813" s="11"/>
      <c r="R813" s="9"/>
      <c r="S813" s="12"/>
      <c r="T813" s="5"/>
      <c r="U813" s="5"/>
      <c r="V813" s="4"/>
      <c r="W813" s="4"/>
      <c r="X813" s="4"/>
      <c r="Y813" s="4"/>
    </row>
    <row r="814">
      <c r="A814" s="5"/>
      <c r="B814" s="9"/>
      <c r="C814" s="5"/>
      <c r="D814" s="9"/>
      <c r="E814" s="9"/>
      <c r="F814" s="9"/>
      <c r="G814" s="9"/>
      <c r="H814" s="9"/>
      <c r="I814" s="9"/>
      <c r="J814" s="5"/>
      <c r="K814" s="4"/>
      <c r="L814" s="10"/>
      <c r="M814" s="10"/>
      <c r="N814" s="10"/>
      <c r="O814" s="10"/>
      <c r="P814" s="10"/>
      <c r="Q814" s="11"/>
      <c r="R814" s="9"/>
      <c r="S814" s="12"/>
      <c r="T814" s="5"/>
      <c r="U814" s="5"/>
      <c r="V814" s="4"/>
      <c r="W814" s="4"/>
      <c r="X814" s="4"/>
      <c r="Y814" s="4"/>
    </row>
    <row r="815">
      <c r="A815" s="5"/>
      <c r="B815" s="9"/>
      <c r="C815" s="5"/>
      <c r="D815" s="9"/>
      <c r="E815" s="9"/>
      <c r="F815" s="9"/>
      <c r="G815" s="9"/>
      <c r="H815" s="9"/>
      <c r="I815" s="9"/>
      <c r="J815" s="5"/>
      <c r="K815" s="4"/>
      <c r="L815" s="10"/>
      <c r="M815" s="10"/>
      <c r="N815" s="10"/>
      <c r="O815" s="10"/>
      <c r="P815" s="10"/>
      <c r="Q815" s="11"/>
      <c r="R815" s="9"/>
      <c r="S815" s="12"/>
      <c r="T815" s="5"/>
      <c r="U815" s="5"/>
      <c r="V815" s="4"/>
      <c r="W815" s="4"/>
      <c r="X815" s="4"/>
      <c r="Y815" s="4"/>
    </row>
    <row r="816">
      <c r="A816" s="5"/>
      <c r="B816" s="9"/>
      <c r="C816" s="5"/>
      <c r="D816" s="9"/>
      <c r="E816" s="9"/>
      <c r="F816" s="9"/>
      <c r="G816" s="9"/>
      <c r="H816" s="9"/>
      <c r="I816" s="9"/>
      <c r="J816" s="5"/>
      <c r="K816" s="4"/>
      <c r="L816" s="10"/>
      <c r="M816" s="10"/>
      <c r="N816" s="10"/>
      <c r="O816" s="10"/>
      <c r="P816" s="10"/>
      <c r="Q816" s="11"/>
      <c r="R816" s="9"/>
      <c r="S816" s="12"/>
      <c r="T816" s="5"/>
      <c r="U816" s="5"/>
      <c r="V816" s="4"/>
      <c r="W816" s="4"/>
      <c r="X816" s="4"/>
      <c r="Y816" s="4"/>
    </row>
    <row r="817">
      <c r="A817" s="5"/>
      <c r="B817" s="9"/>
      <c r="C817" s="5"/>
      <c r="D817" s="9"/>
      <c r="E817" s="9"/>
      <c r="F817" s="9"/>
      <c r="G817" s="9"/>
      <c r="H817" s="9"/>
      <c r="I817" s="9"/>
      <c r="J817" s="5"/>
      <c r="K817" s="4"/>
      <c r="L817" s="10"/>
      <c r="M817" s="10"/>
      <c r="N817" s="10"/>
      <c r="O817" s="10"/>
      <c r="P817" s="10"/>
      <c r="Q817" s="11"/>
      <c r="R817" s="9"/>
      <c r="S817" s="12"/>
      <c r="T817" s="5"/>
      <c r="U817" s="5"/>
      <c r="V817" s="4"/>
      <c r="W817" s="4"/>
      <c r="X817" s="4"/>
      <c r="Y817" s="4"/>
    </row>
    <row r="818">
      <c r="A818" s="5"/>
      <c r="B818" s="9"/>
      <c r="C818" s="5"/>
      <c r="D818" s="9"/>
      <c r="E818" s="9"/>
      <c r="F818" s="9"/>
      <c r="G818" s="9"/>
      <c r="H818" s="9"/>
      <c r="I818" s="9"/>
      <c r="J818" s="5"/>
      <c r="K818" s="4"/>
      <c r="L818" s="10"/>
      <c r="M818" s="10"/>
      <c r="N818" s="10"/>
      <c r="O818" s="10"/>
      <c r="P818" s="10"/>
      <c r="Q818" s="11"/>
      <c r="R818" s="9"/>
      <c r="S818" s="12"/>
      <c r="T818" s="5"/>
      <c r="U818" s="5"/>
      <c r="V818" s="4"/>
      <c r="W818" s="4"/>
      <c r="X818" s="4"/>
      <c r="Y818" s="4"/>
    </row>
    <row r="819">
      <c r="A819" s="5"/>
      <c r="B819" s="9"/>
      <c r="C819" s="5"/>
      <c r="D819" s="9"/>
      <c r="E819" s="9"/>
      <c r="F819" s="9"/>
      <c r="G819" s="9"/>
      <c r="H819" s="9"/>
      <c r="I819" s="9"/>
      <c r="J819" s="5"/>
      <c r="K819" s="4"/>
      <c r="L819" s="10"/>
      <c r="M819" s="10"/>
      <c r="N819" s="10"/>
      <c r="O819" s="10"/>
      <c r="P819" s="10"/>
      <c r="Q819" s="11"/>
      <c r="R819" s="9"/>
      <c r="S819" s="12"/>
      <c r="T819" s="5"/>
      <c r="U819" s="5"/>
      <c r="V819" s="4"/>
      <c r="W819" s="4"/>
      <c r="X819" s="4"/>
      <c r="Y819" s="4"/>
    </row>
    <row r="820">
      <c r="A820" s="5"/>
      <c r="B820" s="9"/>
      <c r="C820" s="5"/>
      <c r="D820" s="9"/>
      <c r="E820" s="9"/>
      <c r="F820" s="9"/>
      <c r="G820" s="9"/>
      <c r="H820" s="9"/>
      <c r="I820" s="9"/>
      <c r="J820" s="5"/>
      <c r="K820" s="4"/>
      <c r="L820" s="10"/>
      <c r="M820" s="10"/>
      <c r="N820" s="10"/>
      <c r="O820" s="10"/>
      <c r="P820" s="10"/>
      <c r="Q820" s="11"/>
      <c r="R820" s="9"/>
      <c r="S820" s="12"/>
      <c r="T820" s="5"/>
      <c r="U820" s="5"/>
      <c r="V820" s="4"/>
      <c r="W820" s="4"/>
      <c r="X820" s="4"/>
      <c r="Y820" s="4"/>
    </row>
    <row r="821">
      <c r="A821" s="5"/>
      <c r="B821" s="9"/>
      <c r="C821" s="5"/>
      <c r="D821" s="9"/>
      <c r="E821" s="9"/>
      <c r="F821" s="9"/>
      <c r="G821" s="9"/>
      <c r="H821" s="9"/>
      <c r="I821" s="9"/>
      <c r="J821" s="5"/>
      <c r="K821" s="4"/>
      <c r="L821" s="10"/>
      <c r="M821" s="10"/>
      <c r="N821" s="10"/>
      <c r="O821" s="10"/>
      <c r="P821" s="10"/>
      <c r="Q821" s="11"/>
      <c r="R821" s="9"/>
      <c r="S821" s="12"/>
      <c r="T821" s="5"/>
      <c r="U821" s="5"/>
      <c r="V821" s="4"/>
      <c r="W821" s="4"/>
      <c r="X821" s="4"/>
      <c r="Y821" s="4"/>
    </row>
    <row r="822">
      <c r="A822" s="5"/>
      <c r="B822" s="9"/>
      <c r="C822" s="5"/>
      <c r="D822" s="9"/>
      <c r="E822" s="9"/>
      <c r="F822" s="9"/>
      <c r="G822" s="9"/>
      <c r="H822" s="9"/>
      <c r="I822" s="9"/>
      <c r="J822" s="5"/>
      <c r="K822" s="4"/>
      <c r="L822" s="10"/>
      <c r="M822" s="10"/>
      <c r="N822" s="10"/>
      <c r="O822" s="10"/>
      <c r="P822" s="10"/>
      <c r="Q822" s="11"/>
      <c r="R822" s="9"/>
      <c r="S822" s="12"/>
      <c r="T822" s="5"/>
      <c r="U822" s="5"/>
      <c r="V822" s="4"/>
      <c r="W822" s="4"/>
      <c r="X822" s="4"/>
      <c r="Y822" s="4"/>
    </row>
    <row r="823">
      <c r="A823" s="5"/>
      <c r="B823" s="9"/>
      <c r="C823" s="5"/>
      <c r="D823" s="9"/>
      <c r="E823" s="9"/>
      <c r="F823" s="9"/>
      <c r="G823" s="9"/>
      <c r="H823" s="9"/>
      <c r="I823" s="9"/>
      <c r="J823" s="5"/>
      <c r="K823" s="4"/>
      <c r="L823" s="10"/>
      <c r="M823" s="10"/>
      <c r="N823" s="10"/>
      <c r="O823" s="10"/>
      <c r="P823" s="10"/>
      <c r="Q823" s="11"/>
      <c r="R823" s="9"/>
      <c r="S823" s="12"/>
      <c r="T823" s="5"/>
      <c r="U823" s="5"/>
      <c r="V823" s="4"/>
      <c r="W823" s="4"/>
      <c r="X823" s="4"/>
      <c r="Y823" s="4"/>
    </row>
    <row r="824">
      <c r="A824" s="5"/>
      <c r="B824" s="9"/>
      <c r="C824" s="5"/>
      <c r="D824" s="9"/>
      <c r="E824" s="9"/>
      <c r="F824" s="9"/>
      <c r="G824" s="9"/>
      <c r="H824" s="9"/>
      <c r="I824" s="9"/>
      <c r="J824" s="5"/>
      <c r="K824" s="4"/>
      <c r="L824" s="10"/>
      <c r="M824" s="10"/>
      <c r="N824" s="10"/>
      <c r="O824" s="10"/>
      <c r="P824" s="10"/>
      <c r="Q824" s="11"/>
      <c r="R824" s="9"/>
      <c r="S824" s="12"/>
      <c r="T824" s="5"/>
      <c r="U824" s="5"/>
      <c r="V824" s="4"/>
      <c r="W824" s="4"/>
      <c r="X824" s="4"/>
      <c r="Y824" s="4"/>
    </row>
    <row r="825">
      <c r="A825" s="5"/>
      <c r="B825" s="9"/>
      <c r="C825" s="5"/>
      <c r="D825" s="9"/>
      <c r="E825" s="9"/>
      <c r="F825" s="9"/>
      <c r="G825" s="9"/>
      <c r="H825" s="9"/>
      <c r="I825" s="9"/>
      <c r="J825" s="5"/>
      <c r="K825" s="4"/>
      <c r="L825" s="10"/>
      <c r="M825" s="10"/>
      <c r="N825" s="10"/>
      <c r="O825" s="10"/>
      <c r="P825" s="10"/>
      <c r="Q825" s="11"/>
      <c r="R825" s="9"/>
      <c r="S825" s="12"/>
      <c r="T825" s="5"/>
      <c r="U825" s="5"/>
      <c r="V825" s="4"/>
      <c r="W825" s="4"/>
      <c r="X825" s="4"/>
      <c r="Y825" s="4"/>
    </row>
    <row r="826">
      <c r="A826" s="5"/>
      <c r="B826" s="9"/>
      <c r="C826" s="5"/>
      <c r="D826" s="9"/>
      <c r="E826" s="9"/>
      <c r="F826" s="9"/>
      <c r="G826" s="9"/>
      <c r="H826" s="9"/>
      <c r="I826" s="9"/>
      <c r="J826" s="5"/>
      <c r="K826" s="4"/>
      <c r="L826" s="10"/>
      <c r="M826" s="10"/>
      <c r="N826" s="10"/>
      <c r="O826" s="10"/>
      <c r="P826" s="10"/>
      <c r="Q826" s="11"/>
      <c r="R826" s="9"/>
      <c r="S826" s="12"/>
      <c r="T826" s="5"/>
      <c r="U826" s="5"/>
      <c r="V826" s="4"/>
      <c r="W826" s="4"/>
      <c r="X826" s="4"/>
      <c r="Y826" s="4"/>
    </row>
    <row r="827">
      <c r="A827" s="5"/>
      <c r="B827" s="9"/>
      <c r="C827" s="5"/>
      <c r="D827" s="9"/>
      <c r="E827" s="9"/>
      <c r="F827" s="9"/>
      <c r="G827" s="9"/>
      <c r="H827" s="9"/>
      <c r="I827" s="9"/>
      <c r="J827" s="5"/>
      <c r="K827" s="4"/>
      <c r="L827" s="10"/>
      <c r="M827" s="10"/>
      <c r="N827" s="10"/>
      <c r="O827" s="10"/>
      <c r="P827" s="10"/>
      <c r="Q827" s="11"/>
      <c r="R827" s="9"/>
      <c r="S827" s="12"/>
      <c r="T827" s="5"/>
      <c r="U827" s="5"/>
      <c r="V827" s="4"/>
      <c r="W827" s="4"/>
      <c r="X827" s="4"/>
      <c r="Y827" s="4"/>
    </row>
    <row r="828">
      <c r="A828" s="5"/>
      <c r="B828" s="9"/>
      <c r="C828" s="5"/>
      <c r="D828" s="9"/>
      <c r="E828" s="9"/>
      <c r="F828" s="9"/>
      <c r="G828" s="9"/>
      <c r="H828" s="9"/>
      <c r="I828" s="9"/>
      <c r="J828" s="5"/>
      <c r="K828" s="4"/>
      <c r="L828" s="10"/>
      <c r="M828" s="10"/>
      <c r="N828" s="10"/>
      <c r="O828" s="10"/>
      <c r="P828" s="10"/>
      <c r="Q828" s="11"/>
      <c r="R828" s="9"/>
      <c r="S828" s="12"/>
      <c r="T828" s="5"/>
      <c r="U828" s="5"/>
      <c r="V828" s="4"/>
      <c r="W828" s="4"/>
      <c r="X828" s="4"/>
      <c r="Y828" s="4"/>
    </row>
    <row r="829">
      <c r="A829" s="5"/>
      <c r="B829" s="9"/>
      <c r="C829" s="5"/>
      <c r="D829" s="9"/>
      <c r="E829" s="9"/>
      <c r="F829" s="9"/>
      <c r="G829" s="9"/>
      <c r="H829" s="9"/>
      <c r="I829" s="9"/>
      <c r="J829" s="5"/>
      <c r="K829" s="4"/>
      <c r="L829" s="10"/>
      <c r="M829" s="10"/>
      <c r="N829" s="10"/>
      <c r="O829" s="10"/>
      <c r="P829" s="10"/>
      <c r="Q829" s="11"/>
      <c r="R829" s="9"/>
      <c r="S829" s="12"/>
      <c r="T829" s="5"/>
      <c r="U829" s="5"/>
      <c r="V829" s="4"/>
      <c r="W829" s="4"/>
      <c r="X829" s="4"/>
      <c r="Y829" s="4"/>
    </row>
    <row r="830">
      <c r="A830" s="5"/>
      <c r="B830" s="9"/>
      <c r="C830" s="5"/>
      <c r="D830" s="9"/>
      <c r="E830" s="9"/>
      <c r="F830" s="9"/>
      <c r="G830" s="9"/>
      <c r="H830" s="9"/>
      <c r="I830" s="9"/>
      <c r="J830" s="5"/>
      <c r="K830" s="4"/>
      <c r="L830" s="10"/>
      <c r="M830" s="10"/>
      <c r="N830" s="10"/>
      <c r="O830" s="10"/>
      <c r="P830" s="10"/>
      <c r="Q830" s="11"/>
      <c r="R830" s="9"/>
      <c r="S830" s="12"/>
      <c r="T830" s="5"/>
      <c r="U830" s="5"/>
      <c r="V830" s="4"/>
      <c r="W830" s="4"/>
      <c r="X830" s="4"/>
      <c r="Y830" s="4"/>
    </row>
    <row r="831">
      <c r="A831" s="5"/>
      <c r="B831" s="9"/>
      <c r="C831" s="5"/>
      <c r="D831" s="9"/>
      <c r="E831" s="9"/>
      <c r="F831" s="9"/>
      <c r="G831" s="9"/>
      <c r="H831" s="9"/>
      <c r="I831" s="9"/>
      <c r="J831" s="5"/>
      <c r="K831" s="4"/>
      <c r="L831" s="10"/>
      <c r="M831" s="10"/>
      <c r="N831" s="10"/>
      <c r="O831" s="10"/>
      <c r="P831" s="10"/>
      <c r="Q831" s="11"/>
      <c r="R831" s="9"/>
      <c r="S831" s="12"/>
      <c r="T831" s="5"/>
      <c r="U831" s="5"/>
      <c r="V831" s="4"/>
      <c r="W831" s="4"/>
      <c r="X831" s="4"/>
      <c r="Y831" s="4"/>
    </row>
    <row r="832">
      <c r="A832" s="5"/>
      <c r="B832" s="9"/>
      <c r="C832" s="5"/>
      <c r="D832" s="9"/>
      <c r="E832" s="9"/>
      <c r="F832" s="9"/>
      <c r="G832" s="9"/>
      <c r="H832" s="9"/>
      <c r="I832" s="9"/>
      <c r="J832" s="5"/>
      <c r="K832" s="4"/>
      <c r="L832" s="10"/>
      <c r="M832" s="10"/>
      <c r="N832" s="10"/>
      <c r="O832" s="10"/>
      <c r="P832" s="10"/>
      <c r="Q832" s="11"/>
      <c r="R832" s="9"/>
      <c r="S832" s="12"/>
      <c r="T832" s="5"/>
      <c r="U832" s="5"/>
      <c r="V832" s="4"/>
      <c r="W832" s="4"/>
      <c r="X832" s="4"/>
      <c r="Y832" s="4"/>
    </row>
    <row r="833">
      <c r="A833" s="5"/>
      <c r="B833" s="9"/>
      <c r="C833" s="5"/>
      <c r="D833" s="9"/>
      <c r="E833" s="9"/>
      <c r="F833" s="9"/>
      <c r="G833" s="9"/>
      <c r="H833" s="9"/>
      <c r="I833" s="9"/>
      <c r="J833" s="5"/>
      <c r="K833" s="4"/>
      <c r="L833" s="10"/>
      <c r="M833" s="10"/>
      <c r="N833" s="10"/>
      <c r="O833" s="10"/>
      <c r="P833" s="10"/>
      <c r="Q833" s="11"/>
      <c r="R833" s="9"/>
      <c r="S833" s="12"/>
      <c r="T833" s="5"/>
      <c r="U833" s="5"/>
      <c r="V833" s="4"/>
      <c r="W833" s="4"/>
      <c r="X833" s="4"/>
      <c r="Y833" s="4"/>
    </row>
    <row r="834">
      <c r="A834" s="5"/>
      <c r="B834" s="9"/>
      <c r="C834" s="5"/>
      <c r="D834" s="9"/>
      <c r="E834" s="9"/>
      <c r="F834" s="9"/>
      <c r="G834" s="9"/>
      <c r="H834" s="9"/>
      <c r="I834" s="9"/>
      <c r="J834" s="5"/>
      <c r="K834" s="4"/>
      <c r="L834" s="10"/>
      <c r="M834" s="10"/>
      <c r="N834" s="10"/>
      <c r="O834" s="10"/>
      <c r="P834" s="10"/>
      <c r="Q834" s="11"/>
      <c r="R834" s="9"/>
      <c r="S834" s="12"/>
      <c r="T834" s="5"/>
      <c r="U834" s="5"/>
      <c r="V834" s="4"/>
      <c r="W834" s="4"/>
      <c r="X834" s="4"/>
      <c r="Y834" s="4"/>
    </row>
    <row r="835">
      <c r="A835" s="5"/>
      <c r="B835" s="9"/>
      <c r="C835" s="5"/>
      <c r="D835" s="9"/>
      <c r="E835" s="9"/>
      <c r="F835" s="9"/>
      <c r="G835" s="9"/>
      <c r="H835" s="9"/>
      <c r="I835" s="9"/>
      <c r="J835" s="5"/>
      <c r="K835" s="4"/>
      <c r="L835" s="10"/>
      <c r="M835" s="10"/>
      <c r="N835" s="10"/>
      <c r="O835" s="10"/>
      <c r="P835" s="10"/>
      <c r="Q835" s="11"/>
      <c r="R835" s="9"/>
      <c r="S835" s="12"/>
      <c r="T835" s="5"/>
      <c r="U835" s="5"/>
      <c r="V835" s="4"/>
      <c r="W835" s="4"/>
      <c r="X835" s="4"/>
      <c r="Y835" s="4"/>
    </row>
    <row r="836">
      <c r="A836" s="5"/>
      <c r="B836" s="9"/>
      <c r="C836" s="5"/>
      <c r="D836" s="9"/>
      <c r="E836" s="9"/>
      <c r="F836" s="9"/>
      <c r="G836" s="9"/>
      <c r="H836" s="9"/>
      <c r="I836" s="9"/>
      <c r="J836" s="5"/>
      <c r="K836" s="4"/>
      <c r="L836" s="10"/>
      <c r="M836" s="10"/>
      <c r="N836" s="10"/>
      <c r="O836" s="10"/>
      <c r="P836" s="10"/>
      <c r="Q836" s="11"/>
      <c r="R836" s="9"/>
      <c r="S836" s="12"/>
      <c r="T836" s="5"/>
      <c r="U836" s="5"/>
      <c r="V836" s="4"/>
      <c r="W836" s="4"/>
      <c r="X836" s="4"/>
      <c r="Y836" s="4"/>
    </row>
    <row r="837">
      <c r="A837" s="5"/>
      <c r="B837" s="9"/>
      <c r="C837" s="5"/>
      <c r="D837" s="9"/>
      <c r="E837" s="9"/>
      <c r="F837" s="9"/>
      <c r="G837" s="9"/>
      <c r="H837" s="9"/>
      <c r="I837" s="9"/>
      <c r="J837" s="5"/>
      <c r="K837" s="4"/>
      <c r="L837" s="10"/>
      <c r="M837" s="10"/>
      <c r="N837" s="10"/>
      <c r="O837" s="10"/>
      <c r="P837" s="10"/>
      <c r="Q837" s="11"/>
      <c r="R837" s="9"/>
      <c r="S837" s="12"/>
      <c r="T837" s="5"/>
      <c r="U837" s="5"/>
      <c r="V837" s="4"/>
      <c r="W837" s="4"/>
      <c r="X837" s="4"/>
      <c r="Y837" s="4"/>
    </row>
    <row r="838">
      <c r="A838" s="5"/>
      <c r="B838" s="9"/>
      <c r="C838" s="5"/>
      <c r="D838" s="9"/>
      <c r="E838" s="9"/>
      <c r="F838" s="9"/>
      <c r="G838" s="9"/>
      <c r="H838" s="9"/>
      <c r="I838" s="9"/>
      <c r="J838" s="5"/>
      <c r="K838" s="4"/>
      <c r="L838" s="10"/>
      <c r="M838" s="10"/>
      <c r="N838" s="10"/>
      <c r="O838" s="10"/>
      <c r="P838" s="10"/>
      <c r="Q838" s="11"/>
      <c r="R838" s="9"/>
      <c r="S838" s="12"/>
      <c r="T838" s="5"/>
      <c r="U838" s="5"/>
      <c r="V838" s="4"/>
      <c r="W838" s="4"/>
      <c r="X838" s="4"/>
      <c r="Y838" s="4"/>
    </row>
    <row r="839">
      <c r="A839" s="5"/>
      <c r="B839" s="9"/>
      <c r="C839" s="5"/>
      <c r="D839" s="9"/>
      <c r="E839" s="9"/>
      <c r="F839" s="9"/>
      <c r="G839" s="9"/>
      <c r="H839" s="9"/>
      <c r="I839" s="9"/>
      <c r="J839" s="5"/>
      <c r="K839" s="4"/>
      <c r="L839" s="10"/>
      <c r="M839" s="10"/>
      <c r="N839" s="10"/>
      <c r="O839" s="10"/>
      <c r="P839" s="10"/>
      <c r="Q839" s="11"/>
      <c r="R839" s="9"/>
      <c r="S839" s="12"/>
      <c r="T839" s="5"/>
      <c r="U839" s="5"/>
      <c r="V839" s="4"/>
      <c r="W839" s="4"/>
      <c r="X839" s="4"/>
      <c r="Y839" s="4"/>
    </row>
    <row r="840">
      <c r="A840" s="5"/>
      <c r="B840" s="9"/>
      <c r="C840" s="5"/>
      <c r="D840" s="9"/>
      <c r="E840" s="9"/>
      <c r="F840" s="9"/>
      <c r="G840" s="9"/>
      <c r="H840" s="9"/>
      <c r="I840" s="9"/>
      <c r="J840" s="5"/>
      <c r="K840" s="4"/>
      <c r="L840" s="10"/>
      <c r="M840" s="10"/>
      <c r="N840" s="10"/>
      <c r="O840" s="10"/>
      <c r="P840" s="10"/>
      <c r="Q840" s="11"/>
      <c r="R840" s="9"/>
      <c r="S840" s="12"/>
      <c r="T840" s="5"/>
      <c r="U840" s="5"/>
      <c r="V840" s="4"/>
      <c r="W840" s="4"/>
      <c r="X840" s="4"/>
      <c r="Y840" s="4"/>
    </row>
    <row r="841">
      <c r="A841" s="5"/>
      <c r="B841" s="9"/>
      <c r="C841" s="5"/>
      <c r="D841" s="9"/>
      <c r="E841" s="9"/>
      <c r="F841" s="9"/>
      <c r="G841" s="9"/>
      <c r="H841" s="9"/>
      <c r="I841" s="9"/>
      <c r="J841" s="5"/>
      <c r="K841" s="4"/>
      <c r="L841" s="10"/>
      <c r="M841" s="10"/>
      <c r="N841" s="10"/>
      <c r="O841" s="10"/>
      <c r="P841" s="10"/>
      <c r="Q841" s="11"/>
      <c r="R841" s="9"/>
      <c r="S841" s="12"/>
      <c r="T841" s="5"/>
      <c r="U841" s="5"/>
      <c r="V841" s="4"/>
      <c r="W841" s="4"/>
      <c r="X841" s="4"/>
      <c r="Y841" s="4"/>
    </row>
    <row r="842">
      <c r="A842" s="5"/>
      <c r="B842" s="9"/>
      <c r="C842" s="5"/>
      <c r="D842" s="9"/>
      <c r="E842" s="9"/>
      <c r="F842" s="9"/>
      <c r="G842" s="9"/>
      <c r="H842" s="9"/>
      <c r="I842" s="9"/>
      <c r="J842" s="5"/>
      <c r="K842" s="4"/>
      <c r="L842" s="10"/>
      <c r="M842" s="10"/>
      <c r="N842" s="10"/>
      <c r="O842" s="10"/>
      <c r="P842" s="10"/>
      <c r="Q842" s="11"/>
      <c r="R842" s="9"/>
      <c r="S842" s="12"/>
      <c r="T842" s="5"/>
      <c r="U842" s="5"/>
      <c r="V842" s="4"/>
      <c r="W842" s="4"/>
      <c r="X842" s="4"/>
      <c r="Y842" s="4"/>
    </row>
    <row r="843">
      <c r="A843" s="5"/>
      <c r="B843" s="9"/>
      <c r="C843" s="5"/>
      <c r="D843" s="9"/>
      <c r="E843" s="9"/>
      <c r="F843" s="9"/>
      <c r="G843" s="9"/>
      <c r="H843" s="9"/>
      <c r="I843" s="9"/>
      <c r="J843" s="5"/>
      <c r="K843" s="4"/>
      <c r="L843" s="10"/>
      <c r="M843" s="10"/>
      <c r="N843" s="10"/>
      <c r="O843" s="10"/>
      <c r="P843" s="10"/>
      <c r="Q843" s="11"/>
      <c r="R843" s="9"/>
      <c r="S843" s="12"/>
      <c r="T843" s="5"/>
      <c r="U843" s="5"/>
      <c r="V843" s="4"/>
      <c r="W843" s="4"/>
      <c r="X843" s="4"/>
      <c r="Y843" s="4"/>
    </row>
    <row r="844">
      <c r="A844" s="5"/>
      <c r="B844" s="9"/>
      <c r="C844" s="5"/>
      <c r="D844" s="9"/>
      <c r="E844" s="9"/>
      <c r="F844" s="9"/>
      <c r="G844" s="9"/>
      <c r="H844" s="9"/>
      <c r="I844" s="9"/>
      <c r="J844" s="5"/>
      <c r="K844" s="4"/>
      <c r="L844" s="10"/>
      <c r="M844" s="10"/>
      <c r="N844" s="10"/>
      <c r="O844" s="10"/>
      <c r="P844" s="10"/>
      <c r="Q844" s="11"/>
      <c r="R844" s="9"/>
      <c r="S844" s="12"/>
      <c r="T844" s="5"/>
      <c r="U844" s="5"/>
      <c r="V844" s="4"/>
      <c r="W844" s="4"/>
      <c r="X844" s="4"/>
      <c r="Y844" s="4"/>
    </row>
    <row r="845">
      <c r="A845" s="5"/>
      <c r="B845" s="9"/>
      <c r="C845" s="5"/>
      <c r="D845" s="9"/>
      <c r="E845" s="9"/>
      <c r="F845" s="9"/>
      <c r="G845" s="9"/>
      <c r="H845" s="9"/>
      <c r="I845" s="9"/>
      <c r="J845" s="5"/>
      <c r="K845" s="4"/>
      <c r="L845" s="10"/>
      <c r="M845" s="10"/>
      <c r="N845" s="10"/>
      <c r="O845" s="10"/>
      <c r="P845" s="10"/>
      <c r="Q845" s="11"/>
      <c r="R845" s="9"/>
      <c r="S845" s="12"/>
      <c r="T845" s="5"/>
      <c r="U845" s="5"/>
      <c r="V845" s="4"/>
      <c r="W845" s="4"/>
      <c r="X845" s="4"/>
      <c r="Y845" s="4"/>
    </row>
    <row r="846">
      <c r="A846" s="5"/>
      <c r="B846" s="9"/>
      <c r="C846" s="5"/>
      <c r="D846" s="9"/>
      <c r="E846" s="9"/>
      <c r="F846" s="9"/>
      <c r="G846" s="9"/>
      <c r="H846" s="9"/>
      <c r="I846" s="9"/>
      <c r="J846" s="5"/>
      <c r="K846" s="4"/>
      <c r="L846" s="10"/>
      <c r="M846" s="10"/>
      <c r="N846" s="10"/>
      <c r="O846" s="10"/>
      <c r="P846" s="10"/>
      <c r="Q846" s="11"/>
      <c r="R846" s="9"/>
      <c r="S846" s="12"/>
      <c r="T846" s="5"/>
      <c r="U846" s="5"/>
      <c r="V846" s="4"/>
      <c r="W846" s="4"/>
      <c r="X846" s="4"/>
      <c r="Y846" s="4"/>
    </row>
    <row r="847">
      <c r="A847" s="5"/>
      <c r="B847" s="9"/>
      <c r="C847" s="5"/>
      <c r="D847" s="9"/>
      <c r="E847" s="9"/>
      <c r="F847" s="9"/>
      <c r="G847" s="9"/>
      <c r="H847" s="9"/>
      <c r="I847" s="9"/>
      <c r="J847" s="5"/>
      <c r="K847" s="4"/>
      <c r="L847" s="10"/>
      <c r="M847" s="10"/>
      <c r="N847" s="10"/>
      <c r="O847" s="10"/>
      <c r="P847" s="10"/>
      <c r="Q847" s="11"/>
      <c r="R847" s="9"/>
      <c r="S847" s="12"/>
      <c r="T847" s="5"/>
      <c r="U847" s="5"/>
      <c r="V847" s="4"/>
      <c r="W847" s="4"/>
      <c r="X847" s="4"/>
      <c r="Y847" s="4"/>
    </row>
    <row r="848">
      <c r="A848" s="5"/>
      <c r="B848" s="9"/>
      <c r="C848" s="5"/>
      <c r="D848" s="9"/>
      <c r="E848" s="9"/>
      <c r="F848" s="9"/>
      <c r="G848" s="9"/>
      <c r="H848" s="9"/>
      <c r="I848" s="9"/>
      <c r="J848" s="5"/>
      <c r="K848" s="4"/>
      <c r="L848" s="10"/>
      <c r="M848" s="10"/>
      <c r="N848" s="10"/>
      <c r="O848" s="10"/>
      <c r="P848" s="10"/>
      <c r="Q848" s="11"/>
      <c r="R848" s="9"/>
      <c r="S848" s="12"/>
      <c r="T848" s="5"/>
      <c r="U848" s="5"/>
      <c r="V848" s="4"/>
      <c r="W848" s="4"/>
      <c r="X848" s="4"/>
      <c r="Y848" s="4"/>
    </row>
    <row r="849">
      <c r="A849" s="5"/>
      <c r="B849" s="9"/>
      <c r="C849" s="5"/>
      <c r="D849" s="9"/>
      <c r="E849" s="9"/>
      <c r="F849" s="9"/>
      <c r="G849" s="9"/>
      <c r="H849" s="9"/>
      <c r="I849" s="9"/>
      <c r="J849" s="5"/>
      <c r="K849" s="4"/>
      <c r="L849" s="10"/>
      <c r="M849" s="10"/>
      <c r="N849" s="10"/>
      <c r="O849" s="10"/>
      <c r="P849" s="10"/>
      <c r="Q849" s="11"/>
      <c r="R849" s="9"/>
      <c r="S849" s="12"/>
      <c r="T849" s="5"/>
      <c r="U849" s="5"/>
      <c r="V849" s="4"/>
      <c r="W849" s="4"/>
      <c r="X849" s="4"/>
      <c r="Y849" s="4"/>
    </row>
    <row r="850">
      <c r="A850" s="5"/>
      <c r="B850" s="9"/>
      <c r="C850" s="5"/>
      <c r="D850" s="9"/>
      <c r="E850" s="9"/>
      <c r="F850" s="9"/>
      <c r="G850" s="9"/>
      <c r="H850" s="9"/>
      <c r="I850" s="9"/>
      <c r="J850" s="5"/>
      <c r="K850" s="4"/>
      <c r="L850" s="10"/>
      <c r="M850" s="10"/>
      <c r="N850" s="10"/>
      <c r="O850" s="10"/>
      <c r="P850" s="10"/>
      <c r="Q850" s="11"/>
      <c r="R850" s="9"/>
      <c r="S850" s="12"/>
      <c r="T850" s="5"/>
      <c r="U850" s="5"/>
      <c r="V850" s="4"/>
      <c r="W850" s="4"/>
      <c r="X850" s="4"/>
      <c r="Y850" s="4"/>
    </row>
    <row r="851">
      <c r="A851" s="5"/>
      <c r="B851" s="9"/>
      <c r="C851" s="5"/>
      <c r="D851" s="9"/>
      <c r="E851" s="9"/>
      <c r="F851" s="9"/>
      <c r="G851" s="9"/>
      <c r="H851" s="9"/>
      <c r="I851" s="9"/>
      <c r="J851" s="5"/>
      <c r="K851" s="4"/>
      <c r="L851" s="10"/>
      <c r="M851" s="10"/>
      <c r="N851" s="10"/>
      <c r="O851" s="10"/>
      <c r="P851" s="10"/>
      <c r="Q851" s="11"/>
      <c r="R851" s="9"/>
      <c r="S851" s="12"/>
      <c r="T851" s="5"/>
      <c r="U851" s="5"/>
      <c r="V851" s="4"/>
      <c r="W851" s="4"/>
      <c r="X851" s="4"/>
      <c r="Y851" s="4"/>
    </row>
    <row r="852">
      <c r="A852" s="5"/>
      <c r="B852" s="9"/>
      <c r="C852" s="5"/>
      <c r="D852" s="9"/>
      <c r="E852" s="9"/>
      <c r="F852" s="9"/>
      <c r="G852" s="9"/>
      <c r="H852" s="9"/>
      <c r="I852" s="9"/>
      <c r="J852" s="5"/>
      <c r="K852" s="4"/>
      <c r="L852" s="10"/>
      <c r="M852" s="10"/>
      <c r="N852" s="10"/>
      <c r="O852" s="10"/>
      <c r="P852" s="10"/>
      <c r="Q852" s="11"/>
      <c r="R852" s="9"/>
      <c r="S852" s="12"/>
      <c r="T852" s="5"/>
      <c r="U852" s="5"/>
      <c r="V852" s="4"/>
      <c r="W852" s="4"/>
      <c r="X852" s="4"/>
      <c r="Y852" s="4"/>
    </row>
    <row r="853">
      <c r="A853" s="5"/>
      <c r="B853" s="9"/>
      <c r="C853" s="5"/>
      <c r="D853" s="9"/>
      <c r="E853" s="9"/>
      <c r="F853" s="9"/>
      <c r="G853" s="9"/>
      <c r="H853" s="9"/>
      <c r="I853" s="9"/>
      <c r="J853" s="5"/>
      <c r="K853" s="4"/>
      <c r="L853" s="10"/>
      <c r="M853" s="10"/>
      <c r="N853" s="10"/>
      <c r="O853" s="10"/>
      <c r="P853" s="10"/>
      <c r="Q853" s="11"/>
      <c r="R853" s="9"/>
      <c r="S853" s="12"/>
      <c r="T853" s="5"/>
      <c r="U853" s="5"/>
      <c r="V853" s="4"/>
      <c r="W853" s="4"/>
      <c r="X853" s="4"/>
      <c r="Y853" s="4"/>
    </row>
    <row r="854">
      <c r="A854" s="5"/>
      <c r="B854" s="9"/>
      <c r="C854" s="5"/>
      <c r="D854" s="9"/>
      <c r="E854" s="9"/>
      <c r="F854" s="9"/>
      <c r="G854" s="9"/>
      <c r="H854" s="9"/>
      <c r="I854" s="9"/>
      <c r="J854" s="5"/>
      <c r="K854" s="4"/>
      <c r="L854" s="10"/>
      <c r="M854" s="10"/>
      <c r="N854" s="10"/>
      <c r="O854" s="10"/>
      <c r="P854" s="10"/>
      <c r="Q854" s="11"/>
      <c r="R854" s="9"/>
      <c r="S854" s="12"/>
      <c r="T854" s="5"/>
      <c r="U854" s="5"/>
      <c r="V854" s="4"/>
      <c r="W854" s="4"/>
      <c r="X854" s="4"/>
      <c r="Y854" s="4"/>
    </row>
    <row r="855">
      <c r="A855" s="5"/>
      <c r="B855" s="9"/>
      <c r="C855" s="5"/>
      <c r="D855" s="9"/>
      <c r="E855" s="9"/>
      <c r="F855" s="9"/>
      <c r="G855" s="9"/>
      <c r="H855" s="9"/>
      <c r="I855" s="9"/>
      <c r="J855" s="5"/>
      <c r="K855" s="4"/>
      <c r="L855" s="10"/>
      <c r="M855" s="10"/>
      <c r="N855" s="10"/>
      <c r="O855" s="10"/>
      <c r="P855" s="10"/>
      <c r="Q855" s="11"/>
      <c r="R855" s="9"/>
      <c r="S855" s="12"/>
      <c r="T855" s="5"/>
      <c r="U855" s="5"/>
      <c r="V855" s="4"/>
      <c r="W855" s="4"/>
      <c r="X855" s="4"/>
      <c r="Y855" s="4"/>
    </row>
    <row r="856">
      <c r="A856" s="5"/>
      <c r="B856" s="9"/>
      <c r="C856" s="5"/>
      <c r="D856" s="9"/>
      <c r="E856" s="9"/>
      <c r="F856" s="9"/>
      <c r="G856" s="9"/>
      <c r="H856" s="9"/>
      <c r="I856" s="9"/>
      <c r="J856" s="5"/>
      <c r="K856" s="4"/>
      <c r="L856" s="10"/>
      <c r="M856" s="10"/>
      <c r="N856" s="10"/>
      <c r="O856" s="10"/>
      <c r="P856" s="10"/>
      <c r="Q856" s="11"/>
      <c r="R856" s="9"/>
      <c r="S856" s="12"/>
      <c r="T856" s="5"/>
      <c r="U856" s="5"/>
      <c r="V856" s="4"/>
      <c r="W856" s="4"/>
      <c r="X856" s="4"/>
      <c r="Y856" s="4"/>
    </row>
    <row r="857">
      <c r="A857" s="5"/>
      <c r="B857" s="9"/>
      <c r="C857" s="5"/>
      <c r="D857" s="9"/>
      <c r="E857" s="9"/>
      <c r="F857" s="9"/>
      <c r="G857" s="9"/>
      <c r="H857" s="9"/>
      <c r="I857" s="9"/>
      <c r="J857" s="5"/>
      <c r="K857" s="4"/>
      <c r="L857" s="10"/>
      <c r="M857" s="10"/>
      <c r="N857" s="10"/>
      <c r="O857" s="10"/>
      <c r="P857" s="10"/>
      <c r="Q857" s="11"/>
      <c r="R857" s="9"/>
      <c r="S857" s="12"/>
      <c r="T857" s="5"/>
      <c r="U857" s="5"/>
      <c r="V857" s="4"/>
      <c r="W857" s="4"/>
      <c r="X857" s="4"/>
      <c r="Y857" s="4"/>
    </row>
    <row r="858">
      <c r="A858" s="5"/>
      <c r="B858" s="9"/>
      <c r="C858" s="5"/>
      <c r="D858" s="9"/>
      <c r="E858" s="9"/>
      <c r="F858" s="9"/>
      <c r="G858" s="9"/>
      <c r="H858" s="9"/>
      <c r="I858" s="9"/>
      <c r="J858" s="5"/>
      <c r="K858" s="4"/>
      <c r="L858" s="10"/>
      <c r="M858" s="10"/>
      <c r="N858" s="10"/>
      <c r="O858" s="10"/>
      <c r="P858" s="10"/>
      <c r="Q858" s="11"/>
      <c r="R858" s="9"/>
      <c r="S858" s="12"/>
      <c r="T858" s="5"/>
      <c r="U858" s="5"/>
      <c r="V858" s="4"/>
      <c r="W858" s="4"/>
      <c r="X858" s="4"/>
      <c r="Y858" s="4"/>
    </row>
    <row r="859">
      <c r="A859" s="5"/>
      <c r="B859" s="9"/>
      <c r="C859" s="5"/>
      <c r="D859" s="9"/>
      <c r="E859" s="9"/>
      <c r="F859" s="9"/>
      <c r="G859" s="9"/>
      <c r="H859" s="9"/>
      <c r="I859" s="9"/>
      <c r="J859" s="5"/>
      <c r="K859" s="4"/>
      <c r="L859" s="10"/>
      <c r="M859" s="10"/>
      <c r="N859" s="10"/>
      <c r="O859" s="10"/>
      <c r="P859" s="10"/>
      <c r="Q859" s="11"/>
      <c r="R859" s="9"/>
      <c r="S859" s="12"/>
      <c r="T859" s="5"/>
      <c r="U859" s="5"/>
      <c r="V859" s="4"/>
      <c r="W859" s="4"/>
      <c r="X859" s="4"/>
      <c r="Y859" s="4"/>
    </row>
    <row r="860">
      <c r="A860" s="5"/>
      <c r="B860" s="9"/>
      <c r="C860" s="5"/>
      <c r="D860" s="9"/>
      <c r="E860" s="9"/>
      <c r="F860" s="9"/>
      <c r="G860" s="9"/>
      <c r="H860" s="9"/>
      <c r="I860" s="9"/>
      <c r="J860" s="5"/>
      <c r="K860" s="4"/>
      <c r="L860" s="10"/>
      <c r="M860" s="10"/>
      <c r="N860" s="10"/>
      <c r="O860" s="10"/>
      <c r="P860" s="10"/>
      <c r="Q860" s="11"/>
      <c r="R860" s="9"/>
      <c r="S860" s="12"/>
      <c r="T860" s="5"/>
      <c r="U860" s="5"/>
      <c r="V860" s="4"/>
      <c r="W860" s="4"/>
      <c r="X860" s="4"/>
      <c r="Y860" s="4"/>
    </row>
    <row r="861">
      <c r="A861" s="5"/>
      <c r="B861" s="9"/>
      <c r="C861" s="5"/>
      <c r="D861" s="9"/>
      <c r="E861" s="9"/>
      <c r="F861" s="9"/>
      <c r="G861" s="9"/>
      <c r="H861" s="9"/>
      <c r="I861" s="9"/>
      <c r="J861" s="5"/>
      <c r="K861" s="4"/>
      <c r="L861" s="10"/>
      <c r="M861" s="10"/>
      <c r="N861" s="10"/>
      <c r="O861" s="10"/>
      <c r="P861" s="10"/>
      <c r="Q861" s="11"/>
      <c r="R861" s="9"/>
      <c r="S861" s="12"/>
      <c r="T861" s="5"/>
      <c r="U861" s="5"/>
      <c r="V861" s="4"/>
      <c r="W861" s="4"/>
      <c r="X861" s="4"/>
      <c r="Y861" s="4"/>
    </row>
    <row r="862">
      <c r="A862" s="5"/>
      <c r="B862" s="9"/>
      <c r="C862" s="5"/>
      <c r="D862" s="9"/>
      <c r="E862" s="9"/>
      <c r="F862" s="9"/>
      <c r="G862" s="9"/>
      <c r="H862" s="9"/>
      <c r="I862" s="9"/>
      <c r="J862" s="5"/>
      <c r="K862" s="4"/>
      <c r="L862" s="10"/>
      <c r="M862" s="10"/>
      <c r="N862" s="10"/>
      <c r="O862" s="10"/>
      <c r="P862" s="10"/>
      <c r="Q862" s="11"/>
      <c r="R862" s="9"/>
      <c r="S862" s="12"/>
      <c r="T862" s="5"/>
      <c r="U862" s="5"/>
      <c r="V862" s="4"/>
      <c r="W862" s="4"/>
      <c r="X862" s="4"/>
      <c r="Y862" s="4"/>
    </row>
    <row r="863">
      <c r="A863" s="5"/>
      <c r="B863" s="9"/>
      <c r="C863" s="5"/>
      <c r="D863" s="9"/>
      <c r="E863" s="9"/>
      <c r="F863" s="9"/>
      <c r="G863" s="9"/>
      <c r="H863" s="9"/>
      <c r="I863" s="9"/>
      <c r="J863" s="5"/>
      <c r="K863" s="4"/>
      <c r="L863" s="10"/>
      <c r="M863" s="10"/>
      <c r="N863" s="10"/>
      <c r="O863" s="10"/>
      <c r="P863" s="10"/>
      <c r="Q863" s="11"/>
      <c r="R863" s="9"/>
      <c r="S863" s="12"/>
      <c r="T863" s="5"/>
      <c r="U863" s="5"/>
      <c r="V863" s="4"/>
      <c r="W863" s="4"/>
      <c r="X863" s="4"/>
      <c r="Y863" s="4"/>
    </row>
    <row r="864">
      <c r="A864" s="5"/>
      <c r="B864" s="9"/>
      <c r="C864" s="5"/>
      <c r="D864" s="9"/>
      <c r="E864" s="9"/>
      <c r="F864" s="9"/>
      <c r="G864" s="9"/>
      <c r="H864" s="9"/>
      <c r="I864" s="9"/>
      <c r="J864" s="5"/>
      <c r="K864" s="4"/>
      <c r="L864" s="10"/>
      <c r="M864" s="10"/>
      <c r="N864" s="10"/>
      <c r="O864" s="10"/>
      <c r="P864" s="10"/>
      <c r="Q864" s="11"/>
      <c r="R864" s="9"/>
      <c r="S864" s="12"/>
      <c r="T864" s="5"/>
      <c r="U864" s="5"/>
      <c r="V864" s="4"/>
      <c r="W864" s="4"/>
      <c r="X864" s="4"/>
      <c r="Y864" s="4"/>
    </row>
    <row r="865">
      <c r="A865" s="5"/>
      <c r="B865" s="9"/>
      <c r="C865" s="5"/>
      <c r="D865" s="9"/>
      <c r="E865" s="9"/>
      <c r="F865" s="9"/>
      <c r="G865" s="9"/>
      <c r="H865" s="9"/>
      <c r="I865" s="9"/>
      <c r="J865" s="5"/>
      <c r="K865" s="4"/>
      <c r="L865" s="10"/>
      <c r="M865" s="10"/>
      <c r="N865" s="10"/>
      <c r="O865" s="10"/>
      <c r="P865" s="10"/>
      <c r="Q865" s="11"/>
      <c r="R865" s="9"/>
      <c r="S865" s="12"/>
      <c r="T865" s="5"/>
      <c r="U865" s="5"/>
      <c r="V865" s="4"/>
      <c r="W865" s="4"/>
      <c r="X865" s="4"/>
      <c r="Y865" s="4"/>
    </row>
    <row r="866">
      <c r="A866" s="5"/>
      <c r="B866" s="9"/>
      <c r="C866" s="5"/>
      <c r="D866" s="9"/>
      <c r="E866" s="9"/>
      <c r="F866" s="9"/>
      <c r="G866" s="9"/>
      <c r="H866" s="9"/>
      <c r="I866" s="9"/>
      <c r="J866" s="5"/>
      <c r="K866" s="4"/>
      <c r="L866" s="10"/>
      <c r="M866" s="10"/>
      <c r="N866" s="10"/>
      <c r="O866" s="10"/>
      <c r="P866" s="10"/>
      <c r="Q866" s="11"/>
      <c r="R866" s="9"/>
      <c r="S866" s="12"/>
      <c r="T866" s="5"/>
      <c r="U866" s="5"/>
      <c r="V866" s="4"/>
      <c r="W866" s="4"/>
      <c r="X866" s="4"/>
      <c r="Y866" s="4"/>
    </row>
    <row r="867">
      <c r="A867" s="5"/>
      <c r="B867" s="9"/>
      <c r="C867" s="5"/>
      <c r="D867" s="9"/>
      <c r="E867" s="9"/>
      <c r="F867" s="9"/>
      <c r="G867" s="9"/>
      <c r="H867" s="9"/>
      <c r="I867" s="9"/>
      <c r="J867" s="5"/>
      <c r="K867" s="4"/>
      <c r="L867" s="10"/>
      <c r="M867" s="10"/>
      <c r="N867" s="10"/>
      <c r="O867" s="10"/>
      <c r="P867" s="10"/>
      <c r="Q867" s="11"/>
      <c r="R867" s="9"/>
      <c r="S867" s="12"/>
      <c r="T867" s="5"/>
      <c r="U867" s="5"/>
      <c r="V867" s="4"/>
      <c r="W867" s="4"/>
      <c r="X867" s="4"/>
      <c r="Y867" s="4"/>
    </row>
    <row r="868">
      <c r="A868" s="5"/>
      <c r="B868" s="9"/>
      <c r="C868" s="5"/>
      <c r="D868" s="9"/>
      <c r="E868" s="9"/>
      <c r="F868" s="9"/>
      <c r="G868" s="9"/>
      <c r="H868" s="9"/>
      <c r="I868" s="9"/>
      <c r="J868" s="5"/>
      <c r="K868" s="4"/>
      <c r="L868" s="10"/>
      <c r="M868" s="10"/>
      <c r="N868" s="10"/>
      <c r="O868" s="10"/>
      <c r="P868" s="10"/>
      <c r="Q868" s="11"/>
      <c r="R868" s="9"/>
      <c r="S868" s="12"/>
      <c r="T868" s="5"/>
      <c r="U868" s="5"/>
      <c r="V868" s="4"/>
      <c r="W868" s="4"/>
      <c r="X868" s="4"/>
      <c r="Y868" s="4"/>
    </row>
    <row r="869">
      <c r="A869" s="5"/>
      <c r="B869" s="9"/>
      <c r="C869" s="5"/>
      <c r="D869" s="9"/>
      <c r="E869" s="9"/>
      <c r="F869" s="9"/>
      <c r="G869" s="9"/>
      <c r="H869" s="9"/>
      <c r="I869" s="9"/>
      <c r="J869" s="5"/>
      <c r="K869" s="4"/>
      <c r="L869" s="10"/>
      <c r="M869" s="10"/>
      <c r="N869" s="10"/>
      <c r="O869" s="10"/>
      <c r="P869" s="10"/>
      <c r="Q869" s="11"/>
      <c r="R869" s="9"/>
      <c r="S869" s="12"/>
      <c r="T869" s="5"/>
      <c r="U869" s="5"/>
      <c r="V869" s="4"/>
      <c r="W869" s="4"/>
      <c r="X869" s="4"/>
      <c r="Y869" s="4"/>
    </row>
    <row r="870">
      <c r="A870" s="5"/>
      <c r="B870" s="9"/>
      <c r="C870" s="5"/>
      <c r="D870" s="9"/>
      <c r="E870" s="9"/>
      <c r="F870" s="9"/>
      <c r="G870" s="9"/>
      <c r="H870" s="9"/>
      <c r="I870" s="9"/>
      <c r="J870" s="5"/>
      <c r="K870" s="4"/>
      <c r="L870" s="10"/>
      <c r="M870" s="10"/>
      <c r="N870" s="10"/>
      <c r="O870" s="10"/>
      <c r="P870" s="10"/>
      <c r="Q870" s="11"/>
      <c r="R870" s="9"/>
      <c r="S870" s="12"/>
      <c r="T870" s="5"/>
      <c r="U870" s="5"/>
      <c r="V870" s="4"/>
      <c r="W870" s="4"/>
      <c r="X870" s="4"/>
      <c r="Y870" s="4"/>
    </row>
    <row r="871">
      <c r="A871" s="5"/>
      <c r="B871" s="9"/>
      <c r="C871" s="5"/>
      <c r="D871" s="9"/>
      <c r="E871" s="9"/>
      <c r="F871" s="9"/>
      <c r="G871" s="9"/>
      <c r="H871" s="9"/>
      <c r="I871" s="9"/>
      <c r="J871" s="5"/>
      <c r="K871" s="4"/>
      <c r="L871" s="10"/>
      <c r="M871" s="10"/>
      <c r="N871" s="10"/>
      <c r="O871" s="10"/>
      <c r="P871" s="10"/>
      <c r="Q871" s="11"/>
      <c r="R871" s="9"/>
      <c r="S871" s="12"/>
      <c r="T871" s="5"/>
      <c r="U871" s="5"/>
      <c r="V871" s="4"/>
      <c r="W871" s="4"/>
      <c r="X871" s="4"/>
      <c r="Y871" s="4"/>
    </row>
    <row r="872">
      <c r="A872" s="5"/>
      <c r="B872" s="9"/>
      <c r="C872" s="5"/>
      <c r="D872" s="9"/>
      <c r="E872" s="9"/>
      <c r="F872" s="9"/>
      <c r="G872" s="9"/>
      <c r="H872" s="9"/>
      <c r="I872" s="9"/>
      <c r="J872" s="5"/>
      <c r="K872" s="4"/>
      <c r="L872" s="10"/>
      <c r="M872" s="10"/>
      <c r="N872" s="10"/>
      <c r="O872" s="10"/>
      <c r="P872" s="10"/>
      <c r="Q872" s="11"/>
      <c r="R872" s="9"/>
      <c r="S872" s="12"/>
      <c r="T872" s="5"/>
      <c r="U872" s="5"/>
      <c r="V872" s="4"/>
      <c r="W872" s="4"/>
      <c r="X872" s="4"/>
      <c r="Y872" s="4"/>
    </row>
    <row r="873">
      <c r="A873" s="5"/>
      <c r="B873" s="9"/>
      <c r="C873" s="5"/>
      <c r="D873" s="9"/>
      <c r="E873" s="9"/>
      <c r="F873" s="9"/>
      <c r="G873" s="9"/>
      <c r="H873" s="9"/>
      <c r="I873" s="9"/>
      <c r="J873" s="5"/>
      <c r="K873" s="4"/>
      <c r="L873" s="10"/>
      <c r="M873" s="10"/>
      <c r="N873" s="10"/>
      <c r="O873" s="10"/>
      <c r="P873" s="10"/>
      <c r="Q873" s="11"/>
      <c r="R873" s="9"/>
      <c r="S873" s="12"/>
      <c r="T873" s="5"/>
      <c r="U873" s="5"/>
      <c r="V873" s="4"/>
      <c r="W873" s="4"/>
      <c r="X873" s="4"/>
      <c r="Y873" s="4"/>
    </row>
    <row r="874">
      <c r="A874" s="5"/>
      <c r="B874" s="9"/>
      <c r="C874" s="5"/>
      <c r="D874" s="9"/>
      <c r="E874" s="9"/>
      <c r="F874" s="9"/>
      <c r="G874" s="9"/>
      <c r="H874" s="9"/>
      <c r="I874" s="9"/>
      <c r="J874" s="5"/>
      <c r="K874" s="4"/>
      <c r="L874" s="10"/>
      <c r="M874" s="10"/>
      <c r="N874" s="10"/>
      <c r="O874" s="10"/>
      <c r="P874" s="10"/>
      <c r="Q874" s="11"/>
      <c r="R874" s="9"/>
      <c r="S874" s="12"/>
      <c r="T874" s="5"/>
      <c r="U874" s="5"/>
      <c r="V874" s="4"/>
      <c r="W874" s="4"/>
      <c r="X874" s="4"/>
      <c r="Y874" s="4"/>
    </row>
    <row r="875">
      <c r="A875" s="5"/>
      <c r="B875" s="9"/>
      <c r="C875" s="5"/>
      <c r="D875" s="9"/>
      <c r="E875" s="9"/>
      <c r="F875" s="9"/>
      <c r="G875" s="9"/>
      <c r="H875" s="9"/>
      <c r="I875" s="9"/>
      <c r="J875" s="5"/>
      <c r="K875" s="4"/>
      <c r="L875" s="10"/>
      <c r="M875" s="10"/>
      <c r="N875" s="10"/>
      <c r="O875" s="10"/>
      <c r="P875" s="10"/>
      <c r="Q875" s="11"/>
      <c r="R875" s="9"/>
      <c r="S875" s="12"/>
      <c r="T875" s="5"/>
      <c r="U875" s="5"/>
      <c r="V875" s="4"/>
      <c r="W875" s="4"/>
      <c r="X875" s="4"/>
      <c r="Y875" s="4"/>
    </row>
    <row r="876">
      <c r="A876" s="5"/>
      <c r="B876" s="9"/>
      <c r="C876" s="5"/>
      <c r="D876" s="9"/>
      <c r="E876" s="9"/>
      <c r="F876" s="9"/>
      <c r="G876" s="9"/>
      <c r="H876" s="9"/>
      <c r="I876" s="9"/>
      <c r="J876" s="5"/>
      <c r="K876" s="4"/>
      <c r="L876" s="10"/>
      <c r="M876" s="10"/>
      <c r="N876" s="10"/>
      <c r="O876" s="10"/>
      <c r="P876" s="10"/>
      <c r="Q876" s="11"/>
      <c r="R876" s="9"/>
      <c r="S876" s="12"/>
      <c r="T876" s="5"/>
      <c r="U876" s="5"/>
      <c r="V876" s="4"/>
      <c r="W876" s="4"/>
      <c r="X876" s="4"/>
      <c r="Y876" s="4"/>
    </row>
    <row r="877">
      <c r="A877" s="5"/>
      <c r="B877" s="9"/>
      <c r="C877" s="5"/>
      <c r="D877" s="9"/>
      <c r="E877" s="9"/>
      <c r="F877" s="9"/>
      <c r="G877" s="9"/>
      <c r="H877" s="9"/>
      <c r="I877" s="9"/>
      <c r="J877" s="5"/>
      <c r="K877" s="4"/>
      <c r="L877" s="10"/>
      <c r="M877" s="10"/>
      <c r="N877" s="10"/>
      <c r="O877" s="10"/>
      <c r="P877" s="10"/>
      <c r="Q877" s="11"/>
      <c r="R877" s="9"/>
      <c r="S877" s="12"/>
      <c r="T877" s="5"/>
      <c r="U877" s="5"/>
      <c r="V877" s="4"/>
      <c r="W877" s="4"/>
      <c r="X877" s="4"/>
      <c r="Y877" s="4"/>
    </row>
    <row r="878">
      <c r="A878" s="5"/>
      <c r="B878" s="9"/>
      <c r="C878" s="5"/>
      <c r="D878" s="9"/>
      <c r="E878" s="9"/>
      <c r="F878" s="9"/>
      <c r="G878" s="9"/>
      <c r="H878" s="9"/>
      <c r="I878" s="9"/>
      <c r="J878" s="5"/>
      <c r="K878" s="4"/>
      <c r="L878" s="10"/>
      <c r="M878" s="10"/>
      <c r="N878" s="10"/>
      <c r="O878" s="10"/>
      <c r="P878" s="10"/>
      <c r="Q878" s="11"/>
      <c r="R878" s="9"/>
      <c r="S878" s="12"/>
      <c r="T878" s="5"/>
      <c r="U878" s="5"/>
      <c r="V878" s="4"/>
      <c r="W878" s="4"/>
      <c r="X878" s="4"/>
      <c r="Y878" s="4"/>
    </row>
    <row r="879">
      <c r="A879" s="5"/>
      <c r="B879" s="9"/>
      <c r="C879" s="5"/>
      <c r="D879" s="9"/>
      <c r="E879" s="9"/>
      <c r="F879" s="9"/>
      <c r="G879" s="9"/>
      <c r="H879" s="9"/>
      <c r="I879" s="9"/>
      <c r="J879" s="5"/>
      <c r="K879" s="4"/>
      <c r="L879" s="10"/>
      <c r="M879" s="10"/>
      <c r="N879" s="10"/>
      <c r="O879" s="10"/>
      <c r="P879" s="10"/>
      <c r="Q879" s="11"/>
      <c r="R879" s="9"/>
      <c r="S879" s="12"/>
      <c r="T879" s="5"/>
      <c r="U879" s="5"/>
      <c r="V879" s="4"/>
      <c r="W879" s="4"/>
      <c r="X879" s="4"/>
      <c r="Y879" s="4"/>
    </row>
    <row r="880">
      <c r="A880" s="5"/>
      <c r="B880" s="9"/>
      <c r="C880" s="5"/>
      <c r="D880" s="9"/>
      <c r="E880" s="9"/>
      <c r="F880" s="9"/>
      <c r="G880" s="9"/>
      <c r="H880" s="9"/>
      <c r="I880" s="9"/>
      <c r="J880" s="5"/>
      <c r="K880" s="4"/>
      <c r="L880" s="10"/>
      <c r="M880" s="10"/>
      <c r="N880" s="10"/>
      <c r="O880" s="10"/>
      <c r="P880" s="10"/>
      <c r="Q880" s="11"/>
      <c r="R880" s="9"/>
      <c r="S880" s="12"/>
      <c r="T880" s="5"/>
      <c r="U880" s="5"/>
      <c r="V880" s="4"/>
      <c r="W880" s="4"/>
      <c r="X880" s="4"/>
      <c r="Y880" s="4"/>
    </row>
    <row r="881">
      <c r="A881" s="5"/>
      <c r="B881" s="9"/>
      <c r="C881" s="5"/>
      <c r="D881" s="9"/>
      <c r="E881" s="9"/>
      <c r="F881" s="9"/>
      <c r="G881" s="9"/>
      <c r="H881" s="9"/>
      <c r="I881" s="9"/>
      <c r="J881" s="5"/>
      <c r="K881" s="4"/>
      <c r="L881" s="10"/>
      <c r="M881" s="10"/>
      <c r="N881" s="10"/>
      <c r="O881" s="10"/>
      <c r="P881" s="10"/>
      <c r="Q881" s="11"/>
      <c r="R881" s="9"/>
      <c r="S881" s="12"/>
      <c r="T881" s="5"/>
      <c r="U881" s="5"/>
      <c r="V881" s="4"/>
      <c r="W881" s="4"/>
      <c r="X881" s="4"/>
      <c r="Y881" s="4"/>
    </row>
    <row r="882">
      <c r="A882" s="5"/>
      <c r="B882" s="9"/>
      <c r="C882" s="5"/>
      <c r="D882" s="9"/>
      <c r="E882" s="9"/>
      <c r="F882" s="9"/>
      <c r="G882" s="9"/>
      <c r="H882" s="9"/>
      <c r="I882" s="9"/>
      <c r="J882" s="5"/>
      <c r="K882" s="4"/>
      <c r="L882" s="10"/>
      <c r="M882" s="10"/>
      <c r="N882" s="10"/>
      <c r="O882" s="10"/>
      <c r="P882" s="10"/>
      <c r="Q882" s="11"/>
      <c r="R882" s="9"/>
      <c r="S882" s="12"/>
      <c r="T882" s="5"/>
      <c r="U882" s="5"/>
      <c r="V882" s="4"/>
      <c r="W882" s="4"/>
      <c r="X882" s="4"/>
      <c r="Y882" s="4"/>
    </row>
    <row r="883">
      <c r="A883" s="5"/>
      <c r="B883" s="9"/>
      <c r="C883" s="5"/>
      <c r="D883" s="9"/>
      <c r="E883" s="9"/>
      <c r="F883" s="9"/>
      <c r="G883" s="9"/>
      <c r="H883" s="9"/>
      <c r="I883" s="9"/>
      <c r="J883" s="5"/>
      <c r="K883" s="4"/>
      <c r="L883" s="10"/>
      <c r="M883" s="10"/>
      <c r="N883" s="10"/>
      <c r="O883" s="10"/>
      <c r="P883" s="10"/>
      <c r="Q883" s="11"/>
      <c r="R883" s="9"/>
      <c r="S883" s="12"/>
      <c r="T883" s="5"/>
      <c r="U883" s="5"/>
      <c r="V883" s="4"/>
      <c r="W883" s="4"/>
      <c r="X883" s="4"/>
      <c r="Y883" s="4"/>
    </row>
    <row r="884">
      <c r="A884" s="5"/>
      <c r="B884" s="9"/>
      <c r="C884" s="5"/>
      <c r="D884" s="9"/>
      <c r="E884" s="9"/>
      <c r="F884" s="9"/>
      <c r="G884" s="9"/>
      <c r="H884" s="9"/>
      <c r="I884" s="9"/>
      <c r="J884" s="5"/>
      <c r="K884" s="4"/>
      <c r="L884" s="10"/>
      <c r="M884" s="10"/>
      <c r="N884" s="10"/>
      <c r="O884" s="10"/>
      <c r="P884" s="10"/>
      <c r="Q884" s="11"/>
      <c r="R884" s="9"/>
      <c r="S884" s="12"/>
      <c r="T884" s="5"/>
      <c r="U884" s="5"/>
      <c r="V884" s="4"/>
      <c r="W884" s="4"/>
      <c r="X884" s="4"/>
      <c r="Y884" s="4"/>
    </row>
    <row r="885">
      <c r="A885" s="5"/>
      <c r="B885" s="9"/>
      <c r="C885" s="5"/>
      <c r="D885" s="9"/>
      <c r="E885" s="9"/>
      <c r="F885" s="9"/>
      <c r="G885" s="9"/>
      <c r="H885" s="9"/>
      <c r="I885" s="9"/>
      <c r="J885" s="5"/>
      <c r="K885" s="4"/>
      <c r="L885" s="10"/>
      <c r="M885" s="10"/>
      <c r="N885" s="10"/>
      <c r="O885" s="10"/>
      <c r="P885" s="10"/>
      <c r="Q885" s="11"/>
      <c r="R885" s="9"/>
      <c r="S885" s="12"/>
      <c r="T885" s="5"/>
      <c r="U885" s="5"/>
      <c r="V885" s="4"/>
      <c r="W885" s="4"/>
      <c r="X885" s="4"/>
      <c r="Y885" s="4"/>
    </row>
    <row r="886">
      <c r="A886" s="5"/>
      <c r="B886" s="9"/>
      <c r="C886" s="5"/>
      <c r="D886" s="9"/>
      <c r="E886" s="9"/>
      <c r="F886" s="9"/>
      <c r="G886" s="9"/>
      <c r="H886" s="9"/>
      <c r="I886" s="9"/>
      <c r="J886" s="5"/>
      <c r="K886" s="4"/>
      <c r="L886" s="10"/>
      <c r="M886" s="10"/>
      <c r="N886" s="10"/>
      <c r="O886" s="10"/>
      <c r="P886" s="10"/>
      <c r="Q886" s="11"/>
      <c r="R886" s="9"/>
      <c r="S886" s="12"/>
      <c r="T886" s="5"/>
      <c r="U886" s="5"/>
      <c r="V886" s="4"/>
      <c r="W886" s="4"/>
      <c r="X886" s="4"/>
      <c r="Y886" s="4"/>
    </row>
    <row r="887">
      <c r="A887" s="5"/>
      <c r="B887" s="9"/>
      <c r="C887" s="5"/>
      <c r="D887" s="9"/>
      <c r="E887" s="9"/>
      <c r="F887" s="9"/>
      <c r="G887" s="9"/>
      <c r="H887" s="9"/>
      <c r="I887" s="9"/>
      <c r="J887" s="5"/>
      <c r="K887" s="4"/>
      <c r="L887" s="10"/>
      <c r="M887" s="10"/>
      <c r="N887" s="10"/>
      <c r="O887" s="10"/>
      <c r="P887" s="10"/>
      <c r="Q887" s="11"/>
      <c r="R887" s="9"/>
      <c r="S887" s="12"/>
      <c r="T887" s="5"/>
      <c r="U887" s="5"/>
      <c r="V887" s="4"/>
      <c r="W887" s="4"/>
      <c r="X887" s="4"/>
      <c r="Y887" s="4"/>
    </row>
    <row r="888">
      <c r="A888" s="5"/>
      <c r="B888" s="9"/>
      <c r="C888" s="5"/>
      <c r="D888" s="9"/>
      <c r="E888" s="9"/>
      <c r="F888" s="9"/>
      <c r="G888" s="9"/>
      <c r="H888" s="9"/>
      <c r="I888" s="9"/>
      <c r="J888" s="5"/>
      <c r="K888" s="4"/>
      <c r="L888" s="10"/>
      <c r="M888" s="10"/>
      <c r="N888" s="10"/>
      <c r="O888" s="10"/>
      <c r="P888" s="10"/>
      <c r="Q888" s="11"/>
      <c r="R888" s="9"/>
      <c r="S888" s="12"/>
      <c r="T888" s="5"/>
      <c r="U888" s="5"/>
      <c r="V888" s="4"/>
      <c r="W888" s="4"/>
      <c r="X888" s="4"/>
      <c r="Y888" s="4"/>
    </row>
    <row r="889">
      <c r="A889" s="5"/>
      <c r="B889" s="9"/>
      <c r="C889" s="5"/>
      <c r="D889" s="9"/>
      <c r="E889" s="9"/>
      <c r="F889" s="9"/>
      <c r="G889" s="9"/>
      <c r="H889" s="9"/>
      <c r="I889" s="9"/>
      <c r="J889" s="5"/>
      <c r="K889" s="4"/>
      <c r="L889" s="10"/>
      <c r="M889" s="10"/>
      <c r="N889" s="10"/>
      <c r="O889" s="10"/>
      <c r="P889" s="10"/>
      <c r="Q889" s="11"/>
      <c r="R889" s="9"/>
      <c r="S889" s="12"/>
      <c r="T889" s="5"/>
      <c r="U889" s="5"/>
      <c r="V889" s="4"/>
      <c r="W889" s="4"/>
      <c r="X889" s="4"/>
      <c r="Y889" s="4"/>
    </row>
    <row r="890">
      <c r="A890" s="5"/>
      <c r="B890" s="9"/>
      <c r="C890" s="5"/>
      <c r="D890" s="9"/>
      <c r="E890" s="9"/>
      <c r="F890" s="9"/>
      <c r="G890" s="9"/>
      <c r="H890" s="9"/>
      <c r="I890" s="9"/>
      <c r="J890" s="5"/>
      <c r="K890" s="4"/>
      <c r="L890" s="10"/>
      <c r="M890" s="10"/>
      <c r="N890" s="10"/>
      <c r="O890" s="10"/>
      <c r="P890" s="10"/>
      <c r="Q890" s="11"/>
      <c r="R890" s="9"/>
      <c r="S890" s="12"/>
      <c r="T890" s="5"/>
      <c r="U890" s="5"/>
      <c r="V890" s="4"/>
      <c r="W890" s="4"/>
      <c r="X890" s="4"/>
      <c r="Y890" s="4"/>
    </row>
    <row r="891">
      <c r="A891" s="5"/>
      <c r="B891" s="9"/>
      <c r="C891" s="5"/>
      <c r="D891" s="9"/>
      <c r="E891" s="9"/>
      <c r="F891" s="9"/>
      <c r="G891" s="9"/>
      <c r="H891" s="9"/>
      <c r="I891" s="9"/>
      <c r="J891" s="5"/>
      <c r="K891" s="4"/>
      <c r="L891" s="10"/>
      <c r="M891" s="10"/>
      <c r="N891" s="10"/>
      <c r="O891" s="10"/>
      <c r="P891" s="10"/>
      <c r="Q891" s="11"/>
      <c r="R891" s="9"/>
      <c r="S891" s="12"/>
      <c r="T891" s="5"/>
      <c r="U891" s="5"/>
      <c r="V891" s="4"/>
      <c r="W891" s="4"/>
      <c r="X891" s="4"/>
      <c r="Y891" s="4"/>
    </row>
    <row r="892">
      <c r="A892" s="5"/>
      <c r="B892" s="9"/>
      <c r="C892" s="5"/>
      <c r="D892" s="9"/>
      <c r="E892" s="9"/>
      <c r="F892" s="9"/>
      <c r="G892" s="9"/>
      <c r="H892" s="9"/>
      <c r="I892" s="9"/>
      <c r="J892" s="5"/>
      <c r="K892" s="4"/>
      <c r="L892" s="10"/>
      <c r="M892" s="10"/>
      <c r="N892" s="10"/>
      <c r="O892" s="10"/>
      <c r="P892" s="10"/>
      <c r="Q892" s="11"/>
      <c r="R892" s="9"/>
      <c r="S892" s="12"/>
      <c r="T892" s="5"/>
      <c r="U892" s="5"/>
      <c r="V892" s="4"/>
      <c r="W892" s="4"/>
      <c r="X892" s="4"/>
      <c r="Y892" s="4"/>
    </row>
    <row r="893">
      <c r="A893" s="5"/>
      <c r="B893" s="9"/>
      <c r="C893" s="5"/>
      <c r="D893" s="9"/>
      <c r="E893" s="9"/>
      <c r="F893" s="9"/>
      <c r="G893" s="9"/>
      <c r="H893" s="9"/>
      <c r="I893" s="9"/>
      <c r="J893" s="5"/>
      <c r="K893" s="4"/>
      <c r="L893" s="10"/>
      <c r="M893" s="10"/>
      <c r="N893" s="10"/>
      <c r="O893" s="10"/>
      <c r="P893" s="10"/>
      <c r="Q893" s="11"/>
      <c r="R893" s="9"/>
      <c r="S893" s="12"/>
      <c r="T893" s="5"/>
      <c r="U893" s="5"/>
      <c r="V893" s="4"/>
      <c r="W893" s="4"/>
      <c r="X893" s="4"/>
      <c r="Y893" s="4"/>
    </row>
    <row r="894">
      <c r="A894" s="5"/>
      <c r="B894" s="9"/>
      <c r="C894" s="5"/>
      <c r="D894" s="9"/>
      <c r="E894" s="9"/>
      <c r="F894" s="9"/>
      <c r="G894" s="9"/>
      <c r="H894" s="9"/>
      <c r="I894" s="9"/>
      <c r="J894" s="5"/>
      <c r="K894" s="4"/>
      <c r="L894" s="10"/>
      <c r="M894" s="10"/>
      <c r="N894" s="10"/>
      <c r="O894" s="10"/>
      <c r="P894" s="10"/>
      <c r="Q894" s="11"/>
      <c r="R894" s="9"/>
      <c r="S894" s="12"/>
      <c r="T894" s="5"/>
      <c r="U894" s="5"/>
      <c r="V894" s="4"/>
      <c r="W894" s="4"/>
      <c r="X894" s="4"/>
      <c r="Y894" s="4"/>
    </row>
    <row r="895">
      <c r="A895" s="5"/>
      <c r="B895" s="9"/>
      <c r="C895" s="5"/>
      <c r="D895" s="9"/>
      <c r="E895" s="9"/>
      <c r="F895" s="9"/>
      <c r="G895" s="9"/>
      <c r="H895" s="9"/>
      <c r="I895" s="9"/>
      <c r="J895" s="5"/>
      <c r="K895" s="4"/>
      <c r="L895" s="10"/>
      <c r="M895" s="10"/>
      <c r="N895" s="10"/>
      <c r="O895" s="10"/>
      <c r="P895" s="10"/>
      <c r="Q895" s="11"/>
      <c r="R895" s="9"/>
      <c r="S895" s="12"/>
      <c r="T895" s="5"/>
      <c r="U895" s="5"/>
      <c r="V895" s="4"/>
      <c r="W895" s="4"/>
      <c r="X895" s="4"/>
      <c r="Y895" s="4"/>
    </row>
    <row r="896">
      <c r="A896" s="5"/>
      <c r="B896" s="9"/>
      <c r="C896" s="5"/>
      <c r="D896" s="9"/>
      <c r="E896" s="9"/>
      <c r="F896" s="9"/>
      <c r="G896" s="9"/>
      <c r="H896" s="9"/>
      <c r="I896" s="9"/>
      <c r="J896" s="5"/>
      <c r="K896" s="4"/>
      <c r="L896" s="10"/>
      <c r="M896" s="10"/>
      <c r="N896" s="10"/>
      <c r="O896" s="10"/>
      <c r="P896" s="10"/>
      <c r="Q896" s="11"/>
      <c r="R896" s="9"/>
      <c r="S896" s="12"/>
      <c r="T896" s="5"/>
      <c r="U896" s="5"/>
      <c r="V896" s="4"/>
      <c r="W896" s="4"/>
      <c r="X896" s="4"/>
      <c r="Y896" s="4"/>
    </row>
    <row r="897">
      <c r="A897" s="5"/>
      <c r="B897" s="9"/>
      <c r="C897" s="5"/>
      <c r="D897" s="9"/>
      <c r="E897" s="9"/>
      <c r="F897" s="9"/>
      <c r="G897" s="9"/>
      <c r="H897" s="9"/>
      <c r="I897" s="9"/>
      <c r="J897" s="5"/>
      <c r="K897" s="4"/>
      <c r="L897" s="10"/>
      <c r="M897" s="10"/>
      <c r="N897" s="10"/>
      <c r="O897" s="10"/>
      <c r="P897" s="10"/>
      <c r="Q897" s="11"/>
      <c r="R897" s="9"/>
      <c r="S897" s="12"/>
      <c r="T897" s="5"/>
      <c r="U897" s="5"/>
      <c r="V897" s="4"/>
      <c r="W897" s="4"/>
      <c r="X897" s="4"/>
      <c r="Y897" s="4"/>
    </row>
    <row r="898">
      <c r="A898" s="5"/>
      <c r="B898" s="9"/>
      <c r="C898" s="5"/>
      <c r="D898" s="9"/>
      <c r="E898" s="9"/>
      <c r="F898" s="9"/>
      <c r="G898" s="9"/>
      <c r="H898" s="9"/>
      <c r="I898" s="9"/>
      <c r="J898" s="5"/>
      <c r="K898" s="4"/>
      <c r="L898" s="10"/>
      <c r="M898" s="10"/>
      <c r="N898" s="10"/>
      <c r="O898" s="10"/>
      <c r="P898" s="10"/>
      <c r="Q898" s="11"/>
      <c r="R898" s="9"/>
      <c r="S898" s="12"/>
      <c r="T898" s="5"/>
      <c r="U898" s="5"/>
      <c r="V898" s="4"/>
      <c r="W898" s="4"/>
      <c r="X898" s="4"/>
      <c r="Y898" s="4"/>
    </row>
    <row r="899">
      <c r="A899" s="5"/>
      <c r="B899" s="9"/>
      <c r="C899" s="5"/>
      <c r="D899" s="9"/>
      <c r="E899" s="9"/>
      <c r="F899" s="9"/>
      <c r="G899" s="9"/>
      <c r="H899" s="9"/>
      <c r="I899" s="9"/>
      <c r="J899" s="5"/>
      <c r="K899" s="4"/>
      <c r="L899" s="10"/>
      <c r="M899" s="10"/>
      <c r="N899" s="10"/>
      <c r="O899" s="10"/>
      <c r="P899" s="10"/>
      <c r="Q899" s="11"/>
      <c r="R899" s="9"/>
      <c r="S899" s="12"/>
      <c r="T899" s="5"/>
      <c r="U899" s="5"/>
      <c r="V899" s="4"/>
      <c r="W899" s="4"/>
      <c r="X899" s="4"/>
      <c r="Y899" s="4"/>
    </row>
    <row r="900">
      <c r="A900" s="5"/>
      <c r="B900" s="9"/>
      <c r="C900" s="5"/>
      <c r="D900" s="9"/>
      <c r="E900" s="9"/>
      <c r="F900" s="9"/>
      <c r="G900" s="9"/>
      <c r="H900" s="9"/>
      <c r="I900" s="9"/>
      <c r="J900" s="5"/>
      <c r="K900" s="4"/>
      <c r="L900" s="10"/>
      <c r="M900" s="10"/>
      <c r="N900" s="10"/>
      <c r="O900" s="10"/>
      <c r="P900" s="10"/>
      <c r="Q900" s="11"/>
      <c r="R900" s="9"/>
      <c r="S900" s="12"/>
      <c r="T900" s="5"/>
      <c r="U900" s="5"/>
      <c r="V900" s="4"/>
      <c r="W900" s="4"/>
      <c r="X900" s="4"/>
      <c r="Y900" s="4"/>
    </row>
    <row r="901">
      <c r="A901" s="5"/>
      <c r="B901" s="9"/>
      <c r="C901" s="5"/>
      <c r="D901" s="9"/>
      <c r="E901" s="9"/>
      <c r="F901" s="9"/>
      <c r="G901" s="9"/>
      <c r="H901" s="9"/>
      <c r="I901" s="9"/>
      <c r="J901" s="5"/>
      <c r="K901" s="4"/>
      <c r="L901" s="10"/>
      <c r="M901" s="10"/>
      <c r="N901" s="10"/>
      <c r="O901" s="10"/>
      <c r="P901" s="10"/>
      <c r="Q901" s="11"/>
      <c r="R901" s="9"/>
      <c r="S901" s="12"/>
      <c r="T901" s="5"/>
      <c r="U901" s="5"/>
      <c r="V901" s="4"/>
      <c r="W901" s="4"/>
      <c r="X901" s="4"/>
      <c r="Y901" s="4"/>
    </row>
    <row r="902">
      <c r="A902" s="5"/>
      <c r="B902" s="9"/>
      <c r="C902" s="5"/>
      <c r="D902" s="9"/>
      <c r="E902" s="9"/>
      <c r="F902" s="9"/>
      <c r="G902" s="9"/>
      <c r="H902" s="9"/>
      <c r="I902" s="9"/>
      <c r="J902" s="5"/>
      <c r="K902" s="4"/>
      <c r="L902" s="10"/>
      <c r="M902" s="10"/>
      <c r="N902" s="10"/>
      <c r="O902" s="10"/>
      <c r="P902" s="10"/>
      <c r="Q902" s="11"/>
      <c r="R902" s="9"/>
      <c r="S902" s="12"/>
      <c r="T902" s="5"/>
      <c r="U902" s="5"/>
      <c r="V902" s="4"/>
      <c r="W902" s="4"/>
      <c r="X902" s="4"/>
      <c r="Y902" s="4"/>
    </row>
    <row r="903">
      <c r="A903" s="5"/>
      <c r="B903" s="9"/>
      <c r="C903" s="5"/>
      <c r="D903" s="9"/>
      <c r="E903" s="9"/>
      <c r="F903" s="9"/>
      <c r="G903" s="9"/>
      <c r="H903" s="9"/>
      <c r="I903" s="9"/>
      <c r="J903" s="5"/>
      <c r="K903" s="4"/>
      <c r="L903" s="10"/>
      <c r="M903" s="10"/>
      <c r="N903" s="10"/>
      <c r="O903" s="10"/>
      <c r="P903" s="10"/>
      <c r="Q903" s="11"/>
      <c r="R903" s="9"/>
      <c r="S903" s="12"/>
      <c r="T903" s="5"/>
      <c r="U903" s="5"/>
      <c r="V903" s="4"/>
      <c r="W903" s="4"/>
      <c r="X903" s="4"/>
      <c r="Y903" s="4"/>
    </row>
    <row r="904">
      <c r="A904" s="5"/>
      <c r="B904" s="9"/>
      <c r="C904" s="5"/>
      <c r="D904" s="9"/>
      <c r="E904" s="9"/>
      <c r="F904" s="9"/>
      <c r="G904" s="9"/>
      <c r="H904" s="9"/>
      <c r="I904" s="9"/>
      <c r="J904" s="5"/>
      <c r="K904" s="4"/>
      <c r="L904" s="10"/>
      <c r="M904" s="10"/>
      <c r="N904" s="10"/>
      <c r="O904" s="10"/>
      <c r="P904" s="10"/>
      <c r="Q904" s="11"/>
      <c r="R904" s="9"/>
      <c r="S904" s="12"/>
      <c r="T904" s="5"/>
      <c r="U904" s="5"/>
      <c r="V904" s="4"/>
      <c r="W904" s="4"/>
      <c r="X904" s="4"/>
      <c r="Y904" s="4"/>
    </row>
    <row r="905">
      <c r="A905" s="5"/>
      <c r="B905" s="9"/>
      <c r="C905" s="5"/>
      <c r="D905" s="9"/>
      <c r="E905" s="9"/>
      <c r="F905" s="9"/>
      <c r="G905" s="9"/>
      <c r="H905" s="9"/>
      <c r="I905" s="9"/>
      <c r="J905" s="5"/>
      <c r="K905" s="4"/>
      <c r="L905" s="10"/>
      <c r="M905" s="10"/>
      <c r="N905" s="10"/>
      <c r="O905" s="10"/>
      <c r="P905" s="10"/>
      <c r="Q905" s="11"/>
      <c r="R905" s="9"/>
      <c r="S905" s="12"/>
      <c r="T905" s="5"/>
      <c r="U905" s="5"/>
      <c r="V905" s="4"/>
      <c r="W905" s="4"/>
      <c r="X905" s="4"/>
      <c r="Y905" s="4"/>
    </row>
    <row r="906">
      <c r="A906" s="5"/>
      <c r="B906" s="9"/>
      <c r="C906" s="5"/>
      <c r="D906" s="9"/>
      <c r="E906" s="9"/>
      <c r="F906" s="9"/>
      <c r="G906" s="9"/>
      <c r="H906" s="9"/>
      <c r="I906" s="9"/>
      <c r="J906" s="5"/>
      <c r="K906" s="4"/>
      <c r="L906" s="10"/>
      <c r="M906" s="10"/>
      <c r="N906" s="10"/>
      <c r="O906" s="10"/>
      <c r="P906" s="10"/>
      <c r="Q906" s="11"/>
      <c r="R906" s="9"/>
      <c r="S906" s="12"/>
      <c r="T906" s="5"/>
      <c r="U906" s="5"/>
      <c r="V906" s="4"/>
      <c r="W906" s="4"/>
      <c r="X906" s="4"/>
      <c r="Y906" s="4"/>
    </row>
    <row r="907">
      <c r="A907" s="5"/>
      <c r="B907" s="9"/>
      <c r="C907" s="5"/>
      <c r="D907" s="9"/>
      <c r="E907" s="9"/>
      <c r="F907" s="9"/>
      <c r="G907" s="9"/>
      <c r="H907" s="9"/>
      <c r="I907" s="9"/>
      <c r="J907" s="5"/>
      <c r="K907" s="4"/>
      <c r="L907" s="10"/>
      <c r="M907" s="10"/>
      <c r="N907" s="10"/>
      <c r="O907" s="10"/>
      <c r="P907" s="10"/>
      <c r="Q907" s="11"/>
      <c r="R907" s="9"/>
      <c r="S907" s="12"/>
      <c r="T907" s="5"/>
      <c r="U907" s="5"/>
      <c r="V907" s="4"/>
      <c r="W907" s="4"/>
      <c r="X907" s="4"/>
      <c r="Y907" s="4"/>
    </row>
    <row r="908">
      <c r="A908" s="5"/>
      <c r="B908" s="9"/>
      <c r="C908" s="5"/>
      <c r="D908" s="9"/>
      <c r="E908" s="9"/>
      <c r="F908" s="9"/>
      <c r="G908" s="9"/>
      <c r="H908" s="9"/>
      <c r="I908" s="9"/>
      <c r="J908" s="5"/>
      <c r="K908" s="4"/>
      <c r="L908" s="10"/>
      <c r="M908" s="10"/>
      <c r="N908" s="10"/>
      <c r="O908" s="10"/>
      <c r="P908" s="10"/>
      <c r="Q908" s="11"/>
      <c r="R908" s="9"/>
      <c r="S908" s="12"/>
      <c r="T908" s="5"/>
      <c r="U908" s="5"/>
      <c r="V908" s="4"/>
      <c r="W908" s="4"/>
      <c r="X908" s="4"/>
      <c r="Y908" s="4"/>
    </row>
    <row r="909">
      <c r="A909" s="5"/>
      <c r="B909" s="9"/>
      <c r="C909" s="5"/>
      <c r="D909" s="9"/>
      <c r="E909" s="9"/>
      <c r="F909" s="9"/>
      <c r="G909" s="9"/>
      <c r="H909" s="9"/>
      <c r="I909" s="9"/>
      <c r="J909" s="5"/>
      <c r="K909" s="4"/>
      <c r="L909" s="10"/>
      <c r="M909" s="10"/>
      <c r="N909" s="10"/>
      <c r="O909" s="10"/>
      <c r="P909" s="10"/>
      <c r="Q909" s="11"/>
      <c r="R909" s="9"/>
      <c r="S909" s="12"/>
      <c r="T909" s="5"/>
      <c r="U909" s="5"/>
      <c r="V909" s="4"/>
      <c r="W909" s="4"/>
      <c r="X909" s="4"/>
      <c r="Y909" s="4"/>
    </row>
    <row r="910">
      <c r="A910" s="5"/>
      <c r="B910" s="9"/>
      <c r="C910" s="5"/>
      <c r="D910" s="9"/>
      <c r="E910" s="9"/>
      <c r="F910" s="9"/>
      <c r="G910" s="9"/>
      <c r="H910" s="9"/>
      <c r="I910" s="9"/>
      <c r="J910" s="5"/>
      <c r="K910" s="4"/>
      <c r="L910" s="10"/>
      <c r="M910" s="10"/>
      <c r="N910" s="10"/>
      <c r="O910" s="10"/>
      <c r="P910" s="10"/>
      <c r="Q910" s="11"/>
      <c r="R910" s="9"/>
      <c r="S910" s="12"/>
      <c r="T910" s="5"/>
      <c r="U910" s="5"/>
      <c r="V910" s="4"/>
      <c r="W910" s="4"/>
      <c r="X910" s="4"/>
      <c r="Y910" s="4"/>
    </row>
    <row r="911">
      <c r="A911" s="5"/>
      <c r="B911" s="9"/>
      <c r="C911" s="5"/>
      <c r="D911" s="9"/>
      <c r="E911" s="9"/>
      <c r="F911" s="9"/>
      <c r="G911" s="9"/>
      <c r="H911" s="9"/>
      <c r="I911" s="9"/>
      <c r="J911" s="5"/>
      <c r="K911" s="4"/>
      <c r="L911" s="10"/>
      <c r="M911" s="10"/>
      <c r="N911" s="10"/>
      <c r="O911" s="10"/>
      <c r="P911" s="10"/>
      <c r="Q911" s="11"/>
      <c r="R911" s="9"/>
      <c r="S911" s="12"/>
      <c r="T911" s="5"/>
      <c r="U911" s="5"/>
      <c r="V911" s="4"/>
      <c r="W911" s="4"/>
      <c r="X911" s="4"/>
      <c r="Y91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16.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4"/>
    </row>
    <row r="2">
      <c r="A2" s="5" t="s">
        <v>26</v>
      </c>
      <c r="B2" s="9">
        <v>21.0</v>
      </c>
      <c r="C2" s="5">
        <v>21.0</v>
      </c>
      <c r="D2" s="9">
        <v>24.0</v>
      </c>
      <c r="E2" s="9">
        <v>16.0</v>
      </c>
      <c r="F2" s="9">
        <v>13.0</v>
      </c>
      <c r="G2" s="9">
        <v>15.0</v>
      </c>
      <c r="H2" s="9">
        <v>33.0</v>
      </c>
      <c r="I2" s="9">
        <v>17.0</v>
      </c>
      <c r="J2" s="5">
        <f t="shared" ref="J2:K2" si="1">B2+D2+F2+H2</f>
        <v>91</v>
      </c>
      <c r="K2" s="4">
        <f t="shared" si="1"/>
        <v>69</v>
      </c>
      <c r="L2" s="10">
        <f t="shared" ref="L2:L32" si="3">ROUND(IFERROR(J2/(J2+K2),0)*100,1)</f>
        <v>56.9</v>
      </c>
      <c r="M2" s="10">
        <f t="shared" ref="M2:M32" si="4">ROUND(IFERROR(B2/(B2+C2),0)*100,1)</f>
        <v>50</v>
      </c>
      <c r="N2" s="10">
        <f t="shared" ref="N2:N32" si="5">ROUND(IFERROR(D2/(D2+E2),0)*100,1)</f>
        <v>60</v>
      </c>
      <c r="O2" s="10">
        <f t="shared" ref="O2:O32" si="6">ROUND(IFERROR(F2/(F2+G2),0)*100,1)</f>
        <v>46.4</v>
      </c>
      <c r="P2" s="10">
        <f t="shared" ref="P2:P32" si="7">ROUND(IFERROR(H2/(I2+H2),0)*100,1)</f>
        <v>66</v>
      </c>
      <c r="Q2" s="11">
        <f t="shared" ref="Q2:Q32" si="8">IF(A2="미등록", "", COUNTIF(A$2:A2,"&lt;&gt;미등록"))</f>
        <v>1</v>
      </c>
      <c r="R2" s="9">
        <v>1724.0</v>
      </c>
      <c r="S2" s="12">
        <v>45970.98055555556</v>
      </c>
      <c r="T2" s="5" t="s">
        <v>25</v>
      </c>
      <c r="U2" s="5">
        <v>10.0</v>
      </c>
      <c r="V2" s="4" t="str">
        <f t="array" ref="V2">IFERROR(INDEX('사용자목록'!O:O, MATCH(A2, '사용자목록'!A:A, 0)),"아이언")</f>
        <v>다이아</v>
      </c>
      <c r="W2" s="9">
        <v>1.0</v>
      </c>
      <c r="X2" s="5" t="str">
        <f t="shared" ref="X2:X32" si="9">if(Q2&lt;W2, "🔼", if(Q2&gt;W2, "🔽", ""))</f>
        <v/>
      </c>
      <c r="Y2" s="4"/>
    </row>
    <row r="3">
      <c r="A3" s="5" t="s">
        <v>31</v>
      </c>
      <c r="B3" s="9">
        <v>20.0</v>
      </c>
      <c r="C3" s="5">
        <v>8.0</v>
      </c>
      <c r="D3" s="9">
        <v>14.0</v>
      </c>
      <c r="E3" s="9">
        <v>13.0</v>
      </c>
      <c r="F3" s="9">
        <v>16.0</v>
      </c>
      <c r="G3" s="9">
        <v>8.0</v>
      </c>
      <c r="H3" s="9">
        <v>19.0</v>
      </c>
      <c r="I3" s="9">
        <v>17.0</v>
      </c>
      <c r="J3" s="5">
        <f t="shared" ref="J3:K3" si="2">B3+D3+F3+H3</f>
        <v>69</v>
      </c>
      <c r="K3" s="4">
        <f t="shared" si="2"/>
        <v>46</v>
      </c>
      <c r="L3" s="10">
        <f t="shared" si="3"/>
        <v>60</v>
      </c>
      <c r="M3" s="10">
        <f t="shared" si="4"/>
        <v>71.4</v>
      </c>
      <c r="N3" s="10">
        <f t="shared" si="5"/>
        <v>51.9</v>
      </c>
      <c r="O3" s="10">
        <f t="shared" si="6"/>
        <v>66.7</v>
      </c>
      <c r="P3" s="10">
        <f t="shared" si="7"/>
        <v>52.8</v>
      </c>
      <c r="Q3" s="11">
        <f t="shared" si="8"/>
        <v>2</v>
      </c>
      <c r="R3" s="9">
        <v>1693.0</v>
      </c>
      <c r="S3" s="12">
        <v>45970.98055555556</v>
      </c>
      <c r="T3" s="5" t="s">
        <v>25</v>
      </c>
      <c r="U3" s="5">
        <v>12.0</v>
      </c>
      <c r="V3" s="4" t="str">
        <f t="array" ref="V3">IFERROR(INDEX('사용자목록'!O:O, MATCH(A3, '사용자목록'!A:A, 0)),"아이언")</f>
        <v>마스터</v>
      </c>
      <c r="W3" s="9">
        <v>3.0</v>
      </c>
      <c r="X3" s="5" t="str">
        <f t="shared" si="9"/>
        <v>🔼</v>
      </c>
      <c r="Y3" s="4"/>
    </row>
    <row r="4">
      <c r="A4" s="5" t="s">
        <v>27</v>
      </c>
      <c r="B4" s="9">
        <v>28.0</v>
      </c>
      <c r="C4" s="5">
        <v>13.0</v>
      </c>
      <c r="D4" s="9">
        <v>28.0</v>
      </c>
      <c r="E4" s="9">
        <v>11.0</v>
      </c>
      <c r="F4" s="9">
        <v>19.0</v>
      </c>
      <c r="G4" s="9">
        <v>12.0</v>
      </c>
      <c r="H4" s="9">
        <v>0.0</v>
      </c>
      <c r="I4" s="9">
        <v>0.0</v>
      </c>
      <c r="J4" s="5">
        <f t="shared" ref="J4:K4" si="10">B4+D4+F4+H4</f>
        <v>75</v>
      </c>
      <c r="K4" s="4">
        <f t="shared" si="10"/>
        <v>36</v>
      </c>
      <c r="L4" s="10">
        <f t="shared" si="3"/>
        <v>67.6</v>
      </c>
      <c r="M4" s="10">
        <f t="shared" si="4"/>
        <v>68.3</v>
      </c>
      <c r="N4" s="10">
        <f t="shared" si="5"/>
        <v>71.8</v>
      </c>
      <c r="O4" s="10">
        <f t="shared" si="6"/>
        <v>61.3</v>
      </c>
      <c r="P4" s="10">
        <f t="shared" si="7"/>
        <v>0</v>
      </c>
      <c r="Q4" s="11">
        <f t="shared" si="8"/>
        <v>3</v>
      </c>
      <c r="R4" s="9">
        <v>1691.0</v>
      </c>
      <c r="S4" s="12">
        <v>45970.98055555556</v>
      </c>
      <c r="T4" s="5" t="s">
        <v>25</v>
      </c>
      <c r="U4" s="5">
        <v>0.0</v>
      </c>
      <c r="V4" s="4" t="str">
        <f t="array" ref="V4">IFERROR(INDEX('사용자목록'!O:O, MATCH(A4, '사용자목록'!A:A, 0)),"아이언")</f>
        <v>마스터</v>
      </c>
      <c r="W4" s="9">
        <v>2.0</v>
      </c>
      <c r="X4" s="5" t="str">
        <f t="shared" si="9"/>
        <v>🔽</v>
      </c>
      <c r="Y4" s="4"/>
    </row>
    <row r="5">
      <c r="A5" s="5" t="s">
        <v>24</v>
      </c>
      <c r="B5" s="9">
        <v>8.0</v>
      </c>
      <c r="C5" s="5">
        <v>5.0</v>
      </c>
      <c r="D5" s="9">
        <v>10.0</v>
      </c>
      <c r="E5" s="9">
        <v>5.0</v>
      </c>
      <c r="F5" s="9">
        <v>10.0</v>
      </c>
      <c r="G5" s="9">
        <v>3.0</v>
      </c>
      <c r="H5" s="9">
        <v>15.0</v>
      </c>
      <c r="I5" s="9">
        <v>6.0</v>
      </c>
      <c r="J5" s="5">
        <f t="shared" ref="J5:K5" si="11">B5+D5+F5+H5</f>
        <v>43</v>
      </c>
      <c r="K5" s="4">
        <f t="shared" si="11"/>
        <v>19</v>
      </c>
      <c r="L5" s="10">
        <f t="shared" si="3"/>
        <v>69.4</v>
      </c>
      <c r="M5" s="10">
        <f t="shared" si="4"/>
        <v>61.5</v>
      </c>
      <c r="N5" s="10">
        <f t="shared" si="5"/>
        <v>66.7</v>
      </c>
      <c r="O5" s="10">
        <f t="shared" si="6"/>
        <v>76.9</v>
      </c>
      <c r="P5" s="10">
        <f t="shared" si="7"/>
        <v>71.4</v>
      </c>
      <c r="Q5" s="11">
        <f t="shared" si="8"/>
        <v>4</v>
      </c>
      <c r="R5" s="9">
        <v>1652.0</v>
      </c>
      <c r="S5" s="12">
        <v>45970.98055555556</v>
      </c>
      <c r="T5" s="5" t="s">
        <v>25</v>
      </c>
      <c r="U5" s="5">
        <v>16.0</v>
      </c>
      <c r="V5" s="4" t="str">
        <f t="array" ref="V5">IFERROR(INDEX('사용자목록'!O:O, MATCH(A5, '사용자목록'!A:A, 0)),"아이언")</f>
        <v>마스터</v>
      </c>
      <c r="W5" s="9">
        <v>4.0</v>
      </c>
      <c r="X5" s="5" t="str">
        <f t="shared" si="9"/>
        <v/>
      </c>
      <c r="Y5" s="4"/>
    </row>
    <row r="6">
      <c r="A6" s="5" t="s">
        <v>39</v>
      </c>
      <c r="B6" s="9">
        <v>15.0</v>
      </c>
      <c r="C6" s="5">
        <v>14.0</v>
      </c>
      <c r="D6" s="9">
        <v>13.0</v>
      </c>
      <c r="E6" s="9">
        <v>4.0</v>
      </c>
      <c r="F6" s="9">
        <v>10.0</v>
      </c>
      <c r="G6" s="9">
        <v>6.0</v>
      </c>
      <c r="H6" s="9">
        <v>13.0</v>
      </c>
      <c r="I6" s="9">
        <v>12.0</v>
      </c>
      <c r="J6" s="5">
        <f t="shared" ref="J6:K6" si="12">B6+D6+F6+H6</f>
        <v>51</v>
      </c>
      <c r="K6" s="4">
        <f t="shared" si="12"/>
        <v>36</v>
      </c>
      <c r="L6" s="10">
        <f t="shared" si="3"/>
        <v>58.6</v>
      </c>
      <c r="M6" s="10">
        <f t="shared" si="4"/>
        <v>51.7</v>
      </c>
      <c r="N6" s="10">
        <f t="shared" si="5"/>
        <v>76.5</v>
      </c>
      <c r="O6" s="10">
        <f t="shared" si="6"/>
        <v>62.5</v>
      </c>
      <c r="P6" s="10">
        <f t="shared" si="7"/>
        <v>52</v>
      </c>
      <c r="Q6" s="11">
        <f t="shared" si="8"/>
        <v>5</v>
      </c>
      <c r="R6" s="9">
        <v>1631.0</v>
      </c>
      <c r="S6" s="12">
        <v>45970.96041666667</v>
      </c>
      <c r="T6" s="5" t="s">
        <v>25</v>
      </c>
      <c r="U6" s="5">
        <v>10.0</v>
      </c>
      <c r="V6" s="4" t="str">
        <f t="array" ref="V6">IFERROR(INDEX('사용자목록'!O:O, MATCH(A6, '사용자목록'!A:A, 0)),"아이언")</f>
        <v>다이아</v>
      </c>
      <c r="W6" s="9">
        <v>5.0</v>
      </c>
      <c r="X6" s="5" t="str">
        <f t="shared" si="9"/>
        <v/>
      </c>
      <c r="Y6" s="4"/>
    </row>
    <row r="7">
      <c r="A7" s="5" t="s">
        <v>28</v>
      </c>
      <c r="B7" s="9">
        <v>0.0</v>
      </c>
      <c r="C7" s="5">
        <v>0.0</v>
      </c>
      <c r="D7" s="9">
        <v>30.0</v>
      </c>
      <c r="E7" s="9">
        <v>15.0</v>
      </c>
      <c r="F7" s="9">
        <v>23.0</v>
      </c>
      <c r="G7" s="9">
        <v>17.0</v>
      </c>
      <c r="H7" s="9">
        <v>32.0</v>
      </c>
      <c r="I7" s="9">
        <v>23.0</v>
      </c>
      <c r="J7" s="5">
        <f t="shared" ref="J7:K7" si="13">B7+D7+F7+H7</f>
        <v>85</v>
      </c>
      <c r="K7" s="4">
        <f t="shared" si="13"/>
        <v>55</v>
      </c>
      <c r="L7" s="10">
        <f t="shared" si="3"/>
        <v>60.7</v>
      </c>
      <c r="M7" s="10">
        <f t="shared" si="4"/>
        <v>0</v>
      </c>
      <c r="N7" s="10">
        <f t="shared" si="5"/>
        <v>66.7</v>
      </c>
      <c r="O7" s="10">
        <f t="shared" si="6"/>
        <v>57.5</v>
      </c>
      <c r="P7" s="10">
        <f t="shared" si="7"/>
        <v>58.2</v>
      </c>
      <c r="Q7" s="11">
        <f t="shared" si="8"/>
        <v>6</v>
      </c>
      <c r="R7" s="9">
        <v>1592.0</v>
      </c>
      <c r="S7" s="12">
        <v>45970.98055555556</v>
      </c>
      <c r="T7" s="5" t="s">
        <v>25</v>
      </c>
      <c r="U7" s="5">
        <v>0.0</v>
      </c>
      <c r="V7" s="4" t="str">
        <f t="array" ref="V7">IFERROR(INDEX('사용자목록'!O:O, MATCH(A7, '사용자목록'!A:A, 0)),"아이언")</f>
        <v>마스터</v>
      </c>
      <c r="W7" s="9">
        <v>6.0</v>
      </c>
      <c r="X7" s="5" t="str">
        <f t="shared" si="9"/>
        <v/>
      </c>
      <c r="Y7" s="4"/>
    </row>
    <row r="8">
      <c r="A8" s="5" t="s">
        <v>35</v>
      </c>
      <c r="B8" s="9">
        <v>3.0</v>
      </c>
      <c r="C8" s="5">
        <v>12.0</v>
      </c>
      <c r="D8" s="9">
        <v>22.0</v>
      </c>
      <c r="E8" s="9">
        <v>16.0</v>
      </c>
      <c r="F8" s="9">
        <v>16.0</v>
      </c>
      <c r="G8" s="9">
        <v>11.0</v>
      </c>
      <c r="H8" s="9">
        <v>9.0</v>
      </c>
      <c r="I8" s="9">
        <v>13.0</v>
      </c>
      <c r="J8" s="5">
        <f t="shared" ref="J8:K8" si="14">B8+D8+F8+H8</f>
        <v>50</v>
      </c>
      <c r="K8" s="4">
        <f t="shared" si="14"/>
        <v>52</v>
      </c>
      <c r="L8" s="10">
        <f t="shared" si="3"/>
        <v>49</v>
      </c>
      <c r="M8" s="10">
        <f t="shared" si="4"/>
        <v>20</v>
      </c>
      <c r="N8" s="10">
        <f t="shared" si="5"/>
        <v>57.9</v>
      </c>
      <c r="O8" s="10">
        <f t="shared" si="6"/>
        <v>59.3</v>
      </c>
      <c r="P8" s="10">
        <f t="shared" si="7"/>
        <v>40.9</v>
      </c>
      <c r="Q8" s="11">
        <f t="shared" si="8"/>
        <v>7</v>
      </c>
      <c r="R8" s="9">
        <v>1554.0</v>
      </c>
      <c r="S8" s="12">
        <v>45970.98055555556</v>
      </c>
      <c r="T8" s="5" t="s">
        <v>25</v>
      </c>
      <c r="U8" s="5">
        <v>0.0</v>
      </c>
      <c r="V8" s="4" t="str">
        <f t="array" ref="V8">IFERROR(INDEX('사용자목록'!O:O, MATCH(A8, '사용자목록'!A:A, 0)),"아이언")</f>
        <v>골드</v>
      </c>
      <c r="W8" s="9">
        <v>7.0</v>
      </c>
      <c r="X8" s="5" t="str">
        <f t="shared" si="9"/>
        <v/>
      </c>
      <c r="Y8" s="4"/>
    </row>
    <row r="9">
      <c r="A9" s="5" t="s">
        <v>42</v>
      </c>
      <c r="B9" s="9">
        <v>25.0</v>
      </c>
      <c r="C9" s="5">
        <v>11.0</v>
      </c>
      <c r="D9" s="9">
        <v>20.0</v>
      </c>
      <c r="E9" s="9">
        <v>21.0</v>
      </c>
      <c r="F9" s="9">
        <v>14.0</v>
      </c>
      <c r="G9" s="9">
        <v>16.0</v>
      </c>
      <c r="H9" s="9">
        <v>0.0</v>
      </c>
      <c r="I9" s="9">
        <v>0.0</v>
      </c>
      <c r="J9" s="5">
        <f t="shared" ref="J9:K9" si="15">B9+D9+F9+H9</f>
        <v>59</v>
      </c>
      <c r="K9" s="4">
        <f t="shared" si="15"/>
        <v>48</v>
      </c>
      <c r="L9" s="10">
        <f t="shared" si="3"/>
        <v>55.1</v>
      </c>
      <c r="M9" s="10">
        <f t="shared" si="4"/>
        <v>69.4</v>
      </c>
      <c r="N9" s="10">
        <f t="shared" si="5"/>
        <v>48.8</v>
      </c>
      <c r="O9" s="10">
        <f t="shared" si="6"/>
        <v>46.7</v>
      </c>
      <c r="P9" s="10">
        <f t="shared" si="7"/>
        <v>0</v>
      </c>
      <c r="Q9" s="11">
        <f t="shared" si="8"/>
        <v>8</v>
      </c>
      <c r="R9" s="9">
        <v>1546.0</v>
      </c>
      <c r="S9" s="12">
        <v>45966.916666666664</v>
      </c>
      <c r="T9" s="5" t="s">
        <v>25</v>
      </c>
      <c r="U9" s="5">
        <v>0.0</v>
      </c>
      <c r="V9" s="4" t="str">
        <f t="array" ref="V9">IFERROR(INDEX('사용자목록'!O:O, MATCH(A9, '사용자목록'!A:A, 0)),"아이언")</f>
        <v>다이아</v>
      </c>
      <c r="W9" s="9">
        <v>8.0</v>
      </c>
      <c r="X9" s="5" t="str">
        <f t="shared" si="9"/>
        <v/>
      </c>
      <c r="Y9" s="4"/>
    </row>
    <row r="10">
      <c r="A10" s="5" t="s">
        <v>33</v>
      </c>
      <c r="B10" s="9">
        <v>15.0</v>
      </c>
      <c r="C10" s="5">
        <v>19.0</v>
      </c>
      <c r="D10" s="9">
        <v>0.0</v>
      </c>
      <c r="E10" s="9">
        <v>0.0</v>
      </c>
      <c r="F10" s="9">
        <v>19.0</v>
      </c>
      <c r="G10" s="9">
        <v>14.0</v>
      </c>
      <c r="H10" s="9">
        <v>25.0</v>
      </c>
      <c r="I10" s="9">
        <v>16.0</v>
      </c>
      <c r="J10" s="5">
        <f t="shared" ref="J10:K10" si="16">B10+D10+F10+H10</f>
        <v>59</v>
      </c>
      <c r="K10" s="4">
        <f t="shared" si="16"/>
        <v>49</v>
      </c>
      <c r="L10" s="10">
        <f t="shared" si="3"/>
        <v>54.6</v>
      </c>
      <c r="M10" s="10">
        <f t="shared" si="4"/>
        <v>44.1</v>
      </c>
      <c r="N10" s="10">
        <f t="shared" si="5"/>
        <v>0</v>
      </c>
      <c r="O10" s="10">
        <f t="shared" si="6"/>
        <v>57.6</v>
      </c>
      <c r="P10" s="10">
        <f t="shared" si="7"/>
        <v>61</v>
      </c>
      <c r="Q10" s="11">
        <f t="shared" si="8"/>
        <v>9</v>
      </c>
      <c r="R10" s="9">
        <v>1475.0</v>
      </c>
      <c r="S10" s="12">
        <v>45970.94236111111</v>
      </c>
      <c r="T10" s="5" t="s">
        <v>25</v>
      </c>
      <c r="U10" s="5">
        <v>0.0</v>
      </c>
      <c r="V10" s="4" t="str">
        <f t="array" ref="V10">IFERROR(INDEX('사용자목록'!O:O, MATCH(A10, '사용자목록'!A:A, 0)),"아이언")</f>
        <v>플래티넘</v>
      </c>
      <c r="W10" s="9">
        <v>9.0</v>
      </c>
      <c r="X10" s="5" t="str">
        <f t="shared" si="9"/>
        <v/>
      </c>
      <c r="Y10" s="4"/>
    </row>
    <row r="11">
      <c r="A11" s="5" t="s">
        <v>30</v>
      </c>
      <c r="B11" s="9">
        <v>21.0</v>
      </c>
      <c r="C11" s="5">
        <v>18.0</v>
      </c>
      <c r="D11" s="9">
        <v>13.0</v>
      </c>
      <c r="E11" s="9">
        <v>21.0</v>
      </c>
      <c r="F11" s="9">
        <v>14.0</v>
      </c>
      <c r="G11" s="9">
        <v>26.0</v>
      </c>
      <c r="H11" s="9">
        <v>21.0</v>
      </c>
      <c r="I11" s="9">
        <v>29.0</v>
      </c>
      <c r="J11" s="5">
        <f t="shared" ref="J11:K11" si="17">B11+D11+F11+H11</f>
        <v>69</v>
      </c>
      <c r="K11" s="4">
        <f t="shared" si="17"/>
        <v>94</v>
      </c>
      <c r="L11" s="10">
        <f t="shared" si="3"/>
        <v>42.3</v>
      </c>
      <c r="M11" s="10">
        <f t="shared" si="4"/>
        <v>53.8</v>
      </c>
      <c r="N11" s="10">
        <f t="shared" si="5"/>
        <v>38.2</v>
      </c>
      <c r="O11" s="10">
        <f t="shared" si="6"/>
        <v>35</v>
      </c>
      <c r="P11" s="10">
        <f t="shared" si="7"/>
        <v>42</v>
      </c>
      <c r="Q11" s="11">
        <f t="shared" si="8"/>
        <v>10</v>
      </c>
      <c r="R11" s="9">
        <v>1460.0</v>
      </c>
      <c r="S11" s="12">
        <v>45970.98055555556</v>
      </c>
      <c r="T11" s="5" t="s">
        <v>25</v>
      </c>
      <c r="U11" s="5">
        <v>7.0</v>
      </c>
      <c r="V11" s="4" t="str">
        <f t="array" ref="V11">IFERROR(INDEX('사용자목록'!O:O, MATCH(A11, '사용자목록'!A:A, 0)),"아이언")</f>
        <v>골드</v>
      </c>
      <c r="W11" s="9">
        <v>11.0</v>
      </c>
      <c r="X11" s="5" t="str">
        <f t="shared" si="9"/>
        <v>🔼</v>
      </c>
      <c r="Y11" s="4"/>
    </row>
    <row r="12">
      <c r="A12" s="5" t="s">
        <v>29</v>
      </c>
      <c r="B12" s="9">
        <v>3.0</v>
      </c>
      <c r="C12" s="5">
        <v>7.0</v>
      </c>
      <c r="D12" s="9">
        <v>9.0</v>
      </c>
      <c r="E12" s="9">
        <v>2.0</v>
      </c>
      <c r="F12" s="9">
        <v>3.0</v>
      </c>
      <c r="G12" s="9">
        <v>2.0</v>
      </c>
      <c r="H12" s="9">
        <v>5.0</v>
      </c>
      <c r="I12" s="9">
        <v>6.0</v>
      </c>
      <c r="J12" s="5">
        <f t="shared" ref="J12:K12" si="18">B12+D12+F12+H12</f>
        <v>20</v>
      </c>
      <c r="K12" s="4">
        <f t="shared" si="18"/>
        <v>17</v>
      </c>
      <c r="L12" s="10">
        <f t="shared" si="3"/>
        <v>54.1</v>
      </c>
      <c r="M12" s="10">
        <f t="shared" si="4"/>
        <v>30</v>
      </c>
      <c r="N12" s="10">
        <f t="shared" si="5"/>
        <v>81.8</v>
      </c>
      <c r="O12" s="10">
        <f t="shared" si="6"/>
        <v>60</v>
      </c>
      <c r="P12" s="10">
        <f t="shared" si="7"/>
        <v>45.5</v>
      </c>
      <c r="Q12" s="11">
        <f t="shared" si="8"/>
        <v>11</v>
      </c>
      <c r="R12" s="9">
        <v>1435.0</v>
      </c>
      <c r="S12" s="12">
        <v>45966.052083333336</v>
      </c>
      <c r="T12" s="5" t="s">
        <v>25</v>
      </c>
      <c r="U12" s="5">
        <v>10.0</v>
      </c>
      <c r="V12" s="4" t="str">
        <f t="array" ref="V12">IFERROR(INDEX('사용자목록'!O:O, MATCH(A12, '사용자목록'!A:A, 0)),"아이언")</f>
        <v>아이언</v>
      </c>
      <c r="W12" s="9">
        <v>10.0</v>
      </c>
      <c r="X12" s="5" t="str">
        <f t="shared" si="9"/>
        <v>🔽</v>
      </c>
      <c r="Y12" s="4"/>
    </row>
    <row r="13">
      <c r="A13" s="5" t="s">
        <v>36</v>
      </c>
      <c r="B13" s="9">
        <v>17.0</v>
      </c>
      <c r="C13" s="5">
        <v>16.0</v>
      </c>
      <c r="D13" s="9">
        <v>0.0</v>
      </c>
      <c r="E13" s="9">
        <v>0.0</v>
      </c>
      <c r="F13" s="9">
        <v>11.0</v>
      </c>
      <c r="G13" s="9">
        <v>15.0</v>
      </c>
      <c r="H13" s="9">
        <v>18.0</v>
      </c>
      <c r="I13" s="9">
        <v>25.0</v>
      </c>
      <c r="J13" s="5">
        <f t="shared" ref="J13:K13" si="19">B13+D13+F13+H13</f>
        <v>46</v>
      </c>
      <c r="K13" s="4">
        <f t="shared" si="19"/>
        <v>56</v>
      </c>
      <c r="L13" s="10">
        <f t="shared" si="3"/>
        <v>45.1</v>
      </c>
      <c r="M13" s="10">
        <f t="shared" si="4"/>
        <v>51.5</v>
      </c>
      <c r="N13" s="10">
        <f t="shared" si="5"/>
        <v>0</v>
      </c>
      <c r="O13" s="10">
        <f t="shared" si="6"/>
        <v>42.3</v>
      </c>
      <c r="P13" s="10">
        <f t="shared" si="7"/>
        <v>41.9</v>
      </c>
      <c r="Q13" s="11">
        <f t="shared" si="8"/>
        <v>12</v>
      </c>
      <c r="R13" s="9">
        <v>1424.0</v>
      </c>
      <c r="S13" s="12">
        <v>45967.04722222222</v>
      </c>
      <c r="T13" s="5" t="s">
        <v>25</v>
      </c>
      <c r="U13" s="5">
        <v>1.0</v>
      </c>
      <c r="V13" s="4" t="str">
        <f t="array" ref="V13">IFERROR(INDEX('사용자목록'!O:O, MATCH(A13, '사용자목록'!A:A, 0)),"아이언")</f>
        <v>골드</v>
      </c>
      <c r="W13" s="9">
        <v>12.0</v>
      </c>
      <c r="X13" s="5" t="str">
        <f t="shared" si="9"/>
        <v/>
      </c>
      <c r="Y13" s="4"/>
    </row>
    <row r="14">
      <c r="A14" s="5" t="s">
        <v>51</v>
      </c>
      <c r="B14" s="9">
        <v>7.0</v>
      </c>
      <c r="C14" s="5">
        <v>18.0</v>
      </c>
      <c r="D14" s="9">
        <v>14.0</v>
      </c>
      <c r="E14" s="9">
        <v>13.0</v>
      </c>
      <c r="F14" s="9">
        <v>9.0</v>
      </c>
      <c r="G14" s="9">
        <v>13.0</v>
      </c>
      <c r="H14" s="9">
        <v>0.0</v>
      </c>
      <c r="I14" s="9">
        <v>0.0</v>
      </c>
      <c r="J14" s="5">
        <f t="shared" ref="J14:K14" si="20">B14+D14+F14+H14</f>
        <v>30</v>
      </c>
      <c r="K14" s="4">
        <f t="shared" si="20"/>
        <v>44</v>
      </c>
      <c r="L14" s="10">
        <f t="shared" si="3"/>
        <v>40.5</v>
      </c>
      <c r="M14" s="10">
        <f t="shared" si="4"/>
        <v>28</v>
      </c>
      <c r="N14" s="10">
        <f t="shared" si="5"/>
        <v>51.9</v>
      </c>
      <c r="O14" s="10">
        <f t="shared" si="6"/>
        <v>40.9</v>
      </c>
      <c r="P14" s="10">
        <f t="shared" si="7"/>
        <v>0</v>
      </c>
      <c r="Q14" s="11">
        <f t="shared" si="8"/>
        <v>13</v>
      </c>
      <c r="R14" s="9">
        <v>1259.0</v>
      </c>
      <c r="S14" s="12">
        <v>45953.854166666664</v>
      </c>
      <c r="T14" s="5" t="s">
        <v>25</v>
      </c>
      <c r="U14" s="5">
        <v>0.0</v>
      </c>
      <c r="V14" s="4" t="str">
        <f t="array" ref="V14">IFERROR(INDEX('사용자목록'!O:O, MATCH(A14, '사용자목록'!A:A, 0)),"아이언")</f>
        <v>골드</v>
      </c>
      <c r="W14" s="9">
        <v>13.0</v>
      </c>
      <c r="X14" s="5" t="str">
        <f t="shared" si="9"/>
        <v/>
      </c>
      <c r="Y14" s="4"/>
    </row>
    <row r="15">
      <c r="A15" s="5" t="s">
        <v>52</v>
      </c>
      <c r="B15" s="9">
        <v>3.0</v>
      </c>
      <c r="C15" s="5">
        <v>2.0</v>
      </c>
      <c r="D15" s="9">
        <v>2.0</v>
      </c>
      <c r="E15" s="9">
        <v>6.0</v>
      </c>
      <c r="F15" s="9">
        <v>4.0</v>
      </c>
      <c r="G15" s="9">
        <v>4.0</v>
      </c>
      <c r="H15" s="9">
        <v>5.0</v>
      </c>
      <c r="I15" s="9">
        <v>9.0</v>
      </c>
      <c r="J15" s="5">
        <f t="shared" ref="J15:K15" si="21">B15+D15+F15+H15</f>
        <v>14</v>
      </c>
      <c r="K15" s="4">
        <f t="shared" si="21"/>
        <v>21</v>
      </c>
      <c r="L15" s="10">
        <f t="shared" si="3"/>
        <v>40</v>
      </c>
      <c r="M15" s="10">
        <f t="shared" si="4"/>
        <v>60</v>
      </c>
      <c r="N15" s="10">
        <f t="shared" si="5"/>
        <v>25</v>
      </c>
      <c r="O15" s="10">
        <f t="shared" si="6"/>
        <v>50</v>
      </c>
      <c r="P15" s="10">
        <f t="shared" si="7"/>
        <v>35.7</v>
      </c>
      <c r="Q15" s="11">
        <f t="shared" si="8"/>
        <v>14</v>
      </c>
      <c r="R15" s="9">
        <v>1253.0</v>
      </c>
      <c r="S15" s="12">
        <v>45970.67361111111</v>
      </c>
      <c r="T15" s="5" t="s">
        <v>25</v>
      </c>
      <c r="U15" s="5">
        <v>4.0</v>
      </c>
      <c r="V15" s="4" t="str">
        <f t="array" ref="V15">IFERROR(INDEX('사용자목록'!O:O, MATCH(A15, '사용자목록'!A:A, 0)),"아이언")</f>
        <v>아이언</v>
      </c>
      <c r="W15" s="9">
        <v>14.0</v>
      </c>
      <c r="X15" s="5" t="str">
        <f t="shared" si="9"/>
        <v/>
      </c>
      <c r="Y15" s="4"/>
    </row>
    <row r="16">
      <c r="A16" s="5" t="s">
        <v>32</v>
      </c>
      <c r="B16" s="9">
        <v>0.0</v>
      </c>
      <c r="C16" s="5">
        <v>0.0</v>
      </c>
      <c r="D16" s="9">
        <v>3.0</v>
      </c>
      <c r="E16" s="9">
        <v>6.0</v>
      </c>
      <c r="F16" s="9">
        <v>6.0</v>
      </c>
      <c r="G16" s="9">
        <v>4.0</v>
      </c>
      <c r="H16" s="9">
        <v>4.0</v>
      </c>
      <c r="I16" s="9">
        <v>4.0</v>
      </c>
      <c r="J16" s="5">
        <f t="shared" ref="J16:K16" si="22">B16+D16+F16+H16</f>
        <v>13</v>
      </c>
      <c r="K16" s="4">
        <f t="shared" si="22"/>
        <v>14</v>
      </c>
      <c r="L16" s="10">
        <f t="shared" si="3"/>
        <v>48.1</v>
      </c>
      <c r="M16" s="10">
        <f t="shared" si="4"/>
        <v>0</v>
      </c>
      <c r="N16" s="10">
        <f t="shared" si="5"/>
        <v>33.3</v>
      </c>
      <c r="O16" s="10">
        <f t="shared" si="6"/>
        <v>60</v>
      </c>
      <c r="P16" s="10">
        <f t="shared" si="7"/>
        <v>50</v>
      </c>
      <c r="Q16" s="11">
        <f t="shared" si="8"/>
        <v>15</v>
      </c>
      <c r="R16" s="9">
        <v>1246.0</v>
      </c>
      <c r="S16" s="12">
        <v>45967.10555555556</v>
      </c>
      <c r="T16" s="5" t="s">
        <v>25</v>
      </c>
      <c r="U16" s="5">
        <v>0.0</v>
      </c>
      <c r="V16" s="4" t="str">
        <f t="array" ref="V16">IFERROR(INDEX('사용자목록'!O:O, MATCH(A16, '사용자목록'!A:A, 0)),"아이언")</f>
        <v>아이언</v>
      </c>
      <c r="W16" s="9">
        <v>15.0</v>
      </c>
      <c r="X16" s="5" t="str">
        <f t="shared" si="9"/>
        <v/>
      </c>
      <c r="Y16" s="4"/>
    </row>
    <row r="17">
      <c r="A17" s="5" t="s">
        <v>34</v>
      </c>
      <c r="B17" s="9">
        <v>18.0</v>
      </c>
      <c r="C17" s="5">
        <v>17.0</v>
      </c>
      <c r="D17" s="9">
        <v>6.0</v>
      </c>
      <c r="E17" s="9">
        <v>25.0</v>
      </c>
      <c r="F17" s="9">
        <v>7.0</v>
      </c>
      <c r="G17" s="9">
        <v>21.0</v>
      </c>
      <c r="H17" s="9">
        <v>0.0</v>
      </c>
      <c r="I17" s="9">
        <v>0.0</v>
      </c>
      <c r="J17" s="5">
        <f t="shared" ref="J17:K17" si="23">B17+D17+F17+H17</f>
        <v>31</v>
      </c>
      <c r="K17" s="4">
        <f t="shared" si="23"/>
        <v>63</v>
      </c>
      <c r="L17" s="10">
        <f t="shared" si="3"/>
        <v>33</v>
      </c>
      <c r="M17" s="10">
        <f t="shared" si="4"/>
        <v>51.4</v>
      </c>
      <c r="N17" s="10">
        <f t="shared" si="5"/>
        <v>19.4</v>
      </c>
      <c r="O17" s="10">
        <f t="shared" si="6"/>
        <v>25</v>
      </c>
      <c r="P17" s="10">
        <f t="shared" si="7"/>
        <v>0</v>
      </c>
      <c r="Q17" s="11">
        <f t="shared" si="8"/>
        <v>16</v>
      </c>
      <c r="R17" s="9">
        <v>1241.0</v>
      </c>
      <c r="S17" s="12">
        <v>45967.10555555556</v>
      </c>
      <c r="T17" s="5" t="s">
        <v>25</v>
      </c>
      <c r="U17" s="5">
        <v>0.0</v>
      </c>
      <c r="V17" s="4" t="str">
        <f t="array" ref="V17">IFERROR(INDEX('사용자목록'!O:O, MATCH(A17, '사용자목록'!A:A, 0)),"아이언")</f>
        <v>실버</v>
      </c>
      <c r="W17" s="9">
        <v>16.0</v>
      </c>
      <c r="X17" s="5" t="str">
        <f t="shared" si="9"/>
        <v/>
      </c>
      <c r="Y17" s="4"/>
    </row>
    <row r="18">
      <c r="A18" s="5" t="s">
        <v>50</v>
      </c>
      <c r="B18" s="9">
        <v>4.0</v>
      </c>
      <c r="C18" s="5">
        <v>8.0</v>
      </c>
      <c r="D18" s="9">
        <v>6.0</v>
      </c>
      <c r="E18" s="9">
        <v>6.0</v>
      </c>
      <c r="F18" s="9">
        <v>4.0</v>
      </c>
      <c r="G18" s="9">
        <v>4.0</v>
      </c>
      <c r="H18" s="9">
        <v>0.0</v>
      </c>
      <c r="I18" s="9">
        <v>0.0</v>
      </c>
      <c r="J18" s="5">
        <f t="shared" ref="J18:K18" si="24">B18+D18+F18+H18</f>
        <v>14</v>
      </c>
      <c r="K18" s="4">
        <f t="shared" si="24"/>
        <v>18</v>
      </c>
      <c r="L18" s="10">
        <f t="shared" si="3"/>
        <v>43.8</v>
      </c>
      <c r="M18" s="10">
        <f t="shared" si="4"/>
        <v>33.3</v>
      </c>
      <c r="N18" s="10">
        <f t="shared" si="5"/>
        <v>50</v>
      </c>
      <c r="O18" s="10">
        <f t="shared" si="6"/>
        <v>50</v>
      </c>
      <c r="P18" s="10">
        <f t="shared" si="7"/>
        <v>0</v>
      </c>
      <c r="Q18" s="11">
        <f t="shared" si="8"/>
        <v>17</v>
      </c>
      <c r="R18" s="9">
        <v>1171.0</v>
      </c>
      <c r="S18" s="12">
        <v>45967.04722222222</v>
      </c>
      <c r="T18" s="5" t="s">
        <v>25</v>
      </c>
      <c r="U18" s="5">
        <v>0.0</v>
      </c>
      <c r="V18" s="4" t="str">
        <f t="array" ref="V18">IFERROR(INDEX('사용자목록'!O:O, MATCH(A18, '사용자목록'!A:A, 0)),"아이언")</f>
        <v>아이언</v>
      </c>
      <c r="W18" s="9">
        <v>18.0</v>
      </c>
      <c r="X18" s="5" t="str">
        <f t="shared" si="9"/>
        <v>🔼</v>
      </c>
      <c r="Y18" s="4"/>
    </row>
    <row r="19">
      <c r="A19" s="5" t="s">
        <v>45</v>
      </c>
      <c r="B19" s="9">
        <v>0.0</v>
      </c>
      <c r="C19" s="5">
        <v>0.0</v>
      </c>
      <c r="D19" s="9">
        <v>4.0</v>
      </c>
      <c r="E19" s="9">
        <v>20.0</v>
      </c>
      <c r="F19" s="9">
        <v>10.0</v>
      </c>
      <c r="G19" s="9">
        <v>15.0</v>
      </c>
      <c r="H19" s="9">
        <v>11.0</v>
      </c>
      <c r="I19" s="9">
        <v>14.0</v>
      </c>
      <c r="J19" s="5">
        <f t="shared" ref="J19:K19" si="25">B19+D19+F19+H19</f>
        <v>25</v>
      </c>
      <c r="K19" s="4">
        <f t="shared" si="25"/>
        <v>49</v>
      </c>
      <c r="L19" s="10">
        <f t="shared" si="3"/>
        <v>33.8</v>
      </c>
      <c r="M19" s="10">
        <f t="shared" si="4"/>
        <v>0</v>
      </c>
      <c r="N19" s="10">
        <f t="shared" si="5"/>
        <v>16.7</v>
      </c>
      <c r="O19" s="10">
        <f t="shared" si="6"/>
        <v>40</v>
      </c>
      <c r="P19" s="10">
        <f t="shared" si="7"/>
        <v>44</v>
      </c>
      <c r="Q19" s="11">
        <f t="shared" si="8"/>
        <v>18</v>
      </c>
      <c r="R19" s="9">
        <v>1169.0</v>
      </c>
      <c r="S19" s="12">
        <v>45970.98055555556</v>
      </c>
      <c r="T19" s="5" t="s">
        <v>25</v>
      </c>
      <c r="U19" s="5">
        <v>0.0</v>
      </c>
      <c r="V19" s="4" t="str">
        <f t="array" ref="V19">IFERROR(INDEX('사용자목록'!O:O, MATCH(A19, '사용자목록'!A:A, 0)),"아이언")</f>
        <v>실버</v>
      </c>
      <c r="W19" s="9">
        <v>17.0</v>
      </c>
      <c r="X19" s="5" t="str">
        <f t="shared" si="9"/>
        <v>🔽</v>
      </c>
      <c r="Y19" s="4"/>
    </row>
    <row r="20">
      <c r="A20" s="5" t="s">
        <v>44</v>
      </c>
      <c r="B20" s="9">
        <v>7.0</v>
      </c>
      <c r="C20" s="5">
        <v>12.0</v>
      </c>
      <c r="D20" s="9">
        <v>4.0</v>
      </c>
      <c r="E20" s="9">
        <v>10.0</v>
      </c>
      <c r="F20" s="9">
        <v>1.0</v>
      </c>
      <c r="G20" s="9">
        <v>3.0</v>
      </c>
      <c r="H20" s="9">
        <v>3.0</v>
      </c>
      <c r="I20" s="9">
        <v>9.0</v>
      </c>
      <c r="J20" s="5">
        <f t="shared" ref="J20:K20" si="26">B20+D20+F20+H20</f>
        <v>15</v>
      </c>
      <c r="K20" s="4">
        <f t="shared" si="26"/>
        <v>34</v>
      </c>
      <c r="L20" s="10">
        <f t="shared" si="3"/>
        <v>30.6</v>
      </c>
      <c r="M20" s="10">
        <f t="shared" si="4"/>
        <v>36.8</v>
      </c>
      <c r="N20" s="10">
        <f t="shared" si="5"/>
        <v>28.6</v>
      </c>
      <c r="O20" s="10">
        <f t="shared" si="6"/>
        <v>25</v>
      </c>
      <c r="P20" s="10">
        <f t="shared" si="7"/>
        <v>25</v>
      </c>
      <c r="Q20" s="11">
        <f t="shared" si="8"/>
        <v>19</v>
      </c>
      <c r="R20" s="9">
        <v>1081.0</v>
      </c>
      <c r="S20" s="12">
        <v>45964.90625</v>
      </c>
      <c r="T20" s="5" t="s">
        <v>25</v>
      </c>
      <c r="U20" s="5">
        <v>9.0</v>
      </c>
      <c r="V20" s="4" t="str">
        <f t="array" ref="V20">IFERROR(INDEX('사용자목록'!O:O, MATCH(A20, '사용자목록'!A:A, 0)),"아이언")</f>
        <v>아이언</v>
      </c>
      <c r="W20" s="9">
        <v>19.0</v>
      </c>
      <c r="X20" s="5" t="str">
        <f t="shared" si="9"/>
        <v/>
      </c>
      <c r="Y20" s="4"/>
    </row>
    <row r="21">
      <c r="A21" s="5" t="s">
        <v>43</v>
      </c>
      <c r="B21" s="9">
        <v>4.0</v>
      </c>
      <c r="C21" s="5">
        <v>0.0</v>
      </c>
      <c r="D21" s="9">
        <v>0.0</v>
      </c>
      <c r="E21" s="9">
        <v>0.0</v>
      </c>
      <c r="F21" s="9">
        <v>1.0</v>
      </c>
      <c r="G21" s="9">
        <v>1.0</v>
      </c>
      <c r="H21" s="9">
        <v>4.0</v>
      </c>
      <c r="I21" s="9">
        <v>2.0</v>
      </c>
      <c r="J21" s="5">
        <f t="shared" ref="J21:K21" si="27">B21+D21+F21+H21</f>
        <v>9</v>
      </c>
      <c r="K21" s="4">
        <f t="shared" si="27"/>
        <v>3</v>
      </c>
      <c r="L21" s="10">
        <f t="shared" si="3"/>
        <v>75</v>
      </c>
      <c r="M21" s="10">
        <f t="shared" si="4"/>
        <v>100</v>
      </c>
      <c r="N21" s="10">
        <f t="shared" si="5"/>
        <v>0</v>
      </c>
      <c r="O21" s="10">
        <f t="shared" si="6"/>
        <v>50</v>
      </c>
      <c r="P21" s="10">
        <f t="shared" si="7"/>
        <v>66.7</v>
      </c>
      <c r="Q21" s="11">
        <f t="shared" si="8"/>
        <v>20</v>
      </c>
      <c r="R21" s="9">
        <v>0.0</v>
      </c>
      <c r="S21" s="12">
        <v>45966.14791666667</v>
      </c>
      <c r="T21" s="5" t="s">
        <v>25</v>
      </c>
      <c r="U21" s="5">
        <v>0.0</v>
      </c>
      <c r="V21" s="4" t="str">
        <f t="array" ref="V21">IFERROR(INDEX('사용자목록'!O:O, MATCH(A21, '사용자목록'!A:A, 0)),"아이언")</f>
        <v>아이언</v>
      </c>
      <c r="W21" s="9">
        <v>20.0</v>
      </c>
      <c r="X21" s="5" t="str">
        <f t="shared" si="9"/>
        <v/>
      </c>
      <c r="Y21" s="4"/>
    </row>
    <row r="22">
      <c r="A22" s="5" t="s">
        <v>37</v>
      </c>
      <c r="B22" s="9">
        <v>2.0</v>
      </c>
      <c r="C22" s="5">
        <v>1.0</v>
      </c>
      <c r="D22" s="9">
        <v>0.0</v>
      </c>
      <c r="E22" s="9">
        <v>0.0</v>
      </c>
      <c r="F22" s="9">
        <v>3.0</v>
      </c>
      <c r="G22" s="9">
        <v>2.0</v>
      </c>
      <c r="H22" s="9">
        <v>1.0</v>
      </c>
      <c r="I22" s="9">
        <v>4.0</v>
      </c>
      <c r="J22" s="5">
        <f t="shared" ref="J22:K22" si="28">B22+D22+F22+H22</f>
        <v>6</v>
      </c>
      <c r="K22" s="4">
        <f t="shared" si="28"/>
        <v>7</v>
      </c>
      <c r="L22" s="10">
        <f t="shared" si="3"/>
        <v>46.2</v>
      </c>
      <c r="M22" s="10">
        <f t="shared" si="4"/>
        <v>66.7</v>
      </c>
      <c r="N22" s="10">
        <f t="shared" si="5"/>
        <v>0</v>
      </c>
      <c r="O22" s="10">
        <f t="shared" si="6"/>
        <v>60</v>
      </c>
      <c r="P22" s="10">
        <f t="shared" si="7"/>
        <v>20</v>
      </c>
      <c r="Q22" s="11">
        <f t="shared" si="8"/>
        <v>21</v>
      </c>
      <c r="R22" s="9">
        <v>0.0</v>
      </c>
      <c r="S22" s="12">
        <v>45970.67361111111</v>
      </c>
      <c r="T22" s="5" t="s">
        <v>25</v>
      </c>
      <c r="U22" s="5">
        <v>0.0</v>
      </c>
      <c r="V22" s="4" t="str">
        <f t="array" ref="V22">IFERROR(INDEX('사용자목록'!O:O, MATCH(A22, '사용자목록'!A:A, 0)),"아이언")</f>
        <v>아이언</v>
      </c>
      <c r="W22" s="9">
        <v>21.0</v>
      </c>
      <c r="X22" s="5" t="str">
        <f t="shared" si="9"/>
        <v/>
      </c>
      <c r="Y22" s="4"/>
    </row>
    <row r="23">
      <c r="A23" s="5" t="s">
        <v>53</v>
      </c>
      <c r="B23" s="9">
        <v>1.0</v>
      </c>
      <c r="C23" s="5">
        <v>4.0</v>
      </c>
      <c r="D23" s="9">
        <v>1.0</v>
      </c>
      <c r="E23" s="9">
        <v>4.0</v>
      </c>
      <c r="F23" s="9">
        <v>2.0</v>
      </c>
      <c r="G23" s="9">
        <v>1.0</v>
      </c>
      <c r="H23" s="9">
        <v>2.0</v>
      </c>
      <c r="I23" s="9">
        <v>2.0</v>
      </c>
      <c r="J23" s="5">
        <f t="shared" ref="J23:K23" si="29">B23+D23+F23+H23</f>
        <v>6</v>
      </c>
      <c r="K23" s="4">
        <f t="shared" si="29"/>
        <v>11</v>
      </c>
      <c r="L23" s="10">
        <f t="shared" si="3"/>
        <v>35.3</v>
      </c>
      <c r="M23" s="10">
        <f t="shared" si="4"/>
        <v>20</v>
      </c>
      <c r="N23" s="10">
        <f t="shared" si="5"/>
        <v>20</v>
      </c>
      <c r="O23" s="10">
        <f t="shared" si="6"/>
        <v>66.7</v>
      </c>
      <c r="P23" s="10">
        <f t="shared" si="7"/>
        <v>50</v>
      </c>
      <c r="Q23" s="11">
        <f t="shared" si="8"/>
        <v>22</v>
      </c>
      <c r="R23" s="9">
        <v>0.0</v>
      </c>
      <c r="S23" s="12">
        <v>45951.09444444445</v>
      </c>
      <c r="T23" s="5" t="s">
        <v>25</v>
      </c>
      <c r="U23" s="5">
        <v>4.0</v>
      </c>
      <c r="V23" s="4" t="str">
        <f t="array" ref="V23">IFERROR(INDEX('사용자목록'!O:O, MATCH(A23, '사용자목록'!A:A, 0)),"아이언")</f>
        <v>아이언</v>
      </c>
      <c r="W23" s="9">
        <v>22.0</v>
      </c>
      <c r="X23" s="5" t="str">
        <f t="shared" si="9"/>
        <v/>
      </c>
      <c r="Y23" s="4"/>
    </row>
    <row r="24">
      <c r="A24" s="5" t="s">
        <v>54</v>
      </c>
      <c r="B24" s="9">
        <v>1.0</v>
      </c>
      <c r="C24" s="5">
        <v>4.0</v>
      </c>
      <c r="D24" s="9">
        <v>0.0</v>
      </c>
      <c r="E24" s="9">
        <v>0.0</v>
      </c>
      <c r="F24" s="9">
        <v>3.0</v>
      </c>
      <c r="G24" s="9">
        <v>2.0</v>
      </c>
      <c r="H24" s="9">
        <v>1.0</v>
      </c>
      <c r="I24" s="9">
        <v>8.0</v>
      </c>
      <c r="J24" s="5">
        <f t="shared" ref="J24:K24" si="30">B24+D24+F24+H24</f>
        <v>5</v>
      </c>
      <c r="K24" s="4">
        <f t="shared" si="30"/>
        <v>14</v>
      </c>
      <c r="L24" s="10">
        <f t="shared" si="3"/>
        <v>26.3</v>
      </c>
      <c r="M24" s="10">
        <f t="shared" si="4"/>
        <v>20</v>
      </c>
      <c r="N24" s="10">
        <f t="shared" si="5"/>
        <v>0</v>
      </c>
      <c r="O24" s="10">
        <f t="shared" si="6"/>
        <v>60</v>
      </c>
      <c r="P24" s="10">
        <f t="shared" si="7"/>
        <v>11.1</v>
      </c>
      <c r="Q24" s="11">
        <f t="shared" si="8"/>
        <v>23</v>
      </c>
      <c r="R24" s="9">
        <v>0.0</v>
      </c>
      <c r="S24" s="12">
        <v>45939.02291666667</v>
      </c>
      <c r="T24" s="5" t="s">
        <v>25</v>
      </c>
      <c r="U24" s="5">
        <v>0.0</v>
      </c>
      <c r="V24" s="4" t="str">
        <f t="array" ref="V24">IFERROR(INDEX('사용자목록'!O:O, MATCH(A24, '사용자목록'!A:A, 0)),"아이언")</f>
        <v>아이언</v>
      </c>
      <c r="W24" s="9">
        <v>23.0</v>
      </c>
      <c r="X24" s="5" t="str">
        <f t="shared" si="9"/>
        <v/>
      </c>
      <c r="Y24" s="4"/>
    </row>
    <row r="25">
      <c r="A25" s="5" t="s">
        <v>55</v>
      </c>
      <c r="B25" s="9">
        <v>1.0</v>
      </c>
      <c r="C25" s="5">
        <v>5.0</v>
      </c>
      <c r="D25" s="9">
        <v>0.0</v>
      </c>
      <c r="E25" s="9">
        <v>0.0</v>
      </c>
      <c r="F25" s="9">
        <v>2.0</v>
      </c>
      <c r="G25" s="5">
        <v>6.0</v>
      </c>
      <c r="H25" s="9">
        <v>2.0</v>
      </c>
      <c r="I25" s="9">
        <v>3.0</v>
      </c>
      <c r="J25" s="5">
        <f t="shared" ref="J25:K25" si="31">B25+D25+F25+H25</f>
        <v>5</v>
      </c>
      <c r="K25" s="4">
        <f t="shared" si="31"/>
        <v>14</v>
      </c>
      <c r="L25" s="10">
        <f t="shared" si="3"/>
        <v>26.3</v>
      </c>
      <c r="M25" s="10">
        <f t="shared" si="4"/>
        <v>16.7</v>
      </c>
      <c r="N25" s="10">
        <f t="shared" si="5"/>
        <v>0</v>
      </c>
      <c r="O25" s="10">
        <f t="shared" si="6"/>
        <v>25</v>
      </c>
      <c r="P25" s="10">
        <f t="shared" si="7"/>
        <v>40</v>
      </c>
      <c r="Q25" s="11">
        <f t="shared" si="8"/>
        <v>24</v>
      </c>
      <c r="R25" s="9">
        <v>0.0</v>
      </c>
      <c r="S25" s="12">
        <v>45970.67361111111</v>
      </c>
      <c r="T25" s="5" t="s">
        <v>25</v>
      </c>
      <c r="U25" s="5">
        <v>0.0</v>
      </c>
      <c r="V25" s="4" t="str">
        <f t="array" ref="V25">IFERROR(INDEX('사용자목록'!O:O, MATCH(A25, '사용자목록'!A:A, 0)),"아이언")</f>
        <v>아이언</v>
      </c>
      <c r="W25" s="9">
        <v>24.0</v>
      </c>
      <c r="X25" s="5" t="str">
        <f t="shared" si="9"/>
        <v/>
      </c>
      <c r="Y25" s="4"/>
    </row>
    <row r="26">
      <c r="A26" s="5" t="s">
        <v>56</v>
      </c>
      <c r="B26" s="9">
        <v>0.0</v>
      </c>
      <c r="C26" s="5">
        <v>1.0</v>
      </c>
      <c r="D26" s="9">
        <v>1.0</v>
      </c>
      <c r="E26" s="9">
        <v>0.0</v>
      </c>
      <c r="F26" s="9">
        <v>2.0</v>
      </c>
      <c r="G26" s="9">
        <v>0.0</v>
      </c>
      <c r="H26" s="9">
        <v>0.0</v>
      </c>
      <c r="I26" s="9">
        <v>3.0</v>
      </c>
      <c r="J26" s="5">
        <f t="shared" ref="J26:K26" si="32">B26+D26+F26+H26</f>
        <v>3</v>
      </c>
      <c r="K26" s="4">
        <f t="shared" si="32"/>
        <v>4</v>
      </c>
      <c r="L26" s="10">
        <f t="shared" si="3"/>
        <v>42.9</v>
      </c>
      <c r="M26" s="10">
        <f t="shared" si="4"/>
        <v>0</v>
      </c>
      <c r="N26" s="10">
        <f t="shared" si="5"/>
        <v>100</v>
      </c>
      <c r="O26" s="10">
        <f t="shared" si="6"/>
        <v>100</v>
      </c>
      <c r="P26" s="10">
        <f t="shared" si="7"/>
        <v>0</v>
      </c>
      <c r="Q26" s="11">
        <f t="shared" si="8"/>
        <v>25</v>
      </c>
      <c r="R26" s="9">
        <v>0.0</v>
      </c>
      <c r="S26" s="12">
        <v>45940.90138888889</v>
      </c>
      <c r="T26" s="5" t="s">
        <v>25</v>
      </c>
      <c r="U26" s="5">
        <v>1.0</v>
      </c>
      <c r="V26" s="4" t="str">
        <f t="array" ref="V26">IFERROR(INDEX('사용자목록'!O:O, MATCH(A26, '사용자목록'!A:A, 0)),"아이언")</f>
        <v>아이언</v>
      </c>
      <c r="W26" s="9">
        <v>25.0</v>
      </c>
      <c r="X26" s="5" t="str">
        <f t="shared" si="9"/>
        <v/>
      </c>
      <c r="Y26" s="4"/>
    </row>
    <row r="27">
      <c r="A27" s="5" t="s">
        <v>57</v>
      </c>
      <c r="B27" s="9">
        <v>0.0</v>
      </c>
      <c r="C27" s="5">
        <v>1.0</v>
      </c>
      <c r="D27" s="9">
        <v>0.0</v>
      </c>
      <c r="E27" s="9">
        <v>2.0</v>
      </c>
      <c r="F27" s="9">
        <v>0.0</v>
      </c>
      <c r="G27" s="9">
        <v>0.0</v>
      </c>
      <c r="H27" s="9">
        <v>1.0</v>
      </c>
      <c r="I27" s="9">
        <v>0.0</v>
      </c>
      <c r="J27" s="5">
        <f t="shared" ref="J27:K27" si="33">B27+D27+F27+H27</f>
        <v>1</v>
      </c>
      <c r="K27" s="4">
        <f t="shared" si="33"/>
        <v>3</v>
      </c>
      <c r="L27" s="10">
        <f t="shared" si="3"/>
        <v>25</v>
      </c>
      <c r="M27" s="10">
        <f t="shared" si="4"/>
        <v>0</v>
      </c>
      <c r="N27" s="10">
        <f t="shared" si="5"/>
        <v>0</v>
      </c>
      <c r="O27" s="10">
        <f t="shared" si="6"/>
        <v>0</v>
      </c>
      <c r="P27" s="10">
        <f t="shared" si="7"/>
        <v>100</v>
      </c>
      <c r="Q27" s="11">
        <f t="shared" si="8"/>
        <v>26</v>
      </c>
      <c r="R27" s="9">
        <v>0.0</v>
      </c>
      <c r="S27" s="12">
        <v>45963.7375</v>
      </c>
      <c r="T27" s="5" t="s">
        <v>25</v>
      </c>
      <c r="U27" s="5">
        <v>0.0</v>
      </c>
      <c r="V27" s="4" t="str">
        <f t="array" ref="V27">IFERROR(INDEX('사용자목록'!O:O, MATCH(A27, '사용자목록'!A:A, 0)),"아이언")</f>
        <v>아이언</v>
      </c>
      <c r="W27" s="9">
        <v>26.0</v>
      </c>
      <c r="X27" s="5" t="str">
        <f t="shared" si="9"/>
        <v/>
      </c>
      <c r="Y27" s="4"/>
    </row>
    <row r="28">
      <c r="A28" s="5" t="s">
        <v>58</v>
      </c>
      <c r="B28" s="9">
        <v>0.0</v>
      </c>
      <c r="C28" s="5">
        <v>2.0</v>
      </c>
      <c r="D28" s="9">
        <v>0.0</v>
      </c>
      <c r="E28" s="5">
        <v>3.0</v>
      </c>
      <c r="F28" s="5">
        <v>1.0</v>
      </c>
      <c r="G28" s="9">
        <v>1.0</v>
      </c>
      <c r="H28" s="9">
        <v>0.0</v>
      </c>
      <c r="I28" s="9">
        <v>0.0</v>
      </c>
      <c r="J28" s="5">
        <f t="shared" ref="J28:K28" si="34">B28+D28+F28+H28</f>
        <v>1</v>
      </c>
      <c r="K28" s="4">
        <f t="shared" si="34"/>
        <v>6</v>
      </c>
      <c r="L28" s="10">
        <f t="shared" si="3"/>
        <v>14.3</v>
      </c>
      <c r="M28" s="10">
        <f t="shared" si="4"/>
        <v>0</v>
      </c>
      <c r="N28" s="10">
        <f t="shared" si="5"/>
        <v>0</v>
      </c>
      <c r="O28" s="10">
        <f t="shared" si="6"/>
        <v>50</v>
      </c>
      <c r="P28" s="10">
        <f t="shared" si="7"/>
        <v>0</v>
      </c>
      <c r="Q28" s="11">
        <f t="shared" si="8"/>
        <v>27</v>
      </c>
      <c r="R28" s="9">
        <v>0.0</v>
      </c>
      <c r="S28" s="12">
        <v>45931.02777777778</v>
      </c>
      <c r="T28" s="5" t="s">
        <v>25</v>
      </c>
      <c r="U28" s="5">
        <v>0.0</v>
      </c>
      <c r="V28" s="4" t="str">
        <f t="array" ref="V28">IFERROR(INDEX('사용자목록'!O:O, MATCH(A28, '사용자목록'!A:A, 0)),"아이언")</f>
        <v>아이언</v>
      </c>
      <c r="W28" s="9">
        <v>27.0</v>
      </c>
      <c r="X28" s="5" t="str">
        <f t="shared" si="9"/>
        <v/>
      </c>
      <c r="Y28" s="4"/>
    </row>
    <row r="29">
      <c r="A29" s="5" t="s">
        <v>46</v>
      </c>
      <c r="B29" s="9">
        <v>0.0</v>
      </c>
      <c r="C29" s="5">
        <v>0.0</v>
      </c>
      <c r="D29" s="9">
        <v>0.0</v>
      </c>
      <c r="E29" s="5">
        <v>0.0</v>
      </c>
      <c r="F29" s="9">
        <v>0.0</v>
      </c>
      <c r="G29" s="5">
        <v>0.0</v>
      </c>
      <c r="H29" s="9">
        <v>0.0</v>
      </c>
      <c r="I29" s="9">
        <v>0.0</v>
      </c>
      <c r="J29" s="5">
        <f t="shared" ref="J29:K29" si="35">B29+D29+F29+H29</f>
        <v>0</v>
      </c>
      <c r="K29" s="4">
        <f t="shared" si="35"/>
        <v>0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 t="str">
        <f t="shared" si="8"/>
        <v/>
      </c>
      <c r="R29" s="9">
        <v>0.0</v>
      </c>
      <c r="S29" s="12">
        <v>45953.032638888886</v>
      </c>
      <c r="T29" s="5" t="s">
        <v>47</v>
      </c>
      <c r="U29" s="5">
        <v>0.0</v>
      </c>
      <c r="V29" s="4" t="str">
        <f t="array" ref="V29">IFERROR(INDEX('사용자목록'!O:O, MATCH(A29, '사용자목록'!A:A, 0)),"아이언")</f>
        <v>아이언</v>
      </c>
      <c r="W29" s="5"/>
      <c r="X29" s="5" t="str">
        <f t="shared" si="9"/>
        <v/>
      </c>
      <c r="Y29" s="4"/>
    </row>
    <row r="30">
      <c r="A30" s="5" t="s">
        <v>59</v>
      </c>
      <c r="B30" s="9">
        <v>0.0</v>
      </c>
      <c r="C30" s="5">
        <v>0.0</v>
      </c>
      <c r="D30" s="9">
        <v>0.0</v>
      </c>
      <c r="E30" s="9">
        <v>0.0</v>
      </c>
      <c r="F30" s="9">
        <v>0.0</v>
      </c>
      <c r="G30" s="9">
        <v>1.0</v>
      </c>
      <c r="H30" s="9">
        <v>0.0</v>
      </c>
      <c r="I30" s="9">
        <v>1.0</v>
      </c>
      <c r="J30" s="5">
        <f t="shared" ref="J30:K30" si="36">B30+D30+F30+H30</f>
        <v>0</v>
      </c>
      <c r="K30" s="4">
        <f t="shared" si="36"/>
        <v>2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>
        <f t="shared" si="8"/>
        <v>28</v>
      </c>
      <c r="R30" s="9">
        <v>0.0</v>
      </c>
      <c r="S30" s="12">
        <v>45932.02361111111</v>
      </c>
      <c r="T30" s="5" t="s">
        <v>25</v>
      </c>
      <c r="U30" s="5">
        <v>0.0</v>
      </c>
      <c r="V30" s="4" t="str">
        <f t="array" ref="V30">IFERROR(INDEX('사용자목록'!O:O, MATCH(A30, '사용자목록'!A:A, 0)),"아이언")</f>
        <v>아이언</v>
      </c>
      <c r="W30" s="9">
        <v>28.0</v>
      </c>
      <c r="X30" s="5" t="str">
        <f t="shared" si="9"/>
        <v/>
      </c>
      <c r="Y30" s="4"/>
    </row>
    <row r="31">
      <c r="A31" s="5" t="s">
        <v>60</v>
      </c>
      <c r="B31" s="9">
        <v>0.0</v>
      </c>
      <c r="C31" s="5">
        <v>0.0</v>
      </c>
      <c r="D31" s="9">
        <v>0.0</v>
      </c>
      <c r="E31" s="9">
        <v>0.0</v>
      </c>
      <c r="F31" s="9">
        <v>0.0</v>
      </c>
      <c r="G31" s="9">
        <v>1.0</v>
      </c>
      <c r="H31" s="9">
        <v>0.0</v>
      </c>
      <c r="I31" s="9">
        <v>1.0</v>
      </c>
      <c r="J31" s="5">
        <f t="shared" ref="J31:K31" si="37">B31+D31+F31+H31</f>
        <v>0</v>
      </c>
      <c r="K31" s="4">
        <f t="shared" si="37"/>
        <v>2</v>
      </c>
      <c r="L31" s="10">
        <f t="shared" si="3"/>
        <v>0</v>
      </c>
      <c r="M31" s="10">
        <f t="shared" si="4"/>
        <v>0</v>
      </c>
      <c r="N31" s="10">
        <f t="shared" si="5"/>
        <v>0</v>
      </c>
      <c r="O31" s="10">
        <f t="shared" si="6"/>
        <v>0</v>
      </c>
      <c r="P31" s="10">
        <f t="shared" si="7"/>
        <v>0</v>
      </c>
      <c r="Q31" s="11">
        <f t="shared" si="8"/>
        <v>29</v>
      </c>
      <c r="R31" s="9">
        <v>0.0</v>
      </c>
      <c r="S31" s="12">
        <v>45937.08125</v>
      </c>
      <c r="T31" s="5" t="s">
        <v>25</v>
      </c>
      <c r="U31" s="5">
        <v>0.0</v>
      </c>
      <c r="V31" s="4" t="str">
        <f t="array" ref="V31">IFERROR(INDEX('사용자목록'!O:O, MATCH(A31, '사용자목록'!A:A, 0)),"아이언")</f>
        <v>아이언</v>
      </c>
      <c r="W31" s="9">
        <v>29.0</v>
      </c>
      <c r="X31" s="5" t="str">
        <f t="shared" si="9"/>
        <v/>
      </c>
      <c r="Y31" s="4"/>
    </row>
    <row r="32">
      <c r="A32" s="5" t="s">
        <v>61</v>
      </c>
      <c r="B32" s="9">
        <v>0.0</v>
      </c>
      <c r="C32" s="5">
        <v>2.0</v>
      </c>
      <c r="D32" s="9">
        <v>0.0</v>
      </c>
      <c r="E32" s="9">
        <v>2.0</v>
      </c>
      <c r="F32" s="9">
        <v>0.0</v>
      </c>
      <c r="G32" s="9">
        <v>0.0</v>
      </c>
      <c r="H32" s="9">
        <v>0.0</v>
      </c>
      <c r="I32" s="9">
        <v>0.0</v>
      </c>
      <c r="J32" s="5">
        <f t="shared" ref="J32:K32" si="38">B32+D32+F32+H32</f>
        <v>0</v>
      </c>
      <c r="K32" s="4">
        <f t="shared" si="38"/>
        <v>4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>
        <f t="shared" si="6"/>
        <v>0</v>
      </c>
      <c r="P32" s="10">
        <f t="shared" si="7"/>
        <v>0</v>
      </c>
      <c r="Q32" s="11">
        <f t="shared" si="8"/>
        <v>30</v>
      </c>
      <c r="R32" s="9">
        <v>0.0</v>
      </c>
      <c r="S32" s="12">
        <v>45951.09444444445</v>
      </c>
      <c r="T32" s="5" t="s">
        <v>25</v>
      </c>
      <c r="U32" s="5">
        <v>0.0</v>
      </c>
      <c r="V32" s="4" t="str">
        <f t="array" ref="V32">IFERROR(INDEX('사용자목록'!O:O, MATCH(A32, '사용자목록'!A:A, 0)),"아이언")</f>
        <v>아이언</v>
      </c>
      <c r="W32" s="9">
        <v>30.0</v>
      </c>
      <c r="X32" s="5" t="str">
        <f t="shared" si="9"/>
        <v/>
      </c>
      <c r="Y32" s="4"/>
    </row>
    <row r="33">
      <c r="A33" s="5"/>
      <c r="B33" s="9"/>
      <c r="C33" s="5"/>
      <c r="D33" s="9"/>
      <c r="E33" s="9"/>
      <c r="F33" s="9"/>
      <c r="G33" s="9"/>
      <c r="H33" s="9"/>
      <c r="I33" s="9"/>
      <c r="J33" s="5"/>
      <c r="K33" s="4"/>
      <c r="L33" s="10"/>
      <c r="M33" s="10"/>
      <c r="N33" s="10"/>
      <c r="O33" s="10"/>
      <c r="P33" s="10"/>
      <c r="Q33" s="11"/>
      <c r="R33" s="9"/>
      <c r="S33" s="12"/>
      <c r="T33" s="5"/>
      <c r="U33" s="5"/>
      <c r="V33" s="4"/>
      <c r="W33" s="4"/>
      <c r="X33" s="4"/>
      <c r="Y33" s="4"/>
    </row>
    <row r="34">
      <c r="A34" s="5"/>
      <c r="B34" s="9"/>
      <c r="C34" s="5"/>
      <c r="D34" s="9"/>
      <c r="E34" s="9"/>
      <c r="F34" s="9"/>
      <c r="G34" s="9"/>
      <c r="H34" s="9"/>
      <c r="I34" s="9"/>
      <c r="J34" s="5"/>
      <c r="K34" s="4"/>
      <c r="L34" s="10"/>
      <c r="M34" s="10"/>
      <c r="N34" s="10"/>
      <c r="O34" s="10"/>
      <c r="P34" s="10"/>
      <c r="Q34" s="11"/>
      <c r="R34" s="9"/>
      <c r="S34" s="12"/>
      <c r="T34" s="5"/>
      <c r="U34" s="5"/>
      <c r="V34" s="4"/>
      <c r="W34" s="4"/>
      <c r="X34" s="4"/>
      <c r="Y34" s="4"/>
    </row>
    <row r="35">
      <c r="A35" s="5"/>
      <c r="B35" s="9"/>
      <c r="C35" s="5"/>
      <c r="D35" s="9"/>
      <c r="E35" s="9"/>
      <c r="F35" s="9"/>
      <c r="G35" s="9"/>
      <c r="H35" s="9"/>
      <c r="I35" s="9"/>
      <c r="J35" s="5"/>
      <c r="K35" s="4"/>
      <c r="L35" s="10"/>
      <c r="M35" s="10"/>
      <c r="N35" s="10"/>
      <c r="O35" s="10"/>
      <c r="P35" s="10"/>
      <c r="Q35" s="11"/>
      <c r="R35" s="9"/>
      <c r="S35" s="12"/>
      <c r="T35" s="5"/>
      <c r="U35" s="5"/>
      <c r="V35" s="4"/>
      <c r="W35" s="4"/>
      <c r="X35" s="4"/>
      <c r="Y35" s="4"/>
    </row>
    <row r="36">
      <c r="A36" s="5"/>
      <c r="B36" s="9"/>
      <c r="C36" s="5"/>
      <c r="D36" s="9"/>
      <c r="E36" s="9"/>
      <c r="F36" s="9"/>
      <c r="G36" s="9"/>
      <c r="H36" s="9"/>
      <c r="I36" s="9"/>
      <c r="J36" s="5"/>
      <c r="K36" s="4"/>
      <c r="L36" s="10"/>
      <c r="M36" s="10"/>
      <c r="N36" s="10"/>
      <c r="O36" s="10"/>
      <c r="P36" s="10"/>
      <c r="Q36" s="11"/>
      <c r="R36" s="9"/>
      <c r="S36" s="12"/>
      <c r="T36" s="5"/>
      <c r="U36" s="5"/>
      <c r="V36" s="4"/>
      <c r="W36" s="4"/>
      <c r="X36" s="4"/>
      <c r="Y36" s="4"/>
    </row>
    <row r="37">
      <c r="A37" s="5"/>
      <c r="B37" s="9"/>
      <c r="C37" s="5"/>
      <c r="D37" s="9"/>
      <c r="E37" s="9"/>
      <c r="F37" s="9"/>
      <c r="G37" s="9"/>
      <c r="H37" s="9"/>
      <c r="I37" s="9"/>
      <c r="J37" s="5"/>
      <c r="K37" s="4"/>
      <c r="L37" s="10"/>
      <c r="M37" s="10"/>
      <c r="N37" s="10"/>
      <c r="O37" s="10"/>
      <c r="P37" s="10"/>
      <c r="Q37" s="11"/>
      <c r="R37" s="9"/>
      <c r="S37" s="12"/>
      <c r="T37" s="5"/>
      <c r="U37" s="5"/>
      <c r="V37" s="4"/>
      <c r="W37" s="4"/>
      <c r="X37" s="4"/>
      <c r="Y37" s="4"/>
    </row>
    <row r="38">
      <c r="A38" s="5"/>
      <c r="B38" s="9"/>
      <c r="C38" s="5"/>
      <c r="D38" s="9"/>
      <c r="E38" s="9"/>
      <c r="F38" s="9"/>
      <c r="G38" s="9"/>
      <c r="H38" s="9"/>
      <c r="I38" s="9"/>
      <c r="J38" s="5"/>
      <c r="K38" s="4"/>
      <c r="L38" s="10"/>
      <c r="M38" s="10"/>
      <c r="N38" s="10"/>
      <c r="O38" s="10"/>
      <c r="P38" s="10"/>
      <c r="Q38" s="11"/>
      <c r="R38" s="9"/>
      <c r="S38" s="12"/>
      <c r="T38" s="5"/>
      <c r="U38" s="5"/>
      <c r="V38" s="4"/>
      <c r="W38" s="4"/>
      <c r="X38" s="4"/>
      <c r="Y38" s="4"/>
    </row>
    <row r="39">
      <c r="A39" s="5"/>
      <c r="B39" s="9"/>
      <c r="C39" s="5"/>
      <c r="D39" s="9"/>
      <c r="E39" s="9"/>
      <c r="F39" s="9"/>
      <c r="G39" s="9"/>
      <c r="H39" s="9"/>
      <c r="I39" s="9"/>
      <c r="J39" s="5"/>
      <c r="K39" s="4"/>
      <c r="L39" s="10"/>
      <c r="M39" s="10"/>
      <c r="N39" s="10"/>
      <c r="O39" s="10"/>
      <c r="P39" s="10"/>
      <c r="Q39" s="11"/>
      <c r="R39" s="9"/>
      <c r="S39" s="12"/>
      <c r="T39" s="5"/>
      <c r="U39" s="5"/>
      <c r="V39" s="4"/>
      <c r="W39" s="4"/>
      <c r="X39" s="4"/>
      <c r="Y39" s="4"/>
    </row>
    <row r="40">
      <c r="A40" s="5"/>
      <c r="B40" s="9"/>
      <c r="C40" s="5"/>
      <c r="D40" s="9"/>
      <c r="E40" s="9"/>
      <c r="F40" s="9"/>
      <c r="G40" s="9"/>
      <c r="H40" s="9"/>
      <c r="I40" s="9"/>
      <c r="J40" s="5"/>
      <c r="K40" s="4"/>
      <c r="L40" s="10"/>
      <c r="M40" s="10"/>
      <c r="N40" s="10"/>
      <c r="O40" s="10"/>
      <c r="P40" s="10"/>
      <c r="Q40" s="11"/>
      <c r="R40" s="9"/>
      <c r="S40" s="12"/>
      <c r="T40" s="5"/>
      <c r="U40" s="5"/>
      <c r="V40" s="4"/>
      <c r="W40" s="4"/>
      <c r="X40" s="4"/>
      <c r="Y40" s="4"/>
    </row>
    <row r="41">
      <c r="A41" s="5"/>
      <c r="B41" s="9"/>
      <c r="C41" s="5"/>
      <c r="D41" s="9"/>
      <c r="E41" s="9"/>
      <c r="F41" s="9"/>
      <c r="G41" s="9"/>
      <c r="H41" s="9"/>
      <c r="I41" s="9"/>
      <c r="J41" s="5"/>
      <c r="K41" s="4"/>
      <c r="L41" s="10"/>
      <c r="M41" s="10"/>
      <c r="N41" s="10"/>
      <c r="O41" s="10"/>
      <c r="P41" s="10"/>
      <c r="Q41" s="11"/>
      <c r="R41" s="9"/>
      <c r="S41" s="12"/>
      <c r="T41" s="5"/>
      <c r="U41" s="5"/>
      <c r="V41" s="4"/>
      <c r="W41" s="4"/>
      <c r="X41" s="4"/>
      <c r="Y41" s="4"/>
    </row>
    <row r="42">
      <c r="A42" s="5"/>
      <c r="B42" s="9"/>
      <c r="C42" s="5"/>
      <c r="D42" s="9"/>
      <c r="E42" s="9"/>
      <c r="F42" s="9"/>
      <c r="G42" s="9"/>
      <c r="H42" s="9"/>
      <c r="I42" s="9"/>
      <c r="J42" s="5"/>
      <c r="K42" s="4"/>
      <c r="L42" s="10"/>
      <c r="M42" s="10"/>
      <c r="N42" s="10"/>
      <c r="O42" s="10"/>
      <c r="P42" s="10"/>
      <c r="Q42" s="11"/>
      <c r="R42" s="9"/>
      <c r="S42" s="12"/>
      <c r="T42" s="5"/>
      <c r="U42" s="5"/>
      <c r="V42" s="4"/>
      <c r="W42" s="4"/>
      <c r="X42" s="4"/>
      <c r="Y42" s="4"/>
    </row>
    <row r="43">
      <c r="A43" s="5"/>
      <c r="B43" s="9"/>
      <c r="C43" s="5"/>
      <c r="D43" s="9"/>
      <c r="E43" s="9"/>
      <c r="F43" s="9"/>
      <c r="G43" s="9"/>
      <c r="H43" s="9"/>
      <c r="I43" s="9"/>
      <c r="J43" s="5"/>
      <c r="K43" s="4"/>
      <c r="L43" s="10"/>
      <c r="M43" s="10"/>
      <c r="N43" s="10"/>
      <c r="O43" s="10"/>
      <c r="P43" s="10"/>
      <c r="Q43" s="11"/>
      <c r="R43" s="9"/>
      <c r="S43" s="12"/>
      <c r="T43" s="5"/>
      <c r="U43" s="5"/>
      <c r="V43" s="4"/>
      <c r="W43" s="4"/>
      <c r="X43" s="4"/>
      <c r="Y43" s="4"/>
    </row>
    <row r="44">
      <c r="A44" s="5"/>
      <c r="B44" s="9"/>
      <c r="C44" s="5"/>
      <c r="D44" s="9"/>
      <c r="E44" s="9"/>
      <c r="F44" s="9"/>
      <c r="G44" s="9"/>
      <c r="H44" s="9"/>
      <c r="I44" s="9"/>
      <c r="J44" s="5"/>
      <c r="K44" s="4"/>
      <c r="L44" s="10"/>
      <c r="M44" s="10"/>
      <c r="N44" s="10"/>
      <c r="O44" s="10"/>
      <c r="P44" s="10"/>
      <c r="Q44" s="11"/>
      <c r="R44" s="9"/>
      <c r="S44" s="12"/>
      <c r="T44" s="5"/>
      <c r="U44" s="5"/>
      <c r="V44" s="4"/>
      <c r="W44" s="4"/>
      <c r="X44" s="4"/>
      <c r="Y44" s="4"/>
    </row>
    <row r="45">
      <c r="A45" s="5"/>
      <c r="B45" s="9"/>
      <c r="C45" s="5"/>
      <c r="D45" s="9"/>
      <c r="E45" s="9"/>
      <c r="F45" s="9"/>
      <c r="G45" s="9"/>
      <c r="H45" s="9"/>
      <c r="I45" s="9"/>
      <c r="J45" s="5"/>
      <c r="K45" s="4"/>
      <c r="L45" s="10"/>
      <c r="M45" s="10"/>
      <c r="N45" s="10"/>
      <c r="O45" s="10"/>
      <c r="P45" s="10"/>
      <c r="Q45" s="11"/>
      <c r="R45" s="9"/>
      <c r="S45" s="12"/>
      <c r="T45" s="5"/>
      <c r="U45" s="5"/>
      <c r="V45" s="4"/>
      <c r="W45" s="4"/>
      <c r="X45" s="4"/>
      <c r="Y45" s="4"/>
    </row>
    <row r="46">
      <c r="A46" s="5"/>
      <c r="B46" s="9"/>
      <c r="C46" s="5"/>
      <c r="D46" s="9"/>
      <c r="E46" s="9"/>
      <c r="F46" s="9"/>
      <c r="G46" s="9"/>
      <c r="H46" s="9"/>
      <c r="I46" s="9"/>
      <c r="J46" s="5"/>
      <c r="K46" s="4"/>
      <c r="L46" s="10"/>
      <c r="M46" s="10"/>
      <c r="N46" s="10"/>
      <c r="O46" s="10"/>
      <c r="P46" s="10"/>
      <c r="Q46" s="11"/>
      <c r="R46" s="9"/>
      <c r="S46" s="12"/>
      <c r="T46" s="5"/>
      <c r="U46" s="5"/>
      <c r="V46" s="4"/>
      <c r="W46" s="4"/>
      <c r="X46" s="4"/>
      <c r="Y46" s="4"/>
    </row>
    <row r="47">
      <c r="A47" s="5"/>
      <c r="B47" s="9"/>
      <c r="C47" s="5"/>
      <c r="D47" s="9"/>
      <c r="E47" s="9"/>
      <c r="F47" s="9"/>
      <c r="G47" s="9"/>
      <c r="H47" s="9"/>
      <c r="I47" s="9"/>
      <c r="J47" s="5"/>
      <c r="K47" s="4"/>
      <c r="L47" s="10"/>
      <c r="M47" s="10"/>
      <c r="N47" s="10"/>
      <c r="O47" s="10"/>
      <c r="P47" s="10"/>
      <c r="Q47" s="11"/>
      <c r="R47" s="9"/>
      <c r="S47" s="12"/>
      <c r="T47" s="5"/>
      <c r="U47" s="5"/>
      <c r="V47" s="4"/>
      <c r="W47" s="4"/>
      <c r="X47" s="4"/>
      <c r="Y47" s="4"/>
    </row>
    <row r="48">
      <c r="A48" s="5"/>
      <c r="B48" s="9"/>
      <c r="C48" s="5"/>
      <c r="D48" s="9"/>
      <c r="E48" s="9"/>
      <c r="F48" s="9"/>
      <c r="G48" s="9"/>
      <c r="H48" s="9"/>
      <c r="I48" s="9"/>
      <c r="J48" s="5"/>
      <c r="K48" s="4"/>
      <c r="L48" s="10"/>
      <c r="M48" s="10"/>
      <c r="N48" s="10"/>
      <c r="O48" s="10"/>
      <c r="P48" s="10"/>
      <c r="Q48" s="11"/>
      <c r="R48" s="9"/>
      <c r="S48" s="12"/>
      <c r="T48" s="5"/>
      <c r="U48" s="5"/>
      <c r="V48" s="4"/>
      <c r="W48" s="4"/>
      <c r="X48" s="4"/>
      <c r="Y48" s="4"/>
    </row>
    <row r="49">
      <c r="A49" s="5"/>
      <c r="B49" s="9"/>
      <c r="C49" s="5"/>
      <c r="D49" s="9"/>
      <c r="E49" s="9"/>
      <c r="F49" s="9"/>
      <c r="G49" s="9"/>
      <c r="H49" s="9"/>
      <c r="I49" s="9"/>
      <c r="J49" s="5"/>
      <c r="K49" s="4"/>
      <c r="L49" s="10"/>
      <c r="M49" s="10"/>
      <c r="N49" s="10"/>
      <c r="O49" s="10"/>
      <c r="P49" s="10"/>
      <c r="Q49" s="11"/>
      <c r="R49" s="9"/>
      <c r="S49" s="12"/>
      <c r="T49" s="5"/>
      <c r="U49" s="5"/>
      <c r="V49" s="4"/>
      <c r="W49" s="4"/>
      <c r="X49" s="4"/>
      <c r="Y49" s="4"/>
    </row>
    <row r="50">
      <c r="A50" s="5"/>
      <c r="B50" s="9"/>
      <c r="C50" s="5"/>
      <c r="D50" s="9"/>
      <c r="E50" s="9"/>
      <c r="F50" s="9"/>
      <c r="G50" s="9"/>
      <c r="H50" s="9"/>
      <c r="I50" s="9"/>
      <c r="J50" s="5"/>
      <c r="K50" s="4"/>
      <c r="L50" s="10"/>
      <c r="M50" s="10"/>
      <c r="N50" s="10"/>
      <c r="O50" s="10"/>
      <c r="P50" s="10"/>
      <c r="Q50" s="11"/>
      <c r="R50" s="9"/>
      <c r="S50" s="12"/>
      <c r="T50" s="5"/>
      <c r="U50" s="5"/>
      <c r="V50" s="4"/>
      <c r="W50" s="4"/>
      <c r="X50" s="4"/>
      <c r="Y50" s="4"/>
    </row>
    <row r="51">
      <c r="A51" s="5"/>
      <c r="B51" s="9"/>
      <c r="C51" s="5"/>
      <c r="D51" s="9"/>
      <c r="E51" s="9"/>
      <c r="F51" s="9"/>
      <c r="G51" s="9"/>
      <c r="H51" s="9"/>
      <c r="I51" s="9"/>
      <c r="J51" s="5"/>
      <c r="K51" s="4"/>
      <c r="L51" s="10"/>
      <c r="M51" s="10"/>
      <c r="N51" s="10"/>
      <c r="O51" s="10"/>
      <c r="P51" s="10"/>
      <c r="Q51" s="11"/>
      <c r="R51" s="9"/>
      <c r="S51" s="12"/>
      <c r="T51" s="5"/>
      <c r="U51" s="5"/>
      <c r="V51" s="4"/>
      <c r="W51" s="4"/>
      <c r="X51" s="4"/>
      <c r="Y51" s="4"/>
    </row>
    <row r="52">
      <c r="A52" s="5"/>
      <c r="B52" s="9"/>
      <c r="C52" s="5"/>
      <c r="D52" s="9"/>
      <c r="E52" s="9"/>
      <c r="F52" s="9"/>
      <c r="G52" s="9"/>
      <c r="H52" s="9"/>
      <c r="I52" s="9"/>
      <c r="J52" s="5"/>
      <c r="K52" s="4"/>
      <c r="L52" s="10"/>
      <c r="M52" s="10"/>
      <c r="N52" s="10"/>
      <c r="O52" s="10"/>
      <c r="P52" s="10"/>
      <c r="Q52" s="11"/>
      <c r="R52" s="9"/>
      <c r="S52" s="12"/>
      <c r="T52" s="5"/>
      <c r="U52" s="5"/>
      <c r="V52" s="4"/>
      <c r="W52" s="4"/>
      <c r="X52" s="4"/>
      <c r="Y52" s="4"/>
    </row>
    <row r="53">
      <c r="A53" s="5"/>
      <c r="B53" s="9"/>
      <c r="C53" s="5"/>
      <c r="D53" s="9"/>
      <c r="E53" s="9"/>
      <c r="F53" s="9"/>
      <c r="G53" s="9"/>
      <c r="H53" s="9"/>
      <c r="I53" s="9"/>
      <c r="J53" s="5"/>
      <c r="K53" s="4"/>
      <c r="L53" s="10"/>
      <c r="M53" s="10"/>
      <c r="N53" s="10"/>
      <c r="O53" s="10"/>
      <c r="P53" s="10"/>
      <c r="Q53" s="11"/>
      <c r="R53" s="9"/>
      <c r="S53" s="12"/>
      <c r="T53" s="5"/>
      <c r="U53" s="5"/>
      <c r="V53" s="4"/>
      <c r="W53" s="4"/>
      <c r="X53" s="4"/>
      <c r="Y53" s="4"/>
    </row>
    <row r="54">
      <c r="A54" s="5"/>
      <c r="B54" s="9"/>
      <c r="C54" s="5"/>
      <c r="D54" s="9"/>
      <c r="E54" s="9"/>
      <c r="F54" s="9"/>
      <c r="G54" s="9"/>
      <c r="H54" s="9"/>
      <c r="I54" s="9"/>
      <c r="J54" s="5"/>
      <c r="K54" s="4"/>
      <c r="L54" s="10"/>
      <c r="M54" s="10"/>
      <c r="N54" s="10"/>
      <c r="O54" s="10"/>
      <c r="P54" s="10"/>
      <c r="Q54" s="11"/>
      <c r="R54" s="9"/>
      <c r="S54" s="12"/>
      <c r="T54" s="5"/>
      <c r="U54" s="5"/>
      <c r="V54" s="4"/>
      <c r="W54" s="4"/>
      <c r="X54" s="4"/>
      <c r="Y54" s="4"/>
    </row>
    <row r="55">
      <c r="A55" s="5"/>
      <c r="B55" s="9"/>
      <c r="C55" s="5"/>
      <c r="D55" s="9"/>
      <c r="E55" s="9"/>
      <c r="F55" s="9"/>
      <c r="G55" s="9"/>
      <c r="H55" s="9"/>
      <c r="I55" s="9"/>
      <c r="J55" s="5"/>
      <c r="K55" s="4"/>
      <c r="L55" s="10"/>
      <c r="M55" s="10"/>
      <c r="N55" s="10"/>
      <c r="O55" s="10"/>
      <c r="P55" s="10"/>
      <c r="Q55" s="11"/>
      <c r="R55" s="9"/>
      <c r="S55" s="12"/>
      <c r="T55" s="5"/>
      <c r="U55" s="5"/>
      <c r="V55" s="4"/>
      <c r="W55" s="4"/>
      <c r="X55" s="4"/>
      <c r="Y55" s="4"/>
    </row>
    <row r="56">
      <c r="A56" s="5"/>
      <c r="B56" s="9"/>
      <c r="C56" s="5"/>
      <c r="D56" s="9"/>
      <c r="E56" s="9"/>
      <c r="F56" s="9"/>
      <c r="G56" s="9"/>
      <c r="H56" s="9"/>
      <c r="I56" s="9"/>
      <c r="J56" s="5"/>
      <c r="K56" s="4"/>
      <c r="L56" s="10"/>
      <c r="M56" s="10"/>
      <c r="N56" s="10"/>
      <c r="O56" s="10"/>
      <c r="P56" s="10"/>
      <c r="Q56" s="11"/>
      <c r="R56" s="9"/>
      <c r="S56" s="12"/>
      <c r="T56" s="5"/>
      <c r="U56" s="5"/>
      <c r="V56" s="4"/>
      <c r="W56" s="4"/>
      <c r="X56" s="4"/>
      <c r="Y56" s="4"/>
    </row>
    <row r="57">
      <c r="A57" s="5"/>
      <c r="B57" s="9"/>
      <c r="C57" s="5"/>
      <c r="D57" s="9"/>
      <c r="E57" s="9"/>
      <c r="F57" s="9"/>
      <c r="G57" s="9"/>
      <c r="H57" s="9"/>
      <c r="I57" s="9"/>
      <c r="J57" s="5"/>
      <c r="K57" s="4"/>
      <c r="L57" s="10"/>
      <c r="M57" s="10"/>
      <c r="N57" s="10"/>
      <c r="O57" s="10"/>
      <c r="P57" s="10"/>
      <c r="Q57" s="11"/>
      <c r="R57" s="9"/>
      <c r="S57" s="12"/>
      <c r="T57" s="5"/>
      <c r="U57" s="5"/>
      <c r="V57" s="4"/>
      <c r="W57" s="4"/>
      <c r="X57" s="4"/>
      <c r="Y57" s="4"/>
    </row>
    <row r="58">
      <c r="A58" s="5"/>
      <c r="B58" s="9"/>
      <c r="C58" s="5"/>
      <c r="D58" s="9"/>
      <c r="E58" s="9"/>
      <c r="F58" s="9"/>
      <c r="G58" s="9"/>
      <c r="H58" s="9"/>
      <c r="I58" s="9"/>
      <c r="J58" s="5"/>
      <c r="K58" s="4"/>
      <c r="L58" s="10"/>
      <c r="M58" s="10"/>
      <c r="N58" s="10"/>
      <c r="O58" s="10"/>
      <c r="P58" s="10"/>
      <c r="Q58" s="11"/>
      <c r="R58" s="9"/>
      <c r="S58" s="12"/>
      <c r="T58" s="5"/>
      <c r="U58" s="5"/>
      <c r="V58" s="4"/>
      <c r="W58" s="4"/>
      <c r="X58" s="4"/>
      <c r="Y58" s="4"/>
    </row>
    <row r="59">
      <c r="A59" s="5"/>
      <c r="B59" s="9"/>
      <c r="C59" s="5"/>
      <c r="D59" s="9"/>
      <c r="E59" s="9"/>
      <c r="F59" s="9"/>
      <c r="G59" s="9"/>
      <c r="H59" s="9"/>
      <c r="I59" s="9"/>
      <c r="J59" s="5"/>
      <c r="K59" s="4"/>
      <c r="L59" s="10"/>
      <c r="M59" s="10"/>
      <c r="N59" s="10"/>
      <c r="O59" s="10"/>
      <c r="P59" s="10"/>
      <c r="Q59" s="11"/>
      <c r="R59" s="9"/>
      <c r="S59" s="12"/>
      <c r="T59" s="5"/>
      <c r="U59" s="5"/>
      <c r="V59" s="4"/>
      <c r="W59" s="4"/>
      <c r="X59" s="4"/>
      <c r="Y59" s="4"/>
    </row>
    <row r="60">
      <c r="A60" s="5"/>
      <c r="B60" s="9"/>
      <c r="C60" s="5"/>
      <c r="D60" s="9"/>
      <c r="E60" s="9"/>
      <c r="F60" s="9"/>
      <c r="G60" s="9"/>
      <c r="H60" s="9"/>
      <c r="I60" s="9"/>
      <c r="J60" s="5"/>
      <c r="K60" s="4"/>
      <c r="L60" s="10"/>
      <c r="M60" s="10"/>
      <c r="N60" s="10"/>
      <c r="O60" s="10"/>
      <c r="P60" s="10"/>
      <c r="Q60" s="11"/>
      <c r="R60" s="9"/>
      <c r="S60" s="12"/>
      <c r="T60" s="5"/>
      <c r="U60" s="5"/>
      <c r="V60" s="4"/>
      <c r="W60" s="4"/>
      <c r="X60" s="4"/>
      <c r="Y60" s="4"/>
    </row>
    <row r="61">
      <c r="A61" s="5"/>
      <c r="B61" s="9"/>
      <c r="C61" s="5"/>
      <c r="D61" s="9"/>
      <c r="E61" s="9"/>
      <c r="F61" s="9"/>
      <c r="G61" s="9"/>
      <c r="H61" s="9"/>
      <c r="I61" s="9"/>
      <c r="J61" s="5"/>
      <c r="K61" s="4"/>
      <c r="L61" s="10"/>
      <c r="M61" s="10"/>
      <c r="N61" s="10"/>
      <c r="O61" s="10"/>
      <c r="P61" s="10"/>
      <c r="Q61" s="11"/>
      <c r="R61" s="9"/>
      <c r="S61" s="12"/>
      <c r="T61" s="5"/>
      <c r="U61" s="5"/>
      <c r="V61" s="4"/>
      <c r="W61" s="4"/>
      <c r="X61" s="4"/>
      <c r="Y61" s="4"/>
    </row>
    <row r="62">
      <c r="A62" s="5"/>
      <c r="B62" s="9"/>
      <c r="C62" s="5"/>
      <c r="D62" s="9"/>
      <c r="E62" s="9"/>
      <c r="F62" s="9"/>
      <c r="G62" s="9"/>
      <c r="H62" s="9"/>
      <c r="I62" s="9"/>
      <c r="J62" s="5"/>
      <c r="K62" s="4"/>
      <c r="L62" s="10"/>
      <c r="M62" s="10"/>
      <c r="N62" s="10"/>
      <c r="O62" s="10"/>
      <c r="P62" s="10"/>
      <c r="Q62" s="11"/>
      <c r="R62" s="9"/>
      <c r="S62" s="12"/>
      <c r="T62" s="5"/>
      <c r="U62" s="5"/>
      <c r="V62" s="4"/>
      <c r="W62" s="4"/>
      <c r="X62" s="4"/>
      <c r="Y62" s="4"/>
    </row>
    <row r="63">
      <c r="A63" s="5"/>
      <c r="B63" s="9"/>
      <c r="C63" s="5"/>
      <c r="D63" s="9"/>
      <c r="E63" s="9"/>
      <c r="F63" s="9"/>
      <c r="G63" s="9"/>
      <c r="H63" s="9"/>
      <c r="I63" s="9"/>
      <c r="J63" s="5"/>
      <c r="K63" s="4"/>
      <c r="L63" s="10"/>
      <c r="M63" s="10"/>
      <c r="N63" s="10"/>
      <c r="O63" s="10"/>
      <c r="P63" s="10"/>
      <c r="Q63" s="11"/>
      <c r="R63" s="9"/>
      <c r="S63" s="12"/>
      <c r="T63" s="5"/>
      <c r="U63" s="5"/>
      <c r="V63" s="4"/>
      <c r="W63" s="4"/>
      <c r="X63" s="4"/>
      <c r="Y63" s="4"/>
    </row>
    <row r="64">
      <c r="A64" s="5"/>
      <c r="B64" s="9"/>
      <c r="C64" s="5"/>
      <c r="D64" s="9"/>
      <c r="E64" s="9"/>
      <c r="F64" s="9"/>
      <c r="G64" s="9"/>
      <c r="H64" s="9"/>
      <c r="I64" s="9"/>
      <c r="J64" s="5"/>
      <c r="K64" s="4"/>
      <c r="L64" s="10"/>
      <c r="M64" s="10"/>
      <c r="N64" s="10"/>
      <c r="O64" s="10"/>
      <c r="P64" s="10"/>
      <c r="Q64" s="11"/>
      <c r="R64" s="9"/>
      <c r="S64" s="12"/>
      <c r="T64" s="5"/>
      <c r="U64" s="5"/>
      <c r="V64" s="4"/>
      <c r="W64" s="4"/>
      <c r="X64" s="4"/>
      <c r="Y64" s="4"/>
    </row>
    <row r="65">
      <c r="A65" s="5"/>
      <c r="B65" s="9"/>
      <c r="C65" s="5"/>
      <c r="D65" s="9"/>
      <c r="E65" s="9"/>
      <c r="F65" s="9"/>
      <c r="G65" s="9"/>
      <c r="H65" s="9"/>
      <c r="I65" s="9"/>
      <c r="J65" s="5"/>
      <c r="K65" s="4"/>
      <c r="L65" s="10"/>
      <c r="M65" s="10"/>
      <c r="N65" s="10"/>
      <c r="O65" s="10"/>
      <c r="P65" s="10"/>
      <c r="Q65" s="11"/>
      <c r="R65" s="9"/>
      <c r="S65" s="12"/>
      <c r="T65" s="5"/>
      <c r="U65" s="5"/>
      <c r="V65" s="4"/>
      <c r="W65" s="4"/>
      <c r="X65" s="4"/>
      <c r="Y65" s="4"/>
    </row>
    <row r="66">
      <c r="A66" s="5"/>
      <c r="B66" s="9"/>
      <c r="C66" s="5"/>
      <c r="D66" s="9"/>
      <c r="E66" s="9"/>
      <c r="F66" s="9"/>
      <c r="G66" s="9"/>
      <c r="H66" s="9"/>
      <c r="I66" s="9"/>
      <c r="J66" s="5"/>
      <c r="K66" s="4"/>
      <c r="L66" s="10"/>
      <c r="M66" s="10"/>
      <c r="N66" s="10"/>
      <c r="O66" s="10"/>
      <c r="P66" s="10"/>
      <c r="Q66" s="11"/>
      <c r="R66" s="9"/>
      <c r="S66" s="12"/>
      <c r="T66" s="5"/>
      <c r="U66" s="5"/>
      <c r="V66" s="4"/>
      <c r="W66" s="4"/>
      <c r="X66" s="4"/>
      <c r="Y66" s="4"/>
    </row>
    <row r="67">
      <c r="A67" s="5"/>
      <c r="B67" s="9"/>
      <c r="C67" s="5"/>
      <c r="D67" s="9"/>
      <c r="E67" s="9"/>
      <c r="F67" s="9"/>
      <c r="G67" s="9"/>
      <c r="H67" s="9"/>
      <c r="I67" s="9"/>
      <c r="J67" s="5"/>
      <c r="K67" s="4"/>
      <c r="L67" s="10"/>
      <c r="M67" s="10"/>
      <c r="N67" s="10"/>
      <c r="O67" s="10"/>
      <c r="P67" s="10"/>
      <c r="Q67" s="11"/>
      <c r="R67" s="9"/>
      <c r="S67" s="12"/>
      <c r="T67" s="5"/>
      <c r="U67" s="5"/>
      <c r="V67" s="4"/>
      <c r="W67" s="4"/>
      <c r="X67" s="4"/>
      <c r="Y67" s="4"/>
    </row>
    <row r="68">
      <c r="A68" s="5"/>
      <c r="B68" s="9"/>
      <c r="C68" s="5"/>
      <c r="D68" s="9"/>
      <c r="E68" s="9"/>
      <c r="F68" s="9"/>
      <c r="G68" s="9"/>
      <c r="H68" s="9"/>
      <c r="I68" s="9"/>
      <c r="J68" s="5"/>
      <c r="K68" s="4"/>
      <c r="L68" s="10"/>
      <c r="M68" s="10"/>
      <c r="N68" s="10"/>
      <c r="O68" s="10"/>
      <c r="P68" s="10"/>
      <c r="Q68" s="11"/>
      <c r="R68" s="9"/>
      <c r="S68" s="12"/>
      <c r="T68" s="5"/>
      <c r="U68" s="5"/>
      <c r="V68" s="4"/>
      <c r="W68" s="4"/>
      <c r="X68" s="4"/>
      <c r="Y68" s="4"/>
    </row>
    <row r="69">
      <c r="A69" s="5"/>
      <c r="B69" s="9"/>
      <c r="C69" s="5"/>
      <c r="D69" s="9"/>
      <c r="E69" s="9"/>
      <c r="F69" s="9"/>
      <c r="G69" s="9"/>
      <c r="H69" s="9"/>
      <c r="I69" s="9"/>
      <c r="J69" s="5"/>
      <c r="K69" s="4"/>
      <c r="L69" s="10"/>
      <c r="M69" s="10"/>
      <c r="N69" s="10"/>
      <c r="O69" s="10"/>
      <c r="P69" s="10"/>
      <c r="Q69" s="11"/>
      <c r="R69" s="9"/>
      <c r="S69" s="12"/>
      <c r="T69" s="5"/>
      <c r="U69" s="5"/>
      <c r="V69" s="4"/>
      <c r="W69" s="4"/>
      <c r="X69" s="4"/>
      <c r="Y69" s="4"/>
    </row>
    <row r="70">
      <c r="A70" s="5"/>
      <c r="B70" s="9"/>
      <c r="C70" s="5"/>
      <c r="D70" s="9"/>
      <c r="E70" s="9"/>
      <c r="F70" s="9"/>
      <c r="G70" s="9"/>
      <c r="H70" s="9"/>
      <c r="I70" s="9"/>
      <c r="J70" s="5"/>
      <c r="K70" s="4"/>
      <c r="L70" s="10"/>
      <c r="M70" s="10"/>
      <c r="N70" s="10"/>
      <c r="O70" s="10"/>
      <c r="P70" s="10"/>
      <c r="Q70" s="11"/>
      <c r="R70" s="9"/>
      <c r="S70" s="12"/>
      <c r="T70" s="5"/>
      <c r="U70" s="5"/>
      <c r="V70" s="4"/>
      <c r="W70" s="4"/>
      <c r="X70" s="4"/>
      <c r="Y70" s="4"/>
    </row>
    <row r="71">
      <c r="A71" s="5"/>
      <c r="B71" s="9"/>
      <c r="C71" s="5"/>
      <c r="D71" s="9"/>
      <c r="E71" s="9"/>
      <c r="F71" s="9"/>
      <c r="G71" s="9"/>
      <c r="H71" s="9"/>
      <c r="I71" s="9"/>
      <c r="J71" s="5"/>
      <c r="K71" s="4"/>
      <c r="L71" s="10"/>
      <c r="M71" s="10"/>
      <c r="N71" s="10"/>
      <c r="O71" s="10"/>
      <c r="P71" s="10"/>
      <c r="Q71" s="11"/>
      <c r="R71" s="9"/>
      <c r="S71" s="12"/>
      <c r="T71" s="5"/>
      <c r="U71" s="5"/>
      <c r="V71" s="4"/>
      <c r="W71" s="4"/>
      <c r="X71" s="4"/>
      <c r="Y71" s="4"/>
    </row>
    <row r="72">
      <c r="A72" s="5"/>
      <c r="B72" s="9"/>
      <c r="C72" s="5"/>
      <c r="D72" s="9"/>
      <c r="E72" s="9"/>
      <c r="F72" s="9"/>
      <c r="G72" s="9"/>
      <c r="H72" s="9"/>
      <c r="I72" s="9"/>
      <c r="J72" s="5"/>
      <c r="K72" s="4"/>
      <c r="L72" s="10"/>
      <c r="M72" s="10"/>
      <c r="N72" s="10"/>
      <c r="O72" s="10"/>
      <c r="P72" s="10"/>
      <c r="Q72" s="11"/>
      <c r="R72" s="9"/>
      <c r="S72" s="12"/>
      <c r="T72" s="5"/>
      <c r="U72" s="5"/>
      <c r="V72" s="4"/>
      <c r="W72" s="4"/>
      <c r="X72" s="4"/>
      <c r="Y72" s="4"/>
    </row>
    <row r="73">
      <c r="A73" s="5"/>
      <c r="B73" s="9"/>
      <c r="C73" s="5"/>
      <c r="D73" s="9"/>
      <c r="E73" s="9"/>
      <c r="F73" s="9"/>
      <c r="G73" s="9"/>
      <c r="H73" s="9"/>
      <c r="I73" s="9"/>
      <c r="J73" s="5"/>
      <c r="K73" s="4"/>
      <c r="L73" s="10"/>
      <c r="M73" s="10"/>
      <c r="N73" s="10"/>
      <c r="O73" s="10"/>
      <c r="P73" s="10"/>
      <c r="Q73" s="11"/>
      <c r="R73" s="9"/>
      <c r="S73" s="12"/>
      <c r="T73" s="5"/>
      <c r="U73" s="5"/>
      <c r="V73" s="4"/>
      <c r="W73" s="4"/>
      <c r="X73" s="4"/>
      <c r="Y73" s="4"/>
    </row>
    <row r="74">
      <c r="A74" s="5"/>
      <c r="B74" s="9"/>
      <c r="C74" s="5"/>
      <c r="D74" s="9"/>
      <c r="E74" s="9"/>
      <c r="F74" s="9"/>
      <c r="G74" s="9"/>
      <c r="H74" s="9"/>
      <c r="I74" s="9"/>
      <c r="J74" s="5"/>
      <c r="K74" s="4"/>
      <c r="L74" s="10"/>
      <c r="M74" s="10"/>
      <c r="N74" s="10"/>
      <c r="O74" s="10"/>
      <c r="P74" s="10"/>
      <c r="Q74" s="11"/>
      <c r="R74" s="9"/>
      <c r="S74" s="12"/>
      <c r="T74" s="5"/>
      <c r="U74" s="5"/>
      <c r="V74" s="4"/>
      <c r="W74" s="4"/>
      <c r="X74" s="4"/>
      <c r="Y74" s="4"/>
    </row>
    <row r="75">
      <c r="A75" s="5"/>
      <c r="B75" s="9"/>
      <c r="C75" s="5"/>
      <c r="D75" s="9"/>
      <c r="E75" s="9"/>
      <c r="F75" s="9"/>
      <c r="G75" s="9"/>
      <c r="H75" s="9"/>
      <c r="I75" s="9"/>
      <c r="J75" s="5"/>
      <c r="K75" s="4"/>
      <c r="L75" s="10"/>
      <c r="M75" s="10"/>
      <c r="N75" s="10"/>
      <c r="O75" s="10"/>
      <c r="P75" s="10"/>
      <c r="Q75" s="11"/>
      <c r="R75" s="9"/>
      <c r="S75" s="12"/>
      <c r="T75" s="5"/>
      <c r="U75" s="5"/>
      <c r="V75" s="4"/>
      <c r="W75" s="4"/>
      <c r="X75" s="4"/>
      <c r="Y75" s="4"/>
    </row>
    <row r="76">
      <c r="A76" s="5"/>
      <c r="B76" s="9"/>
      <c r="C76" s="5"/>
      <c r="D76" s="9"/>
      <c r="E76" s="9"/>
      <c r="F76" s="9"/>
      <c r="G76" s="9"/>
      <c r="H76" s="9"/>
      <c r="I76" s="9"/>
      <c r="J76" s="5"/>
      <c r="K76" s="4"/>
      <c r="L76" s="10"/>
      <c r="M76" s="10"/>
      <c r="N76" s="10"/>
      <c r="O76" s="10"/>
      <c r="P76" s="10"/>
      <c r="Q76" s="11"/>
      <c r="R76" s="9"/>
      <c r="S76" s="12"/>
      <c r="T76" s="5"/>
      <c r="U76" s="5"/>
      <c r="V76" s="4"/>
      <c r="W76" s="4"/>
      <c r="X76" s="4"/>
      <c r="Y76" s="4"/>
    </row>
    <row r="77">
      <c r="A77" s="5"/>
      <c r="B77" s="9"/>
      <c r="C77" s="5"/>
      <c r="D77" s="9"/>
      <c r="E77" s="9"/>
      <c r="F77" s="9"/>
      <c r="G77" s="9"/>
      <c r="H77" s="9"/>
      <c r="I77" s="9"/>
      <c r="J77" s="5"/>
      <c r="K77" s="4"/>
      <c r="L77" s="10"/>
      <c r="M77" s="10"/>
      <c r="N77" s="10"/>
      <c r="O77" s="10"/>
      <c r="P77" s="10"/>
      <c r="Q77" s="11"/>
      <c r="R77" s="9"/>
      <c r="S77" s="12"/>
      <c r="T77" s="5"/>
      <c r="U77" s="5"/>
      <c r="V77" s="4"/>
      <c r="W77" s="4"/>
      <c r="X77" s="4"/>
      <c r="Y77" s="4"/>
    </row>
    <row r="78">
      <c r="A78" s="5"/>
      <c r="B78" s="9"/>
      <c r="C78" s="5"/>
      <c r="D78" s="9"/>
      <c r="E78" s="9"/>
      <c r="F78" s="9"/>
      <c r="G78" s="9"/>
      <c r="H78" s="9"/>
      <c r="I78" s="9"/>
      <c r="J78" s="5"/>
      <c r="K78" s="4"/>
      <c r="L78" s="10"/>
      <c r="M78" s="10"/>
      <c r="N78" s="10"/>
      <c r="O78" s="10"/>
      <c r="P78" s="10"/>
      <c r="Q78" s="11"/>
      <c r="R78" s="9"/>
      <c r="S78" s="12"/>
      <c r="T78" s="5"/>
      <c r="U78" s="5"/>
      <c r="V78" s="4"/>
      <c r="W78" s="4"/>
      <c r="X78" s="4"/>
      <c r="Y78" s="4"/>
    </row>
    <row r="79">
      <c r="A79" s="5"/>
      <c r="B79" s="9"/>
      <c r="C79" s="5"/>
      <c r="D79" s="9"/>
      <c r="E79" s="9"/>
      <c r="F79" s="9"/>
      <c r="G79" s="9"/>
      <c r="H79" s="9"/>
      <c r="I79" s="9"/>
      <c r="J79" s="5"/>
      <c r="K79" s="4"/>
      <c r="L79" s="10"/>
      <c r="M79" s="10"/>
      <c r="N79" s="10"/>
      <c r="O79" s="10"/>
      <c r="P79" s="10"/>
      <c r="Q79" s="11"/>
      <c r="R79" s="9"/>
      <c r="S79" s="12"/>
      <c r="T79" s="5"/>
      <c r="U79" s="5"/>
      <c r="V79" s="4"/>
      <c r="W79" s="4"/>
      <c r="X79" s="4"/>
      <c r="Y79" s="4"/>
    </row>
    <row r="80">
      <c r="A80" s="5"/>
      <c r="B80" s="9"/>
      <c r="C80" s="5"/>
      <c r="D80" s="9"/>
      <c r="E80" s="9"/>
      <c r="F80" s="9"/>
      <c r="G80" s="9"/>
      <c r="H80" s="9"/>
      <c r="I80" s="9"/>
      <c r="J80" s="5"/>
      <c r="K80" s="4"/>
      <c r="L80" s="10"/>
      <c r="M80" s="10"/>
      <c r="N80" s="10"/>
      <c r="O80" s="10"/>
      <c r="P80" s="10"/>
      <c r="Q80" s="11"/>
      <c r="R80" s="9"/>
      <c r="S80" s="12"/>
      <c r="T80" s="5"/>
      <c r="U80" s="5"/>
      <c r="V80" s="4"/>
      <c r="W80" s="4"/>
      <c r="X80" s="4"/>
      <c r="Y80" s="4"/>
    </row>
    <row r="81">
      <c r="A81" s="5"/>
      <c r="B81" s="9"/>
      <c r="C81" s="5"/>
      <c r="D81" s="9"/>
      <c r="E81" s="9"/>
      <c r="F81" s="9"/>
      <c r="G81" s="9"/>
      <c r="H81" s="9"/>
      <c r="I81" s="9"/>
      <c r="J81" s="5"/>
      <c r="K81" s="4"/>
      <c r="L81" s="10"/>
      <c r="M81" s="10"/>
      <c r="N81" s="10"/>
      <c r="O81" s="10"/>
      <c r="P81" s="10"/>
      <c r="Q81" s="11"/>
      <c r="R81" s="9"/>
      <c r="S81" s="12"/>
      <c r="T81" s="5"/>
      <c r="U81" s="5"/>
      <c r="V81" s="4"/>
      <c r="W81" s="4"/>
      <c r="X81" s="4"/>
      <c r="Y81" s="4"/>
    </row>
    <row r="82">
      <c r="A82" s="5"/>
      <c r="B82" s="9"/>
      <c r="C82" s="5"/>
      <c r="D82" s="9"/>
      <c r="E82" s="9"/>
      <c r="F82" s="9"/>
      <c r="G82" s="9"/>
      <c r="H82" s="9"/>
      <c r="I82" s="9"/>
      <c r="J82" s="5"/>
      <c r="K82" s="4"/>
      <c r="L82" s="10"/>
      <c r="M82" s="10"/>
      <c r="N82" s="10"/>
      <c r="O82" s="10"/>
      <c r="P82" s="10"/>
      <c r="Q82" s="11"/>
      <c r="R82" s="9"/>
      <c r="S82" s="12"/>
      <c r="T82" s="5"/>
      <c r="U82" s="5"/>
      <c r="V82" s="4"/>
      <c r="W82" s="4"/>
      <c r="X82" s="4"/>
      <c r="Y82" s="4"/>
    </row>
    <row r="83">
      <c r="A83" s="5"/>
      <c r="B83" s="9"/>
      <c r="C83" s="5"/>
      <c r="D83" s="9"/>
      <c r="E83" s="9"/>
      <c r="F83" s="9"/>
      <c r="G83" s="9"/>
      <c r="H83" s="9"/>
      <c r="I83" s="9"/>
      <c r="J83" s="5"/>
      <c r="K83" s="4"/>
      <c r="L83" s="10"/>
      <c r="M83" s="10"/>
      <c r="N83" s="10"/>
      <c r="O83" s="10"/>
      <c r="P83" s="10"/>
      <c r="Q83" s="11"/>
      <c r="R83" s="9"/>
      <c r="S83" s="12"/>
      <c r="T83" s="5"/>
      <c r="U83" s="5"/>
      <c r="V83" s="4"/>
      <c r="W83" s="4"/>
      <c r="X83" s="4"/>
      <c r="Y83" s="4"/>
    </row>
    <row r="84">
      <c r="A84" s="5"/>
      <c r="B84" s="9"/>
      <c r="C84" s="5"/>
      <c r="D84" s="9"/>
      <c r="E84" s="9"/>
      <c r="F84" s="9"/>
      <c r="G84" s="9"/>
      <c r="H84" s="9"/>
      <c r="I84" s="9"/>
      <c r="J84" s="5"/>
      <c r="K84" s="4"/>
      <c r="L84" s="10"/>
      <c r="M84" s="10"/>
      <c r="N84" s="10"/>
      <c r="O84" s="10"/>
      <c r="P84" s="10"/>
      <c r="Q84" s="11"/>
      <c r="R84" s="9"/>
      <c r="S84" s="12"/>
      <c r="T84" s="5"/>
      <c r="U84" s="5"/>
      <c r="V84" s="4"/>
      <c r="W84" s="4"/>
      <c r="X84" s="4"/>
      <c r="Y84" s="4"/>
    </row>
    <row r="85">
      <c r="A85" s="5"/>
      <c r="B85" s="9"/>
      <c r="C85" s="5"/>
      <c r="D85" s="9"/>
      <c r="E85" s="9"/>
      <c r="F85" s="9"/>
      <c r="G85" s="9"/>
      <c r="H85" s="9"/>
      <c r="I85" s="9"/>
      <c r="J85" s="5"/>
      <c r="K85" s="4"/>
      <c r="L85" s="10"/>
      <c r="M85" s="10"/>
      <c r="N85" s="10"/>
      <c r="O85" s="10"/>
      <c r="P85" s="10"/>
      <c r="Q85" s="11"/>
      <c r="R85" s="9"/>
      <c r="S85" s="12"/>
      <c r="T85" s="5"/>
      <c r="U85" s="5"/>
      <c r="V85" s="4"/>
      <c r="W85" s="4"/>
      <c r="X85" s="4"/>
      <c r="Y85" s="4"/>
    </row>
    <row r="86">
      <c r="A86" s="5"/>
      <c r="B86" s="9"/>
      <c r="C86" s="5"/>
      <c r="D86" s="9"/>
      <c r="E86" s="9"/>
      <c r="F86" s="9"/>
      <c r="G86" s="9"/>
      <c r="H86" s="9"/>
      <c r="I86" s="9"/>
      <c r="J86" s="5"/>
      <c r="K86" s="4"/>
      <c r="L86" s="10"/>
      <c r="M86" s="10"/>
      <c r="N86" s="10"/>
      <c r="O86" s="10"/>
      <c r="P86" s="10"/>
      <c r="Q86" s="11"/>
      <c r="R86" s="9"/>
      <c r="S86" s="12"/>
      <c r="T86" s="5"/>
      <c r="U86" s="5"/>
      <c r="V86" s="4"/>
      <c r="W86" s="4"/>
      <c r="X86" s="4"/>
      <c r="Y86" s="4"/>
    </row>
    <row r="87">
      <c r="A87" s="5"/>
      <c r="B87" s="9"/>
      <c r="C87" s="5"/>
      <c r="D87" s="9"/>
      <c r="E87" s="9"/>
      <c r="F87" s="9"/>
      <c r="G87" s="9"/>
      <c r="H87" s="9"/>
      <c r="I87" s="9"/>
      <c r="J87" s="5"/>
      <c r="K87" s="4"/>
      <c r="L87" s="10"/>
      <c r="M87" s="10"/>
      <c r="N87" s="10"/>
      <c r="O87" s="10"/>
      <c r="P87" s="10"/>
      <c r="Q87" s="11"/>
      <c r="R87" s="9"/>
      <c r="S87" s="12"/>
      <c r="T87" s="5"/>
      <c r="U87" s="5"/>
      <c r="V87" s="4"/>
      <c r="W87" s="4"/>
      <c r="X87" s="4"/>
      <c r="Y87" s="4"/>
    </row>
    <row r="88">
      <c r="A88" s="5"/>
      <c r="B88" s="9"/>
      <c r="C88" s="5"/>
      <c r="D88" s="9"/>
      <c r="E88" s="9"/>
      <c r="F88" s="9"/>
      <c r="G88" s="9"/>
      <c r="H88" s="9"/>
      <c r="I88" s="9"/>
      <c r="J88" s="5"/>
      <c r="K88" s="4"/>
      <c r="L88" s="10"/>
      <c r="M88" s="10"/>
      <c r="N88" s="10"/>
      <c r="O88" s="10"/>
      <c r="P88" s="10"/>
      <c r="Q88" s="11"/>
      <c r="R88" s="9"/>
      <c r="S88" s="12"/>
      <c r="T88" s="5"/>
      <c r="U88" s="5"/>
      <c r="V88" s="4"/>
      <c r="W88" s="4"/>
      <c r="X88" s="4"/>
      <c r="Y88" s="4"/>
    </row>
    <row r="89">
      <c r="A89" s="5"/>
      <c r="B89" s="9"/>
      <c r="C89" s="5"/>
      <c r="D89" s="9"/>
      <c r="E89" s="9"/>
      <c r="F89" s="9"/>
      <c r="G89" s="9"/>
      <c r="H89" s="9"/>
      <c r="I89" s="9"/>
      <c r="J89" s="5"/>
      <c r="K89" s="4"/>
      <c r="L89" s="10"/>
      <c r="M89" s="10"/>
      <c r="N89" s="10"/>
      <c r="O89" s="10"/>
      <c r="P89" s="10"/>
      <c r="Q89" s="11"/>
      <c r="R89" s="9"/>
      <c r="S89" s="12"/>
      <c r="T89" s="5"/>
      <c r="U89" s="5"/>
      <c r="V89" s="4"/>
      <c r="W89" s="4"/>
      <c r="X89" s="4"/>
      <c r="Y89" s="4"/>
    </row>
    <row r="90">
      <c r="A90" s="5"/>
      <c r="B90" s="9"/>
      <c r="C90" s="5"/>
      <c r="D90" s="9"/>
      <c r="E90" s="9"/>
      <c r="F90" s="9"/>
      <c r="G90" s="9"/>
      <c r="H90" s="9"/>
      <c r="I90" s="9"/>
      <c r="J90" s="5"/>
      <c r="K90" s="4"/>
      <c r="L90" s="10"/>
      <c r="M90" s="10"/>
      <c r="N90" s="10"/>
      <c r="O90" s="10"/>
      <c r="P90" s="10"/>
      <c r="Q90" s="11"/>
      <c r="R90" s="9"/>
      <c r="S90" s="12"/>
      <c r="T90" s="5"/>
      <c r="U90" s="5"/>
      <c r="V90" s="4"/>
      <c r="W90" s="4"/>
      <c r="X90" s="4"/>
      <c r="Y90" s="4"/>
    </row>
    <row r="91">
      <c r="A91" s="5"/>
      <c r="B91" s="9"/>
      <c r="C91" s="5"/>
      <c r="D91" s="9"/>
      <c r="E91" s="9"/>
      <c r="F91" s="9"/>
      <c r="G91" s="9"/>
      <c r="H91" s="9"/>
      <c r="I91" s="9"/>
      <c r="J91" s="5"/>
      <c r="K91" s="4"/>
      <c r="L91" s="10"/>
      <c r="M91" s="10"/>
      <c r="N91" s="10"/>
      <c r="O91" s="10"/>
      <c r="P91" s="10"/>
      <c r="Q91" s="11"/>
      <c r="R91" s="9"/>
      <c r="S91" s="12"/>
      <c r="T91" s="5"/>
      <c r="U91" s="5"/>
      <c r="V91" s="4"/>
      <c r="W91" s="4"/>
      <c r="X91" s="4"/>
      <c r="Y91" s="4"/>
    </row>
    <row r="92">
      <c r="A92" s="5"/>
      <c r="B92" s="9"/>
      <c r="C92" s="5"/>
      <c r="D92" s="9"/>
      <c r="E92" s="9"/>
      <c r="F92" s="9"/>
      <c r="G92" s="9"/>
      <c r="H92" s="9"/>
      <c r="I92" s="9"/>
      <c r="J92" s="5"/>
      <c r="K92" s="4"/>
      <c r="L92" s="10"/>
      <c r="M92" s="10"/>
      <c r="N92" s="10"/>
      <c r="O92" s="10"/>
      <c r="P92" s="10"/>
      <c r="Q92" s="11"/>
      <c r="R92" s="9"/>
      <c r="S92" s="12"/>
      <c r="T92" s="5"/>
      <c r="U92" s="5"/>
      <c r="V92" s="4"/>
      <c r="W92" s="4"/>
      <c r="X92" s="4"/>
      <c r="Y92" s="4"/>
    </row>
    <row r="93">
      <c r="A93" s="5"/>
      <c r="B93" s="9"/>
      <c r="C93" s="5"/>
      <c r="D93" s="9"/>
      <c r="E93" s="9"/>
      <c r="F93" s="9"/>
      <c r="G93" s="9"/>
      <c r="H93" s="9"/>
      <c r="I93" s="9"/>
      <c r="J93" s="5"/>
      <c r="K93" s="4"/>
      <c r="L93" s="10"/>
      <c r="M93" s="10"/>
      <c r="N93" s="10"/>
      <c r="O93" s="10"/>
      <c r="P93" s="10"/>
      <c r="Q93" s="11"/>
      <c r="R93" s="9"/>
      <c r="S93" s="12"/>
      <c r="T93" s="5"/>
      <c r="U93" s="5"/>
      <c r="V93" s="4"/>
      <c r="W93" s="4"/>
      <c r="X93" s="4"/>
      <c r="Y93" s="4"/>
    </row>
    <row r="94">
      <c r="A94" s="5"/>
      <c r="B94" s="9"/>
      <c r="C94" s="5"/>
      <c r="D94" s="9"/>
      <c r="E94" s="9"/>
      <c r="F94" s="9"/>
      <c r="G94" s="9"/>
      <c r="H94" s="9"/>
      <c r="I94" s="9"/>
      <c r="J94" s="5"/>
      <c r="K94" s="4"/>
      <c r="L94" s="10"/>
      <c r="M94" s="10"/>
      <c r="N94" s="10"/>
      <c r="O94" s="10"/>
      <c r="P94" s="10"/>
      <c r="Q94" s="11"/>
      <c r="R94" s="9"/>
      <c r="S94" s="12"/>
      <c r="T94" s="5"/>
      <c r="U94" s="5"/>
      <c r="V94" s="4"/>
      <c r="W94" s="4"/>
      <c r="X94" s="4"/>
      <c r="Y94" s="4"/>
    </row>
    <row r="95">
      <c r="A95" s="5"/>
      <c r="B95" s="9"/>
      <c r="C95" s="5"/>
      <c r="D95" s="9"/>
      <c r="E95" s="9"/>
      <c r="F95" s="9"/>
      <c r="G95" s="9"/>
      <c r="H95" s="9"/>
      <c r="I95" s="9"/>
      <c r="J95" s="5"/>
      <c r="K95" s="4"/>
      <c r="L95" s="10"/>
      <c r="M95" s="10"/>
      <c r="N95" s="10"/>
      <c r="O95" s="10"/>
      <c r="P95" s="10"/>
      <c r="Q95" s="11"/>
      <c r="R95" s="9"/>
      <c r="S95" s="12"/>
      <c r="T95" s="5"/>
      <c r="U95" s="5"/>
      <c r="V95" s="4"/>
      <c r="W95" s="4"/>
      <c r="X95" s="4"/>
      <c r="Y95" s="4"/>
    </row>
    <row r="96">
      <c r="A96" s="5"/>
      <c r="B96" s="9"/>
      <c r="C96" s="5"/>
      <c r="D96" s="9"/>
      <c r="E96" s="9"/>
      <c r="F96" s="9"/>
      <c r="G96" s="9"/>
      <c r="H96" s="9"/>
      <c r="I96" s="9"/>
      <c r="J96" s="5"/>
      <c r="K96" s="4"/>
      <c r="L96" s="10"/>
      <c r="M96" s="10"/>
      <c r="N96" s="10"/>
      <c r="O96" s="10"/>
      <c r="P96" s="10"/>
      <c r="Q96" s="11"/>
      <c r="R96" s="9"/>
      <c r="S96" s="12"/>
      <c r="T96" s="5"/>
      <c r="U96" s="5"/>
      <c r="V96" s="4"/>
      <c r="W96" s="4"/>
      <c r="X96" s="4"/>
      <c r="Y96" s="4"/>
    </row>
    <row r="97">
      <c r="A97" s="5"/>
      <c r="B97" s="9"/>
      <c r="C97" s="5"/>
      <c r="D97" s="9"/>
      <c r="E97" s="9"/>
      <c r="F97" s="9"/>
      <c r="G97" s="9"/>
      <c r="H97" s="9"/>
      <c r="I97" s="9"/>
      <c r="J97" s="5"/>
      <c r="K97" s="4"/>
      <c r="L97" s="10"/>
      <c r="M97" s="10"/>
      <c r="N97" s="10"/>
      <c r="O97" s="10"/>
      <c r="P97" s="10"/>
      <c r="Q97" s="11"/>
      <c r="R97" s="9"/>
      <c r="S97" s="12"/>
      <c r="T97" s="5"/>
      <c r="U97" s="5"/>
      <c r="V97" s="4"/>
      <c r="W97" s="4"/>
      <c r="X97" s="4"/>
      <c r="Y97" s="4"/>
    </row>
    <row r="98">
      <c r="A98" s="5"/>
      <c r="B98" s="9"/>
      <c r="C98" s="5"/>
      <c r="D98" s="9"/>
      <c r="E98" s="9"/>
      <c r="F98" s="9"/>
      <c r="G98" s="9"/>
      <c r="H98" s="9"/>
      <c r="I98" s="9"/>
      <c r="J98" s="5"/>
      <c r="K98" s="4"/>
      <c r="L98" s="10"/>
      <c r="M98" s="10"/>
      <c r="N98" s="10"/>
      <c r="O98" s="10"/>
      <c r="P98" s="10"/>
      <c r="Q98" s="11"/>
      <c r="R98" s="9"/>
      <c r="S98" s="12"/>
      <c r="T98" s="5"/>
      <c r="U98" s="5"/>
      <c r="V98" s="4"/>
      <c r="W98" s="4"/>
      <c r="X98" s="4"/>
      <c r="Y98" s="4"/>
    </row>
    <row r="99">
      <c r="A99" s="5"/>
      <c r="B99" s="9"/>
      <c r="C99" s="5"/>
      <c r="D99" s="9"/>
      <c r="E99" s="9"/>
      <c r="F99" s="9"/>
      <c r="G99" s="9"/>
      <c r="H99" s="9"/>
      <c r="I99" s="9"/>
      <c r="J99" s="5"/>
      <c r="K99" s="4"/>
      <c r="L99" s="10"/>
      <c r="M99" s="10"/>
      <c r="N99" s="10"/>
      <c r="O99" s="10"/>
      <c r="P99" s="10"/>
      <c r="Q99" s="11"/>
      <c r="R99" s="9"/>
      <c r="S99" s="12"/>
      <c r="T99" s="5"/>
      <c r="U99" s="5"/>
      <c r="V99" s="4"/>
      <c r="W99" s="4"/>
      <c r="X99" s="4"/>
      <c r="Y99" s="4"/>
    </row>
    <row r="100">
      <c r="A100" s="5"/>
      <c r="B100" s="9"/>
      <c r="C100" s="5"/>
      <c r="D100" s="9"/>
      <c r="E100" s="9"/>
      <c r="F100" s="9"/>
      <c r="G100" s="9"/>
      <c r="H100" s="9"/>
      <c r="I100" s="9"/>
      <c r="J100" s="5"/>
      <c r="K100" s="4"/>
      <c r="L100" s="10"/>
      <c r="M100" s="10"/>
      <c r="N100" s="10"/>
      <c r="O100" s="10"/>
      <c r="P100" s="10"/>
      <c r="Q100" s="11"/>
      <c r="R100" s="9"/>
      <c r="S100" s="12"/>
      <c r="T100" s="5"/>
      <c r="U100" s="5"/>
      <c r="V100" s="4"/>
      <c r="W100" s="4"/>
      <c r="X100" s="4"/>
      <c r="Y100" s="4"/>
    </row>
    <row r="101">
      <c r="A101" s="5"/>
      <c r="B101" s="9"/>
      <c r="C101" s="5"/>
      <c r="D101" s="9"/>
      <c r="E101" s="9"/>
      <c r="F101" s="9"/>
      <c r="G101" s="9"/>
      <c r="H101" s="9"/>
      <c r="I101" s="9"/>
      <c r="J101" s="5"/>
      <c r="K101" s="4"/>
      <c r="L101" s="10"/>
      <c r="M101" s="10"/>
      <c r="N101" s="10"/>
      <c r="O101" s="10"/>
      <c r="P101" s="10"/>
      <c r="Q101" s="11"/>
      <c r="R101" s="9"/>
      <c r="S101" s="12"/>
      <c r="T101" s="5"/>
      <c r="U101" s="5"/>
      <c r="V101" s="4"/>
      <c r="W101" s="4"/>
      <c r="X101" s="4"/>
      <c r="Y101" s="4"/>
    </row>
    <row r="102">
      <c r="A102" s="5"/>
      <c r="B102" s="9"/>
      <c r="C102" s="5"/>
      <c r="D102" s="9"/>
      <c r="E102" s="9"/>
      <c r="F102" s="9"/>
      <c r="G102" s="9"/>
      <c r="H102" s="9"/>
      <c r="I102" s="9"/>
      <c r="J102" s="5"/>
      <c r="K102" s="4"/>
      <c r="L102" s="10"/>
      <c r="M102" s="10"/>
      <c r="N102" s="10"/>
      <c r="O102" s="10"/>
      <c r="P102" s="10"/>
      <c r="Q102" s="11"/>
      <c r="R102" s="9"/>
      <c r="S102" s="12"/>
      <c r="T102" s="5"/>
      <c r="U102" s="5"/>
      <c r="V102" s="4"/>
      <c r="W102" s="4"/>
      <c r="X102" s="4"/>
      <c r="Y102" s="4"/>
    </row>
    <row r="103">
      <c r="A103" s="5"/>
      <c r="B103" s="9"/>
      <c r="C103" s="5"/>
      <c r="D103" s="9"/>
      <c r="E103" s="9"/>
      <c r="F103" s="9"/>
      <c r="G103" s="9"/>
      <c r="H103" s="9"/>
      <c r="I103" s="9"/>
      <c r="J103" s="5"/>
      <c r="K103" s="4"/>
      <c r="L103" s="10"/>
      <c r="M103" s="10"/>
      <c r="N103" s="10"/>
      <c r="O103" s="10"/>
      <c r="P103" s="10"/>
      <c r="Q103" s="11"/>
      <c r="R103" s="9"/>
      <c r="S103" s="12"/>
      <c r="T103" s="5"/>
      <c r="U103" s="5"/>
      <c r="V103" s="4"/>
      <c r="W103" s="4"/>
      <c r="X103" s="4"/>
      <c r="Y103" s="4"/>
    </row>
    <row r="104">
      <c r="A104" s="5"/>
      <c r="B104" s="9"/>
      <c r="C104" s="5"/>
      <c r="D104" s="9"/>
      <c r="E104" s="9"/>
      <c r="F104" s="9"/>
      <c r="G104" s="9"/>
      <c r="H104" s="9"/>
      <c r="I104" s="9"/>
      <c r="J104" s="5"/>
      <c r="K104" s="4"/>
      <c r="L104" s="10"/>
      <c r="M104" s="10"/>
      <c r="N104" s="10"/>
      <c r="O104" s="10"/>
      <c r="P104" s="10"/>
      <c r="Q104" s="11"/>
      <c r="R104" s="9"/>
      <c r="S104" s="12"/>
      <c r="T104" s="5"/>
      <c r="U104" s="5"/>
      <c r="V104" s="4"/>
      <c r="W104" s="4"/>
      <c r="X104" s="4"/>
      <c r="Y104" s="4"/>
    </row>
    <row r="105">
      <c r="A105" s="5"/>
      <c r="B105" s="9"/>
      <c r="C105" s="5"/>
      <c r="D105" s="9"/>
      <c r="E105" s="9"/>
      <c r="F105" s="9"/>
      <c r="G105" s="9"/>
      <c r="H105" s="9"/>
      <c r="I105" s="9"/>
      <c r="J105" s="5"/>
      <c r="K105" s="4"/>
      <c r="L105" s="10"/>
      <c r="M105" s="10"/>
      <c r="N105" s="10"/>
      <c r="O105" s="10"/>
      <c r="P105" s="10"/>
      <c r="Q105" s="11"/>
      <c r="R105" s="9"/>
      <c r="S105" s="12"/>
      <c r="T105" s="5"/>
      <c r="U105" s="5"/>
      <c r="V105" s="4"/>
      <c r="W105" s="4"/>
      <c r="X105" s="4"/>
      <c r="Y105" s="4"/>
    </row>
    <row r="106">
      <c r="A106" s="5"/>
      <c r="B106" s="9"/>
      <c r="C106" s="5"/>
      <c r="D106" s="9"/>
      <c r="E106" s="9"/>
      <c r="F106" s="9"/>
      <c r="G106" s="9"/>
      <c r="H106" s="9"/>
      <c r="I106" s="9"/>
      <c r="J106" s="5"/>
      <c r="K106" s="4"/>
      <c r="L106" s="10"/>
      <c r="M106" s="10"/>
      <c r="N106" s="10"/>
      <c r="O106" s="10"/>
      <c r="P106" s="10"/>
      <c r="Q106" s="11"/>
      <c r="R106" s="9"/>
      <c r="S106" s="12"/>
      <c r="T106" s="5"/>
      <c r="U106" s="5"/>
      <c r="V106" s="4"/>
      <c r="W106" s="4"/>
      <c r="X106" s="4"/>
      <c r="Y106" s="4"/>
    </row>
    <row r="107">
      <c r="A107" s="5"/>
      <c r="B107" s="9"/>
      <c r="C107" s="5"/>
      <c r="D107" s="9"/>
      <c r="E107" s="9"/>
      <c r="F107" s="9"/>
      <c r="G107" s="9"/>
      <c r="H107" s="9"/>
      <c r="I107" s="9"/>
      <c r="J107" s="5"/>
      <c r="K107" s="4"/>
      <c r="L107" s="10"/>
      <c r="M107" s="10"/>
      <c r="N107" s="10"/>
      <c r="O107" s="10"/>
      <c r="P107" s="10"/>
      <c r="Q107" s="11"/>
      <c r="R107" s="9"/>
      <c r="S107" s="12"/>
      <c r="T107" s="5"/>
      <c r="U107" s="5"/>
      <c r="V107" s="4"/>
      <c r="W107" s="4"/>
      <c r="X107" s="4"/>
      <c r="Y107" s="4"/>
    </row>
    <row r="108">
      <c r="A108" s="5"/>
      <c r="B108" s="9"/>
      <c r="C108" s="5"/>
      <c r="D108" s="9"/>
      <c r="E108" s="9"/>
      <c r="F108" s="9"/>
      <c r="G108" s="9"/>
      <c r="H108" s="9"/>
      <c r="I108" s="9"/>
      <c r="J108" s="5"/>
      <c r="K108" s="4"/>
      <c r="L108" s="10"/>
      <c r="M108" s="10"/>
      <c r="N108" s="10"/>
      <c r="O108" s="10"/>
      <c r="P108" s="10"/>
      <c r="Q108" s="11"/>
      <c r="R108" s="9"/>
      <c r="S108" s="12"/>
      <c r="T108" s="5"/>
      <c r="U108" s="5"/>
      <c r="V108" s="4"/>
      <c r="W108" s="4"/>
      <c r="X108" s="4"/>
      <c r="Y108" s="4"/>
    </row>
    <row r="109">
      <c r="A109" s="5"/>
      <c r="B109" s="9"/>
      <c r="C109" s="5"/>
      <c r="D109" s="9"/>
      <c r="E109" s="9"/>
      <c r="F109" s="9"/>
      <c r="G109" s="9"/>
      <c r="H109" s="9"/>
      <c r="I109" s="9"/>
      <c r="J109" s="5"/>
      <c r="K109" s="4"/>
      <c r="L109" s="10"/>
      <c r="M109" s="10"/>
      <c r="N109" s="10"/>
      <c r="O109" s="10"/>
      <c r="P109" s="10"/>
      <c r="Q109" s="11"/>
      <c r="R109" s="9"/>
      <c r="S109" s="12"/>
      <c r="T109" s="5"/>
      <c r="U109" s="5"/>
      <c r="V109" s="4"/>
      <c r="W109" s="4"/>
      <c r="X109" s="4"/>
      <c r="Y109" s="4"/>
    </row>
    <row r="110">
      <c r="A110" s="5"/>
      <c r="B110" s="9"/>
      <c r="C110" s="5"/>
      <c r="D110" s="9"/>
      <c r="E110" s="9"/>
      <c r="F110" s="9"/>
      <c r="G110" s="9"/>
      <c r="H110" s="9"/>
      <c r="I110" s="9"/>
      <c r="J110" s="5"/>
      <c r="K110" s="4"/>
      <c r="L110" s="10"/>
      <c r="M110" s="10"/>
      <c r="N110" s="10"/>
      <c r="O110" s="10"/>
      <c r="P110" s="10"/>
      <c r="Q110" s="11"/>
      <c r="R110" s="9"/>
      <c r="S110" s="12"/>
      <c r="T110" s="5"/>
      <c r="U110" s="5"/>
      <c r="V110" s="4"/>
      <c r="W110" s="4"/>
      <c r="X110" s="4"/>
      <c r="Y110" s="4"/>
    </row>
    <row r="111">
      <c r="A111" s="5"/>
      <c r="B111" s="9"/>
      <c r="C111" s="5"/>
      <c r="D111" s="9"/>
      <c r="E111" s="9"/>
      <c r="F111" s="9"/>
      <c r="G111" s="9"/>
      <c r="H111" s="9"/>
      <c r="I111" s="9"/>
      <c r="J111" s="5"/>
      <c r="K111" s="4"/>
      <c r="L111" s="10"/>
      <c r="M111" s="10"/>
      <c r="N111" s="10"/>
      <c r="O111" s="10"/>
      <c r="P111" s="10"/>
      <c r="Q111" s="11"/>
      <c r="R111" s="9"/>
      <c r="S111" s="12"/>
      <c r="T111" s="5"/>
      <c r="U111" s="5"/>
      <c r="V111" s="4"/>
      <c r="W111" s="4"/>
      <c r="X111" s="4"/>
      <c r="Y111" s="4"/>
    </row>
    <row r="112">
      <c r="A112" s="5"/>
      <c r="B112" s="9"/>
      <c r="C112" s="5"/>
      <c r="D112" s="9"/>
      <c r="E112" s="9"/>
      <c r="F112" s="9"/>
      <c r="G112" s="9"/>
      <c r="H112" s="9"/>
      <c r="I112" s="9"/>
      <c r="J112" s="5"/>
      <c r="K112" s="4"/>
      <c r="L112" s="10"/>
      <c r="M112" s="10"/>
      <c r="N112" s="10"/>
      <c r="O112" s="10"/>
      <c r="P112" s="10"/>
      <c r="Q112" s="11"/>
      <c r="R112" s="9"/>
      <c r="S112" s="12"/>
      <c r="T112" s="5"/>
      <c r="U112" s="5"/>
      <c r="V112" s="4"/>
      <c r="W112" s="4"/>
      <c r="X112" s="4"/>
      <c r="Y112" s="4"/>
    </row>
    <row r="113">
      <c r="A113" s="5"/>
      <c r="B113" s="9"/>
      <c r="C113" s="5"/>
      <c r="D113" s="9"/>
      <c r="E113" s="9"/>
      <c r="F113" s="9"/>
      <c r="G113" s="9"/>
      <c r="H113" s="9"/>
      <c r="I113" s="9"/>
      <c r="J113" s="5"/>
      <c r="K113" s="4"/>
      <c r="L113" s="10"/>
      <c r="M113" s="10"/>
      <c r="N113" s="10"/>
      <c r="O113" s="10"/>
      <c r="P113" s="10"/>
      <c r="Q113" s="11"/>
      <c r="R113" s="9"/>
      <c r="S113" s="12"/>
      <c r="T113" s="5"/>
      <c r="U113" s="5"/>
      <c r="V113" s="4"/>
      <c r="W113" s="4"/>
      <c r="X113" s="4"/>
      <c r="Y113" s="4"/>
    </row>
    <row r="114">
      <c r="A114" s="5"/>
      <c r="B114" s="9"/>
      <c r="C114" s="5"/>
      <c r="D114" s="9"/>
      <c r="E114" s="9"/>
      <c r="F114" s="9"/>
      <c r="G114" s="9"/>
      <c r="H114" s="9"/>
      <c r="I114" s="9"/>
      <c r="J114" s="5"/>
      <c r="K114" s="4"/>
      <c r="L114" s="10"/>
      <c r="M114" s="10"/>
      <c r="N114" s="10"/>
      <c r="O114" s="10"/>
      <c r="P114" s="10"/>
      <c r="Q114" s="11"/>
      <c r="R114" s="9"/>
      <c r="S114" s="12"/>
      <c r="T114" s="5"/>
      <c r="U114" s="5"/>
      <c r="V114" s="4"/>
      <c r="W114" s="4"/>
      <c r="X114" s="4"/>
      <c r="Y114" s="4"/>
    </row>
    <row r="115">
      <c r="A115" s="5"/>
      <c r="B115" s="9"/>
      <c r="C115" s="5"/>
      <c r="D115" s="9"/>
      <c r="E115" s="9"/>
      <c r="F115" s="9"/>
      <c r="G115" s="9"/>
      <c r="H115" s="9"/>
      <c r="I115" s="9"/>
      <c r="J115" s="5"/>
      <c r="K115" s="4"/>
      <c r="L115" s="10"/>
      <c r="M115" s="10"/>
      <c r="N115" s="10"/>
      <c r="O115" s="10"/>
      <c r="P115" s="10"/>
      <c r="Q115" s="11"/>
      <c r="R115" s="9"/>
      <c r="S115" s="12"/>
      <c r="T115" s="5"/>
      <c r="U115" s="5"/>
      <c r="V115" s="4"/>
      <c r="W115" s="4"/>
      <c r="X115" s="4"/>
      <c r="Y115" s="4"/>
    </row>
    <row r="116">
      <c r="A116" s="5"/>
      <c r="B116" s="9"/>
      <c r="C116" s="5"/>
      <c r="D116" s="9"/>
      <c r="E116" s="9"/>
      <c r="F116" s="9"/>
      <c r="G116" s="9"/>
      <c r="H116" s="9"/>
      <c r="I116" s="9"/>
      <c r="J116" s="5"/>
      <c r="K116" s="4"/>
      <c r="L116" s="10"/>
      <c r="M116" s="10"/>
      <c r="N116" s="10"/>
      <c r="O116" s="10"/>
      <c r="P116" s="10"/>
      <c r="Q116" s="11"/>
      <c r="R116" s="9"/>
      <c r="S116" s="12"/>
      <c r="T116" s="5"/>
      <c r="U116" s="5"/>
      <c r="V116" s="4"/>
      <c r="W116" s="4"/>
      <c r="X116" s="4"/>
      <c r="Y116" s="4"/>
    </row>
    <row r="117">
      <c r="A117" s="5"/>
      <c r="B117" s="9"/>
      <c r="C117" s="5"/>
      <c r="D117" s="9"/>
      <c r="E117" s="9"/>
      <c r="F117" s="9"/>
      <c r="G117" s="9"/>
      <c r="H117" s="9"/>
      <c r="I117" s="9"/>
      <c r="J117" s="5"/>
      <c r="K117" s="4"/>
      <c r="L117" s="10"/>
      <c r="M117" s="10"/>
      <c r="N117" s="10"/>
      <c r="O117" s="10"/>
      <c r="P117" s="10"/>
      <c r="Q117" s="11"/>
      <c r="R117" s="9"/>
      <c r="S117" s="12"/>
      <c r="T117" s="5"/>
      <c r="U117" s="5"/>
      <c r="V117" s="4"/>
      <c r="W117" s="4"/>
      <c r="X117" s="4"/>
      <c r="Y117" s="4"/>
    </row>
    <row r="118">
      <c r="A118" s="5"/>
      <c r="B118" s="9"/>
      <c r="C118" s="5"/>
      <c r="D118" s="9"/>
      <c r="E118" s="9"/>
      <c r="F118" s="9"/>
      <c r="G118" s="9"/>
      <c r="H118" s="9"/>
      <c r="I118" s="9"/>
      <c r="J118" s="5"/>
      <c r="K118" s="4"/>
      <c r="L118" s="10"/>
      <c r="M118" s="10"/>
      <c r="N118" s="10"/>
      <c r="O118" s="10"/>
      <c r="P118" s="10"/>
      <c r="Q118" s="11"/>
      <c r="R118" s="9"/>
      <c r="S118" s="12"/>
      <c r="T118" s="5"/>
      <c r="U118" s="5"/>
      <c r="V118" s="4"/>
      <c r="W118" s="4"/>
      <c r="X118" s="4"/>
      <c r="Y118" s="4"/>
    </row>
    <row r="119">
      <c r="A119" s="5"/>
      <c r="B119" s="9"/>
      <c r="C119" s="5"/>
      <c r="D119" s="9"/>
      <c r="E119" s="9"/>
      <c r="F119" s="9"/>
      <c r="G119" s="9"/>
      <c r="H119" s="9"/>
      <c r="I119" s="9"/>
      <c r="J119" s="5"/>
      <c r="K119" s="4"/>
      <c r="L119" s="10"/>
      <c r="M119" s="10"/>
      <c r="N119" s="10"/>
      <c r="O119" s="10"/>
      <c r="P119" s="10"/>
      <c r="Q119" s="11"/>
      <c r="R119" s="9"/>
      <c r="S119" s="12"/>
      <c r="T119" s="5"/>
      <c r="U119" s="5"/>
      <c r="V119" s="4"/>
      <c r="W119" s="4"/>
      <c r="X119" s="4"/>
      <c r="Y119" s="4"/>
    </row>
    <row r="120">
      <c r="A120" s="5"/>
      <c r="B120" s="9"/>
      <c r="C120" s="5"/>
      <c r="D120" s="9"/>
      <c r="E120" s="9"/>
      <c r="F120" s="9"/>
      <c r="G120" s="9"/>
      <c r="H120" s="9"/>
      <c r="I120" s="9"/>
      <c r="J120" s="5"/>
      <c r="K120" s="4"/>
      <c r="L120" s="10"/>
      <c r="M120" s="10"/>
      <c r="N120" s="10"/>
      <c r="O120" s="10"/>
      <c r="P120" s="10"/>
      <c r="Q120" s="11"/>
      <c r="R120" s="9"/>
      <c r="S120" s="12"/>
      <c r="T120" s="5"/>
      <c r="U120" s="5"/>
      <c r="V120" s="4"/>
      <c r="W120" s="4"/>
      <c r="X120" s="4"/>
      <c r="Y120" s="4"/>
    </row>
    <row r="121">
      <c r="A121" s="5"/>
      <c r="B121" s="9"/>
      <c r="C121" s="5"/>
      <c r="D121" s="9"/>
      <c r="E121" s="9"/>
      <c r="F121" s="9"/>
      <c r="G121" s="9"/>
      <c r="H121" s="9"/>
      <c r="I121" s="9"/>
      <c r="J121" s="5"/>
      <c r="K121" s="4"/>
      <c r="L121" s="10"/>
      <c r="M121" s="10"/>
      <c r="N121" s="10"/>
      <c r="O121" s="10"/>
      <c r="P121" s="10"/>
      <c r="Q121" s="11"/>
      <c r="R121" s="9"/>
      <c r="S121" s="12"/>
      <c r="T121" s="5"/>
      <c r="U121" s="5"/>
      <c r="V121" s="4"/>
      <c r="W121" s="4"/>
      <c r="X121" s="4"/>
      <c r="Y121" s="4"/>
    </row>
    <row r="122">
      <c r="A122" s="5"/>
      <c r="B122" s="9"/>
      <c r="C122" s="5"/>
      <c r="D122" s="9"/>
      <c r="E122" s="9"/>
      <c r="F122" s="9"/>
      <c r="G122" s="9"/>
      <c r="H122" s="9"/>
      <c r="I122" s="9"/>
      <c r="J122" s="5"/>
      <c r="K122" s="4"/>
      <c r="L122" s="10"/>
      <c r="M122" s="10"/>
      <c r="N122" s="10"/>
      <c r="O122" s="10"/>
      <c r="P122" s="10"/>
      <c r="Q122" s="11"/>
      <c r="R122" s="9"/>
      <c r="S122" s="12"/>
      <c r="T122" s="5"/>
      <c r="U122" s="5"/>
      <c r="V122" s="4"/>
      <c r="W122" s="4"/>
      <c r="X122" s="4"/>
      <c r="Y122" s="4"/>
    </row>
    <row r="123">
      <c r="A123" s="5"/>
      <c r="B123" s="9"/>
      <c r="C123" s="5"/>
      <c r="D123" s="9"/>
      <c r="E123" s="9"/>
      <c r="F123" s="9"/>
      <c r="G123" s="9"/>
      <c r="H123" s="9"/>
      <c r="I123" s="9"/>
      <c r="J123" s="5"/>
      <c r="K123" s="4"/>
      <c r="L123" s="10"/>
      <c r="M123" s="10"/>
      <c r="N123" s="10"/>
      <c r="O123" s="10"/>
      <c r="P123" s="10"/>
      <c r="Q123" s="11"/>
      <c r="R123" s="9"/>
      <c r="S123" s="12"/>
      <c r="T123" s="5"/>
      <c r="U123" s="5"/>
      <c r="V123" s="4"/>
      <c r="W123" s="4"/>
      <c r="X123" s="4"/>
      <c r="Y123" s="4"/>
    </row>
    <row r="124">
      <c r="A124" s="5"/>
      <c r="B124" s="9"/>
      <c r="C124" s="5"/>
      <c r="D124" s="9"/>
      <c r="E124" s="9"/>
      <c r="F124" s="9"/>
      <c r="G124" s="9"/>
      <c r="H124" s="9"/>
      <c r="I124" s="9"/>
      <c r="J124" s="5"/>
      <c r="K124" s="4"/>
      <c r="L124" s="10"/>
      <c r="M124" s="10"/>
      <c r="N124" s="10"/>
      <c r="O124" s="10"/>
      <c r="P124" s="10"/>
      <c r="Q124" s="11"/>
      <c r="R124" s="9"/>
      <c r="S124" s="12"/>
      <c r="T124" s="5"/>
      <c r="U124" s="5"/>
      <c r="V124" s="4"/>
      <c r="W124" s="4"/>
      <c r="X124" s="4"/>
      <c r="Y124" s="4"/>
    </row>
    <row r="125">
      <c r="A125" s="5"/>
      <c r="B125" s="9"/>
      <c r="C125" s="5"/>
      <c r="D125" s="9"/>
      <c r="E125" s="9"/>
      <c r="F125" s="9"/>
      <c r="G125" s="9"/>
      <c r="H125" s="9"/>
      <c r="I125" s="9"/>
      <c r="J125" s="5"/>
      <c r="K125" s="4"/>
      <c r="L125" s="10"/>
      <c r="M125" s="10"/>
      <c r="N125" s="10"/>
      <c r="O125" s="10"/>
      <c r="P125" s="10"/>
      <c r="Q125" s="11"/>
      <c r="R125" s="9"/>
      <c r="S125" s="12"/>
      <c r="T125" s="5"/>
      <c r="U125" s="5"/>
      <c r="V125" s="4"/>
      <c r="W125" s="4"/>
      <c r="X125" s="4"/>
      <c r="Y125" s="4"/>
    </row>
    <row r="126">
      <c r="A126" s="5"/>
      <c r="B126" s="9"/>
      <c r="C126" s="5"/>
      <c r="D126" s="9"/>
      <c r="E126" s="9"/>
      <c r="F126" s="9"/>
      <c r="G126" s="9"/>
      <c r="H126" s="9"/>
      <c r="I126" s="9"/>
      <c r="J126" s="5"/>
      <c r="K126" s="4"/>
      <c r="L126" s="10"/>
      <c r="M126" s="10"/>
      <c r="N126" s="10"/>
      <c r="O126" s="10"/>
      <c r="P126" s="10"/>
      <c r="Q126" s="11"/>
      <c r="R126" s="9"/>
      <c r="S126" s="12"/>
      <c r="T126" s="5"/>
      <c r="U126" s="5"/>
      <c r="V126" s="4"/>
      <c r="W126" s="4"/>
      <c r="X126" s="4"/>
      <c r="Y126" s="4"/>
    </row>
    <row r="127">
      <c r="A127" s="5"/>
      <c r="B127" s="9"/>
      <c r="C127" s="5"/>
      <c r="D127" s="9"/>
      <c r="E127" s="9"/>
      <c r="F127" s="9"/>
      <c r="G127" s="9"/>
      <c r="H127" s="9"/>
      <c r="I127" s="9"/>
      <c r="J127" s="5"/>
      <c r="K127" s="4"/>
      <c r="L127" s="10"/>
      <c r="M127" s="10"/>
      <c r="N127" s="10"/>
      <c r="O127" s="10"/>
      <c r="P127" s="10"/>
      <c r="Q127" s="11"/>
      <c r="R127" s="9"/>
      <c r="S127" s="12"/>
      <c r="T127" s="5"/>
      <c r="U127" s="5"/>
      <c r="V127" s="4"/>
      <c r="W127" s="4"/>
      <c r="X127" s="4"/>
      <c r="Y127" s="4"/>
    </row>
    <row r="128">
      <c r="A128" s="5"/>
      <c r="B128" s="9"/>
      <c r="C128" s="5"/>
      <c r="D128" s="9"/>
      <c r="E128" s="9"/>
      <c r="F128" s="9"/>
      <c r="G128" s="9"/>
      <c r="H128" s="9"/>
      <c r="I128" s="9"/>
      <c r="J128" s="5"/>
      <c r="K128" s="4"/>
      <c r="L128" s="10"/>
      <c r="M128" s="10"/>
      <c r="N128" s="10"/>
      <c r="O128" s="10"/>
      <c r="P128" s="10"/>
      <c r="Q128" s="11"/>
      <c r="R128" s="9"/>
      <c r="S128" s="12"/>
      <c r="T128" s="5"/>
      <c r="U128" s="5"/>
      <c r="V128" s="4"/>
      <c r="W128" s="4"/>
      <c r="X128" s="4"/>
      <c r="Y128" s="4"/>
    </row>
    <row r="129">
      <c r="A129" s="5"/>
      <c r="B129" s="9"/>
      <c r="C129" s="5"/>
      <c r="D129" s="9"/>
      <c r="E129" s="9"/>
      <c r="F129" s="9"/>
      <c r="G129" s="9"/>
      <c r="H129" s="9"/>
      <c r="I129" s="9"/>
      <c r="J129" s="5"/>
      <c r="K129" s="4"/>
      <c r="L129" s="10"/>
      <c r="M129" s="10"/>
      <c r="N129" s="10"/>
      <c r="O129" s="10"/>
      <c r="P129" s="10"/>
      <c r="Q129" s="11"/>
      <c r="R129" s="9"/>
      <c r="S129" s="12"/>
      <c r="T129" s="5"/>
      <c r="U129" s="5"/>
      <c r="V129" s="4"/>
      <c r="W129" s="4"/>
      <c r="X129" s="4"/>
      <c r="Y129" s="4"/>
    </row>
    <row r="130">
      <c r="A130" s="5"/>
      <c r="B130" s="9"/>
      <c r="C130" s="5"/>
      <c r="D130" s="9"/>
      <c r="E130" s="9"/>
      <c r="F130" s="9"/>
      <c r="G130" s="9"/>
      <c r="H130" s="9"/>
      <c r="I130" s="9"/>
      <c r="J130" s="5"/>
      <c r="K130" s="4"/>
      <c r="L130" s="10"/>
      <c r="M130" s="10"/>
      <c r="N130" s="10"/>
      <c r="O130" s="10"/>
      <c r="P130" s="10"/>
      <c r="Q130" s="11"/>
      <c r="R130" s="9"/>
      <c r="S130" s="12"/>
      <c r="T130" s="5"/>
      <c r="U130" s="5"/>
      <c r="V130" s="4"/>
      <c r="W130" s="4"/>
      <c r="X130" s="4"/>
      <c r="Y130" s="4"/>
    </row>
    <row r="131">
      <c r="A131" s="5"/>
      <c r="B131" s="9"/>
      <c r="C131" s="5"/>
      <c r="D131" s="9"/>
      <c r="E131" s="9"/>
      <c r="F131" s="9"/>
      <c r="G131" s="9"/>
      <c r="H131" s="9"/>
      <c r="I131" s="9"/>
      <c r="J131" s="5"/>
      <c r="K131" s="4"/>
      <c r="L131" s="10"/>
      <c r="M131" s="10"/>
      <c r="N131" s="10"/>
      <c r="O131" s="10"/>
      <c r="P131" s="10"/>
      <c r="Q131" s="11"/>
      <c r="R131" s="9"/>
      <c r="S131" s="12"/>
      <c r="T131" s="5"/>
      <c r="U131" s="5"/>
      <c r="V131" s="4"/>
      <c r="W131" s="4"/>
      <c r="X131" s="4"/>
      <c r="Y131" s="4"/>
    </row>
    <row r="132">
      <c r="A132" s="5"/>
      <c r="B132" s="9"/>
      <c r="C132" s="5"/>
      <c r="D132" s="9"/>
      <c r="E132" s="9"/>
      <c r="F132" s="9"/>
      <c r="G132" s="9"/>
      <c r="H132" s="9"/>
      <c r="I132" s="9"/>
      <c r="J132" s="5"/>
      <c r="K132" s="4"/>
      <c r="L132" s="10"/>
      <c r="M132" s="10"/>
      <c r="N132" s="10"/>
      <c r="O132" s="10"/>
      <c r="P132" s="10"/>
      <c r="Q132" s="11"/>
      <c r="R132" s="9"/>
      <c r="S132" s="12"/>
      <c r="T132" s="5"/>
      <c r="U132" s="5"/>
      <c r="V132" s="4"/>
      <c r="W132" s="4"/>
      <c r="X132" s="4"/>
      <c r="Y132" s="4"/>
    </row>
    <row r="133">
      <c r="A133" s="5"/>
      <c r="B133" s="9"/>
      <c r="C133" s="5"/>
      <c r="D133" s="9"/>
      <c r="E133" s="9"/>
      <c r="F133" s="9"/>
      <c r="G133" s="9"/>
      <c r="H133" s="9"/>
      <c r="I133" s="9"/>
      <c r="J133" s="5"/>
      <c r="K133" s="4"/>
      <c r="L133" s="10"/>
      <c r="M133" s="10"/>
      <c r="N133" s="10"/>
      <c r="O133" s="10"/>
      <c r="P133" s="10"/>
      <c r="Q133" s="11"/>
      <c r="R133" s="9"/>
      <c r="S133" s="12"/>
      <c r="T133" s="5"/>
      <c r="U133" s="5"/>
      <c r="V133" s="4"/>
      <c r="W133" s="4"/>
      <c r="X133" s="4"/>
      <c r="Y133" s="4"/>
    </row>
    <row r="134">
      <c r="A134" s="5"/>
      <c r="B134" s="9"/>
      <c r="C134" s="5"/>
      <c r="D134" s="9"/>
      <c r="E134" s="9"/>
      <c r="F134" s="9"/>
      <c r="G134" s="9"/>
      <c r="H134" s="9"/>
      <c r="I134" s="9"/>
      <c r="J134" s="5"/>
      <c r="K134" s="4"/>
      <c r="L134" s="10"/>
      <c r="M134" s="10"/>
      <c r="N134" s="10"/>
      <c r="O134" s="10"/>
      <c r="P134" s="10"/>
      <c r="Q134" s="11"/>
      <c r="R134" s="9"/>
      <c r="S134" s="12"/>
      <c r="T134" s="5"/>
      <c r="U134" s="5"/>
      <c r="V134" s="4"/>
      <c r="W134" s="4"/>
      <c r="X134" s="4"/>
      <c r="Y134" s="4"/>
    </row>
    <row r="135">
      <c r="A135" s="5"/>
      <c r="B135" s="9"/>
      <c r="C135" s="5"/>
      <c r="D135" s="9"/>
      <c r="E135" s="9"/>
      <c r="F135" s="9"/>
      <c r="G135" s="9"/>
      <c r="H135" s="9"/>
      <c r="I135" s="9"/>
      <c r="J135" s="5"/>
      <c r="K135" s="4"/>
      <c r="L135" s="10"/>
      <c r="M135" s="10"/>
      <c r="N135" s="10"/>
      <c r="O135" s="10"/>
      <c r="P135" s="10"/>
      <c r="Q135" s="11"/>
      <c r="R135" s="9"/>
      <c r="S135" s="12"/>
      <c r="T135" s="5"/>
      <c r="U135" s="5"/>
      <c r="V135" s="4"/>
      <c r="W135" s="4"/>
      <c r="X135" s="4"/>
      <c r="Y135" s="4"/>
    </row>
    <row r="136">
      <c r="A136" s="5"/>
      <c r="B136" s="9"/>
      <c r="C136" s="5"/>
      <c r="D136" s="9"/>
      <c r="E136" s="9"/>
      <c r="F136" s="9"/>
      <c r="G136" s="9"/>
      <c r="H136" s="9"/>
      <c r="I136" s="9"/>
      <c r="J136" s="5"/>
      <c r="K136" s="4"/>
      <c r="L136" s="10"/>
      <c r="M136" s="10"/>
      <c r="N136" s="10"/>
      <c r="O136" s="10"/>
      <c r="P136" s="10"/>
      <c r="Q136" s="11"/>
      <c r="R136" s="9"/>
      <c r="S136" s="12"/>
      <c r="T136" s="5"/>
      <c r="U136" s="5"/>
      <c r="V136" s="4"/>
      <c r="W136" s="4"/>
      <c r="X136" s="4"/>
      <c r="Y136" s="4"/>
    </row>
    <row r="137">
      <c r="A137" s="5"/>
      <c r="B137" s="9"/>
      <c r="C137" s="5"/>
      <c r="D137" s="9"/>
      <c r="E137" s="9"/>
      <c r="F137" s="9"/>
      <c r="G137" s="9"/>
      <c r="H137" s="9"/>
      <c r="I137" s="9"/>
      <c r="J137" s="5"/>
      <c r="K137" s="4"/>
      <c r="L137" s="10"/>
      <c r="M137" s="10"/>
      <c r="N137" s="10"/>
      <c r="O137" s="10"/>
      <c r="P137" s="10"/>
      <c r="Q137" s="11"/>
      <c r="R137" s="9"/>
      <c r="S137" s="12"/>
      <c r="T137" s="5"/>
      <c r="U137" s="5"/>
      <c r="V137" s="4"/>
      <c r="W137" s="4"/>
      <c r="X137" s="4"/>
      <c r="Y137" s="4"/>
    </row>
    <row r="138">
      <c r="A138" s="5"/>
      <c r="B138" s="9"/>
      <c r="C138" s="5"/>
      <c r="D138" s="9"/>
      <c r="E138" s="9"/>
      <c r="F138" s="9"/>
      <c r="G138" s="9"/>
      <c r="H138" s="9"/>
      <c r="I138" s="9"/>
      <c r="J138" s="5"/>
      <c r="K138" s="4"/>
      <c r="L138" s="10"/>
      <c r="M138" s="10"/>
      <c r="N138" s="10"/>
      <c r="O138" s="10"/>
      <c r="P138" s="10"/>
      <c r="Q138" s="11"/>
      <c r="R138" s="9"/>
      <c r="S138" s="12"/>
      <c r="T138" s="5"/>
      <c r="U138" s="5"/>
      <c r="V138" s="4"/>
      <c r="W138" s="4"/>
      <c r="X138" s="4"/>
      <c r="Y138" s="4"/>
    </row>
    <row r="139">
      <c r="A139" s="5"/>
      <c r="B139" s="9"/>
      <c r="C139" s="5"/>
      <c r="D139" s="9"/>
      <c r="E139" s="9"/>
      <c r="F139" s="9"/>
      <c r="G139" s="9"/>
      <c r="H139" s="9"/>
      <c r="I139" s="9"/>
      <c r="J139" s="5"/>
      <c r="K139" s="4"/>
      <c r="L139" s="10"/>
      <c r="M139" s="10"/>
      <c r="N139" s="10"/>
      <c r="O139" s="10"/>
      <c r="P139" s="10"/>
      <c r="Q139" s="11"/>
      <c r="R139" s="9"/>
      <c r="S139" s="12"/>
      <c r="T139" s="5"/>
      <c r="U139" s="5"/>
      <c r="V139" s="4"/>
      <c r="W139" s="4"/>
      <c r="X139" s="4"/>
      <c r="Y139" s="4"/>
    </row>
    <row r="140">
      <c r="A140" s="5"/>
      <c r="B140" s="9"/>
      <c r="C140" s="5"/>
      <c r="D140" s="9"/>
      <c r="E140" s="9"/>
      <c r="F140" s="9"/>
      <c r="G140" s="9"/>
      <c r="H140" s="9"/>
      <c r="I140" s="9"/>
      <c r="J140" s="5"/>
      <c r="K140" s="4"/>
      <c r="L140" s="10"/>
      <c r="M140" s="10"/>
      <c r="N140" s="10"/>
      <c r="O140" s="10"/>
      <c r="P140" s="10"/>
      <c r="Q140" s="11"/>
      <c r="R140" s="9"/>
      <c r="S140" s="12"/>
      <c r="T140" s="5"/>
      <c r="U140" s="5"/>
      <c r="V140" s="4"/>
      <c r="W140" s="4"/>
      <c r="X140" s="4"/>
      <c r="Y140" s="4"/>
    </row>
    <row r="141">
      <c r="A141" s="5"/>
      <c r="B141" s="9"/>
      <c r="C141" s="5"/>
      <c r="D141" s="9"/>
      <c r="E141" s="9"/>
      <c r="F141" s="9"/>
      <c r="G141" s="9"/>
      <c r="H141" s="9"/>
      <c r="I141" s="9"/>
      <c r="J141" s="5"/>
      <c r="K141" s="4"/>
      <c r="L141" s="10"/>
      <c r="M141" s="10"/>
      <c r="N141" s="10"/>
      <c r="O141" s="10"/>
      <c r="P141" s="10"/>
      <c r="Q141" s="11"/>
      <c r="R141" s="9"/>
      <c r="S141" s="12"/>
      <c r="T141" s="5"/>
      <c r="U141" s="5"/>
      <c r="V141" s="4"/>
      <c r="W141" s="4"/>
      <c r="X141" s="4"/>
      <c r="Y141" s="4"/>
    </row>
    <row r="142">
      <c r="A142" s="5"/>
      <c r="B142" s="9"/>
      <c r="C142" s="5"/>
      <c r="D142" s="9"/>
      <c r="E142" s="9"/>
      <c r="F142" s="9"/>
      <c r="G142" s="9"/>
      <c r="H142" s="9"/>
      <c r="I142" s="9"/>
      <c r="J142" s="5"/>
      <c r="K142" s="4"/>
      <c r="L142" s="10"/>
      <c r="M142" s="10"/>
      <c r="N142" s="10"/>
      <c r="O142" s="10"/>
      <c r="P142" s="10"/>
      <c r="Q142" s="11"/>
      <c r="R142" s="9"/>
      <c r="S142" s="12"/>
      <c r="T142" s="5"/>
      <c r="U142" s="5"/>
      <c r="V142" s="4"/>
      <c r="W142" s="4"/>
      <c r="X142" s="4"/>
      <c r="Y142" s="4"/>
    </row>
    <row r="143">
      <c r="A143" s="5"/>
      <c r="B143" s="9"/>
      <c r="C143" s="5"/>
      <c r="D143" s="9"/>
      <c r="E143" s="9"/>
      <c r="F143" s="9"/>
      <c r="G143" s="9"/>
      <c r="H143" s="9"/>
      <c r="I143" s="9"/>
      <c r="J143" s="5"/>
      <c r="K143" s="4"/>
      <c r="L143" s="10"/>
      <c r="M143" s="10"/>
      <c r="N143" s="10"/>
      <c r="O143" s="10"/>
      <c r="P143" s="10"/>
      <c r="Q143" s="11"/>
      <c r="R143" s="9"/>
      <c r="S143" s="12"/>
      <c r="T143" s="5"/>
      <c r="U143" s="5"/>
      <c r="V143" s="4"/>
      <c r="W143" s="4"/>
      <c r="X143" s="4"/>
      <c r="Y143" s="4"/>
    </row>
    <row r="144">
      <c r="A144" s="5"/>
      <c r="B144" s="9"/>
      <c r="C144" s="5"/>
      <c r="D144" s="9"/>
      <c r="E144" s="9"/>
      <c r="F144" s="9"/>
      <c r="G144" s="9"/>
      <c r="H144" s="9"/>
      <c r="I144" s="9"/>
      <c r="J144" s="5"/>
      <c r="K144" s="4"/>
      <c r="L144" s="10"/>
      <c r="M144" s="10"/>
      <c r="N144" s="10"/>
      <c r="O144" s="10"/>
      <c r="P144" s="10"/>
      <c r="Q144" s="11"/>
      <c r="R144" s="9"/>
      <c r="S144" s="12"/>
      <c r="T144" s="5"/>
      <c r="U144" s="5"/>
      <c r="V144" s="4"/>
      <c r="W144" s="4"/>
      <c r="X144" s="4"/>
      <c r="Y144" s="4"/>
    </row>
    <row r="145">
      <c r="A145" s="5"/>
      <c r="B145" s="9"/>
      <c r="C145" s="5"/>
      <c r="D145" s="9"/>
      <c r="E145" s="9"/>
      <c r="F145" s="9"/>
      <c r="G145" s="9"/>
      <c r="H145" s="9"/>
      <c r="I145" s="9"/>
      <c r="J145" s="5"/>
      <c r="K145" s="4"/>
      <c r="L145" s="10"/>
      <c r="M145" s="10"/>
      <c r="N145" s="10"/>
      <c r="O145" s="10"/>
      <c r="P145" s="10"/>
      <c r="Q145" s="11"/>
      <c r="R145" s="9"/>
      <c r="S145" s="12"/>
      <c r="T145" s="5"/>
      <c r="U145" s="5"/>
      <c r="V145" s="4"/>
      <c r="W145" s="4"/>
      <c r="X145" s="4"/>
      <c r="Y145" s="4"/>
    </row>
    <row r="146">
      <c r="A146" s="5"/>
      <c r="B146" s="9"/>
      <c r="C146" s="5"/>
      <c r="D146" s="9"/>
      <c r="E146" s="9"/>
      <c r="F146" s="9"/>
      <c r="G146" s="9"/>
      <c r="H146" s="9"/>
      <c r="I146" s="9"/>
      <c r="J146" s="5"/>
      <c r="K146" s="4"/>
      <c r="L146" s="10"/>
      <c r="M146" s="10"/>
      <c r="N146" s="10"/>
      <c r="O146" s="10"/>
      <c r="P146" s="10"/>
      <c r="Q146" s="11"/>
      <c r="R146" s="9"/>
      <c r="S146" s="12"/>
      <c r="T146" s="5"/>
      <c r="U146" s="5"/>
      <c r="V146" s="4"/>
      <c r="W146" s="4"/>
      <c r="X146" s="4"/>
      <c r="Y146" s="4"/>
    </row>
    <row r="147">
      <c r="A147" s="5"/>
      <c r="B147" s="9"/>
      <c r="C147" s="5"/>
      <c r="D147" s="9"/>
      <c r="E147" s="9"/>
      <c r="F147" s="9"/>
      <c r="G147" s="9"/>
      <c r="H147" s="9"/>
      <c r="I147" s="9"/>
      <c r="J147" s="5"/>
      <c r="K147" s="4"/>
      <c r="L147" s="10"/>
      <c r="M147" s="10"/>
      <c r="N147" s="10"/>
      <c r="O147" s="10"/>
      <c r="P147" s="10"/>
      <c r="Q147" s="11"/>
      <c r="R147" s="9"/>
      <c r="S147" s="12"/>
      <c r="T147" s="5"/>
      <c r="U147" s="5"/>
      <c r="V147" s="4"/>
      <c r="W147" s="4"/>
      <c r="X147" s="4"/>
      <c r="Y147" s="4"/>
    </row>
    <row r="148">
      <c r="A148" s="5"/>
      <c r="B148" s="9"/>
      <c r="C148" s="5"/>
      <c r="D148" s="9"/>
      <c r="E148" s="9"/>
      <c r="F148" s="9"/>
      <c r="G148" s="9"/>
      <c r="H148" s="9"/>
      <c r="I148" s="9"/>
      <c r="J148" s="5"/>
      <c r="K148" s="4"/>
      <c r="L148" s="10"/>
      <c r="M148" s="10"/>
      <c r="N148" s="10"/>
      <c r="O148" s="10"/>
      <c r="P148" s="10"/>
      <c r="Q148" s="11"/>
      <c r="R148" s="9"/>
      <c r="S148" s="12"/>
      <c r="T148" s="5"/>
      <c r="U148" s="5"/>
      <c r="V148" s="4"/>
      <c r="W148" s="4"/>
      <c r="X148" s="4"/>
      <c r="Y148" s="4"/>
    </row>
    <row r="149">
      <c r="A149" s="5"/>
      <c r="B149" s="9"/>
      <c r="C149" s="5"/>
      <c r="D149" s="9"/>
      <c r="E149" s="9"/>
      <c r="F149" s="9"/>
      <c r="G149" s="9"/>
      <c r="H149" s="9"/>
      <c r="I149" s="9"/>
      <c r="J149" s="5"/>
      <c r="K149" s="4"/>
      <c r="L149" s="10"/>
      <c r="M149" s="10"/>
      <c r="N149" s="10"/>
      <c r="O149" s="10"/>
      <c r="P149" s="10"/>
      <c r="Q149" s="11"/>
      <c r="R149" s="9"/>
      <c r="S149" s="12"/>
      <c r="T149" s="5"/>
      <c r="U149" s="5"/>
      <c r="V149" s="4"/>
      <c r="W149" s="4"/>
      <c r="X149" s="4"/>
      <c r="Y149" s="4"/>
    </row>
    <row r="150">
      <c r="A150" s="5"/>
      <c r="B150" s="9"/>
      <c r="C150" s="5"/>
      <c r="D150" s="9"/>
      <c r="E150" s="9"/>
      <c r="F150" s="9"/>
      <c r="G150" s="9"/>
      <c r="H150" s="9"/>
      <c r="I150" s="9"/>
      <c r="J150" s="5"/>
      <c r="K150" s="4"/>
      <c r="L150" s="10"/>
      <c r="M150" s="10"/>
      <c r="N150" s="10"/>
      <c r="O150" s="10"/>
      <c r="P150" s="10"/>
      <c r="Q150" s="11"/>
      <c r="R150" s="9"/>
      <c r="S150" s="12"/>
      <c r="T150" s="5"/>
      <c r="U150" s="5"/>
      <c r="V150" s="4"/>
      <c r="W150" s="4"/>
      <c r="X150" s="4"/>
      <c r="Y150" s="4"/>
    </row>
    <row r="151">
      <c r="A151" s="5"/>
      <c r="B151" s="9"/>
      <c r="C151" s="5"/>
      <c r="D151" s="9"/>
      <c r="E151" s="9"/>
      <c r="F151" s="9"/>
      <c r="G151" s="9"/>
      <c r="H151" s="9"/>
      <c r="I151" s="9"/>
      <c r="J151" s="5"/>
      <c r="K151" s="4"/>
      <c r="L151" s="10"/>
      <c r="M151" s="10"/>
      <c r="N151" s="10"/>
      <c r="O151" s="10"/>
      <c r="P151" s="10"/>
      <c r="Q151" s="11"/>
      <c r="R151" s="9"/>
      <c r="S151" s="12"/>
      <c r="T151" s="5"/>
      <c r="U151" s="5"/>
      <c r="V151" s="4"/>
      <c r="W151" s="4"/>
      <c r="X151" s="4"/>
      <c r="Y151" s="4"/>
    </row>
    <row r="152">
      <c r="A152" s="5"/>
      <c r="B152" s="9"/>
      <c r="C152" s="5"/>
      <c r="D152" s="9"/>
      <c r="E152" s="9"/>
      <c r="F152" s="9"/>
      <c r="G152" s="9"/>
      <c r="H152" s="9"/>
      <c r="I152" s="9"/>
      <c r="J152" s="5"/>
      <c r="K152" s="4"/>
      <c r="L152" s="10"/>
      <c r="M152" s="10"/>
      <c r="N152" s="10"/>
      <c r="O152" s="10"/>
      <c r="P152" s="10"/>
      <c r="Q152" s="11"/>
      <c r="R152" s="9"/>
      <c r="S152" s="12"/>
      <c r="T152" s="5"/>
      <c r="U152" s="5"/>
      <c r="V152" s="4"/>
      <c r="W152" s="4"/>
      <c r="X152" s="4"/>
      <c r="Y152" s="4"/>
    </row>
    <row r="153">
      <c r="A153" s="5"/>
      <c r="B153" s="9"/>
      <c r="C153" s="5"/>
      <c r="D153" s="9"/>
      <c r="E153" s="9"/>
      <c r="F153" s="9"/>
      <c r="G153" s="9"/>
      <c r="H153" s="9"/>
      <c r="I153" s="9"/>
      <c r="J153" s="5"/>
      <c r="K153" s="4"/>
      <c r="L153" s="10"/>
      <c r="M153" s="10"/>
      <c r="N153" s="10"/>
      <c r="O153" s="10"/>
      <c r="P153" s="10"/>
      <c r="Q153" s="11"/>
      <c r="R153" s="9"/>
      <c r="S153" s="12"/>
      <c r="T153" s="5"/>
      <c r="U153" s="5"/>
      <c r="V153" s="4"/>
      <c r="W153" s="4"/>
      <c r="X153" s="4"/>
      <c r="Y153" s="4"/>
    </row>
    <row r="154">
      <c r="A154" s="5"/>
      <c r="B154" s="9"/>
      <c r="C154" s="5"/>
      <c r="D154" s="9"/>
      <c r="E154" s="9"/>
      <c r="F154" s="9"/>
      <c r="G154" s="9"/>
      <c r="H154" s="9"/>
      <c r="I154" s="9"/>
      <c r="J154" s="5"/>
      <c r="K154" s="4"/>
      <c r="L154" s="10"/>
      <c r="M154" s="10"/>
      <c r="N154" s="10"/>
      <c r="O154" s="10"/>
      <c r="P154" s="10"/>
      <c r="Q154" s="11"/>
      <c r="R154" s="9"/>
      <c r="S154" s="12"/>
      <c r="T154" s="5"/>
      <c r="U154" s="5"/>
      <c r="V154" s="4"/>
      <c r="W154" s="4"/>
      <c r="X154" s="4"/>
      <c r="Y154" s="4"/>
    </row>
    <row r="155">
      <c r="A155" s="5"/>
      <c r="B155" s="9"/>
      <c r="C155" s="5"/>
      <c r="D155" s="9"/>
      <c r="E155" s="9"/>
      <c r="F155" s="9"/>
      <c r="G155" s="9"/>
      <c r="H155" s="9"/>
      <c r="I155" s="9"/>
      <c r="J155" s="5"/>
      <c r="K155" s="4"/>
      <c r="L155" s="10"/>
      <c r="M155" s="10"/>
      <c r="N155" s="10"/>
      <c r="O155" s="10"/>
      <c r="P155" s="10"/>
      <c r="Q155" s="11"/>
      <c r="R155" s="9"/>
      <c r="S155" s="12"/>
      <c r="T155" s="5"/>
      <c r="U155" s="5"/>
      <c r="V155" s="4"/>
      <c r="W155" s="4"/>
      <c r="X155" s="4"/>
      <c r="Y155" s="4"/>
    </row>
    <row r="156">
      <c r="A156" s="5"/>
      <c r="B156" s="9"/>
      <c r="C156" s="5"/>
      <c r="D156" s="9"/>
      <c r="E156" s="9"/>
      <c r="F156" s="9"/>
      <c r="G156" s="9"/>
      <c r="H156" s="9"/>
      <c r="I156" s="9"/>
      <c r="J156" s="5"/>
      <c r="K156" s="4"/>
      <c r="L156" s="10"/>
      <c r="M156" s="10"/>
      <c r="N156" s="10"/>
      <c r="O156" s="10"/>
      <c r="P156" s="10"/>
      <c r="Q156" s="11"/>
      <c r="R156" s="9"/>
      <c r="S156" s="12"/>
      <c r="T156" s="5"/>
      <c r="U156" s="5"/>
      <c r="V156" s="4"/>
      <c r="W156" s="4"/>
      <c r="X156" s="4"/>
      <c r="Y156" s="4"/>
    </row>
    <row r="157">
      <c r="A157" s="5"/>
      <c r="B157" s="9"/>
      <c r="C157" s="5"/>
      <c r="D157" s="9"/>
      <c r="E157" s="9"/>
      <c r="F157" s="9"/>
      <c r="G157" s="9"/>
      <c r="H157" s="9"/>
      <c r="I157" s="9"/>
      <c r="J157" s="5"/>
      <c r="K157" s="4"/>
      <c r="L157" s="10"/>
      <c r="M157" s="10"/>
      <c r="N157" s="10"/>
      <c r="O157" s="10"/>
      <c r="P157" s="10"/>
      <c r="Q157" s="11"/>
      <c r="R157" s="9"/>
      <c r="S157" s="12"/>
      <c r="T157" s="5"/>
      <c r="U157" s="5"/>
      <c r="V157" s="4"/>
      <c r="W157" s="4"/>
      <c r="X157" s="4"/>
      <c r="Y157" s="4"/>
    </row>
    <row r="158">
      <c r="A158" s="5"/>
      <c r="B158" s="9"/>
      <c r="C158" s="5"/>
      <c r="D158" s="9"/>
      <c r="E158" s="9"/>
      <c r="F158" s="9"/>
      <c r="G158" s="9"/>
      <c r="H158" s="9"/>
      <c r="I158" s="9"/>
      <c r="J158" s="5"/>
      <c r="K158" s="4"/>
      <c r="L158" s="10"/>
      <c r="M158" s="10"/>
      <c r="N158" s="10"/>
      <c r="O158" s="10"/>
      <c r="P158" s="10"/>
      <c r="Q158" s="11"/>
      <c r="R158" s="9"/>
      <c r="S158" s="12"/>
      <c r="T158" s="5"/>
      <c r="U158" s="5"/>
      <c r="V158" s="4"/>
      <c r="W158" s="4"/>
      <c r="X158" s="4"/>
      <c r="Y158" s="4"/>
    </row>
    <row r="159">
      <c r="A159" s="5"/>
      <c r="B159" s="9"/>
      <c r="C159" s="5"/>
      <c r="D159" s="9"/>
      <c r="E159" s="9"/>
      <c r="F159" s="9"/>
      <c r="G159" s="9"/>
      <c r="H159" s="9"/>
      <c r="I159" s="9"/>
      <c r="J159" s="5"/>
      <c r="K159" s="4"/>
      <c r="L159" s="10"/>
      <c r="M159" s="10"/>
      <c r="N159" s="10"/>
      <c r="O159" s="10"/>
      <c r="P159" s="10"/>
      <c r="Q159" s="11"/>
      <c r="R159" s="9"/>
      <c r="S159" s="12"/>
      <c r="T159" s="5"/>
      <c r="U159" s="5"/>
      <c r="V159" s="4"/>
      <c r="W159" s="4"/>
      <c r="X159" s="4"/>
      <c r="Y159" s="4"/>
    </row>
    <row r="160">
      <c r="A160" s="5"/>
      <c r="B160" s="9"/>
      <c r="C160" s="5"/>
      <c r="D160" s="9"/>
      <c r="E160" s="9"/>
      <c r="F160" s="9"/>
      <c r="G160" s="9"/>
      <c r="H160" s="9"/>
      <c r="I160" s="9"/>
      <c r="J160" s="5"/>
      <c r="K160" s="4"/>
      <c r="L160" s="10"/>
      <c r="M160" s="10"/>
      <c r="N160" s="10"/>
      <c r="O160" s="10"/>
      <c r="P160" s="10"/>
      <c r="Q160" s="11"/>
      <c r="R160" s="9"/>
      <c r="S160" s="12"/>
      <c r="T160" s="5"/>
      <c r="U160" s="5"/>
      <c r="V160" s="4"/>
      <c r="W160" s="4"/>
      <c r="X160" s="4"/>
      <c r="Y160" s="4"/>
    </row>
    <row r="161">
      <c r="A161" s="5"/>
      <c r="B161" s="9"/>
      <c r="C161" s="5"/>
      <c r="D161" s="9"/>
      <c r="E161" s="9"/>
      <c r="F161" s="9"/>
      <c r="G161" s="9"/>
      <c r="H161" s="9"/>
      <c r="I161" s="9"/>
      <c r="J161" s="5"/>
      <c r="K161" s="4"/>
      <c r="L161" s="10"/>
      <c r="M161" s="10"/>
      <c r="N161" s="10"/>
      <c r="O161" s="10"/>
      <c r="P161" s="10"/>
      <c r="Q161" s="11"/>
      <c r="R161" s="9"/>
      <c r="S161" s="12"/>
      <c r="T161" s="5"/>
      <c r="U161" s="5"/>
      <c r="V161" s="4"/>
      <c r="W161" s="4"/>
      <c r="X161" s="4"/>
      <c r="Y161" s="4"/>
    </row>
    <row r="162">
      <c r="A162" s="5"/>
      <c r="B162" s="9"/>
      <c r="C162" s="5"/>
      <c r="D162" s="9"/>
      <c r="E162" s="9"/>
      <c r="F162" s="9"/>
      <c r="G162" s="9"/>
      <c r="H162" s="9"/>
      <c r="I162" s="9"/>
      <c r="J162" s="5"/>
      <c r="K162" s="4"/>
      <c r="L162" s="10"/>
      <c r="M162" s="10"/>
      <c r="N162" s="10"/>
      <c r="O162" s="10"/>
      <c r="P162" s="10"/>
      <c r="Q162" s="11"/>
      <c r="R162" s="9"/>
      <c r="S162" s="12"/>
      <c r="T162" s="5"/>
      <c r="U162" s="5"/>
      <c r="V162" s="4"/>
      <c r="W162" s="4"/>
      <c r="X162" s="4"/>
      <c r="Y162" s="4"/>
    </row>
    <row r="163">
      <c r="A163" s="5"/>
      <c r="B163" s="9"/>
      <c r="C163" s="5"/>
      <c r="D163" s="9"/>
      <c r="E163" s="9"/>
      <c r="F163" s="9"/>
      <c r="G163" s="9"/>
      <c r="H163" s="9"/>
      <c r="I163" s="9"/>
      <c r="J163" s="5"/>
      <c r="K163" s="4"/>
      <c r="L163" s="10"/>
      <c r="M163" s="10"/>
      <c r="N163" s="10"/>
      <c r="O163" s="10"/>
      <c r="P163" s="10"/>
      <c r="Q163" s="11"/>
      <c r="R163" s="9"/>
      <c r="S163" s="12"/>
      <c r="T163" s="5"/>
      <c r="U163" s="5"/>
      <c r="V163" s="4"/>
      <c r="W163" s="4"/>
      <c r="X163" s="4"/>
      <c r="Y163" s="4"/>
    </row>
    <row r="164">
      <c r="A164" s="5"/>
      <c r="B164" s="9"/>
      <c r="C164" s="5"/>
      <c r="D164" s="9"/>
      <c r="E164" s="9"/>
      <c r="F164" s="9"/>
      <c r="G164" s="9"/>
      <c r="H164" s="9"/>
      <c r="I164" s="9"/>
      <c r="J164" s="5"/>
      <c r="K164" s="4"/>
      <c r="L164" s="10"/>
      <c r="M164" s="10"/>
      <c r="N164" s="10"/>
      <c r="O164" s="10"/>
      <c r="P164" s="10"/>
      <c r="Q164" s="11"/>
      <c r="R164" s="9"/>
      <c r="S164" s="12"/>
      <c r="T164" s="5"/>
      <c r="U164" s="5"/>
      <c r="V164" s="4"/>
      <c r="W164" s="4"/>
      <c r="X164" s="4"/>
      <c r="Y164" s="4"/>
    </row>
    <row r="165">
      <c r="A165" s="5"/>
      <c r="B165" s="9"/>
      <c r="C165" s="5"/>
      <c r="D165" s="9"/>
      <c r="E165" s="9"/>
      <c r="F165" s="9"/>
      <c r="G165" s="9"/>
      <c r="H165" s="9"/>
      <c r="I165" s="9"/>
      <c r="J165" s="5"/>
      <c r="K165" s="4"/>
      <c r="L165" s="10"/>
      <c r="M165" s="10"/>
      <c r="N165" s="10"/>
      <c r="O165" s="10"/>
      <c r="P165" s="10"/>
      <c r="Q165" s="11"/>
      <c r="R165" s="9"/>
      <c r="S165" s="12"/>
      <c r="T165" s="5"/>
      <c r="U165" s="5"/>
      <c r="V165" s="4"/>
      <c r="W165" s="4"/>
      <c r="X165" s="4"/>
      <c r="Y165" s="4"/>
    </row>
    <row r="166">
      <c r="A166" s="5"/>
      <c r="B166" s="9"/>
      <c r="C166" s="5"/>
      <c r="D166" s="9"/>
      <c r="E166" s="9"/>
      <c r="F166" s="9"/>
      <c r="G166" s="9"/>
      <c r="H166" s="9"/>
      <c r="I166" s="9"/>
      <c r="J166" s="5"/>
      <c r="K166" s="4"/>
      <c r="L166" s="10"/>
      <c r="M166" s="10"/>
      <c r="N166" s="10"/>
      <c r="O166" s="10"/>
      <c r="P166" s="10"/>
      <c r="Q166" s="11"/>
      <c r="R166" s="9"/>
      <c r="S166" s="12"/>
      <c r="T166" s="5"/>
      <c r="U166" s="5"/>
      <c r="V166" s="4"/>
      <c r="W166" s="4"/>
      <c r="X166" s="4"/>
      <c r="Y166" s="4"/>
    </row>
    <row r="167">
      <c r="A167" s="5"/>
      <c r="B167" s="9"/>
      <c r="C167" s="5"/>
      <c r="D167" s="9"/>
      <c r="E167" s="9"/>
      <c r="F167" s="9"/>
      <c r="G167" s="9"/>
      <c r="H167" s="9"/>
      <c r="I167" s="9"/>
      <c r="J167" s="5"/>
      <c r="K167" s="4"/>
      <c r="L167" s="10"/>
      <c r="M167" s="10"/>
      <c r="N167" s="10"/>
      <c r="O167" s="10"/>
      <c r="P167" s="10"/>
      <c r="Q167" s="11"/>
      <c r="R167" s="9"/>
      <c r="S167" s="12"/>
      <c r="T167" s="5"/>
      <c r="U167" s="5"/>
      <c r="V167" s="4"/>
      <c r="W167" s="4"/>
      <c r="X167" s="4"/>
      <c r="Y167" s="4"/>
    </row>
    <row r="168">
      <c r="A168" s="5"/>
      <c r="B168" s="9"/>
      <c r="C168" s="5"/>
      <c r="D168" s="9"/>
      <c r="E168" s="9"/>
      <c r="F168" s="9"/>
      <c r="G168" s="9"/>
      <c r="H168" s="9"/>
      <c r="I168" s="9"/>
      <c r="J168" s="5"/>
      <c r="K168" s="4"/>
      <c r="L168" s="10"/>
      <c r="M168" s="10"/>
      <c r="N168" s="10"/>
      <c r="O168" s="10"/>
      <c r="P168" s="10"/>
      <c r="Q168" s="11"/>
      <c r="R168" s="9"/>
      <c r="S168" s="12"/>
      <c r="T168" s="5"/>
      <c r="U168" s="5"/>
      <c r="V168" s="4"/>
      <c r="W168" s="4"/>
      <c r="X168" s="4"/>
      <c r="Y168" s="4"/>
    </row>
    <row r="169">
      <c r="A169" s="5"/>
      <c r="B169" s="9"/>
      <c r="C169" s="5"/>
      <c r="D169" s="9"/>
      <c r="E169" s="9"/>
      <c r="F169" s="9"/>
      <c r="G169" s="9"/>
      <c r="H169" s="9"/>
      <c r="I169" s="9"/>
      <c r="J169" s="5"/>
      <c r="K169" s="4"/>
      <c r="L169" s="10"/>
      <c r="M169" s="10"/>
      <c r="N169" s="10"/>
      <c r="O169" s="10"/>
      <c r="P169" s="10"/>
      <c r="Q169" s="11"/>
      <c r="R169" s="9"/>
      <c r="S169" s="12"/>
      <c r="T169" s="5"/>
      <c r="U169" s="5"/>
      <c r="V169" s="4"/>
      <c r="W169" s="4"/>
      <c r="X169" s="4"/>
      <c r="Y169" s="4"/>
    </row>
    <row r="170">
      <c r="A170" s="5"/>
      <c r="B170" s="9"/>
      <c r="C170" s="5"/>
      <c r="D170" s="9"/>
      <c r="E170" s="9"/>
      <c r="F170" s="9"/>
      <c r="G170" s="9"/>
      <c r="H170" s="9"/>
      <c r="I170" s="9"/>
      <c r="J170" s="5"/>
      <c r="K170" s="4"/>
      <c r="L170" s="10"/>
      <c r="M170" s="10"/>
      <c r="N170" s="10"/>
      <c r="O170" s="10"/>
      <c r="P170" s="10"/>
      <c r="Q170" s="11"/>
      <c r="R170" s="9"/>
      <c r="S170" s="12"/>
      <c r="T170" s="5"/>
      <c r="U170" s="5"/>
      <c r="V170" s="4"/>
      <c r="W170" s="4"/>
      <c r="X170" s="4"/>
      <c r="Y170" s="4"/>
    </row>
    <row r="171">
      <c r="A171" s="5"/>
      <c r="B171" s="9"/>
      <c r="C171" s="5"/>
      <c r="D171" s="9"/>
      <c r="E171" s="9"/>
      <c r="F171" s="9"/>
      <c r="G171" s="9"/>
      <c r="H171" s="9"/>
      <c r="I171" s="9"/>
      <c r="J171" s="5"/>
      <c r="K171" s="4"/>
      <c r="L171" s="10"/>
      <c r="M171" s="10"/>
      <c r="N171" s="10"/>
      <c r="O171" s="10"/>
      <c r="P171" s="10"/>
      <c r="Q171" s="11"/>
      <c r="R171" s="9"/>
      <c r="S171" s="12"/>
      <c r="T171" s="5"/>
      <c r="U171" s="5"/>
      <c r="V171" s="4"/>
      <c r="W171" s="4"/>
      <c r="X171" s="4"/>
      <c r="Y171" s="4"/>
    </row>
    <row r="172">
      <c r="A172" s="5"/>
      <c r="B172" s="9"/>
      <c r="C172" s="5"/>
      <c r="D172" s="9"/>
      <c r="E172" s="9"/>
      <c r="F172" s="9"/>
      <c r="G172" s="9"/>
      <c r="H172" s="9"/>
      <c r="I172" s="9"/>
      <c r="J172" s="5"/>
      <c r="K172" s="4"/>
      <c r="L172" s="10"/>
      <c r="M172" s="10"/>
      <c r="N172" s="10"/>
      <c r="O172" s="10"/>
      <c r="P172" s="10"/>
      <c r="Q172" s="11"/>
      <c r="R172" s="9"/>
      <c r="S172" s="12"/>
      <c r="T172" s="5"/>
      <c r="U172" s="5"/>
      <c r="V172" s="4"/>
      <c r="W172" s="4"/>
      <c r="X172" s="4"/>
      <c r="Y172" s="4"/>
    </row>
    <row r="173">
      <c r="A173" s="5"/>
      <c r="B173" s="9"/>
      <c r="C173" s="5"/>
      <c r="D173" s="9"/>
      <c r="E173" s="9"/>
      <c r="F173" s="9"/>
      <c r="G173" s="9"/>
      <c r="H173" s="9"/>
      <c r="I173" s="9"/>
      <c r="J173" s="5"/>
      <c r="K173" s="4"/>
      <c r="L173" s="10"/>
      <c r="M173" s="10"/>
      <c r="N173" s="10"/>
      <c r="O173" s="10"/>
      <c r="P173" s="10"/>
      <c r="Q173" s="11"/>
      <c r="R173" s="9"/>
      <c r="S173" s="12"/>
      <c r="T173" s="5"/>
      <c r="U173" s="5"/>
      <c r="V173" s="4"/>
      <c r="W173" s="4"/>
      <c r="X173" s="4"/>
      <c r="Y173" s="4"/>
    </row>
    <row r="174">
      <c r="A174" s="5"/>
      <c r="B174" s="9"/>
      <c r="C174" s="5"/>
      <c r="D174" s="9"/>
      <c r="E174" s="9"/>
      <c r="F174" s="9"/>
      <c r="G174" s="9"/>
      <c r="H174" s="9"/>
      <c r="I174" s="9"/>
      <c r="J174" s="5"/>
      <c r="K174" s="4"/>
      <c r="L174" s="10"/>
      <c r="M174" s="10"/>
      <c r="N174" s="10"/>
      <c r="O174" s="10"/>
      <c r="P174" s="10"/>
      <c r="Q174" s="11"/>
      <c r="R174" s="9"/>
      <c r="S174" s="12"/>
      <c r="T174" s="5"/>
      <c r="U174" s="5"/>
      <c r="V174" s="4"/>
      <c r="W174" s="4"/>
      <c r="X174" s="4"/>
      <c r="Y174" s="4"/>
    </row>
    <row r="175">
      <c r="A175" s="5"/>
      <c r="B175" s="9"/>
      <c r="C175" s="5"/>
      <c r="D175" s="9"/>
      <c r="E175" s="9"/>
      <c r="F175" s="9"/>
      <c r="G175" s="9"/>
      <c r="H175" s="9"/>
      <c r="I175" s="9"/>
      <c r="J175" s="5"/>
      <c r="K175" s="4"/>
      <c r="L175" s="10"/>
      <c r="M175" s="10"/>
      <c r="N175" s="10"/>
      <c r="O175" s="10"/>
      <c r="P175" s="10"/>
      <c r="Q175" s="11"/>
      <c r="R175" s="9"/>
      <c r="S175" s="12"/>
      <c r="T175" s="5"/>
      <c r="U175" s="5"/>
      <c r="V175" s="4"/>
      <c r="W175" s="4"/>
      <c r="X175" s="4"/>
      <c r="Y175" s="4"/>
    </row>
    <row r="176">
      <c r="A176" s="5"/>
      <c r="B176" s="9"/>
      <c r="C176" s="5"/>
      <c r="D176" s="9"/>
      <c r="E176" s="9"/>
      <c r="F176" s="9"/>
      <c r="G176" s="9"/>
      <c r="H176" s="9"/>
      <c r="I176" s="9"/>
      <c r="J176" s="5"/>
      <c r="K176" s="4"/>
      <c r="L176" s="10"/>
      <c r="M176" s="10"/>
      <c r="N176" s="10"/>
      <c r="O176" s="10"/>
      <c r="P176" s="10"/>
      <c r="Q176" s="11"/>
      <c r="R176" s="9"/>
      <c r="S176" s="12"/>
      <c r="T176" s="5"/>
      <c r="U176" s="5"/>
      <c r="V176" s="4"/>
      <c r="W176" s="4"/>
      <c r="X176" s="4"/>
      <c r="Y176" s="4"/>
    </row>
    <row r="177">
      <c r="A177" s="5"/>
      <c r="B177" s="9"/>
      <c r="C177" s="5"/>
      <c r="D177" s="9"/>
      <c r="E177" s="9"/>
      <c r="F177" s="9"/>
      <c r="G177" s="9"/>
      <c r="H177" s="9"/>
      <c r="I177" s="9"/>
      <c r="J177" s="5"/>
      <c r="K177" s="4"/>
      <c r="L177" s="10"/>
      <c r="M177" s="10"/>
      <c r="N177" s="10"/>
      <c r="O177" s="10"/>
      <c r="P177" s="10"/>
      <c r="Q177" s="11"/>
      <c r="R177" s="9"/>
      <c r="S177" s="12"/>
      <c r="T177" s="5"/>
      <c r="U177" s="5"/>
      <c r="V177" s="4"/>
      <c r="W177" s="4"/>
      <c r="X177" s="4"/>
      <c r="Y177" s="4"/>
    </row>
    <row r="178">
      <c r="A178" s="5"/>
      <c r="B178" s="9"/>
      <c r="C178" s="5"/>
      <c r="D178" s="9"/>
      <c r="E178" s="9"/>
      <c r="F178" s="9"/>
      <c r="G178" s="9"/>
      <c r="H178" s="9"/>
      <c r="I178" s="9"/>
      <c r="J178" s="5"/>
      <c r="K178" s="4"/>
      <c r="L178" s="10"/>
      <c r="M178" s="10"/>
      <c r="N178" s="10"/>
      <c r="O178" s="10"/>
      <c r="P178" s="10"/>
      <c r="Q178" s="11"/>
      <c r="R178" s="9"/>
      <c r="S178" s="12"/>
      <c r="T178" s="5"/>
      <c r="U178" s="5"/>
      <c r="V178" s="4"/>
      <c r="W178" s="4"/>
      <c r="X178" s="4"/>
      <c r="Y178" s="4"/>
    </row>
    <row r="179">
      <c r="A179" s="5"/>
      <c r="B179" s="9"/>
      <c r="C179" s="5"/>
      <c r="D179" s="9"/>
      <c r="E179" s="9"/>
      <c r="F179" s="9"/>
      <c r="G179" s="9"/>
      <c r="H179" s="9"/>
      <c r="I179" s="9"/>
      <c r="J179" s="5"/>
      <c r="K179" s="4"/>
      <c r="L179" s="10"/>
      <c r="M179" s="10"/>
      <c r="N179" s="10"/>
      <c r="O179" s="10"/>
      <c r="P179" s="10"/>
      <c r="Q179" s="11"/>
      <c r="R179" s="9"/>
      <c r="S179" s="12"/>
      <c r="T179" s="5"/>
      <c r="U179" s="5"/>
      <c r="V179" s="4"/>
      <c r="W179" s="4"/>
      <c r="X179" s="4"/>
      <c r="Y179" s="4"/>
    </row>
    <row r="180">
      <c r="A180" s="5"/>
      <c r="B180" s="9"/>
      <c r="C180" s="5"/>
      <c r="D180" s="9"/>
      <c r="E180" s="9"/>
      <c r="F180" s="9"/>
      <c r="G180" s="9"/>
      <c r="H180" s="9"/>
      <c r="I180" s="9"/>
      <c r="J180" s="5"/>
      <c r="K180" s="4"/>
      <c r="L180" s="10"/>
      <c r="M180" s="10"/>
      <c r="N180" s="10"/>
      <c r="O180" s="10"/>
      <c r="P180" s="10"/>
      <c r="Q180" s="11"/>
      <c r="R180" s="9"/>
      <c r="S180" s="12"/>
      <c r="T180" s="5"/>
      <c r="U180" s="5"/>
      <c r="V180" s="4"/>
      <c r="W180" s="4"/>
      <c r="X180" s="4"/>
      <c r="Y180" s="4"/>
    </row>
    <row r="181">
      <c r="A181" s="5"/>
      <c r="B181" s="9"/>
      <c r="C181" s="5"/>
      <c r="D181" s="9"/>
      <c r="E181" s="9"/>
      <c r="F181" s="9"/>
      <c r="G181" s="9"/>
      <c r="H181" s="9"/>
      <c r="I181" s="9"/>
      <c r="J181" s="5"/>
      <c r="K181" s="4"/>
      <c r="L181" s="10"/>
      <c r="M181" s="10"/>
      <c r="N181" s="10"/>
      <c r="O181" s="10"/>
      <c r="P181" s="10"/>
      <c r="Q181" s="11"/>
      <c r="R181" s="9"/>
      <c r="S181" s="12"/>
      <c r="T181" s="5"/>
      <c r="U181" s="5"/>
      <c r="V181" s="4"/>
      <c r="W181" s="4"/>
      <c r="X181" s="4"/>
      <c r="Y181" s="4"/>
    </row>
    <row r="182">
      <c r="A182" s="5"/>
      <c r="B182" s="9"/>
      <c r="C182" s="5"/>
      <c r="D182" s="9"/>
      <c r="E182" s="9"/>
      <c r="F182" s="9"/>
      <c r="G182" s="9"/>
      <c r="H182" s="9"/>
      <c r="I182" s="9"/>
      <c r="J182" s="5"/>
      <c r="K182" s="4"/>
      <c r="L182" s="10"/>
      <c r="M182" s="10"/>
      <c r="N182" s="10"/>
      <c r="O182" s="10"/>
      <c r="P182" s="10"/>
      <c r="Q182" s="11"/>
      <c r="R182" s="9"/>
      <c r="S182" s="12"/>
      <c r="T182" s="5"/>
      <c r="U182" s="5"/>
      <c r="V182" s="4"/>
      <c r="W182" s="4"/>
      <c r="X182" s="4"/>
      <c r="Y182" s="4"/>
    </row>
    <row r="183">
      <c r="A183" s="5"/>
      <c r="B183" s="9"/>
      <c r="C183" s="5"/>
      <c r="D183" s="9"/>
      <c r="E183" s="9"/>
      <c r="F183" s="9"/>
      <c r="G183" s="9"/>
      <c r="H183" s="9"/>
      <c r="I183" s="9"/>
      <c r="J183" s="5"/>
      <c r="K183" s="4"/>
      <c r="L183" s="10"/>
      <c r="M183" s="10"/>
      <c r="N183" s="10"/>
      <c r="O183" s="10"/>
      <c r="P183" s="10"/>
      <c r="Q183" s="11"/>
      <c r="R183" s="9"/>
      <c r="S183" s="12"/>
      <c r="T183" s="5"/>
      <c r="U183" s="5"/>
      <c r="V183" s="4"/>
      <c r="W183" s="4"/>
      <c r="X183" s="4"/>
      <c r="Y183" s="4"/>
    </row>
    <row r="184">
      <c r="A184" s="5"/>
      <c r="B184" s="9"/>
      <c r="C184" s="5"/>
      <c r="D184" s="9"/>
      <c r="E184" s="9"/>
      <c r="F184" s="9"/>
      <c r="G184" s="9"/>
      <c r="H184" s="9"/>
      <c r="I184" s="9"/>
      <c r="J184" s="5"/>
      <c r="K184" s="4"/>
      <c r="L184" s="10"/>
      <c r="M184" s="10"/>
      <c r="N184" s="10"/>
      <c r="O184" s="10"/>
      <c r="P184" s="10"/>
      <c r="Q184" s="11"/>
      <c r="R184" s="9"/>
      <c r="S184" s="12"/>
      <c r="T184" s="5"/>
      <c r="U184" s="5"/>
      <c r="V184" s="4"/>
      <c r="W184" s="4"/>
      <c r="X184" s="4"/>
      <c r="Y184" s="4"/>
    </row>
    <row r="185">
      <c r="A185" s="5"/>
      <c r="B185" s="9"/>
      <c r="C185" s="5"/>
      <c r="D185" s="9"/>
      <c r="E185" s="9"/>
      <c r="F185" s="9"/>
      <c r="G185" s="9"/>
      <c r="H185" s="9"/>
      <c r="I185" s="9"/>
      <c r="J185" s="5"/>
      <c r="K185" s="4"/>
      <c r="L185" s="10"/>
      <c r="M185" s="10"/>
      <c r="N185" s="10"/>
      <c r="O185" s="10"/>
      <c r="P185" s="10"/>
      <c r="Q185" s="11"/>
      <c r="R185" s="9"/>
      <c r="S185" s="12"/>
      <c r="T185" s="5"/>
      <c r="U185" s="5"/>
      <c r="V185" s="4"/>
      <c r="W185" s="4"/>
      <c r="X185" s="4"/>
      <c r="Y185" s="4"/>
    </row>
    <row r="186">
      <c r="A186" s="5"/>
      <c r="B186" s="9"/>
      <c r="C186" s="5"/>
      <c r="D186" s="9"/>
      <c r="E186" s="9"/>
      <c r="F186" s="9"/>
      <c r="G186" s="9"/>
      <c r="H186" s="9"/>
      <c r="I186" s="9"/>
      <c r="J186" s="5"/>
      <c r="K186" s="4"/>
      <c r="L186" s="10"/>
      <c r="M186" s="10"/>
      <c r="N186" s="10"/>
      <c r="O186" s="10"/>
      <c r="P186" s="10"/>
      <c r="Q186" s="11"/>
      <c r="R186" s="9"/>
      <c r="S186" s="12"/>
      <c r="T186" s="5"/>
      <c r="U186" s="5"/>
      <c r="V186" s="4"/>
      <c r="W186" s="4"/>
      <c r="X186" s="4"/>
      <c r="Y186" s="4"/>
    </row>
    <row r="187">
      <c r="A187" s="5"/>
      <c r="B187" s="9"/>
      <c r="C187" s="5"/>
      <c r="D187" s="9"/>
      <c r="E187" s="9"/>
      <c r="F187" s="9"/>
      <c r="G187" s="9"/>
      <c r="H187" s="9"/>
      <c r="I187" s="9"/>
      <c r="J187" s="5"/>
      <c r="K187" s="4"/>
      <c r="L187" s="10"/>
      <c r="M187" s="10"/>
      <c r="N187" s="10"/>
      <c r="O187" s="10"/>
      <c r="P187" s="10"/>
      <c r="Q187" s="11"/>
      <c r="R187" s="9"/>
      <c r="S187" s="12"/>
      <c r="T187" s="5"/>
      <c r="U187" s="5"/>
      <c r="V187" s="4"/>
      <c r="W187" s="4"/>
      <c r="X187" s="4"/>
      <c r="Y187" s="4"/>
    </row>
    <row r="188">
      <c r="A188" s="5"/>
      <c r="B188" s="9"/>
      <c r="C188" s="5"/>
      <c r="D188" s="9"/>
      <c r="E188" s="9"/>
      <c r="F188" s="9"/>
      <c r="G188" s="9"/>
      <c r="H188" s="9"/>
      <c r="I188" s="9"/>
      <c r="J188" s="5"/>
      <c r="K188" s="4"/>
      <c r="L188" s="10"/>
      <c r="M188" s="10"/>
      <c r="N188" s="10"/>
      <c r="O188" s="10"/>
      <c r="P188" s="10"/>
      <c r="Q188" s="11"/>
      <c r="R188" s="9"/>
      <c r="S188" s="12"/>
      <c r="T188" s="5"/>
      <c r="U188" s="5"/>
      <c r="V188" s="4"/>
      <c r="W188" s="4"/>
      <c r="X188" s="4"/>
      <c r="Y188" s="4"/>
    </row>
    <row r="189">
      <c r="A189" s="5"/>
      <c r="B189" s="9"/>
      <c r="C189" s="5"/>
      <c r="D189" s="9"/>
      <c r="E189" s="9"/>
      <c r="F189" s="9"/>
      <c r="G189" s="9"/>
      <c r="H189" s="9"/>
      <c r="I189" s="9"/>
      <c r="J189" s="5"/>
      <c r="K189" s="4"/>
      <c r="L189" s="10"/>
      <c r="M189" s="10"/>
      <c r="N189" s="10"/>
      <c r="O189" s="10"/>
      <c r="P189" s="10"/>
      <c r="Q189" s="11"/>
      <c r="R189" s="9"/>
      <c r="S189" s="12"/>
      <c r="T189" s="5"/>
      <c r="U189" s="5"/>
      <c r="V189" s="4"/>
      <c r="W189" s="4"/>
      <c r="X189" s="4"/>
      <c r="Y189" s="4"/>
    </row>
    <row r="190">
      <c r="A190" s="5"/>
      <c r="B190" s="9"/>
      <c r="C190" s="5"/>
      <c r="D190" s="9"/>
      <c r="E190" s="9"/>
      <c r="F190" s="9"/>
      <c r="G190" s="9"/>
      <c r="H190" s="9"/>
      <c r="I190" s="9"/>
      <c r="J190" s="5"/>
      <c r="K190" s="4"/>
      <c r="L190" s="10"/>
      <c r="M190" s="10"/>
      <c r="N190" s="10"/>
      <c r="O190" s="10"/>
      <c r="P190" s="10"/>
      <c r="Q190" s="11"/>
      <c r="R190" s="9"/>
      <c r="S190" s="12"/>
      <c r="T190" s="5"/>
      <c r="U190" s="5"/>
      <c r="V190" s="4"/>
      <c r="W190" s="4"/>
      <c r="X190" s="4"/>
      <c r="Y190" s="4"/>
    </row>
    <row r="191">
      <c r="A191" s="5"/>
      <c r="B191" s="9"/>
      <c r="C191" s="5"/>
      <c r="D191" s="9"/>
      <c r="E191" s="9"/>
      <c r="F191" s="9"/>
      <c r="G191" s="9"/>
      <c r="H191" s="9"/>
      <c r="I191" s="9"/>
      <c r="J191" s="5"/>
      <c r="K191" s="4"/>
      <c r="L191" s="10"/>
      <c r="M191" s="10"/>
      <c r="N191" s="10"/>
      <c r="O191" s="10"/>
      <c r="P191" s="10"/>
      <c r="Q191" s="11"/>
      <c r="R191" s="9"/>
      <c r="S191" s="12"/>
      <c r="T191" s="5"/>
      <c r="U191" s="5"/>
      <c r="V191" s="4"/>
      <c r="W191" s="4"/>
      <c r="X191" s="4"/>
      <c r="Y191" s="4"/>
    </row>
    <row r="192">
      <c r="A192" s="5"/>
      <c r="B192" s="9"/>
      <c r="C192" s="5"/>
      <c r="D192" s="9"/>
      <c r="E192" s="9"/>
      <c r="F192" s="9"/>
      <c r="G192" s="9"/>
      <c r="H192" s="9"/>
      <c r="I192" s="9"/>
      <c r="J192" s="5"/>
      <c r="K192" s="4"/>
      <c r="L192" s="10"/>
      <c r="M192" s="10"/>
      <c r="N192" s="10"/>
      <c r="O192" s="10"/>
      <c r="P192" s="10"/>
      <c r="Q192" s="11"/>
      <c r="R192" s="9"/>
      <c r="S192" s="12"/>
      <c r="T192" s="5"/>
      <c r="U192" s="5"/>
      <c r="V192" s="4"/>
      <c r="W192" s="4"/>
      <c r="X192" s="4"/>
      <c r="Y192" s="4"/>
    </row>
    <row r="193">
      <c r="A193" s="5"/>
      <c r="B193" s="9"/>
      <c r="C193" s="5"/>
      <c r="D193" s="9"/>
      <c r="E193" s="9"/>
      <c r="F193" s="9"/>
      <c r="G193" s="9"/>
      <c r="H193" s="9"/>
      <c r="I193" s="9"/>
      <c r="J193" s="5"/>
      <c r="K193" s="4"/>
      <c r="L193" s="10"/>
      <c r="M193" s="10"/>
      <c r="N193" s="10"/>
      <c r="O193" s="10"/>
      <c r="P193" s="10"/>
      <c r="Q193" s="11"/>
      <c r="R193" s="9"/>
      <c r="S193" s="12"/>
      <c r="T193" s="5"/>
      <c r="U193" s="5"/>
      <c r="V193" s="4"/>
      <c r="W193" s="4"/>
      <c r="X193" s="4"/>
      <c r="Y193" s="4"/>
    </row>
    <row r="194">
      <c r="A194" s="5"/>
      <c r="B194" s="9"/>
      <c r="C194" s="5"/>
      <c r="D194" s="9"/>
      <c r="E194" s="9"/>
      <c r="F194" s="9"/>
      <c r="G194" s="9"/>
      <c r="H194" s="9"/>
      <c r="I194" s="9"/>
      <c r="J194" s="5"/>
      <c r="K194" s="4"/>
      <c r="L194" s="10"/>
      <c r="M194" s="10"/>
      <c r="N194" s="10"/>
      <c r="O194" s="10"/>
      <c r="P194" s="10"/>
      <c r="Q194" s="11"/>
      <c r="R194" s="9"/>
      <c r="S194" s="12"/>
      <c r="T194" s="5"/>
      <c r="U194" s="5"/>
      <c r="V194" s="4"/>
      <c r="W194" s="4"/>
      <c r="X194" s="4"/>
      <c r="Y194" s="4"/>
    </row>
    <row r="195">
      <c r="A195" s="5"/>
      <c r="B195" s="9"/>
      <c r="C195" s="5"/>
      <c r="D195" s="9"/>
      <c r="E195" s="9"/>
      <c r="F195" s="9"/>
      <c r="G195" s="9"/>
      <c r="H195" s="9"/>
      <c r="I195" s="9"/>
      <c r="J195" s="5"/>
      <c r="K195" s="4"/>
      <c r="L195" s="10"/>
      <c r="M195" s="10"/>
      <c r="N195" s="10"/>
      <c r="O195" s="10"/>
      <c r="P195" s="10"/>
      <c r="Q195" s="11"/>
      <c r="R195" s="9"/>
      <c r="S195" s="12"/>
      <c r="T195" s="5"/>
      <c r="U195" s="5"/>
      <c r="V195" s="4"/>
      <c r="W195" s="4"/>
      <c r="X195" s="4"/>
      <c r="Y195" s="4"/>
    </row>
    <row r="196">
      <c r="A196" s="5"/>
      <c r="B196" s="9"/>
      <c r="C196" s="5"/>
      <c r="D196" s="9"/>
      <c r="E196" s="9"/>
      <c r="F196" s="9"/>
      <c r="G196" s="9"/>
      <c r="H196" s="9"/>
      <c r="I196" s="9"/>
      <c r="J196" s="5"/>
      <c r="K196" s="4"/>
      <c r="L196" s="10"/>
      <c r="M196" s="10"/>
      <c r="N196" s="10"/>
      <c r="O196" s="10"/>
      <c r="P196" s="10"/>
      <c r="Q196" s="11"/>
      <c r="R196" s="9"/>
      <c r="S196" s="12"/>
      <c r="T196" s="5"/>
      <c r="U196" s="5"/>
      <c r="V196" s="4"/>
      <c r="W196" s="4"/>
      <c r="X196" s="4"/>
      <c r="Y196" s="4"/>
    </row>
    <row r="197">
      <c r="A197" s="5"/>
      <c r="B197" s="9"/>
      <c r="C197" s="5"/>
      <c r="D197" s="9"/>
      <c r="E197" s="9"/>
      <c r="F197" s="9"/>
      <c r="G197" s="9"/>
      <c r="H197" s="9"/>
      <c r="I197" s="9"/>
      <c r="J197" s="5"/>
      <c r="K197" s="4"/>
      <c r="L197" s="10"/>
      <c r="M197" s="10"/>
      <c r="N197" s="10"/>
      <c r="O197" s="10"/>
      <c r="P197" s="10"/>
      <c r="Q197" s="11"/>
      <c r="R197" s="9"/>
      <c r="S197" s="12"/>
      <c r="T197" s="5"/>
      <c r="U197" s="5"/>
      <c r="V197" s="4"/>
      <c r="W197" s="4"/>
      <c r="X197" s="4"/>
      <c r="Y197" s="4"/>
    </row>
    <row r="198">
      <c r="A198" s="5"/>
      <c r="B198" s="9"/>
      <c r="C198" s="5"/>
      <c r="D198" s="9"/>
      <c r="E198" s="9"/>
      <c r="F198" s="9"/>
      <c r="G198" s="9"/>
      <c r="H198" s="9"/>
      <c r="I198" s="9"/>
      <c r="J198" s="5"/>
      <c r="K198" s="4"/>
      <c r="L198" s="10"/>
      <c r="M198" s="10"/>
      <c r="N198" s="10"/>
      <c r="O198" s="10"/>
      <c r="P198" s="10"/>
      <c r="Q198" s="11"/>
      <c r="R198" s="9"/>
      <c r="S198" s="12"/>
      <c r="T198" s="5"/>
      <c r="U198" s="5"/>
      <c r="V198" s="4"/>
      <c r="W198" s="4"/>
      <c r="X198" s="4"/>
      <c r="Y198" s="4"/>
    </row>
    <row r="199">
      <c r="A199" s="5"/>
      <c r="B199" s="9"/>
      <c r="C199" s="5"/>
      <c r="D199" s="9"/>
      <c r="E199" s="9"/>
      <c r="F199" s="9"/>
      <c r="G199" s="9"/>
      <c r="H199" s="9"/>
      <c r="I199" s="9"/>
      <c r="J199" s="5"/>
      <c r="K199" s="4"/>
      <c r="L199" s="10"/>
      <c r="M199" s="10"/>
      <c r="N199" s="10"/>
      <c r="O199" s="10"/>
      <c r="P199" s="10"/>
      <c r="Q199" s="11"/>
      <c r="R199" s="9"/>
      <c r="S199" s="12"/>
      <c r="T199" s="5"/>
      <c r="U199" s="5"/>
      <c r="V199" s="4"/>
      <c r="W199" s="4"/>
      <c r="X199" s="4"/>
      <c r="Y199" s="4"/>
    </row>
    <row r="200">
      <c r="A200" s="5"/>
      <c r="B200" s="9"/>
      <c r="C200" s="5"/>
      <c r="D200" s="9"/>
      <c r="E200" s="9"/>
      <c r="F200" s="9"/>
      <c r="G200" s="9"/>
      <c r="H200" s="9"/>
      <c r="I200" s="9"/>
      <c r="J200" s="5"/>
      <c r="K200" s="4"/>
      <c r="L200" s="10"/>
      <c r="M200" s="10"/>
      <c r="N200" s="10"/>
      <c r="O200" s="10"/>
      <c r="P200" s="10"/>
      <c r="Q200" s="11"/>
      <c r="R200" s="9"/>
      <c r="S200" s="12"/>
      <c r="T200" s="5"/>
      <c r="U200" s="5"/>
      <c r="V200" s="4"/>
      <c r="W200" s="4"/>
      <c r="X200" s="4"/>
      <c r="Y200" s="4"/>
    </row>
    <row r="201">
      <c r="A201" s="5"/>
      <c r="B201" s="9"/>
      <c r="C201" s="5"/>
      <c r="D201" s="9"/>
      <c r="E201" s="9"/>
      <c r="F201" s="9"/>
      <c r="G201" s="9"/>
      <c r="H201" s="9"/>
      <c r="I201" s="9"/>
      <c r="J201" s="5"/>
      <c r="K201" s="4"/>
      <c r="L201" s="10"/>
      <c r="M201" s="10"/>
      <c r="N201" s="10"/>
      <c r="O201" s="10"/>
      <c r="P201" s="10"/>
      <c r="Q201" s="11"/>
      <c r="R201" s="9"/>
      <c r="S201" s="12"/>
      <c r="T201" s="5"/>
      <c r="U201" s="5"/>
      <c r="V201" s="4"/>
      <c r="W201" s="4"/>
      <c r="X201" s="4"/>
      <c r="Y201" s="4"/>
    </row>
    <row r="202">
      <c r="A202" s="5"/>
      <c r="B202" s="9"/>
      <c r="C202" s="5"/>
      <c r="D202" s="9"/>
      <c r="E202" s="9"/>
      <c r="F202" s="9"/>
      <c r="G202" s="9"/>
      <c r="H202" s="9"/>
      <c r="I202" s="9"/>
      <c r="J202" s="5"/>
      <c r="K202" s="4"/>
      <c r="L202" s="10"/>
      <c r="M202" s="10"/>
      <c r="N202" s="10"/>
      <c r="O202" s="10"/>
      <c r="P202" s="10"/>
      <c r="Q202" s="11"/>
      <c r="R202" s="9"/>
      <c r="S202" s="12"/>
      <c r="T202" s="5"/>
      <c r="U202" s="5"/>
      <c r="V202" s="4"/>
      <c r="W202" s="4"/>
      <c r="X202" s="4"/>
      <c r="Y202" s="4"/>
    </row>
    <row r="203">
      <c r="A203" s="5"/>
      <c r="B203" s="9"/>
      <c r="C203" s="5"/>
      <c r="D203" s="9"/>
      <c r="E203" s="9"/>
      <c r="F203" s="9"/>
      <c r="G203" s="9"/>
      <c r="H203" s="9"/>
      <c r="I203" s="9"/>
      <c r="J203" s="5"/>
      <c r="K203" s="4"/>
      <c r="L203" s="10"/>
      <c r="M203" s="10"/>
      <c r="N203" s="10"/>
      <c r="O203" s="10"/>
      <c r="P203" s="10"/>
      <c r="Q203" s="11"/>
      <c r="R203" s="9"/>
      <c r="S203" s="12"/>
      <c r="T203" s="5"/>
      <c r="U203" s="5"/>
      <c r="V203" s="4"/>
      <c r="W203" s="4"/>
      <c r="X203" s="4"/>
      <c r="Y203" s="4"/>
    </row>
    <row r="204">
      <c r="A204" s="5"/>
      <c r="B204" s="9"/>
      <c r="C204" s="5"/>
      <c r="D204" s="9"/>
      <c r="E204" s="9"/>
      <c r="F204" s="9"/>
      <c r="G204" s="9"/>
      <c r="H204" s="9"/>
      <c r="I204" s="9"/>
      <c r="J204" s="5"/>
      <c r="K204" s="4"/>
      <c r="L204" s="10"/>
      <c r="M204" s="10"/>
      <c r="N204" s="10"/>
      <c r="O204" s="10"/>
      <c r="P204" s="10"/>
      <c r="Q204" s="11"/>
      <c r="R204" s="9"/>
      <c r="S204" s="12"/>
      <c r="T204" s="5"/>
      <c r="U204" s="5"/>
      <c r="V204" s="4"/>
      <c r="W204" s="4"/>
      <c r="X204" s="4"/>
      <c r="Y204" s="4"/>
    </row>
    <row r="205">
      <c r="A205" s="5"/>
      <c r="B205" s="9"/>
      <c r="C205" s="5"/>
      <c r="D205" s="9"/>
      <c r="E205" s="9"/>
      <c r="F205" s="9"/>
      <c r="G205" s="9"/>
      <c r="H205" s="9"/>
      <c r="I205" s="9"/>
      <c r="J205" s="5"/>
      <c r="K205" s="4"/>
      <c r="L205" s="10"/>
      <c r="M205" s="10"/>
      <c r="N205" s="10"/>
      <c r="O205" s="10"/>
      <c r="P205" s="10"/>
      <c r="Q205" s="11"/>
      <c r="R205" s="9"/>
      <c r="S205" s="12"/>
      <c r="T205" s="5"/>
      <c r="U205" s="5"/>
      <c r="V205" s="4"/>
      <c r="W205" s="4"/>
      <c r="X205" s="4"/>
      <c r="Y205" s="4"/>
    </row>
    <row r="206">
      <c r="A206" s="5"/>
      <c r="B206" s="9"/>
      <c r="C206" s="5"/>
      <c r="D206" s="9"/>
      <c r="E206" s="9"/>
      <c r="F206" s="9"/>
      <c r="G206" s="9"/>
      <c r="H206" s="9"/>
      <c r="I206" s="9"/>
      <c r="J206" s="5"/>
      <c r="K206" s="4"/>
      <c r="L206" s="10"/>
      <c r="M206" s="10"/>
      <c r="N206" s="10"/>
      <c r="O206" s="10"/>
      <c r="P206" s="10"/>
      <c r="Q206" s="11"/>
      <c r="R206" s="9"/>
      <c r="S206" s="12"/>
      <c r="T206" s="5"/>
      <c r="U206" s="5"/>
      <c r="V206" s="4"/>
      <c r="W206" s="4"/>
      <c r="X206" s="4"/>
      <c r="Y206" s="4"/>
    </row>
    <row r="207">
      <c r="A207" s="5"/>
      <c r="B207" s="9"/>
      <c r="C207" s="5"/>
      <c r="D207" s="9"/>
      <c r="E207" s="9"/>
      <c r="F207" s="9"/>
      <c r="G207" s="9"/>
      <c r="H207" s="9"/>
      <c r="I207" s="9"/>
      <c r="J207" s="5"/>
      <c r="K207" s="4"/>
      <c r="L207" s="10"/>
      <c r="M207" s="10"/>
      <c r="N207" s="10"/>
      <c r="O207" s="10"/>
      <c r="P207" s="10"/>
      <c r="Q207" s="11"/>
      <c r="R207" s="9"/>
      <c r="S207" s="12"/>
      <c r="T207" s="5"/>
      <c r="U207" s="5"/>
      <c r="V207" s="4"/>
      <c r="W207" s="4"/>
      <c r="X207" s="4"/>
      <c r="Y207" s="4"/>
    </row>
    <row r="208">
      <c r="A208" s="5"/>
      <c r="B208" s="9"/>
      <c r="C208" s="5"/>
      <c r="D208" s="9"/>
      <c r="E208" s="9"/>
      <c r="F208" s="9"/>
      <c r="G208" s="9"/>
      <c r="H208" s="9"/>
      <c r="I208" s="9"/>
      <c r="J208" s="5"/>
      <c r="K208" s="4"/>
      <c r="L208" s="10"/>
      <c r="M208" s="10"/>
      <c r="N208" s="10"/>
      <c r="O208" s="10"/>
      <c r="P208" s="10"/>
      <c r="Q208" s="11"/>
      <c r="R208" s="9"/>
      <c r="S208" s="12"/>
      <c r="T208" s="5"/>
      <c r="U208" s="5"/>
      <c r="V208" s="4"/>
      <c r="W208" s="4"/>
      <c r="X208" s="4"/>
      <c r="Y208" s="4"/>
    </row>
    <row r="209">
      <c r="A209" s="5"/>
      <c r="B209" s="9"/>
      <c r="C209" s="5"/>
      <c r="D209" s="9"/>
      <c r="E209" s="9"/>
      <c r="F209" s="9"/>
      <c r="G209" s="9"/>
      <c r="H209" s="9"/>
      <c r="I209" s="9"/>
      <c r="J209" s="5"/>
      <c r="K209" s="4"/>
      <c r="L209" s="10"/>
      <c r="M209" s="10"/>
      <c r="N209" s="10"/>
      <c r="O209" s="10"/>
      <c r="P209" s="10"/>
      <c r="Q209" s="11"/>
      <c r="R209" s="9"/>
      <c r="S209" s="12"/>
      <c r="T209" s="5"/>
      <c r="U209" s="5"/>
      <c r="V209" s="4"/>
      <c r="W209" s="4"/>
      <c r="X209" s="4"/>
      <c r="Y209" s="4"/>
    </row>
    <row r="210">
      <c r="A210" s="5"/>
      <c r="B210" s="9"/>
      <c r="C210" s="5"/>
      <c r="D210" s="9"/>
      <c r="E210" s="9"/>
      <c r="F210" s="9"/>
      <c r="G210" s="9"/>
      <c r="H210" s="9"/>
      <c r="I210" s="9"/>
      <c r="J210" s="5"/>
      <c r="K210" s="4"/>
      <c r="L210" s="10"/>
      <c r="M210" s="10"/>
      <c r="N210" s="10"/>
      <c r="O210" s="10"/>
      <c r="P210" s="10"/>
      <c r="Q210" s="11"/>
      <c r="R210" s="9"/>
      <c r="S210" s="12"/>
      <c r="T210" s="5"/>
      <c r="U210" s="5"/>
      <c r="V210" s="4"/>
      <c r="W210" s="4"/>
      <c r="X210" s="4"/>
      <c r="Y210" s="4"/>
    </row>
    <row r="211">
      <c r="A211" s="5"/>
      <c r="B211" s="9"/>
      <c r="C211" s="5"/>
      <c r="D211" s="9"/>
      <c r="E211" s="9"/>
      <c r="F211" s="9"/>
      <c r="G211" s="9"/>
      <c r="H211" s="9"/>
      <c r="I211" s="9"/>
      <c r="J211" s="5"/>
      <c r="K211" s="4"/>
      <c r="L211" s="10"/>
      <c r="M211" s="10"/>
      <c r="N211" s="10"/>
      <c r="O211" s="10"/>
      <c r="P211" s="10"/>
      <c r="Q211" s="11"/>
      <c r="R211" s="9"/>
      <c r="S211" s="12"/>
      <c r="T211" s="5"/>
      <c r="U211" s="5"/>
      <c r="V211" s="4"/>
      <c r="W211" s="4"/>
      <c r="X211" s="4"/>
      <c r="Y211" s="4"/>
    </row>
    <row r="212">
      <c r="A212" s="5"/>
      <c r="B212" s="9"/>
      <c r="C212" s="5"/>
      <c r="D212" s="9"/>
      <c r="E212" s="9"/>
      <c r="F212" s="9"/>
      <c r="G212" s="9"/>
      <c r="H212" s="9"/>
      <c r="I212" s="9"/>
      <c r="J212" s="5"/>
      <c r="K212" s="4"/>
      <c r="L212" s="10"/>
      <c r="M212" s="10"/>
      <c r="N212" s="10"/>
      <c r="O212" s="10"/>
      <c r="P212" s="10"/>
      <c r="Q212" s="11"/>
      <c r="R212" s="9"/>
      <c r="S212" s="12"/>
      <c r="T212" s="5"/>
      <c r="U212" s="5"/>
      <c r="V212" s="4"/>
      <c r="W212" s="4"/>
      <c r="X212" s="4"/>
      <c r="Y212" s="4"/>
    </row>
    <row r="213">
      <c r="A213" s="5"/>
      <c r="B213" s="9"/>
      <c r="C213" s="5"/>
      <c r="D213" s="9"/>
      <c r="E213" s="9"/>
      <c r="F213" s="9"/>
      <c r="G213" s="9"/>
      <c r="H213" s="9"/>
      <c r="I213" s="9"/>
      <c r="J213" s="5"/>
      <c r="K213" s="4"/>
      <c r="L213" s="10"/>
      <c r="M213" s="10"/>
      <c r="N213" s="10"/>
      <c r="O213" s="10"/>
      <c r="P213" s="10"/>
      <c r="Q213" s="11"/>
      <c r="R213" s="9"/>
      <c r="S213" s="12"/>
      <c r="T213" s="5"/>
      <c r="U213" s="5"/>
      <c r="V213" s="4"/>
      <c r="W213" s="4"/>
      <c r="X213" s="4"/>
      <c r="Y213" s="4"/>
    </row>
    <row r="214">
      <c r="A214" s="5"/>
      <c r="B214" s="9"/>
      <c r="C214" s="5"/>
      <c r="D214" s="9"/>
      <c r="E214" s="9"/>
      <c r="F214" s="9"/>
      <c r="G214" s="9"/>
      <c r="H214" s="9"/>
      <c r="I214" s="9"/>
      <c r="J214" s="5"/>
      <c r="K214" s="4"/>
      <c r="L214" s="10"/>
      <c r="M214" s="10"/>
      <c r="N214" s="10"/>
      <c r="O214" s="10"/>
      <c r="P214" s="10"/>
      <c r="Q214" s="11"/>
      <c r="R214" s="9"/>
      <c r="S214" s="12"/>
      <c r="T214" s="5"/>
      <c r="U214" s="5"/>
      <c r="V214" s="4"/>
      <c r="W214" s="4"/>
      <c r="X214" s="4"/>
      <c r="Y214" s="4"/>
    </row>
    <row r="215">
      <c r="A215" s="5"/>
      <c r="B215" s="9"/>
      <c r="C215" s="5"/>
      <c r="D215" s="9"/>
      <c r="E215" s="9"/>
      <c r="F215" s="9"/>
      <c r="G215" s="9"/>
      <c r="H215" s="9"/>
      <c r="I215" s="9"/>
      <c r="J215" s="5"/>
      <c r="K215" s="4"/>
      <c r="L215" s="10"/>
      <c r="M215" s="10"/>
      <c r="N215" s="10"/>
      <c r="O215" s="10"/>
      <c r="P215" s="10"/>
      <c r="Q215" s="11"/>
      <c r="R215" s="9"/>
      <c r="S215" s="12"/>
      <c r="T215" s="5"/>
      <c r="U215" s="5"/>
      <c r="V215" s="4"/>
      <c r="W215" s="4"/>
      <c r="X215" s="4"/>
      <c r="Y215" s="4"/>
    </row>
    <row r="216">
      <c r="A216" s="5"/>
      <c r="B216" s="9"/>
      <c r="C216" s="5"/>
      <c r="D216" s="9"/>
      <c r="E216" s="9"/>
      <c r="F216" s="9"/>
      <c r="G216" s="9"/>
      <c r="H216" s="9"/>
      <c r="I216" s="9"/>
      <c r="J216" s="5"/>
      <c r="K216" s="4"/>
      <c r="L216" s="10"/>
      <c r="M216" s="10"/>
      <c r="N216" s="10"/>
      <c r="O216" s="10"/>
      <c r="P216" s="10"/>
      <c r="Q216" s="11"/>
      <c r="R216" s="9"/>
      <c r="S216" s="12"/>
      <c r="T216" s="5"/>
      <c r="U216" s="5"/>
      <c r="V216" s="4"/>
      <c r="W216" s="4"/>
      <c r="X216" s="4"/>
      <c r="Y216" s="4"/>
    </row>
    <row r="217">
      <c r="A217" s="5"/>
      <c r="B217" s="9"/>
      <c r="C217" s="5"/>
      <c r="D217" s="9"/>
      <c r="E217" s="9"/>
      <c r="F217" s="9"/>
      <c r="G217" s="9"/>
      <c r="H217" s="9"/>
      <c r="I217" s="9"/>
      <c r="J217" s="5"/>
      <c r="K217" s="4"/>
      <c r="L217" s="10"/>
      <c r="M217" s="10"/>
      <c r="N217" s="10"/>
      <c r="O217" s="10"/>
      <c r="P217" s="10"/>
      <c r="Q217" s="11"/>
      <c r="R217" s="9"/>
      <c r="S217" s="12"/>
      <c r="T217" s="5"/>
      <c r="U217" s="5"/>
      <c r="V217" s="4"/>
      <c r="W217" s="4"/>
      <c r="X217" s="4"/>
      <c r="Y217" s="4"/>
    </row>
    <row r="218">
      <c r="A218" s="5"/>
      <c r="B218" s="9"/>
      <c r="C218" s="5"/>
      <c r="D218" s="9"/>
      <c r="E218" s="9"/>
      <c r="F218" s="9"/>
      <c r="G218" s="9"/>
      <c r="H218" s="9"/>
      <c r="I218" s="9"/>
      <c r="J218" s="5"/>
      <c r="K218" s="4"/>
      <c r="L218" s="10"/>
      <c r="M218" s="10"/>
      <c r="N218" s="10"/>
      <c r="O218" s="10"/>
      <c r="P218" s="10"/>
      <c r="Q218" s="11"/>
      <c r="R218" s="9"/>
      <c r="S218" s="12"/>
      <c r="T218" s="5"/>
      <c r="U218" s="5"/>
      <c r="V218" s="4"/>
      <c r="W218" s="4"/>
      <c r="X218" s="4"/>
      <c r="Y218" s="4"/>
    </row>
    <row r="219">
      <c r="A219" s="5"/>
      <c r="B219" s="9"/>
      <c r="C219" s="5"/>
      <c r="D219" s="9"/>
      <c r="E219" s="9"/>
      <c r="F219" s="9"/>
      <c r="G219" s="9"/>
      <c r="H219" s="9"/>
      <c r="I219" s="9"/>
      <c r="J219" s="5"/>
      <c r="K219" s="4"/>
      <c r="L219" s="10"/>
      <c r="M219" s="10"/>
      <c r="N219" s="10"/>
      <c r="O219" s="10"/>
      <c r="P219" s="10"/>
      <c r="Q219" s="11"/>
      <c r="R219" s="9"/>
      <c r="S219" s="12"/>
      <c r="T219" s="5"/>
      <c r="U219" s="5"/>
      <c r="V219" s="4"/>
      <c r="W219" s="4"/>
      <c r="X219" s="4"/>
      <c r="Y219" s="4"/>
    </row>
    <row r="220">
      <c r="A220" s="5"/>
      <c r="B220" s="9"/>
      <c r="C220" s="5"/>
      <c r="D220" s="9"/>
      <c r="E220" s="9"/>
      <c r="F220" s="9"/>
      <c r="G220" s="9"/>
      <c r="H220" s="9"/>
      <c r="I220" s="9"/>
      <c r="J220" s="5"/>
      <c r="K220" s="4"/>
      <c r="L220" s="10"/>
      <c r="M220" s="10"/>
      <c r="N220" s="10"/>
      <c r="O220" s="10"/>
      <c r="P220" s="10"/>
      <c r="Q220" s="11"/>
      <c r="R220" s="9"/>
      <c r="S220" s="12"/>
      <c r="T220" s="5"/>
      <c r="U220" s="5"/>
      <c r="V220" s="4"/>
      <c r="W220" s="4"/>
      <c r="X220" s="4"/>
      <c r="Y220" s="4"/>
    </row>
    <row r="221">
      <c r="A221" s="5"/>
      <c r="B221" s="9"/>
      <c r="C221" s="5"/>
      <c r="D221" s="9"/>
      <c r="E221" s="9"/>
      <c r="F221" s="9"/>
      <c r="G221" s="9"/>
      <c r="H221" s="9"/>
      <c r="I221" s="9"/>
      <c r="J221" s="5"/>
      <c r="K221" s="4"/>
      <c r="L221" s="10"/>
      <c r="M221" s="10"/>
      <c r="N221" s="10"/>
      <c r="O221" s="10"/>
      <c r="P221" s="10"/>
      <c r="Q221" s="11"/>
      <c r="R221" s="9"/>
      <c r="S221" s="12"/>
      <c r="T221" s="5"/>
      <c r="U221" s="5"/>
      <c r="V221" s="4"/>
      <c r="W221" s="4"/>
      <c r="X221" s="4"/>
      <c r="Y221" s="4"/>
    </row>
    <row r="222">
      <c r="A222" s="5"/>
      <c r="B222" s="9"/>
      <c r="C222" s="5"/>
      <c r="D222" s="9"/>
      <c r="E222" s="9"/>
      <c r="F222" s="9"/>
      <c r="G222" s="9"/>
      <c r="H222" s="9"/>
      <c r="I222" s="9"/>
      <c r="J222" s="5"/>
      <c r="K222" s="4"/>
      <c r="L222" s="10"/>
      <c r="M222" s="10"/>
      <c r="N222" s="10"/>
      <c r="O222" s="10"/>
      <c r="P222" s="10"/>
      <c r="Q222" s="11"/>
      <c r="R222" s="9"/>
      <c r="S222" s="12"/>
      <c r="T222" s="5"/>
      <c r="U222" s="5"/>
      <c r="V222" s="4"/>
      <c r="W222" s="4"/>
      <c r="X222" s="4"/>
      <c r="Y222" s="4"/>
    </row>
    <row r="223">
      <c r="A223" s="5"/>
      <c r="B223" s="9"/>
      <c r="C223" s="5"/>
      <c r="D223" s="9"/>
      <c r="E223" s="9"/>
      <c r="F223" s="9"/>
      <c r="G223" s="9"/>
      <c r="H223" s="9"/>
      <c r="I223" s="9"/>
      <c r="J223" s="5"/>
      <c r="K223" s="4"/>
      <c r="L223" s="10"/>
      <c r="M223" s="10"/>
      <c r="N223" s="10"/>
      <c r="O223" s="10"/>
      <c r="P223" s="10"/>
      <c r="Q223" s="11"/>
      <c r="R223" s="9"/>
      <c r="S223" s="12"/>
      <c r="T223" s="5"/>
      <c r="U223" s="5"/>
      <c r="V223" s="4"/>
      <c r="W223" s="4"/>
      <c r="X223" s="4"/>
      <c r="Y223" s="4"/>
    </row>
    <row r="224">
      <c r="A224" s="5"/>
      <c r="B224" s="9"/>
      <c r="C224" s="5"/>
      <c r="D224" s="9"/>
      <c r="E224" s="9"/>
      <c r="F224" s="9"/>
      <c r="G224" s="9"/>
      <c r="H224" s="9"/>
      <c r="I224" s="9"/>
      <c r="J224" s="5"/>
      <c r="K224" s="4"/>
      <c r="L224" s="10"/>
      <c r="M224" s="10"/>
      <c r="N224" s="10"/>
      <c r="O224" s="10"/>
      <c r="P224" s="10"/>
      <c r="Q224" s="11"/>
      <c r="R224" s="9"/>
      <c r="S224" s="12"/>
      <c r="T224" s="5"/>
      <c r="U224" s="5"/>
      <c r="V224" s="4"/>
      <c r="W224" s="4"/>
      <c r="X224" s="4"/>
      <c r="Y224" s="4"/>
    </row>
    <row r="225">
      <c r="A225" s="5"/>
      <c r="B225" s="9"/>
      <c r="C225" s="5"/>
      <c r="D225" s="9"/>
      <c r="E225" s="9"/>
      <c r="F225" s="9"/>
      <c r="G225" s="9"/>
      <c r="H225" s="9"/>
      <c r="I225" s="9"/>
      <c r="J225" s="5"/>
      <c r="K225" s="4"/>
      <c r="L225" s="10"/>
      <c r="M225" s="10"/>
      <c r="N225" s="10"/>
      <c r="O225" s="10"/>
      <c r="P225" s="10"/>
      <c r="Q225" s="11"/>
      <c r="R225" s="9"/>
      <c r="S225" s="12"/>
      <c r="T225" s="5"/>
      <c r="U225" s="5"/>
      <c r="V225" s="4"/>
      <c r="W225" s="4"/>
      <c r="X225" s="4"/>
      <c r="Y225" s="4"/>
    </row>
    <row r="226">
      <c r="A226" s="5"/>
      <c r="B226" s="9"/>
      <c r="C226" s="5"/>
      <c r="D226" s="9"/>
      <c r="E226" s="9"/>
      <c r="F226" s="9"/>
      <c r="G226" s="9"/>
      <c r="H226" s="9"/>
      <c r="I226" s="9"/>
      <c r="J226" s="5"/>
      <c r="K226" s="4"/>
      <c r="L226" s="10"/>
      <c r="M226" s="10"/>
      <c r="N226" s="10"/>
      <c r="O226" s="10"/>
      <c r="P226" s="10"/>
      <c r="Q226" s="11"/>
      <c r="R226" s="9"/>
      <c r="S226" s="12"/>
      <c r="T226" s="5"/>
      <c r="U226" s="5"/>
      <c r="V226" s="4"/>
      <c r="W226" s="4"/>
      <c r="X226" s="4"/>
      <c r="Y226" s="4"/>
    </row>
    <row r="227">
      <c r="A227" s="5"/>
      <c r="B227" s="9"/>
      <c r="C227" s="5"/>
      <c r="D227" s="9"/>
      <c r="E227" s="9"/>
      <c r="F227" s="9"/>
      <c r="G227" s="9"/>
      <c r="H227" s="9"/>
      <c r="I227" s="9"/>
      <c r="J227" s="5"/>
      <c r="K227" s="4"/>
      <c r="L227" s="10"/>
      <c r="M227" s="10"/>
      <c r="N227" s="10"/>
      <c r="O227" s="10"/>
      <c r="P227" s="10"/>
      <c r="Q227" s="11"/>
      <c r="R227" s="9"/>
      <c r="S227" s="12"/>
      <c r="T227" s="5"/>
      <c r="U227" s="5"/>
      <c r="V227" s="4"/>
      <c r="W227" s="4"/>
      <c r="X227" s="4"/>
      <c r="Y227" s="4"/>
    </row>
    <row r="228">
      <c r="A228" s="5"/>
      <c r="B228" s="9"/>
      <c r="C228" s="5"/>
      <c r="D228" s="9"/>
      <c r="E228" s="9"/>
      <c r="F228" s="9"/>
      <c r="G228" s="9"/>
      <c r="H228" s="9"/>
      <c r="I228" s="9"/>
      <c r="J228" s="5"/>
      <c r="K228" s="4"/>
      <c r="L228" s="10"/>
      <c r="M228" s="10"/>
      <c r="N228" s="10"/>
      <c r="O228" s="10"/>
      <c r="P228" s="10"/>
      <c r="Q228" s="11"/>
      <c r="R228" s="9"/>
      <c r="S228" s="12"/>
      <c r="T228" s="5"/>
      <c r="U228" s="5"/>
      <c r="V228" s="4"/>
      <c r="W228" s="4"/>
      <c r="X228" s="4"/>
      <c r="Y228" s="4"/>
    </row>
    <row r="229">
      <c r="A229" s="5"/>
      <c r="B229" s="9"/>
      <c r="C229" s="5"/>
      <c r="D229" s="9"/>
      <c r="E229" s="9"/>
      <c r="F229" s="9"/>
      <c r="G229" s="9"/>
      <c r="H229" s="9"/>
      <c r="I229" s="9"/>
      <c r="J229" s="5"/>
      <c r="K229" s="4"/>
      <c r="L229" s="10"/>
      <c r="M229" s="10"/>
      <c r="N229" s="10"/>
      <c r="O229" s="10"/>
      <c r="P229" s="10"/>
      <c r="Q229" s="11"/>
      <c r="R229" s="9"/>
      <c r="S229" s="12"/>
      <c r="T229" s="5"/>
      <c r="U229" s="5"/>
      <c r="V229" s="4"/>
      <c r="W229" s="4"/>
      <c r="X229" s="4"/>
      <c r="Y229" s="4"/>
    </row>
    <row r="230">
      <c r="A230" s="5"/>
      <c r="B230" s="9"/>
      <c r="C230" s="5"/>
      <c r="D230" s="9"/>
      <c r="E230" s="9"/>
      <c r="F230" s="9"/>
      <c r="G230" s="9"/>
      <c r="H230" s="9"/>
      <c r="I230" s="9"/>
      <c r="J230" s="5"/>
      <c r="K230" s="4"/>
      <c r="L230" s="10"/>
      <c r="M230" s="10"/>
      <c r="N230" s="10"/>
      <c r="O230" s="10"/>
      <c r="P230" s="10"/>
      <c r="Q230" s="11"/>
      <c r="R230" s="9"/>
      <c r="S230" s="12"/>
      <c r="T230" s="5"/>
      <c r="U230" s="5"/>
      <c r="V230" s="4"/>
      <c r="W230" s="4"/>
      <c r="X230" s="4"/>
      <c r="Y230" s="4"/>
    </row>
    <row r="231">
      <c r="A231" s="5"/>
      <c r="B231" s="9"/>
      <c r="C231" s="5"/>
      <c r="D231" s="9"/>
      <c r="E231" s="9"/>
      <c r="F231" s="9"/>
      <c r="G231" s="9"/>
      <c r="H231" s="9"/>
      <c r="I231" s="9"/>
      <c r="J231" s="5"/>
      <c r="K231" s="4"/>
      <c r="L231" s="10"/>
      <c r="M231" s="10"/>
      <c r="N231" s="10"/>
      <c r="O231" s="10"/>
      <c r="P231" s="10"/>
      <c r="Q231" s="11"/>
      <c r="R231" s="9"/>
      <c r="S231" s="12"/>
      <c r="T231" s="5"/>
      <c r="U231" s="5"/>
      <c r="V231" s="4"/>
      <c r="W231" s="4"/>
      <c r="X231" s="4"/>
      <c r="Y231" s="4"/>
    </row>
    <row r="232">
      <c r="A232" s="5"/>
      <c r="B232" s="9"/>
      <c r="C232" s="5"/>
      <c r="D232" s="9"/>
      <c r="E232" s="9"/>
      <c r="F232" s="9"/>
      <c r="G232" s="9"/>
      <c r="H232" s="9"/>
      <c r="I232" s="9"/>
      <c r="J232" s="5"/>
      <c r="K232" s="4"/>
      <c r="L232" s="10"/>
      <c r="M232" s="10"/>
      <c r="N232" s="10"/>
      <c r="O232" s="10"/>
      <c r="P232" s="10"/>
      <c r="Q232" s="11"/>
      <c r="R232" s="9"/>
      <c r="S232" s="12"/>
      <c r="T232" s="5"/>
      <c r="U232" s="5"/>
      <c r="V232" s="4"/>
      <c r="W232" s="4"/>
      <c r="X232" s="4"/>
      <c r="Y232" s="4"/>
    </row>
    <row r="233">
      <c r="A233" s="5"/>
      <c r="B233" s="9"/>
      <c r="C233" s="5"/>
      <c r="D233" s="9"/>
      <c r="E233" s="9"/>
      <c r="F233" s="9"/>
      <c r="G233" s="9"/>
      <c r="H233" s="9"/>
      <c r="I233" s="9"/>
      <c r="J233" s="5"/>
      <c r="K233" s="4"/>
      <c r="L233" s="10"/>
      <c r="M233" s="10"/>
      <c r="N233" s="10"/>
      <c r="O233" s="10"/>
      <c r="P233" s="10"/>
      <c r="Q233" s="11"/>
      <c r="R233" s="9"/>
      <c r="S233" s="12"/>
      <c r="T233" s="5"/>
      <c r="U233" s="5"/>
      <c r="V233" s="4"/>
      <c r="W233" s="4"/>
      <c r="X233" s="4"/>
      <c r="Y233" s="4"/>
    </row>
    <row r="234">
      <c r="A234" s="5"/>
      <c r="B234" s="9"/>
      <c r="C234" s="5"/>
      <c r="D234" s="9"/>
      <c r="E234" s="9"/>
      <c r="F234" s="9"/>
      <c r="G234" s="9"/>
      <c r="H234" s="9"/>
      <c r="I234" s="9"/>
      <c r="J234" s="5"/>
      <c r="K234" s="4"/>
      <c r="L234" s="10"/>
      <c r="M234" s="10"/>
      <c r="N234" s="10"/>
      <c r="O234" s="10"/>
      <c r="P234" s="10"/>
      <c r="Q234" s="11"/>
      <c r="R234" s="9"/>
      <c r="S234" s="12"/>
      <c r="T234" s="5"/>
      <c r="U234" s="5"/>
      <c r="V234" s="4"/>
      <c r="W234" s="4"/>
      <c r="X234" s="4"/>
      <c r="Y234" s="4"/>
    </row>
    <row r="235">
      <c r="A235" s="5"/>
      <c r="B235" s="9"/>
      <c r="C235" s="5"/>
      <c r="D235" s="9"/>
      <c r="E235" s="9"/>
      <c r="F235" s="9"/>
      <c r="G235" s="9"/>
      <c r="H235" s="9"/>
      <c r="I235" s="9"/>
      <c r="J235" s="5"/>
      <c r="K235" s="4"/>
      <c r="L235" s="10"/>
      <c r="M235" s="10"/>
      <c r="N235" s="10"/>
      <c r="O235" s="10"/>
      <c r="P235" s="10"/>
      <c r="Q235" s="11"/>
      <c r="R235" s="9"/>
      <c r="S235" s="12"/>
      <c r="T235" s="5"/>
      <c r="U235" s="5"/>
      <c r="V235" s="4"/>
      <c r="W235" s="4"/>
      <c r="X235" s="4"/>
      <c r="Y235" s="4"/>
    </row>
    <row r="236">
      <c r="A236" s="5"/>
      <c r="B236" s="9"/>
      <c r="C236" s="5"/>
      <c r="D236" s="9"/>
      <c r="E236" s="9"/>
      <c r="F236" s="9"/>
      <c r="G236" s="9"/>
      <c r="H236" s="9"/>
      <c r="I236" s="9"/>
      <c r="J236" s="5"/>
      <c r="K236" s="4"/>
      <c r="L236" s="10"/>
      <c r="M236" s="10"/>
      <c r="N236" s="10"/>
      <c r="O236" s="10"/>
      <c r="P236" s="10"/>
      <c r="Q236" s="11"/>
      <c r="R236" s="9"/>
      <c r="S236" s="12"/>
      <c r="T236" s="5"/>
      <c r="U236" s="5"/>
      <c r="V236" s="4"/>
      <c r="W236" s="4"/>
      <c r="X236" s="4"/>
      <c r="Y236" s="4"/>
    </row>
    <row r="237">
      <c r="A237" s="5"/>
      <c r="B237" s="9"/>
      <c r="C237" s="5"/>
      <c r="D237" s="9"/>
      <c r="E237" s="9"/>
      <c r="F237" s="9"/>
      <c r="G237" s="9"/>
      <c r="H237" s="9"/>
      <c r="I237" s="9"/>
      <c r="J237" s="5"/>
      <c r="K237" s="4"/>
      <c r="L237" s="10"/>
      <c r="M237" s="10"/>
      <c r="N237" s="10"/>
      <c r="O237" s="10"/>
      <c r="P237" s="10"/>
      <c r="Q237" s="11"/>
      <c r="R237" s="9"/>
      <c r="S237" s="12"/>
      <c r="T237" s="5"/>
      <c r="U237" s="5"/>
      <c r="V237" s="4"/>
      <c r="W237" s="4"/>
      <c r="X237" s="4"/>
      <c r="Y237" s="4"/>
    </row>
    <row r="238">
      <c r="A238" s="5"/>
      <c r="B238" s="9"/>
      <c r="C238" s="5"/>
      <c r="D238" s="9"/>
      <c r="E238" s="9"/>
      <c r="F238" s="9"/>
      <c r="G238" s="9"/>
      <c r="H238" s="9"/>
      <c r="I238" s="9"/>
      <c r="J238" s="5"/>
      <c r="K238" s="4"/>
      <c r="L238" s="10"/>
      <c r="M238" s="10"/>
      <c r="N238" s="10"/>
      <c r="O238" s="10"/>
      <c r="P238" s="10"/>
      <c r="Q238" s="11"/>
      <c r="R238" s="9"/>
      <c r="S238" s="12"/>
      <c r="T238" s="5"/>
      <c r="U238" s="5"/>
      <c r="V238" s="4"/>
      <c r="W238" s="4"/>
      <c r="X238" s="4"/>
      <c r="Y238" s="4"/>
    </row>
    <row r="239">
      <c r="A239" s="5"/>
      <c r="B239" s="9"/>
      <c r="C239" s="5"/>
      <c r="D239" s="9"/>
      <c r="E239" s="9"/>
      <c r="F239" s="9"/>
      <c r="G239" s="9"/>
      <c r="H239" s="9"/>
      <c r="I239" s="9"/>
      <c r="J239" s="5"/>
      <c r="K239" s="4"/>
      <c r="L239" s="10"/>
      <c r="M239" s="10"/>
      <c r="N239" s="10"/>
      <c r="O239" s="10"/>
      <c r="P239" s="10"/>
      <c r="Q239" s="11"/>
      <c r="R239" s="9"/>
      <c r="S239" s="12"/>
      <c r="T239" s="5"/>
      <c r="U239" s="5"/>
      <c r="V239" s="4"/>
      <c r="W239" s="4"/>
      <c r="X239" s="4"/>
      <c r="Y239" s="4"/>
    </row>
    <row r="240">
      <c r="A240" s="5"/>
      <c r="B240" s="9"/>
      <c r="C240" s="5"/>
      <c r="D240" s="9"/>
      <c r="E240" s="9"/>
      <c r="F240" s="9"/>
      <c r="G240" s="9"/>
      <c r="H240" s="9"/>
      <c r="I240" s="9"/>
      <c r="J240" s="5"/>
      <c r="K240" s="4"/>
      <c r="L240" s="10"/>
      <c r="M240" s="10"/>
      <c r="N240" s="10"/>
      <c r="O240" s="10"/>
      <c r="P240" s="10"/>
      <c r="Q240" s="11"/>
      <c r="R240" s="9"/>
      <c r="S240" s="12"/>
      <c r="T240" s="5"/>
      <c r="U240" s="5"/>
      <c r="V240" s="4"/>
      <c r="W240" s="4"/>
      <c r="X240" s="4"/>
      <c r="Y240" s="4"/>
    </row>
    <row r="241">
      <c r="A241" s="5"/>
      <c r="B241" s="9"/>
      <c r="C241" s="5"/>
      <c r="D241" s="9"/>
      <c r="E241" s="9"/>
      <c r="F241" s="9"/>
      <c r="G241" s="9"/>
      <c r="H241" s="9"/>
      <c r="I241" s="9"/>
      <c r="J241" s="5"/>
      <c r="K241" s="4"/>
      <c r="L241" s="10"/>
      <c r="M241" s="10"/>
      <c r="N241" s="10"/>
      <c r="O241" s="10"/>
      <c r="P241" s="10"/>
      <c r="Q241" s="11"/>
      <c r="R241" s="9"/>
      <c r="S241" s="12"/>
      <c r="T241" s="5"/>
      <c r="U241" s="5"/>
      <c r="V241" s="4"/>
      <c r="W241" s="4"/>
      <c r="X241" s="4"/>
      <c r="Y241" s="4"/>
    </row>
    <row r="242">
      <c r="A242" s="5"/>
      <c r="B242" s="9"/>
      <c r="C242" s="5"/>
      <c r="D242" s="9"/>
      <c r="E242" s="9"/>
      <c r="F242" s="9"/>
      <c r="G242" s="9"/>
      <c r="H242" s="9"/>
      <c r="I242" s="9"/>
      <c r="J242" s="5"/>
      <c r="K242" s="4"/>
      <c r="L242" s="10"/>
      <c r="M242" s="10"/>
      <c r="N242" s="10"/>
      <c r="O242" s="10"/>
      <c r="P242" s="10"/>
      <c r="Q242" s="11"/>
      <c r="R242" s="9"/>
      <c r="S242" s="12"/>
      <c r="T242" s="5"/>
      <c r="U242" s="5"/>
      <c r="V242" s="4"/>
      <c r="W242" s="4"/>
      <c r="X242" s="4"/>
      <c r="Y242" s="4"/>
    </row>
    <row r="243">
      <c r="A243" s="5"/>
      <c r="B243" s="9"/>
      <c r="C243" s="5"/>
      <c r="D243" s="9"/>
      <c r="E243" s="9"/>
      <c r="F243" s="9"/>
      <c r="G243" s="9"/>
      <c r="H243" s="9"/>
      <c r="I243" s="9"/>
      <c r="J243" s="5"/>
      <c r="K243" s="4"/>
      <c r="L243" s="10"/>
      <c r="M243" s="10"/>
      <c r="N243" s="10"/>
      <c r="O243" s="10"/>
      <c r="P243" s="10"/>
      <c r="Q243" s="11"/>
      <c r="R243" s="9"/>
      <c r="S243" s="12"/>
      <c r="T243" s="5"/>
      <c r="U243" s="5"/>
      <c r="V243" s="4"/>
      <c r="W243" s="4"/>
      <c r="X243" s="4"/>
      <c r="Y243" s="4"/>
    </row>
    <row r="244">
      <c r="A244" s="5"/>
      <c r="B244" s="9"/>
      <c r="C244" s="5"/>
      <c r="D244" s="9"/>
      <c r="E244" s="9"/>
      <c r="F244" s="9"/>
      <c r="G244" s="9"/>
      <c r="H244" s="9"/>
      <c r="I244" s="9"/>
      <c r="J244" s="5"/>
      <c r="K244" s="4"/>
      <c r="L244" s="10"/>
      <c r="M244" s="10"/>
      <c r="N244" s="10"/>
      <c r="O244" s="10"/>
      <c r="P244" s="10"/>
      <c r="Q244" s="11"/>
      <c r="R244" s="9"/>
      <c r="S244" s="12"/>
      <c r="T244" s="5"/>
      <c r="U244" s="5"/>
      <c r="V244" s="4"/>
      <c r="W244" s="4"/>
      <c r="X244" s="4"/>
      <c r="Y244" s="4"/>
    </row>
    <row r="245">
      <c r="A245" s="5"/>
      <c r="B245" s="9"/>
      <c r="C245" s="5"/>
      <c r="D245" s="9"/>
      <c r="E245" s="9"/>
      <c r="F245" s="9"/>
      <c r="G245" s="9"/>
      <c r="H245" s="9"/>
      <c r="I245" s="9"/>
      <c r="J245" s="5"/>
      <c r="K245" s="4"/>
      <c r="L245" s="10"/>
      <c r="M245" s="10"/>
      <c r="N245" s="10"/>
      <c r="O245" s="10"/>
      <c r="P245" s="10"/>
      <c r="Q245" s="11"/>
      <c r="R245" s="9"/>
      <c r="S245" s="12"/>
      <c r="T245" s="5"/>
      <c r="U245" s="5"/>
      <c r="V245" s="4"/>
      <c r="W245" s="4"/>
      <c r="X245" s="4"/>
      <c r="Y245" s="4"/>
    </row>
    <row r="246">
      <c r="A246" s="5"/>
      <c r="B246" s="9"/>
      <c r="C246" s="5"/>
      <c r="D246" s="9"/>
      <c r="E246" s="9"/>
      <c r="F246" s="9"/>
      <c r="G246" s="9"/>
      <c r="H246" s="9"/>
      <c r="I246" s="9"/>
      <c r="J246" s="5"/>
      <c r="K246" s="4"/>
      <c r="L246" s="10"/>
      <c r="M246" s="10"/>
      <c r="N246" s="10"/>
      <c r="O246" s="10"/>
      <c r="P246" s="10"/>
      <c r="Q246" s="11"/>
      <c r="R246" s="9"/>
      <c r="S246" s="12"/>
      <c r="T246" s="5"/>
      <c r="U246" s="5"/>
      <c r="V246" s="4"/>
      <c r="W246" s="4"/>
      <c r="X246" s="4"/>
      <c r="Y246" s="4"/>
    </row>
    <row r="247">
      <c r="A247" s="5"/>
      <c r="B247" s="9"/>
      <c r="C247" s="5"/>
      <c r="D247" s="9"/>
      <c r="E247" s="9"/>
      <c r="F247" s="9"/>
      <c r="G247" s="9"/>
      <c r="H247" s="9"/>
      <c r="I247" s="9"/>
      <c r="J247" s="5"/>
      <c r="K247" s="4"/>
      <c r="L247" s="10"/>
      <c r="M247" s="10"/>
      <c r="N247" s="10"/>
      <c r="O247" s="10"/>
      <c r="P247" s="10"/>
      <c r="Q247" s="11"/>
      <c r="R247" s="9"/>
      <c r="S247" s="12"/>
      <c r="T247" s="5"/>
      <c r="U247" s="5"/>
      <c r="V247" s="4"/>
      <c r="W247" s="4"/>
      <c r="X247" s="4"/>
      <c r="Y247" s="4"/>
    </row>
    <row r="248">
      <c r="A248" s="5"/>
      <c r="B248" s="9"/>
      <c r="C248" s="5"/>
      <c r="D248" s="9"/>
      <c r="E248" s="9"/>
      <c r="F248" s="9"/>
      <c r="G248" s="9"/>
      <c r="H248" s="9"/>
      <c r="I248" s="9"/>
      <c r="J248" s="5"/>
      <c r="K248" s="4"/>
      <c r="L248" s="10"/>
      <c r="M248" s="10"/>
      <c r="N248" s="10"/>
      <c r="O248" s="10"/>
      <c r="P248" s="10"/>
      <c r="Q248" s="11"/>
      <c r="R248" s="9"/>
      <c r="S248" s="12"/>
      <c r="T248" s="5"/>
      <c r="U248" s="5"/>
      <c r="V248" s="4"/>
      <c r="W248" s="4"/>
      <c r="X248" s="4"/>
      <c r="Y248" s="4"/>
    </row>
    <row r="249">
      <c r="A249" s="5"/>
      <c r="B249" s="9"/>
      <c r="C249" s="5"/>
      <c r="D249" s="9"/>
      <c r="E249" s="9"/>
      <c r="F249" s="9"/>
      <c r="G249" s="9"/>
      <c r="H249" s="9"/>
      <c r="I249" s="9"/>
      <c r="J249" s="5"/>
      <c r="K249" s="4"/>
      <c r="L249" s="10"/>
      <c r="M249" s="10"/>
      <c r="N249" s="10"/>
      <c r="O249" s="10"/>
      <c r="P249" s="10"/>
      <c r="Q249" s="11"/>
      <c r="R249" s="9"/>
      <c r="S249" s="12"/>
      <c r="T249" s="5"/>
      <c r="U249" s="5"/>
      <c r="V249" s="4"/>
      <c r="W249" s="4"/>
      <c r="X249" s="4"/>
      <c r="Y249" s="4"/>
    </row>
    <row r="250">
      <c r="A250" s="5"/>
      <c r="B250" s="9"/>
      <c r="C250" s="5"/>
      <c r="D250" s="9"/>
      <c r="E250" s="9"/>
      <c r="F250" s="9"/>
      <c r="G250" s="9"/>
      <c r="H250" s="9"/>
      <c r="I250" s="9"/>
      <c r="J250" s="5"/>
      <c r="K250" s="4"/>
      <c r="L250" s="10"/>
      <c r="M250" s="10"/>
      <c r="N250" s="10"/>
      <c r="O250" s="10"/>
      <c r="P250" s="10"/>
      <c r="Q250" s="11"/>
      <c r="R250" s="9"/>
      <c r="S250" s="12"/>
      <c r="T250" s="5"/>
      <c r="U250" s="5"/>
      <c r="V250" s="4"/>
      <c r="W250" s="4"/>
      <c r="X250" s="4"/>
      <c r="Y250" s="4"/>
    </row>
    <row r="251">
      <c r="A251" s="5"/>
      <c r="B251" s="9"/>
      <c r="C251" s="5"/>
      <c r="D251" s="9"/>
      <c r="E251" s="9"/>
      <c r="F251" s="9"/>
      <c r="G251" s="9"/>
      <c r="H251" s="9"/>
      <c r="I251" s="9"/>
      <c r="J251" s="5"/>
      <c r="K251" s="4"/>
      <c r="L251" s="10"/>
      <c r="M251" s="10"/>
      <c r="N251" s="10"/>
      <c r="O251" s="10"/>
      <c r="P251" s="10"/>
      <c r="Q251" s="11"/>
      <c r="R251" s="9"/>
      <c r="S251" s="12"/>
      <c r="T251" s="5"/>
      <c r="U251" s="5"/>
      <c r="V251" s="4"/>
      <c r="W251" s="4"/>
      <c r="X251" s="4"/>
      <c r="Y251" s="4"/>
    </row>
    <row r="252">
      <c r="A252" s="5"/>
      <c r="B252" s="9"/>
      <c r="C252" s="5"/>
      <c r="D252" s="9"/>
      <c r="E252" s="9"/>
      <c r="F252" s="9"/>
      <c r="G252" s="9"/>
      <c r="H252" s="9"/>
      <c r="I252" s="9"/>
      <c r="J252" s="5"/>
      <c r="K252" s="4"/>
      <c r="L252" s="10"/>
      <c r="M252" s="10"/>
      <c r="N252" s="10"/>
      <c r="O252" s="10"/>
      <c r="P252" s="10"/>
      <c r="Q252" s="11"/>
      <c r="R252" s="9"/>
      <c r="S252" s="12"/>
      <c r="T252" s="5"/>
      <c r="U252" s="5"/>
      <c r="V252" s="4"/>
      <c r="W252" s="4"/>
      <c r="X252" s="4"/>
      <c r="Y252" s="4"/>
    </row>
    <row r="253">
      <c r="A253" s="5"/>
      <c r="B253" s="9"/>
      <c r="C253" s="5"/>
      <c r="D253" s="9"/>
      <c r="E253" s="9"/>
      <c r="F253" s="9"/>
      <c r="G253" s="9"/>
      <c r="H253" s="9"/>
      <c r="I253" s="9"/>
      <c r="J253" s="5"/>
      <c r="K253" s="4"/>
      <c r="L253" s="10"/>
      <c r="M253" s="10"/>
      <c r="N253" s="10"/>
      <c r="O253" s="10"/>
      <c r="P253" s="10"/>
      <c r="Q253" s="11"/>
      <c r="R253" s="9"/>
      <c r="S253" s="12"/>
      <c r="T253" s="5"/>
      <c r="U253" s="5"/>
      <c r="V253" s="4"/>
      <c r="W253" s="4"/>
      <c r="X253" s="4"/>
      <c r="Y253" s="4"/>
    </row>
    <row r="254">
      <c r="A254" s="5"/>
      <c r="B254" s="9"/>
      <c r="C254" s="5"/>
      <c r="D254" s="9"/>
      <c r="E254" s="9"/>
      <c r="F254" s="9"/>
      <c r="G254" s="9"/>
      <c r="H254" s="9"/>
      <c r="I254" s="9"/>
      <c r="J254" s="5"/>
      <c r="K254" s="4"/>
      <c r="L254" s="10"/>
      <c r="M254" s="10"/>
      <c r="N254" s="10"/>
      <c r="O254" s="10"/>
      <c r="P254" s="10"/>
      <c r="Q254" s="11"/>
      <c r="R254" s="9"/>
      <c r="S254" s="12"/>
      <c r="T254" s="5"/>
      <c r="U254" s="5"/>
      <c r="V254" s="4"/>
      <c r="W254" s="4"/>
      <c r="X254" s="4"/>
      <c r="Y254" s="4"/>
    </row>
    <row r="255">
      <c r="A255" s="5"/>
      <c r="B255" s="9"/>
      <c r="C255" s="5"/>
      <c r="D255" s="9"/>
      <c r="E255" s="9"/>
      <c r="F255" s="9"/>
      <c r="G255" s="9"/>
      <c r="H255" s="9"/>
      <c r="I255" s="9"/>
      <c r="J255" s="5"/>
      <c r="K255" s="4"/>
      <c r="L255" s="10"/>
      <c r="M255" s="10"/>
      <c r="N255" s="10"/>
      <c r="O255" s="10"/>
      <c r="P255" s="10"/>
      <c r="Q255" s="11"/>
      <c r="R255" s="9"/>
      <c r="S255" s="12"/>
      <c r="T255" s="5"/>
      <c r="U255" s="5"/>
      <c r="V255" s="4"/>
      <c r="W255" s="4"/>
      <c r="X255" s="4"/>
      <c r="Y255" s="4"/>
    </row>
    <row r="256">
      <c r="A256" s="5"/>
      <c r="B256" s="9"/>
      <c r="C256" s="5"/>
      <c r="D256" s="9"/>
      <c r="E256" s="9"/>
      <c r="F256" s="9"/>
      <c r="G256" s="9"/>
      <c r="H256" s="9"/>
      <c r="I256" s="9"/>
      <c r="J256" s="5"/>
      <c r="K256" s="4"/>
      <c r="L256" s="10"/>
      <c r="M256" s="10"/>
      <c r="N256" s="10"/>
      <c r="O256" s="10"/>
      <c r="P256" s="10"/>
      <c r="Q256" s="11"/>
      <c r="R256" s="9"/>
      <c r="S256" s="12"/>
      <c r="T256" s="5"/>
      <c r="U256" s="5"/>
      <c r="V256" s="4"/>
      <c r="W256" s="4"/>
      <c r="X256" s="4"/>
      <c r="Y256" s="4"/>
    </row>
    <row r="257">
      <c r="A257" s="5"/>
      <c r="B257" s="9"/>
      <c r="C257" s="5"/>
      <c r="D257" s="9"/>
      <c r="E257" s="9"/>
      <c r="F257" s="9"/>
      <c r="G257" s="9"/>
      <c r="H257" s="9"/>
      <c r="I257" s="9"/>
      <c r="J257" s="5"/>
      <c r="K257" s="4"/>
      <c r="L257" s="10"/>
      <c r="M257" s="10"/>
      <c r="N257" s="10"/>
      <c r="O257" s="10"/>
      <c r="P257" s="10"/>
      <c r="Q257" s="11"/>
      <c r="R257" s="9"/>
      <c r="S257" s="12"/>
      <c r="T257" s="5"/>
      <c r="U257" s="5"/>
      <c r="V257" s="4"/>
      <c r="W257" s="4"/>
      <c r="X257" s="4"/>
      <c r="Y257" s="4"/>
    </row>
    <row r="258">
      <c r="A258" s="5"/>
      <c r="B258" s="9"/>
      <c r="C258" s="5"/>
      <c r="D258" s="9"/>
      <c r="E258" s="9"/>
      <c r="F258" s="9"/>
      <c r="G258" s="9"/>
      <c r="H258" s="9"/>
      <c r="I258" s="9"/>
      <c r="J258" s="5"/>
      <c r="K258" s="4"/>
      <c r="L258" s="10"/>
      <c r="M258" s="10"/>
      <c r="N258" s="10"/>
      <c r="O258" s="10"/>
      <c r="P258" s="10"/>
      <c r="Q258" s="11"/>
      <c r="R258" s="9"/>
      <c r="S258" s="12"/>
      <c r="T258" s="5"/>
      <c r="U258" s="5"/>
      <c r="V258" s="4"/>
      <c r="W258" s="4"/>
      <c r="X258" s="4"/>
      <c r="Y258" s="4"/>
    </row>
    <row r="259">
      <c r="A259" s="5"/>
      <c r="B259" s="9"/>
      <c r="C259" s="5"/>
      <c r="D259" s="9"/>
      <c r="E259" s="9"/>
      <c r="F259" s="9"/>
      <c r="G259" s="9"/>
      <c r="H259" s="9"/>
      <c r="I259" s="9"/>
      <c r="J259" s="5"/>
      <c r="K259" s="4"/>
      <c r="L259" s="10"/>
      <c r="M259" s="10"/>
      <c r="N259" s="10"/>
      <c r="O259" s="10"/>
      <c r="P259" s="10"/>
      <c r="Q259" s="11"/>
      <c r="R259" s="9"/>
      <c r="S259" s="12"/>
      <c r="T259" s="5"/>
      <c r="U259" s="5"/>
      <c r="V259" s="4"/>
      <c r="W259" s="4"/>
      <c r="X259" s="4"/>
      <c r="Y259" s="4"/>
    </row>
    <row r="260">
      <c r="A260" s="5"/>
      <c r="B260" s="9"/>
      <c r="C260" s="5"/>
      <c r="D260" s="9"/>
      <c r="E260" s="9"/>
      <c r="F260" s="9"/>
      <c r="G260" s="9"/>
      <c r="H260" s="9"/>
      <c r="I260" s="9"/>
      <c r="J260" s="5"/>
      <c r="K260" s="4"/>
      <c r="L260" s="10"/>
      <c r="M260" s="10"/>
      <c r="N260" s="10"/>
      <c r="O260" s="10"/>
      <c r="P260" s="10"/>
      <c r="Q260" s="11"/>
      <c r="R260" s="9"/>
      <c r="S260" s="12"/>
      <c r="T260" s="5"/>
      <c r="U260" s="5"/>
      <c r="V260" s="4"/>
      <c r="W260" s="4"/>
      <c r="X260" s="4"/>
      <c r="Y260" s="4"/>
    </row>
    <row r="261">
      <c r="A261" s="5"/>
      <c r="B261" s="9"/>
      <c r="C261" s="5"/>
      <c r="D261" s="9"/>
      <c r="E261" s="9"/>
      <c r="F261" s="9"/>
      <c r="G261" s="9"/>
      <c r="H261" s="9"/>
      <c r="I261" s="9"/>
      <c r="J261" s="5"/>
      <c r="K261" s="4"/>
      <c r="L261" s="10"/>
      <c r="M261" s="10"/>
      <c r="N261" s="10"/>
      <c r="O261" s="10"/>
      <c r="P261" s="10"/>
      <c r="Q261" s="11"/>
      <c r="R261" s="9"/>
      <c r="S261" s="12"/>
      <c r="T261" s="5"/>
      <c r="U261" s="5"/>
      <c r="V261" s="4"/>
      <c r="W261" s="4"/>
      <c r="X261" s="4"/>
      <c r="Y261" s="4"/>
    </row>
    <row r="262">
      <c r="A262" s="5"/>
      <c r="B262" s="9"/>
      <c r="C262" s="5"/>
      <c r="D262" s="9"/>
      <c r="E262" s="9"/>
      <c r="F262" s="9"/>
      <c r="G262" s="9"/>
      <c r="H262" s="9"/>
      <c r="I262" s="9"/>
      <c r="J262" s="5"/>
      <c r="K262" s="4"/>
      <c r="L262" s="10"/>
      <c r="M262" s="10"/>
      <c r="N262" s="10"/>
      <c r="O262" s="10"/>
      <c r="P262" s="10"/>
      <c r="Q262" s="11"/>
      <c r="R262" s="9"/>
      <c r="S262" s="12"/>
      <c r="T262" s="5"/>
      <c r="U262" s="5"/>
      <c r="V262" s="4"/>
      <c r="W262" s="4"/>
      <c r="X262" s="4"/>
      <c r="Y262" s="4"/>
    </row>
    <row r="263">
      <c r="A263" s="5"/>
      <c r="B263" s="9"/>
      <c r="C263" s="5"/>
      <c r="D263" s="9"/>
      <c r="E263" s="9"/>
      <c r="F263" s="9"/>
      <c r="G263" s="9"/>
      <c r="H263" s="9"/>
      <c r="I263" s="9"/>
      <c r="J263" s="5"/>
      <c r="K263" s="4"/>
      <c r="L263" s="10"/>
      <c r="M263" s="10"/>
      <c r="N263" s="10"/>
      <c r="O263" s="10"/>
      <c r="P263" s="10"/>
      <c r="Q263" s="11"/>
      <c r="R263" s="9"/>
      <c r="S263" s="12"/>
      <c r="T263" s="5"/>
      <c r="U263" s="5"/>
      <c r="V263" s="4"/>
      <c r="W263" s="4"/>
      <c r="X263" s="4"/>
      <c r="Y263" s="4"/>
    </row>
    <row r="264">
      <c r="A264" s="5"/>
      <c r="B264" s="9"/>
      <c r="C264" s="5"/>
      <c r="D264" s="9"/>
      <c r="E264" s="9"/>
      <c r="F264" s="9"/>
      <c r="G264" s="9"/>
      <c r="H264" s="9"/>
      <c r="I264" s="9"/>
      <c r="J264" s="5"/>
      <c r="K264" s="4"/>
      <c r="L264" s="10"/>
      <c r="M264" s="10"/>
      <c r="N264" s="10"/>
      <c r="O264" s="10"/>
      <c r="P264" s="10"/>
      <c r="Q264" s="11"/>
      <c r="R264" s="9"/>
      <c r="S264" s="12"/>
      <c r="T264" s="5"/>
      <c r="U264" s="5"/>
      <c r="V264" s="4"/>
      <c r="W264" s="4"/>
      <c r="X264" s="4"/>
      <c r="Y264" s="4"/>
    </row>
    <row r="265">
      <c r="A265" s="5"/>
      <c r="B265" s="9"/>
      <c r="C265" s="5"/>
      <c r="D265" s="9"/>
      <c r="E265" s="9"/>
      <c r="F265" s="9"/>
      <c r="G265" s="9"/>
      <c r="H265" s="9"/>
      <c r="I265" s="9"/>
      <c r="J265" s="5"/>
      <c r="K265" s="4"/>
      <c r="L265" s="10"/>
      <c r="M265" s="10"/>
      <c r="N265" s="10"/>
      <c r="O265" s="10"/>
      <c r="P265" s="10"/>
      <c r="Q265" s="11"/>
      <c r="R265" s="9"/>
      <c r="S265" s="12"/>
      <c r="T265" s="5"/>
      <c r="U265" s="5"/>
      <c r="V265" s="4"/>
      <c r="W265" s="4"/>
      <c r="X265" s="4"/>
      <c r="Y265" s="4"/>
    </row>
    <row r="266">
      <c r="A266" s="5"/>
      <c r="B266" s="9"/>
      <c r="C266" s="5"/>
      <c r="D266" s="9"/>
      <c r="E266" s="9"/>
      <c r="F266" s="9"/>
      <c r="G266" s="9"/>
      <c r="H266" s="9"/>
      <c r="I266" s="9"/>
      <c r="J266" s="5"/>
      <c r="K266" s="4"/>
      <c r="L266" s="10"/>
      <c r="M266" s="10"/>
      <c r="N266" s="10"/>
      <c r="O266" s="10"/>
      <c r="P266" s="10"/>
      <c r="Q266" s="11"/>
      <c r="R266" s="9"/>
      <c r="S266" s="12"/>
      <c r="T266" s="5"/>
      <c r="U266" s="5"/>
      <c r="V266" s="4"/>
      <c r="W266" s="4"/>
      <c r="X266" s="4"/>
      <c r="Y266" s="4"/>
    </row>
    <row r="267">
      <c r="A267" s="5"/>
      <c r="B267" s="9"/>
      <c r="C267" s="5"/>
      <c r="D267" s="9"/>
      <c r="E267" s="9"/>
      <c r="F267" s="9"/>
      <c r="G267" s="9"/>
      <c r="H267" s="9"/>
      <c r="I267" s="9"/>
      <c r="J267" s="5"/>
      <c r="K267" s="4"/>
      <c r="L267" s="10"/>
      <c r="M267" s="10"/>
      <c r="N267" s="10"/>
      <c r="O267" s="10"/>
      <c r="P267" s="10"/>
      <c r="Q267" s="11"/>
      <c r="R267" s="9"/>
      <c r="S267" s="12"/>
      <c r="T267" s="5"/>
      <c r="U267" s="5"/>
      <c r="V267" s="4"/>
      <c r="W267" s="4"/>
      <c r="X267" s="4"/>
      <c r="Y267" s="4"/>
    </row>
    <row r="268">
      <c r="A268" s="5"/>
      <c r="B268" s="9"/>
      <c r="C268" s="5"/>
      <c r="D268" s="9"/>
      <c r="E268" s="9"/>
      <c r="F268" s="9"/>
      <c r="G268" s="9"/>
      <c r="H268" s="9"/>
      <c r="I268" s="9"/>
      <c r="J268" s="5"/>
      <c r="K268" s="4"/>
      <c r="L268" s="10"/>
      <c r="M268" s="10"/>
      <c r="N268" s="10"/>
      <c r="O268" s="10"/>
      <c r="P268" s="10"/>
      <c r="Q268" s="11"/>
      <c r="R268" s="9"/>
      <c r="S268" s="12"/>
      <c r="T268" s="5"/>
      <c r="U268" s="5"/>
      <c r="V268" s="4"/>
      <c r="W268" s="4"/>
      <c r="X268" s="4"/>
      <c r="Y268" s="4"/>
    </row>
    <row r="269">
      <c r="A269" s="5"/>
      <c r="B269" s="9"/>
      <c r="C269" s="5"/>
      <c r="D269" s="9"/>
      <c r="E269" s="9"/>
      <c r="F269" s="9"/>
      <c r="G269" s="9"/>
      <c r="H269" s="9"/>
      <c r="I269" s="9"/>
      <c r="J269" s="5"/>
      <c r="K269" s="4"/>
      <c r="L269" s="10"/>
      <c r="M269" s="10"/>
      <c r="N269" s="10"/>
      <c r="O269" s="10"/>
      <c r="P269" s="10"/>
      <c r="Q269" s="11"/>
      <c r="R269" s="9"/>
      <c r="S269" s="12"/>
      <c r="T269" s="5"/>
      <c r="U269" s="5"/>
      <c r="V269" s="4"/>
      <c r="W269" s="4"/>
      <c r="X269" s="4"/>
      <c r="Y269" s="4"/>
    </row>
    <row r="270">
      <c r="A270" s="5"/>
      <c r="B270" s="9"/>
      <c r="C270" s="5"/>
      <c r="D270" s="9"/>
      <c r="E270" s="9"/>
      <c r="F270" s="9"/>
      <c r="G270" s="9"/>
      <c r="H270" s="9"/>
      <c r="I270" s="9"/>
      <c r="J270" s="5"/>
      <c r="K270" s="4"/>
      <c r="L270" s="10"/>
      <c r="M270" s="10"/>
      <c r="N270" s="10"/>
      <c r="O270" s="10"/>
      <c r="P270" s="10"/>
      <c r="Q270" s="11"/>
      <c r="R270" s="9"/>
      <c r="S270" s="12"/>
      <c r="T270" s="5"/>
      <c r="U270" s="5"/>
      <c r="V270" s="4"/>
      <c r="W270" s="4"/>
      <c r="X270" s="4"/>
      <c r="Y270" s="4"/>
    </row>
    <row r="271">
      <c r="A271" s="5"/>
      <c r="B271" s="9"/>
      <c r="C271" s="5"/>
      <c r="D271" s="9"/>
      <c r="E271" s="9"/>
      <c r="F271" s="9"/>
      <c r="G271" s="9"/>
      <c r="H271" s="9"/>
      <c r="I271" s="9"/>
      <c r="J271" s="5"/>
      <c r="K271" s="4"/>
      <c r="L271" s="10"/>
      <c r="M271" s="10"/>
      <c r="N271" s="10"/>
      <c r="O271" s="10"/>
      <c r="P271" s="10"/>
      <c r="Q271" s="11"/>
      <c r="R271" s="9"/>
      <c r="S271" s="12"/>
      <c r="T271" s="5"/>
      <c r="U271" s="5"/>
      <c r="V271" s="4"/>
      <c r="W271" s="4"/>
      <c r="X271" s="4"/>
      <c r="Y271" s="4"/>
    </row>
    <row r="272">
      <c r="A272" s="5"/>
      <c r="B272" s="9"/>
      <c r="C272" s="5"/>
      <c r="D272" s="9"/>
      <c r="E272" s="9"/>
      <c r="F272" s="9"/>
      <c r="G272" s="9"/>
      <c r="H272" s="9"/>
      <c r="I272" s="9"/>
      <c r="J272" s="5"/>
      <c r="K272" s="4"/>
      <c r="L272" s="10"/>
      <c r="M272" s="10"/>
      <c r="N272" s="10"/>
      <c r="O272" s="10"/>
      <c r="P272" s="10"/>
      <c r="Q272" s="11"/>
      <c r="R272" s="9"/>
      <c r="S272" s="12"/>
      <c r="T272" s="5"/>
      <c r="U272" s="5"/>
      <c r="V272" s="4"/>
      <c r="W272" s="4"/>
      <c r="X272" s="4"/>
      <c r="Y272" s="4"/>
    </row>
    <row r="273">
      <c r="A273" s="5"/>
      <c r="B273" s="9"/>
      <c r="C273" s="5"/>
      <c r="D273" s="9"/>
      <c r="E273" s="9"/>
      <c r="F273" s="9"/>
      <c r="G273" s="9"/>
      <c r="H273" s="9"/>
      <c r="I273" s="9"/>
      <c r="J273" s="5"/>
      <c r="K273" s="4"/>
      <c r="L273" s="10"/>
      <c r="M273" s="10"/>
      <c r="N273" s="10"/>
      <c r="O273" s="10"/>
      <c r="P273" s="10"/>
      <c r="Q273" s="11"/>
      <c r="R273" s="9"/>
      <c r="S273" s="12"/>
      <c r="T273" s="5"/>
      <c r="U273" s="5"/>
      <c r="V273" s="4"/>
      <c r="W273" s="4"/>
      <c r="X273" s="4"/>
      <c r="Y273" s="4"/>
    </row>
    <row r="274">
      <c r="A274" s="5"/>
      <c r="B274" s="9"/>
      <c r="C274" s="5"/>
      <c r="D274" s="9"/>
      <c r="E274" s="9"/>
      <c r="F274" s="9"/>
      <c r="G274" s="9"/>
      <c r="H274" s="9"/>
      <c r="I274" s="9"/>
      <c r="J274" s="5"/>
      <c r="K274" s="4"/>
      <c r="L274" s="10"/>
      <c r="M274" s="10"/>
      <c r="N274" s="10"/>
      <c r="O274" s="10"/>
      <c r="P274" s="10"/>
      <c r="Q274" s="11"/>
      <c r="R274" s="9"/>
      <c r="S274" s="12"/>
      <c r="T274" s="5"/>
      <c r="U274" s="5"/>
      <c r="V274" s="4"/>
      <c r="W274" s="4"/>
      <c r="X274" s="4"/>
      <c r="Y274" s="4"/>
    </row>
    <row r="275">
      <c r="A275" s="5"/>
      <c r="B275" s="9"/>
      <c r="C275" s="5"/>
      <c r="D275" s="9"/>
      <c r="E275" s="9"/>
      <c r="F275" s="9"/>
      <c r="G275" s="9"/>
      <c r="H275" s="9"/>
      <c r="I275" s="9"/>
      <c r="J275" s="5"/>
      <c r="K275" s="4"/>
      <c r="L275" s="10"/>
      <c r="M275" s="10"/>
      <c r="N275" s="10"/>
      <c r="O275" s="10"/>
      <c r="P275" s="10"/>
      <c r="Q275" s="11"/>
      <c r="R275" s="9"/>
      <c r="S275" s="12"/>
      <c r="T275" s="5"/>
      <c r="U275" s="5"/>
      <c r="V275" s="4"/>
      <c r="W275" s="4"/>
      <c r="X275" s="4"/>
      <c r="Y275" s="4"/>
    </row>
    <row r="276">
      <c r="A276" s="5"/>
      <c r="B276" s="9"/>
      <c r="C276" s="5"/>
      <c r="D276" s="9"/>
      <c r="E276" s="9"/>
      <c r="F276" s="9"/>
      <c r="G276" s="9"/>
      <c r="H276" s="9"/>
      <c r="I276" s="9"/>
      <c r="J276" s="5"/>
      <c r="K276" s="4"/>
      <c r="L276" s="10"/>
      <c r="M276" s="10"/>
      <c r="N276" s="10"/>
      <c r="O276" s="10"/>
      <c r="P276" s="10"/>
      <c r="Q276" s="11"/>
      <c r="R276" s="9"/>
      <c r="S276" s="12"/>
      <c r="T276" s="5"/>
      <c r="U276" s="5"/>
      <c r="V276" s="4"/>
      <c r="W276" s="4"/>
      <c r="X276" s="4"/>
      <c r="Y276" s="4"/>
    </row>
    <row r="277">
      <c r="A277" s="5"/>
      <c r="B277" s="9"/>
      <c r="C277" s="5"/>
      <c r="D277" s="9"/>
      <c r="E277" s="9"/>
      <c r="F277" s="9"/>
      <c r="G277" s="9"/>
      <c r="H277" s="9"/>
      <c r="I277" s="9"/>
      <c r="J277" s="5"/>
      <c r="K277" s="4"/>
      <c r="L277" s="10"/>
      <c r="M277" s="10"/>
      <c r="N277" s="10"/>
      <c r="O277" s="10"/>
      <c r="P277" s="10"/>
      <c r="Q277" s="11"/>
      <c r="R277" s="9"/>
      <c r="S277" s="12"/>
      <c r="T277" s="5"/>
      <c r="U277" s="5"/>
      <c r="V277" s="4"/>
      <c r="W277" s="4"/>
      <c r="X277" s="4"/>
      <c r="Y277" s="4"/>
    </row>
    <row r="278">
      <c r="A278" s="5"/>
      <c r="B278" s="9"/>
      <c r="C278" s="5"/>
      <c r="D278" s="9"/>
      <c r="E278" s="9"/>
      <c r="F278" s="9"/>
      <c r="G278" s="9"/>
      <c r="H278" s="9"/>
      <c r="I278" s="9"/>
      <c r="J278" s="5"/>
      <c r="K278" s="4"/>
      <c r="L278" s="10"/>
      <c r="M278" s="10"/>
      <c r="N278" s="10"/>
      <c r="O278" s="10"/>
      <c r="P278" s="10"/>
      <c r="Q278" s="11"/>
      <c r="R278" s="9"/>
      <c r="S278" s="12"/>
      <c r="T278" s="5"/>
      <c r="U278" s="5"/>
      <c r="V278" s="4"/>
      <c r="W278" s="4"/>
      <c r="X278" s="4"/>
      <c r="Y278" s="4"/>
    </row>
    <row r="279">
      <c r="A279" s="5"/>
      <c r="B279" s="9"/>
      <c r="C279" s="5"/>
      <c r="D279" s="9"/>
      <c r="E279" s="9"/>
      <c r="F279" s="9"/>
      <c r="G279" s="9"/>
      <c r="H279" s="9"/>
      <c r="I279" s="9"/>
      <c r="J279" s="5"/>
      <c r="K279" s="4"/>
      <c r="L279" s="10"/>
      <c r="M279" s="10"/>
      <c r="N279" s="10"/>
      <c r="O279" s="10"/>
      <c r="P279" s="10"/>
      <c r="Q279" s="11"/>
      <c r="R279" s="9"/>
      <c r="S279" s="12"/>
      <c r="T279" s="5"/>
      <c r="U279" s="5"/>
      <c r="V279" s="4"/>
      <c r="W279" s="4"/>
      <c r="X279" s="4"/>
      <c r="Y279" s="4"/>
    </row>
    <row r="280">
      <c r="A280" s="5"/>
      <c r="B280" s="9"/>
      <c r="C280" s="5"/>
      <c r="D280" s="9"/>
      <c r="E280" s="9"/>
      <c r="F280" s="9"/>
      <c r="G280" s="9"/>
      <c r="H280" s="9"/>
      <c r="I280" s="9"/>
      <c r="J280" s="5"/>
      <c r="K280" s="4"/>
      <c r="L280" s="10"/>
      <c r="M280" s="10"/>
      <c r="N280" s="10"/>
      <c r="O280" s="10"/>
      <c r="P280" s="10"/>
      <c r="Q280" s="11"/>
      <c r="R280" s="9"/>
      <c r="S280" s="12"/>
      <c r="T280" s="5"/>
      <c r="U280" s="5"/>
      <c r="V280" s="4"/>
      <c r="W280" s="4"/>
      <c r="X280" s="4"/>
      <c r="Y280" s="4"/>
    </row>
    <row r="281">
      <c r="A281" s="5"/>
      <c r="B281" s="9"/>
      <c r="C281" s="5"/>
      <c r="D281" s="9"/>
      <c r="E281" s="9"/>
      <c r="F281" s="9"/>
      <c r="G281" s="9"/>
      <c r="H281" s="9"/>
      <c r="I281" s="9"/>
      <c r="J281" s="5"/>
      <c r="K281" s="4"/>
      <c r="L281" s="10"/>
      <c r="M281" s="10"/>
      <c r="N281" s="10"/>
      <c r="O281" s="10"/>
      <c r="P281" s="10"/>
      <c r="Q281" s="11"/>
      <c r="R281" s="9"/>
      <c r="S281" s="12"/>
      <c r="T281" s="5"/>
      <c r="U281" s="5"/>
      <c r="V281" s="4"/>
      <c r="W281" s="4"/>
      <c r="X281" s="4"/>
      <c r="Y281" s="4"/>
    </row>
    <row r="282">
      <c r="A282" s="5"/>
      <c r="B282" s="9"/>
      <c r="C282" s="5"/>
      <c r="D282" s="9"/>
      <c r="E282" s="9"/>
      <c r="F282" s="9"/>
      <c r="G282" s="9"/>
      <c r="H282" s="9"/>
      <c r="I282" s="9"/>
      <c r="J282" s="5"/>
      <c r="K282" s="4"/>
      <c r="L282" s="10"/>
      <c r="M282" s="10"/>
      <c r="N282" s="10"/>
      <c r="O282" s="10"/>
      <c r="P282" s="10"/>
      <c r="Q282" s="11"/>
      <c r="R282" s="9"/>
      <c r="S282" s="12"/>
      <c r="T282" s="5"/>
      <c r="U282" s="5"/>
      <c r="V282" s="4"/>
      <c r="W282" s="4"/>
      <c r="X282" s="4"/>
      <c r="Y282" s="4"/>
    </row>
    <row r="283">
      <c r="A283" s="5"/>
      <c r="B283" s="9"/>
      <c r="C283" s="5"/>
      <c r="D283" s="9"/>
      <c r="E283" s="9"/>
      <c r="F283" s="9"/>
      <c r="G283" s="9"/>
      <c r="H283" s="9"/>
      <c r="I283" s="9"/>
      <c r="J283" s="5"/>
      <c r="K283" s="4"/>
      <c r="L283" s="10"/>
      <c r="M283" s="10"/>
      <c r="N283" s="10"/>
      <c r="O283" s="10"/>
      <c r="P283" s="10"/>
      <c r="Q283" s="11"/>
      <c r="R283" s="9"/>
      <c r="S283" s="12"/>
      <c r="T283" s="5"/>
      <c r="U283" s="5"/>
      <c r="V283" s="4"/>
      <c r="W283" s="4"/>
      <c r="X283" s="4"/>
      <c r="Y283" s="4"/>
    </row>
    <row r="284">
      <c r="A284" s="5"/>
      <c r="B284" s="9"/>
      <c r="C284" s="5"/>
      <c r="D284" s="9"/>
      <c r="E284" s="9"/>
      <c r="F284" s="9"/>
      <c r="G284" s="9"/>
      <c r="H284" s="9"/>
      <c r="I284" s="9"/>
      <c r="J284" s="5"/>
      <c r="K284" s="4"/>
      <c r="L284" s="10"/>
      <c r="M284" s="10"/>
      <c r="N284" s="10"/>
      <c r="O284" s="10"/>
      <c r="P284" s="10"/>
      <c r="Q284" s="11"/>
      <c r="R284" s="9"/>
      <c r="S284" s="12"/>
      <c r="T284" s="5"/>
      <c r="U284" s="5"/>
      <c r="V284" s="4"/>
      <c r="W284" s="4"/>
      <c r="X284" s="4"/>
      <c r="Y284" s="4"/>
    </row>
    <row r="285">
      <c r="A285" s="5"/>
      <c r="B285" s="9"/>
      <c r="C285" s="5"/>
      <c r="D285" s="9"/>
      <c r="E285" s="9"/>
      <c r="F285" s="9"/>
      <c r="G285" s="9"/>
      <c r="H285" s="9"/>
      <c r="I285" s="9"/>
      <c r="J285" s="5"/>
      <c r="K285" s="4"/>
      <c r="L285" s="10"/>
      <c r="M285" s="10"/>
      <c r="N285" s="10"/>
      <c r="O285" s="10"/>
      <c r="P285" s="10"/>
      <c r="Q285" s="11"/>
      <c r="R285" s="9"/>
      <c r="S285" s="12"/>
      <c r="T285" s="5"/>
      <c r="U285" s="5"/>
      <c r="V285" s="4"/>
      <c r="W285" s="4"/>
      <c r="X285" s="4"/>
      <c r="Y285" s="4"/>
    </row>
    <row r="286">
      <c r="A286" s="5"/>
      <c r="B286" s="9"/>
      <c r="C286" s="5"/>
      <c r="D286" s="9"/>
      <c r="E286" s="9"/>
      <c r="F286" s="9"/>
      <c r="G286" s="9"/>
      <c r="H286" s="9"/>
      <c r="I286" s="9"/>
      <c r="J286" s="5"/>
      <c r="K286" s="4"/>
      <c r="L286" s="10"/>
      <c r="M286" s="10"/>
      <c r="N286" s="10"/>
      <c r="O286" s="10"/>
      <c r="P286" s="10"/>
      <c r="Q286" s="11"/>
      <c r="R286" s="9"/>
      <c r="S286" s="12"/>
      <c r="T286" s="5"/>
      <c r="U286" s="5"/>
      <c r="V286" s="4"/>
      <c r="W286" s="4"/>
      <c r="X286" s="4"/>
      <c r="Y286" s="4"/>
    </row>
    <row r="287">
      <c r="A287" s="5"/>
      <c r="B287" s="9"/>
      <c r="C287" s="5"/>
      <c r="D287" s="9"/>
      <c r="E287" s="9"/>
      <c r="F287" s="9"/>
      <c r="G287" s="9"/>
      <c r="H287" s="9"/>
      <c r="I287" s="9"/>
      <c r="J287" s="5"/>
      <c r="K287" s="4"/>
      <c r="L287" s="10"/>
      <c r="M287" s="10"/>
      <c r="N287" s="10"/>
      <c r="O287" s="10"/>
      <c r="P287" s="10"/>
      <c r="Q287" s="11"/>
      <c r="R287" s="9"/>
      <c r="S287" s="12"/>
      <c r="T287" s="5"/>
      <c r="U287" s="5"/>
      <c r="V287" s="4"/>
      <c r="W287" s="4"/>
      <c r="X287" s="4"/>
      <c r="Y287" s="4"/>
    </row>
    <row r="288">
      <c r="A288" s="5"/>
      <c r="B288" s="9"/>
      <c r="C288" s="5"/>
      <c r="D288" s="9"/>
      <c r="E288" s="9"/>
      <c r="F288" s="9"/>
      <c r="G288" s="9"/>
      <c r="H288" s="9"/>
      <c r="I288" s="9"/>
      <c r="J288" s="5"/>
      <c r="K288" s="4"/>
      <c r="L288" s="10"/>
      <c r="M288" s="10"/>
      <c r="N288" s="10"/>
      <c r="O288" s="10"/>
      <c r="P288" s="10"/>
      <c r="Q288" s="11"/>
      <c r="R288" s="9"/>
      <c r="S288" s="12"/>
      <c r="T288" s="5"/>
      <c r="U288" s="5"/>
      <c r="V288" s="4"/>
      <c r="W288" s="4"/>
      <c r="X288" s="4"/>
      <c r="Y288" s="4"/>
    </row>
    <row r="289">
      <c r="A289" s="5"/>
      <c r="B289" s="9"/>
      <c r="C289" s="5"/>
      <c r="D289" s="9"/>
      <c r="E289" s="9"/>
      <c r="F289" s="9"/>
      <c r="G289" s="9"/>
      <c r="H289" s="9"/>
      <c r="I289" s="9"/>
      <c r="J289" s="5"/>
      <c r="K289" s="4"/>
      <c r="L289" s="10"/>
      <c r="M289" s="10"/>
      <c r="N289" s="10"/>
      <c r="O289" s="10"/>
      <c r="P289" s="10"/>
      <c r="Q289" s="11"/>
      <c r="R289" s="9"/>
      <c r="S289" s="12"/>
      <c r="T289" s="5"/>
      <c r="U289" s="5"/>
      <c r="V289" s="4"/>
      <c r="W289" s="4"/>
      <c r="X289" s="4"/>
      <c r="Y289" s="4"/>
    </row>
    <row r="290">
      <c r="A290" s="5"/>
      <c r="B290" s="9"/>
      <c r="C290" s="5"/>
      <c r="D290" s="9"/>
      <c r="E290" s="9"/>
      <c r="F290" s="9"/>
      <c r="G290" s="9"/>
      <c r="H290" s="9"/>
      <c r="I290" s="9"/>
      <c r="J290" s="5"/>
      <c r="K290" s="4"/>
      <c r="L290" s="10"/>
      <c r="M290" s="10"/>
      <c r="N290" s="10"/>
      <c r="O290" s="10"/>
      <c r="P290" s="10"/>
      <c r="Q290" s="11"/>
      <c r="R290" s="9"/>
      <c r="S290" s="12"/>
      <c r="T290" s="5"/>
      <c r="U290" s="5"/>
      <c r="V290" s="4"/>
      <c r="W290" s="4"/>
      <c r="X290" s="4"/>
      <c r="Y290" s="4"/>
    </row>
    <row r="291">
      <c r="A291" s="5"/>
      <c r="B291" s="9"/>
      <c r="C291" s="5"/>
      <c r="D291" s="9"/>
      <c r="E291" s="9"/>
      <c r="F291" s="9"/>
      <c r="G291" s="9"/>
      <c r="H291" s="9"/>
      <c r="I291" s="9"/>
      <c r="J291" s="5"/>
      <c r="K291" s="4"/>
      <c r="L291" s="10"/>
      <c r="M291" s="10"/>
      <c r="N291" s="10"/>
      <c r="O291" s="10"/>
      <c r="P291" s="10"/>
      <c r="Q291" s="11"/>
      <c r="R291" s="9"/>
      <c r="S291" s="12"/>
      <c r="T291" s="5"/>
      <c r="U291" s="5"/>
      <c r="V291" s="4"/>
      <c r="W291" s="4"/>
      <c r="X291" s="4"/>
      <c r="Y291" s="4"/>
    </row>
    <row r="292">
      <c r="A292" s="5"/>
      <c r="B292" s="9"/>
      <c r="C292" s="5"/>
      <c r="D292" s="9"/>
      <c r="E292" s="9"/>
      <c r="F292" s="9"/>
      <c r="G292" s="9"/>
      <c r="H292" s="9"/>
      <c r="I292" s="9"/>
      <c r="J292" s="5"/>
      <c r="K292" s="4"/>
      <c r="L292" s="10"/>
      <c r="M292" s="10"/>
      <c r="N292" s="10"/>
      <c r="O292" s="10"/>
      <c r="P292" s="10"/>
      <c r="Q292" s="11"/>
      <c r="R292" s="9"/>
      <c r="S292" s="12"/>
      <c r="T292" s="5"/>
      <c r="U292" s="5"/>
      <c r="V292" s="4"/>
      <c r="W292" s="4"/>
      <c r="X292" s="4"/>
      <c r="Y292" s="4"/>
    </row>
    <row r="293">
      <c r="A293" s="5"/>
      <c r="B293" s="9"/>
      <c r="C293" s="5"/>
      <c r="D293" s="9"/>
      <c r="E293" s="9"/>
      <c r="F293" s="9"/>
      <c r="G293" s="9"/>
      <c r="H293" s="9"/>
      <c r="I293" s="9"/>
      <c r="J293" s="5"/>
      <c r="K293" s="4"/>
      <c r="L293" s="10"/>
      <c r="M293" s="10"/>
      <c r="N293" s="10"/>
      <c r="O293" s="10"/>
      <c r="P293" s="10"/>
      <c r="Q293" s="11"/>
      <c r="R293" s="9"/>
      <c r="S293" s="12"/>
      <c r="T293" s="5"/>
      <c r="U293" s="5"/>
      <c r="V293" s="4"/>
      <c r="W293" s="4"/>
      <c r="X293" s="4"/>
      <c r="Y293" s="4"/>
    </row>
    <row r="294">
      <c r="A294" s="5"/>
      <c r="B294" s="9"/>
      <c r="C294" s="5"/>
      <c r="D294" s="9"/>
      <c r="E294" s="9"/>
      <c r="F294" s="9"/>
      <c r="G294" s="9"/>
      <c r="H294" s="9"/>
      <c r="I294" s="9"/>
      <c r="J294" s="5"/>
      <c r="K294" s="4"/>
      <c r="L294" s="10"/>
      <c r="M294" s="10"/>
      <c r="N294" s="10"/>
      <c r="O294" s="10"/>
      <c r="P294" s="10"/>
      <c r="Q294" s="11"/>
      <c r="R294" s="9"/>
      <c r="S294" s="12"/>
      <c r="T294" s="5"/>
      <c r="U294" s="5"/>
      <c r="V294" s="4"/>
      <c r="W294" s="4"/>
      <c r="X294" s="4"/>
      <c r="Y294" s="4"/>
    </row>
    <row r="295">
      <c r="A295" s="5"/>
      <c r="B295" s="9"/>
      <c r="C295" s="5"/>
      <c r="D295" s="9"/>
      <c r="E295" s="9"/>
      <c r="F295" s="9"/>
      <c r="G295" s="9"/>
      <c r="H295" s="9"/>
      <c r="I295" s="9"/>
      <c r="J295" s="5"/>
      <c r="K295" s="4"/>
      <c r="L295" s="10"/>
      <c r="M295" s="10"/>
      <c r="N295" s="10"/>
      <c r="O295" s="10"/>
      <c r="P295" s="10"/>
      <c r="Q295" s="11"/>
      <c r="R295" s="9"/>
      <c r="S295" s="12"/>
      <c r="T295" s="5"/>
      <c r="U295" s="5"/>
      <c r="V295" s="4"/>
      <c r="W295" s="4"/>
      <c r="X295" s="4"/>
      <c r="Y295" s="4"/>
    </row>
    <row r="296">
      <c r="A296" s="5"/>
      <c r="B296" s="9"/>
      <c r="C296" s="5"/>
      <c r="D296" s="9"/>
      <c r="E296" s="9"/>
      <c r="F296" s="9"/>
      <c r="G296" s="9"/>
      <c r="H296" s="9"/>
      <c r="I296" s="9"/>
      <c r="J296" s="5"/>
      <c r="K296" s="4"/>
      <c r="L296" s="10"/>
      <c r="M296" s="10"/>
      <c r="N296" s="10"/>
      <c r="O296" s="10"/>
      <c r="P296" s="10"/>
      <c r="Q296" s="11"/>
      <c r="R296" s="9"/>
      <c r="S296" s="12"/>
      <c r="T296" s="5"/>
      <c r="U296" s="5"/>
      <c r="V296" s="4"/>
      <c r="W296" s="4"/>
      <c r="X296" s="4"/>
      <c r="Y296" s="4"/>
    </row>
    <row r="297">
      <c r="A297" s="5"/>
      <c r="B297" s="9"/>
      <c r="C297" s="5"/>
      <c r="D297" s="9"/>
      <c r="E297" s="9"/>
      <c r="F297" s="9"/>
      <c r="G297" s="9"/>
      <c r="H297" s="9"/>
      <c r="I297" s="9"/>
      <c r="J297" s="5"/>
      <c r="K297" s="4"/>
      <c r="L297" s="10"/>
      <c r="M297" s="10"/>
      <c r="N297" s="10"/>
      <c r="O297" s="10"/>
      <c r="P297" s="10"/>
      <c r="Q297" s="11"/>
      <c r="R297" s="9"/>
      <c r="S297" s="12"/>
      <c r="T297" s="5"/>
      <c r="U297" s="5"/>
      <c r="V297" s="4"/>
      <c r="W297" s="4"/>
      <c r="X297" s="4"/>
      <c r="Y297" s="4"/>
    </row>
    <row r="298">
      <c r="A298" s="5"/>
      <c r="B298" s="9"/>
      <c r="C298" s="5"/>
      <c r="D298" s="9"/>
      <c r="E298" s="9"/>
      <c r="F298" s="9"/>
      <c r="G298" s="9"/>
      <c r="H298" s="9"/>
      <c r="I298" s="9"/>
      <c r="J298" s="5"/>
      <c r="K298" s="4"/>
      <c r="L298" s="10"/>
      <c r="M298" s="10"/>
      <c r="N298" s="10"/>
      <c r="O298" s="10"/>
      <c r="P298" s="10"/>
      <c r="Q298" s="11"/>
      <c r="R298" s="9"/>
      <c r="S298" s="12"/>
      <c r="T298" s="5"/>
      <c r="U298" s="5"/>
      <c r="V298" s="4"/>
      <c r="W298" s="4"/>
      <c r="X298" s="4"/>
      <c r="Y298" s="4"/>
    </row>
    <row r="299">
      <c r="A299" s="5"/>
      <c r="B299" s="9"/>
      <c r="C299" s="5"/>
      <c r="D299" s="9"/>
      <c r="E299" s="9"/>
      <c r="F299" s="9"/>
      <c r="G299" s="9"/>
      <c r="H299" s="9"/>
      <c r="I299" s="9"/>
      <c r="J299" s="5"/>
      <c r="K299" s="4"/>
      <c r="L299" s="10"/>
      <c r="M299" s="10"/>
      <c r="N299" s="10"/>
      <c r="O299" s="10"/>
      <c r="P299" s="10"/>
      <c r="Q299" s="11"/>
      <c r="R299" s="9"/>
      <c r="S299" s="12"/>
      <c r="T299" s="5"/>
      <c r="U299" s="5"/>
      <c r="V299" s="4"/>
      <c r="W299" s="4"/>
      <c r="X299" s="4"/>
      <c r="Y299" s="4"/>
    </row>
    <row r="300">
      <c r="A300" s="5"/>
      <c r="B300" s="9"/>
      <c r="C300" s="5"/>
      <c r="D300" s="9"/>
      <c r="E300" s="9"/>
      <c r="F300" s="9"/>
      <c r="G300" s="9"/>
      <c r="H300" s="9"/>
      <c r="I300" s="9"/>
      <c r="J300" s="5"/>
      <c r="K300" s="4"/>
      <c r="L300" s="10"/>
      <c r="M300" s="10"/>
      <c r="N300" s="10"/>
      <c r="O300" s="10"/>
      <c r="P300" s="10"/>
      <c r="Q300" s="11"/>
      <c r="R300" s="9"/>
      <c r="S300" s="12"/>
      <c r="T300" s="5"/>
      <c r="U300" s="5"/>
      <c r="V300" s="4"/>
      <c r="W300" s="4"/>
      <c r="X300" s="4"/>
      <c r="Y300" s="4"/>
    </row>
    <row r="301">
      <c r="A301" s="5"/>
      <c r="B301" s="9"/>
      <c r="C301" s="5"/>
      <c r="D301" s="9"/>
      <c r="E301" s="9"/>
      <c r="F301" s="9"/>
      <c r="G301" s="9"/>
      <c r="H301" s="9"/>
      <c r="I301" s="9"/>
      <c r="J301" s="5"/>
      <c r="K301" s="4"/>
      <c r="L301" s="10"/>
      <c r="M301" s="10"/>
      <c r="N301" s="10"/>
      <c r="O301" s="10"/>
      <c r="P301" s="10"/>
      <c r="Q301" s="11"/>
      <c r="R301" s="9"/>
      <c r="S301" s="12"/>
      <c r="T301" s="5"/>
      <c r="U301" s="5"/>
      <c r="V301" s="4"/>
      <c r="W301" s="4"/>
      <c r="X301" s="4"/>
      <c r="Y301" s="4"/>
    </row>
    <row r="302">
      <c r="A302" s="5"/>
      <c r="B302" s="9"/>
      <c r="C302" s="5"/>
      <c r="D302" s="9"/>
      <c r="E302" s="9"/>
      <c r="F302" s="9"/>
      <c r="G302" s="9"/>
      <c r="H302" s="9"/>
      <c r="I302" s="9"/>
      <c r="J302" s="5"/>
      <c r="K302" s="4"/>
      <c r="L302" s="10"/>
      <c r="M302" s="10"/>
      <c r="N302" s="10"/>
      <c r="O302" s="10"/>
      <c r="P302" s="10"/>
      <c r="Q302" s="11"/>
      <c r="R302" s="9"/>
      <c r="S302" s="12"/>
      <c r="T302" s="5"/>
      <c r="U302" s="5"/>
      <c r="V302" s="4"/>
      <c r="W302" s="4"/>
      <c r="X302" s="4"/>
      <c r="Y302" s="4"/>
    </row>
    <row r="303">
      <c r="A303" s="5"/>
      <c r="B303" s="9"/>
      <c r="C303" s="5"/>
      <c r="D303" s="9"/>
      <c r="E303" s="9"/>
      <c r="F303" s="9"/>
      <c r="G303" s="9"/>
      <c r="H303" s="9"/>
      <c r="I303" s="9"/>
      <c r="J303" s="5"/>
      <c r="K303" s="4"/>
      <c r="L303" s="10"/>
      <c r="M303" s="10"/>
      <c r="N303" s="10"/>
      <c r="O303" s="10"/>
      <c r="P303" s="10"/>
      <c r="Q303" s="11"/>
      <c r="R303" s="9"/>
      <c r="S303" s="12"/>
      <c r="T303" s="5"/>
      <c r="U303" s="5"/>
      <c r="V303" s="4"/>
      <c r="W303" s="4"/>
      <c r="X303" s="4"/>
      <c r="Y303" s="4"/>
    </row>
    <row r="304">
      <c r="A304" s="5"/>
      <c r="B304" s="9"/>
      <c r="C304" s="5"/>
      <c r="D304" s="9"/>
      <c r="E304" s="9"/>
      <c r="F304" s="9"/>
      <c r="G304" s="9"/>
      <c r="H304" s="9"/>
      <c r="I304" s="9"/>
      <c r="J304" s="5"/>
      <c r="K304" s="4"/>
      <c r="L304" s="10"/>
      <c r="M304" s="10"/>
      <c r="N304" s="10"/>
      <c r="O304" s="10"/>
      <c r="P304" s="10"/>
      <c r="Q304" s="11"/>
      <c r="R304" s="9"/>
      <c r="S304" s="12"/>
      <c r="T304" s="5"/>
      <c r="U304" s="5"/>
      <c r="V304" s="4"/>
      <c r="W304" s="4"/>
      <c r="X304" s="4"/>
      <c r="Y304" s="4"/>
    </row>
    <row r="305">
      <c r="A305" s="5"/>
      <c r="B305" s="9"/>
      <c r="C305" s="5"/>
      <c r="D305" s="9"/>
      <c r="E305" s="9"/>
      <c r="F305" s="9"/>
      <c r="G305" s="9"/>
      <c r="H305" s="9"/>
      <c r="I305" s="9"/>
      <c r="J305" s="5"/>
      <c r="K305" s="4"/>
      <c r="L305" s="10"/>
      <c r="M305" s="10"/>
      <c r="N305" s="10"/>
      <c r="O305" s="10"/>
      <c r="P305" s="10"/>
      <c r="Q305" s="11"/>
      <c r="R305" s="9"/>
      <c r="S305" s="12"/>
      <c r="T305" s="5"/>
      <c r="U305" s="5"/>
      <c r="V305" s="4"/>
      <c r="W305" s="4"/>
      <c r="X305" s="4"/>
      <c r="Y305" s="4"/>
    </row>
    <row r="306">
      <c r="A306" s="5"/>
      <c r="B306" s="9"/>
      <c r="C306" s="5"/>
      <c r="D306" s="9"/>
      <c r="E306" s="9"/>
      <c r="F306" s="9"/>
      <c r="G306" s="9"/>
      <c r="H306" s="9"/>
      <c r="I306" s="9"/>
      <c r="J306" s="5"/>
      <c r="K306" s="4"/>
      <c r="L306" s="10"/>
      <c r="M306" s="10"/>
      <c r="N306" s="10"/>
      <c r="O306" s="10"/>
      <c r="P306" s="10"/>
      <c r="Q306" s="11"/>
      <c r="R306" s="9"/>
      <c r="S306" s="12"/>
      <c r="T306" s="5"/>
      <c r="U306" s="5"/>
      <c r="V306" s="4"/>
      <c r="W306" s="4"/>
      <c r="X306" s="4"/>
      <c r="Y306" s="4"/>
    </row>
    <row r="307">
      <c r="A307" s="5"/>
      <c r="B307" s="9"/>
      <c r="C307" s="5"/>
      <c r="D307" s="9"/>
      <c r="E307" s="9"/>
      <c r="F307" s="9"/>
      <c r="G307" s="9"/>
      <c r="H307" s="9"/>
      <c r="I307" s="9"/>
      <c r="J307" s="5"/>
      <c r="K307" s="4"/>
      <c r="L307" s="10"/>
      <c r="M307" s="10"/>
      <c r="N307" s="10"/>
      <c r="O307" s="10"/>
      <c r="P307" s="10"/>
      <c r="Q307" s="11"/>
      <c r="R307" s="9"/>
      <c r="S307" s="12"/>
      <c r="T307" s="5"/>
      <c r="U307" s="5"/>
      <c r="V307" s="4"/>
      <c r="W307" s="4"/>
      <c r="X307" s="4"/>
      <c r="Y307" s="4"/>
    </row>
    <row r="308">
      <c r="A308" s="5"/>
      <c r="B308" s="9"/>
      <c r="C308" s="5"/>
      <c r="D308" s="9"/>
      <c r="E308" s="9"/>
      <c r="F308" s="9"/>
      <c r="G308" s="9"/>
      <c r="H308" s="9"/>
      <c r="I308" s="9"/>
      <c r="J308" s="5"/>
      <c r="K308" s="4"/>
      <c r="L308" s="10"/>
      <c r="M308" s="10"/>
      <c r="N308" s="10"/>
      <c r="O308" s="10"/>
      <c r="P308" s="10"/>
      <c r="Q308" s="11"/>
      <c r="R308" s="9"/>
      <c r="S308" s="12"/>
      <c r="T308" s="5"/>
      <c r="U308" s="5"/>
      <c r="V308" s="4"/>
      <c r="W308" s="4"/>
      <c r="X308" s="4"/>
      <c r="Y308" s="4"/>
    </row>
    <row r="309">
      <c r="A309" s="5"/>
      <c r="B309" s="9"/>
      <c r="C309" s="5"/>
      <c r="D309" s="9"/>
      <c r="E309" s="9"/>
      <c r="F309" s="9"/>
      <c r="G309" s="9"/>
      <c r="H309" s="9"/>
      <c r="I309" s="9"/>
      <c r="J309" s="5"/>
      <c r="K309" s="4"/>
      <c r="L309" s="10"/>
      <c r="M309" s="10"/>
      <c r="N309" s="10"/>
      <c r="O309" s="10"/>
      <c r="P309" s="10"/>
      <c r="Q309" s="11"/>
      <c r="R309" s="9"/>
      <c r="S309" s="12"/>
      <c r="T309" s="5"/>
      <c r="U309" s="5"/>
      <c r="V309" s="4"/>
      <c r="W309" s="4"/>
      <c r="X309" s="4"/>
      <c r="Y309" s="4"/>
    </row>
    <row r="310">
      <c r="A310" s="5"/>
      <c r="B310" s="9"/>
      <c r="C310" s="5"/>
      <c r="D310" s="9"/>
      <c r="E310" s="9"/>
      <c r="F310" s="9"/>
      <c r="G310" s="9"/>
      <c r="H310" s="9"/>
      <c r="I310" s="9"/>
      <c r="J310" s="5"/>
      <c r="K310" s="4"/>
      <c r="L310" s="10"/>
      <c r="M310" s="10"/>
      <c r="N310" s="10"/>
      <c r="O310" s="10"/>
      <c r="P310" s="10"/>
      <c r="Q310" s="11"/>
      <c r="R310" s="9"/>
      <c r="S310" s="12"/>
      <c r="T310" s="5"/>
      <c r="U310" s="5"/>
      <c r="V310" s="4"/>
      <c r="W310" s="4"/>
      <c r="X310" s="4"/>
      <c r="Y310" s="4"/>
    </row>
    <row r="311">
      <c r="A311" s="5"/>
      <c r="B311" s="9"/>
      <c r="C311" s="5"/>
      <c r="D311" s="9"/>
      <c r="E311" s="9"/>
      <c r="F311" s="9"/>
      <c r="G311" s="9"/>
      <c r="H311" s="9"/>
      <c r="I311" s="9"/>
      <c r="J311" s="5"/>
      <c r="K311" s="4"/>
      <c r="L311" s="10"/>
      <c r="M311" s="10"/>
      <c r="N311" s="10"/>
      <c r="O311" s="10"/>
      <c r="P311" s="10"/>
      <c r="Q311" s="11"/>
      <c r="R311" s="9"/>
      <c r="S311" s="12"/>
      <c r="T311" s="5"/>
      <c r="U311" s="5"/>
      <c r="V311" s="4"/>
      <c r="W311" s="4"/>
      <c r="X311" s="4"/>
      <c r="Y311" s="4"/>
    </row>
    <row r="312">
      <c r="A312" s="5"/>
      <c r="B312" s="9"/>
      <c r="C312" s="5"/>
      <c r="D312" s="9"/>
      <c r="E312" s="9"/>
      <c r="F312" s="9"/>
      <c r="G312" s="9"/>
      <c r="H312" s="9"/>
      <c r="I312" s="9"/>
      <c r="J312" s="5"/>
      <c r="K312" s="4"/>
      <c r="L312" s="10"/>
      <c r="M312" s="10"/>
      <c r="N312" s="10"/>
      <c r="O312" s="10"/>
      <c r="P312" s="10"/>
      <c r="Q312" s="11"/>
      <c r="R312" s="9"/>
      <c r="S312" s="12"/>
      <c r="T312" s="5"/>
      <c r="U312" s="5"/>
      <c r="V312" s="4"/>
      <c r="W312" s="4"/>
      <c r="X312" s="4"/>
      <c r="Y312" s="4"/>
    </row>
    <row r="313">
      <c r="A313" s="5"/>
      <c r="B313" s="9"/>
      <c r="C313" s="5"/>
      <c r="D313" s="9"/>
      <c r="E313" s="9"/>
      <c r="F313" s="9"/>
      <c r="G313" s="9"/>
      <c r="H313" s="9"/>
      <c r="I313" s="9"/>
      <c r="J313" s="5"/>
      <c r="K313" s="4"/>
      <c r="L313" s="10"/>
      <c r="M313" s="10"/>
      <c r="N313" s="10"/>
      <c r="O313" s="10"/>
      <c r="P313" s="10"/>
      <c r="Q313" s="11"/>
      <c r="R313" s="9"/>
      <c r="S313" s="12"/>
      <c r="T313" s="5"/>
      <c r="U313" s="5"/>
      <c r="V313" s="4"/>
      <c r="W313" s="4"/>
      <c r="X313" s="4"/>
      <c r="Y313" s="4"/>
    </row>
    <row r="314">
      <c r="A314" s="5"/>
      <c r="B314" s="9"/>
      <c r="C314" s="5"/>
      <c r="D314" s="9"/>
      <c r="E314" s="9"/>
      <c r="F314" s="9"/>
      <c r="G314" s="9"/>
      <c r="H314" s="9"/>
      <c r="I314" s="9"/>
      <c r="J314" s="5"/>
      <c r="K314" s="4"/>
      <c r="L314" s="10"/>
      <c r="M314" s="10"/>
      <c r="N314" s="10"/>
      <c r="O314" s="10"/>
      <c r="P314" s="10"/>
      <c r="Q314" s="11"/>
      <c r="R314" s="9"/>
      <c r="S314" s="12"/>
      <c r="T314" s="5"/>
      <c r="U314" s="5"/>
      <c r="V314" s="4"/>
      <c r="W314" s="4"/>
      <c r="X314" s="4"/>
      <c r="Y314" s="4"/>
    </row>
    <row r="315">
      <c r="A315" s="5"/>
      <c r="B315" s="9"/>
      <c r="C315" s="5"/>
      <c r="D315" s="9"/>
      <c r="E315" s="9"/>
      <c r="F315" s="9"/>
      <c r="G315" s="9"/>
      <c r="H315" s="9"/>
      <c r="I315" s="9"/>
      <c r="J315" s="5"/>
      <c r="K315" s="4"/>
      <c r="L315" s="10"/>
      <c r="M315" s="10"/>
      <c r="N315" s="10"/>
      <c r="O315" s="10"/>
      <c r="P315" s="10"/>
      <c r="Q315" s="11"/>
      <c r="R315" s="9"/>
      <c r="S315" s="12"/>
      <c r="T315" s="5"/>
      <c r="U315" s="5"/>
      <c r="V315" s="4"/>
      <c r="W315" s="4"/>
      <c r="X315" s="4"/>
      <c r="Y315" s="4"/>
    </row>
    <row r="316">
      <c r="A316" s="5"/>
      <c r="B316" s="9"/>
      <c r="C316" s="5"/>
      <c r="D316" s="9"/>
      <c r="E316" s="9"/>
      <c r="F316" s="9"/>
      <c r="G316" s="9"/>
      <c r="H316" s="9"/>
      <c r="I316" s="9"/>
      <c r="J316" s="5"/>
      <c r="K316" s="4"/>
      <c r="L316" s="10"/>
      <c r="M316" s="10"/>
      <c r="N316" s="10"/>
      <c r="O316" s="10"/>
      <c r="P316" s="10"/>
      <c r="Q316" s="11"/>
      <c r="R316" s="9"/>
      <c r="S316" s="12"/>
      <c r="T316" s="5"/>
      <c r="U316" s="5"/>
      <c r="V316" s="4"/>
      <c r="W316" s="4"/>
      <c r="X316" s="4"/>
      <c r="Y316" s="4"/>
    </row>
    <row r="317">
      <c r="A317" s="5"/>
      <c r="B317" s="9"/>
      <c r="C317" s="5"/>
      <c r="D317" s="9"/>
      <c r="E317" s="9"/>
      <c r="F317" s="9"/>
      <c r="G317" s="9"/>
      <c r="H317" s="9"/>
      <c r="I317" s="9"/>
      <c r="J317" s="5"/>
      <c r="K317" s="4"/>
      <c r="L317" s="10"/>
      <c r="M317" s="10"/>
      <c r="N317" s="10"/>
      <c r="O317" s="10"/>
      <c r="P317" s="10"/>
      <c r="Q317" s="11"/>
      <c r="R317" s="9"/>
      <c r="S317" s="12"/>
      <c r="T317" s="5"/>
      <c r="U317" s="5"/>
      <c r="V317" s="4"/>
      <c r="W317" s="4"/>
      <c r="X317" s="4"/>
      <c r="Y317" s="4"/>
    </row>
    <row r="318">
      <c r="A318" s="5"/>
      <c r="B318" s="9"/>
      <c r="C318" s="5"/>
      <c r="D318" s="9"/>
      <c r="E318" s="9"/>
      <c r="F318" s="9"/>
      <c r="G318" s="9"/>
      <c r="H318" s="9"/>
      <c r="I318" s="9"/>
      <c r="J318" s="5"/>
      <c r="K318" s="4"/>
      <c r="L318" s="10"/>
      <c r="M318" s="10"/>
      <c r="N318" s="10"/>
      <c r="O318" s="10"/>
      <c r="P318" s="10"/>
      <c r="Q318" s="11"/>
      <c r="R318" s="9"/>
      <c r="S318" s="12"/>
      <c r="T318" s="5"/>
      <c r="U318" s="5"/>
      <c r="V318" s="4"/>
      <c r="W318" s="4"/>
      <c r="X318" s="4"/>
      <c r="Y318" s="4"/>
    </row>
    <row r="319">
      <c r="A319" s="5"/>
      <c r="B319" s="9"/>
      <c r="C319" s="5"/>
      <c r="D319" s="9"/>
      <c r="E319" s="9"/>
      <c r="F319" s="9"/>
      <c r="G319" s="9"/>
      <c r="H319" s="9"/>
      <c r="I319" s="9"/>
      <c r="J319" s="5"/>
      <c r="K319" s="4"/>
      <c r="L319" s="10"/>
      <c r="M319" s="10"/>
      <c r="N319" s="10"/>
      <c r="O319" s="10"/>
      <c r="P319" s="10"/>
      <c r="Q319" s="11"/>
      <c r="R319" s="9"/>
      <c r="S319" s="12"/>
      <c r="T319" s="5"/>
      <c r="U319" s="5"/>
      <c r="V319" s="4"/>
      <c r="W319" s="4"/>
      <c r="X319" s="4"/>
      <c r="Y319" s="4"/>
    </row>
    <row r="320">
      <c r="A320" s="5"/>
      <c r="B320" s="9"/>
      <c r="C320" s="5"/>
      <c r="D320" s="9"/>
      <c r="E320" s="9"/>
      <c r="F320" s="9"/>
      <c r="G320" s="9"/>
      <c r="H320" s="9"/>
      <c r="I320" s="9"/>
      <c r="J320" s="5"/>
      <c r="K320" s="4"/>
      <c r="L320" s="10"/>
      <c r="M320" s="10"/>
      <c r="N320" s="10"/>
      <c r="O320" s="10"/>
      <c r="P320" s="10"/>
      <c r="Q320" s="11"/>
      <c r="R320" s="9"/>
      <c r="S320" s="12"/>
      <c r="T320" s="5"/>
      <c r="U320" s="5"/>
      <c r="V320" s="4"/>
      <c r="W320" s="4"/>
      <c r="X320" s="4"/>
      <c r="Y320" s="4"/>
    </row>
    <row r="321">
      <c r="A321" s="5"/>
      <c r="B321" s="9"/>
      <c r="C321" s="5"/>
      <c r="D321" s="9"/>
      <c r="E321" s="9"/>
      <c r="F321" s="9"/>
      <c r="G321" s="9"/>
      <c r="H321" s="9"/>
      <c r="I321" s="9"/>
      <c r="J321" s="5"/>
      <c r="K321" s="4"/>
      <c r="L321" s="10"/>
      <c r="M321" s="10"/>
      <c r="N321" s="10"/>
      <c r="O321" s="10"/>
      <c r="P321" s="10"/>
      <c r="Q321" s="11"/>
      <c r="R321" s="9"/>
      <c r="S321" s="12"/>
      <c r="T321" s="5"/>
      <c r="U321" s="5"/>
      <c r="V321" s="4"/>
      <c r="W321" s="4"/>
      <c r="X321" s="4"/>
      <c r="Y321" s="4"/>
    </row>
    <row r="322">
      <c r="A322" s="5"/>
      <c r="B322" s="9"/>
      <c r="C322" s="5"/>
      <c r="D322" s="9"/>
      <c r="E322" s="9"/>
      <c r="F322" s="9"/>
      <c r="G322" s="9"/>
      <c r="H322" s="9"/>
      <c r="I322" s="9"/>
      <c r="J322" s="5"/>
      <c r="K322" s="4"/>
      <c r="L322" s="10"/>
      <c r="M322" s="10"/>
      <c r="N322" s="10"/>
      <c r="O322" s="10"/>
      <c r="P322" s="10"/>
      <c r="Q322" s="11"/>
      <c r="R322" s="9"/>
      <c r="S322" s="12"/>
      <c r="T322" s="5"/>
      <c r="U322" s="5"/>
      <c r="V322" s="4"/>
      <c r="W322" s="4"/>
      <c r="X322" s="4"/>
      <c r="Y322" s="4"/>
    </row>
    <row r="323">
      <c r="A323" s="5"/>
      <c r="B323" s="9"/>
      <c r="C323" s="5"/>
      <c r="D323" s="9"/>
      <c r="E323" s="9"/>
      <c r="F323" s="9"/>
      <c r="G323" s="9"/>
      <c r="H323" s="9"/>
      <c r="I323" s="9"/>
      <c r="J323" s="5"/>
      <c r="K323" s="4"/>
      <c r="L323" s="10"/>
      <c r="M323" s="10"/>
      <c r="N323" s="10"/>
      <c r="O323" s="10"/>
      <c r="P323" s="10"/>
      <c r="Q323" s="11"/>
      <c r="R323" s="9"/>
      <c r="S323" s="12"/>
      <c r="T323" s="5"/>
      <c r="U323" s="5"/>
      <c r="V323" s="4"/>
      <c r="W323" s="4"/>
      <c r="X323" s="4"/>
      <c r="Y323" s="4"/>
    </row>
    <row r="324">
      <c r="A324" s="5"/>
      <c r="B324" s="9"/>
      <c r="C324" s="5"/>
      <c r="D324" s="9"/>
      <c r="E324" s="9"/>
      <c r="F324" s="9"/>
      <c r="G324" s="9"/>
      <c r="H324" s="9"/>
      <c r="I324" s="9"/>
      <c r="J324" s="5"/>
      <c r="K324" s="4"/>
      <c r="L324" s="10"/>
      <c r="M324" s="10"/>
      <c r="N324" s="10"/>
      <c r="O324" s="10"/>
      <c r="P324" s="10"/>
      <c r="Q324" s="11"/>
      <c r="R324" s="9"/>
      <c r="S324" s="12"/>
      <c r="T324" s="5"/>
      <c r="U324" s="5"/>
      <c r="V324" s="4"/>
      <c r="W324" s="4"/>
      <c r="X324" s="4"/>
      <c r="Y324" s="4"/>
    </row>
    <row r="325">
      <c r="A325" s="5"/>
      <c r="B325" s="9"/>
      <c r="C325" s="5"/>
      <c r="D325" s="9"/>
      <c r="E325" s="9"/>
      <c r="F325" s="9"/>
      <c r="G325" s="9"/>
      <c r="H325" s="9"/>
      <c r="I325" s="9"/>
      <c r="J325" s="5"/>
      <c r="K325" s="4"/>
      <c r="L325" s="10"/>
      <c r="M325" s="10"/>
      <c r="N325" s="10"/>
      <c r="O325" s="10"/>
      <c r="P325" s="10"/>
      <c r="Q325" s="11"/>
      <c r="R325" s="9"/>
      <c r="S325" s="12"/>
      <c r="T325" s="5"/>
      <c r="U325" s="5"/>
      <c r="V325" s="4"/>
      <c r="W325" s="4"/>
      <c r="X325" s="4"/>
      <c r="Y325" s="4"/>
    </row>
    <row r="326">
      <c r="A326" s="5"/>
      <c r="B326" s="9"/>
      <c r="C326" s="5"/>
      <c r="D326" s="9"/>
      <c r="E326" s="9"/>
      <c r="F326" s="9"/>
      <c r="G326" s="9"/>
      <c r="H326" s="9"/>
      <c r="I326" s="9"/>
      <c r="J326" s="5"/>
      <c r="K326" s="4"/>
      <c r="L326" s="10"/>
      <c r="M326" s="10"/>
      <c r="N326" s="10"/>
      <c r="O326" s="10"/>
      <c r="P326" s="10"/>
      <c r="Q326" s="11"/>
      <c r="R326" s="9"/>
      <c r="S326" s="12"/>
      <c r="T326" s="5"/>
      <c r="U326" s="5"/>
      <c r="V326" s="4"/>
      <c r="W326" s="4"/>
      <c r="X326" s="4"/>
      <c r="Y326" s="4"/>
    </row>
    <row r="327">
      <c r="A327" s="5"/>
      <c r="B327" s="9"/>
      <c r="C327" s="5"/>
      <c r="D327" s="9"/>
      <c r="E327" s="9"/>
      <c r="F327" s="9"/>
      <c r="G327" s="9"/>
      <c r="H327" s="9"/>
      <c r="I327" s="9"/>
      <c r="J327" s="5"/>
      <c r="K327" s="4"/>
      <c r="L327" s="10"/>
      <c r="M327" s="10"/>
      <c r="N327" s="10"/>
      <c r="O327" s="10"/>
      <c r="P327" s="10"/>
      <c r="Q327" s="11"/>
      <c r="R327" s="9"/>
      <c r="S327" s="12"/>
      <c r="T327" s="5"/>
      <c r="U327" s="5"/>
      <c r="V327" s="4"/>
      <c r="W327" s="4"/>
      <c r="X327" s="4"/>
      <c r="Y327" s="4"/>
    </row>
    <row r="328">
      <c r="A328" s="5"/>
      <c r="B328" s="9"/>
      <c r="C328" s="5"/>
      <c r="D328" s="9"/>
      <c r="E328" s="9"/>
      <c r="F328" s="9"/>
      <c r="G328" s="9"/>
      <c r="H328" s="9"/>
      <c r="I328" s="9"/>
      <c r="J328" s="5"/>
      <c r="K328" s="4"/>
      <c r="L328" s="10"/>
      <c r="M328" s="10"/>
      <c r="N328" s="10"/>
      <c r="O328" s="10"/>
      <c r="P328" s="10"/>
      <c r="Q328" s="11"/>
      <c r="R328" s="9"/>
      <c r="S328" s="12"/>
      <c r="T328" s="5"/>
      <c r="U328" s="5"/>
      <c r="V328" s="4"/>
      <c r="W328" s="4"/>
      <c r="X328" s="4"/>
      <c r="Y328" s="4"/>
    </row>
    <row r="329">
      <c r="A329" s="5"/>
      <c r="B329" s="9"/>
      <c r="C329" s="5"/>
      <c r="D329" s="9"/>
      <c r="E329" s="9"/>
      <c r="F329" s="9"/>
      <c r="G329" s="9"/>
      <c r="H329" s="9"/>
      <c r="I329" s="9"/>
      <c r="J329" s="5"/>
      <c r="K329" s="4"/>
      <c r="L329" s="10"/>
      <c r="M329" s="10"/>
      <c r="N329" s="10"/>
      <c r="O329" s="10"/>
      <c r="P329" s="10"/>
      <c r="Q329" s="11"/>
      <c r="R329" s="9"/>
      <c r="S329" s="12"/>
      <c r="T329" s="5"/>
      <c r="U329" s="5"/>
      <c r="V329" s="4"/>
      <c r="W329" s="4"/>
      <c r="X329" s="4"/>
      <c r="Y329" s="4"/>
    </row>
    <row r="330">
      <c r="A330" s="5"/>
      <c r="B330" s="9"/>
      <c r="C330" s="5"/>
      <c r="D330" s="9"/>
      <c r="E330" s="9"/>
      <c r="F330" s="9"/>
      <c r="G330" s="9"/>
      <c r="H330" s="9"/>
      <c r="I330" s="9"/>
      <c r="J330" s="5"/>
      <c r="K330" s="4"/>
      <c r="L330" s="10"/>
      <c r="M330" s="10"/>
      <c r="N330" s="10"/>
      <c r="O330" s="10"/>
      <c r="P330" s="10"/>
      <c r="Q330" s="11"/>
      <c r="R330" s="9"/>
      <c r="S330" s="12"/>
      <c r="T330" s="5"/>
      <c r="U330" s="5"/>
      <c r="V330" s="4"/>
      <c r="W330" s="4"/>
      <c r="X330" s="4"/>
      <c r="Y330" s="4"/>
    </row>
    <row r="331">
      <c r="A331" s="5"/>
      <c r="B331" s="9"/>
      <c r="C331" s="5"/>
      <c r="D331" s="9"/>
      <c r="E331" s="9"/>
      <c r="F331" s="9"/>
      <c r="G331" s="9"/>
      <c r="H331" s="9"/>
      <c r="I331" s="9"/>
      <c r="J331" s="5"/>
      <c r="K331" s="4"/>
      <c r="L331" s="10"/>
      <c r="M331" s="10"/>
      <c r="N331" s="10"/>
      <c r="O331" s="10"/>
      <c r="P331" s="10"/>
      <c r="Q331" s="11"/>
      <c r="R331" s="9"/>
      <c r="S331" s="12"/>
      <c r="T331" s="5"/>
      <c r="U331" s="5"/>
      <c r="V331" s="4"/>
      <c r="W331" s="4"/>
      <c r="X331" s="4"/>
      <c r="Y331" s="4"/>
    </row>
    <row r="332">
      <c r="A332" s="5"/>
      <c r="B332" s="9"/>
      <c r="C332" s="5"/>
      <c r="D332" s="9"/>
      <c r="E332" s="9"/>
      <c r="F332" s="9"/>
      <c r="G332" s="9"/>
      <c r="H332" s="9"/>
      <c r="I332" s="9"/>
      <c r="J332" s="5"/>
      <c r="K332" s="4"/>
      <c r="L332" s="10"/>
      <c r="M332" s="10"/>
      <c r="N332" s="10"/>
      <c r="O332" s="10"/>
      <c r="P332" s="10"/>
      <c r="Q332" s="11"/>
      <c r="R332" s="9"/>
      <c r="S332" s="12"/>
      <c r="T332" s="5"/>
      <c r="U332" s="5"/>
      <c r="V332" s="4"/>
      <c r="W332" s="4"/>
      <c r="X332" s="4"/>
      <c r="Y332" s="4"/>
    </row>
    <row r="333">
      <c r="A333" s="5"/>
      <c r="B333" s="9"/>
      <c r="C333" s="5"/>
      <c r="D333" s="9"/>
      <c r="E333" s="9"/>
      <c r="F333" s="9"/>
      <c r="G333" s="9"/>
      <c r="H333" s="9"/>
      <c r="I333" s="9"/>
      <c r="J333" s="5"/>
      <c r="K333" s="4"/>
      <c r="L333" s="10"/>
      <c r="M333" s="10"/>
      <c r="N333" s="10"/>
      <c r="O333" s="10"/>
      <c r="P333" s="10"/>
      <c r="Q333" s="11"/>
      <c r="R333" s="9"/>
      <c r="S333" s="12"/>
      <c r="T333" s="5"/>
      <c r="U333" s="5"/>
      <c r="V333" s="4"/>
      <c r="W333" s="4"/>
      <c r="X333" s="4"/>
      <c r="Y333" s="4"/>
    </row>
    <row r="334">
      <c r="A334" s="5"/>
      <c r="B334" s="9"/>
      <c r="C334" s="5"/>
      <c r="D334" s="9"/>
      <c r="E334" s="9"/>
      <c r="F334" s="9"/>
      <c r="G334" s="9"/>
      <c r="H334" s="9"/>
      <c r="I334" s="9"/>
      <c r="J334" s="5"/>
      <c r="K334" s="4"/>
      <c r="L334" s="10"/>
      <c r="M334" s="10"/>
      <c r="N334" s="10"/>
      <c r="O334" s="10"/>
      <c r="P334" s="10"/>
      <c r="Q334" s="11"/>
      <c r="R334" s="9"/>
      <c r="S334" s="12"/>
      <c r="T334" s="5"/>
      <c r="U334" s="5"/>
      <c r="V334" s="4"/>
      <c r="W334" s="4"/>
      <c r="X334" s="4"/>
      <c r="Y334" s="4"/>
    </row>
    <row r="335">
      <c r="A335" s="5"/>
      <c r="B335" s="9"/>
      <c r="C335" s="5"/>
      <c r="D335" s="9"/>
      <c r="E335" s="9"/>
      <c r="F335" s="9"/>
      <c r="G335" s="9"/>
      <c r="H335" s="9"/>
      <c r="I335" s="9"/>
      <c r="J335" s="5"/>
      <c r="K335" s="4"/>
      <c r="L335" s="10"/>
      <c r="M335" s="10"/>
      <c r="N335" s="10"/>
      <c r="O335" s="10"/>
      <c r="P335" s="10"/>
      <c r="Q335" s="11"/>
      <c r="R335" s="9"/>
      <c r="S335" s="12"/>
      <c r="T335" s="5"/>
      <c r="U335" s="5"/>
      <c r="V335" s="4"/>
      <c r="W335" s="4"/>
      <c r="X335" s="4"/>
      <c r="Y335" s="4"/>
    </row>
    <row r="336">
      <c r="A336" s="5"/>
      <c r="B336" s="9"/>
      <c r="C336" s="5"/>
      <c r="D336" s="9"/>
      <c r="E336" s="9"/>
      <c r="F336" s="9"/>
      <c r="G336" s="9"/>
      <c r="H336" s="9"/>
      <c r="I336" s="9"/>
      <c r="J336" s="5"/>
      <c r="K336" s="4"/>
      <c r="L336" s="10"/>
      <c r="M336" s="10"/>
      <c r="N336" s="10"/>
      <c r="O336" s="10"/>
      <c r="P336" s="10"/>
      <c r="Q336" s="11"/>
      <c r="R336" s="9"/>
      <c r="S336" s="12"/>
      <c r="T336" s="5"/>
      <c r="U336" s="5"/>
      <c r="V336" s="4"/>
      <c r="W336" s="4"/>
      <c r="X336" s="4"/>
      <c r="Y336" s="4"/>
    </row>
    <row r="337">
      <c r="A337" s="5"/>
      <c r="B337" s="9"/>
      <c r="C337" s="5"/>
      <c r="D337" s="9"/>
      <c r="E337" s="9"/>
      <c r="F337" s="9"/>
      <c r="G337" s="9"/>
      <c r="H337" s="9"/>
      <c r="I337" s="9"/>
      <c r="J337" s="5"/>
      <c r="K337" s="4"/>
      <c r="L337" s="10"/>
      <c r="M337" s="10"/>
      <c r="N337" s="10"/>
      <c r="O337" s="10"/>
      <c r="P337" s="10"/>
      <c r="Q337" s="11"/>
      <c r="R337" s="9"/>
      <c r="S337" s="12"/>
      <c r="T337" s="5"/>
      <c r="U337" s="5"/>
      <c r="V337" s="4"/>
      <c r="W337" s="4"/>
      <c r="X337" s="4"/>
      <c r="Y337" s="4"/>
    </row>
    <row r="338">
      <c r="A338" s="5"/>
      <c r="B338" s="9"/>
      <c r="C338" s="5"/>
      <c r="D338" s="9"/>
      <c r="E338" s="9"/>
      <c r="F338" s="9"/>
      <c r="G338" s="9"/>
      <c r="H338" s="9"/>
      <c r="I338" s="9"/>
      <c r="J338" s="5"/>
      <c r="K338" s="4"/>
      <c r="L338" s="10"/>
      <c r="M338" s="10"/>
      <c r="N338" s="10"/>
      <c r="O338" s="10"/>
      <c r="P338" s="10"/>
      <c r="Q338" s="11"/>
      <c r="R338" s="9"/>
      <c r="S338" s="12"/>
      <c r="T338" s="5"/>
      <c r="U338" s="5"/>
      <c r="V338" s="4"/>
      <c r="W338" s="4"/>
      <c r="X338" s="4"/>
      <c r="Y338" s="4"/>
    </row>
    <row r="339">
      <c r="A339" s="5"/>
      <c r="B339" s="9"/>
      <c r="C339" s="5"/>
      <c r="D339" s="9"/>
      <c r="E339" s="9"/>
      <c r="F339" s="9"/>
      <c r="G339" s="9"/>
      <c r="H339" s="9"/>
      <c r="I339" s="9"/>
      <c r="J339" s="5"/>
      <c r="K339" s="4"/>
      <c r="L339" s="10"/>
      <c r="M339" s="10"/>
      <c r="N339" s="10"/>
      <c r="O339" s="10"/>
      <c r="P339" s="10"/>
      <c r="Q339" s="11"/>
      <c r="R339" s="9"/>
      <c r="S339" s="12"/>
      <c r="T339" s="5"/>
      <c r="U339" s="5"/>
      <c r="V339" s="4"/>
      <c r="W339" s="4"/>
      <c r="X339" s="4"/>
      <c r="Y339" s="4"/>
    </row>
    <row r="340">
      <c r="A340" s="5"/>
      <c r="B340" s="9"/>
      <c r="C340" s="5"/>
      <c r="D340" s="9"/>
      <c r="E340" s="9"/>
      <c r="F340" s="9"/>
      <c r="G340" s="9"/>
      <c r="H340" s="9"/>
      <c r="I340" s="9"/>
      <c r="J340" s="5"/>
      <c r="K340" s="4"/>
      <c r="L340" s="10"/>
      <c r="M340" s="10"/>
      <c r="N340" s="10"/>
      <c r="O340" s="10"/>
      <c r="P340" s="10"/>
      <c r="Q340" s="11"/>
      <c r="R340" s="9"/>
      <c r="S340" s="12"/>
      <c r="T340" s="5"/>
      <c r="U340" s="5"/>
      <c r="V340" s="4"/>
      <c r="W340" s="4"/>
      <c r="X340" s="4"/>
      <c r="Y340" s="4"/>
    </row>
    <row r="341">
      <c r="A341" s="5"/>
      <c r="B341" s="9"/>
      <c r="C341" s="5"/>
      <c r="D341" s="9"/>
      <c r="E341" s="9"/>
      <c r="F341" s="9"/>
      <c r="G341" s="9"/>
      <c r="H341" s="9"/>
      <c r="I341" s="9"/>
      <c r="J341" s="5"/>
      <c r="K341" s="4"/>
      <c r="L341" s="10"/>
      <c r="M341" s="10"/>
      <c r="N341" s="10"/>
      <c r="O341" s="10"/>
      <c r="P341" s="10"/>
      <c r="Q341" s="11"/>
      <c r="R341" s="9"/>
      <c r="S341" s="12"/>
      <c r="T341" s="5"/>
      <c r="U341" s="5"/>
      <c r="V341" s="4"/>
      <c r="W341" s="4"/>
      <c r="X341" s="4"/>
      <c r="Y341" s="4"/>
    </row>
    <row r="342">
      <c r="A342" s="5"/>
      <c r="B342" s="9"/>
      <c r="C342" s="5"/>
      <c r="D342" s="9"/>
      <c r="E342" s="9"/>
      <c r="F342" s="9"/>
      <c r="G342" s="9"/>
      <c r="H342" s="9"/>
      <c r="I342" s="9"/>
      <c r="J342" s="5"/>
      <c r="K342" s="4"/>
      <c r="L342" s="10"/>
      <c r="M342" s="10"/>
      <c r="N342" s="10"/>
      <c r="O342" s="10"/>
      <c r="P342" s="10"/>
      <c r="Q342" s="11"/>
      <c r="R342" s="9"/>
      <c r="S342" s="12"/>
      <c r="T342" s="5"/>
      <c r="U342" s="5"/>
      <c r="V342" s="4"/>
      <c r="W342" s="4"/>
      <c r="X342" s="4"/>
      <c r="Y342" s="4"/>
    </row>
    <row r="343">
      <c r="A343" s="5"/>
      <c r="B343" s="9"/>
      <c r="C343" s="5"/>
      <c r="D343" s="9"/>
      <c r="E343" s="9"/>
      <c r="F343" s="9"/>
      <c r="G343" s="9"/>
      <c r="H343" s="9"/>
      <c r="I343" s="9"/>
      <c r="J343" s="5"/>
      <c r="K343" s="4"/>
      <c r="L343" s="10"/>
      <c r="M343" s="10"/>
      <c r="N343" s="10"/>
      <c r="O343" s="10"/>
      <c r="P343" s="10"/>
      <c r="Q343" s="11"/>
      <c r="R343" s="9"/>
      <c r="S343" s="12"/>
      <c r="T343" s="5"/>
      <c r="U343" s="5"/>
      <c r="V343" s="4"/>
      <c r="W343" s="4"/>
      <c r="X343" s="4"/>
      <c r="Y343" s="4"/>
    </row>
    <row r="344">
      <c r="A344" s="5"/>
      <c r="B344" s="9"/>
      <c r="C344" s="5"/>
      <c r="D344" s="9"/>
      <c r="E344" s="9"/>
      <c r="F344" s="9"/>
      <c r="G344" s="9"/>
      <c r="H344" s="9"/>
      <c r="I344" s="9"/>
      <c r="J344" s="5"/>
      <c r="K344" s="4"/>
      <c r="L344" s="10"/>
      <c r="M344" s="10"/>
      <c r="N344" s="10"/>
      <c r="O344" s="10"/>
      <c r="P344" s="10"/>
      <c r="Q344" s="11"/>
      <c r="R344" s="9"/>
      <c r="S344" s="12"/>
      <c r="T344" s="5"/>
      <c r="U344" s="5"/>
      <c r="V344" s="4"/>
      <c r="W344" s="4"/>
      <c r="X344" s="4"/>
      <c r="Y344" s="4"/>
    </row>
    <row r="345">
      <c r="A345" s="5"/>
      <c r="B345" s="9"/>
      <c r="C345" s="5"/>
      <c r="D345" s="9"/>
      <c r="E345" s="9"/>
      <c r="F345" s="9"/>
      <c r="G345" s="9"/>
      <c r="H345" s="9"/>
      <c r="I345" s="9"/>
      <c r="J345" s="5"/>
      <c r="K345" s="4"/>
      <c r="L345" s="10"/>
      <c r="M345" s="10"/>
      <c r="N345" s="10"/>
      <c r="O345" s="10"/>
      <c r="P345" s="10"/>
      <c r="Q345" s="11"/>
      <c r="R345" s="9"/>
      <c r="S345" s="12"/>
      <c r="T345" s="5"/>
      <c r="U345" s="5"/>
      <c r="V345" s="4"/>
      <c r="W345" s="4"/>
      <c r="X345" s="4"/>
      <c r="Y345" s="4"/>
    </row>
    <row r="346">
      <c r="A346" s="5"/>
      <c r="B346" s="9"/>
      <c r="C346" s="5"/>
      <c r="D346" s="9"/>
      <c r="E346" s="9"/>
      <c r="F346" s="9"/>
      <c r="G346" s="9"/>
      <c r="H346" s="9"/>
      <c r="I346" s="9"/>
      <c r="J346" s="5"/>
      <c r="K346" s="4"/>
      <c r="L346" s="10"/>
      <c r="M346" s="10"/>
      <c r="N346" s="10"/>
      <c r="O346" s="10"/>
      <c r="P346" s="10"/>
      <c r="Q346" s="11"/>
      <c r="R346" s="9"/>
      <c r="S346" s="12"/>
      <c r="T346" s="5"/>
      <c r="U346" s="5"/>
      <c r="V346" s="4"/>
      <c r="W346" s="4"/>
      <c r="X346" s="4"/>
      <c r="Y346" s="4"/>
    </row>
    <row r="347">
      <c r="A347" s="5"/>
      <c r="B347" s="9"/>
      <c r="C347" s="5"/>
      <c r="D347" s="9"/>
      <c r="E347" s="9"/>
      <c r="F347" s="9"/>
      <c r="G347" s="9"/>
      <c r="H347" s="9"/>
      <c r="I347" s="9"/>
      <c r="J347" s="5"/>
      <c r="K347" s="4"/>
      <c r="L347" s="10"/>
      <c r="M347" s="10"/>
      <c r="N347" s="10"/>
      <c r="O347" s="10"/>
      <c r="P347" s="10"/>
      <c r="Q347" s="11"/>
      <c r="R347" s="9"/>
      <c r="S347" s="12"/>
      <c r="T347" s="5"/>
      <c r="U347" s="5"/>
      <c r="V347" s="4"/>
      <c r="W347" s="4"/>
      <c r="X347" s="4"/>
      <c r="Y347" s="4"/>
    </row>
    <row r="348">
      <c r="A348" s="5"/>
      <c r="B348" s="9"/>
      <c r="C348" s="5"/>
      <c r="D348" s="9"/>
      <c r="E348" s="9"/>
      <c r="F348" s="9"/>
      <c r="G348" s="9"/>
      <c r="H348" s="9"/>
      <c r="I348" s="9"/>
      <c r="J348" s="5"/>
      <c r="K348" s="4"/>
      <c r="L348" s="10"/>
      <c r="M348" s="10"/>
      <c r="N348" s="10"/>
      <c r="O348" s="10"/>
      <c r="P348" s="10"/>
      <c r="Q348" s="11"/>
      <c r="R348" s="9"/>
      <c r="S348" s="12"/>
      <c r="T348" s="5"/>
      <c r="U348" s="5"/>
      <c r="V348" s="4"/>
      <c r="W348" s="4"/>
      <c r="X348" s="4"/>
      <c r="Y348" s="4"/>
    </row>
    <row r="349">
      <c r="A349" s="5"/>
      <c r="B349" s="9"/>
      <c r="C349" s="5"/>
      <c r="D349" s="9"/>
      <c r="E349" s="9"/>
      <c r="F349" s="9"/>
      <c r="G349" s="9"/>
      <c r="H349" s="9"/>
      <c r="I349" s="9"/>
      <c r="J349" s="5"/>
      <c r="K349" s="4"/>
      <c r="L349" s="10"/>
      <c r="M349" s="10"/>
      <c r="N349" s="10"/>
      <c r="O349" s="10"/>
      <c r="P349" s="10"/>
      <c r="Q349" s="11"/>
      <c r="R349" s="9"/>
      <c r="S349" s="12"/>
      <c r="T349" s="5"/>
      <c r="U349" s="5"/>
      <c r="V349" s="4"/>
      <c r="W349" s="4"/>
      <c r="X349" s="4"/>
      <c r="Y349" s="4"/>
    </row>
    <row r="350">
      <c r="A350" s="5"/>
      <c r="B350" s="9"/>
      <c r="C350" s="5"/>
      <c r="D350" s="9"/>
      <c r="E350" s="9"/>
      <c r="F350" s="9"/>
      <c r="G350" s="9"/>
      <c r="H350" s="9"/>
      <c r="I350" s="9"/>
      <c r="J350" s="5"/>
      <c r="K350" s="4"/>
      <c r="L350" s="10"/>
      <c r="M350" s="10"/>
      <c r="N350" s="10"/>
      <c r="O350" s="10"/>
      <c r="P350" s="10"/>
      <c r="Q350" s="11"/>
      <c r="R350" s="9"/>
      <c r="S350" s="12"/>
      <c r="T350" s="5"/>
      <c r="U350" s="5"/>
      <c r="V350" s="4"/>
      <c r="W350" s="4"/>
      <c r="X350" s="4"/>
      <c r="Y350" s="4"/>
    </row>
    <row r="351">
      <c r="A351" s="5"/>
      <c r="B351" s="9"/>
      <c r="C351" s="5"/>
      <c r="D351" s="9"/>
      <c r="E351" s="9"/>
      <c r="F351" s="9"/>
      <c r="G351" s="9"/>
      <c r="H351" s="9"/>
      <c r="I351" s="9"/>
      <c r="J351" s="5"/>
      <c r="K351" s="4"/>
      <c r="L351" s="10"/>
      <c r="M351" s="10"/>
      <c r="N351" s="10"/>
      <c r="O351" s="10"/>
      <c r="P351" s="10"/>
      <c r="Q351" s="11"/>
      <c r="R351" s="9"/>
      <c r="S351" s="12"/>
      <c r="T351" s="5"/>
      <c r="U351" s="5"/>
      <c r="V351" s="4"/>
      <c r="W351" s="4"/>
      <c r="X351" s="4"/>
      <c r="Y351" s="4"/>
    </row>
    <row r="352">
      <c r="A352" s="5"/>
      <c r="B352" s="9"/>
      <c r="C352" s="5"/>
      <c r="D352" s="9"/>
      <c r="E352" s="9"/>
      <c r="F352" s="9"/>
      <c r="G352" s="9"/>
      <c r="H352" s="9"/>
      <c r="I352" s="9"/>
      <c r="J352" s="5"/>
      <c r="K352" s="4"/>
      <c r="L352" s="10"/>
      <c r="M352" s="10"/>
      <c r="N352" s="10"/>
      <c r="O352" s="10"/>
      <c r="P352" s="10"/>
      <c r="Q352" s="11"/>
      <c r="R352" s="9"/>
      <c r="S352" s="12"/>
      <c r="T352" s="5"/>
      <c r="U352" s="5"/>
      <c r="V352" s="4"/>
      <c r="W352" s="4"/>
      <c r="X352" s="4"/>
      <c r="Y352" s="4"/>
    </row>
    <row r="353">
      <c r="A353" s="5"/>
      <c r="B353" s="9"/>
      <c r="C353" s="5"/>
      <c r="D353" s="9"/>
      <c r="E353" s="9"/>
      <c r="F353" s="9"/>
      <c r="G353" s="9"/>
      <c r="H353" s="9"/>
      <c r="I353" s="9"/>
      <c r="J353" s="5"/>
      <c r="K353" s="4"/>
      <c r="L353" s="10"/>
      <c r="M353" s="10"/>
      <c r="N353" s="10"/>
      <c r="O353" s="10"/>
      <c r="P353" s="10"/>
      <c r="Q353" s="11"/>
      <c r="R353" s="9"/>
      <c r="S353" s="12"/>
      <c r="T353" s="5"/>
      <c r="U353" s="5"/>
      <c r="V353" s="4"/>
      <c r="W353" s="4"/>
      <c r="X353" s="4"/>
      <c r="Y353" s="4"/>
    </row>
    <row r="354">
      <c r="A354" s="5"/>
      <c r="B354" s="9"/>
      <c r="C354" s="5"/>
      <c r="D354" s="9"/>
      <c r="E354" s="9"/>
      <c r="F354" s="9"/>
      <c r="G354" s="9"/>
      <c r="H354" s="9"/>
      <c r="I354" s="9"/>
      <c r="J354" s="5"/>
      <c r="K354" s="4"/>
      <c r="L354" s="10"/>
      <c r="M354" s="10"/>
      <c r="N354" s="10"/>
      <c r="O354" s="10"/>
      <c r="P354" s="10"/>
      <c r="Q354" s="11"/>
      <c r="R354" s="9"/>
      <c r="S354" s="12"/>
      <c r="T354" s="5"/>
      <c r="U354" s="5"/>
      <c r="V354" s="4"/>
      <c r="W354" s="4"/>
      <c r="X354" s="4"/>
      <c r="Y354" s="4"/>
    </row>
    <row r="355">
      <c r="A355" s="5"/>
      <c r="B355" s="9"/>
      <c r="C355" s="5"/>
      <c r="D355" s="9"/>
      <c r="E355" s="9"/>
      <c r="F355" s="9"/>
      <c r="G355" s="9"/>
      <c r="H355" s="9"/>
      <c r="I355" s="9"/>
      <c r="J355" s="5"/>
      <c r="K355" s="4"/>
      <c r="L355" s="10"/>
      <c r="M355" s="10"/>
      <c r="N355" s="10"/>
      <c r="O355" s="10"/>
      <c r="P355" s="10"/>
      <c r="Q355" s="11"/>
      <c r="R355" s="9"/>
      <c r="S355" s="12"/>
      <c r="T355" s="5"/>
      <c r="U355" s="5"/>
      <c r="V355" s="4"/>
      <c r="W355" s="4"/>
      <c r="X355" s="4"/>
      <c r="Y355" s="4"/>
    </row>
    <row r="356">
      <c r="A356" s="5"/>
      <c r="B356" s="9"/>
      <c r="C356" s="5"/>
      <c r="D356" s="9"/>
      <c r="E356" s="9"/>
      <c r="F356" s="9"/>
      <c r="G356" s="9"/>
      <c r="H356" s="9"/>
      <c r="I356" s="9"/>
      <c r="J356" s="5"/>
      <c r="K356" s="4"/>
      <c r="L356" s="10"/>
      <c r="M356" s="10"/>
      <c r="N356" s="10"/>
      <c r="O356" s="10"/>
      <c r="P356" s="10"/>
      <c r="Q356" s="11"/>
      <c r="R356" s="9"/>
      <c r="S356" s="12"/>
      <c r="T356" s="5"/>
      <c r="U356" s="5"/>
      <c r="V356" s="4"/>
      <c r="W356" s="4"/>
      <c r="X356" s="4"/>
      <c r="Y356" s="4"/>
    </row>
    <row r="357">
      <c r="A357" s="5"/>
      <c r="B357" s="9"/>
      <c r="C357" s="5"/>
      <c r="D357" s="9"/>
      <c r="E357" s="9"/>
      <c r="F357" s="9"/>
      <c r="G357" s="9"/>
      <c r="H357" s="9"/>
      <c r="I357" s="9"/>
      <c r="J357" s="5"/>
      <c r="K357" s="4"/>
      <c r="L357" s="10"/>
      <c r="M357" s="10"/>
      <c r="N357" s="10"/>
      <c r="O357" s="10"/>
      <c r="P357" s="10"/>
      <c r="Q357" s="11"/>
      <c r="R357" s="9"/>
      <c r="S357" s="12"/>
      <c r="T357" s="5"/>
      <c r="U357" s="5"/>
      <c r="V357" s="4"/>
      <c r="W357" s="4"/>
      <c r="X357" s="4"/>
      <c r="Y357" s="4"/>
    </row>
    <row r="358">
      <c r="A358" s="5"/>
      <c r="B358" s="9"/>
      <c r="C358" s="5"/>
      <c r="D358" s="9"/>
      <c r="E358" s="9"/>
      <c r="F358" s="9"/>
      <c r="G358" s="9"/>
      <c r="H358" s="9"/>
      <c r="I358" s="9"/>
      <c r="J358" s="5"/>
      <c r="K358" s="4"/>
      <c r="L358" s="10"/>
      <c r="M358" s="10"/>
      <c r="N358" s="10"/>
      <c r="O358" s="10"/>
      <c r="P358" s="10"/>
      <c r="Q358" s="11"/>
      <c r="R358" s="9"/>
      <c r="S358" s="12"/>
      <c r="T358" s="5"/>
      <c r="U358" s="5"/>
      <c r="V358" s="4"/>
      <c r="W358" s="4"/>
      <c r="X358" s="4"/>
      <c r="Y358" s="4"/>
    </row>
    <row r="359">
      <c r="A359" s="5"/>
      <c r="B359" s="9"/>
      <c r="C359" s="5"/>
      <c r="D359" s="9"/>
      <c r="E359" s="9"/>
      <c r="F359" s="9"/>
      <c r="G359" s="9"/>
      <c r="H359" s="9"/>
      <c r="I359" s="9"/>
      <c r="J359" s="5"/>
      <c r="K359" s="4"/>
      <c r="L359" s="10"/>
      <c r="M359" s="10"/>
      <c r="N359" s="10"/>
      <c r="O359" s="10"/>
      <c r="P359" s="10"/>
      <c r="Q359" s="11"/>
      <c r="R359" s="9"/>
      <c r="S359" s="12"/>
      <c r="T359" s="5"/>
      <c r="U359" s="5"/>
      <c r="V359" s="4"/>
      <c r="W359" s="4"/>
      <c r="X359" s="4"/>
      <c r="Y359" s="4"/>
    </row>
    <row r="360">
      <c r="A360" s="5"/>
      <c r="B360" s="9"/>
      <c r="C360" s="5"/>
      <c r="D360" s="9"/>
      <c r="E360" s="9"/>
      <c r="F360" s="9"/>
      <c r="G360" s="9"/>
      <c r="H360" s="9"/>
      <c r="I360" s="9"/>
      <c r="J360" s="5"/>
      <c r="K360" s="4"/>
      <c r="L360" s="10"/>
      <c r="M360" s="10"/>
      <c r="N360" s="10"/>
      <c r="O360" s="10"/>
      <c r="P360" s="10"/>
      <c r="Q360" s="11"/>
      <c r="R360" s="9"/>
      <c r="S360" s="12"/>
      <c r="T360" s="5"/>
      <c r="U360" s="5"/>
      <c r="V360" s="4"/>
      <c r="W360" s="4"/>
      <c r="X360" s="4"/>
      <c r="Y360" s="4"/>
    </row>
    <row r="361">
      <c r="A361" s="5"/>
      <c r="B361" s="9"/>
      <c r="C361" s="5"/>
      <c r="D361" s="9"/>
      <c r="E361" s="9"/>
      <c r="F361" s="9"/>
      <c r="G361" s="9"/>
      <c r="H361" s="9"/>
      <c r="I361" s="9"/>
      <c r="J361" s="5"/>
      <c r="K361" s="4"/>
      <c r="L361" s="10"/>
      <c r="M361" s="10"/>
      <c r="N361" s="10"/>
      <c r="O361" s="10"/>
      <c r="P361" s="10"/>
      <c r="Q361" s="11"/>
      <c r="R361" s="9"/>
      <c r="S361" s="12"/>
      <c r="T361" s="5"/>
      <c r="U361" s="5"/>
      <c r="V361" s="4"/>
      <c r="W361" s="4"/>
      <c r="X361" s="4"/>
      <c r="Y361" s="4"/>
    </row>
    <row r="362">
      <c r="A362" s="5"/>
      <c r="B362" s="9"/>
      <c r="C362" s="5"/>
      <c r="D362" s="9"/>
      <c r="E362" s="9"/>
      <c r="F362" s="9"/>
      <c r="G362" s="9"/>
      <c r="H362" s="9"/>
      <c r="I362" s="9"/>
      <c r="J362" s="5"/>
      <c r="K362" s="4"/>
      <c r="L362" s="10"/>
      <c r="M362" s="10"/>
      <c r="N362" s="10"/>
      <c r="O362" s="10"/>
      <c r="P362" s="10"/>
      <c r="Q362" s="11"/>
      <c r="R362" s="9"/>
      <c r="S362" s="12"/>
      <c r="T362" s="5"/>
      <c r="U362" s="5"/>
      <c r="V362" s="4"/>
      <c r="W362" s="4"/>
      <c r="X362" s="4"/>
      <c r="Y362" s="4"/>
    </row>
    <row r="363">
      <c r="A363" s="5"/>
      <c r="B363" s="9"/>
      <c r="C363" s="5"/>
      <c r="D363" s="9"/>
      <c r="E363" s="9"/>
      <c r="F363" s="9"/>
      <c r="G363" s="9"/>
      <c r="H363" s="9"/>
      <c r="I363" s="9"/>
      <c r="J363" s="5"/>
      <c r="K363" s="4"/>
      <c r="L363" s="10"/>
      <c r="M363" s="10"/>
      <c r="N363" s="10"/>
      <c r="O363" s="10"/>
      <c r="P363" s="10"/>
      <c r="Q363" s="11"/>
      <c r="R363" s="9"/>
      <c r="S363" s="12"/>
      <c r="T363" s="5"/>
      <c r="U363" s="5"/>
      <c r="V363" s="4"/>
      <c r="W363" s="4"/>
      <c r="X363" s="4"/>
      <c r="Y363" s="4"/>
    </row>
    <row r="364">
      <c r="A364" s="5"/>
      <c r="B364" s="9"/>
      <c r="C364" s="5"/>
      <c r="D364" s="9"/>
      <c r="E364" s="9"/>
      <c r="F364" s="9"/>
      <c r="G364" s="9"/>
      <c r="H364" s="9"/>
      <c r="I364" s="9"/>
      <c r="J364" s="5"/>
      <c r="K364" s="4"/>
      <c r="L364" s="10"/>
      <c r="M364" s="10"/>
      <c r="N364" s="10"/>
      <c r="O364" s="10"/>
      <c r="P364" s="10"/>
      <c r="Q364" s="11"/>
      <c r="R364" s="9"/>
      <c r="S364" s="12"/>
      <c r="T364" s="5"/>
      <c r="U364" s="5"/>
      <c r="V364" s="4"/>
      <c r="W364" s="4"/>
      <c r="X364" s="4"/>
      <c r="Y364" s="4"/>
    </row>
    <row r="365">
      <c r="A365" s="5"/>
      <c r="B365" s="9"/>
      <c r="C365" s="5"/>
      <c r="D365" s="9"/>
      <c r="E365" s="9"/>
      <c r="F365" s="9"/>
      <c r="G365" s="9"/>
      <c r="H365" s="9"/>
      <c r="I365" s="9"/>
      <c r="J365" s="5"/>
      <c r="K365" s="4"/>
      <c r="L365" s="10"/>
      <c r="M365" s="10"/>
      <c r="N365" s="10"/>
      <c r="O365" s="10"/>
      <c r="P365" s="10"/>
      <c r="Q365" s="11"/>
      <c r="R365" s="9"/>
      <c r="S365" s="12"/>
      <c r="T365" s="5"/>
      <c r="U365" s="5"/>
      <c r="V365" s="4"/>
      <c r="W365" s="4"/>
      <c r="X365" s="4"/>
      <c r="Y365" s="4"/>
    </row>
    <row r="366">
      <c r="A366" s="5"/>
      <c r="B366" s="9"/>
      <c r="C366" s="5"/>
      <c r="D366" s="9"/>
      <c r="E366" s="9"/>
      <c r="F366" s="9"/>
      <c r="G366" s="9"/>
      <c r="H366" s="9"/>
      <c r="I366" s="9"/>
      <c r="J366" s="5"/>
      <c r="K366" s="4"/>
      <c r="L366" s="10"/>
      <c r="M366" s="10"/>
      <c r="N366" s="10"/>
      <c r="O366" s="10"/>
      <c r="P366" s="10"/>
      <c r="Q366" s="11"/>
      <c r="R366" s="9"/>
      <c r="S366" s="12"/>
      <c r="T366" s="5"/>
      <c r="U366" s="5"/>
      <c r="V366" s="4"/>
      <c r="W366" s="4"/>
      <c r="X366" s="4"/>
      <c r="Y366" s="4"/>
    </row>
    <row r="367">
      <c r="A367" s="5"/>
      <c r="B367" s="9"/>
      <c r="C367" s="5"/>
      <c r="D367" s="9"/>
      <c r="E367" s="9"/>
      <c r="F367" s="9"/>
      <c r="G367" s="9"/>
      <c r="H367" s="9"/>
      <c r="I367" s="9"/>
      <c r="J367" s="5"/>
      <c r="K367" s="4"/>
      <c r="L367" s="10"/>
      <c r="M367" s="10"/>
      <c r="N367" s="10"/>
      <c r="O367" s="10"/>
      <c r="P367" s="10"/>
      <c r="Q367" s="11"/>
      <c r="R367" s="9"/>
      <c r="S367" s="12"/>
      <c r="T367" s="5"/>
      <c r="U367" s="5"/>
      <c r="V367" s="4"/>
      <c r="W367" s="4"/>
      <c r="X367" s="4"/>
      <c r="Y367" s="4"/>
    </row>
    <row r="368">
      <c r="A368" s="5"/>
      <c r="B368" s="9"/>
      <c r="C368" s="5"/>
      <c r="D368" s="9"/>
      <c r="E368" s="9"/>
      <c r="F368" s="9"/>
      <c r="G368" s="9"/>
      <c r="H368" s="9"/>
      <c r="I368" s="9"/>
      <c r="J368" s="5"/>
      <c r="K368" s="4"/>
      <c r="L368" s="10"/>
      <c r="M368" s="10"/>
      <c r="N368" s="10"/>
      <c r="O368" s="10"/>
      <c r="P368" s="10"/>
      <c r="Q368" s="11"/>
      <c r="R368" s="9"/>
      <c r="S368" s="12"/>
      <c r="T368" s="5"/>
      <c r="U368" s="5"/>
      <c r="V368" s="4"/>
      <c r="W368" s="4"/>
      <c r="X368" s="4"/>
      <c r="Y368" s="4"/>
    </row>
    <row r="369">
      <c r="A369" s="5"/>
      <c r="B369" s="9"/>
      <c r="C369" s="5"/>
      <c r="D369" s="9"/>
      <c r="E369" s="9"/>
      <c r="F369" s="9"/>
      <c r="G369" s="9"/>
      <c r="H369" s="9"/>
      <c r="I369" s="9"/>
      <c r="J369" s="5"/>
      <c r="K369" s="4"/>
      <c r="L369" s="10"/>
      <c r="M369" s="10"/>
      <c r="N369" s="10"/>
      <c r="O369" s="10"/>
      <c r="P369" s="10"/>
      <c r="Q369" s="11"/>
      <c r="R369" s="9"/>
      <c r="S369" s="12"/>
      <c r="T369" s="5"/>
      <c r="U369" s="5"/>
      <c r="V369" s="4"/>
      <c r="W369" s="4"/>
      <c r="X369" s="4"/>
      <c r="Y369" s="4"/>
    </row>
    <row r="370">
      <c r="A370" s="5"/>
      <c r="B370" s="9"/>
      <c r="C370" s="5"/>
      <c r="D370" s="9"/>
      <c r="E370" s="9"/>
      <c r="F370" s="9"/>
      <c r="G370" s="9"/>
      <c r="H370" s="9"/>
      <c r="I370" s="9"/>
      <c r="J370" s="5"/>
      <c r="K370" s="4"/>
      <c r="L370" s="10"/>
      <c r="M370" s="10"/>
      <c r="N370" s="10"/>
      <c r="O370" s="10"/>
      <c r="P370" s="10"/>
      <c r="Q370" s="11"/>
      <c r="R370" s="9"/>
      <c r="S370" s="12"/>
      <c r="T370" s="5"/>
      <c r="U370" s="5"/>
      <c r="V370" s="4"/>
      <c r="W370" s="4"/>
      <c r="X370" s="4"/>
      <c r="Y370" s="4"/>
    </row>
    <row r="371">
      <c r="A371" s="5"/>
      <c r="B371" s="9"/>
      <c r="C371" s="5"/>
      <c r="D371" s="9"/>
      <c r="E371" s="9"/>
      <c r="F371" s="9"/>
      <c r="G371" s="9"/>
      <c r="H371" s="9"/>
      <c r="I371" s="9"/>
      <c r="J371" s="5"/>
      <c r="K371" s="4"/>
      <c r="L371" s="10"/>
      <c r="M371" s="10"/>
      <c r="N371" s="10"/>
      <c r="O371" s="10"/>
      <c r="P371" s="10"/>
      <c r="Q371" s="11"/>
      <c r="R371" s="9"/>
      <c r="S371" s="12"/>
      <c r="T371" s="5"/>
      <c r="U371" s="5"/>
      <c r="V371" s="4"/>
      <c r="W371" s="4"/>
      <c r="X371" s="4"/>
      <c r="Y371" s="4"/>
    </row>
    <row r="372">
      <c r="A372" s="5"/>
      <c r="B372" s="9"/>
      <c r="C372" s="5"/>
      <c r="D372" s="9"/>
      <c r="E372" s="9"/>
      <c r="F372" s="9"/>
      <c r="G372" s="9"/>
      <c r="H372" s="9"/>
      <c r="I372" s="9"/>
      <c r="J372" s="5"/>
      <c r="K372" s="4"/>
      <c r="L372" s="10"/>
      <c r="M372" s="10"/>
      <c r="N372" s="10"/>
      <c r="O372" s="10"/>
      <c r="P372" s="10"/>
      <c r="Q372" s="11"/>
      <c r="R372" s="9"/>
      <c r="S372" s="12"/>
      <c r="T372" s="5"/>
      <c r="U372" s="5"/>
      <c r="V372" s="4"/>
      <c r="W372" s="4"/>
      <c r="X372" s="4"/>
      <c r="Y372" s="4"/>
    </row>
    <row r="373">
      <c r="A373" s="5"/>
      <c r="B373" s="9"/>
      <c r="C373" s="5"/>
      <c r="D373" s="9"/>
      <c r="E373" s="9"/>
      <c r="F373" s="9"/>
      <c r="G373" s="9"/>
      <c r="H373" s="9"/>
      <c r="I373" s="9"/>
      <c r="J373" s="5"/>
      <c r="K373" s="4"/>
      <c r="L373" s="10"/>
      <c r="M373" s="10"/>
      <c r="N373" s="10"/>
      <c r="O373" s="10"/>
      <c r="P373" s="10"/>
      <c r="Q373" s="11"/>
      <c r="R373" s="9"/>
      <c r="S373" s="12"/>
      <c r="T373" s="5"/>
      <c r="U373" s="5"/>
      <c r="V373" s="4"/>
      <c r="W373" s="4"/>
      <c r="X373" s="4"/>
      <c r="Y373" s="4"/>
    </row>
    <row r="374">
      <c r="A374" s="5"/>
      <c r="B374" s="9"/>
      <c r="C374" s="5"/>
      <c r="D374" s="9"/>
      <c r="E374" s="9"/>
      <c r="F374" s="9"/>
      <c r="G374" s="9"/>
      <c r="H374" s="9"/>
      <c r="I374" s="9"/>
      <c r="J374" s="5"/>
      <c r="K374" s="4"/>
      <c r="L374" s="10"/>
      <c r="M374" s="10"/>
      <c r="N374" s="10"/>
      <c r="O374" s="10"/>
      <c r="P374" s="10"/>
      <c r="Q374" s="11"/>
      <c r="R374" s="9"/>
      <c r="S374" s="12"/>
      <c r="T374" s="5"/>
      <c r="U374" s="5"/>
      <c r="V374" s="4"/>
      <c r="W374" s="4"/>
      <c r="X374" s="4"/>
      <c r="Y374" s="4"/>
    </row>
    <row r="375">
      <c r="A375" s="5"/>
      <c r="B375" s="9"/>
      <c r="C375" s="5"/>
      <c r="D375" s="9"/>
      <c r="E375" s="9"/>
      <c r="F375" s="9"/>
      <c r="G375" s="9"/>
      <c r="H375" s="9"/>
      <c r="I375" s="9"/>
      <c r="J375" s="5"/>
      <c r="K375" s="4"/>
      <c r="L375" s="10"/>
      <c r="M375" s="10"/>
      <c r="N375" s="10"/>
      <c r="O375" s="10"/>
      <c r="P375" s="10"/>
      <c r="Q375" s="11"/>
      <c r="R375" s="9"/>
      <c r="S375" s="12"/>
      <c r="T375" s="5"/>
      <c r="U375" s="5"/>
      <c r="V375" s="4"/>
      <c r="W375" s="4"/>
      <c r="X375" s="4"/>
      <c r="Y375" s="4"/>
    </row>
    <row r="376">
      <c r="A376" s="5"/>
      <c r="B376" s="9"/>
      <c r="C376" s="5"/>
      <c r="D376" s="9"/>
      <c r="E376" s="9"/>
      <c r="F376" s="9"/>
      <c r="G376" s="9"/>
      <c r="H376" s="9"/>
      <c r="I376" s="9"/>
      <c r="J376" s="5"/>
      <c r="K376" s="4"/>
      <c r="L376" s="10"/>
      <c r="M376" s="10"/>
      <c r="N376" s="10"/>
      <c r="O376" s="10"/>
      <c r="P376" s="10"/>
      <c r="Q376" s="11"/>
      <c r="R376" s="9"/>
      <c r="S376" s="12"/>
      <c r="T376" s="5"/>
      <c r="U376" s="5"/>
      <c r="V376" s="4"/>
      <c r="W376" s="4"/>
      <c r="X376" s="4"/>
      <c r="Y376" s="4"/>
    </row>
    <row r="377">
      <c r="A377" s="5"/>
      <c r="B377" s="9"/>
      <c r="C377" s="5"/>
      <c r="D377" s="9"/>
      <c r="E377" s="9"/>
      <c r="F377" s="9"/>
      <c r="G377" s="9"/>
      <c r="H377" s="9"/>
      <c r="I377" s="9"/>
      <c r="J377" s="5"/>
      <c r="K377" s="4"/>
      <c r="L377" s="10"/>
      <c r="M377" s="10"/>
      <c r="N377" s="10"/>
      <c r="O377" s="10"/>
      <c r="P377" s="10"/>
      <c r="Q377" s="11"/>
      <c r="R377" s="9"/>
      <c r="S377" s="12"/>
      <c r="T377" s="5"/>
      <c r="U377" s="5"/>
      <c r="V377" s="4"/>
      <c r="W377" s="4"/>
      <c r="X377" s="4"/>
      <c r="Y377" s="4"/>
    </row>
    <row r="378">
      <c r="A378" s="5"/>
      <c r="B378" s="9"/>
      <c r="C378" s="5"/>
      <c r="D378" s="9"/>
      <c r="E378" s="9"/>
      <c r="F378" s="9"/>
      <c r="G378" s="9"/>
      <c r="H378" s="9"/>
      <c r="I378" s="9"/>
      <c r="J378" s="5"/>
      <c r="K378" s="4"/>
      <c r="L378" s="10"/>
      <c r="M378" s="10"/>
      <c r="N378" s="10"/>
      <c r="O378" s="10"/>
      <c r="P378" s="10"/>
      <c r="Q378" s="11"/>
      <c r="R378" s="9"/>
      <c r="S378" s="12"/>
      <c r="T378" s="5"/>
      <c r="U378" s="5"/>
      <c r="V378" s="4"/>
      <c r="W378" s="4"/>
      <c r="X378" s="4"/>
      <c r="Y378" s="4"/>
    </row>
    <row r="379">
      <c r="A379" s="5"/>
      <c r="B379" s="9"/>
      <c r="C379" s="5"/>
      <c r="D379" s="9"/>
      <c r="E379" s="9"/>
      <c r="F379" s="9"/>
      <c r="G379" s="9"/>
      <c r="H379" s="9"/>
      <c r="I379" s="9"/>
      <c r="J379" s="5"/>
      <c r="K379" s="4"/>
      <c r="L379" s="10"/>
      <c r="M379" s="10"/>
      <c r="N379" s="10"/>
      <c r="O379" s="10"/>
      <c r="P379" s="10"/>
      <c r="Q379" s="11"/>
      <c r="R379" s="9"/>
      <c r="S379" s="12"/>
      <c r="T379" s="5"/>
      <c r="U379" s="5"/>
      <c r="V379" s="4"/>
      <c r="W379" s="4"/>
      <c r="X379" s="4"/>
      <c r="Y379" s="4"/>
    </row>
    <row r="380">
      <c r="A380" s="5"/>
      <c r="B380" s="9"/>
      <c r="C380" s="5"/>
      <c r="D380" s="9"/>
      <c r="E380" s="9"/>
      <c r="F380" s="9"/>
      <c r="G380" s="9"/>
      <c r="H380" s="9"/>
      <c r="I380" s="9"/>
      <c r="J380" s="5"/>
      <c r="K380" s="4"/>
      <c r="L380" s="10"/>
      <c r="M380" s="10"/>
      <c r="N380" s="10"/>
      <c r="O380" s="10"/>
      <c r="P380" s="10"/>
      <c r="Q380" s="11"/>
      <c r="R380" s="9"/>
      <c r="S380" s="12"/>
      <c r="T380" s="5"/>
      <c r="U380" s="5"/>
      <c r="V380" s="4"/>
      <c r="W380" s="4"/>
      <c r="X380" s="4"/>
      <c r="Y380" s="4"/>
    </row>
    <row r="381">
      <c r="A381" s="5"/>
      <c r="B381" s="9"/>
      <c r="C381" s="5"/>
      <c r="D381" s="9"/>
      <c r="E381" s="9"/>
      <c r="F381" s="9"/>
      <c r="G381" s="9"/>
      <c r="H381" s="9"/>
      <c r="I381" s="9"/>
      <c r="J381" s="5"/>
      <c r="K381" s="4"/>
      <c r="L381" s="10"/>
      <c r="M381" s="10"/>
      <c r="N381" s="10"/>
      <c r="O381" s="10"/>
      <c r="P381" s="10"/>
      <c r="Q381" s="11"/>
      <c r="R381" s="9"/>
      <c r="S381" s="12"/>
      <c r="T381" s="5"/>
      <c r="U381" s="5"/>
      <c r="V381" s="4"/>
      <c r="W381" s="4"/>
      <c r="X381" s="4"/>
      <c r="Y381" s="4"/>
    </row>
    <row r="382">
      <c r="A382" s="5"/>
      <c r="B382" s="9"/>
      <c r="C382" s="5"/>
      <c r="D382" s="9"/>
      <c r="E382" s="9"/>
      <c r="F382" s="9"/>
      <c r="G382" s="9"/>
      <c r="H382" s="9"/>
      <c r="I382" s="9"/>
      <c r="J382" s="5"/>
      <c r="K382" s="4"/>
      <c r="L382" s="10"/>
      <c r="M382" s="10"/>
      <c r="N382" s="10"/>
      <c r="O382" s="10"/>
      <c r="P382" s="10"/>
      <c r="Q382" s="11"/>
      <c r="R382" s="9"/>
      <c r="S382" s="12"/>
      <c r="T382" s="5"/>
      <c r="U382" s="5"/>
      <c r="V382" s="4"/>
      <c r="W382" s="4"/>
      <c r="X382" s="4"/>
      <c r="Y382" s="4"/>
    </row>
    <row r="383">
      <c r="A383" s="5"/>
      <c r="B383" s="9"/>
      <c r="C383" s="5"/>
      <c r="D383" s="9"/>
      <c r="E383" s="9"/>
      <c r="F383" s="9"/>
      <c r="G383" s="9"/>
      <c r="H383" s="9"/>
      <c r="I383" s="9"/>
      <c r="J383" s="5"/>
      <c r="K383" s="4"/>
      <c r="L383" s="10"/>
      <c r="M383" s="10"/>
      <c r="N383" s="10"/>
      <c r="O383" s="10"/>
      <c r="P383" s="10"/>
      <c r="Q383" s="11"/>
      <c r="R383" s="9"/>
      <c r="S383" s="12"/>
      <c r="T383" s="5"/>
      <c r="U383" s="5"/>
      <c r="V383" s="4"/>
      <c r="W383" s="4"/>
      <c r="X383" s="4"/>
      <c r="Y383" s="4"/>
    </row>
    <row r="384">
      <c r="A384" s="5"/>
      <c r="B384" s="9"/>
      <c r="C384" s="5"/>
      <c r="D384" s="9"/>
      <c r="E384" s="9"/>
      <c r="F384" s="9"/>
      <c r="G384" s="9"/>
      <c r="H384" s="9"/>
      <c r="I384" s="9"/>
      <c r="J384" s="5"/>
      <c r="K384" s="4"/>
      <c r="L384" s="10"/>
      <c r="M384" s="10"/>
      <c r="N384" s="10"/>
      <c r="O384" s="10"/>
      <c r="P384" s="10"/>
      <c r="Q384" s="11"/>
      <c r="R384" s="9"/>
      <c r="S384" s="12"/>
      <c r="T384" s="5"/>
      <c r="U384" s="5"/>
      <c r="V384" s="4"/>
      <c r="W384" s="4"/>
      <c r="X384" s="4"/>
      <c r="Y384" s="4"/>
    </row>
    <row r="385">
      <c r="A385" s="5"/>
      <c r="B385" s="9"/>
      <c r="C385" s="5"/>
      <c r="D385" s="9"/>
      <c r="E385" s="9"/>
      <c r="F385" s="9"/>
      <c r="G385" s="9"/>
      <c r="H385" s="9"/>
      <c r="I385" s="9"/>
      <c r="J385" s="5"/>
      <c r="K385" s="4"/>
      <c r="L385" s="10"/>
      <c r="M385" s="10"/>
      <c r="N385" s="10"/>
      <c r="O385" s="10"/>
      <c r="P385" s="10"/>
      <c r="Q385" s="11"/>
      <c r="R385" s="9"/>
      <c r="S385" s="12"/>
      <c r="T385" s="5"/>
      <c r="U385" s="5"/>
      <c r="V385" s="4"/>
      <c r="W385" s="4"/>
      <c r="X385" s="4"/>
      <c r="Y385" s="4"/>
    </row>
    <row r="386">
      <c r="A386" s="5"/>
      <c r="B386" s="9"/>
      <c r="C386" s="5"/>
      <c r="D386" s="9"/>
      <c r="E386" s="9"/>
      <c r="F386" s="9"/>
      <c r="G386" s="9"/>
      <c r="H386" s="9"/>
      <c r="I386" s="9"/>
      <c r="J386" s="5"/>
      <c r="K386" s="4"/>
      <c r="L386" s="10"/>
      <c r="M386" s="10"/>
      <c r="N386" s="10"/>
      <c r="O386" s="10"/>
      <c r="P386" s="10"/>
      <c r="Q386" s="11"/>
      <c r="R386" s="9"/>
      <c r="S386" s="12"/>
      <c r="T386" s="5"/>
      <c r="U386" s="5"/>
      <c r="V386" s="4"/>
      <c r="W386" s="4"/>
      <c r="X386" s="4"/>
      <c r="Y386" s="4"/>
    </row>
    <row r="387">
      <c r="A387" s="5"/>
      <c r="B387" s="9"/>
      <c r="C387" s="5"/>
      <c r="D387" s="9"/>
      <c r="E387" s="9"/>
      <c r="F387" s="9"/>
      <c r="G387" s="9"/>
      <c r="H387" s="9"/>
      <c r="I387" s="9"/>
      <c r="J387" s="5"/>
      <c r="K387" s="4"/>
      <c r="L387" s="10"/>
      <c r="M387" s="10"/>
      <c r="N387" s="10"/>
      <c r="O387" s="10"/>
      <c r="P387" s="10"/>
      <c r="Q387" s="11"/>
      <c r="R387" s="9"/>
      <c r="S387" s="12"/>
      <c r="T387" s="5"/>
      <c r="U387" s="5"/>
      <c r="V387" s="4"/>
      <c r="W387" s="4"/>
      <c r="X387" s="4"/>
      <c r="Y387" s="4"/>
    </row>
    <row r="388">
      <c r="A388" s="5"/>
      <c r="B388" s="9"/>
      <c r="C388" s="5"/>
      <c r="D388" s="9"/>
      <c r="E388" s="9"/>
      <c r="F388" s="9"/>
      <c r="G388" s="9"/>
      <c r="H388" s="9"/>
      <c r="I388" s="9"/>
      <c r="J388" s="5"/>
      <c r="K388" s="4"/>
      <c r="L388" s="10"/>
      <c r="M388" s="10"/>
      <c r="N388" s="10"/>
      <c r="O388" s="10"/>
      <c r="P388" s="10"/>
      <c r="Q388" s="11"/>
      <c r="R388" s="9"/>
      <c r="S388" s="12"/>
      <c r="T388" s="5"/>
      <c r="U388" s="5"/>
      <c r="V388" s="4"/>
      <c r="W388" s="4"/>
      <c r="X388" s="4"/>
      <c r="Y388" s="4"/>
    </row>
    <row r="389">
      <c r="A389" s="5"/>
      <c r="B389" s="9"/>
      <c r="C389" s="5"/>
      <c r="D389" s="9"/>
      <c r="E389" s="9"/>
      <c r="F389" s="9"/>
      <c r="G389" s="9"/>
      <c r="H389" s="9"/>
      <c r="I389" s="9"/>
      <c r="J389" s="5"/>
      <c r="K389" s="4"/>
      <c r="L389" s="10"/>
      <c r="M389" s="10"/>
      <c r="N389" s="10"/>
      <c r="O389" s="10"/>
      <c r="P389" s="10"/>
      <c r="Q389" s="11"/>
      <c r="R389" s="9"/>
      <c r="S389" s="12"/>
      <c r="T389" s="5"/>
      <c r="U389" s="5"/>
      <c r="V389" s="4"/>
      <c r="W389" s="4"/>
      <c r="X389" s="4"/>
      <c r="Y389" s="4"/>
    </row>
    <row r="390">
      <c r="A390" s="5"/>
      <c r="B390" s="9"/>
      <c r="C390" s="5"/>
      <c r="D390" s="9"/>
      <c r="E390" s="9"/>
      <c r="F390" s="9"/>
      <c r="G390" s="9"/>
      <c r="H390" s="9"/>
      <c r="I390" s="9"/>
      <c r="J390" s="5"/>
      <c r="K390" s="4"/>
      <c r="L390" s="10"/>
      <c r="M390" s="10"/>
      <c r="N390" s="10"/>
      <c r="O390" s="10"/>
      <c r="P390" s="10"/>
      <c r="Q390" s="11"/>
      <c r="R390" s="9"/>
      <c r="S390" s="12"/>
      <c r="T390" s="5"/>
      <c r="U390" s="5"/>
      <c r="V390" s="4"/>
      <c r="W390" s="4"/>
      <c r="X390" s="4"/>
      <c r="Y390" s="4"/>
    </row>
    <row r="391">
      <c r="A391" s="5"/>
      <c r="B391" s="9"/>
      <c r="C391" s="5"/>
      <c r="D391" s="9"/>
      <c r="E391" s="9"/>
      <c r="F391" s="9"/>
      <c r="G391" s="9"/>
      <c r="H391" s="9"/>
      <c r="I391" s="9"/>
      <c r="J391" s="5"/>
      <c r="K391" s="4"/>
      <c r="L391" s="10"/>
      <c r="M391" s="10"/>
      <c r="N391" s="10"/>
      <c r="O391" s="10"/>
      <c r="P391" s="10"/>
      <c r="Q391" s="11"/>
      <c r="R391" s="9"/>
      <c r="S391" s="12"/>
      <c r="T391" s="5"/>
      <c r="U391" s="5"/>
      <c r="V391" s="4"/>
      <c r="W391" s="4"/>
      <c r="X391" s="4"/>
      <c r="Y391" s="4"/>
    </row>
    <row r="392">
      <c r="A392" s="5"/>
      <c r="B392" s="9"/>
      <c r="C392" s="5"/>
      <c r="D392" s="9"/>
      <c r="E392" s="9"/>
      <c r="F392" s="9"/>
      <c r="G392" s="9"/>
      <c r="H392" s="9"/>
      <c r="I392" s="9"/>
      <c r="J392" s="5"/>
      <c r="K392" s="4"/>
      <c r="L392" s="10"/>
      <c r="M392" s="10"/>
      <c r="N392" s="10"/>
      <c r="O392" s="10"/>
      <c r="P392" s="10"/>
      <c r="Q392" s="11"/>
      <c r="R392" s="9"/>
      <c r="S392" s="12"/>
      <c r="T392" s="5"/>
      <c r="U392" s="5"/>
      <c r="V392" s="4"/>
      <c r="W392" s="4"/>
      <c r="X392" s="4"/>
      <c r="Y392" s="4"/>
    </row>
    <row r="393">
      <c r="A393" s="5"/>
      <c r="B393" s="9"/>
      <c r="C393" s="5"/>
      <c r="D393" s="9"/>
      <c r="E393" s="9"/>
      <c r="F393" s="9"/>
      <c r="G393" s="9"/>
      <c r="H393" s="9"/>
      <c r="I393" s="9"/>
      <c r="J393" s="5"/>
      <c r="K393" s="4"/>
      <c r="L393" s="10"/>
      <c r="M393" s="10"/>
      <c r="N393" s="10"/>
      <c r="O393" s="10"/>
      <c r="P393" s="10"/>
      <c r="Q393" s="11"/>
      <c r="R393" s="9"/>
      <c r="S393" s="12"/>
      <c r="T393" s="5"/>
      <c r="U393" s="5"/>
      <c r="V393" s="4"/>
      <c r="W393" s="4"/>
      <c r="X393" s="4"/>
      <c r="Y393" s="4"/>
    </row>
    <row r="394">
      <c r="A394" s="5"/>
      <c r="B394" s="9"/>
      <c r="C394" s="5"/>
      <c r="D394" s="9"/>
      <c r="E394" s="9"/>
      <c r="F394" s="9"/>
      <c r="G394" s="9"/>
      <c r="H394" s="9"/>
      <c r="I394" s="9"/>
      <c r="J394" s="5"/>
      <c r="K394" s="4"/>
      <c r="L394" s="10"/>
      <c r="M394" s="10"/>
      <c r="N394" s="10"/>
      <c r="O394" s="10"/>
      <c r="P394" s="10"/>
      <c r="Q394" s="11"/>
      <c r="R394" s="9"/>
      <c r="S394" s="12"/>
      <c r="T394" s="5"/>
      <c r="U394" s="5"/>
      <c r="V394" s="4"/>
      <c r="W394" s="4"/>
      <c r="X394" s="4"/>
      <c r="Y394" s="4"/>
    </row>
    <row r="395">
      <c r="A395" s="5"/>
      <c r="B395" s="9"/>
      <c r="C395" s="5"/>
      <c r="D395" s="9"/>
      <c r="E395" s="9"/>
      <c r="F395" s="9"/>
      <c r="G395" s="9"/>
      <c r="H395" s="9"/>
      <c r="I395" s="9"/>
      <c r="J395" s="5"/>
      <c r="K395" s="4"/>
      <c r="L395" s="10"/>
      <c r="M395" s="10"/>
      <c r="N395" s="10"/>
      <c r="O395" s="10"/>
      <c r="P395" s="10"/>
      <c r="Q395" s="11"/>
      <c r="R395" s="9"/>
      <c r="S395" s="12"/>
      <c r="T395" s="5"/>
      <c r="U395" s="5"/>
      <c r="V395" s="4"/>
      <c r="W395" s="4"/>
      <c r="X395" s="4"/>
      <c r="Y395" s="4"/>
    </row>
    <row r="396">
      <c r="A396" s="5"/>
      <c r="B396" s="9"/>
      <c r="C396" s="5"/>
      <c r="D396" s="9"/>
      <c r="E396" s="9"/>
      <c r="F396" s="9"/>
      <c r="G396" s="9"/>
      <c r="H396" s="9"/>
      <c r="I396" s="9"/>
      <c r="J396" s="5"/>
      <c r="K396" s="4"/>
      <c r="L396" s="10"/>
      <c r="M396" s="10"/>
      <c r="N396" s="10"/>
      <c r="O396" s="10"/>
      <c r="P396" s="10"/>
      <c r="Q396" s="11"/>
      <c r="R396" s="9"/>
      <c r="S396" s="12"/>
      <c r="T396" s="5"/>
      <c r="U396" s="5"/>
      <c r="V396" s="4"/>
      <c r="W396" s="4"/>
      <c r="X396" s="4"/>
      <c r="Y396" s="4"/>
    </row>
    <row r="397">
      <c r="A397" s="5"/>
      <c r="B397" s="9"/>
      <c r="C397" s="5"/>
      <c r="D397" s="9"/>
      <c r="E397" s="9"/>
      <c r="F397" s="9"/>
      <c r="G397" s="9"/>
      <c r="H397" s="9"/>
      <c r="I397" s="9"/>
      <c r="J397" s="5"/>
      <c r="K397" s="4"/>
      <c r="L397" s="10"/>
      <c r="M397" s="10"/>
      <c r="N397" s="10"/>
      <c r="O397" s="10"/>
      <c r="P397" s="10"/>
      <c r="Q397" s="11"/>
      <c r="R397" s="9"/>
      <c r="S397" s="12"/>
      <c r="T397" s="5"/>
      <c r="U397" s="5"/>
      <c r="V397" s="4"/>
      <c r="W397" s="4"/>
      <c r="X397" s="4"/>
      <c r="Y397" s="4"/>
    </row>
    <row r="398">
      <c r="A398" s="5"/>
      <c r="B398" s="9"/>
      <c r="C398" s="5"/>
      <c r="D398" s="9"/>
      <c r="E398" s="9"/>
      <c r="F398" s="9"/>
      <c r="G398" s="9"/>
      <c r="H398" s="9"/>
      <c r="I398" s="9"/>
      <c r="J398" s="5"/>
      <c r="K398" s="4"/>
      <c r="L398" s="10"/>
      <c r="M398" s="10"/>
      <c r="N398" s="10"/>
      <c r="O398" s="10"/>
      <c r="P398" s="10"/>
      <c r="Q398" s="11"/>
      <c r="R398" s="9"/>
      <c r="S398" s="12"/>
      <c r="T398" s="5"/>
      <c r="U398" s="5"/>
      <c r="V398" s="4"/>
      <c r="W398" s="4"/>
      <c r="X398" s="4"/>
      <c r="Y398" s="4"/>
    </row>
    <row r="399">
      <c r="A399" s="5"/>
      <c r="B399" s="9"/>
      <c r="C399" s="5"/>
      <c r="D399" s="9"/>
      <c r="E399" s="9"/>
      <c r="F399" s="9"/>
      <c r="G399" s="9"/>
      <c r="H399" s="9"/>
      <c r="I399" s="9"/>
      <c r="J399" s="5"/>
      <c r="K399" s="4"/>
      <c r="L399" s="10"/>
      <c r="M399" s="10"/>
      <c r="N399" s="10"/>
      <c r="O399" s="10"/>
      <c r="P399" s="10"/>
      <c r="Q399" s="11"/>
      <c r="R399" s="9"/>
      <c r="S399" s="12"/>
      <c r="T399" s="5"/>
      <c r="U399" s="5"/>
      <c r="V399" s="4"/>
      <c r="W399" s="4"/>
      <c r="X399" s="4"/>
      <c r="Y399" s="4"/>
    </row>
    <row r="400">
      <c r="A400" s="5"/>
      <c r="B400" s="9"/>
      <c r="C400" s="5"/>
      <c r="D400" s="9"/>
      <c r="E400" s="9"/>
      <c r="F400" s="9"/>
      <c r="G400" s="9"/>
      <c r="H400" s="9"/>
      <c r="I400" s="9"/>
      <c r="J400" s="5"/>
      <c r="K400" s="4"/>
      <c r="L400" s="10"/>
      <c r="M400" s="10"/>
      <c r="N400" s="10"/>
      <c r="O400" s="10"/>
      <c r="P400" s="10"/>
      <c r="Q400" s="11"/>
      <c r="R400" s="9"/>
      <c r="S400" s="12"/>
      <c r="T400" s="5"/>
      <c r="U400" s="5"/>
      <c r="V400" s="4"/>
      <c r="W400" s="4"/>
      <c r="X400" s="4"/>
      <c r="Y400" s="4"/>
    </row>
    <row r="401">
      <c r="A401" s="5"/>
      <c r="B401" s="9"/>
      <c r="C401" s="5"/>
      <c r="D401" s="9"/>
      <c r="E401" s="9"/>
      <c r="F401" s="9"/>
      <c r="G401" s="9"/>
      <c r="H401" s="9"/>
      <c r="I401" s="9"/>
      <c r="J401" s="5"/>
      <c r="K401" s="4"/>
      <c r="L401" s="10"/>
      <c r="M401" s="10"/>
      <c r="N401" s="10"/>
      <c r="O401" s="10"/>
      <c r="P401" s="10"/>
      <c r="Q401" s="11"/>
      <c r="R401" s="9"/>
      <c r="S401" s="12"/>
      <c r="T401" s="5"/>
      <c r="U401" s="5"/>
      <c r="V401" s="4"/>
      <c r="W401" s="4"/>
      <c r="X401" s="4"/>
      <c r="Y401" s="4"/>
    </row>
    <row r="402">
      <c r="A402" s="5"/>
      <c r="B402" s="9"/>
      <c r="C402" s="5"/>
      <c r="D402" s="9"/>
      <c r="E402" s="9"/>
      <c r="F402" s="9"/>
      <c r="G402" s="9"/>
      <c r="H402" s="9"/>
      <c r="I402" s="9"/>
      <c r="J402" s="5"/>
      <c r="K402" s="4"/>
      <c r="L402" s="10"/>
      <c r="M402" s="10"/>
      <c r="N402" s="10"/>
      <c r="O402" s="10"/>
      <c r="P402" s="10"/>
      <c r="Q402" s="11"/>
      <c r="R402" s="9"/>
      <c r="S402" s="12"/>
      <c r="T402" s="5"/>
      <c r="U402" s="5"/>
      <c r="V402" s="4"/>
      <c r="W402" s="4"/>
      <c r="X402" s="4"/>
      <c r="Y402" s="4"/>
    </row>
    <row r="403">
      <c r="A403" s="5"/>
      <c r="B403" s="9"/>
      <c r="C403" s="5"/>
      <c r="D403" s="9"/>
      <c r="E403" s="9"/>
      <c r="F403" s="9"/>
      <c r="G403" s="9"/>
      <c r="H403" s="9"/>
      <c r="I403" s="9"/>
      <c r="J403" s="5"/>
      <c r="K403" s="4"/>
      <c r="L403" s="10"/>
      <c r="M403" s="10"/>
      <c r="N403" s="10"/>
      <c r="O403" s="10"/>
      <c r="P403" s="10"/>
      <c r="Q403" s="11"/>
      <c r="R403" s="9"/>
      <c r="S403" s="12"/>
      <c r="T403" s="5"/>
      <c r="U403" s="5"/>
      <c r="V403" s="4"/>
      <c r="W403" s="4"/>
      <c r="X403" s="4"/>
      <c r="Y403" s="4"/>
    </row>
    <row r="404">
      <c r="A404" s="5"/>
      <c r="B404" s="9"/>
      <c r="C404" s="5"/>
      <c r="D404" s="9"/>
      <c r="E404" s="9"/>
      <c r="F404" s="9"/>
      <c r="G404" s="9"/>
      <c r="H404" s="9"/>
      <c r="I404" s="9"/>
      <c r="J404" s="5"/>
      <c r="K404" s="4"/>
      <c r="L404" s="10"/>
      <c r="M404" s="10"/>
      <c r="N404" s="10"/>
      <c r="O404" s="10"/>
      <c r="P404" s="10"/>
      <c r="Q404" s="11"/>
      <c r="R404" s="9"/>
      <c r="S404" s="12"/>
      <c r="T404" s="5"/>
      <c r="U404" s="5"/>
      <c r="V404" s="4"/>
      <c r="W404" s="4"/>
      <c r="X404" s="4"/>
      <c r="Y404" s="4"/>
    </row>
    <row r="405">
      <c r="A405" s="5"/>
      <c r="B405" s="9"/>
      <c r="C405" s="5"/>
      <c r="D405" s="9"/>
      <c r="E405" s="9"/>
      <c r="F405" s="9"/>
      <c r="G405" s="9"/>
      <c r="H405" s="9"/>
      <c r="I405" s="9"/>
      <c r="J405" s="5"/>
      <c r="K405" s="4"/>
      <c r="L405" s="10"/>
      <c r="M405" s="10"/>
      <c r="N405" s="10"/>
      <c r="O405" s="10"/>
      <c r="P405" s="10"/>
      <c r="Q405" s="11"/>
      <c r="R405" s="9"/>
      <c r="S405" s="12"/>
      <c r="T405" s="5"/>
      <c r="U405" s="5"/>
      <c r="V405" s="4"/>
      <c r="W405" s="4"/>
      <c r="X405" s="4"/>
      <c r="Y405" s="4"/>
    </row>
    <row r="406">
      <c r="A406" s="5"/>
      <c r="B406" s="9"/>
      <c r="C406" s="5"/>
      <c r="D406" s="9"/>
      <c r="E406" s="9"/>
      <c r="F406" s="9"/>
      <c r="G406" s="9"/>
      <c r="H406" s="9"/>
      <c r="I406" s="9"/>
      <c r="J406" s="5"/>
      <c r="K406" s="4"/>
      <c r="L406" s="10"/>
      <c r="M406" s="10"/>
      <c r="N406" s="10"/>
      <c r="O406" s="10"/>
      <c r="P406" s="10"/>
      <c r="Q406" s="11"/>
      <c r="R406" s="9"/>
      <c r="S406" s="12"/>
      <c r="T406" s="5"/>
      <c r="U406" s="5"/>
      <c r="V406" s="4"/>
      <c r="W406" s="4"/>
      <c r="X406" s="4"/>
      <c r="Y406" s="4"/>
    </row>
    <row r="407">
      <c r="A407" s="5"/>
      <c r="B407" s="9"/>
      <c r="C407" s="5"/>
      <c r="D407" s="9"/>
      <c r="E407" s="9"/>
      <c r="F407" s="9"/>
      <c r="G407" s="9"/>
      <c r="H407" s="9"/>
      <c r="I407" s="9"/>
      <c r="J407" s="5"/>
      <c r="K407" s="4"/>
      <c r="L407" s="10"/>
      <c r="M407" s="10"/>
      <c r="N407" s="10"/>
      <c r="O407" s="10"/>
      <c r="P407" s="10"/>
      <c r="Q407" s="11"/>
      <c r="R407" s="9"/>
      <c r="S407" s="12"/>
      <c r="T407" s="5"/>
      <c r="U407" s="5"/>
      <c r="V407" s="4"/>
      <c r="W407" s="4"/>
      <c r="X407" s="4"/>
      <c r="Y407" s="4"/>
    </row>
    <row r="408">
      <c r="A408" s="5"/>
      <c r="B408" s="9"/>
      <c r="C408" s="5"/>
      <c r="D408" s="9"/>
      <c r="E408" s="9"/>
      <c r="F408" s="9"/>
      <c r="G408" s="9"/>
      <c r="H408" s="9"/>
      <c r="I408" s="9"/>
      <c r="J408" s="5"/>
      <c r="K408" s="4"/>
      <c r="L408" s="10"/>
      <c r="M408" s="10"/>
      <c r="N408" s="10"/>
      <c r="O408" s="10"/>
      <c r="P408" s="10"/>
      <c r="Q408" s="11"/>
      <c r="R408" s="9"/>
      <c r="S408" s="12"/>
      <c r="T408" s="5"/>
      <c r="U408" s="5"/>
      <c r="V408" s="4"/>
      <c r="W408" s="4"/>
      <c r="X408" s="4"/>
      <c r="Y408" s="4"/>
    </row>
    <row r="409">
      <c r="A409" s="5"/>
      <c r="B409" s="9"/>
      <c r="C409" s="5"/>
      <c r="D409" s="9"/>
      <c r="E409" s="9"/>
      <c r="F409" s="9"/>
      <c r="G409" s="9"/>
      <c r="H409" s="9"/>
      <c r="I409" s="9"/>
      <c r="J409" s="5"/>
      <c r="K409" s="4"/>
      <c r="L409" s="10"/>
      <c r="M409" s="10"/>
      <c r="N409" s="10"/>
      <c r="O409" s="10"/>
      <c r="P409" s="10"/>
      <c r="Q409" s="11"/>
      <c r="R409" s="9"/>
      <c r="S409" s="12"/>
      <c r="T409" s="5"/>
      <c r="U409" s="5"/>
      <c r="V409" s="4"/>
      <c r="W409" s="4"/>
      <c r="X409" s="4"/>
      <c r="Y409" s="4"/>
    </row>
    <row r="410">
      <c r="A410" s="5"/>
      <c r="B410" s="9"/>
      <c r="C410" s="5"/>
      <c r="D410" s="9"/>
      <c r="E410" s="9"/>
      <c r="F410" s="9"/>
      <c r="G410" s="9"/>
      <c r="H410" s="9"/>
      <c r="I410" s="9"/>
      <c r="J410" s="5"/>
      <c r="K410" s="4"/>
      <c r="L410" s="10"/>
      <c r="M410" s="10"/>
      <c r="N410" s="10"/>
      <c r="O410" s="10"/>
      <c r="P410" s="10"/>
      <c r="Q410" s="11"/>
      <c r="R410" s="9"/>
      <c r="S410" s="12"/>
      <c r="T410" s="5"/>
      <c r="U410" s="5"/>
      <c r="V410" s="4"/>
      <c r="W410" s="4"/>
      <c r="X410" s="4"/>
      <c r="Y410" s="4"/>
    </row>
    <row r="411">
      <c r="A411" s="5"/>
      <c r="B411" s="9"/>
      <c r="C411" s="5"/>
      <c r="D411" s="9"/>
      <c r="E411" s="9"/>
      <c r="F411" s="9"/>
      <c r="G411" s="9"/>
      <c r="H411" s="9"/>
      <c r="I411" s="9"/>
      <c r="J411" s="5"/>
      <c r="K411" s="4"/>
      <c r="L411" s="10"/>
      <c r="M411" s="10"/>
      <c r="N411" s="10"/>
      <c r="O411" s="10"/>
      <c r="P411" s="10"/>
      <c r="Q411" s="11"/>
      <c r="R411" s="9"/>
      <c r="S411" s="12"/>
      <c r="T411" s="5"/>
      <c r="U411" s="5"/>
      <c r="V411" s="4"/>
      <c r="W411" s="4"/>
      <c r="X411" s="4"/>
      <c r="Y411" s="4"/>
    </row>
    <row r="412">
      <c r="A412" s="5"/>
      <c r="B412" s="9"/>
      <c r="C412" s="5"/>
      <c r="D412" s="9"/>
      <c r="E412" s="9"/>
      <c r="F412" s="9"/>
      <c r="G412" s="9"/>
      <c r="H412" s="9"/>
      <c r="I412" s="9"/>
      <c r="J412" s="5"/>
      <c r="K412" s="4"/>
      <c r="L412" s="10"/>
      <c r="M412" s="10"/>
      <c r="N412" s="10"/>
      <c r="O412" s="10"/>
      <c r="P412" s="10"/>
      <c r="Q412" s="11"/>
      <c r="R412" s="9"/>
      <c r="S412" s="12"/>
      <c r="T412" s="5"/>
      <c r="U412" s="5"/>
      <c r="V412" s="4"/>
      <c r="W412" s="4"/>
      <c r="X412" s="4"/>
      <c r="Y412" s="4"/>
    </row>
    <row r="413">
      <c r="A413" s="5"/>
      <c r="B413" s="9"/>
      <c r="C413" s="5"/>
      <c r="D413" s="9"/>
      <c r="E413" s="9"/>
      <c r="F413" s="9"/>
      <c r="G413" s="9"/>
      <c r="H413" s="9"/>
      <c r="I413" s="9"/>
      <c r="J413" s="5"/>
      <c r="K413" s="4"/>
      <c r="L413" s="10"/>
      <c r="M413" s="10"/>
      <c r="N413" s="10"/>
      <c r="O413" s="10"/>
      <c r="P413" s="10"/>
      <c r="Q413" s="11"/>
      <c r="R413" s="9"/>
      <c r="S413" s="12"/>
      <c r="T413" s="5"/>
      <c r="U413" s="5"/>
      <c r="V413" s="4"/>
      <c r="W413" s="4"/>
      <c r="X413" s="4"/>
      <c r="Y413" s="4"/>
    </row>
    <row r="414">
      <c r="A414" s="5"/>
      <c r="B414" s="9"/>
      <c r="C414" s="5"/>
      <c r="D414" s="9"/>
      <c r="E414" s="9"/>
      <c r="F414" s="9"/>
      <c r="G414" s="9"/>
      <c r="H414" s="9"/>
      <c r="I414" s="9"/>
      <c r="J414" s="5"/>
      <c r="K414" s="4"/>
      <c r="L414" s="10"/>
      <c r="M414" s="10"/>
      <c r="N414" s="10"/>
      <c r="O414" s="10"/>
      <c r="P414" s="10"/>
      <c r="Q414" s="11"/>
      <c r="R414" s="9"/>
      <c r="S414" s="12"/>
      <c r="T414" s="5"/>
      <c r="U414" s="5"/>
      <c r="V414" s="4"/>
      <c r="W414" s="4"/>
      <c r="X414" s="4"/>
      <c r="Y414" s="4"/>
    </row>
    <row r="415">
      <c r="A415" s="5"/>
      <c r="B415" s="9"/>
      <c r="C415" s="5"/>
      <c r="D415" s="9"/>
      <c r="E415" s="9"/>
      <c r="F415" s="9"/>
      <c r="G415" s="9"/>
      <c r="H415" s="9"/>
      <c r="I415" s="9"/>
      <c r="J415" s="5"/>
      <c r="K415" s="4"/>
      <c r="L415" s="10"/>
      <c r="M415" s="10"/>
      <c r="N415" s="10"/>
      <c r="O415" s="10"/>
      <c r="P415" s="10"/>
      <c r="Q415" s="11"/>
      <c r="R415" s="9"/>
      <c r="S415" s="12"/>
      <c r="T415" s="5"/>
      <c r="U415" s="5"/>
      <c r="V415" s="4"/>
      <c r="W415" s="4"/>
      <c r="X415" s="4"/>
      <c r="Y415" s="4"/>
    </row>
    <row r="416">
      <c r="A416" s="5"/>
      <c r="B416" s="9"/>
      <c r="C416" s="5"/>
      <c r="D416" s="9"/>
      <c r="E416" s="9"/>
      <c r="F416" s="9"/>
      <c r="G416" s="9"/>
      <c r="H416" s="9"/>
      <c r="I416" s="9"/>
      <c r="J416" s="5"/>
      <c r="K416" s="4"/>
      <c r="L416" s="10"/>
      <c r="M416" s="10"/>
      <c r="N416" s="10"/>
      <c r="O416" s="10"/>
      <c r="P416" s="10"/>
      <c r="Q416" s="11"/>
      <c r="R416" s="9"/>
      <c r="S416" s="12"/>
      <c r="T416" s="5"/>
      <c r="U416" s="5"/>
      <c r="V416" s="4"/>
      <c r="W416" s="4"/>
      <c r="X416" s="4"/>
      <c r="Y416" s="4"/>
    </row>
    <row r="417">
      <c r="A417" s="5"/>
      <c r="B417" s="9"/>
      <c r="C417" s="5"/>
      <c r="D417" s="9"/>
      <c r="E417" s="9"/>
      <c r="F417" s="9"/>
      <c r="G417" s="9"/>
      <c r="H417" s="9"/>
      <c r="I417" s="9"/>
      <c r="J417" s="5"/>
      <c r="K417" s="4"/>
      <c r="L417" s="10"/>
      <c r="M417" s="10"/>
      <c r="N417" s="10"/>
      <c r="O417" s="10"/>
      <c r="P417" s="10"/>
      <c r="Q417" s="11"/>
      <c r="R417" s="9"/>
      <c r="S417" s="12"/>
      <c r="T417" s="5"/>
      <c r="U417" s="5"/>
      <c r="V417" s="4"/>
      <c r="W417" s="4"/>
      <c r="X417" s="4"/>
      <c r="Y417" s="4"/>
    </row>
    <row r="418">
      <c r="A418" s="5"/>
      <c r="B418" s="9"/>
      <c r="C418" s="5"/>
      <c r="D418" s="9"/>
      <c r="E418" s="9"/>
      <c r="F418" s="9"/>
      <c r="G418" s="9"/>
      <c r="H418" s="9"/>
      <c r="I418" s="9"/>
      <c r="J418" s="5"/>
      <c r="K418" s="4"/>
      <c r="L418" s="10"/>
      <c r="M418" s="10"/>
      <c r="N418" s="10"/>
      <c r="O418" s="10"/>
      <c r="P418" s="10"/>
      <c r="Q418" s="11"/>
      <c r="R418" s="9"/>
      <c r="S418" s="12"/>
      <c r="T418" s="5"/>
      <c r="U418" s="5"/>
      <c r="V418" s="4"/>
      <c r="W418" s="4"/>
      <c r="X418" s="4"/>
      <c r="Y418" s="4"/>
    </row>
    <row r="419">
      <c r="A419" s="5"/>
      <c r="B419" s="9"/>
      <c r="C419" s="5"/>
      <c r="D419" s="9"/>
      <c r="E419" s="9"/>
      <c r="F419" s="9"/>
      <c r="G419" s="9"/>
      <c r="H419" s="9"/>
      <c r="I419" s="9"/>
      <c r="J419" s="5"/>
      <c r="K419" s="4"/>
      <c r="L419" s="10"/>
      <c r="M419" s="10"/>
      <c r="N419" s="10"/>
      <c r="O419" s="10"/>
      <c r="P419" s="10"/>
      <c r="Q419" s="11"/>
      <c r="R419" s="9"/>
      <c r="S419" s="12"/>
      <c r="T419" s="5"/>
      <c r="U419" s="5"/>
      <c r="V419" s="4"/>
      <c r="W419" s="4"/>
      <c r="X419" s="4"/>
      <c r="Y419" s="4"/>
    </row>
    <row r="420">
      <c r="A420" s="5"/>
      <c r="B420" s="9"/>
      <c r="C420" s="5"/>
      <c r="D420" s="9"/>
      <c r="E420" s="9"/>
      <c r="F420" s="9"/>
      <c r="G420" s="9"/>
      <c r="H420" s="9"/>
      <c r="I420" s="9"/>
      <c r="J420" s="5"/>
      <c r="K420" s="4"/>
      <c r="L420" s="10"/>
      <c r="M420" s="10"/>
      <c r="N420" s="10"/>
      <c r="O420" s="10"/>
      <c r="P420" s="10"/>
      <c r="Q420" s="11"/>
      <c r="R420" s="9"/>
      <c r="S420" s="12"/>
      <c r="T420" s="5"/>
      <c r="U420" s="5"/>
      <c r="V420" s="4"/>
      <c r="W420" s="4"/>
      <c r="X420" s="4"/>
      <c r="Y420" s="4"/>
    </row>
    <row r="421">
      <c r="A421" s="5"/>
      <c r="B421" s="9"/>
      <c r="C421" s="5"/>
      <c r="D421" s="9"/>
      <c r="E421" s="9"/>
      <c r="F421" s="9"/>
      <c r="G421" s="9"/>
      <c r="H421" s="9"/>
      <c r="I421" s="9"/>
      <c r="J421" s="5"/>
      <c r="K421" s="4"/>
      <c r="L421" s="10"/>
      <c r="M421" s="10"/>
      <c r="N421" s="10"/>
      <c r="O421" s="10"/>
      <c r="P421" s="10"/>
      <c r="Q421" s="11"/>
      <c r="R421" s="9"/>
      <c r="S421" s="12"/>
      <c r="T421" s="5"/>
      <c r="U421" s="5"/>
      <c r="V421" s="4"/>
      <c r="W421" s="4"/>
      <c r="X421" s="4"/>
      <c r="Y421" s="4"/>
    </row>
    <row r="422">
      <c r="A422" s="5"/>
      <c r="B422" s="9"/>
      <c r="C422" s="5"/>
      <c r="D422" s="9"/>
      <c r="E422" s="9"/>
      <c r="F422" s="9"/>
      <c r="G422" s="9"/>
      <c r="H422" s="9"/>
      <c r="I422" s="9"/>
      <c r="J422" s="5"/>
      <c r="K422" s="4"/>
      <c r="L422" s="10"/>
      <c r="M422" s="10"/>
      <c r="N422" s="10"/>
      <c r="O422" s="10"/>
      <c r="P422" s="10"/>
      <c r="Q422" s="11"/>
      <c r="R422" s="9"/>
      <c r="S422" s="12"/>
      <c r="T422" s="5"/>
      <c r="U422" s="5"/>
      <c r="V422" s="4"/>
      <c r="W422" s="4"/>
      <c r="X422" s="4"/>
      <c r="Y422" s="4"/>
    </row>
    <row r="423">
      <c r="A423" s="5"/>
      <c r="B423" s="9"/>
      <c r="C423" s="5"/>
      <c r="D423" s="9"/>
      <c r="E423" s="9"/>
      <c r="F423" s="9"/>
      <c r="G423" s="9"/>
      <c r="H423" s="9"/>
      <c r="I423" s="9"/>
      <c r="J423" s="5"/>
      <c r="K423" s="4"/>
      <c r="L423" s="10"/>
      <c r="M423" s="10"/>
      <c r="N423" s="10"/>
      <c r="O423" s="10"/>
      <c r="P423" s="10"/>
      <c r="Q423" s="11"/>
      <c r="R423" s="9"/>
      <c r="S423" s="12"/>
      <c r="T423" s="5"/>
      <c r="U423" s="5"/>
      <c r="V423" s="4"/>
      <c r="W423" s="4"/>
      <c r="X423" s="4"/>
      <c r="Y423" s="4"/>
    </row>
    <row r="424">
      <c r="A424" s="5"/>
      <c r="B424" s="9"/>
      <c r="C424" s="5"/>
      <c r="D424" s="9"/>
      <c r="E424" s="9"/>
      <c r="F424" s="9"/>
      <c r="G424" s="9"/>
      <c r="H424" s="9"/>
      <c r="I424" s="9"/>
      <c r="J424" s="5"/>
      <c r="K424" s="4"/>
      <c r="L424" s="10"/>
      <c r="M424" s="10"/>
      <c r="N424" s="10"/>
      <c r="O424" s="10"/>
      <c r="P424" s="10"/>
      <c r="Q424" s="11"/>
      <c r="R424" s="9"/>
      <c r="S424" s="12"/>
      <c r="T424" s="5"/>
      <c r="U424" s="5"/>
      <c r="V424" s="4"/>
      <c r="W424" s="4"/>
      <c r="X424" s="4"/>
      <c r="Y424" s="4"/>
    </row>
    <row r="425">
      <c r="A425" s="5"/>
      <c r="B425" s="9"/>
      <c r="C425" s="5"/>
      <c r="D425" s="9"/>
      <c r="E425" s="9"/>
      <c r="F425" s="9"/>
      <c r="G425" s="9"/>
      <c r="H425" s="9"/>
      <c r="I425" s="9"/>
      <c r="J425" s="5"/>
      <c r="K425" s="4"/>
      <c r="L425" s="10"/>
      <c r="M425" s="10"/>
      <c r="N425" s="10"/>
      <c r="O425" s="10"/>
      <c r="P425" s="10"/>
      <c r="Q425" s="11"/>
      <c r="R425" s="9"/>
      <c r="S425" s="12"/>
      <c r="T425" s="5"/>
      <c r="U425" s="5"/>
      <c r="V425" s="4"/>
      <c r="W425" s="4"/>
      <c r="X425" s="4"/>
      <c r="Y425" s="4"/>
    </row>
    <row r="426">
      <c r="A426" s="5"/>
      <c r="B426" s="9"/>
      <c r="C426" s="5"/>
      <c r="D426" s="9"/>
      <c r="E426" s="9"/>
      <c r="F426" s="9"/>
      <c r="G426" s="9"/>
      <c r="H426" s="9"/>
      <c r="I426" s="9"/>
      <c r="J426" s="5"/>
      <c r="K426" s="4"/>
      <c r="L426" s="10"/>
      <c r="M426" s="10"/>
      <c r="N426" s="10"/>
      <c r="O426" s="10"/>
      <c r="P426" s="10"/>
      <c r="Q426" s="11"/>
      <c r="R426" s="9"/>
      <c r="S426" s="12"/>
      <c r="T426" s="5"/>
      <c r="U426" s="5"/>
      <c r="V426" s="4"/>
      <c r="W426" s="4"/>
      <c r="X426" s="4"/>
      <c r="Y426" s="4"/>
    </row>
    <row r="427">
      <c r="A427" s="5"/>
      <c r="B427" s="9"/>
      <c r="C427" s="5"/>
      <c r="D427" s="9"/>
      <c r="E427" s="9"/>
      <c r="F427" s="9"/>
      <c r="G427" s="9"/>
      <c r="H427" s="9"/>
      <c r="I427" s="9"/>
      <c r="J427" s="5"/>
      <c r="K427" s="4"/>
      <c r="L427" s="10"/>
      <c r="M427" s="10"/>
      <c r="N427" s="10"/>
      <c r="O427" s="10"/>
      <c r="P427" s="10"/>
      <c r="Q427" s="11"/>
      <c r="R427" s="9"/>
      <c r="S427" s="12"/>
      <c r="T427" s="5"/>
      <c r="U427" s="5"/>
      <c r="V427" s="4"/>
      <c r="W427" s="4"/>
      <c r="X427" s="4"/>
      <c r="Y427" s="4"/>
    </row>
    <row r="428">
      <c r="A428" s="5"/>
      <c r="B428" s="9"/>
      <c r="C428" s="5"/>
      <c r="D428" s="9"/>
      <c r="E428" s="9"/>
      <c r="F428" s="9"/>
      <c r="G428" s="9"/>
      <c r="H428" s="9"/>
      <c r="I428" s="9"/>
      <c r="J428" s="5"/>
      <c r="K428" s="4"/>
      <c r="L428" s="10"/>
      <c r="M428" s="10"/>
      <c r="N428" s="10"/>
      <c r="O428" s="10"/>
      <c r="P428" s="10"/>
      <c r="Q428" s="11"/>
      <c r="R428" s="9"/>
      <c r="S428" s="12"/>
      <c r="T428" s="5"/>
      <c r="U428" s="5"/>
      <c r="V428" s="4"/>
      <c r="W428" s="4"/>
      <c r="X428" s="4"/>
      <c r="Y428" s="4"/>
    </row>
    <row r="429">
      <c r="A429" s="5"/>
      <c r="B429" s="9"/>
      <c r="C429" s="5"/>
      <c r="D429" s="9"/>
      <c r="E429" s="9"/>
      <c r="F429" s="9"/>
      <c r="G429" s="9"/>
      <c r="H429" s="9"/>
      <c r="I429" s="9"/>
      <c r="J429" s="5"/>
      <c r="K429" s="4"/>
      <c r="L429" s="10"/>
      <c r="M429" s="10"/>
      <c r="N429" s="10"/>
      <c r="O429" s="10"/>
      <c r="P429" s="10"/>
      <c r="Q429" s="11"/>
      <c r="R429" s="9"/>
      <c r="S429" s="12"/>
      <c r="T429" s="5"/>
      <c r="U429" s="5"/>
      <c r="V429" s="4"/>
      <c r="W429" s="4"/>
      <c r="X429" s="4"/>
      <c r="Y429" s="4"/>
    </row>
    <row r="430">
      <c r="A430" s="5"/>
      <c r="B430" s="9"/>
      <c r="C430" s="5"/>
      <c r="D430" s="9"/>
      <c r="E430" s="9"/>
      <c r="F430" s="9"/>
      <c r="G430" s="9"/>
      <c r="H430" s="9"/>
      <c r="I430" s="9"/>
      <c r="J430" s="5"/>
      <c r="K430" s="4"/>
      <c r="L430" s="10"/>
      <c r="M430" s="10"/>
      <c r="N430" s="10"/>
      <c r="O430" s="10"/>
      <c r="P430" s="10"/>
      <c r="Q430" s="11"/>
      <c r="R430" s="9"/>
      <c r="S430" s="12"/>
      <c r="T430" s="5"/>
      <c r="U430" s="5"/>
      <c r="V430" s="4"/>
      <c r="W430" s="4"/>
      <c r="X430" s="4"/>
      <c r="Y430" s="4"/>
    </row>
    <row r="431">
      <c r="A431" s="5"/>
      <c r="B431" s="9"/>
      <c r="C431" s="5"/>
      <c r="D431" s="9"/>
      <c r="E431" s="9"/>
      <c r="F431" s="9"/>
      <c r="G431" s="9"/>
      <c r="H431" s="9"/>
      <c r="I431" s="9"/>
      <c r="J431" s="5"/>
      <c r="K431" s="4"/>
      <c r="L431" s="10"/>
      <c r="M431" s="10"/>
      <c r="N431" s="10"/>
      <c r="O431" s="10"/>
      <c r="P431" s="10"/>
      <c r="Q431" s="11"/>
      <c r="R431" s="9"/>
      <c r="S431" s="12"/>
      <c r="T431" s="5"/>
      <c r="U431" s="5"/>
      <c r="V431" s="4"/>
      <c r="W431" s="4"/>
      <c r="X431" s="4"/>
      <c r="Y431" s="4"/>
    </row>
    <row r="432">
      <c r="A432" s="5"/>
      <c r="B432" s="9"/>
      <c r="C432" s="5"/>
      <c r="D432" s="9"/>
      <c r="E432" s="9"/>
      <c r="F432" s="9"/>
      <c r="G432" s="9"/>
      <c r="H432" s="9"/>
      <c r="I432" s="9"/>
      <c r="J432" s="5"/>
      <c r="K432" s="4"/>
      <c r="L432" s="10"/>
      <c r="M432" s="10"/>
      <c r="N432" s="10"/>
      <c r="O432" s="10"/>
      <c r="P432" s="10"/>
      <c r="Q432" s="11"/>
      <c r="R432" s="9"/>
      <c r="S432" s="12"/>
      <c r="T432" s="5"/>
      <c r="U432" s="5"/>
      <c r="V432" s="4"/>
      <c r="W432" s="4"/>
      <c r="X432" s="4"/>
      <c r="Y432" s="4"/>
    </row>
    <row r="433">
      <c r="A433" s="5"/>
      <c r="B433" s="9"/>
      <c r="C433" s="5"/>
      <c r="D433" s="9"/>
      <c r="E433" s="9"/>
      <c r="F433" s="9"/>
      <c r="G433" s="9"/>
      <c r="H433" s="9"/>
      <c r="I433" s="9"/>
      <c r="J433" s="5"/>
      <c r="K433" s="4"/>
      <c r="L433" s="10"/>
      <c r="M433" s="10"/>
      <c r="N433" s="10"/>
      <c r="O433" s="10"/>
      <c r="P433" s="10"/>
      <c r="Q433" s="11"/>
      <c r="R433" s="9"/>
      <c r="S433" s="12"/>
      <c r="T433" s="5"/>
      <c r="U433" s="5"/>
      <c r="V433" s="4"/>
      <c r="W433" s="4"/>
      <c r="X433" s="4"/>
      <c r="Y433" s="4"/>
    </row>
    <row r="434">
      <c r="A434" s="5"/>
      <c r="B434" s="9"/>
      <c r="C434" s="5"/>
      <c r="D434" s="9"/>
      <c r="E434" s="9"/>
      <c r="F434" s="9"/>
      <c r="G434" s="9"/>
      <c r="H434" s="9"/>
      <c r="I434" s="9"/>
      <c r="J434" s="5"/>
      <c r="K434" s="4"/>
      <c r="L434" s="10"/>
      <c r="M434" s="10"/>
      <c r="N434" s="10"/>
      <c r="O434" s="10"/>
      <c r="P434" s="10"/>
      <c r="Q434" s="11"/>
      <c r="R434" s="9"/>
      <c r="S434" s="12"/>
      <c r="T434" s="5"/>
      <c r="U434" s="5"/>
      <c r="V434" s="4"/>
      <c r="W434" s="4"/>
      <c r="X434" s="4"/>
      <c r="Y434" s="4"/>
    </row>
    <row r="435">
      <c r="A435" s="5"/>
      <c r="B435" s="9"/>
      <c r="C435" s="5"/>
      <c r="D435" s="9"/>
      <c r="E435" s="9"/>
      <c r="F435" s="9"/>
      <c r="G435" s="9"/>
      <c r="H435" s="9"/>
      <c r="I435" s="9"/>
      <c r="J435" s="5"/>
      <c r="K435" s="4"/>
      <c r="L435" s="10"/>
      <c r="M435" s="10"/>
      <c r="N435" s="10"/>
      <c r="O435" s="10"/>
      <c r="P435" s="10"/>
      <c r="Q435" s="11"/>
      <c r="R435" s="9"/>
      <c r="S435" s="12"/>
      <c r="T435" s="5"/>
      <c r="U435" s="5"/>
      <c r="V435" s="4"/>
      <c r="W435" s="4"/>
      <c r="X435" s="4"/>
      <c r="Y435" s="4"/>
    </row>
    <row r="436">
      <c r="A436" s="5"/>
      <c r="B436" s="9"/>
      <c r="C436" s="5"/>
      <c r="D436" s="9"/>
      <c r="E436" s="9"/>
      <c r="F436" s="9"/>
      <c r="G436" s="9"/>
      <c r="H436" s="9"/>
      <c r="I436" s="9"/>
      <c r="J436" s="5"/>
      <c r="K436" s="4"/>
      <c r="L436" s="10"/>
      <c r="M436" s="10"/>
      <c r="N436" s="10"/>
      <c r="O436" s="10"/>
      <c r="P436" s="10"/>
      <c r="Q436" s="11"/>
      <c r="R436" s="9"/>
      <c r="S436" s="12"/>
      <c r="T436" s="5"/>
      <c r="U436" s="5"/>
      <c r="V436" s="4"/>
      <c r="W436" s="4"/>
      <c r="X436" s="4"/>
      <c r="Y436" s="4"/>
    </row>
    <row r="437">
      <c r="A437" s="5"/>
      <c r="B437" s="9"/>
      <c r="C437" s="5"/>
      <c r="D437" s="9"/>
      <c r="E437" s="9"/>
      <c r="F437" s="9"/>
      <c r="G437" s="9"/>
      <c r="H437" s="9"/>
      <c r="I437" s="9"/>
      <c r="J437" s="5"/>
      <c r="K437" s="4"/>
      <c r="L437" s="10"/>
      <c r="M437" s="10"/>
      <c r="N437" s="10"/>
      <c r="O437" s="10"/>
      <c r="P437" s="10"/>
      <c r="Q437" s="11"/>
      <c r="R437" s="9"/>
      <c r="S437" s="12"/>
      <c r="T437" s="5"/>
      <c r="U437" s="5"/>
      <c r="V437" s="4"/>
      <c r="W437" s="4"/>
      <c r="X437" s="4"/>
      <c r="Y437" s="4"/>
    </row>
    <row r="438">
      <c r="A438" s="5"/>
      <c r="B438" s="9"/>
      <c r="C438" s="5"/>
      <c r="D438" s="9"/>
      <c r="E438" s="9"/>
      <c r="F438" s="9"/>
      <c r="G438" s="9"/>
      <c r="H438" s="9"/>
      <c r="I438" s="9"/>
      <c r="J438" s="5"/>
      <c r="K438" s="4"/>
      <c r="L438" s="10"/>
      <c r="M438" s="10"/>
      <c r="N438" s="10"/>
      <c r="O438" s="10"/>
      <c r="P438" s="10"/>
      <c r="Q438" s="11"/>
      <c r="R438" s="9"/>
      <c r="S438" s="12"/>
      <c r="T438" s="5"/>
      <c r="U438" s="5"/>
      <c r="V438" s="4"/>
      <c r="W438" s="4"/>
      <c r="X438" s="4"/>
      <c r="Y438" s="4"/>
    </row>
    <row r="439">
      <c r="A439" s="5"/>
      <c r="B439" s="9"/>
      <c r="C439" s="5"/>
      <c r="D439" s="9"/>
      <c r="E439" s="9"/>
      <c r="F439" s="9"/>
      <c r="G439" s="9"/>
      <c r="H439" s="9"/>
      <c r="I439" s="9"/>
      <c r="J439" s="5"/>
      <c r="K439" s="4"/>
      <c r="L439" s="10"/>
      <c r="M439" s="10"/>
      <c r="N439" s="10"/>
      <c r="O439" s="10"/>
      <c r="P439" s="10"/>
      <c r="Q439" s="11"/>
      <c r="R439" s="9"/>
      <c r="S439" s="12"/>
      <c r="T439" s="5"/>
      <c r="U439" s="5"/>
      <c r="V439" s="4"/>
      <c r="W439" s="4"/>
      <c r="X439" s="4"/>
      <c r="Y439" s="4"/>
    </row>
    <row r="440">
      <c r="A440" s="5"/>
      <c r="B440" s="9"/>
      <c r="C440" s="5"/>
      <c r="D440" s="9"/>
      <c r="E440" s="9"/>
      <c r="F440" s="9"/>
      <c r="G440" s="9"/>
      <c r="H440" s="9"/>
      <c r="I440" s="9"/>
      <c r="J440" s="5"/>
      <c r="K440" s="4"/>
      <c r="L440" s="10"/>
      <c r="M440" s="10"/>
      <c r="N440" s="10"/>
      <c r="O440" s="10"/>
      <c r="P440" s="10"/>
      <c r="Q440" s="11"/>
      <c r="R440" s="9"/>
      <c r="S440" s="12"/>
      <c r="T440" s="5"/>
      <c r="U440" s="5"/>
      <c r="V440" s="4"/>
      <c r="W440" s="4"/>
      <c r="X440" s="4"/>
      <c r="Y440" s="4"/>
    </row>
    <row r="441">
      <c r="A441" s="5"/>
      <c r="B441" s="9"/>
      <c r="C441" s="5"/>
      <c r="D441" s="9"/>
      <c r="E441" s="9"/>
      <c r="F441" s="9"/>
      <c r="G441" s="9"/>
      <c r="H441" s="9"/>
      <c r="I441" s="9"/>
      <c r="J441" s="5"/>
      <c r="K441" s="4"/>
      <c r="L441" s="10"/>
      <c r="M441" s="10"/>
      <c r="N441" s="10"/>
      <c r="O441" s="10"/>
      <c r="P441" s="10"/>
      <c r="Q441" s="11"/>
      <c r="R441" s="9"/>
      <c r="S441" s="12"/>
      <c r="T441" s="5"/>
      <c r="U441" s="5"/>
      <c r="V441" s="4"/>
      <c r="W441" s="4"/>
      <c r="X441" s="4"/>
      <c r="Y441" s="4"/>
    </row>
    <row r="442">
      <c r="A442" s="5"/>
      <c r="B442" s="9"/>
      <c r="C442" s="5"/>
      <c r="D442" s="9"/>
      <c r="E442" s="9"/>
      <c r="F442" s="9"/>
      <c r="G442" s="9"/>
      <c r="H442" s="9"/>
      <c r="I442" s="9"/>
      <c r="J442" s="5"/>
      <c r="K442" s="4"/>
      <c r="L442" s="10"/>
      <c r="M442" s="10"/>
      <c r="N442" s="10"/>
      <c r="O442" s="10"/>
      <c r="P442" s="10"/>
      <c r="Q442" s="11"/>
      <c r="R442" s="9"/>
      <c r="S442" s="12"/>
      <c r="T442" s="5"/>
      <c r="U442" s="5"/>
      <c r="V442" s="4"/>
      <c r="W442" s="4"/>
      <c r="X442" s="4"/>
      <c r="Y442" s="4"/>
    </row>
    <row r="443">
      <c r="A443" s="5"/>
      <c r="B443" s="9"/>
      <c r="C443" s="5"/>
      <c r="D443" s="9"/>
      <c r="E443" s="9"/>
      <c r="F443" s="9"/>
      <c r="G443" s="9"/>
      <c r="H443" s="9"/>
      <c r="I443" s="9"/>
      <c r="J443" s="5"/>
      <c r="K443" s="4"/>
      <c r="L443" s="10"/>
      <c r="M443" s="10"/>
      <c r="N443" s="10"/>
      <c r="O443" s="10"/>
      <c r="P443" s="10"/>
      <c r="Q443" s="11"/>
      <c r="R443" s="9"/>
      <c r="S443" s="12"/>
      <c r="T443" s="5"/>
      <c r="U443" s="5"/>
      <c r="V443" s="4"/>
      <c r="W443" s="4"/>
      <c r="X443" s="4"/>
      <c r="Y443" s="4"/>
    </row>
    <row r="444">
      <c r="A444" s="5"/>
      <c r="B444" s="9"/>
      <c r="C444" s="5"/>
      <c r="D444" s="9"/>
      <c r="E444" s="9"/>
      <c r="F444" s="9"/>
      <c r="G444" s="9"/>
      <c r="H444" s="9"/>
      <c r="I444" s="9"/>
      <c r="J444" s="5"/>
      <c r="K444" s="4"/>
      <c r="L444" s="10"/>
      <c r="M444" s="10"/>
      <c r="N444" s="10"/>
      <c r="O444" s="10"/>
      <c r="P444" s="10"/>
      <c r="Q444" s="11"/>
      <c r="R444" s="9"/>
      <c r="S444" s="12"/>
      <c r="T444" s="5"/>
      <c r="U444" s="5"/>
      <c r="V444" s="4"/>
      <c r="W444" s="4"/>
      <c r="X444" s="4"/>
      <c r="Y444" s="4"/>
    </row>
    <row r="445">
      <c r="A445" s="5"/>
      <c r="B445" s="9"/>
      <c r="C445" s="5"/>
      <c r="D445" s="9"/>
      <c r="E445" s="9"/>
      <c r="F445" s="9"/>
      <c r="G445" s="9"/>
      <c r="H445" s="9"/>
      <c r="I445" s="9"/>
      <c r="J445" s="5"/>
      <c r="K445" s="4"/>
      <c r="L445" s="10"/>
      <c r="M445" s="10"/>
      <c r="N445" s="10"/>
      <c r="O445" s="10"/>
      <c r="P445" s="10"/>
      <c r="Q445" s="11"/>
      <c r="R445" s="9"/>
      <c r="S445" s="12"/>
      <c r="T445" s="5"/>
      <c r="U445" s="5"/>
      <c r="V445" s="4"/>
      <c r="W445" s="4"/>
      <c r="X445" s="4"/>
      <c r="Y445" s="4"/>
    </row>
    <row r="446">
      <c r="A446" s="5"/>
      <c r="B446" s="9"/>
      <c r="C446" s="5"/>
      <c r="D446" s="9"/>
      <c r="E446" s="9"/>
      <c r="F446" s="9"/>
      <c r="G446" s="9"/>
      <c r="H446" s="9"/>
      <c r="I446" s="9"/>
      <c r="J446" s="5"/>
      <c r="K446" s="4"/>
      <c r="L446" s="10"/>
      <c r="M446" s="10"/>
      <c r="N446" s="10"/>
      <c r="O446" s="10"/>
      <c r="P446" s="10"/>
      <c r="Q446" s="11"/>
      <c r="R446" s="9"/>
      <c r="S446" s="12"/>
      <c r="T446" s="5"/>
      <c r="U446" s="5"/>
      <c r="V446" s="4"/>
      <c r="W446" s="4"/>
      <c r="X446" s="4"/>
      <c r="Y446" s="4"/>
    </row>
    <row r="447">
      <c r="A447" s="5"/>
      <c r="B447" s="9"/>
      <c r="C447" s="5"/>
      <c r="D447" s="9"/>
      <c r="E447" s="9"/>
      <c r="F447" s="9"/>
      <c r="G447" s="9"/>
      <c r="H447" s="9"/>
      <c r="I447" s="9"/>
      <c r="J447" s="5"/>
      <c r="K447" s="4"/>
      <c r="L447" s="10"/>
      <c r="M447" s="10"/>
      <c r="N447" s="10"/>
      <c r="O447" s="10"/>
      <c r="P447" s="10"/>
      <c r="Q447" s="11"/>
      <c r="R447" s="9"/>
      <c r="S447" s="12"/>
      <c r="T447" s="5"/>
      <c r="U447" s="5"/>
      <c r="V447" s="4"/>
      <c r="W447" s="4"/>
      <c r="X447" s="4"/>
      <c r="Y447" s="4"/>
    </row>
    <row r="448">
      <c r="A448" s="5"/>
      <c r="B448" s="9"/>
      <c r="C448" s="5"/>
      <c r="D448" s="9"/>
      <c r="E448" s="9"/>
      <c r="F448" s="9"/>
      <c r="G448" s="9"/>
      <c r="H448" s="9"/>
      <c r="I448" s="9"/>
      <c r="J448" s="5"/>
      <c r="K448" s="4"/>
      <c r="L448" s="10"/>
      <c r="M448" s="10"/>
      <c r="N448" s="10"/>
      <c r="O448" s="10"/>
      <c r="P448" s="10"/>
      <c r="Q448" s="11"/>
      <c r="R448" s="9"/>
      <c r="S448" s="12"/>
      <c r="T448" s="5"/>
      <c r="U448" s="5"/>
      <c r="V448" s="4"/>
      <c r="W448" s="4"/>
      <c r="X448" s="4"/>
      <c r="Y448" s="4"/>
    </row>
    <row r="449">
      <c r="A449" s="5"/>
      <c r="B449" s="9"/>
      <c r="C449" s="5"/>
      <c r="D449" s="9"/>
      <c r="E449" s="9"/>
      <c r="F449" s="9"/>
      <c r="G449" s="9"/>
      <c r="H449" s="9"/>
      <c r="I449" s="9"/>
      <c r="J449" s="5"/>
      <c r="K449" s="4"/>
      <c r="L449" s="10"/>
      <c r="M449" s="10"/>
      <c r="N449" s="10"/>
      <c r="O449" s="10"/>
      <c r="P449" s="10"/>
      <c r="Q449" s="11"/>
      <c r="R449" s="9"/>
      <c r="S449" s="12"/>
      <c r="T449" s="5"/>
      <c r="U449" s="5"/>
      <c r="V449" s="4"/>
      <c r="W449" s="4"/>
      <c r="X449" s="4"/>
      <c r="Y449" s="4"/>
    </row>
    <row r="450">
      <c r="A450" s="5"/>
      <c r="B450" s="9"/>
      <c r="C450" s="5"/>
      <c r="D450" s="9"/>
      <c r="E450" s="9"/>
      <c r="F450" s="9"/>
      <c r="G450" s="9"/>
      <c r="H450" s="9"/>
      <c r="I450" s="9"/>
      <c r="J450" s="5"/>
      <c r="K450" s="4"/>
      <c r="L450" s="10"/>
      <c r="M450" s="10"/>
      <c r="N450" s="10"/>
      <c r="O450" s="10"/>
      <c r="P450" s="10"/>
      <c r="Q450" s="11"/>
      <c r="R450" s="9"/>
      <c r="S450" s="12"/>
      <c r="T450" s="5"/>
      <c r="U450" s="5"/>
      <c r="V450" s="4"/>
      <c r="W450" s="4"/>
      <c r="X450" s="4"/>
      <c r="Y450" s="4"/>
    </row>
    <row r="451">
      <c r="A451" s="5"/>
      <c r="B451" s="9"/>
      <c r="C451" s="5"/>
      <c r="D451" s="9"/>
      <c r="E451" s="9"/>
      <c r="F451" s="9"/>
      <c r="G451" s="9"/>
      <c r="H451" s="9"/>
      <c r="I451" s="9"/>
      <c r="J451" s="5"/>
      <c r="K451" s="4"/>
      <c r="L451" s="10"/>
      <c r="M451" s="10"/>
      <c r="N451" s="10"/>
      <c r="O451" s="10"/>
      <c r="P451" s="10"/>
      <c r="Q451" s="11"/>
      <c r="R451" s="9"/>
      <c r="S451" s="12"/>
      <c r="T451" s="5"/>
      <c r="U451" s="5"/>
      <c r="V451" s="4"/>
      <c r="W451" s="4"/>
      <c r="X451" s="4"/>
      <c r="Y451" s="4"/>
    </row>
    <row r="452">
      <c r="A452" s="5"/>
      <c r="B452" s="9"/>
      <c r="C452" s="5"/>
      <c r="D452" s="9"/>
      <c r="E452" s="9"/>
      <c r="F452" s="9"/>
      <c r="G452" s="9"/>
      <c r="H452" s="9"/>
      <c r="I452" s="9"/>
      <c r="J452" s="5"/>
      <c r="K452" s="4"/>
      <c r="L452" s="10"/>
      <c r="M452" s="10"/>
      <c r="N452" s="10"/>
      <c r="O452" s="10"/>
      <c r="P452" s="10"/>
      <c r="Q452" s="11"/>
      <c r="R452" s="9"/>
      <c r="S452" s="12"/>
      <c r="T452" s="5"/>
      <c r="U452" s="5"/>
      <c r="V452" s="4"/>
      <c r="W452" s="4"/>
      <c r="X452" s="4"/>
      <c r="Y452" s="4"/>
    </row>
    <row r="453">
      <c r="A453" s="5"/>
      <c r="B453" s="9"/>
      <c r="C453" s="5"/>
      <c r="D453" s="9"/>
      <c r="E453" s="9"/>
      <c r="F453" s="9"/>
      <c r="G453" s="9"/>
      <c r="H453" s="9"/>
      <c r="I453" s="9"/>
      <c r="J453" s="5"/>
      <c r="K453" s="4"/>
      <c r="L453" s="10"/>
      <c r="M453" s="10"/>
      <c r="N453" s="10"/>
      <c r="O453" s="10"/>
      <c r="P453" s="10"/>
      <c r="Q453" s="11"/>
      <c r="R453" s="9"/>
      <c r="S453" s="12"/>
      <c r="T453" s="5"/>
      <c r="U453" s="5"/>
      <c r="V453" s="4"/>
      <c r="W453" s="4"/>
      <c r="X453" s="4"/>
      <c r="Y453" s="4"/>
    </row>
    <row r="454">
      <c r="A454" s="5"/>
      <c r="B454" s="9"/>
      <c r="C454" s="5"/>
      <c r="D454" s="9"/>
      <c r="E454" s="9"/>
      <c r="F454" s="9"/>
      <c r="G454" s="9"/>
      <c r="H454" s="9"/>
      <c r="I454" s="9"/>
      <c r="J454" s="5"/>
      <c r="K454" s="4"/>
      <c r="L454" s="10"/>
      <c r="M454" s="10"/>
      <c r="N454" s="10"/>
      <c r="O454" s="10"/>
      <c r="P454" s="10"/>
      <c r="Q454" s="11"/>
      <c r="R454" s="9"/>
      <c r="S454" s="12"/>
      <c r="T454" s="5"/>
      <c r="U454" s="5"/>
      <c r="V454" s="4"/>
      <c r="W454" s="4"/>
      <c r="X454" s="4"/>
      <c r="Y454" s="4"/>
    </row>
    <row r="455">
      <c r="A455" s="5"/>
      <c r="B455" s="9"/>
      <c r="C455" s="5"/>
      <c r="D455" s="9"/>
      <c r="E455" s="9"/>
      <c r="F455" s="9"/>
      <c r="G455" s="9"/>
      <c r="H455" s="9"/>
      <c r="I455" s="9"/>
      <c r="J455" s="5"/>
      <c r="K455" s="4"/>
      <c r="L455" s="10"/>
      <c r="M455" s="10"/>
      <c r="N455" s="10"/>
      <c r="O455" s="10"/>
      <c r="P455" s="10"/>
      <c r="Q455" s="11"/>
      <c r="R455" s="9"/>
      <c r="S455" s="12"/>
      <c r="T455" s="5"/>
      <c r="U455" s="5"/>
      <c r="V455" s="4"/>
      <c r="W455" s="4"/>
      <c r="X455" s="4"/>
      <c r="Y455" s="4"/>
    </row>
    <row r="456">
      <c r="A456" s="5"/>
      <c r="B456" s="9"/>
      <c r="C456" s="5"/>
      <c r="D456" s="9"/>
      <c r="E456" s="9"/>
      <c r="F456" s="9"/>
      <c r="G456" s="9"/>
      <c r="H456" s="9"/>
      <c r="I456" s="9"/>
      <c r="J456" s="5"/>
      <c r="K456" s="4"/>
      <c r="L456" s="10"/>
      <c r="M456" s="10"/>
      <c r="N456" s="10"/>
      <c r="O456" s="10"/>
      <c r="P456" s="10"/>
      <c r="Q456" s="11"/>
      <c r="R456" s="9"/>
      <c r="S456" s="12"/>
      <c r="T456" s="5"/>
      <c r="U456" s="5"/>
      <c r="V456" s="4"/>
      <c r="W456" s="4"/>
      <c r="X456" s="4"/>
      <c r="Y456" s="4"/>
    </row>
    <row r="457">
      <c r="A457" s="5"/>
      <c r="B457" s="9"/>
      <c r="C457" s="5"/>
      <c r="D457" s="9"/>
      <c r="E457" s="9"/>
      <c r="F457" s="9"/>
      <c r="G457" s="9"/>
      <c r="H457" s="9"/>
      <c r="I457" s="9"/>
      <c r="J457" s="5"/>
      <c r="K457" s="4"/>
      <c r="L457" s="10"/>
      <c r="M457" s="10"/>
      <c r="N457" s="10"/>
      <c r="O457" s="10"/>
      <c r="P457" s="10"/>
      <c r="Q457" s="11"/>
      <c r="R457" s="9"/>
      <c r="S457" s="12"/>
      <c r="T457" s="5"/>
      <c r="U457" s="5"/>
      <c r="V457" s="4"/>
      <c r="W457" s="4"/>
      <c r="X457" s="4"/>
      <c r="Y457" s="4"/>
    </row>
    <row r="458">
      <c r="A458" s="5"/>
      <c r="B458" s="9"/>
      <c r="C458" s="5"/>
      <c r="D458" s="9"/>
      <c r="E458" s="9"/>
      <c r="F458" s="9"/>
      <c r="G458" s="9"/>
      <c r="H458" s="9"/>
      <c r="I458" s="9"/>
      <c r="J458" s="5"/>
      <c r="K458" s="4"/>
      <c r="L458" s="10"/>
      <c r="M458" s="10"/>
      <c r="N458" s="10"/>
      <c r="O458" s="10"/>
      <c r="P458" s="10"/>
      <c r="Q458" s="11"/>
      <c r="R458" s="9"/>
      <c r="S458" s="12"/>
      <c r="T458" s="5"/>
      <c r="U458" s="5"/>
      <c r="V458" s="4"/>
      <c r="W458" s="4"/>
      <c r="X458" s="4"/>
      <c r="Y458" s="4"/>
    </row>
    <row r="459">
      <c r="A459" s="5"/>
      <c r="B459" s="9"/>
      <c r="C459" s="5"/>
      <c r="D459" s="9"/>
      <c r="E459" s="9"/>
      <c r="F459" s="9"/>
      <c r="G459" s="9"/>
      <c r="H459" s="9"/>
      <c r="I459" s="9"/>
      <c r="J459" s="5"/>
      <c r="K459" s="4"/>
      <c r="L459" s="10"/>
      <c r="M459" s="10"/>
      <c r="N459" s="10"/>
      <c r="O459" s="10"/>
      <c r="P459" s="10"/>
      <c r="Q459" s="11"/>
      <c r="R459" s="9"/>
      <c r="S459" s="12"/>
      <c r="T459" s="5"/>
      <c r="U459" s="5"/>
      <c r="V459" s="4"/>
      <c r="W459" s="4"/>
      <c r="X459" s="4"/>
      <c r="Y459" s="4"/>
    </row>
    <row r="460">
      <c r="A460" s="5"/>
      <c r="B460" s="9"/>
      <c r="C460" s="5"/>
      <c r="D460" s="9"/>
      <c r="E460" s="9"/>
      <c r="F460" s="9"/>
      <c r="G460" s="9"/>
      <c r="H460" s="9"/>
      <c r="I460" s="9"/>
      <c r="J460" s="5"/>
      <c r="K460" s="4"/>
      <c r="L460" s="10"/>
      <c r="M460" s="10"/>
      <c r="N460" s="10"/>
      <c r="O460" s="10"/>
      <c r="P460" s="10"/>
      <c r="Q460" s="11"/>
      <c r="R460" s="9"/>
      <c r="S460" s="12"/>
      <c r="T460" s="5"/>
      <c r="U460" s="5"/>
      <c r="V460" s="4"/>
      <c r="W460" s="4"/>
      <c r="X460" s="4"/>
      <c r="Y460" s="4"/>
    </row>
    <row r="461">
      <c r="A461" s="5"/>
      <c r="B461" s="9"/>
      <c r="C461" s="5"/>
      <c r="D461" s="9"/>
      <c r="E461" s="9"/>
      <c r="F461" s="9"/>
      <c r="G461" s="9"/>
      <c r="H461" s="9"/>
      <c r="I461" s="9"/>
      <c r="J461" s="5"/>
      <c r="K461" s="4"/>
      <c r="L461" s="10"/>
      <c r="M461" s="10"/>
      <c r="N461" s="10"/>
      <c r="O461" s="10"/>
      <c r="P461" s="10"/>
      <c r="Q461" s="11"/>
      <c r="R461" s="9"/>
      <c r="S461" s="12"/>
      <c r="T461" s="5"/>
      <c r="U461" s="5"/>
      <c r="V461" s="4"/>
      <c r="W461" s="4"/>
      <c r="X461" s="4"/>
      <c r="Y461" s="4"/>
    </row>
    <row r="462">
      <c r="A462" s="5"/>
      <c r="B462" s="9"/>
      <c r="C462" s="5"/>
      <c r="D462" s="9"/>
      <c r="E462" s="9"/>
      <c r="F462" s="9"/>
      <c r="G462" s="9"/>
      <c r="H462" s="9"/>
      <c r="I462" s="9"/>
      <c r="J462" s="5"/>
      <c r="K462" s="4"/>
      <c r="L462" s="10"/>
      <c r="M462" s="10"/>
      <c r="N462" s="10"/>
      <c r="O462" s="10"/>
      <c r="P462" s="10"/>
      <c r="Q462" s="11"/>
      <c r="R462" s="9"/>
      <c r="S462" s="12"/>
      <c r="T462" s="5"/>
      <c r="U462" s="5"/>
      <c r="V462" s="4"/>
      <c r="W462" s="4"/>
      <c r="X462" s="4"/>
      <c r="Y462" s="4"/>
    </row>
    <row r="463">
      <c r="A463" s="5"/>
      <c r="B463" s="9"/>
      <c r="C463" s="5"/>
      <c r="D463" s="9"/>
      <c r="E463" s="9"/>
      <c r="F463" s="9"/>
      <c r="G463" s="9"/>
      <c r="H463" s="9"/>
      <c r="I463" s="9"/>
      <c r="J463" s="5"/>
      <c r="K463" s="4"/>
      <c r="L463" s="10"/>
      <c r="M463" s="10"/>
      <c r="N463" s="10"/>
      <c r="O463" s="10"/>
      <c r="P463" s="10"/>
      <c r="Q463" s="11"/>
      <c r="R463" s="9"/>
      <c r="S463" s="12"/>
      <c r="T463" s="5"/>
      <c r="U463" s="5"/>
      <c r="V463" s="4"/>
      <c r="W463" s="4"/>
      <c r="X463" s="4"/>
      <c r="Y463" s="4"/>
    </row>
    <row r="464">
      <c r="A464" s="5"/>
      <c r="B464" s="9"/>
      <c r="C464" s="5"/>
      <c r="D464" s="9"/>
      <c r="E464" s="9"/>
      <c r="F464" s="9"/>
      <c r="G464" s="9"/>
      <c r="H464" s="9"/>
      <c r="I464" s="9"/>
      <c r="J464" s="5"/>
      <c r="K464" s="4"/>
      <c r="L464" s="10"/>
      <c r="M464" s="10"/>
      <c r="N464" s="10"/>
      <c r="O464" s="10"/>
      <c r="P464" s="10"/>
      <c r="Q464" s="11"/>
      <c r="R464" s="9"/>
      <c r="S464" s="12"/>
      <c r="T464" s="5"/>
      <c r="U464" s="5"/>
      <c r="V464" s="4"/>
      <c r="W464" s="4"/>
      <c r="X464" s="4"/>
      <c r="Y464" s="4"/>
    </row>
    <row r="465">
      <c r="A465" s="5"/>
      <c r="B465" s="9"/>
      <c r="C465" s="5"/>
      <c r="D465" s="9"/>
      <c r="E465" s="9"/>
      <c r="F465" s="9"/>
      <c r="G465" s="9"/>
      <c r="H465" s="9"/>
      <c r="I465" s="9"/>
      <c r="J465" s="5"/>
      <c r="K465" s="4"/>
      <c r="L465" s="10"/>
      <c r="M465" s="10"/>
      <c r="N465" s="10"/>
      <c r="O465" s="10"/>
      <c r="P465" s="10"/>
      <c r="Q465" s="11"/>
      <c r="R465" s="9"/>
      <c r="S465" s="12"/>
      <c r="T465" s="5"/>
      <c r="U465" s="5"/>
      <c r="V465" s="4"/>
      <c r="W465" s="4"/>
      <c r="X465" s="4"/>
      <c r="Y465" s="4"/>
    </row>
    <row r="466">
      <c r="A466" s="5"/>
      <c r="B466" s="9"/>
      <c r="C466" s="5"/>
      <c r="D466" s="9"/>
      <c r="E466" s="9"/>
      <c r="F466" s="9"/>
      <c r="G466" s="9"/>
      <c r="H466" s="9"/>
      <c r="I466" s="9"/>
      <c r="J466" s="5"/>
      <c r="K466" s="4"/>
      <c r="L466" s="10"/>
      <c r="M466" s="10"/>
      <c r="N466" s="10"/>
      <c r="O466" s="10"/>
      <c r="P466" s="10"/>
      <c r="Q466" s="11"/>
      <c r="R466" s="9"/>
      <c r="S466" s="12"/>
      <c r="T466" s="5"/>
      <c r="U466" s="5"/>
      <c r="V466" s="4"/>
      <c r="W466" s="4"/>
      <c r="X466" s="4"/>
      <c r="Y466" s="4"/>
    </row>
    <row r="467">
      <c r="A467" s="5"/>
      <c r="B467" s="9"/>
      <c r="C467" s="5"/>
      <c r="D467" s="9"/>
      <c r="E467" s="9"/>
      <c r="F467" s="9"/>
      <c r="G467" s="9"/>
      <c r="H467" s="9"/>
      <c r="I467" s="9"/>
      <c r="J467" s="5"/>
      <c r="K467" s="4"/>
      <c r="L467" s="10"/>
      <c r="M467" s="10"/>
      <c r="N467" s="10"/>
      <c r="O467" s="10"/>
      <c r="P467" s="10"/>
      <c r="Q467" s="11"/>
      <c r="R467" s="9"/>
      <c r="S467" s="12"/>
      <c r="T467" s="5"/>
      <c r="U467" s="5"/>
      <c r="V467" s="4"/>
      <c r="W467" s="4"/>
      <c r="X467" s="4"/>
      <c r="Y467" s="4"/>
    </row>
    <row r="468">
      <c r="A468" s="5"/>
      <c r="B468" s="9"/>
      <c r="C468" s="5"/>
      <c r="D468" s="9"/>
      <c r="E468" s="9"/>
      <c r="F468" s="9"/>
      <c r="G468" s="9"/>
      <c r="H468" s="9"/>
      <c r="I468" s="9"/>
      <c r="J468" s="5"/>
      <c r="K468" s="4"/>
      <c r="L468" s="10"/>
      <c r="M468" s="10"/>
      <c r="N468" s="10"/>
      <c r="O468" s="10"/>
      <c r="P468" s="10"/>
      <c r="Q468" s="11"/>
      <c r="R468" s="9"/>
      <c r="S468" s="12"/>
      <c r="T468" s="5"/>
      <c r="U468" s="5"/>
      <c r="V468" s="4"/>
      <c r="W468" s="4"/>
      <c r="X468" s="4"/>
      <c r="Y468" s="4"/>
    </row>
    <row r="469">
      <c r="A469" s="5"/>
      <c r="B469" s="9"/>
      <c r="C469" s="5"/>
      <c r="D469" s="9"/>
      <c r="E469" s="9"/>
      <c r="F469" s="9"/>
      <c r="G469" s="9"/>
      <c r="H469" s="9"/>
      <c r="I469" s="9"/>
      <c r="J469" s="5"/>
      <c r="K469" s="4"/>
      <c r="L469" s="10"/>
      <c r="M469" s="10"/>
      <c r="N469" s="10"/>
      <c r="O469" s="10"/>
      <c r="P469" s="10"/>
      <c r="Q469" s="11"/>
      <c r="R469" s="9"/>
      <c r="S469" s="12"/>
      <c r="T469" s="5"/>
      <c r="U469" s="5"/>
      <c r="V469" s="4"/>
      <c r="W469" s="4"/>
      <c r="X469" s="4"/>
      <c r="Y469" s="4"/>
    </row>
    <row r="470">
      <c r="A470" s="5"/>
      <c r="B470" s="9"/>
      <c r="C470" s="5"/>
      <c r="D470" s="9"/>
      <c r="E470" s="9"/>
      <c r="F470" s="9"/>
      <c r="G470" s="9"/>
      <c r="H470" s="9"/>
      <c r="I470" s="9"/>
      <c r="J470" s="5"/>
      <c r="K470" s="4"/>
      <c r="L470" s="10"/>
      <c r="M470" s="10"/>
      <c r="N470" s="10"/>
      <c r="O470" s="10"/>
      <c r="P470" s="10"/>
      <c r="Q470" s="11"/>
      <c r="R470" s="9"/>
      <c r="S470" s="12"/>
      <c r="T470" s="5"/>
      <c r="U470" s="5"/>
      <c r="V470" s="4"/>
      <c r="W470" s="4"/>
      <c r="X470" s="4"/>
      <c r="Y470" s="4"/>
    </row>
    <row r="471">
      <c r="A471" s="5"/>
      <c r="B471" s="9"/>
      <c r="C471" s="5"/>
      <c r="D471" s="9"/>
      <c r="E471" s="9"/>
      <c r="F471" s="9"/>
      <c r="G471" s="9"/>
      <c r="H471" s="9"/>
      <c r="I471" s="9"/>
      <c r="J471" s="5"/>
      <c r="K471" s="4"/>
      <c r="L471" s="10"/>
      <c r="M471" s="10"/>
      <c r="N471" s="10"/>
      <c r="O471" s="10"/>
      <c r="P471" s="10"/>
      <c r="Q471" s="11"/>
      <c r="R471" s="9"/>
      <c r="S471" s="12"/>
      <c r="T471" s="5"/>
      <c r="U471" s="5"/>
      <c r="V471" s="4"/>
      <c r="W471" s="4"/>
      <c r="X471" s="4"/>
      <c r="Y471" s="4"/>
    </row>
    <row r="472">
      <c r="A472" s="5"/>
      <c r="B472" s="9"/>
      <c r="C472" s="5"/>
      <c r="D472" s="9"/>
      <c r="E472" s="9"/>
      <c r="F472" s="9"/>
      <c r="G472" s="9"/>
      <c r="H472" s="9"/>
      <c r="I472" s="9"/>
      <c r="J472" s="5"/>
      <c r="K472" s="4"/>
      <c r="L472" s="10"/>
      <c r="M472" s="10"/>
      <c r="N472" s="10"/>
      <c r="O472" s="10"/>
      <c r="P472" s="10"/>
      <c r="Q472" s="11"/>
      <c r="R472" s="9"/>
      <c r="S472" s="12"/>
      <c r="T472" s="5"/>
      <c r="U472" s="5"/>
      <c r="V472" s="4"/>
      <c r="W472" s="4"/>
      <c r="X472" s="4"/>
      <c r="Y472" s="4"/>
    </row>
    <row r="473">
      <c r="A473" s="5"/>
      <c r="B473" s="9"/>
      <c r="C473" s="5"/>
      <c r="D473" s="9"/>
      <c r="E473" s="9"/>
      <c r="F473" s="9"/>
      <c r="G473" s="9"/>
      <c r="H473" s="9"/>
      <c r="I473" s="9"/>
      <c r="J473" s="5"/>
      <c r="K473" s="4"/>
      <c r="L473" s="10"/>
      <c r="M473" s="10"/>
      <c r="N473" s="10"/>
      <c r="O473" s="10"/>
      <c r="P473" s="10"/>
      <c r="Q473" s="11"/>
      <c r="R473" s="9"/>
      <c r="S473" s="12"/>
      <c r="T473" s="5"/>
      <c r="U473" s="5"/>
      <c r="V473" s="4"/>
      <c r="W473" s="4"/>
      <c r="X473" s="4"/>
      <c r="Y473" s="4"/>
    </row>
    <row r="474">
      <c r="A474" s="5"/>
      <c r="B474" s="9"/>
      <c r="C474" s="5"/>
      <c r="D474" s="9"/>
      <c r="E474" s="9"/>
      <c r="F474" s="9"/>
      <c r="G474" s="9"/>
      <c r="H474" s="9"/>
      <c r="I474" s="9"/>
      <c r="J474" s="5"/>
      <c r="K474" s="4"/>
      <c r="L474" s="10"/>
      <c r="M474" s="10"/>
      <c r="N474" s="10"/>
      <c r="O474" s="10"/>
      <c r="P474" s="10"/>
      <c r="Q474" s="11"/>
      <c r="R474" s="9"/>
      <c r="S474" s="12"/>
      <c r="T474" s="5"/>
      <c r="U474" s="5"/>
      <c r="V474" s="4"/>
      <c r="W474" s="4"/>
      <c r="X474" s="4"/>
      <c r="Y474" s="4"/>
    </row>
    <row r="475">
      <c r="A475" s="5"/>
      <c r="B475" s="9"/>
      <c r="C475" s="5"/>
      <c r="D475" s="9"/>
      <c r="E475" s="9"/>
      <c r="F475" s="9"/>
      <c r="G475" s="9"/>
      <c r="H475" s="9"/>
      <c r="I475" s="9"/>
      <c r="J475" s="5"/>
      <c r="K475" s="4"/>
      <c r="L475" s="10"/>
      <c r="M475" s="10"/>
      <c r="N475" s="10"/>
      <c r="O475" s="10"/>
      <c r="P475" s="10"/>
      <c r="Q475" s="11"/>
      <c r="R475" s="9"/>
      <c r="S475" s="12"/>
      <c r="T475" s="5"/>
      <c r="U475" s="5"/>
      <c r="V475" s="4"/>
      <c r="W475" s="4"/>
      <c r="X475" s="4"/>
      <c r="Y475" s="4"/>
    </row>
    <row r="476">
      <c r="A476" s="5"/>
      <c r="B476" s="9"/>
      <c r="C476" s="5"/>
      <c r="D476" s="9"/>
      <c r="E476" s="9"/>
      <c r="F476" s="9"/>
      <c r="G476" s="9"/>
      <c r="H476" s="9"/>
      <c r="I476" s="9"/>
      <c r="J476" s="5"/>
      <c r="K476" s="4"/>
      <c r="L476" s="10"/>
      <c r="M476" s="10"/>
      <c r="N476" s="10"/>
      <c r="O476" s="10"/>
      <c r="P476" s="10"/>
      <c r="Q476" s="11"/>
      <c r="R476" s="9"/>
      <c r="S476" s="12"/>
      <c r="T476" s="5"/>
      <c r="U476" s="5"/>
      <c r="V476" s="4"/>
      <c r="W476" s="4"/>
      <c r="X476" s="4"/>
      <c r="Y476" s="4"/>
    </row>
    <row r="477">
      <c r="A477" s="5"/>
      <c r="B477" s="9"/>
      <c r="C477" s="5"/>
      <c r="D477" s="9"/>
      <c r="E477" s="9"/>
      <c r="F477" s="9"/>
      <c r="G477" s="9"/>
      <c r="H477" s="9"/>
      <c r="I477" s="9"/>
      <c r="J477" s="5"/>
      <c r="K477" s="4"/>
      <c r="L477" s="10"/>
      <c r="M477" s="10"/>
      <c r="N477" s="10"/>
      <c r="O477" s="10"/>
      <c r="P477" s="10"/>
      <c r="Q477" s="11"/>
      <c r="R477" s="9"/>
      <c r="S477" s="12"/>
      <c r="T477" s="5"/>
      <c r="U477" s="5"/>
      <c r="V477" s="4"/>
      <c r="W477" s="4"/>
      <c r="X477" s="4"/>
      <c r="Y477" s="4"/>
    </row>
    <row r="478">
      <c r="A478" s="5"/>
      <c r="B478" s="9"/>
      <c r="C478" s="5"/>
      <c r="D478" s="9"/>
      <c r="E478" s="9"/>
      <c r="F478" s="9"/>
      <c r="G478" s="9"/>
      <c r="H478" s="9"/>
      <c r="I478" s="9"/>
      <c r="J478" s="5"/>
      <c r="K478" s="4"/>
      <c r="L478" s="10"/>
      <c r="M478" s="10"/>
      <c r="N478" s="10"/>
      <c r="O478" s="10"/>
      <c r="P478" s="10"/>
      <c r="Q478" s="11"/>
      <c r="R478" s="9"/>
      <c r="S478" s="12"/>
      <c r="T478" s="5"/>
      <c r="U478" s="5"/>
      <c r="V478" s="4"/>
      <c r="W478" s="4"/>
      <c r="X478" s="4"/>
      <c r="Y478" s="4"/>
    </row>
    <row r="479">
      <c r="A479" s="5"/>
      <c r="B479" s="9"/>
      <c r="C479" s="5"/>
      <c r="D479" s="9"/>
      <c r="E479" s="9"/>
      <c r="F479" s="9"/>
      <c r="G479" s="9"/>
      <c r="H479" s="9"/>
      <c r="I479" s="9"/>
      <c r="J479" s="5"/>
      <c r="K479" s="4"/>
      <c r="L479" s="10"/>
      <c r="M479" s="10"/>
      <c r="N479" s="10"/>
      <c r="O479" s="10"/>
      <c r="P479" s="10"/>
      <c r="Q479" s="11"/>
      <c r="R479" s="9"/>
      <c r="S479" s="12"/>
      <c r="T479" s="5"/>
      <c r="U479" s="5"/>
      <c r="V479" s="4"/>
      <c r="W479" s="4"/>
      <c r="X479" s="4"/>
      <c r="Y479" s="4"/>
    </row>
    <row r="480">
      <c r="A480" s="5"/>
      <c r="B480" s="9"/>
      <c r="C480" s="5"/>
      <c r="D480" s="9"/>
      <c r="E480" s="9"/>
      <c r="F480" s="9"/>
      <c r="G480" s="9"/>
      <c r="H480" s="9"/>
      <c r="I480" s="9"/>
      <c r="J480" s="5"/>
      <c r="K480" s="4"/>
      <c r="L480" s="10"/>
      <c r="M480" s="10"/>
      <c r="N480" s="10"/>
      <c r="O480" s="10"/>
      <c r="P480" s="10"/>
      <c r="Q480" s="11"/>
      <c r="R480" s="9"/>
      <c r="S480" s="12"/>
      <c r="T480" s="5"/>
      <c r="U480" s="5"/>
      <c r="V480" s="4"/>
      <c r="W480" s="4"/>
      <c r="X480" s="4"/>
      <c r="Y480" s="4"/>
    </row>
    <row r="481">
      <c r="A481" s="5"/>
      <c r="B481" s="9"/>
      <c r="C481" s="5"/>
      <c r="D481" s="9"/>
      <c r="E481" s="9"/>
      <c r="F481" s="9"/>
      <c r="G481" s="9"/>
      <c r="H481" s="9"/>
      <c r="I481" s="9"/>
      <c r="J481" s="5"/>
      <c r="K481" s="4"/>
      <c r="L481" s="10"/>
      <c r="M481" s="10"/>
      <c r="N481" s="10"/>
      <c r="O481" s="10"/>
      <c r="P481" s="10"/>
      <c r="Q481" s="11"/>
      <c r="R481" s="9"/>
      <c r="S481" s="12"/>
      <c r="T481" s="5"/>
      <c r="U481" s="5"/>
      <c r="V481" s="4"/>
      <c r="W481" s="4"/>
      <c r="X481" s="4"/>
      <c r="Y481" s="4"/>
    </row>
    <row r="482">
      <c r="A482" s="5"/>
      <c r="B482" s="9"/>
      <c r="C482" s="5"/>
      <c r="D482" s="9"/>
      <c r="E482" s="9"/>
      <c r="F482" s="9"/>
      <c r="G482" s="9"/>
      <c r="H482" s="9"/>
      <c r="I482" s="9"/>
      <c r="J482" s="5"/>
      <c r="K482" s="4"/>
      <c r="L482" s="10"/>
      <c r="M482" s="10"/>
      <c r="N482" s="10"/>
      <c r="O482" s="10"/>
      <c r="P482" s="10"/>
      <c r="Q482" s="11"/>
      <c r="R482" s="9"/>
      <c r="S482" s="12"/>
      <c r="T482" s="5"/>
      <c r="U482" s="5"/>
      <c r="V482" s="4"/>
      <c r="W482" s="4"/>
      <c r="X482" s="4"/>
      <c r="Y482" s="4"/>
    </row>
    <row r="483">
      <c r="A483" s="5"/>
      <c r="B483" s="9"/>
      <c r="C483" s="5"/>
      <c r="D483" s="9"/>
      <c r="E483" s="9"/>
      <c r="F483" s="9"/>
      <c r="G483" s="9"/>
      <c r="H483" s="9"/>
      <c r="I483" s="9"/>
      <c r="J483" s="5"/>
      <c r="K483" s="4"/>
      <c r="L483" s="10"/>
      <c r="M483" s="10"/>
      <c r="N483" s="10"/>
      <c r="O483" s="10"/>
      <c r="P483" s="10"/>
      <c r="Q483" s="11"/>
      <c r="R483" s="9"/>
      <c r="S483" s="12"/>
      <c r="T483" s="5"/>
      <c r="U483" s="5"/>
      <c r="V483" s="4"/>
      <c r="W483" s="4"/>
      <c r="X483" s="4"/>
      <c r="Y483" s="4"/>
    </row>
    <row r="484">
      <c r="A484" s="5"/>
      <c r="B484" s="9"/>
      <c r="C484" s="5"/>
      <c r="D484" s="9"/>
      <c r="E484" s="9"/>
      <c r="F484" s="9"/>
      <c r="G484" s="9"/>
      <c r="H484" s="9"/>
      <c r="I484" s="9"/>
      <c r="J484" s="5"/>
      <c r="K484" s="4"/>
      <c r="L484" s="10"/>
      <c r="M484" s="10"/>
      <c r="N484" s="10"/>
      <c r="O484" s="10"/>
      <c r="P484" s="10"/>
      <c r="Q484" s="11"/>
      <c r="R484" s="9"/>
      <c r="S484" s="12"/>
      <c r="T484" s="5"/>
      <c r="U484" s="5"/>
      <c r="V484" s="4"/>
      <c r="W484" s="4"/>
      <c r="X484" s="4"/>
      <c r="Y484" s="4"/>
    </row>
    <row r="485">
      <c r="A485" s="5"/>
      <c r="B485" s="9"/>
      <c r="C485" s="5"/>
      <c r="D485" s="9"/>
      <c r="E485" s="9"/>
      <c r="F485" s="9"/>
      <c r="G485" s="9"/>
      <c r="H485" s="9"/>
      <c r="I485" s="9"/>
      <c r="J485" s="5"/>
      <c r="K485" s="4"/>
      <c r="L485" s="10"/>
      <c r="M485" s="10"/>
      <c r="N485" s="10"/>
      <c r="O485" s="10"/>
      <c r="P485" s="10"/>
      <c r="Q485" s="11"/>
      <c r="R485" s="9"/>
      <c r="S485" s="12"/>
      <c r="T485" s="5"/>
      <c r="U485" s="5"/>
      <c r="V485" s="4"/>
      <c r="W485" s="4"/>
      <c r="X485" s="4"/>
      <c r="Y485" s="4"/>
    </row>
    <row r="486">
      <c r="A486" s="5"/>
      <c r="B486" s="9"/>
      <c r="C486" s="5"/>
      <c r="D486" s="9"/>
      <c r="E486" s="9"/>
      <c r="F486" s="9"/>
      <c r="G486" s="9"/>
      <c r="H486" s="9"/>
      <c r="I486" s="9"/>
      <c r="J486" s="5"/>
      <c r="K486" s="4"/>
      <c r="L486" s="10"/>
      <c r="M486" s="10"/>
      <c r="N486" s="10"/>
      <c r="O486" s="10"/>
      <c r="P486" s="10"/>
      <c r="Q486" s="11"/>
      <c r="R486" s="9"/>
      <c r="S486" s="12"/>
      <c r="T486" s="5"/>
      <c r="U486" s="5"/>
      <c r="V486" s="4"/>
      <c r="W486" s="4"/>
      <c r="X486" s="4"/>
      <c r="Y486" s="4"/>
    </row>
    <row r="487">
      <c r="A487" s="5"/>
      <c r="B487" s="9"/>
      <c r="C487" s="5"/>
      <c r="D487" s="9"/>
      <c r="E487" s="9"/>
      <c r="F487" s="9"/>
      <c r="G487" s="9"/>
      <c r="H487" s="9"/>
      <c r="I487" s="9"/>
      <c r="J487" s="5"/>
      <c r="K487" s="4"/>
      <c r="L487" s="10"/>
      <c r="M487" s="10"/>
      <c r="N487" s="10"/>
      <c r="O487" s="10"/>
      <c r="P487" s="10"/>
      <c r="Q487" s="11"/>
      <c r="R487" s="9"/>
      <c r="S487" s="12"/>
      <c r="T487" s="5"/>
      <c r="U487" s="5"/>
      <c r="V487" s="4"/>
      <c r="W487" s="4"/>
      <c r="X487" s="4"/>
      <c r="Y487" s="4"/>
    </row>
    <row r="488">
      <c r="A488" s="5"/>
      <c r="B488" s="9"/>
      <c r="C488" s="5"/>
      <c r="D488" s="9"/>
      <c r="E488" s="9"/>
      <c r="F488" s="9"/>
      <c r="G488" s="9"/>
      <c r="H488" s="9"/>
      <c r="I488" s="9"/>
      <c r="J488" s="5"/>
      <c r="K488" s="4"/>
      <c r="L488" s="10"/>
      <c r="M488" s="10"/>
      <c r="N488" s="10"/>
      <c r="O488" s="10"/>
      <c r="P488" s="10"/>
      <c r="Q488" s="11"/>
      <c r="R488" s="9"/>
      <c r="S488" s="12"/>
      <c r="T488" s="5"/>
      <c r="U488" s="5"/>
      <c r="V488" s="4"/>
      <c r="W488" s="4"/>
      <c r="X488" s="4"/>
      <c r="Y488" s="4"/>
    </row>
    <row r="489">
      <c r="A489" s="5"/>
      <c r="B489" s="9"/>
      <c r="C489" s="5"/>
      <c r="D489" s="9"/>
      <c r="E489" s="9"/>
      <c r="F489" s="9"/>
      <c r="G489" s="9"/>
      <c r="H489" s="9"/>
      <c r="I489" s="9"/>
      <c r="J489" s="5"/>
      <c r="K489" s="4"/>
      <c r="L489" s="10"/>
      <c r="M489" s="10"/>
      <c r="N489" s="10"/>
      <c r="O489" s="10"/>
      <c r="P489" s="10"/>
      <c r="Q489" s="11"/>
      <c r="R489" s="9"/>
      <c r="S489" s="12"/>
      <c r="T489" s="5"/>
      <c r="U489" s="5"/>
      <c r="V489" s="4"/>
      <c r="W489" s="4"/>
      <c r="X489" s="4"/>
      <c r="Y489" s="4"/>
    </row>
    <row r="490">
      <c r="A490" s="5"/>
      <c r="B490" s="9"/>
      <c r="C490" s="5"/>
      <c r="D490" s="9"/>
      <c r="E490" s="9"/>
      <c r="F490" s="9"/>
      <c r="G490" s="9"/>
      <c r="H490" s="9"/>
      <c r="I490" s="9"/>
      <c r="J490" s="5"/>
      <c r="K490" s="4"/>
      <c r="L490" s="10"/>
      <c r="M490" s="10"/>
      <c r="N490" s="10"/>
      <c r="O490" s="10"/>
      <c r="P490" s="10"/>
      <c r="Q490" s="11"/>
      <c r="R490" s="9"/>
      <c r="S490" s="12"/>
      <c r="T490" s="5"/>
      <c r="U490" s="5"/>
      <c r="V490" s="4"/>
      <c r="W490" s="4"/>
      <c r="X490" s="4"/>
      <c r="Y490" s="4"/>
    </row>
    <row r="491">
      <c r="A491" s="5"/>
      <c r="B491" s="9"/>
      <c r="C491" s="5"/>
      <c r="D491" s="9"/>
      <c r="E491" s="9"/>
      <c r="F491" s="9"/>
      <c r="G491" s="9"/>
      <c r="H491" s="9"/>
      <c r="I491" s="9"/>
      <c r="J491" s="5"/>
      <c r="K491" s="4"/>
      <c r="L491" s="10"/>
      <c r="M491" s="10"/>
      <c r="N491" s="10"/>
      <c r="O491" s="10"/>
      <c r="P491" s="10"/>
      <c r="Q491" s="11"/>
      <c r="R491" s="9"/>
      <c r="S491" s="12"/>
      <c r="T491" s="5"/>
      <c r="U491" s="5"/>
      <c r="V491" s="4"/>
      <c r="W491" s="4"/>
      <c r="X491" s="4"/>
      <c r="Y491" s="4"/>
    </row>
    <row r="492">
      <c r="A492" s="5"/>
      <c r="B492" s="9"/>
      <c r="C492" s="5"/>
      <c r="D492" s="9"/>
      <c r="E492" s="9"/>
      <c r="F492" s="9"/>
      <c r="G492" s="9"/>
      <c r="H492" s="9"/>
      <c r="I492" s="9"/>
      <c r="J492" s="5"/>
      <c r="K492" s="4"/>
      <c r="L492" s="10"/>
      <c r="M492" s="10"/>
      <c r="N492" s="10"/>
      <c r="O492" s="10"/>
      <c r="P492" s="10"/>
      <c r="Q492" s="11"/>
      <c r="R492" s="9"/>
      <c r="S492" s="12"/>
      <c r="T492" s="5"/>
      <c r="U492" s="5"/>
      <c r="V492" s="4"/>
      <c r="W492" s="4"/>
      <c r="X492" s="4"/>
      <c r="Y492" s="4"/>
    </row>
    <row r="493">
      <c r="A493" s="5"/>
      <c r="B493" s="9"/>
      <c r="C493" s="5"/>
      <c r="D493" s="9"/>
      <c r="E493" s="9"/>
      <c r="F493" s="9"/>
      <c r="G493" s="9"/>
      <c r="H493" s="9"/>
      <c r="I493" s="9"/>
      <c r="J493" s="5"/>
      <c r="K493" s="4"/>
      <c r="L493" s="10"/>
      <c r="M493" s="10"/>
      <c r="N493" s="10"/>
      <c r="O493" s="10"/>
      <c r="P493" s="10"/>
      <c r="Q493" s="11"/>
      <c r="R493" s="9"/>
      <c r="S493" s="12"/>
      <c r="T493" s="5"/>
      <c r="U493" s="5"/>
      <c r="V493" s="4"/>
      <c r="W493" s="4"/>
      <c r="X493" s="4"/>
      <c r="Y493" s="4"/>
    </row>
    <row r="494">
      <c r="A494" s="5"/>
      <c r="B494" s="9"/>
      <c r="C494" s="5"/>
      <c r="D494" s="9"/>
      <c r="E494" s="9"/>
      <c r="F494" s="9"/>
      <c r="G494" s="9"/>
      <c r="H494" s="9"/>
      <c r="I494" s="9"/>
      <c r="J494" s="5"/>
      <c r="K494" s="4"/>
      <c r="L494" s="10"/>
      <c r="M494" s="10"/>
      <c r="N494" s="10"/>
      <c r="O494" s="10"/>
      <c r="P494" s="10"/>
      <c r="Q494" s="11"/>
      <c r="R494" s="9"/>
      <c r="S494" s="12"/>
      <c r="T494" s="5"/>
      <c r="U494" s="5"/>
      <c r="V494" s="4"/>
      <c r="W494" s="4"/>
      <c r="X494" s="4"/>
      <c r="Y494" s="4"/>
    </row>
    <row r="495">
      <c r="A495" s="5"/>
      <c r="B495" s="9"/>
      <c r="C495" s="5"/>
      <c r="D495" s="9"/>
      <c r="E495" s="9"/>
      <c r="F495" s="9"/>
      <c r="G495" s="9"/>
      <c r="H495" s="9"/>
      <c r="I495" s="9"/>
      <c r="J495" s="5"/>
      <c r="K495" s="4"/>
      <c r="L495" s="10"/>
      <c r="M495" s="10"/>
      <c r="N495" s="10"/>
      <c r="O495" s="10"/>
      <c r="P495" s="10"/>
      <c r="Q495" s="11"/>
      <c r="R495" s="9"/>
      <c r="S495" s="12"/>
      <c r="T495" s="5"/>
      <c r="U495" s="5"/>
      <c r="V495" s="4"/>
      <c r="W495" s="4"/>
      <c r="X495" s="4"/>
      <c r="Y495" s="4"/>
    </row>
    <row r="496">
      <c r="A496" s="5"/>
      <c r="B496" s="9"/>
      <c r="C496" s="5"/>
      <c r="D496" s="9"/>
      <c r="E496" s="9"/>
      <c r="F496" s="9"/>
      <c r="G496" s="9"/>
      <c r="H496" s="9"/>
      <c r="I496" s="9"/>
      <c r="J496" s="5"/>
      <c r="K496" s="4"/>
      <c r="L496" s="10"/>
      <c r="M496" s="10"/>
      <c r="N496" s="10"/>
      <c r="O496" s="10"/>
      <c r="P496" s="10"/>
      <c r="Q496" s="11"/>
      <c r="R496" s="9"/>
      <c r="S496" s="12"/>
      <c r="T496" s="5"/>
      <c r="U496" s="5"/>
      <c r="V496" s="4"/>
      <c r="W496" s="4"/>
      <c r="X496" s="4"/>
      <c r="Y496" s="4"/>
    </row>
    <row r="497">
      <c r="A497" s="5"/>
      <c r="B497" s="9"/>
      <c r="C497" s="5"/>
      <c r="D497" s="9"/>
      <c r="E497" s="9"/>
      <c r="F497" s="9"/>
      <c r="G497" s="9"/>
      <c r="H497" s="9"/>
      <c r="I497" s="9"/>
      <c r="J497" s="5"/>
      <c r="K497" s="4"/>
      <c r="L497" s="10"/>
      <c r="M497" s="10"/>
      <c r="N497" s="10"/>
      <c r="O497" s="10"/>
      <c r="P497" s="10"/>
      <c r="Q497" s="11"/>
      <c r="R497" s="9"/>
      <c r="S497" s="12"/>
      <c r="T497" s="5"/>
      <c r="U497" s="5"/>
      <c r="V497" s="4"/>
      <c r="W497" s="4"/>
      <c r="X497" s="4"/>
      <c r="Y497" s="4"/>
    </row>
    <row r="498">
      <c r="A498" s="5"/>
      <c r="B498" s="9"/>
      <c r="C498" s="5"/>
      <c r="D498" s="9"/>
      <c r="E498" s="9"/>
      <c r="F498" s="9"/>
      <c r="G498" s="9"/>
      <c r="H498" s="9"/>
      <c r="I498" s="9"/>
      <c r="J498" s="5"/>
      <c r="K498" s="4"/>
      <c r="L498" s="10"/>
      <c r="M498" s="10"/>
      <c r="N498" s="10"/>
      <c r="O498" s="10"/>
      <c r="P498" s="10"/>
      <c r="Q498" s="11"/>
      <c r="R498" s="9"/>
      <c r="S498" s="12"/>
      <c r="T498" s="5"/>
      <c r="U498" s="5"/>
      <c r="V498" s="4"/>
      <c r="W498" s="4"/>
      <c r="X498" s="4"/>
      <c r="Y498" s="4"/>
    </row>
    <row r="499">
      <c r="A499" s="5"/>
      <c r="B499" s="9"/>
      <c r="C499" s="5"/>
      <c r="D499" s="9"/>
      <c r="E499" s="9"/>
      <c r="F499" s="9"/>
      <c r="G499" s="9"/>
      <c r="H499" s="9"/>
      <c r="I499" s="9"/>
      <c r="J499" s="5"/>
      <c r="K499" s="4"/>
      <c r="L499" s="10"/>
      <c r="M499" s="10"/>
      <c r="N499" s="10"/>
      <c r="O499" s="10"/>
      <c r="P499" s="10"/>
      <c r="Q499" s="11"/>
      <c r="R499" s="9"/>
      <c r="S499" s="12"/>
      <c r="T499" s="5"/>
      <c r="U499" s="5"/>
      <c r="V499" s="4"/>
      <c r="W499" s="4"/>
      <c r="X499" s="4"/>
      <c r="Y499" s="4"/>
    </row>
    <row r="500">
      <c r="A500" s="5"/>
      <c r="B500" s="9"/>
      <c r="C500" s="5"/>
      <c r="D500" s="9"/>
      <c r="E500" s="9"/>
      <c r="F500" s="9"/>
      <c r="G500" s="9"/>
      <c r="H500" s="9"/>
      <c r="I500" s="9"/>
      <c r="J500" s="5"/>
      <c r="K500" s="4"/>
      <c r="L500" s="10"/>
      <c r="M500" s="10"/>
      <c r="N500" s="10"/>
      <c r="O500" s="10"/>
      <c r="P500" s="10"/>
      <c r="Q500" s="11"/>
      <c r="R500" s="9"/>
      <c r="S500" s="12"/>
      <c r="T500" s="5"/>
      <c r="U500" s="5"/>
      <c r="V500" s="4"/>
      <c r="W500" s="4"/>
      <c r="X500" s="4"/>
      <c r="Y500" s="4"/>
    </row>
    <row r="501">
      <c r="A501" s="5"/>
      <c r="B501" s="9"/>
      <c r="C501" s="5"/>
      <c r="D501" s="9"/>
      <c r="E501" s="9"/>
      <c r="F501" s="9"/>
      <c r="G501" s="9"/>
      <c r="H501" s="9"/>
      <c r="I501" s="9"/>
      <c r="J501" s="5"/>
      <c r="K501" s="4"/>
      <c r="L501" s="10"/>
      <c r="M501" s="10"/>
      <c r="N501" s="10"/>
      <c r="O501" s="10"/>
      <c r="P501" s="10"/>
      <c r="Q501" s="11"/>
      <c r="R501" s="9"/>
      <c r="S501" s="12"/>
      <c r="T501" s="5"/>
      <c r="U501" s="5"/>
      <c r="V501" s="4"/>
      <c r="W501" s="4"/>
      <c r="X501" s="4"/>
      <c r="Y501" s="4"/>
    </row>
    <row r="502">
      <c r="A502" s="5"/>
      <c r="B502" s="9"/>
      <c r="C502" s="5"/>
      <c r="D502" s="9"/>
      <c r="E502" s="9"/>
      <c r="F502" s="9"/>
      <c r="G502" s="9"/>
      <c r="H502" s="9"/>
      <c r="I502" s="9"/>
      <c r="J502" s="5"/>
      <c r="K502" s="4"/>
      <c r="L502" s="10"/>
      <c r="M502" s="10"/>
      <c r="N502" s="10"/>
      <c r="O502" s="10"/>
      <c r="P502" s="10"/>
      <c r="Q502" s="11"/>
      <c r="R502" s="9"/>
      <c r="S502" s="12"/>
      <c r="T502" s="5"/>
      <c r="U502" s="5"/>
      <c r="V502" s="4"/>
      <c r="W502" s="4"/>
      <c r="X502" s="4"/>
      <c r="Y502" s="4"/>
    </row>
    <row r="503">
      <c r="A503" s="5"/>
      <c r="B503" s="9"/>
      <c r="C503" s="5"/>
      <c r="D503" s="9"/>
      <c r="E503" s="9"/>
      <c r="F503" s="9"/>
      <c r="G503" s="9"/>
      <c r="H503" s="9"/>
      <c r="I503" s="9"/>
      <c r="J503" s="5"/>
      <c r="K503" s="4"/>
      <c r="L503" s="10"/>
      <c r="M503" s="10"/>
      <c r="N503" s="10"/>
      <c r="O503" s="10"/>
      <c r="P503" s="10"/>
      <c r="Q503" s="11"/>
      <c r="R503" s="9"/>
      <c r="S503" s="12"/>
      <c r="T503" s="5"/>
      <c r="U503" s="5"/>
      <c r="V503" s="4"/>
      <c r="W503" s="4"/>
      <c r="X503" s="4"/>
      <c r="Y503" s="4"/>
    </row>
    <row r="504">
      <c r="A504" s="5"/>
      <c r="B504" s="9"/>
      <c r="C504" s="5"/>
      <c r="D504" s="9"/>
      <c r="E504" s="9"/>
      <c r="F504" s="9"/>
      <c r="G504" s="9"/>
      <c r="H504" s="9"/>
      <c r="I504" s="9"/>
      <c r="J504" s="5"/>
      <c r="K504" s="4"/>
      <c r="L504" s="10"/>
      <c r="M504" s="10"/>
      <c r="N504" s="10"/>
      <c r="O504" s="10"/>
      <c r="P504" s="10"/>
      <c r="Q504" s="11"/>
      <c r="R504" s="9"/>
      <c r="S504" s="12"/>
      <c r="T504" s="5"/>
      <c r="U504" s="5"/>
      <c r="V504" s="4"/>
      <c r="W504" s="4"/>
      <c r="X504" s="4"/>
      <c r="Y504" s="4"/>
    </row>
    <row r="505">
      <c r="A505" s="5"/>
      <c r="B505" s="9"/>
      <c r="C505" s="5"/>
      <c r="D505" s="9"/>
      <c r="E505" s="9"/>
      <c r="F505" s="9"/>
      <c r="G505" s="9"/>
      <c r="H505" s="9"/>
      <c r="I505" s="9"/>
      <c r="J505" s="5"/>
      <c r="K505" s="4"/>
      <c r="L505" s="10"/>
      <c r="M505" s="10"/>
      <c r="N505" s="10"/>
      <c r="O505" s="10"/>
      <c r="P505" s="10"/>
      <c r="Q505" s="11"/>
      <c r="R505" s="9"/>
      <c r="S505" s="12"/>
      <c r="T505" s="5"/>
      <c r="U505" s="5"/>
      <c r="V505" s="4"/>
      <c r="W505" s="4"/>
      <c r="X505" s="4"/>
      <c r="Y505" s="4"/>
    </row>
    <row r="506">
      <c r="A506" s="5"/>
      <c r="B506" s="9"/>
      <c r="C506" s="5"/>
      <c r="D506" s="9"/>
      <c r="E506" s="9"/>
      <c r="F506" s="9"/>
      <c r="G506" s="9"/>
      <c r="H506" s="9"/>
      <c r="I506" s="9"/>
      <c r="J506" s="5"/>
      <c r="K506" s="4"/>
      <c r="L506" s="10"/>
      <c r="M506" s="10"/>
      <c r="N506" s="10"/>
      <c r="O506" s="10"/>
      <c r="P506" s="10"/>
      <c r="Q506" s="11"/>
      <c r="R506" s="9"/>
      <c r="S506" s="12"/>
      <c r="T506" s="5"/>
      <c r="U506" s="5"/>
      <c r="V506" s="4"/>
      <c r="W506" s="4"/>
      <c r="X506" s="4"/>
      <c r="Y506" s="4"/>
    </row>
    <row r="507">
      <c r="A507" s="5"/>
      <c r="B507" s="9"/>
      <c r="C507" s="5"/>
      <c r="D507" s="9"/>
      <c r="E507" s="9"/>
      <c r="F507" s="9"/>
      <c r="G507" s="9"/>
      <c r="H507" s="9"/>
      <c r="I507" s="9"/>
      <c r="J507" s="5"/>
      <c r="K507" s="4"/>
      <c r="L507" s="10"/>
      <c r="M507" s="10"/>
      <c r="N507" s="10"/>
      <c r="O507" s="10"/>
      <c r="P507" s="10"/>
      <c r="Q507" s="11"/>
      <c r="R507" s="9"/>
      <c r="S507" s="12"/>
      <c r="T507" s="5"/>
      <c r="U507" s="5"/>
      <c r="V507" s="4"/>
      <c r="W507" s="4"/>
      <c r="X507" s="4"/>
      <c r="Y507" s="4"/>
    </row>
    <row r="508">
      <c r="A508" s="5"/>
      <c r="B508" s="9"/>
      <c r="C508" s="5"/>
      <c r="D508" s="9"/>
      <c r="E508" s="9"/>
      <c r="F508" s="9"/>
      <c r="G508" s="9"/>
      <c r="H508" s="9"/>
      <c r="I508" s="9"/>
      <c r="J508" s="5"/>
      <c r="K508" s="4"/>
      <c r="L508" s="10"/>
      <c r="M508" s="10"/>
      <c r="N508" s="10"/>
      <c r="O508" s="10"/>
      <c r="P508" s="10"/>
      <c r="Q508" s="11"/>
      <c r="R508" s="9"/>
      <c r="S508" s="12"/>
      <c r="T508" s="5"/>
      <c r="U508" s="5"/>
      <c r="V508" s="4"/>
      <c r="W508" s="4"/>
      <c r="X508" s="4"/>
      <c r="Y508" s="4"/>
    </row>
    <row r="509">
      <c r="A509" s="5"/>
      <c r="B509" s="9"/>
      <c r="C509" s="5"/>
      <c r="D509" s="9"/>
      <c r="E509" s="9"/>
      <c r="F509" s="9"/>
      <c r="G509" s="9"/>
      <c r="H509" s="9"/>
      <c r="I509" s="9"/>
      <c r="J509" s="5"/>
      <c r="K509" s="4"/>
      <c r="L509" s="10"/>
      <c r="M509" s="10"/>
      <c r="N509" s="10"/>
      <c r="O509" s="10"/>
      <c r="P509" s="10"/>
      <c r="Q509" s="11"/>
      <c r="R509" s="9"/>
      <c r="S509" s="12"/>
      <c r="T509" s="5"/>
      <c r="U509" s="5"/>
      <c r="V509" s="4"/>
      <c r="W509" s="4"/>
      <c r="X509" s="4"/>
      <c r="Y509" s="4"/>
    </row>
    <row r="510">
      <c r="A510" s="5"/>
      <c r="B510" s="9"/>
      <c r="C510" s="5"/>
      <c r="D510" s="9"/>
      <c r="E510" s="9"/>
      <c r="F510" s="9"/>
      <c r="G510" s="9"/>
      <c r="H510" s="9"/>
      <c r="I510" s="9"/>
      <c r="J510" s="5"/>
      <c r="K510" s="4"/>
      <c r="L510" s="10"/>
      <c r="M510" s="10"/>
      <c r="N510" s="10"/>
      <c r="O510" s="10"/>
      <c r="P510" s="10"/>
      <c r="Q510" s="11"/>
      <c r="R510" s="9"/>
      <c r="S510" s="12"/>
      <c r="T510" s="5"/>
      <c r="U510" s="5"/>
      <c r="V510" s="4"/>
      <c r="W510" s="4"/>
      <c r="X510" s="4"/>
      <c r="Y510" s="4"/>
    </row>
    <row r="511">
      <c r="A511" s="5"/>
      <c r="B511" s="9"/>
      <c r="C511" s="5"/>
      <c r="D511" s="9"/>
      <c r="E511" s="9"/>
      <c r="F511" s="9"/>
      <c r="G511" s="9"/>
      <c r="H511" s="9"/>
      <c r="I511" s="9"/>
      <c r="J511" s="5"/>
      <c r="K511" s="4"/>
      <c r="L511" s="10"/>
      <c r="M511" s="10"/>
      <c r="N511" s="10"/>
      <c r="O511" s="10"/>
      <c r="P511" s="10"/>
      <c r="Q511" s="11"/>
      <c r="R511" s="9"/>
      <c r="S511" s="12"/>
      <c r="T511" s="5"/>
      <c r="U511" s="5"/>
      <c r="V511" s="4"/>
      <c r="W511" s="4"/>
      <c r="X511" s="4"/>
      <c r="Y511" s="4"/>
    </row>
    <row r="512">
      <c r="A512" s="5"/>
      <c r="B512" s="9"/>
      <c r="C512" s="5"/>
      <c r="D512" s="9"/>
      <c r="E512" s="9"/>
      <c r="F512" s="9"/>
      <c r="G512" s="9"/>
      <c r="H512" s="9"/>
      <c r="I512" s="9"/>
      <c r="J512" s="5"/>
      <c r="K512" s="4"/>
      <c r="L512" s="10"/>
      <c r="M512" s="10"/>
      <c r="N512" s="10"/>
      <c r="O512" s="10"/>
      <c r="P512" s="10"/>
      <c r="Q512" s="11"/>
      <c r="R512" s="9"/>
      <c r="S512" s="12"/>
      <c r="T512" s="5"/>
      <c r="U512" s="5"/>
      <c r="V512" s="4"/>
      <c r="W512" s="4"/>
      <c r="X512" s="4"/>
      <c r="Y512" s="4"/>
    </row>
    <row r="513">
      <c r="A513" s="5"/>
      <c r="B513" s="9"/>
      <c r="C513" s="5"/>
      <c r="D513" s="9"/>
      <c r="E513" s="9"/>
      <c r="F513" s="9"/>
      <c r="G513" s="9"/>
      <c r="H513" s="9"/>
      <c r="I513" s="9"/>
      <c r="J513" s="5"/>
      <c r="K513" s="4"/>
      <c r="L513" s="10"/>
      <c r="M513" s="10"/>
      <c r="N513" s="10"/>
      <c r="O513" s="10"/>
      <c r="P513" s="10"/>
      <c r="Q513" s="11"/>
      <c r="R513" s="9"/>
      <c r="S513" s="12"/>
      <c r="T513" s="5"/>
      <c r="U513" s="5"/>
      <c r="V513" s="4"/>
      <c r="W513" s="4"/>
      <c r="X513" s="4"/>
      <c r="Y513" s="4"/>
    </row>
    <row r="514">
      <c r="A514" s="5"/>
      <c r="B514" s="9"/>
      <c r="C514" s="5"/>
      <c r="D514" s="9"/>
      <c r="E514" s="9"/>
      <c r="F514" s="9"/>
      <c r="G514" s="9"/>
      <c r="H514" s="9"/>
      <c r="I514" s="9"/>
      <c r="J514" s="5"/>
      <c r="K514" s="4"/>
      <c r="L514" s="10"/>
      <c r="M514" s="10"/>
      <c r="N514" s="10"/>
      <c r="O514" s="10"/>
      <c r="P514" s="10"/>
      <c r="Q514" s="11"/>
      <c r="R514" s="9"/>
      <c r="S514" s="12"/>
      <c r="T514" s="5"/>
      <c r="U514" s="5"/>
      <c r="V514" s="4"/>
      <c r="W514" s="4"/>
      <c r="X514" s="4"/>
      <c r="Y514" s="4"/>
    </row>
    <row r="515">
      <c r="A515" s="5"/>
      <c r="B515" s="9"/>
      <c r="C515" s="5"/>
      <c r="D515" s="9"/>
      <c r="E515" s="9"/>
      <c r="F515" s="9"/>
      <c r="G515" s="9"/>
      <c r="H515" s="9"/>
      <c r="I515" s="9"/>
      <c r="J515" s="5"/>
      <c r="K515" s="4"/>
      <c r="L515" s="10"/>
      <c r="M515" s="10"/>
      <c r="N515" s="10"/>
      <c r="O515" s="10"/>
      <c r="P515" s="10"/>
      <c r="Q515" s="11"/>
      <c r="R515" s="9"/>
      <c r="S515" s="12"/>
      <c r="T515" s="5"/>
      <c r="U515" s="5"/>
      <c r="V515" s="4"/>
      <c r="W515" s="4"/>
      <c r="X515" s="4"/>
      <c r="Y515" s="4"/>
    </row>
    <row r="516">
      <c r="A516" s="5"/>
      <c r="B516" s="9"/>
      <c r="C516" s="5"/>
      <c r="D516" s="9"/>
      <c r="E516" s="9"/>
      <c r="F516" s="9"/>
      <c r="G516" s="9"/>
      <c r="H516" s="9"/>
      <c r="I516" s="9"/>
      <c r="J516" s="5"/>
      <c r="K516" s="4"/>
      <c r="L516" s="10"/>
      <c r="M516" s="10"/>
      <c r="N516" s="10"/>
      <c r="O516" s="10"/>
      <c r="P516" s="10"/>
      <c r="Q516" s="11"/>
      <c r="R516" s="9"/>
      <c r="S516" s="12"/>
      <c r="T516" s="5"/>
      <c r="U516" s="5"/>
      <c r="V516" s="4"/>
      <c r="W516" s="4"/>
      <c r="X516" s="4"/>
      <c r="Y516" s="4"/>
    </row>
    <row r="517">
      <c r="A517" s="5"/>
      <c r="B517" s="9"/>
      <c r="C517" s="5"/>
      <c r="D517" s="9"/>
      <c r="E517" s="9"/>
      <c r="F517" s="9"/>
      <c r="G517" s="9"/>
      <c r="H517" s="9"/>
      <c r="I517" s="9"/>
      <c r="J517" s="5"/>
      <c r="K517" s="4"/>
      <c r="L517" s="10"/>
      <c r="M517" s="10"/>
      <c r="N517" s="10"/>
      <c r="O517" s="10"/>
      <c r="P517" s="10"/>
      <c r="Q517" s="11"/>
      <c r="R517" s="9"/>
      <c r="S517" s="12"/>
      <c r="T517" s="5"/>
      <c r="U517" s="5"/>
      <c r="V517" s="4"/>
      <c r="W517" s="4"/>
      <c r="X517" s="4"/>
      <c r="Y517" s="4"/>
    </row>
    <row r="518">
      <c r="A518" s="5"/>
      <c r="B518" s="9"/>
      <c r="C518" s="5"/>
      <c r="D518" s="9"/>
      <c r="E518" s="9"/>
      <c r="F518" s="9"/>
      <c r="G518" s="9"/>
      <c r="H518" s="9"/>
      <c r="I518" s="9"/>
      <c r="J518" s="5"/>
      <c r="K518" s="4"/>
      <c r="L518" s="10"/>
      <c r="M518" s="10"/>
      <c r="N518" s="10"/>
      <c r="O518" s="10"/>
      <c r="P518" s="10"/>
      <c r="Q518" s="11"/>
      <c r="R518" s="9"/>
      <c r="S518" s="12"/>
      <c r="T518" s="5"/>
      <c r="U518" s="5"/>
      <c r="V518" s="4"/>
      <c r="W518" s="4"/>
      <c r="X518" s="4"/>
      <c r="Y518" s="4"/>
    </row>
    <row r="519">
      <c r="A519" s="5"/>
      <c r="B519" s="9"/>
      <c r="C519" s="5"/>
      <c r="D519" s="9"/>
      <c r="E519" s="9"/>
      <c r="F519" s="9"/>
      <c r="G519" s="9"/>
      <c r="H519" s="9"/>
      <c r="I519" s="9"/>
      <c r="J519" s="5"/>
      <c r="K519" s="4"/>
      <c r="L519" s="10"/>
      <c r="M519" s="10"/>
      <c r="N519" s="10"/>
      <c r="O519" s="10"/>
      <c r="P519" s="10"/>
      <c r="Q519" s="11"/>
      <c r="R519" s="9"/>
      <c r="S519" s="12"/>
      <c r="T519" s="5"/>
      <c r="U519" s="5"/>
      <c r="V519" s="4"/>
      <c r="W519" s="4"/>
      <c r="X519" s="4"/>
      <c r="Y519" s="4"/>
    </row>
    <row r="520">
      <c r="A520" s="5"/>
      <c r="B520" s="9"/>
      <c r="C520" s="5"/>
      <c r="D520" s="9"/>
      <c r="E520" s="9"/>
      <c r="F520" s="9"/>
      <c r="G520" s="9"/>
      <c r="H520" s="9"/>
      <c r="I520" s="9"/>
      <c r="J520" s="5"/>
      <c r="K520" s="4"/>
      <c r="L520" s="10"/>
      <c r="M520" s="10"/>
      <c r="N520" s="10"/>
      <c r="O520" s="10"/>
      <c r="P520" s="10"/>
      <c r="Q520" s="11"/>
      <c r="R520" s="9"/>
      <c r="S520" s="12"/>
      <c r="T520" s="5"/>
      <c r="U520" s="5"/>
      <c r="V520" s="4"/>
      <c r="W520" s="4"/>
      <c r="X520" s="4"/>
      <c r="Y520" s="4"/>
    </row>
    <row r="521">
      <c r="A521" s="5"/>
      <c r="B521" s="9"/>
      <c r="C521" s="5"/>
      <c r="D521" s="9"/>
      <c r="E521" s="9"/>
      <c r="F521" s="9"/>
      <c r="G521" s="9"/>
      <c r="H521" s="9"/>
      <c r="I521" s="9"/>
      <c r="J521" s="5"/>
      <c r="K521" s="4"/>
      <c r="L521" s="10"/>
      <c r="M521" s="10"/>
      <c r="N521" s="10"/>
      <c r="O521" s="10"/>
      <c r="P521" s="10"/>
      <c r="Q521" s="11"/>
      <c r="R521" s="9"/>
      <c r="S521" s="12"/>
      <c r="T521" s="5"/>
      <c r="U521" s="5"/>
      <c r="V521" s="4"/>
      <c r="W521" s="4"/>
      <c r="X521" s="4"/>
      <c r="Y521" s="4"/>
    </row>
    <row r="522">
      <c r="A522" s="5"/>
      <c r="B522" s="9"/>
      <c r="C522" s="5"/>
      <c r="D522" s="9"/>
      <c r="E522" s="9"/>
      <c r="F522" s="9"/>
      <c r="G522" s="9"/>
      <c r="H522" s="9"/>
      <c r="I522" s="9"/>
      <c r="J522" s="5"/>
      <c r="K522" s="4"/>
      <c r="L522" s="10"/>
      <c r="M522" s="10"/>
      <c r="N522" s="10"/>
      <c r="O522" s="10"/>
      <c r="P522" s="10"/>
      <c r="Q522" s="11"/>
      <c r="R522" s="9"/>
      <c r="S522" s="12"/>
      <c r="T522" s="5"/>
      <c r="U522" s="5"/>
      <c r="V522" s="4"/>
      <c r="W522" s="4"/>
      <c r="X522" s="4"/>
      <c r="Y522" s="4"/>
    </row>
    <row r="523">
      <c r="A523" s="5"/>
      <c r="B523" s="9"/>
      <c r="C523" s="5"/>
      <c r="D523" s="9"/>
      <c r="E523" s="9"/>
      <c r="F523" s="9"/>
      <c r="G523" s="9"/>
      <c r="H523" s="9"/>
      <c r="I523" s="9"/>
      <c r="J523" s="5"/>
      <c r="K523" s="4"/>
      <c r="L523" s="10"/>
      <c r="M523" s="10"/>
      <c r="N523" s="10"/>
      <c r="O523" s="10"/>
      <c r="P523" s="10"/>
      <c r="Q523" s="11"/>
      <c r="R523" s="9"/>
      <c r="S523" s="12"/>
      <c r="T523" s="5"/>
      <c r="U523" s="5"/>
      <c r="V523" s="4"/>
      <c r="W523" s="4"/>
      <c r="X523" s="4"/>
      <c r="Y523" s="4"/>
    </row>
    <row r="524">
      <c r="A524" s="5"/>
      <c r="B524" s="9"/>
      <c r="C524" s="5"/>
      <c r="D524" s="9"/>
      <c r="E524" s="9"/>
      <c r="F524" s="9"/>
      <c r="G524" s="9"/>
      <c r="H524" s="9"/>
      <c r="I524" s="9"/>
      <c r="J524" s="5"/>
      <c r="K524" s="4"/>
      <c r="L524" s="10"/>
      <c r="M524" s="10"/>
      <c r="N524" s="10"/>
      <c r="O524" s="10"/>
      <c r="P524" s="10"/>
      <c r="Q524" s="11"/>
      <c r="R524" s="9"/>
      <c r="S524" s="12"/>
      <c r="T524" s="5"/>
      <c r="U524" s="5"/>
      <c r="V524" s="4"/>
      <c r="W524" s="4"/>
      <c r="X524" s="4"/>
      <c r="Y524" s="4"/>
    </row>
    <row r="525">
      <c r="A525" s="5"/>
      <c r="B525" s="9"/>
      <c r="C525" s="5"/>
      <c r="D525" s="9"/>
      <c r="E525" s="9"/>
      <c r="F525" s="9"/>
      <c r="G525" s="9"/>
      <c r="H525" s="9"/>
      <c r="I525" s="9"/>
      <c r="J525" s="5"/>
      <c r="K525" s="4"/>
      <c r="L525" s="10"/>
      <c r="M525" s="10"/>
      <c r="N525" s="10"/>
      <c r="O525" s="10"/>
      <c r="P525" s="10"/>
      <c r="Q525" s="11"/>
      <c r="R525" s="9"/>
      <c r="S525" s="12"/>
      <c r="T525" s="5"/>
      <c r="U525" s="5"/>
      <c r="V525" s="4"/>
      <c r="W525" s="4"/>
      <c r="X525" s="4"/>
      <c r="Y525" s="4"/>
    </row>
    <row r="526">
      <c r="A526" s="5"/>
      <c r="B526" s="9"/>
      <c r="C526" s="5"/>
      <c r="D526" s="9"/>
      <c r="E526" s="9"/>
      <c r="F526" s="9"/>
      <c r="G526" s="9"/>
      <c r="H526" s="9"/>
      <c r="I526" s="9"/>
      <c r="J526" s="5"/>
      <c r="K526" s="4"/>
      <c r="L526" s="10"/>
      <c r="M526" s="10"/>
      <c r="N526" s="10"/>
      <c r="O526" s="10"/>
      <c r="P526" s="10"/>
      <c r="Q526" s="11"/>
      <c r="R526" s="9"/>
      <c r="S526" s="12"/>
      <c r="T526" s="5"/>
      <c r="U526" s="5"/>
      <c r="V526" s="4"/>
      <c r="W526" s="4"/>
      <c r="X526" s="4"/>
      <c r="Y526" s="4"/>
    </row>
    <row r="527">
      <c r="A527" s="5"/>
      <c r="B527" s="9"/>
      <c r="C527" s="5"/>
      <c r="D527" s="9"/>
      <c r="E527" s="9"/>
      <c r="F527" s="9"/>
      <c r="G527" s="9"/>
      <c r="H527" s="9"/>
      <c r="I527" s="9"/>
      <c r="J527" s="5"/>
      <c r="K527" s="4"/>
      <c r="L527" s="10"/>
      <c r="M527" s="10"/>
      <c r="N527" s="10"/>
      <c r="O527" s="10"/>
      <c r="P527" s="10"/>
      <c r="Q527" s="11"/>
      <c r="R527" s="9"/>
      <c r="S527" s="12"/>
      <c r="T527" s="5"/>
      <c r="U527" s="5"/>
      <c r="V527" s="4"/>
      <c r="W527" s="4"/>
      <c r="X527" s="4"/>
      <c r="Y527" s="4"/>
    </row>
    <row r="528">
      <c r="A528" s="5"/>
      <c r="B528" s="9"/>
      <c r="C528" s="5"/>
      <c r="D528" s="9"/>
      <c r="E528" s="9"/>
      <c r="F528" s="9"/>
      <c r="G528" s="9"/>
      <c r="H528" s="9"/>
      <c r="I528" s="9"/>
      <c r="J528" s="5"/>
      <c r="K528" s="4"/>
      <c r="L528" s="10"/>
      <c r="M528" s="10"/>
      <c r="N528" s="10"/>
      <c r="O528" s="10"/>
      <c r="P528" s="10"/>
      <c r="Q528" s="11"/>
      <c r="R528" s="9"/>
      <c r="S528" s="12"/>
      <c r="T528" s="5"/>
      <c r="U528" s="5"/>
      <c r="V528" s="4"/>
      <c r="W528" s="4"/>
      <c r="X528" s="4"/>
      <c r="Y528" s="4"/>
    </row>
    <row r="529">
      <c r="A529" s="5"/>
      <c r="B529" s="9"/>
      <c r="C529" s="5"/>
      <c r="D529" s="9"/>
      <c r="E529" s="9"/>
      <c r="F529" s="9"/>
      <c r="G529" s="9"/>
      <c r="H529" s="9"/>
      <c r="I529" s="9"/>
      <c r="J529" s="5"/>
      <c r="K529" s="4"/>
      <c r="L529" s="10"/>
      <c r="M529" s="10"/>
      <c r="N529" s="10"/>
      <c r="O529" s="10"/>
      <c r="P529" s="10"/>
      <c r="Q529" s="11"/>
      <c r="R529" s="9"/>
      <c r="S529" s="12"/>
      <c r="T529" s="5"/>
      <c r="U529" s="5"/>
      <c r="V529" s="4"/>
      <c r="W529" s="4"/>
      <c r="X529" s="4"/>
      <c r="Y529" s="4"/>
    </row>
    <row r="530">
      <c r="A530" s="5"/>
      <c r="B530" s="9"/>
      <c r="C530" s="5"/>
      <c r="D530" s="9"/>
      <c r="E530" s="9"/>
      <c r="F530" s="9"/>
      <c r="G530" s="9"/>
      <c r="H530" s="9"/>
      <c r="I530" s="9"/>
      <c r="J530" s="5"/>
      <c r="K530" s="4"/>
      <c r="L530" s="10"/>
      <c r="M530" s="10"/>
      <c r="N530" s="10"/>
      <c r="O530" s="10"/>
      <c r="P530" s="10"/>
      <c r="Q530" s="11"/>
      <c r="R530" s="9"/>
      <c r="S530" s="12"/>
      <c r="T530" s="5"/>
      <c r="U530" s="5"/>
      <c r="V530" s="4"/>
      <c r="W530" s="4"/>
      <c r="X530" s="4"/>
      <c r="Y530" s="4"/>
    </row>
    <row r="531">
      <c r="A531" s="5"/>
      <c r="B531" s="9"/>
      <c r="C531" s="5"/>
      <c r="D531" s="9"/>
      <c r="E531" s="9"/>
      <c r="F531" s="9"/>
      <c r="G531" s="9"/>
      <c r="H531" s="9"/>
      <c r="I531" s="9"/>
      <c r="J531" s="5"/>
      <c r="K531" s="4"/>
      <c r="L531" s="10"/>
      <c r="M531" s="10"/>
      <c r="N531" s="10"/>
      <c r="O531" s="10"/>
      <c r="P531" s="10"/>
      <c r="Q531" s="11"/>
      <c r="R531" s="9"/>
      <c r="S531" s="12"/>
      <c r="T531" s="5"/>
      <c r="U531" s="5"/>
      <c r="V531" s="4"/>
      <c r="W531" s="4"/>
      <c r="X531" s="4"/>
      <c r="Y531" s="4"/>
    </row>
    <row r="532">
      <c r="A532" s="5"/>
      <c r="B532" s="9"/>
      <c r="C532" s="5"/>
      <c r="D532" s="9"/>
      <c r="E532" s="9"/>
      <c r="F532" s="9"/>
      <c r="G532" s="9"/>
      <c r="H532" s="9"/>
      <c r="I532" s="9"/>
      <c r="J532" s="5"/>
      <c r="K532" s="4"/>
      <c r="L532" s="10"/>
      <c r="M532" s="10"/>
      <c r="N532" s="10"/>
      <c r="O532" s="10"/>
      <c r="P532" s="10"/>
      <c r="Q532" s="11"/>
      <c r="R532" s="9"/>
      <c r="S532" s="12"/>
      <c r="T532" s="5"/>
      <c r="U532" s="5"/>
      <c r="V532" s="4"/>
      <c r="W532" s="4"/>
      <c r="X532" s="4"/>
      <c r="Y532" s="4"/>
    </row>
    <row r="533">
      <c r="A533" s="5"/>
      <c r="B533" s="9"/>
      <c r="C533" s="5"/>
      <c r="D533" s="9"/>
      <c r="E533" s="9"/>
      <c r="F533" s="9"/>
      <c r="G533" s="9"/>
      <c r="H533" s="9"/>
      <c r="I533" s="9"/>
      <c r="J533" s="5"/>
      <c r="K533" s="4"/>
      <c r="L533" s="10"/>
      <c r="M533" s="10"/>
      <c r="N533" s="10"/>
      <c r="O533" s="10"/>
      <c r="P533" s="10"/>
      <c r="Q533" s="11"/>
      <c r="R533" s="9"/>
      <c r="S533" s="12"/>
      <c r="T533" s="5"/>
      <c r="U533" s="5"/>
      <c r="V533" s="4"/>
      <c r="W533" s="4"/>
      <c r="X533" s="4"/>
      <c r="Y533" s="4"/>
    </row>
    <row r="534">
      <c r="A534" s="5"/>
      <c r="B534" s="9"/>
      <c r="C534" s="5"/>
      <c r="D534" s="9"/>
      <c r="E534" s="9"/>
      <c r="F534" s="9"/>
      <c r="G534" s="9"/>
      <c r="H534" s="9"/>
      <c r="I534" s="9"/>
      <c r="J534" s="5"/>
      <c r="K534" s="4"/>
      <c r="L534" s="10"/>
      <c r="M534" s="10"/>
      <c r="N534" s="10"/>
      <c r="O534" s="10"/>
      <c r="P534" s="10"/>
      <c r="Q534" s="11"/>
      <c r="R534" s="9"/>
      <c r="S534" s="12"/>
      <c r="T534" s="5"/>
      <c r="U534" s="5"/>
      <c r="V534" s="4"/>
      <c r="W534" s="4"/>
      <c r="X534" s="4"/>
      <c r="Y534" s="4"/>
    </row>
    <row r="535">
      <c r="A535" s="5"/>
      <c r="B535" s="9"/>
      <c r="C535" s="5"/>
      <c r="D535" s="9"/>
      <c r="E535" s="9"/>
      <c r="F535" s="9"/>
      <c r="G535" s="9"/>
      <c r="H535" s="9"/>
      <c r="I535" s="9"/>
      <c r="J535" s="5"/>
      <c r="K535" s="4"/>
      <c r="L535" s="10"/>
      <c r="M535" s="10"/>
      <c r="N535" s="10"/>
      <c r="O535" s="10"/>
      <c r="P535" s="10"/>
      <c r="Q535" s="11"/>
      <c r="R535" s="9"/>
      <c r="S535" s="12"/>
      <c r="T535" s="5"/>
      <c r="U535" s="5"/>
      <c r="V535" s="4"/>
      <c r="W535" s="4"/>
      <c r="X535" s="4"/>
      <c r="Y535" s="4"/>
    </row>
    <row r="536">
      <c r="A536" s="5"/>
      <c r="B536" s="9"/>
      <c r="C536" s="5"/>
      <c r="D536" s="9"/>
      <c r="E536" s="9"/>
      <c r="F536" s="9"/>
      <c r="G536" s="9"/>
      <c r="H536" s="9"/>
      <c r="I536" s="9"/>
      <c r="J536" s="5"/>
      <c r="K536" s="4"/>
      <c r="L536" s="10"/>
      <c r="M536" s="10"/>
      <c r="N536" s="10"/>
      <c r="O536" s="10"/>
      <c r="P536" s="10"/>
      <c r="Q536" s="11"/>
      <c r="R536" s="9"/>
      <c r="S536" s="12"/>
      <c r="T536" s="5"/>
      <c r="U536" s="5"/>
      <c r="V536" s="4"/>
      <c r="W536" s="4"/>
      <c r="X536" s="4"/>
      <c r="Y536" s="4"/>
    </row>
    <row r="537">
      <c r="A537" s="5"/>
      <c r="B537" s="9"/>
      <c r="C537" s="5"/>
      <c r="D537" s="9"/>
      <c r="E537" s="9"/>
      <c r="F537" s="9"/>
      <c r="G537" s="9"/>
      <c r="H537" s="9"/>
      <c r="I537" s="9"/>
      <c r="J537" s="5"/>
      <c r="K537" s="4"/>
      <c r="L537" s="10"/>
      <c r="M537" s="10"/>
      <c r="N537" s="10"/>
      <c r="O537" s="10"/>
      <c r="P537" s="10"/>
      <c r="Q537" s="11"/>
      <c r="R537" s="9"/>
      <c r="S537" s="12"/>
      <c r="T537" s="5"/>
      <c r="U537" s="5"/>
      <c r="V537" s="4"/>
      <c r="W537" s="4"/>
      <c r="X537" s="4"/>
      <c r="Y537" s="4"/>
    </row>
    <row r="538">
      <c r="A538" s="5"/>
      <c r="B538" s="9"/>
      <c r="C538" s="5"/>
      <c r="D538" s="9"/>
      <c r="E538" s="9"/>
      <c r="F538" s="9"/>
      <c r="G538" s="9"/>
      <c r="H538" s="9"/>
      <c r="I538" s="9"/>
      <c r="J538" s="5"/>
      <c r="K538" s="4"/>
      <c r="L538" s="10"/>
      <c r="M538" s="10"/>
      <c r="N538" s="10"/>
      <c r="O538" s="10"/>
      <c r="P538" s="10"/>
      <c r="Q538" s="11"/>
      <c r="R538" s="9"/>
      <c r="S538" s="12"/>
      <c r="T538" s="5"/>
      <c r="U538" s="5"/>
      <c r="V538" s="4"/>
      <c r="W538" s="4"/>
      <c r="X538" s="4"/>
      <c r="Y538" s="4"/>
    </row>
    <row r="539">
      <c r="A539" s="5"/>
      <c r="B539" s="9"/>
      <c r="C539" s="5"/>
      <c r="D539" s="9"/>
      <c r="E539" s="9"/>
      <c r="F539" s="9"/>
      <c r="G539" s="9"/>
      <c r="H539" s="9"/>
      <c r="I539" s="9"/>
      <c r="J539" s="5"/>
      <c r="K539" s="4"/>
      <c r="L539" s="10"/>
      <c r="M539" s="10"/>
      <c r="N539" s="10"/>
      <c r="O539" s="10"/>
      <c r="P539" s="10"/>
      <c r="Q539" s="11"/>
      <c r="R539" s="9"/>
      <c r="S539" s="12"/>
      <c r="T539" s="5"/>
      <c r="U539" s="5"/>
      <c r="V539" s="4"/>
      <c r="W539" s="4"/>
      <c r="X539" s="4"/>
      <c r="Y539" s="4"/>
    </row>
    <row r="540">
      <c r="A540" s="5"/>
      <c r="B540" s="9"/>
      <c r="C540" s="5"/>
      <c r="D540" s="9"/>
      <c r="E540" s="9"/>
      <c r="F540" s="9"/>
      <c r="G540" s="9"/>
      <c r="H540" s="9"/>
      <c r="I540" s="9"/>
      <c r="J540" s="5"/>
      <c r="K540" s="4"/>
      <c r="L540" s="10"/>
      <c r="M540" s="10"/>
      <c r="N540" s="10"/>
      <c r="O540" s="10"/>
      <c r="P540" s="10"/>
      <c r="Q540" s="11"/>
      <c r="R540" s="9"/>
      <c r="S540" s="12"/>
      <c r="T540" s="5"/>
      <c r="U540" s="5"/>
      <c r="V540" s="4"/>
      <c r="W540" s="4"/>
      <c r="X540" s="4"/>
      <c r="Y540" s="4"/>
    </row>
    <row r="541">
      <c r="A541" s="5"/>
      <c r="B541" s="9"/>
      <c r="C541" s="5"/>
      <c r="D541" s="9"/>
      <c r="E541" s="9"/>
      <c r="F541" s="9"/>
      <c r="G541" s="9"/>
      <c r="H541" s="9"/>
      <c r="I541" s="9"/>
      <c r="J541" s="5"/>
      <c r="K541" s="4"/>
      <c r="L541" s="10"/>
      <c r="M541" s="10"/>
      <c r="N541" s="10"/>
      <c r="O541" s="10"/>
      <c r="P541" s="10"/>
      <c r="Q541" s="11"/>
      <c r="R541" s="9"/>
      <c r="S541" s="12"/>
      <c r="T541" s="5"/>
      <c r="U541" s="5"/>
      <c r="V541" s="4"/>
      <c r="W541" s="4"/>
      <c r="X541" s="4"/>
      <c r="Y541" s="4"/>
    </row>
    <row r="542">
      <c r="A542" s="5"/>
      <c r="B542" s="9"/>
      <c r="C542" s="5"/>
      <c r="D542" s="9"/>
      <c r="E542" s="9"/>
      <c r="F542" s="9"/>
      <c r="G542" s="9"/>
      <c r="H542" s="9"/>
      <c r="I542" s="9"/>
      <c r="J542" s="5"/>
      <c r="K542" s="4"/>
      <c r="L542" s="10"/>
      <c r="M542" s="10"/>
      <c r="N542" s="10"/>
      <c r="O542" s="10"/>
      <c r="P542" s="10"/>
      <c r="Q542" s="11"/>
      <c r="R542" s="9"/>
      <c r="S542" s="12"/>
      <c r="T542" s="5"/>
      <c r="U542" s="5"/>
      <c r="V542" s="4"/>
      <c r="W542" s="4"/>
      <c r="X542" s="4"/>
      <c r="Y542" s="4"/>
    </row>
    <row r="543">
      <c r="A543" s="5"/>
      <c r="B543" s="9"/>
      <c r="C543" s="5"/>
      <c r="D543" s="9"/>
      <c r="E543" s="9"/>
      <c r="F543" s="9"/>
      <c r="G543" s="9"/>
      <c r="H543" s="9"/>
      <c r="I543" s="9"/>
      <c r="J543" s="5"/>
      <c r="K543" s="4"/>
      <c r="L543" s="10"/>
      <c r="M543" s="10"/>
      <c r="N543" s="10"/>
      <c r="O543" s="10"/>
      <c r="P543" s="10"/>
      <c r="Q543" s="11"/>
      <c r="R543" s="9"/>
      <c r="S543" s="12"/>
      <c r="T543" s="5"/>
      <c r="U543" s="5"/>
      <c r="V543" s="4"/>
      <c r="W543" s="4"/>
      <c r="X543" s="4"/>
      <c r="Y543" s="4"/>
    </row>
    <row r="544">
      <c r="A544" s="5"/>
      <c r="B544" s="9"/>
      <c r="C544" s="5"/>
      <c r="D544" s="9"/>
      <c r="E544" s="9"/>
      <c r="F544" s="9"/>
      <c r="G544" s="9"/>
      <c r="H544" s="9"/>
      <c r="I544" s="9"/>
      <c r="J544" s="5"/>
      <c r="K544" s="4"/>
      <c r="L544" s="10"/>
      <c r="M544" s="10"/>
      <c r="N544" s="10"/>
      <c r="O544" s="10"/>
      <c r="P544" s="10"/>
      <c r="Q544" s="11"/>
      <c r="R544" s="9"/>
      <c r="S544" s="12"/>
      <c r="T544" s="5"/>
      <c r="U544" s="5"/>
      <c r="V544" s="4"/>
      <c r="W544" s="4"/>
      <c r="X544" s="4"/>
      <c r="Y544" s="4"/>
    </row>
    <row r="545">
      <c r="A545" s="5"/>
      <c r="B545" s="9"/>
      <c r="C545" s="5"/>
      <c r="D545" s="9"/>
      <c r="E545" s="9"/>
      <c r="F545" s="9"/>
      <c r="G545" s="9"/>
      <c r="H545" s="9"/>
      <c r="I545" s="9"/>
      <c r="J545" s="5"/>
      <c r="K545" s="4"/>
      <c r="L545" s="10"/>
      <c r="M545" s="10"/>
      <c r="N545" s="10"/>
      <c r="O545" s="10"/>
      <c r="P545" s="10"/>
      <c r="Q545" s="11"/>
      <c r="R545" s="9"/>
      <c r="S545" s="12"/>
      <c r="T545" s="5"/>
      <c r="U545" s="5"/>
      <c r="V545" s="4"/>
      <c r="W545" s="4"/>
      <c r="X545" s="4"/>
      <c r="Y545" s="4"/>
    </row>
    <row r="546">
      <c r="A546" s="5"/>
      <c r="B546" s="9"/>
      <c r="C546" s="5"/>
      <c r="D546" s="9"/>
      <c r="E546" s="9"/>
      <c r="F546" s="9"/>
      <c r="G546" s="9"/>
      <c r="H546" s="9"/>
      <c r="I546" s="9"/>
      <c r="J546" s="5"/>
      <c r="K546" s="4"/>
      <c r="L546" s="10"/>
      <c r="M546" s="10"/>
      <c r="N546" s="10"/>
      <c r="O546" s="10"/>
      <c r="P546" s="10"/>
      <c r="Q546" s="11"/>
      <c r="R546" s="9"/>
      <c r="S546" s="12"/>
      <c r="T546" s="5"/>
      <c r="U546" s="5"/>
      <c r="V546" s="4"/>
      <c r="W546" s="4"/>
      <c r="X546" s="4"/>
      <c r="Y546" s="4"/>
    </row>
    <row r="547">
      <c r="A547" s="5"/>
      <c r="B547" s="9"/>
      <c r="C547" s="5"/>
      <c r="D547" s="9"/>
      <c r="E547" s="9"/>
      <c r="F547" s="9"/>
      <c r="G547" s="9"/>
      <c r="H547" s="9"/>
      <c r="I547" s="9"/>
      <c r="J547" s="5"/>
      <c r="K547" s="4"/>
      <c r="L547" s="10"/>
      <c r="M547" s="10"/>
      <c r="N547" s="10"/>
      <c r="O547" s="10"/>
      <c r="P547" s="10"/>
      <c r="Q547" s="11"/>
      <c r="R547" s="9"/>
      <c r="S547" s="12"/>
      <c r="T547" s="5"/>
      <c r="U547" s="5"/>
      <c r="V547" s="4"/>
      <c r="W547" s="4"/>
      <c r="X547" s="4"/>
      <c r="Y547" s="4"/>
    </row>
    <row r="548">
      <c r="A548" s="5"/>
      <c r="B548" s="9"/>
      <c r="C548" s="5"/>
      <c r="D548" s="9"/>
      <c r="E548" s="9"/>
      <c r="F548" s="9"/>
      <c r="G548" s="9"/>
      <c r="H548" s="9"/>
      <c r="I548" s="9"/>
      <c r="J548" s="5"/>
      <c r="K548" s="4"/>
      <c r="L548" s="10"/>
      <c r="M548" s="10"/>
      <c r="N548" s="10"/>
      <c r="O548" s="10"/>
      <c r="P548" s="10"/>
      <c r="Q548" s="11"/>
      <c r="R548" s="9"/>
      <c r="S548" s="12"/>
      <c r="T548" s="5"/>
      <c r="U548" s="5"/>
      <c r="V548" s="4"/>
      <c r="W548" s="4"/>
      <c r="X548" s="4"/>
      <c r="Y548" s="4"/>
    </row>
    <row r="549">
      <c r="A549" s="5"/>
      <c r="B549" s="9"/>
      <c r="C549" s="5"/>
      <c r="D549" s="9"/>
      <c r="E549" s="9"/>
      <c r="F549" s="9"/>
      <c r="G549" s="9"/>
      <c r="H549" s="9"/>
      <c r="I549" s="9"/>
      <c r="J549" s="5"/>
      <c r="K549" s="4"/>
      <c r="L549" s="10"/>
      <c r="M549" s="10"/>
      <c r="N549" s="10"/>
      <c r="O549" s="10"/>
      <c r="P549" s="10"/>
      <c r="Q549" s="11"/>
      <c r="R549" s="9"/>
      <c r="S549" s="12"/>
      <c r="T549" s="5"/>
      <c r="U549" s="5"/>
      <c r="V549" s="4"/>
      <c r="W549" s="4"/>
      <c r="X549" s="4"/>
      <c r="Y549" s="4"/>
    </row>
    <row r="550">
      <c r="A550" s="5"/>
      <c r="B550" s="9"/>
      <c r="C550" s="5"/>
      <c r="D550" s="9"/>
      <c r="E550" s="9"/>
      <c r="F550" s="9"/>
      <c r="G550" s="9"/>
      <c r="H550" s="9"/>
      <c r="I550" s="9"/>
      <c r="J550" s="5"/>
      <c r="K550" s="4"/>
      <c r="L550" s="10"/>
      <c r="M550" s="10"/>
      <c r="N550" s="10"/>
      <c r="O550" s="10"/>
      <c r="P550" s="10"/>
      <c r="Q550" s="11"/>
      <c r="R550" s="9"/>
      <c r="S550" s="12"/>
      <c r="T550" s="5"/>
      <c r="U550" s="5"/>
      <c r="V550" s="4"/>
      <c r="W550" s="4"/>
      <c r="X550" s="4"/>
      <c r="Y550" s="4"/>
    </row>
    <row r="551">
      <c r="A551" s="5"/>
      <c r="B551" s="9"/>
      <c r="C551" s="5"/>
      <c r="D551" s="9"/>
      <c r="E551" s="9"/>
      <c r="F551" s="9"/>
      <c r="G551" s="9"/>
      <c r="H551" s="9"/>
      <c r="I551" s="9"/>
      <c r="J551" s="5"/>
      <c r="K551" s="4"/>
      <c r="L551" s="10"/>
      <c r="M551" s="10"/>
      <c r="N551" s="10"/>
      <c r="O551" s="10"/>
      <c r="P551" s="10"/>
      <c r="Q551" s="11"/>
      <c r="R551" s="9"/>
      <c r="S551" s="12"/>
      <c r="T551" s="5"/>
      <c r="U551" s="5"/>
      <c r="V551" s="4"/>
      <c r="W551" s="4"/>
      <c r="X551" s="4"/>
      <c r="Y551" s="4"/>
    </row>
    <row r="552">
      <c r="A552" s="5"/>
      <c r="B552" s="9"/>
      <c r="C552" s="5"/>
      <c r="D552" s="9"/>
      <c r="E552" s="9"/>
      <c r="F552" s="9"/>
      <c r="G552" s="9"/>
      <c r="H552" s="9"/>
      <c r="I552" s="9"/>
      <c r="J552" s="5"/>
      <c r="K552" s="4"/>
      <c r="L552" s="10"/>
      <c r="M552" s="10"/>
      <c r="N552" s="10"/>
      <c r="O552" s="10"/>
      <c r="P552" s="10"/>
      <c r="Q552" s="11"/>
      <c r="R552" s="9"/>
      <c r="S552" s="12"/>
      <c r="T552" s="5"/>
      <c r="U552" s="5"/>
      <c r="V552" s="4"/>
      <c r="W552" s="4"/>
      <c r="X552" s="4"/>
      <c r="Y552" s="4"/>
    </row>
    <row r="553">
      <c r="A553" s="5"/>
      <c r="B553" s="9"/>
      <c r="C553" s="5"/>
      <c r="D553" s="9"/>
      <c r="E553" s="9"/>
      <c r="F553" s="9"/>
      <c r="G553" s="9"/>
      <c r="H553" s="9"/>
      <c r="I553" s="9"/>
      <c r="J553" s="5"/>
      <c r="K553" s="4"/>
      <c r="L553" s="10"/>
      <c r="M553" s="10"/>
      <c r="N553" s="10"/>
      <c r="O553" s="10"/>
      <c r="P553" s="10"/>
      <c r="Q553" s="11"/>
      <c r="R553" s="9"/>
      <c r="S553" s="12"/>
      <c r="T553" s="5"/>
      <c r="U553" s="5"/>
      <c r="V553" s="4"/>
      <c r="W553" s="4"/>
      <c r="X553" s="4"/>
      <c r="Y553" s="4"/>
    </row>
    <row r="554">
      <c r="A554" s="5"/>
      <c r="B554" s="9"/>
      <c r="C554" s="5"/>
      <c r="D554" s="9"/>
      <c r="E554" s="9"/>
      <c r="F554" s="9"/>
      <c r="G554" s="9"/>
      <c r="H554" s="9"/>
      <c r="I554" s="9"/>
      <c r="J554" s="5"/>
      <c r="K554" s="4"/>
      <c r="L554" s="10"/>
      <c r="M554" s="10"/>
      <c r="N554" s="10"/>
      <c r="O554" s="10"/>
      <c r="P554" s="10"/>
      <c r="Q554" s="11"/>
      <c r="R554" s="9"/>
      <c r="S554" s="12"/>
      <c r="T554" s="5"/>
      <c r="U554" s="5"/>
      <c r="V554" s="4"/>
      <c r="W554" s="4"/>
      <c r="X554" s="4"/>
      <c r="Y554" s="4"/>
    </row>
    <row r="555">
      <c r="A555" s="5"/>
      <c r="B555" s="9"/>
      <c r="C555" s="5"/>
      <c r="D555" s="9"/>
      <c r="E555" s="9"/>
      <c r="F555" s="9"/>
      <c r="G555" s="9"/>
      <c r="H555" s="9"/>
      <c r="I555" s="9"/>
      <c r="J555" s="5"/>
      <c r="K555" s="4"/>
      <c r="L555" s="10"/>
      <c r="M555" s="10"/>
      <c r="N555" s="10"/>
      <c r="O555" s="10"/>
      <c r="P555" s="10"/>
      <c r="Q555" s="11"/>
      <c r="R555" s="9"/>
      <c r="S555" s="12"/>
      <c r="T555" s="5"/>
      <c r="U555" s="5"/>
      <c r="V555" s="4"/>
      <c r="W555" s="4"/>
      <c r="X555" s="4"/>
      <c r="Y555" s="4"/>
    </row>
    <row r="556">
      <c r="A556" s="5"/>
      <c r="B556" s="9"/>
      <c r="C556" s="5"/>
      <c r="D556" s="9"/>
      <c r="E556" s="9"/>
      <c r="F556" s="9"/>
      <c r="G556" s="9"/>
      <c r="H556" s="9"/>
      <c r="I556" s="9"/>
      <c r="J556" s="5"/>
      <c r="K556" s="4"/>
      <c r="L556" s="10"/>
      <c r="M556" s="10"/>
      <c r="N556" s="10"/>
      <c r="O556" s="10"/>
      <c r="P556" s="10"/>
      <c r="Q556" s="11"/>
      <c r="R556" s="9"/>
      <c r="S556" s="12"/>
      <c r="T556" s="5"/>
      <c r="U556" s="5"/>
      <c r="V556" s="4"/>
      <c r="W556" s="4"/>
      <c r="X556" s="4"/>
      <c r="Y556" s="4"/>
    </row>
    <row r="557">
      <c r="A557" s="5"/>
      <c r="B557" s="9"/>
      <c r="C557" s="5"/>
      <c r="D557" s="9"/>
      <c r="E557" s="9"/>
      <c r="F557" s="9"/>
      <c r="G557" s="9"/>
      <c r="H557" s="9"/>
      <c r="I557" s="9"/>
      <c r="J557" s="5"/>
      <c r="K557" s="4"/>
      <c r="L557" s="10"/>
      <c r="M557" s="10"/>
      <c r="N557" s="10"/>
      <c r="O557" s="10"/>
      <c r="P557" s="10"/>
      <c r="Q557" s="11"/>
      <c r="R557" s="9"/>
      <c r="S557" s="12"/>
      <c r="T557" s="5"/>
      <c r="U557" s="5"/>
      <c r="V557" s="4"/>
      <c r="W557" s="4"/>
      <c r="X557" s="4"/>
      <c r="Y557" s="4"/>
    </row>
    <row r="558">
      <c r="A558" s="5"/>
      <c r="B558" s="9"/>
      <c r="C558" s="5"/>
      <c r="D558" s="9"/>
      <c r="E558" s="9"/>
      <c r="F558" s="9"/>
      <c r="G558" s="9"/>
      <c r="H558" s="9"/>
      <c r="I558" s="9"/>
      <c r="J558" s="5"/>
      <c r="K558" s="4"/>
      <c r="L558" s="10"/>
      <c r="M558" s="10"/>
      <c r="N558" s="10"/>
      <c r="O558" s="10"/>
      <c r="P558" s="10"/>
      <c r="Q558" s="11"/>
      <c r="R558" s="9"/>
      <c r="S558" s="12"/>
      <c r="T558" s="5"/>
      <c r="U558" s="5"/>
      <c r="V558" s="4"/>
      <c r="W558" s="4"/>
      <c r="X558" s="4"/>
      <c r="Y558" s="4"/>
    </row>
    <row r="559">
      <c r="A559" s="5"/>
      <c r="B559" s="9"/>
      <c r="C559" s="5"/>
      <c r="D559" s="9"/>
      <c r="E559" s="9"/>
      <c r="F559" s="9"/>
      <c r="G559" s="9"/>
      <c r="H559" s="9"/>
      <c r="I559" s="9"/>
      <c r="J559" s="5"/>
      <c r="K559" s="4"/>
      <c r="L559" s="10"/>
      <c r="M559" s="10"/>
      <c r="N559" s="10"/>
      <c r="O559" s="10"/>
      <c r="P559" s="10"/>
      <c r="Q559" s="11"/>
      <c r="R559" s="9"/>
      <c r="S559" s="12"/>
      <c r="T559" s="5"/>
      <c r="U559" s="5"/>
      <c r="V559" s="4"/>
      <c r="W559" s="4"/>
      <c r="X559" s="4"/>
      <c r="Y559" s="4"/>
    </row>
    <row r="560">
      <c r="A560" s="5"/>
      <c r="B560" s="9"/>
      <c r="C560" s="5"/>
      <c r="D560" s="9"/>
      <c r="E560" s="9"/>
      <c r="F560" s="9"/>
      <c r="G560" s="9"/>
      <c r="H560" s="9"/>
      <c r="I560" s="9"/>
      <c r="J560" s="5"/>
      <c r="K560" s="4"/>
      <c r="L560" s="10"/>
      <c r="M560" s="10"/>
      <c r="N560" s="10"/>
      <c r="O560" s="10"/>
      <c r="P560" s="10"/>
      <c r="Q560" s="11"/>
      <c r="R560" s="9"/>
      <c r="S560" s="12"/>
      <c r="T560" s="5"/>
      <c r="U560" s="5"/>
      <c r="V560" s="4"/>
      <c r="W560" s="4"/>
      <c r="X560" s="4"/>
      <c r="Y560" s="4"/>
    </row>
    <row r="561">
      <c r="A561" s="5"/>
      <c r="B561" s="9"/>
      <c r="C561" s="5"/>
      <c r="D561" s="9"/>
      <c r="E561" s="9"/>
      <c r="F561" s="9"/>
      <c r="G561" s="9"/>
      <c r="H561" s="9"/>
      <c r="I561" s="9"/>
      <c r="J561" s="5"/>
      <c r="K561" s="4"/>
      <c r="L561" s="10"/>
      <c r="M561" s="10"/>
      <c r="N561" s="10"/>
      <c r="O561" s="10"/>
      <c r="P561" s="10"/>
      <c r="Q561" s="11"/>
      <c r="R561" s="9"/>
      <c r="S561" s="12"/>
      <c r="T561" s="5"/>
      <c r="U561" s="5"/>
      <c r="V561" s="4"/>
      <c r="W561" s="4"/>
      <c r="X561" s="4"/>
      <c r="Y561" s="4"/>
    </row>
    <row r="562">
      <c r="A562" s="5"/>
      <c r="B562" s="9"/>
      <c r="C562" s="5"/>
      <c r="D562" s="9"/>
      <c r="E562" s="9"/>
      <c r="F562" s="9"/>
      <c r="G562" s="9"/>
      <c r="H562" s="9"/>
      <c r="I562" s="9"/>
      <c r="J562" s="5"/>
      <c r="K562" s="4"/>
      <c r="L562" s="10"/>
      <c r="M562" s="10"/>
      <c r="N562" s="10"/>
      <c r="O562" s="10"/>
      <c r="P562" s="10"/>
      <c r="Q562" s="11"/>
      <c r="R562" s="9"/>
      <c r="S562" s="12"/>
      <c r="T562" s="5"/>
      <c r="U562" s="5"/>
      <c r="V562" s="4"/>
      <c r="W562" s="4"/>
      <c r="X562" s="4"/>
      <c r="Y562" s="4"/>
    </row>
    <row r="563">
      <c r="A563" s="5"/>
      <c r="B563" s="9"/>
      <c r="C563" s="5"/>
      <c r="D563" s="9"/>
      <c r="E563" s="9"/>
      <c r="F563" s="9"/>
      <c r="G563" s="9"/>
      <c r="H563" s="9"/>
      <c r="I563" s="9"/>
      <c r="J563" s="5"/>
      <c r="K563" s="4"/>
      <c r="L563" s="10"/>
      <c r="M563" s="10"/>
      <c r="N563" s="10"/>
      <c r="O563" s="10"/>
      <c r="P563" s="10"/>
      <c r="Q563" s="11"/>
      <c r="R563" s="9"/>
      <c r="S563" s="12"/>
      <c r="T563" s="5"/>
      <c r="U563" s="5"/>
      <c r="V563" s="4"/>
      <c r="W563" s="4"/>
      <c r="X563" s="4"/>
      <c r="Y563" s="4"/>
    </row>
    <row r="564">
      <c r="A564" s="5"/>
      <c r="B564" s="9"/>
      <c r="C564" s="5"/>
      <c r="D564" s="9"/>
      <c r="E564" s="9"/>
      <c r="F564" s="9"/>
      <c r="G564" s="9"/>
      <c r="H564" s="9"/>
      <c r="I564" s="9"/>
      <c r="J564" s="5"/>
      <c r="K564" s="4"/>
      <c r="L564" s="10"/>
      <c r="M564" s="10"/>
      <c r="N564" s="10"/>
      <c r="O564" s="10"/>
      <c r="P564" s="10"/>
      <c r="Q564" s="11"/>
      <c r="R564" s="9"/>
      <c r="S564" s="12"/>
      <c r="T564" s="5"/>
      <c r="U564" s="5"/>
      <c r="V564" s="4"/>
      <c r="W564" s="4"/>
      <c r="X564" s="4"/>
      <c r="Y564" s="4"/>
    </row>
    <row r="565">
      <c r="A565" s="5"/>
      <c r="B565" s="9"/>
      <c r="C565" s="5"/>
      <c r="D565" s="9"/>
      <c r="E565" s="9"/>
      <c r="F565" s="9"/>
      <c r="G565" s="9"/>
      <c r="H565" s="9"/>
      <c r="I565" s="9"/>
      <c r="J565" s="5"/>
      <c r="K565" s="4"/>
      <c r="L565" s="10"/>
      <c r="M565" s="10"/>
      <c r="N565" s="10"/>
      <c r="O565" s="10"/>
      <c r="P565" s="10"/>
      <c r="Q565" s="11"/>
      <c r="R565" s="9"/>
      <c r="S565" s="12"/>
      <c r="T565" s="5"/>
      <c r="U565" s="5"/>
      <c r="V565" s="4"/>
      <c r="W565" s="4"/>
      <c r="X565" s="4"/>
      <c r="Y565" s="4"/>
    </row>
    <row r="566">
      <c r="A566" s="5"/>
      <c r="B566" s="9"/>
      <c r="C566" s="5"/>
      <c r="D566" s="9"/>
      <c r="E566" s="9"/>
      <c r="F566" s="9"/>
      <c r="G566" s="9"/>
      <c r="H566" s="9"/>
      <c r="I566" s="9"/>
      <c r="J566" s="5"/>
      <c r="K566" s="4"/>
      <c r="L566" s="10"/>
      <c r="M566" s="10"/>
      <c r="N566" s="10"/>
      <c r="O566" s="10"/>
      <c r="P566" s="10"/>
      <c r="Q566" s="11"/>
      <c r="R566" s="9"/>
      <c r="S566" s="12"/>
      <c r="T566" s="5"/>
      <c r="U566" s="5"/>
      <c r="V566" s="4"/>
      <c r="W566" s="4"/>
      <c r="X566" s="4"/>
      <c r="Y566" s="4"/>
    </row>
    <row r="567">
      <c r="A567" s="5"/>
      <c r="B567" s="9"/>
      <c r="C567" s="5"/>
      <c r="D567" s="9"/>
      <c r="E567" s="9"/>
      <c r="F567" s="9"/>
      <c r="G567" s="9"/>
      <c r="H567" s="9"/>
      <c r="I567" s="9"/>
      <c r="J567" s="5"/>
      <c r="K567" s="4"/>
      <c r="L567" s="10"/>
      <c r="M567" s="10"/>
      <c r="N567" s="10"/>
      <c r="O567" s="10"/>
      <c r="P567" s="10"/>
      <c r="Q567" s="11"/>
      <c r="R567" s="9"/>
      <c r="S567" s="12"/>
      <c r="T567" s="5"/>
      <c r="U567" s="5"/>
      <c r="V567" s="4"/>
      <c r="W567" s="4"/>
      <c r="X567" s="4"/>
      <c r="Y567" s="4"/>
    </row>
    <row r="568">
      <c r="A568" s="5"/>
      <c r="B568" s="9"/>
      <c r="C568" s="5"/>
      <c r="D568" s="9"/>
      <c r="E568" s="9"/>
      <c r="F568" s="9"/>
      <c r="G568" s="9"/>
      <c r="H568" s="9"/>
      <c r="I568" s="9"/>
      <c r="J568" s="5"/>
      <c r="K568" s="4"/>
      <c r="L568" s="10"/>
      <c r="M568" s="10"/>
      <c r="N568" s="10"/>
      <c r="O568" s="10"/>
      <c r="P568" s="10"/>
      <c r="Q568" s="11"/>
      <c r="R568" s="9"/>
      <c r="S568" s="12"/>
      <c r="T568" s="5"/>
      <c r="U568" s="5"/>
      <c r="V568" s="4"/>
      <c r="W568" s="4"/>
      <c r="X568" s="4"/>
      <c r="Y568" s="4"/>
    </row>
    <row r="569">
      <c r="A569" s="5"/>
      <c r="B569" s="9"/>
      <c r="C569" s="5"/>
      <c r="D569" s="9"/>
      <c r="E569" s="9"/>
      <c r="F569" s="9"/>
      <c r="G569" s="9"/>
      <c r="H569" s="9"/>
      <c r="I569" s="9"/>
      <c r="J569" s="5"/>
      <c r="K569" s="4"/>
      <c r="L569" s="10"/>
      <c r="M569" s="10"/>
      <c r="N569" s="10"/>
      <c r="O569" s="10"/>
      <c r="P569" s="10"/>
      <c r="Q569" s="11"/>
      <c r="R569" s="9"/>
      <c r="S569" s="12"/>
      <c r="T569" s="5"/>
      <c r="U569" s="5"/>
      <c r="V569" s="4"/>
      <c r="W569" s="4"/>
      <c r="X569" s="4"/>
      <c r="Y569" s="4"/>
    </row>
    <row r="570">
      <c r="A570" s="5"/>
      <c r="B570" s="9"/>
      <c r="C570" s="5"/>
      <c r="D570" s="9"/>
      <c r="E570" s="9"/>
      <c r="F570" s="9"/>
      <c r="G570" s="9"/>
      <c r="H570" s="9"/>
      <c r="I570" s="9"/>
      <c r="J570" s="5"/>
      <c r="K570" s="4"/>
      <c r="L570" s="10"/>
      <c r="M570" s="10"/>
      <c r="N570" s="10"/>
      <c r="O570" s="10"/>
      <c r="P570" s="10"/>
      <c r="Q570" s="11"/>
      <c r="R570" s="9"/>
      <c r="S570" s="12"/>
      <c r="T570" s="5"/>
      <c r="U570" s="5"/>
      <c r="V570" s="4"/>
      <c r="W570" s="4"/>
      <c r="X570" s="4"/>
      <c r="Y570" s="4"/>
    </row>
    <row r="571">
      <c r="A571" s="5"/>
      <c r="B571" s="9"/>
      <c r="C571" s="5"/>
      <c r="D571" s="9"/>
      <c r="E571" s="9"/>
      <c r="F571" s="9"/>
      <c r="G571" s="9"/>
      <c r="H571" s="9"/>
      <c r="I571" s="9"/>
      <c r="J571" s="5"/>
      <c r="K571" s="4"/>
      <c r="L571" s="10"/>
      <c r="M571" s="10"/>
      <c r="N571" s="10"/>
      <c r="O571" s="10"/>
      <c r="P571" s="10"/>
      <c r="Q571" s="11"/>
      <c r="R571" s="9"/>
      <c r="S571" s="12"/>
      <c r="T571" s="5"/>
      <c r="U571" s="5"/>
      <c r="V571" s="4"/>
      <c r="W571" s="4"/>
      <c r="X571" s="4"/>
      <c r="Y571" s="4"/>
    </row>
    <row r="572">
      <c r="A572" s="5"/>
      <c r="B572" s="9"/>
      <c r="C572" s="5"/>
      <c r="D572" s="9"/>
      <c r="E572" s="9"/>
      <c r="F572" s="9"/>
      <c r="G572" s="9"/>
      <c r="H572" s="9"/>
      <c r="I572" s="9"/>
      <c r="J572" s="5"/>
      <c r="K572" s="4"/>
      <c r="L572" s="10"/>
      <c r="M572" s="10"/>
      <c r="N572" s="10"/>
      <c r="O572" s="10"/>
      <c r="P572" s="10"/>
      <c r="Q572" s="11"/>
      <c r="R572" s="9"/>
      <c r="S572" s="12"/>
      <c r="T572" s="5"/>
      <c r="U572" s="5"/>
      <c r="V572" s="4"/>
      <c r="W572" s="4"/>
      <c r="X572" s="4"/>
      <c r="Y572" s="4"/>
    </row>
    <row r="573">
      <c r="A573" s="5"/>
      <c r="B573" s="9"/>
      <c r="C573" s="5"/>
      <c r="D573" s="9"/>
      <c r="E573" s="9"/>
      <c r="F573" s="9"/>
      <c r="G573" s="9"/>
      <c r="H573" s="9"/>
      <c r="I573" s="9"/>
      <c r="J573" s="5"/>
      <c r="K573" s="4"/>
      <c r="L573" s="10"/>
      <c r="M573" s="10"/>
      <c r="N573" s="10"/>
      <c r="O573" s="10"/>
      <c r="P573" s="10"/>
      <c r="Q573" s="11"/>
      <c r="R573" s="9"/>
      <c r="S573" s="12"/>
      <c r="T573" s="5"/>
      <c r="U573" s="5"/>
      <c r="V573" s="4"/>
      <c r="W573" s="4"/>
      <c r="X573" s="4"/>
      <c r="Y573" s="4"/>
    </row>
    <row r="574">
      <c r="A574" s="5"/>
      <c r="B574" s="9"/>
      <c r="C574" s="5"/>
      <c r="D574" s="9"/>
      <c r="E574" s="9"/>
      <c r="F574" s="9"/>
      <c r="G574" s="9"/>
      <c r="H574" s="9"/>
      <c r="I574" s="9"/>
      <c r="J574" s="5"/>
      <c r="K574" s="4"/>
      <c r="L574" s="10"/>
      <c r="M574" s="10"/>
      <c r="N574" s="10"/>
      <c r="O574" s="10"/>
      <c r="P574" s="10"/>
      <c r="Q574" s="11"/>
      <c r="R574" s="9"/>
      <c r="S574" s="12"/>
      <c r="T574" s="5"/>
      <c r="U574" s="5"/>
      <c r="V574" s="4"/>
      <c r="W574" s="4"/>
      <c r="X574" s="4"/>
      <c r="Y574" s="4"/>
    </row>
    <row r="575">
      <c r="A575" s="5"/>
      <c r="B575" s="9"/>
      <c r="C575" s="5"/>
      <c r="D575" s="9"/>
      <c r="E575" s="9"/>
      <c r="F575" s="9"/>
      <c r="G575" s="9"/>
      <c r="H575" s="9"/>
      <c r="I575" s="9"/>
      <c r="J575" s="5"/>
      <c r="K575" s="4"/>
      <c r="L575" s="10"/>
      <c r="M575" s="10"/>
      <c r="N575" s="10"/>
      <c r="O575" s="10"/>
      <c r="P575" s="10"/>
      <c r="Q575" s="11"/>
      <c r="R575" s="9"/>
      <c r="S575" s="12"/>
      <c r="T575" s="5"/>
      <c r="U575" s="5"/>
      <c r="V575" s="4"/>
      <c r="W575" s="4"/>
      <c r="X575" s="4"/>
      <c r="Y575" s="4"/>
    </row>
    <row r="576">
      <c r="A576" s="5"/>
      <c r="B576" s="9"/>
      <c r="C576" s="5"/>
      <c r="D576" s="9"/>
      <c r="E576" s="9"/>
      <c r="F576" s="9"/>
      <c r="G576" s="9"/>
      <c r="H576" s="9"/>
      <c r="I576" s="9"/>
      <c r="J576" s="5"/>
      <c r="K576" s="4"/>
      <c r="L576" s="10"/>
      <c r="M576" s="10"/>
      <c r="N576" s="10"/>
      <c r="O576" s="10"/>
      <c r="P576" s="10"/>
      <c r="Q576" s="11"/>
      <c r="R576" s="9"/>
      <c r="S576" s="12"/>
      <c r="T576" s="5"/>
      <c r="U576" s="5"/>
      <c r="V576" s="4"/>
      <c r="W576" s="4"/>
      <c r="X576" s="4"/>
      <c r="Y576" s="4"/>
    </row>
    <row r="577">
      <c r="A577" s="5"/>
      <c r="B577" s="9"/>
      <c r="C577" s="5"/>
      <c r="D577" s="9"/>
      <c r="E577" s="9"/>
      <c r="F577" s="9"/>
      <c r="G577" s="9"/>
      <c r="H577" s="9"/>
      <c r="I577" s="9"/>
      <c r="J577" s="5"/>
      <c r="K577" s="4"/>
      <c r="L577" s="10"/>
      <c r="M577" s="10"/>
      <c r="N577" s="10"/>
      <c r="O577" s="10"/>
      <c r="P577" s="10"/>
      <c r="Q577" s="11"/>
      <c r="R577" s="9"/>
      <c r="S577" s="12"/>
      <c r="T577" s="5"/>
      <c r="U577" s="5"/>
      <c r="V577" s="4"/>
      <c r="W577" s="4"/>
      <c r="X577" s="4"/>
      <c r="Y577" s="4"/>
    </row>
    <row r="578">
      <c r="A578" s="5"/>
      <c r="B578" s="9"/>
      <c r="C578" s="5"/>
      <c r="D578" s="9"/>
      <c r="E578" s="9"/>
      <c r="F578" s="9"/>
      <c r="G578" s="9"/>
      <c r="H578" s="9"/>
      <c r="I578" s="9"/>
      <c r="J578" s="5"/>
      <c r="K578" s="4"/>
      <c r="L578" s="10"/>
      <c r="M578" s="10"/>
      <c r="N578" s="10"/>
      <c r="O578" s="10"/>
      <c r="P578" s="10"/>
      <c r="Q578" s="11"/>
      <c r="R578" s="9"/>
      <c r="S578" s="12"/>
      <c r="T578" s="5"/>
      <c r="U578" s="5"/>
      <c r="V578" s="4"/>
      <c r="W578" s="4"/>
      <c r="X578" s="4"/>
      <c r="Y578" s="4"/>
    </row>
    <row r="579">
      <c r="A579" s="5"/>
      <c r="B579" s="9"/>
      <c r="C579" s="5"/>
      <c r="D579" s="9"/>
      <c r="E579" s="9"/>
      <c r="F579" s="9"/>
      <c r="G579" s="9"/>
      <c r="H579" s="9"/>
      <c r="I579" s="9"/>
      <c r="J579" s="5"/>
      <c r="K579" s="4"/>
      <c r="L579" s="10"/>
      <c r="M579" s="10"/>
      <c r="N579" s="10"/>
      <c r="O579" s="10"/>
      <c r="P579" s="10"/>
      <c r="Q579" s="11"/>
      <c r="R579" s="9"/>
      <c r="S579" s="12"/>
      <c r="T579" s="5"/>
      <c r="U579" s="5"/>
      <c r="V579" s="4"/>
      <c r="W579" s="4"/>
      <c r="X579" s="4"/>
      <c r="Y579" s="4"/>
    </row>
    <row r="580">
      <c r="A580" s="5"/>
      <c r="B580" s="9"/>
      <c r="C580" s="5"/>
      <c r="D580" s="9"/>
      <c r="E580" s="9"/>
      <c r="F580" s="9"/>
      <c r="G580" s="9"/>
      <c r="H580" s="9"/>
      <c r="I580" s="9"/>
      <c r="J580" s="5"/>
      <c r="K580" s="4"/>
      <c r="L580" s="10"/>
      <c r="M580" s="10"/>
      <c r="N580" s="10"/>
      <c r="O580" s="10"/>
      <c r="P580" s="10"/>
      <c r="Q580" s="11"/>
      <c r="R580" s="9"/>
      <c r="S580" s="12"/>
      <c r="T580" s="5"/>
      <c r="U580" s="5"/>
      <c r="V580" s="4"/>
      <c r="W580" s="4"/>
      <c r="X580" s="4"/>
      <c r="Y580" s="4"/>
    </row>
    <row r="581">
      <c r="A581" s="5"/>
      <c r="B581" s="9"/>
      <c r="C581" s="5"/>
      <c r="D581" s="9"/>
      <c r="E581" s="9"/>
      <c r="F581" s="9"/>
      <c r="G581" s="9"/>
      <c r="H581" s="9"/>
      <c r="I581" s="9"/>
      <c r="J581" s="5"/>
      <c r="K581" s="4"/>
      <c r="L581" s="10"/>
      <c r="M581" s="10"/>
      <c r="N581" s="10"/>
      <c r="O581" s="10"/>
      <c r="P581" s="10"/>
      <c r="Q581" s="11"/>
      <c r="R581" s="9"/>
      <c r="S581" s="12"/>
      <c r="T581" s="5"/>
      <c r="U581" s="5"/>
      <c r="V581" s="4"/>
      <c r="W581" s="4"/>
      <c r="X581" s="4"/>
      <c r="Y581" s="4"/>
    </row>
    <row r="582">
      <c r="A582" s="5"/>
      <c r="B582" s="9"/>
      <c r="C582" s="5"/>
      <c r="D582" s="9"/>
      <c r="E582" s="9"/>
      <c r="F582" s="9"/>
      <c r="G582" s="9"/>
      <c r="H582" s="9"/>
      <c r="I582" s="9"/>
      <c r="J582" s="5"/>
      <c r="K582" s="4"/>
      <c r="L582" s="10"/>
      <c r="M582" s="10"/>
      <c r="N582" s="10"/>
      <c r="O582" s="10"/>
      <c r="P582" s="10"/>
      <c r="Q582" s="11"/>
      <c r="R582" s="9"/>
      <c r="S582" s="12"/>
      <c r="T582" s="5"/>
      <c r="U582" s="5"/>
      <c r="V582" s="4"/>
      <c r="W582" s="4"/>
      <c r="X582" s="4"/>
      <c r="Y582" s="4"/>
    </row>
    <row r="583">
      <c r="A583" s="5"/>
      <c r="B583" s="9"/>
      <c r="C583" s="5"/>
      <c r="D583" s="9"/>
      <c r="E583" s="9"/>
      <c r="F583" s="9"/>
      <c r="G583" s="9"/>
      <c r="H583" s="9"/>
      <c r="I583" s="9"/>
      <c r="J583" s="5"/>
      <c r="K583" s="4"/>
      <c r="L583" s="10"/>
      <c r="M583" s="10"/>
      <c r="N583" s="10"/>
      <c r="O583" s="10"/>
      <c r="P583" s="10"/>
      <c r="Q583" s="11"/>
      <c r="R583" s="9"/>
      <c r="S583" s="12"/>
      <c r="T583" s="5"/>
      <c r="U583" s="5"/>
      <c r="V583" s="4"/>
      <c r="W583" s="4"/>
      <c r="X583" s="4"/>
      <c r="Y583" s="4"/>
    </row>
    <row r="584">
      <c r="A584" s="5"/>
      <c r="B584" s="9"/>
      <c r="C584" s="5"/>
      <c r="D584" s="9"/>
      <c r="E584" s="9"/>
      <c r="F584" s="9"/>
      <c r="G584" s="9"/>
      <c r="H584" s="9"/>
      <c r="I584" s="9"/>
      <c r="J584" s="5"/>
      <c r="K584" s="4"/>
      <c r="L584" s="10"/>
      <c r="M584" s="10"/>
      <c r="N584" s="10"/>
      <c r="O584" s="10"/>
      <c r="P584" s="10"/>
      <c r="Q584" s="11"/>
      <c r="R584" s="9"/>
      <c r="S584" s="12"/>
      <c r="T584" s="5"/>
      <c r="U584" s="5"/>
      <c r="V584" s="4"/>
      <c r="W584" s="4"/>
      <c r="X584" s="4"/>
      <c r="Y584" s="4"/>
    </row>
    <row r="585">
      <c r="A585" s="5"/>
      <c r="B585" s="9"/>
      <c r="C585" s="5"/>
      <c r="D585" s="9"/>
      <c r="E585" s="9"/>
      <c r="F585" s="9"/>
      <c r="G585" s="9"/>
      <c r="H585" s="9"/>
      <c r="I585" s="9"/>
      <c r="J585" s="5"/>
      <c r="K585" s="4"/>
      <c r="L585" s="10"/>
      <c r="M585" s="10"/>
      <c r="N585" s="10"/>
      <c r="O585" s="10"/>
      <c r="P585" s="10"/>
      <c r="Q585" s="11"/>
      <c r="R585" s="9"/>
      <c r="S585" s="12"/>
      <c r="T585" s="5"/>
      <c r="U585" s="5"/>
      <c r="V585" s="4"/>
      <c r="W585" s="4"/>
      <c r="X585" s="4"/>
      <c r="Y585" s="4"/>
    </row>
    <row r="586">
      <c r="A586" s="5"/>
      <c r="B586" s="9"/>
      <c r="C586" s="5"/>
      <c r="D586" s="9"/>
      <c r="E586" s="9"/>
      <c r="F586" s="9"/>
      <c r="G586" s="9"/>
      <c r="H586" s="9"/>
      <c r="I586" s="9"/>
      <c r="J586" s="5"/>
      <c r="K586" s="4"/>
      <c r="L586" s="10"/>
      <c r="M586" s="10"/>
      <c r="N586" s="10"/>
      <c r="O586" s="10"/>
      <c r="P586" s="10"/>
      <c r="Q586" s="11"/>
      <c r="R586" s="9"/>
      <c r="S586" s="12"/>
      <c r="T586" s="5"/>
      <c r="U586" s="5"/>
      <c r="V586" s="4"/>
      <c r="W586" s="4"/>
      <c r="X586" s="4"/>
      <c r="Y586" s="4"/>
    </row>
    <row r="587">
      <c r="A587" s="5"/>
      <c r="B587" s="9"/>
      <c r="C587" s="5"/>
      <c r="D587" s="9"/>
      <c r="E587" s="9"/>
      <c r="F587" s="9"/>
      <c r="G587" s="9"/>
      <c r="H587" s="9"/>
      <c r="I587" s="9"/>
      <c r="J587" s="5"/>
      <c r="K587" s="4"/>
      <c r="L587" s="10"/>
      <c r="M587" s="10"/>
      <c r="N587" s="10"/>
      <c r="O587" s="10"/>
      <c r="P587" s="10"/>
      <c r="Q587" s="11"/>
      <c r="R587" s="9"/>
      <c r="S587" s="12"/>
      <c r="T587" s="5"/>
      <c r="U587" s="5"/>
      <c r="V587" s="4"/>
      <c r="W587" s="4"/>
      <c r="X587" s="4"/>
      <c r="Y587" s="4"/>
    </row>
    <row r="588">
      <c r="A588" s="5"/>
      <c r="B588" s="9"/>
      <c r="C588" s="5"/>
      <c r="D588" s="9"/>
      <c r="E588" s="9"/>
      <c r="F588" s="9"/>
      <c r="G588" s="9"/>
      <c r="H588" s="9"/>
      <c r="I588" s="9"/>
      <c r="J588" s="5"/>
      <c r="K588" s="4"/>
      <c r="L588" s="10"/>
      <c r="M588" s="10"/>
      <c r="N588" s="10"/>
      <c r="O588" s="10"/>
      <c r="P588" s="10"/>
      <c r="Q588" s="11"/>
      <c r="R588" s="9"/>
      <c r="S588" s="12"/>
      <c r="T588" s="5"/>
      <c r="U588" s="5"/>
      <c r="V588" s="4"/>
      <c r="W588" s="4"/>
      <c r="X588" s="4"/>
      <c r="Y588" s="4"/>
    </row>
    <row r="589">
      <c r="A589" s="5"/>
      <c r="B589" s="9"/>
      <c r="C589" s="5"/>
      <c r="D589" s="9"/>
      <c r="E589" s="9"/>
      <c r="F589" s="9"/>
      <c r="G589" s="9"/>
      <c r="H589" s="9"/>
      <c r="I589" s="9"/>
      <c r="J589" s="5"/>
      <c r="K589" s="4"/>
      <c r="L589" s="10"/>
      <c r="M589" s="10"/>
      <c r="N589" s="10"/>
      <c r="O589" s="10"/>
      <c r="P589" s="10"/>
      <c r="Q589" s="11"/>
      <c r="R589" s="9"/>
      <c r="S589" s="12"/>
      <c r="T589" s="5"/>
      <c r="U589" s="5"/>
      <c r="V589" s="4"/>
      <c r="W589" s="4"/>
      <c r="X589" s="4"/>
      <c r="Y589" s="4"/>
    </row>
    <row r="590">
      <c r="A590" s="5"/>
      <c r="B590" s="9"/>
      <c r="C590" s="5"/>
      <c r="D590" s="9"/>
      <c r="E590" s="9"/>
      <c r="F590" s="9"/>
      <c r="G590" s="9"/>
      <c r="H590" s="9"/>
      <c r="I590" s="9"/>
      <c r="J590" s="5"/>
      <c r="K590" s="4"/>
      <c r="L590" s="10"/>
      <c r="M590" s="10"/>
      <c r="N590" s="10"/>
      <c r="O590" s="10"/>
      <c r="P590" s="10"/>
      <c r="Q590" s="11"/>
      <c r="R590" s="9"/>
      <c r="S590" s="12"/>
      <c r="T590" s="5"/>
      <c r="U590" s="5"/>
      <c r="V590" s="4"/>
      <c r="W590" s="4"/>
      <c r="X590" s="4"/>
      <c r="Y590" s="4"/>
    </row>
    <row r="591">
      <c r="A591" s="5"/>
      <c r="B591" s="9"/>
      <c r="C591" s="5"/>
      <c r="D591" s="9"/>
      <c r="E591" s="9"/>
      <c r="F591" s="9"/>
      <c r="G591" s="9"/>
      <c r="H591" s="9"/>
      <c r="I591" s="9"/>
      <c r="J591" s="5"/>
      <c r="K591" s="4"/>
      <c r="L591" s="10"/>
      <c r="M591" s="10"/>
      <c r="N591" s="10"/>
      <c r="O591" s="10"/>
      <c r="P591" s="10"/>
      <c r="Q591" s="11"/>
      <c r="R591" s="9"/>
      <c r="S591" s="12"/>
      <c r="T591" s="5"/>
      <c r="U591" s="5"/>
      <c r="V591" s="4"/>
      <c r="W591" s="4"/>
      <c r="X591" s="4"/>
      <c r="Y591" s="4"/>
    </row>
    <row r="592">
      <c r="A592" s="5"/>
      <c r="B592" s="9"/>
      <c r="C592" s="5"/>
      <c r="D592" s="9"/>
      <c r="E592" s="9"/>
      <c r="F592" s="9"/>
      <c r="G592" s="9"/>
      <c r="H592" s="9"/>
      <c r="I592" s="9"/>
      <c r="J592" s="5"/>
      <c r="K592" s="4"/>
      <c r="L592" s="10"/>
      <c r="M592" s="10"/>
      <c r="N592" s="10"/>
      <c r="O592" s="10"/>
      <c r="P592" s="10"/>
      <c r="Q592" s="11"/>
      <c r="R592" s="9"/>
      <c r="S592" s="12"/>
      <c r="T592" s="5"/>
      <c r="U592" s="5"/>
      <c r="V592" s="4"/>
      <c r="W592" s="4"/>
      <c r="X592" s="4"/>
      <c r="Y592" s="4"/>
    </row>
    <row r="593">
      <c r="A593" s="5"/>
      <c r="B593" s="9"/>
      <c r="C593" s="5"/>
      <c r="D593" s="9"/>
      <c r="E593" s="9"/>
      <c r="F593" s="9"/>
      <c r="G593" s="9"/>
      <c r="H593" s="9"/>
      <c r="I593" s="9"/>
      <c r="J593" s="5"/>
      <c r="K593" s="4"/>
      <c r="L593" s="10"/>
      <c r="M593" s="10"/>
      <c r="N593" s="10"/>
      <c r="O593" s="10"/>
      <c r="P593" s="10"/>
      <c r="Q593" s="11"/>
      <c r="R593" s="9"/>
      <c r="S593" s="12"/>
      <c r="T593" s="5"/>
      <c r="U593" s="5"/>
      <c r="V593" s="4"/>
      <c r="W593" s="4"/>
      <c r="X593" s="4"/>
      <c r="Y593" s="4"/>
    </row>
    <row r="594">
      <c r="A594" s="5"/>
      <c r="B594" s="9"/>
      <c r="C594" s="5"/>
      <c r="D594" s="9"/>
      <c r="E594" s="9"/>
      <c r="F594" s="9"/>
      <c r="G594" s="9"/>
      <c r="H594" s="9"/>
      <c r="I594" s="9"/>
      <c r="J594" s="5"/>
      <c r="K594" s="4"/>
      <c r="L594" s="10"/>
      <c r="M594" s="10"/>
      <c r="N594" s="10"/>
      <c r="O594" s="10"/>
      <c r="P594" s="10"/>
      <c r="Q594" s="11"/>
      <c r="R594" s="9"/>
      <c r="S594" s="12"/>
      <c r="T594" s="5"/>
      <c r="U594" s="5"/>
      <c r="V594" s="4"/>
      <c r="W594" s="4"/>
      <c r="X594" s="4"/>
      <c r="Y594" s="4"/>
    </row>
    <row r="595">
      <c r="A595" s="5"/>
      <c r="B595" s="9"/>
      <c r="C595" s="5"/>
      <c r="D595" s="9"/>
      <c r="E595" s="9"/>
      <c r="F595" s="9"/>
      <c r="G595" s="9"/>
      <c r="H595" s="9"/>
      <c r="I595" s="9"/>
      <c r="J595" s="5"/>
      <c r="K595" s="4"/>
      <c r="L595" s="10"/>
      <c r="M595" s="10"/>
      <c r="N595" s="10"/>
      <c r="O595" s="10"/>
      <c r="P595" s="10"/>
      <c r="Q595" s="11"/>
      <c r="R595" s="9"/>
      <c r="S595" s="12"/>
      <c r="T595" s="5"/>
      <c r="U595" s="5"/>
      <c r="V595" s="4"/>
      <c r="W595" s="4"/>
      <c r="X595" s="4"/>
      <c r="Y595" s="4"/>
    </row>
    <row r="596">
      <c r="A596" s="5"/>
      <c r="B596" s="9"/>
      <c r="C596" s="5"/>
      <c r="D596" s="9"/>
      <c r="E596" s="9"/>
      <c r="F596" s="9"/>
      <c r="G596" s="9"/>
      <c r="H596" s="9"/>
      <c r="I596" s="9"/>
      <c r="J596" s="5"/>
      <c r="K596" s="4"/>
      <c r="L596" s="10"/>
      <c r="M596" s="10"/>
      <c r="N596" s="10"/>
      <c r="O596" s="10"/>
      <c r="P596" s="10"/>
      <c r="Q596" s="11"/>
      <c r="R596" s="9"/>
      <c r="S596" s="12"/>
      <c r="T596" s="5"/>
      <c r="U596" s="5"/>
      <c r="V596" s="4"/>
      <c r="W596" s="4"/>
      <c r="X596" s="4"/>
      <c r="Y596" s="4"/>
    </row>
    <row r="597">
      <c r="A597" s="5"/>
      <c r="B597" s="9"/>
      <c r="C597" s="5"/>
      <c r="D597" s="9"/>
      <c r="E597" s="9"/>
      <c r="F597" s="9"/>
      <c r="G597" s="9"/>
      <c r="H597" s="9"/>
      <c r="I597" s="9"/>
      <c r="J597" s="5"/>
      <c r="K597" s="4"/>
      <c r="L597" s="10"/>
      <c r="M597" s="10"/>
      <c r="N597" s="10"/>
      <c r="O597" s="10"/>
      <c r="P597" s="10"/>
      <c r="Q597" s="11"/>
      <c r="R597" s="9"/>
      <c r="S597" s="12"/>
      <c r="T597" s="5"/>
      <c r="U597" s="5"/>
      <c r="V597" s="4"/>
      <c r="W597" s="4"/>
      <c r="X597" s="4"/>
      <c r="Y597" s="4"/>
    </row>
    <row r="598">
      <c r="A598" s="5"/>
      <c r="B598" s="9"/>
      <c r="C598" s="5"/>
      <c r="D598" s="9"/>
      <c r="E598" s="9"/>
      <c r="F598" s="9"/>
      <c r="G598" s="9"/>
      <c r="H598" s="9"/>
      <c r="I598" s="9"/>
      <c r="J598" s="5"/>
      <c r="K598" s="4"/>
      <c r="L598" s="10"/>
      <c r="M598" s="10"/>
      <c r="N598" s="10"/>
      <c r="O598" s="10"/>
      <c r="P598" s="10"/>
      <c r="Q598" s="11"/>
      <c r="R598" s="9"/>
      <c r="S598" s="12"/>
      <c r="T598" s="5"/>
      <c r="U598" s="5"/>
      <c r="V598" s="4"/>
      <c r="W598" s="4"/>
      <c r="X598" s="4"/>
      <c r="Y598" s="4"/>
    </row>
    <row r="599">
      <c r="A599" s="5"/>
      <c r="B599" s="9"/>
      <c r="C599" s="5"/>
      <c r="D599" s="9"/>
      <c r="E599" s="9"/>
      <c r="F599" s="9"/>
      <c r="G599" s="9"/>
      <c r="H599" s="9"/>
      <c r="I599" s="9"/>
      <c r="J599" s="5"/>
      <c r="K599" s="4"/>
      <c r="L599" s="10"/>
      <c r="M599" s="10"/>
      <c r="N599" s="10"/>
      <c r="O599" s="10"/>
      <c r="P599" s="10"/>
      <c r="Q599" s="11"/>
      <c r="R599" s="9"/>
      <c r="S599" s="12"/>
      <c r="T599" s="5"/>
      <c r="U599" s="5"/>
      <c r="V599" s="4"/>
      <c r="W599" s="4"/>
      <c r="X599" s="4"/>
      <c r="Y599" s="4"/>
    </row>
    <row r="600">
      <c r="A600" s="5"/>
      <c r="B600" s="9"/>
      <c r="C600" s="5"/>
      <c r="D600" s="9"/>
      <c r="E600" s="9"/>
      <c r="F600" s="9"/>
      <c r="G600" s="9"/>
      <c r="H600" s="9"/>
      <c r="I600" s="9"/>
      <c r="J600" s="5"/>
      <c r="K600" s="4"/>
      <c r="L600" s="10"/>
      <c r="M600" s="10"/>
      <c r="N600" s="10"/>
      <c r="O600" s="10"/>
      <c r="P600" s="10"/>
      <c r="Q600" s="11"/>
      <c r="R600" s="9"/>
      <c r="S600" s="12"/>
      <c r="T600" s="5"/>
      <c r="U600" s="5"/>
      <c r="V600" s="4"/>
      <c r="W600" s="4"/>
      <c r="X600" s="4"/>
      <c r="Y600" s="4"/>
    </row>
    <row r="601">
      <c r="A601" s="5"/>
      <c r="B601" s="9"/>
      <c r="C601" s="5"/>
      <c r="D601" s="9"/>
      <c r="E601" s="9"/>
      <c r="F601" s="9"/>
      <c r="G601" s="9"/>
      <c r="H601" s="9"/>
      <c r="I601" s="9"/>
      <c r="J601" s="5"/>
      <c r="K601" s="4"/>
      <c r="L601" s="10"/>
      <c r="M601" s="10"/>
      <c r="N601" s="10"/>
      <c r="O601" s="10"/>
      <c r="P601" s="10"/>
      <c r="Q601" s="11"/>
      <c r="R601" s="9"/>
      <c r="S601" s="12"/>
      <c r="T601" s="5"/>
      <c r="U601" s="5"/>
      <c r="V601" s="4"/>
      <c r="W601" s="4"/>
      <c r="X601" s="4"/>
      <c r="Y601" s="4"/>
    </row>
    <row r="602">
      <c r="A602" s="5"/>
      <c r="B602" s="9"/>
      <c r="C602" s="5"/>
      <c r="D602" s="9"/>
      <c r="E602" s="9"/>
      <c r="F602" s="9"/>
      <c r="G602" s="9"/>
      <c r="H602" s="9"/>
      <c r="I602" s="9"/>
      <c r="J602" s="5"/>
      <c r="K602" s="4"/>
      <c r="L602" s="10"/>
      <c r="M602" s="10"/>
      <c r="N602" s="10"/>
      <c r="O602" s="10"/>
      <c r="P602" s="10"/>
      <c r="Q602" s="11"/>
      <c r="R602" s="9"/>
      <c r="S602" s="12"/>
      <c r="T602" s="5"/>
      <c r="U602" s="5"/>
      <c r="V602" s="4"/>
      <c r="W602" s="4"/>
      <c r="X602" s="4"/>
      <c r="Y602" s="4"/>
    </row>
    <row r="603">
      <c r="A603" s="5"/>
      <c r="B603" s="9"/>
      <c r="C603" s="5"/>
      <c r="D603" s="9"/>
      <c r="E603" s="9"/>
      <c r="F603" s="9"/>
      <c r="G603" s="9"/>
      <c r="H603" s="9"/>
      <c r="I603" s="9"/>
      <c r="J603" s="5"/>
      <c r="K603" s="4"/>
      <c r="L603" s="10"/>
      <c r="M603" s="10"/>
      <c r="N603" s="10"/>
      <c r="O603" s="10"/>
      <c r="P603" s="10"/>
      <c r="Q603" s="11"/>
      <c r="R603" s="9"/>
      <c r="S603" s="12"/>
      <c r="T603" s="5"/>
      <c r="U603" s="5"/>
      <c r="V603" s="4"/>
      <c r="W603" s="4"/>
      <c r="X603" s="4"/>
      <c r="Y603" s="4"/>
    </row>
    <row r="604">
      <c r="A604" s="5"/>
      <c r="B604" s="9"/>
      <c r="C604" s="5"/>
      <c r="D604" s="9"/>
      <c r="E604" s="9"/>
      <c r="F604" s="9"/>
      <c r="G604" s="9"/>
      <c r="H604" s="9"/>
      <c r="I604" s="9"/>
      <c r="J604" s="5"/>
      <c r="K604" s="4"/>
      <c r="L604" s="10"/>
      <c r="M604" s="10"/>
      <c r="N604" s="10"/>
      <c r="O604" s="10"/>
      <c r="P604" s="10"/>
      <c r="Q604" s="11"/>
      <c r="R604" s="9"/>
      <c r="S604" s="12"/>
      <c r="T604" s="5"/>
      <c r="U604" s="5"/>
      <c r="V604" s="4"/>
      <c r="W604" s="4"/>
      <c r="X604" s="4"/>
      <c r="Y604" s="4"/>
    </row>
    <row r="605">
      <c r="A605" s="5"/>
      <c r="B605" s="9"/>
      <c r="C605" s="5"/>
      <c r="D605" s="9"/>
      <c r="E605" s="9"/>
      <c r="F605" s="9"/>
      <c r="G605" s="9"/>
      <c r="H605" s="9"/>
      <c r="I605" s="9"/>
      <c r="J605" s="5"/>
      <c r="K605" s="4"/>
      <c r="L605" s="10"/>
      <c r="M605" s="10"/>
      <c r="N605" s="10"/>
      <c r="O605" s="10"/>
      <c r="P605" s="10"/>
      <c r="Q605" s="11"/>
      <c r="R605" s="9"/>
      <c r="S605" s="12"/>
      <c r="T605" s="5"/>
      <c r="U605" s="5"/>
      <c r="V605" s="4"/>
      <c r="W605" s="4"/>
      <c r="X605" s="4"/>
      <c r="Y605" s="4"/>
    </row>
    <row r="606">
      <c r="A606" s="5"/>
      <c r="B606" s="9"/>
      <c r="C606" s="5"/>
      <c r="D606" s="9"/>
      <c r="E606" s="9"/>
      <c r="F606" s="9"/>
      <c r="G606" s="9"/>
      <c r="H606" s="9"/>
      <c r="I606" s="9"/>
      <c r="J606" s="5"/>
      <c r="K606" s="4"/>
      <c r="L606" s="10"/>
      <c r="M606" s="10"/>
      <c r="N606" s="10"/>
      <c r="O606" s="10"/>
      <c r="P606" s="10"/>
      <c r="Q606" s="11"/>
      <c r="R606" s="9"/>
      <c r="S606" s="12"/>
      <c r="T606" s="5"/>
      <c r="U606" s="5"/>
      <c r="V606" s="4"/>
      <c r="W606" s="4"/>
      <c r="X606" s="4"/>
      <c r="Y606" s="4"/>
    </row>
    <row r="607">
      <c r="A607" s="5"/>
      <c r="B607" s="9"/>
      <c r="C607" s="5"/>
      <c r="D607" s="9"/>
      <c r="E607" s="9"/>
      <c r="F607" s="9"/>
      <c r="G607" s="9"/>
      <c r="H607" s="9"/>
      <c r="I607" s="9"/>
      <c r="J607" s="5"/>
      <c r="K607" s="4"/>
      <c r="L607" s="10"/>
      <c r="M607" s="10"/>
      <c r="N607" s="10"/>
      <c r="O607" s="10"/>
      <c r="P607" s="10"/>
      <c r="Q607" s="11"/>
      <c r="R607" s="9"/>
      <c r="S607" s="12"/>
      <c r="T607" s="5"/>
      <c r="U607" s="5"/>
      <c r="V607" s="4"/>
      <c r="W607" s="4"/>
      <c r="X607" s="4"/>
      <c r="Y607" s="4"/>
    </row>
    <row r="608">
      <c r="A608" s="5"/>
      <c r="B608" s="9"/>
      <c r="C608" s="5"/>
      <c r="D608" s="9"/>
      <c r="E608" s="9"/>
      <c r="F608" s="9"/>
      <c r="G608" s="9"/>
      <c r="H608" s="9"/>
      <c r="I608" s="9"/>
      <c r="J608" s="5"/>
      <c r="K608" s="4"/>
      <c r="L608" s="10"/>
      <c r="M608" s="10"/>
      <c r="N608" s="10"/>
      <c r="O608" s="10"/>
      <c r="P608" s="10"/>
      <c r="Q608" s="11"/>
      <c r="R608" s="9"/>
      <c r="S608" s="12"/>
      <c r="T608" s="5"/>
      <c r="U608" s="5"/>
      <c r="V608" s="4"/>
      <c r="W608" s="4"/>
      <c r="X608" s="4"/>
      <c r="Y608" s="4"/>
    </row>
    <row r="609">
      <c r="A609" s="5"/>
      <c r="B609" s="9"/>
      <c r="C609" s="5"/>
      <c r="D609" s="9"/>
      <c r="E609" s="9"/>
      <c r="F609" s="9"/>
      <c r="G609" s="9"/>
      <c r="H609" s="9"/>
      <c r="I609" s="9"/>
      <c r="J609" s="5"/>
      <c r="K609" s="4"/>
      <c r="L609" s="10"/>
      <c r="M609" s="10"/>
      <c r="N609" s="10"/>
      <c r="O609" s="10"/>
      <c r="P609" s="10"/>
      <c r="Q609" s="11"/>
      <c r="R609" s="9"/>
      <c r="S609" s="12"/>
      <c r="T609" s="5"/>
      <c r="U609" s="5"/>
      <c r="V609" s="4"/>
      <c r="W609" s="4"/>
      <c r="X609" s="4"/>
      <c r="Y609" s="4"/>
    </row>
    <row r="610">
      <c r="A610" s="5"/>
      <c r="B610" s="9"/>
      <c r="C610" s="5"/>
      <c r="D610" s="9"/>
      <c r="E610" s="9"/>
      <c r="F610" s="9"/>
      <c r="G610" s="9"/>
      <c r="H610" s="9"/>
      <c r="I610" s="9"/>
      <c r="J610" s="5"/>
      <c r="K610" s="4"/>
      <c r="L610" s="10"/>
      <c r="M610" s="10"/>
      <c r="N610" s="10"/>
      <c r="O610" s="10"/>
      <c r="P610" s="10"/>
      <c r="Q610" s="11"/>
      <c r="R610" s="9"/>
      <c r="S610" s="12"/>
      <c r="T610" s="5"/>
      <c r="U610" s="5"/>
      <c r="V610" s="4"/>
      <c r="W610" s="4"/>
      <c r="X610" s="4"/>
      <c r="Y610" s="4"/>
    </row>
    <row r="611">
      <c r="A611" s="5"/>
      <c r="B611" s="9"/>
      <c r="C611" s="5"/>
      <c r="D611" s="9"/>
      <c r="E611" s="9"/>
      <c r="F611" s="9"/>
      <c r="G611" s="9"/>
      <c r="H611" s="9"/>
      <c r="I611" s="9"/>
      <c r="J611" s="5"/>
      <c r="K611" s="4"/>
      <c r="L611" s="10"/>
      <c r="M611" s="10"/>
      <c r="N611" s="10"/>
      <c r="O611" s="10"/>
      <c r="P611" s="10"/>
      <c r="Q611" s="11"/>
      <c r="R611" s="9"/>
      <c r="S611" s="12"/>
      <c r="T611" s="5"/>
      <c r="U611" s="5"/>
      <c r="V611" s="4"/>
      <c r="W611" s="4"/>
      <c r="X611" s="4"/>
      <c r="Y611" s="4"/>
    </row>
    <row r="612">
      <c r="A612" s="5"/>
      <c r="B612" s="9"/>
      <c r="C612" s="5"/>
      <c r="D612" s="9"/>
      <c r="E612" s="9"/>
      <c r="F612" s="9"/>
      <c r="G612" s="9"/>
      <c r="H612" s="9"/>
      <c r="I612" s="9"/>
      <c r="J612" s="5"/>
      <c r="K612" s="4"/>
      <c r="L612" s="10"/>
      <c r="M612" s="10"/>
      <c r="N612" s="10"/>
      <c r="O612" s="10"/>
      <c r="P612" s="10"/>
      <c r="Q612" s="11"/>
      <c r="R612" s="9"/>
      <c r="S612" s="12"/>
      <c r="T612" s="5"/>
      <c r="U612" s="5"/>
      <c r="V612" s="4"/>
      <c r="W612" s="4"/>
      <c r="X612" s="4"/>
      <c r="Y612" s="4"/>
    </row>
    <row r="613">
      <c r="A613" s="5"/>
      <c r="B613" s="9"/>
      <c r="C613" s="5"/>
      <c r="D613" s="9"/>
      <c r="E613" s="9"/>
      <c r="F613" s="9"/>
      <c r="G613" s="9"/>
      <c r="H613" s="9"/>
      <c r="I613" s="9"/>
      <c r="J613" s="5"/>
      <c r="K613" s="4"/>
      <c r="L613" s="10"/>
      <c r="M613" s="10"/>
      <c r="N613" s="10"/>
      <c r="O613" s="10"/>
      <c r="P613" s="10"/>
      <c r="Q613" s="11"/>
      <c r="R613" s="9"/>
      <c r="S613" s="12"/>
      <c r="T613" s="5"/>
      <c r="U613" s="5"/>
      <c r="V613" s="4"/>
      <c r="W613" s="4"/>
      <c r="X613" s="4"/>
      <c r="Y613" s="4"/>
    </row>
    <row r="614">
      <c r="A614" s="5"/>
      <c r="B614" s="9"/>
      <c r="C614" s="5"/>
      <c r="D614" s="9"/>
      <c r="E614" s="9"/>
      <c r="F614" s="9"/>
      <c r="G614" s="9"/>
      <c r="H614" s="9"/>
      <c r="I614" s="9"/>
      <c r="J614" s="5"/>
      <c r="K614" s="4"/>
      <c r="L614" s="10"/>
      <c r="M614" s="10"/>
      <c r="N614" s="10"/>
      <c r="O614" s="10"/>
      <c r="P614" s="10"/>
      <c r="Q614" s="11"/>
      <c r="R614" s="9"/>
      <c r="S614" s="12"/>
      <c r="T614" s="5"/>
      <c r="U614" s="5"/>
      <c r="V614" s="4"/>
      <c r="W614" s="4"/>
      <c r="X614" s="4"/>
      <c r="Y614" s="4"/>
    </row>
    <row r="615">
      <c r="A615" s="5"/>
      <c r="B615" s="9"/>
      <c r="C615" s="5"/>
      <c r="D615" s="9"/>
      <c r="E615" s="9"/>
      <c r="F615" s="9"/>
      <c r="G615" s="9"/>
      <c r="H615" s="9"/>
      <c r="I615" s="9"/>
      <c r="J615" s="5"/>
      <c r="K615" s="4"/>
      <c r="L615" s="10"/>
      <c r="M615" s="10"/>
      <c r="N615" s="10"/>
      <c r="O615" s="10"/>
      <c r="P615" s="10"/>
      <c r="Q615" s="11"/>
      <c r="R615" s="9"/>
      <c r="S615" s="12"/>
      <c r="T615" s="5"/>
      <c r="U615" s="5"/>
      <c r="V615" s="4"/>
      <c r="W615" s="4"/>
      <c r="X615" s="4"/>
      <c r="Y615" s="4"/>
    </row>
    <row r="616">
      <c r="A616" s="5"/>
      <c r="B616" s="9"/>
      <c r="C616" s="5"/>
      <c r="D616" s="9"/>
      <c r="E616" s="9"/>
      <c r="F616" s="9"/>
      <c r="G616" s="9"/>
      <c r="H616" s="9"/>
      <c r="I616" s="9"/>
      <c r="J616" s="5"/>
      <c r="K616" s="4"/>
      <c r="L616" s="10"/>
      <c r="M616" s="10"/>
      <c r="N616" s="10"/>
      <c r="O616" s="10"/>
      <c r="P616" s="10"/>
      <c r="Q616" s="11"/>
      <c r="R616" s="9"/>
      <c r="S616" s="12"/>
      <c r="T616" s="5"/>
      <c r="U616" s="5"/>
      <c r="V616" s="4"/>
      <c r="W616" s="4"/>
      <c r="X616" s="4"/>
      <c r="Y616" s="4"/>
    </row>
    <row r="617">
      <c r="A617" s="5"/>
      <c r="B617" s="9"/>
      <c r="C617" s="5"/>
      <c r="D617" s="9"/>
      <c r="E617" s="9"/>
      <c r="F617" s="9"/>
      <c r="G617" s="9"/>
      <c r="H617" s="9"/>
      <c r="I617" s="9"/>
      <c r="J617" s="5"/>
      <c r="K617" s="4"/>
      <c r="L617" s="10"/>
      <c r="M617" s="10"/>
      <c r="N617" s="10"/>
      <c r="O617" s="10"/>
      <c r="P617" s="10"/>
      <c r="Q617" s="11"/>
      <c r="R617" s="9"/>
      <c r="S617" s="12"/>
      <c r="T617" s="5"/>
      <c r="U617" s="5"/>
      <c r="V617" s="4"/>
      <c r="W617" s="4"/>
      <c r="X617" s="4"/>
      <c r="Y617" s="4"/>
    </row>
    <row r="618">
      <c r="A618" s="5"/>
      <c r="B618" s="9"/>
      <c r="C618" s="5"/>
      <c r="D618" s="9"/>
      <c r="E618" s="9"/>
      <c r="F618" s="9"/>
      <c r="G618" s="9"/>
      <c r="H618" s="9"/>
      <c r="I618" s="9"/>
      <c r="J618" s="5"/>
      <c r="K618" s="4"/>
      <c r="L618" s="10"/>
      <c r="M618" s="10"/>
      <c r="N618" s="10"/>
      <c r="O618" s="10"/>
      <c r="P618" s="10"/>
      <c r="Q618" s="11"/>
      <c r="R618" s="9"/>
      <c r="S618" s="12"/>
      <c r="T618" s="5"/>
      <c r="U618" s="5"/>
      <c r="V618" s="4"/>
      <c r="W618" s="4"/>
      <c r="X618" s="4"/>
      <c r="Y618" s="4"/>
    </row>
    <row r="619">
      <c r="A619" s="5"/>
      <c r="B619" s="9"/>
      <c r="C619" s="5"/>
      <c r="D619" s="9"/>
      <c r="E619" s="9"/>
      <c r="F619" s="9"/>
      <c r="G619" s="9"/>
      <c r="H619" s="9"/>
      <c r="I619" s="9"/>
      <c r="J619" s="5"/>
      <c r="K619" s="4"/>
      <c r="L619" s="10"/>
      <c r="M619" s="10"/>
      <c r="N619" s="10"/>
      <c r="O619" s="10"/>
      <c r="P619" s="10"/>
      <c r="Q619" s="11"/>
      <c r="R619" s="9"/>
      <c r="S619" s="12"/>
      <c r="T619" s="5"/>
      <c r="U619" s="5"/>
      <c r="V619" s="4"/>
      <c r="W619" s="4"/>
      <c r="X619" s="4"/>
      <c r="Y619" s="4"/>
    </row>
    <row r="620">
      <c r="A620" s="5"/>
      <c r="B620" s="9"/>
      <c r="C620" s="5"/>
      <c r="D620" s="9"/>
      <c r="E620" s="9"/>
      <c r="F620" s="9"/>
      <c r="G620" s="9"/>
      <c r="H620" s="9"/>
      <c r="I620" s="9"/>
      <c r="J620" s="5"/>
      <c r="K620" s="4"/>
      <c r="L620" s="10"/>
      <c r="M620" s="10"/>
      <c r="N620" s="10"/>
      <c r="O620" s="10"/>
      <c r="P620" s="10"/>
      <c r="Q620" s="11"/>
      <c r="R620" s="9"/>
      <c r="S620" s="12"/>
      <c r="T620" s="5"/>
      <c r="U620" s="5"/>
      <c r="V620" s="4"/>
      <c r="W620" s="4"/>
      <c r="X620" s="4"/>
      <c r="Y620" s="4"/>
    </row>
    <row r="621">
      <c r="A621" s="5"/>
      <c r="B621" s="9"/>
      <c r="C621" s="5"/>
      <c r="D621" s="9"/>
      <c r="E621" s="9"/>
      <c r="F621" s="9"/>
      <c r="G621" s="9"/>
      <c r="H621" s="9"/>
      <c r="I621" s="9"/>
      <c r="J621" s="5"/>
      <c r="K621" s="4"/>
      <c r="L621" s="10"/>
      <c r="M621" s="10"/>
      <c r="N621" s="10"/>
      <c r="O621" s="10"/>
      <c r="P621" s="10"/>
      <c r="Q621" s="11"/>
      <c r="R621" s="9"/>
      <c r="S621" s="12"/>
      <c r="T621" s="5"/>
      <c r="U621" s="5"/>
      <c r="V621" s="4"/>
      <c r="W621" s="4"/>
      <c r="X621" s="4"/>
      <c r="Y621" s="4"/>
    </row>
    <row r="622">
      <c r="A622" s="5"/>
      <c r="B622" s="9"/>
      <c r="C622" s="5"/>
      <c r="D622" s="9"/>
      <c r="E622" s="9"/>
      <c r="F622" s="9"/>
      <c r="G622" s="9"/>
      <c r="H622" s="9"/>
      <c r="I622" s="9"/>
      <c r="J622" s="5"/>
      <c r="K622" s="4"/>
      <c r="L622" s="10"/>
      <c r="M622" s="10"/>
      <c r="N622" s="10"/>
      <c r="O622" s="10"/>
      <c r="P622" s="10"/>
      <c r="Q622" s="11"/>
      <c r="R622" s="9"/>
      <c r="S622" s="12"/>
      <c r="T622" s="5"/>
      <c r="U622" s="5"/>
      <c r="V622" s="4"/>
      <c r="W622" s="4"/>
      <c r="X622" s="4"/>
      <c r="Y622" s="4"/>
    </row>
    <row r="623">
      <c r="A623" s="5"/>
      <c r="B623" s="9"/>
      <c r="C623" s="5"/>
      <c r="D623" s="9"/>
      <c r="E623" s="9"/>
      <c r="F623" s="9"/>
      <c r="G623" s="9"/>
      <c r="H623" s="9"/>
      <c r="I623" s="9"/>
      <c r="J623" s="5"/>
      <c r="K623" s="4"/>
      <c r="L623" s="10"/>
      <c r="M623" s="10"/>
      <c r="N623" s="10"/>
      <c r="O623" s="10"/>
      <c r="P623" s="10"/>
      <c r="Q623" s="11"/>
      <c r="R623" s="9"/>
      <c r="S623" s="12"/>
      <c r="T623" s="5"/>
      <c r="U623" s="5"/>
      <c r="V623" s="4"/>
      <c r="W623" s="4"/>
      <c r="X623" s="4"/>
      <c r="Y623" s="4"/>
    </row>
    <row r="624">
      <c r="A624" s="5"/>
      <c r="B624" s="9"/>
      <c r="C624" s="5"/>
      <c r="D624" s="9"/>
      <c r="E624" s="9"/>
      <c r="F624" s="9"/>
      <c r="G624" s="9"/>
      <c r="H624" s="9"/>
      <c r="I624" s="9"/>
      <c r="J624" s="5"/>
      <c r="K624" s="4"/>
      <c r="L624" s="10"/>
      <c r="M624" s="10"/>
      <c r="N624" s="10"/>
      <c r="O624" s="10"/>
      <c r="P624" s="10"/>
      <c r="Q624" s="11"/>
      <c r="R624" s="9"/>
      <c r="S624" s="12"/>
      <c r="T624" s="5"/>
      <c r="U624" s="5"/>
      <c r="V624" s="4"/>
      <c r="W624" s="4"/>
      <c r="X624" s="4"/>
      <c r="Y624" s="4"/>
    </row>
    <row r="625">
      <c r="A625" s="5"/>
      <c r="B625" s="9"/>
      <c r="C625" s="5"/>
      <c r="D625" s="9"/>
      <c r="E625" s="9"/>
      <c r="F625" s="9"/>
      <c r="G625" s="9"/>
      <c r="H625" s="9"/>
      <c r="I625" s="9"/>
      <c r="J625" s="5"/>
      <c r="K625" s="4"/>
      <c r="L625" s="10"/>
      <c r="M625" s="10"/>
      <c r="N625" s="10"/>
      <c r="O625" s="10"/>
      <c r="P625" s="10"/>
      <c r="Q625" s="11"/>
      <c r="R625" s="9"/>
      <c r="S625" s="12"/>
      <c r="T625" s="5"/>
      <c r="U625" s="5"/>
      <c r="V625" s="4"/>
      <c r="W625" s="4"/>
      <c r="X625" s="4"/>
      <c r="Y625" s="4"/>
    </row>
    <row r="626">
      <c r="A626" s="5"/>
      <c r="B626" s="9"/>
      <c r="C626" s="5"/>
      <c r="D626" s="9"/>
      <c r="E626" s="9"/>
      <c r="F626" s="9"/>
      <c r="G626" s="9"/>
      <c r="H626" s="9"/>
      <c r="I626" s="9"/>
      <c r="J626" s="5"/>
      <c r="K626" s="4"/>
      <c r="L626" s="10"/>
      <c r="M626" s="10"/>
      <c r="N626" s="10"/>
      <c r="O626" s="10"/>
      <c r="P626" s="10"/>
      <c r="Q626" s="11"/>
      <c r="R626" s="9"/>
      <c r="S626" s="12"/>
      <c r="T626" s="5"/>
      <c r="U626" s="5"/>
      <c r="V626" s="4"/>
      <c r="W626" s="4"/>
      <c r="X626" s="4"/>
      <c r="Y626" s="4"/>
    </row>
    <row r="627">
      <c r="A627" s="5"/>
      <c r="B627" s="9"/>
      <c r="C627" s="5"/>
      <c r="D627" s="9"/>
      <c r="E627" s="9"/>
      <c r="F627" s="9"/>
      <c r="G627" s="9"/>
      <c r="H627" s="9"/>
      <c r="I627" s="9"/>
      <c r="J627" s="5"/>
      <c r="K627" s="4"/>
      <c r="L627" s="10"/>
      <c r="M627" s="10"/>
      <c r="N627" s="10"/>
      <c r="O627" s="10"/>
      <c r="P627" s="10"/>
      <c r="Q627" s="11"/>
      <c r="R627" s="9"/>
      <c r="S627" s="12"/>
      <c r="T627" s="5"/>
      <c r="U627" s="5"/>
      <c r="V627" s="4"/>
      <c r="W627" s="4"/>
      <c r="X627" s="4"/>
      <c r="Y627" s="4"/>
    </row>
    <row r="628">
      <c r="A628" s="5"/>
      <c r="B628" s="9"/>
      <c r="C628" s="5"/>
      <c r="D628" s="9"/>
      <c r="E628" s="9"/>
      <c r="F628" s="9"/>
      <c r="G628" s="9"/>
      <c r="H628" s="9"/>
      <c r="I628" s="9"/>
      <c r="J628" s="5"/>
      <c r="K628" s="4"/>
      <c r="L628" s="10"/>
      <c r="M628" s="10"/>
      <c r="N628" s="10"/>
      <c r="O628" s="10"/>
      <c r="P628" s="10"/>
      <c r="Q628" s="11"/>
      <c r="R628" s="9"/>
      <c r="S628" s="12"/>
      <c r="T628" s="5"/>
      <c r="U628" s="5"/>
      <c r="V628" s="4"/>
      <c r="W628" s="4"/>
      <c r="X628" s="4"/>
      <c r="Y628" s="4"/>
    </row>
    <row r="629">
      <c r="A629" s="5"/>
      <c r="B629" s="9"/>
      <c r="C629" s="5"/>
      <c r="D629" s="9"/>
      <c r="E629" s="9"/>
      <c r="F629" s="9"/>
      <c r="G629" s="9"/>
      <c r="H629" s="9"/>
      <c r="I629" s="9"/>
      <c r="J629" s="5"/>
      <c r="K629" s="4"/>
      <c r="L629" s="10"/>
      <c r="M629" s="10"/>
      <c r="N629" s="10"/>
      <c r="O629" s="10"/>
      <c r="P629" s="10"/>
      <c r="Q629" s="11"/>
      <c r="R629" s="9"/>
      <c r="S629" s="12"/>
      <c r="T629" s="5"/>
      <c r="U629" s="5"/>
      <c r="V629" s="4"/>
      <c r="W629" s="4"/>
      <c r="X629" s="4"/>
      <c r="Y629" s="4"/>
    </row>
    <row r="630">
      <c r="A630" s="5"/>
      <c r="B630" s="9"/>
      <c r="C630" s="5"/>
      <c r="D630" s="9"/>
      <c r="E630" s="9"/>
      <c r="F630" s="9"/>
      <c r="G630" s="9"/>
      <c r="H630" s="9"/>
      <c r="I630" s="9"/>
      <c r="J630" s="5"/>
      <c r="K630" s="4"/>
      <c r="L630" s="10"/>
      <c r="M630" s="10"/>
      <c r="N630" s="10"/>
      <c r="O630" s="10"/>
      <c r="P630" s="10"/>
      <c r="Q630" s="11"/>
      <c r="R630" s="9"/>
      <c r="S630" s="12"/>
      <c r="T630" s="5"/>
      <c r="U630" s="5"/>
      <c r="V630" s="4"/>
      <c r="W630" s="4"/>
      <c r="X630" s="4"/>
      <c r="Y630" s="4"/>
    </row>
    <row r="631">
      <c r="A631" s="5"/>
      <c r="B631" s="9"/>
      <c r="C631" s="5"/>
      <c r="D631" s="9"/>
      <c r="E631" s="9"/>
      <c r="F631" s="9"/>
      <c r="G631" s="9"/>
      <c r="H631" s="9"/>
      <c r="I631" s="9"/>
      <c r="J631" s="5"/>
      <c r="K631" s="4"/>
      <c r="L631" s="10"/>
      <c r="M631" s="10"/>
      <c r="N631" s="10"/>
      <c r="O631" s="10"/>
      <c r="P631" s="10"/>
      <c r="Q631" s="11"/>
      <c r="R631" s="9"/>
      <c r="S631" s="12"/>
      <c r="T631" s="5"/>
      <c r="U631" s="5"/>
      <c r="V631" s="4"/>
      <c r="W631" s="4"/>
      <c r="X631" s="4"/>
      <c r="Y631" s="4"/>
    </row>
    <row r="632">
      <c r="A632" s="5"/>
      <c r="B632" s="9"/>
      <c r="C632" s="5"/>
      <c r="D632" s="9"/>
      <c r="E632" s="9"/>
      <c r="F632" s="9"/>
      <c r="G632" s="9"/>
      <c r="H632" s="9"/>
      <c r="I632" s="9"/>
      <c r="J632" s="5"/>
      <c r="K632" s="4"/>
      <c r="L632" s="10"/>
      <c r="M632" s="10"/>
      <c r="N632" s="10"/>
      <c r="O632" s="10"/>
      <c r="P632" s="10"/>
      <c r="Q632" s="11"/>
      <c r="R632" s="9"/>
      <c r="S632" s="12"/>
      <c r="T632" s="5"/>
      <c r="U632" s="5"/>
      <c r="V632" s="4"/>
      <c r="W632" s="4"/>
      <c r="X632" s="4"/>
      <c r="Y632" s="4"/>
    </row>
    <row r="633">
      <c r="A633" s="5"/>
      <c r="B633" s="9"/>
      <c r="C633" s="5"/>
      <c r="D633" s="9"/>
      <c r="E633" s="9"/>
      <c r="F633" s="9"/>
      <c r="G633" s="9"/>
      <c r="H633" s="9"/>
      <c r="I633" s="9"/>
      <c r="J633" s="5"/>
      <c r="K633" s="4"/>
      <c r="L633" s="10"/>
      <c r="M633" s="10"/>
      <c r="N633" s="10"/>
      <c r="O633" s="10"/>
      <c r="P633" s="10"/>
      <c r="Q633" s="11"/>
      <c r="R633" s="9"/>
      <c r="S633" s="12"/>
      <c r="T633" s="5"/>
      <c r="U633" s="5"/>
      <c r="V633" s="4"/>
      <c r="W633" s="4"/>
      <c r="X633" s="4"/>
      <c r="Y633" s="4"/>
    </row>
    <row r="634">
      <c r="A634" s="5"/>
      <c r="B634" s="9"/>
      <c r="C634" s="5"/>
      <c r="D634" s="9"/>
      <c r="E634" s="9"/>
      <c r="F634" s="9"/>
      <c r="G634" s="9"/>
      <c r="H634" s="9"/>
      <c r="I634" s="9"/>
      <c r="J634" s="5"/>
      <c r="K634" s="4"/>
      <c r="L634" s="10"/>
      <c r="M634" s="10"/>
      <c r="N634" s="10"/>
      <c r="O634" s="10"/>
      <c r="P634" s="10"/>
      <c r="Q634" s="11"/>
      <c r="R634" s="9"/>
      <c r="S634" s="12"/>
      <c r="T634" s="5"/>
      <c r="U634" s="5"/>
      <c r="V634" s="4"/>
      <c r="W634" s="4"/>
      <c r="X634" s="4"/>
      <c r="Y634" s="4"/>
    </row>
    <row r="635">
      <c r="A635" s="5"/>
      <c r="B635" s="9"/>
      <c r="C635" s="5"/>
      <c r="D635" s="9"/>
      <c r="E635" s="9"/>
      <c r="F635" s="9"/>
      <c r="G635" s="9"/>
      <c r="H635" s="9"/>
      <c r="I635" s="9"/>
      <c r="J635" s="5"/>
      <c r="K635" s="4"/>
      <c r="L635" s="10"/>
      <c r="M635" s="10"/>
      <c r="N635" s="10"/>
      <c r="O635" s="10"/>
      <c r="P635" s="10"/>
      <c r="Q635" s="11"/>
      <c r="R635" s="9"/>
      <c r="S635" s="12"/>
      <c r="T635" s="5"/>
      <c r="U635" s="5"/>
      <c r="V635" s="4"/>
      <c r="W635" s="4"/>
      <c r="X635" s="4"/>
      <c r="Y635" s="4"/>
    </row>
    <row r="636">
      <c r="A636" s="5"/>
      <c r="B636" s="9"/>
      <c r="C636" s="5"/>
      <c r="D636" s="9"/>
      <c r="E636" s="9"/>
      <c r="F636" s="9"/>
      <c r="G636" s="9"/>
      <c r="H636" s="9"/>
      <c r="I636" s="9"/>
      <c r="J636" s="5"/>
      <c r="K636" s="4"/>
      <c r="L636" s="10"/>
      <c r="M636" s="10"/>
      <c r="N636" s="10"/>
      <c r="O636" s="10"/>
      <c r="P636" s="10"/>
      <c r="Q636" s="11"/>
      <c r="R636" s="9"/>
      <c r="S636" s="12"/>
      <c r="T636" s="5"/>
      <c r="U636" s="5"/>
      <c r="V636" s="4"/>
      <c r="W636" s="4"/>
      <c r="X636" s="4"/>
      <c r="Y636" s="4"/>
    </row>
    <row r="637">
      <c r="A637" s="5"/>
      <c r="B637" s="9"/>
      <c r="C637" s="5"/>
      <c r="D637" s="9"/>
      <c r="E637" s="9"/>
      <c r="F637" s="9"/>
      <c r="G637" s="9"/>
      <c r="H637" s="9"/>
      <c r="I637" s="9"/>
      <c r="J637" s="5"/>
      <c r="K637" s="4"/>
      <c r="L637" s="10"/>
      <c r="M637" s="10"/>
      <c r="N637" s="10"/>
      <c r="O637" s="10"/>
      <c r="P637" s="10"/>
      <c r="Q637" s="11"/>
      <c r="R637" s="9"/>
      <c r="S637" s="12"/>
      <c r="T637" s="5"/>
      <c r="U637" s="5"/>
      <c r="V637" s="4"/>
      <c r="W637" s="4"/>
      <c r="X637" s="4"/>
      <c r="Y637" s="4"/>
    </row>
    <row r="638">
      <c r="A638" s="5"/>
      <c r="B638" s="9"/>
      <c r="C638" s="5"/>
      <c r="D638" s="9"/>
      <c r="E638" s="9"/>
      <c r="F638" s="9"/>
      <c r="G638" s="9"/>
      <c r="H638" s="9"/>
      <c r="I638" s="9"/>
      <c r="J638" s="5"/>
      <c r="K638" s="4"/>
      <c r="L638" s="10"/>
      <c r="M638" s="10"/>
      <c r="N638" s="10"/>
      <c r="O638" s="10"/>
      <c r="P638" s="10"/>
      <c r="Q638" s="11"/>
      <c r="R638" s="9"/>
      <c r="S638" s="12"/>
      <c r="T638" s="5"/>
      <c r="U638" s="5"/>
      <c r="V638" s="4"/>
      <c r="W638" s="4"/>
      <c r="X638" s="4"/>
      <c r="Y638" s="4"/>
    </row>
    <row r="639">
      <c r="A639" s="5"/>
      <c r="B639" s="9"/>
      <c r="C639" s="5"/>
      <c r="D639" s="9"/>
      <c r="E639" s="9"/>
      <c r="F639" s="9"/>
      <c r="G639" s="9"/>
      <c r="H639" s="9"/>
      <c r="I639" s="9"/>
      <c r="J639" s="5"/>
      <c r="K639" s="4"/>
      <c r="L639" s="10"/>
      <c r="M639" s="10"/>
      <c r="N639" s="10"/>
      <c r="O639" s="10"/>
      <c r="P639" s="10"/>
      <c r="Q639" s="11"/>
      <c r="R639" s="9"/>
      <c r="S639" s="12"/>
      <c r="T639" s="5"/>
      <c r="U639" s="5"/>
      <c r="V639" s="4"/>
      <c r="W639" s="4"/>
      <c r="X639" s="4"/>
      <c r="Y639" s="4"/>
    </row>
    <row r="640">
      <c r="A640" s="5"/>
      <c r="B640" s="9"/>
      <c r="C640" s="5"/>
      <c r="D640" s="9"/>
      <c r="E640" s="9"/>
      <c r="F640" s="9"/>
      <c r="G640" s="9"/>
      <c r="H640" s="9"/>
      <c r="I640" s="9"/>
      <c r="J640" s="5"/>
      <c r="K640" s="4"/>
      <c r="L640" s="10"/>
      <c r="M640" s="10"/>
      <c r="N640" s="10"/>
      <c r="O640" s="10"/>
      <c r="P640" s="10"/>
      <c r="Q640" s="11"/>
      <c r="R640" s="9"/>
      <c r="S640" s="12"/>
      <c r="T640" s="5"/>
      <c r="U640" s="5"/>
      <c r="V640" s="4"/>
      <c r="W640" s="4"/>
      <c r="X640" s="4"/>
      <c r="Y640" s="4"/>
    </row>
    <row r="641">
      <c r="A641" s="5"/>
      <c r="B641" s="9"/>
      <c r="C641" s="5"/>
      <c r="D641" s="9"/>
      <c r="E641" s="9"/>
      <c r="F641" s="9"/>
      <c r="G641" s="9"/>
      <c r="H641" s="9"/>
      <c r="I641" s="9"/>
      <c r="J641" s="5"/>
      <c r="K641" s="4"/>
      <c r="L641" s="10"/>
      <c r="M641" s="10"/>
      <c r="N641" s="10"/>
      <c r="O641" s="10"/>
      <c r="P641" s="10"/>
      <c r="Q641" s="11"/>
      <c r="R641" s="9"/>
      <c r="S641" s="12"/>
      <c r="T641" s="5"/>
      <c r="U641" s="5"/>
      <c r="V641" s="4"/>
      <c r="W641" s="4"/>
      <c r="X641" s="4"/>
      <c r="Y641" s="4"/>
    </row>
    <row r="642">
      <c r="A642" s="5"/>
      <c r="B642" s="9"/>
      <c r="C642" s="5"/>
      <c r="D642" s="9"/>
      <c r="E642" s="9"/>
      <c r="F642" s="9"/>
      <c r="G642" s="9"/>
      <c r="H642" s="9"/>
      <c r="I642" s="9"/>
      <c r="J642" s="5"/>
      <c r="K642" s="4"/>
      <c r="L642" s="10"/>
      <c r="M642" s="10"/>
      <c r="N642" s="10"/>
      <c r="O642" s="10"/>
      <c r="P642" s="10"/>
      <c r="Q642" s="11"/>
      <c r="R642" s="9"/>
      <c r="S642" s="12"/>
      <c r="T642" s="5"/>
      <c r="U642" s="5"/>
      <c r="V642" s="4"/>
      <c r="W642" s="4"/>
      <c r="X642" s="4"/>
      <c r="Y642" s="4"/>
    </row>
    <row r="643">
      <c r="A643" s="5"/>
      <c r="B643" s="9"/>
      <c r="C643" s="5"/>
      <c r="D643" s="9"/>
      <c r="E643" s="9"/>
      <c r="F643" s="9"/>
      <c r="G643" s="9"/>
      <c r="H643" s="9"/>
      <c r="I643" s="9"/>
      <c r="J643" s="5"/>
      <c r="K643" s="4"/>
      <c r="L643" s="10"/>
      <c r="M643" s="10"/>
      <c r="N643" s="10"/>
      <c r="O643" s="10"/>
      <c r="P643" s="10"/>
      <c r="Q643" s="11"/>
      <c r="R643" s="9"/>
      <c r="S643" s="12"/>
      <c r="T643" s="5"/>
      <c r="U643" s="5"/>
      <c r="V643" s="4"/>
      <c r="W643" s="4"/>
      <c r="X643" s="4"/>
      <c r="Y643" s="4"/>
    </row>
    <row r="644">
      <c r="A644" s="5"/>
      <c r="B644" s="9"/>
      <c r="C644" s="5"/>
      <c r="D644" s="9"/>
      <c r="E644" s="9"/>
      <c r="F644" s="9"/>
      <c r="G644" s="9"/>
      <c r="H644" s="9"/>
      <c r="I644" s="9"/>
      <c r="J644" s="5"/>
      <c r="K644" s="4"/>
      <c r="L644" s="10"/>
      <c r="M644" s="10"/>
      <c r="N644" s="10"/>
      <c r="O644" s="10"/>
      <c r="P644" s="10"/>
      <c r="Q644" s="11"/>
      <c r="R644" s="9"/>
      <c r="S644" s="12"/>
      <c r="T644" s="5"/>
      <c r="U644" s="5"/>
      <c r="V644" s="4"/>
      <c r="W644" s="4"/>
      <c r="X644" s="4"/>
      <c r="Y644" s="4"/>
    </row>
    <row r="645">
      <c r="A645" s="5"/>
      <c r="B645" s="9"/>
      <c r="C645" s="5"/>
      <c r="D645" s="9"/>
      <c r="E645" s="9"/>
      <c r="F645" s="9"/>
      <c r="G645" s="9"/>
      <c r="H645" s="9"/>
      <c r="I645" s="9"/>
      <c r="J645" s="5"/>
      <c r="K645" s="4"/>
      <c r="L645" s="10"/>
      <c r="M645" s="10"/>
      <c r="N645" s="10"/>
      <c r="O645" s="10"/>
      <c r="P645" s="10"/>
      <c r="Q645" s="11"/>
      <c r="R645" s="9"/>
      <c r="S645" s="12"/>
      <c r="T645" s="5"/>
      <c r="U645" s="5"/>
      <c r="V645" s="4"/>
      <c r="W645" s="4"/>
      <c r="X645" s="4"/>
      <c r="Y645" s="4"/>
    </row>
    <row r="646">
      <c r="A646" s="5"/>
      <c r="B646" s="9"/>
      <c r="C646" s="5"/>
      <c r="D646" s="9"/>
      <c r="E646" s="9"/>
      <c r="F646" s="9"/>
      <c r="G646" s="9"/>
      <c r="H646" s="9"/>
      <c r="I646" s="9"/>
      <c r="J646" s="5"/>
      <c r="K646" s="4"/>
      <c r="L646" s="10"/>
      <c r="M646" s="10"/>
      <c r="N646" s="10"/>
      <c r="O646" s="10"/>
      <c r="P646" s="10"/>
      <c r="Q646" s="11"/>
      <c r="R646" s="9"/>
      <c r="S646" s="12"/>
      <c r="T646" s="5"/>
      <c r="U646" s="5"/>
      <c r="V646" s="4"/>
      <c r="W646" s="4"/>
      <c r="X646" s="4"/>
      <c r="Y646" s="4"/>
    </row>
    <row r="647">
      <c r="A647" s="5"/>
      <c r="B647" s="9"/>
      <c r="C647" s="5"/>
      <c r="D647" s="9"/>
      <c r="E647" s="9"/>
      <c r="F647" s="9"/>
      <c r="G647" s="9"/>
      <c r="H647" s="9"/>
      <c r="I647" s="9"/>
      <c r="J647" s="5"/>
      <c r="K647" s="4"/>
      <c r="L647" s="10"/>
      <c r="M647" s="10"/>
      <c r="N647" s="10"/>
      <c r="O647" s="10"/>
      <c r="P647" s="10"/>
      <c r="Q647" s="11"/>
      <c r="R647" s="9"/>
      <c r="S647" s="12"/>
      <c r="T647" s="5"/>
      <c r="U647" s="5"/>
      <c r="V647" s="4"/>
      <c r="W647" s="4"/>
      <c r="X647" s="4"/>
      <c r="Y647" s="4"/>
    </row>
    <row r="648">
      <c r="A648" s="5"/>
      <c r="B648" s="9"/>
      <c r="C648" s="5"/>
      <c r="D648" s="9"/>
      <c r="E648" s="9"/>
      <c r="F648" s="9"/>
      <c r="G648" s="9"/>
      <c r="H648" s="9"/>
      <c r="I648" s="9"/>
      <c r="J648" s="5"/>
      <c r="K648" s="4"/>
      <c r="L648" s="10"/>
      <c r="M648" s="10"/>
      <c r="N648" s="10"/>
      <c r="O648" s="10"/>
      <c r="P648" s="10"/>
      <c r="Q648" s="11"/>
      <c r="R648" s="9"/>
      <c r="S648" s="12"/>
      <c r="T648" s="5"/>
      <c r="U648" s="5"/>
      <c r="V648" s="4"/>
      <c r="W648" s="4"/>
      <c r="X648" s="4"/>
      <c r="Y648" s="4"/>
    </row>
    <row r="649">
      <c r="A649" s="5"/>
      <c r="B649" s="9"/>
      <c r="C649" s="5"/>
      <c r="D649" s="9"/>
      <c r="E649" s="9"/>
      <c r="F649" s="9"/>
      <c r="G649" s="9"/>
      <c r="H649" s="9"/>
      <c r="I649" s="9"/>
      <c r="J649" s="5"/>
      <c r="K649" s="4"/>
      <c r="L649" s="10"/>
      <c r="M649" s="10"/>
      <c r="N649" s="10"/>
      <c r="O649" s="10"/>
      <c r="P649" s="10"/>
      <c r="Q649" s="11"/>
      <c r="R649" s="9"/>
      <c r="S649" s="12"/>
      <c r="T649" s="5"/>
      <c r="U649" s="5"/>
      <c r="V649" s="4"/>
      <c r="W649" s="4"/>
      <c r="X649" s="4"/>
      <c r="Y649" s="4"/>
    </row>
    <row r="650">
      <c r="A650" s="5"/>
      <c r="B650" s="9"/>
      <c r="C650" s="5"/>
      <c r="D650" s="9"/>
      <c r="E650" s="9"/>
      <c r="F650" s="9"/>
      <c r="G650" s="9"/>
      <c r="H650" s="9"/>
      <c r="I650" s="9"/>
      <c r="J650" s="5"/>
      <c r="K650" s="4"/>
      <c r="L650" s="10"/>
      <c r="M650" s="10"/>
      <c r="N650" s="10"/>
      <c r="O650" s="10"/>
      <c r="P650" s="10"/>
      <c r="Q650" s="11"/>
      <c r="R650" s="9"/>
      <c r="S650" s="12"/>
      <c r="T650" s="5"/>
      <c r="U650" s="5"/>
      <c r="V650" s="4"/>
      <c r="W650" s="4"/>
      <c r="X650" s="4"/>
      <c r="Y650" s="4"/>
    </row>
    <row r="651">
      <c r="A651" s="5"/>
      <c r="B651" s="9"/>
      <c r="C651" s="5"/>
      <c r="D651" s="9"/>
      <c r="E651" s="9"/>
      <c r="F651" s="9"/>
      <c r="G651" s="9"/>
      <c r="H651" s="9"/>
      <c r="I651" s="9"/>
      <c r="J651" s="5"/>
      <c r="K651" s="4"/>
      <c r="L651" s="10"/>
      <c r="M651" s="10"/>
      <c r="N651" s="10"/>
      <c r="O651" s="10"/>
      <c r="P651" s="10"/>
      <c r="Q651" s="11"/>
      <c r="R651" s="9"/>
      <c r="S651" s="12"/>
      <c r="T651" s="5"/>
      <c r="U651" s="5"/>
      <c r="V651" s="4"/>
      <c r="W651" s="4"/>
      <c r="X651" s="4"/>
      <c r="Y651" s="4"/>
    </row>
    <row r="652">
      <c r="A652" s="5"/>
      <c r="B652" s="9"/>
      <c r="C652" s="5"/>
      <c r="D652" s="9"/>
      <c r="E652" s="9"/>
      <c r="F652" s="9"/>
      <c r="G652" s="9"/>
      <c r="H652" s="9"/>
      <c r="I652" s="9"/>
      <c r="J652" s="5"/>
      <c r="K652" s="4"/>
      <c r="L652" s="10"/>
      <c r="M652" s="10"/>
      <c r="N652" s="10"/>
      <c r="O652" s="10"/>
      <c r="P652" s="10"/>
      <c r="Q652" s="11"/>
      <c r="R652" s="9"/>
      <c r="S652" s="12"/>
      <c r="T652" s="5"/>
      <c r="U652" s="5"/>
      <c r="V652" s="4"/>
      <c r="W652" s="4"/>
      <c r="X652" s="4"/>
      <c r="Y652" s="4"/>
    </row>
    <row r="653">
      <c r="A653" s="5"/>
      <c r="B653" s="9"/>
      <c r="C653" s="5"/>
      <c r="D653" s="9"/>
      <c r="E653" s="9"/>
      <c r="F653" s="9"/>
      <c r="G653" s="9"/>
      <c r="H653" s="9"/>
      <c r="I653" s="9"/>
      <c r="J653" s="5"/>
      <c r="K653" s="4"/>
      <c r="L653" s="10"/>
      <c r="M653" s="10"/>
      <c r="N653" s="10"/>
      <c r="O653" s="10"/>
      <c r="P653" s="10"/>
      <c r="Q653" s="11"/>
      <c r="R653" s="9"/>
      <c r="S653" s="12"/>
      <c r="T653" s="5"/>
      <c r="U653" s="5"/>
      <c r="V653" s="4"/>
      <c r="W653" s="4"/>
      <c r="X653" s="4"/>
      <c r="Y653" s="4"/>
    </row>
    <row r="654">
      <c r="A654" s="5"/>
      <c r="B654" s="9"/>
      <c r="C654" s="5"/>
      <c r="D654" s="9"/>
      <c r="E654" s="9"/>
      <c r="F654" s="9"/>
      <c r="G654" s="9"/>
      <c r="H654" s="9"/>
      <c r="I654" s="9"/>
      <c r="J654" s="5"/>
      <c r="K654" s="4"/>
      <c r="L654" s="10"/>
      <c r="M654" s="10"/>
      <c r="N654" s="10"/>
      <c r="O654" s="10"/>
      <c r="P654" s="10"/>
      <c r="Q654" s="11"/>
      <c r="R654" s="9"/>
      <c r="S654" s="12"/>
      <c r="T654" s="5"/>
      <c r="U654" s="5"/>
      <c r="V654" s="4"/>
      <c r="W654" s="4"/>
      <c r="X654" s="4"/>
      <c r="Y654" s="4"/>
    </row>
    <row r="655">
      <c r="A655" s="5"/>
      <c r="B655" s="9"/>
      <c r="C655" s="5"/>
      <c r="D655" s="9"/>
      <c r="E655" s="9"/>
      <c r="F655" s="9"/>
      <c r="G655" s="9"/>
      <c r="H655" s="9"/>
      <c r="I655" s="9"/>
      <c r="J655" s="5"/>
      <c r="K655" s="4"/>
      <c r="L655" s="10"/>
      <c r="M655" s="10"/>
      <c r="N655" s="10"/>
      <c r="O655" s="10"/>
      <c r="P655" s="10"/>
      <c r="Q655" s="11"/>
      <c r="R655" s="9"/>
      <c r="S655" s="12"/>
      <c r="T655" s="5"/>
      <c r="U655" s="5"/>
      <c r="V655" s="4"/>
      <c r="W655" s="4"/>
      <c r="X655" s="4"/>
      <c r="Y655" s="4"/>
    </row>
    <row r="656">
      <c r="A656" s="5"/>
      <c r="B656" s="9"/>
      <c r="C656" s="5"/>
      <c r="D656" s="9"/>
      <c r="E656" s="9"/>
      <c r="F656" s="9"/>
      <c r="G656" s="9"/>
      <c r="H656" s="9"/>
      <c r="I656" s="9"/>
      <c r="J656" s="5"/>
      <c r="K656" s="4"/>
      <c r="L656" s="10"/>
      <c r="M656" s="10"/>
      <c r="N656" s="10"/>
      <c r="O656" s="10"/>
      <c r="P656" s="10"/>
      <c r="Q656" s="11"/>
      <c r="R656" s="9"/>
      <c r="S656" s="12"/>
      <c r="T656" s="5"/>
      <c r="U656" s="5"/>
      <c r="V656" s="4"/>
      <c r="W656" s="4"/>
      <c r="X656" s="4"/>
      <c r="Y656" s="4"/>
    </row>
    <row r="657">
      <c r="A657" s="5"/>
      <c r="B657" s="9"/>
      <c r="C657" s="5"/>
      <c r="D657" s="9"/>
      <c r="E657" s="9"/>
      <c r="F657" s="9"/>
      <c r="G657" s="9"/>
      <c r="H657" s="9"/>
      <c r="I657" s="9"/>
      <c r="J657" s="5"/>
      <c r="K657" s="4"/>
      <c r="L657" s="10"/>
      <c r="M657" s="10"/>
      <c r="N657" s="10"/>
      <c r="O657" s="10"/>
      <c r="P657" s="10"/>
      <c r="Q657" s="11"/>
      <c r="R657" s="9"/>
      <c r="S657" s="12"/>
      <c r="T657" s="5"/>
      <c r="U657" s="5"/>
      <c r="V657" s="4"/>
      <c r="W657" s="4"/>
      <c r="X657" s="4"/>
      <c r="Y657" s="4"/>
    </row>
    <row r="658">
      <c r="A658" s="5"/>
      <c r="B658" s="9"/>
      <c r="C658" s="5"/>
      <c r="D658" s="9"/>
      <c r="E658" s="9"/>
      <c r="F658" s="9"/>
      <c r="G658" s="9"/>
      <c r="H658" s="9"/>
      <c r="I658" s="9"/>
      <c r="J658" s="5"/>
      <c r="K658" s="4"/>
      <c r="L658" s="10"/>
      <c r="M658" s="10"/>
      <c r="N658" s="10"/>
      <c r="O658" s="10"/>
      <c r="P658" s="10"/>
      <c r="Q658" s="11"/>
      <c r="R658" s="9"/>
      <c r="S658" s="12"/>
      <c r="T658" s="5"/>
      <c r="U658" s="5"/>
      <c r="V658" s="4"/>
      <c r="W658" s="4"/>
      <c r="X658" s="4"/>
      <c r="Y658" s="4"/>
    </row>
    <row r="659">
      <c r="A659" s="5"/>
      <c r="B659" s="9"/>
      <c r="C659" s="5"/>
      <c r="D659" s="9"/>
      <c r="E659" s="9"/>
      <c r="F659" s="9"/>
      <c r="G659" s="9"/>
      <c r="H659" s="9"/>
      <c r="I659" s="9"/>
      <c r="J659" s="5"/>
      <c r="K659" s="4"/>
      <c r="L659" s="10"/>
      <c r="M659" s="10"/>
      <c r="N659" s="10"/>
      <c r="O659" s="10"/>
      <c r="P659" s="10"/>
      <c r="Q659" s="11"/>
      <c r="R659" s="9"/>
      <c r="S659" s="12"/>
      <c r="T659" s="5"/>
      <c r="U659" s="5"/>
      <c r="V659" s="4"/>
      <c r="W659" s="4"/>
      <c r="X659" s="4"/>
      <c r="Y659" s="4"/>
    </row>
    <row r="660">
      <c r="A660" s="5"/>
      <c r="B660" s="9"/>
      <c r="C660" s="5"/>
      <c r="D660" s="9"/>
      <c r="E660" s="9"/>
      <c r="F660" s="9"/>
      <c r="G660" s="9"/>
      <c r="H660" s="9"/>
      <c r="I660" s="9"/>
      <c r="J660" s="5"/>
      <c r="K660" s="4"/>
      <c r="L660" s="10"/>
      <c r="M660" s="10"/>
      <c r="N660" s="10"/>
      <c r="O660" s="10"/>
      <c r="P660" s="10"/>
      <c r="Q660" s="11"/>
      <c r="R660" s="9"/>
      <c r="S660" s="12"/>
      <c r="T660" s="5"/>
      <c r="U660" s="5"/>
      <c r="V660" s="4"/>
      <c r="W660" s="4"/>
      <c r="X660" s="4"/>
      <c r="Y660" s="4"/>
    </row>
    <row r="661">
      <c r="A661" s="5"/>
      <c r="B661" s="9"/>
      <c r="C661" s="5"/>
      <c r="D661" s="9"/>
      <c r="E661" s="9"/>
      <c r="F661" s="9"/>
      <c r="G661" s="9"/>
      <c r="H661" s="9"/>
      <c r="I661" s="9"/>
      <c r="J661" s="5"/>
      <c r="K661" s="4"/>
      <c r="L661" s="10"/>
      <c r="M661" s="10"/>
      <c r="N661" s="10"/>
      <c r="O661" s="10"/>
      <c r="P661" s="10"/>
      <c r="Q661" s="11"/>
      <c r="R661" s="9"/>
      <c r="S661" s="12"/>
      <c r="T661" s="5"/>
      <c r="U661" s="5"/>
      <c r="V661" s="4"/>
      <c r="W661" s="4"/>
      <c r="X661" s="4"/>
      <c r="Y661" s="4"/>
    </row>
    <row r="662">
      <c r="A662" s="5"/>
      <c r="B662" s="9"/>
      <c r="C662" s="5"/>
      <c r="D662" s="9"/>
      <c r="E662" s="9"/>
      <c r="F662" s="9"/>
      <c r="G662" s="9"/>
      <c r="H662" s="9"/>
      <c r="I662" s="9"/>
      <c r="J662" s="5"/>
      <c r="K662" s="4"/>
      <c r="L662" s="10"/>
      <c r="M662" s="10"/>
      <c r="N662" s="10"/>
      <c r="O662" s="10"/>
      <c r="P662" s="10"/>
      <c r="Q662" s="11"/>
      <c r="R662" s="9"/>
      <c r="S662" s="12"/>
      <c r="T662" s="5"/>
      <c r="U662" s="5"/>
      <c r="V662" s="4"/>
      <c r="W662" s="4"/>
      <c r="X662" s="4"/>
      <c r="Y662" s="4"/>
    </row>
    <row r="663">
      <c r="A663" s="5"/>
      <c r="B663" s="9"/>
      <c r="C663" s="5"/>
      <c r="D663" s="9"/>
      <c r="E663" s="9"/>
      <c r="F663" s="9"/>
      <c r="G663" s="9"/>
      <c r="H663" s="9"/>
      <c r="I663" s="9"/>
      <c r="J663" s="5"/>
      <c r="K663" s="4"/>
      <c r="L663" s="10"/>
      <c r="M663" s="10"/>
      <c r="N663" s="10"/>
      <c r="O663" s="10"/>
      <c r="P663" s="10"/>
      <c r="Q663" s="11"/>
      <c r="R663" s="9"/>
      <c r="S663" s="12"/>
      <c r="T663" s="5"/>
      <c r="U663" s="5"/>
      <c r="V663" s="4"/>
      <c r="W663" s="4"/>
      <c r="X663" s="4"/>
      <c r="Y663" s="4"/>
    </row>
    <row r="664">
      <c r="A664" s="5"/>
      <c r="B664" s="9"/>
      <c r="C664" s="5"/>
      <c r="D664" s="9"/>
      <c r="E664" s="9"/>
      <c r="F664" s="9"/>
      <c r="G664" s="9"/>
      <c r="H664" s="9"/>
      <c r="I664" s="9"/>
      <c r="J664" s="5"/>
      <c r="K664" s="4"/>
      <c r="L664" s="10"/>
      <c r="M664" s="10"/>
      <c r="N664" s="10"/>
      <c r="O664" s="10"/>
      <c r="P664" s="10"/>
      <c r="Q664" s="11"/>
      <c r="R664" s="9"/>
      <c r="S664" s="12"/>
      <c r="T664" s="5"/>
      <c r="U664" s="5"/>
      <c r="V664" s="4"/>
      <c r="W664" s="4"/>
      <c r="X664" s="4"/>
      <c r="Y664" s="4"/>
    </row>
    <row r="665">
      <c r="A665" s="5"/>
      <c r="B665" s="9"/>
      <c r="C665" s="5"/>
      <c r="D665" s="9"/>
      <c r="E665" s="9"/>
      <c r="F665" s="9"/>
      <c r="G665" s="9"/>
      <c r="H665" s="9"/>
      <c r="I665" s="9"/>
      <c r="J665" s="5"/>
      <c r="K665" s="4"/>
      <c r="L665" s="10"/>
      <c r="M665" s="10"/>
      <c r="N665" s="10"/>
      <c r="O665" s="10"/>
      <c r="P665" s="10"/>
      <c r="Q665" s="11"/>
      <c r="R665" s="9"/>
      <c r="S665" s="12"/>
      <c r="T665" s="5"/>
      <c r="U665" s="5"/>
      <c r="V665" s="4"/>
      <c r="W665" s="4"/>
      <c r="X665" s="4"/>
      <c r="Y665" s="4"/>
    </row>
    <row r="666">
      <c r="A666" s="5"/>
      <c r="B666" s="9"/>
      <c r="C666" s="5"/>
      <c r="D666" s="9"/>
      <c r="E666" s="9"/>
      <c r="F666" s="9"/>
      <c r="G666" s="9"/>
      <c r="H666" s="9"/>
      <c r="I666" s="9"/>
      <c r="J666" s="5"/>
      <c r="K666" s="4"/>
      <c r="L666" s="10"/>
      <c r="M666" s="10"/>
      <c r="N666" s="10"/>
      <c r="O666" s="10"/>
      <c r="P666" s="10"/>
      <c r="Q666" s="11"/>
      <c r="R666" s="9"/>
      <c r="S666" s="12"/>
      <c r="T666" s="5"/>
      <c r="U666" s="5"/>
      <c r="V666" s="4"/>
      <c r="W666" s="4"/>
      <c r="X666" s="4"/>
      <c r="Y666" s="4"/>
    </row>
    <row r="667">
      <c r="A667" s="5"/>
      <c r="B667" s="9"/>
      <c r="C667" s="5"/>
      <c r="D667" s="9"/>
      <c r="E667" s="9"/>
      <c r="F667" s="9"/>
      <c r="G667" s="9"/>
      <c r="H667" s="9"/>
      <c r="I667" s="9"/>
      <c r="J667" s="5"/>
      <c r="K667" s="4"/>
      <c r="L667" s="10"/>
      <c r="M667" s="10"/>
      <c r="N667" s="10"/>
      <c r="O667" s="10"/>
      <c r="P667" s="10"/>
      <c r="Q667" s="11"/>
      <c r="R667" s="9"/>
      <c r="S667" s="12"/>
      <c r="T667" s="5"/>
      <c r="U667" s="5"/>
      <c r="V667" s="4"/>
      <c r="W667" s="4"/>
      <c r="X667" s="4"/>
      <c r="Y667" s="4"/>
    </row>
    <row r="668">
      <c r="A668" s="5"/>
      <c r="B668" s="9"/>
      <c r="C668" s="5"/>
      <c r="D668" s="9"/>
      <c r="E668" s="9"/>
      <c r="F668" s="9"/>
      <c r="G668" s="9"/>
      <c r="H668" s="9"/>
      <c r="I668" s="9"/>
      <c r="J668" s="5"/>
      <c r="K668" s="4"/>
      <c r="L668" s="10"/>
      <c r="M668" s="10"/>
      <c r="N668" s="10"/>
      <c r="O668" s="10"/>
      <c r="P668" s="10"/>
      <c r="Q668" s="11"/>
      <c r="R668" s="9"/>
      <c r="S668" s="12"/>
      <c r="T668" s="5"/>
      <c r="U668" s="5"/>
      <c r="V668" s="4"/>
      <c r="W668" s="4"/>
      <c r="X668" s="4"/>
      <c r="Y668" s="4"/>
    </row>
    <row r="669">
      <c r="A669" s="5"/>
      <c r="B669" s="9"/>
      <c r="C669" s="5"/>
      <c r="D669" s="9"/>
      <c r="E669" s="9"/>
      <c r="F669" s="9"/>
      <c r="G669" s="9"/>
      <c r="H669" s="9"/>
      <c r="I669" s="9"/>
      <c r="J669" s="5"/>
      <c r="K669" s="4"/>
      <c r="L669" s="10"/>
      <c r="M669" s="10"/>
      <c r="N669" s="10"/>
      <c r="O669" s="10"/>
      <c r="P669" s="10"/>
      <c r="Q669" s="11"/>
      <c r="R669" s="9"/>
      <c r="S669" s="12"/>
      <c r="T669" s="5"/>
      <c r="U669" s="5"/>
      <c r="V669" s="4"/>
      <c r="W669" s="4"/>
      <c r="X669" s="4"/>
      <c r="Y669" s="4"/>
    </row>
    <row r="670">
      <c r="A670" s="5"/>
      <c r="B670" s="9"/>
      <c r="C670" s="5"/>
      <c r="D670" s="9"/>
      <c r="E670" s="9"/>
      <c r="F670" s="9"/>
      <c r="G670" s="9"/>
      <c r="H670" s="9"/>
      <c r="I670" s="9"/>
      <c r="J670" s="5"/>
      <c r="K670" s="4"/>
      <c r="L670" s="10"/>
      <c r="M670" s="10"/>
      <c r="N670" s="10"/>
      <c r="O670" s="10"/>
      <c r="P670" s="10"/>
      <c r="Q670" s="11"/>
      <c r="R670" s="9"/>
      <c r="S670" s="12"/>
      <c r="T670" s="5"/>
      <c r="U670" s="5"/>
      <c r="V670" s="4"/>
      <c r="W670" s="4"/>
      <c r="X670" s="4"/>
      <c r="Y670" s="4"/>
    </row>
    <row r="671">
      <c r="A671" s="5"/>
      <c r="B671" s="9"/>
      <c r="C671" s="5"/>
      <c r="D671" s="9"/>
      <c r="E671" s="9"/>
      <c r="F671" s="9"/>
      <c r="G671" s="9"/>
      <c r="H671" s="9"/>
      <c r="I671" s="9"/>
      <c r="J671" s="5"/>
      <c r="K671" s="4"/>
      <c r="L671" s="10"/>
      <c r="M671" s="10"/>
      <c r="N671" s="10"/>
      <c r="O671" s="10"/>
      <c r="P671" s="10"/>
      <c r="Q671" s="11"/>
      <c r="R671" s="9"/>
      <c r="S671" s="12"/>
      <c r="T671" s="5"/>
      <c r="U671" s="5"/>
      <c r="V671" s="4"/>
      <c r="W671" s="4"/>
      <c r="X671" s="4"/>
      <c r="Y671" s="4"/>
    </row>
    <row r="672">
      <c r="A672" s="5"/>
      <c r="B672" s="9"/>
      <c r="C672" s="5"/>
      <c r="D672" s="9"/>
      <c r="E672" s="9"/>
      <c r="F672" s="9"/>
      <c r="G672" s="9"/>
      <c r="H672" s="9"/>
      <c r="I672" s="9"/>
      <c r="J672" s="5"/>
      <c r="K672" s="4"/>
      <c r="L672" s="10"/>
      <c r="M672" s="10"/>
      <c r="N672" s="10"/>
      <c r="O672" s="10"/>
      <c r="P672" s="10"/>
      <c r="Q672" s="11"/>
      <c r="R672" s="9"/>
      <c r="S672" s="12"/>
      <c r="T672" s="5"/>
      <c r="U672" s="5"/>
      <c r="V672" s="4"/>
      <c r="W672" s="4"/>
      <c r="X672" s="4"/>
      <c r="Y672" s="4"/>
    </row>
    <row r="673">
      <c r="A673" s="5"/>
      <c r="B673" s="9"/>
      <c r="C673" s="5"/>
      <c r="D673" s="9"/>
      <c r="E673" s="9"/>
      <c r="F673" s="9"/>
      <c r="G673" s="9"/>
      <c r="H673" s="9"/>
      <c r="I673" s="9"/>
      <c r="J673" s="5"/>
      <c r="K673" s="4"/>
      <c r="L673" s="10"/>
      <c r="M673" s="10"/>
      <c r="N673" s="10"/>
      <c r="O673" s="10"/>
      <c r="P673" s="10"/>
      <c r="Q673" s="11"/>
      <c r="R673" s="9"/>
      <c r="S673" s="12"/>
      <c r="T673" s="5"/>
      <c r="U673" s="5"/>
      <c r="V673" s="4"/>
      <c r="W673" s="4"/>
      <c r="X673" s="4"/>
      <c r="Y673" s="4"/>
    </row>
    <row r="674">
      <c r="A674" s="5"/>
      <c r="B674" s="9"/>
      <c r="C674" s="5"/>
      <c r="D674" s="9"/>
      <c r="E674" s="9"/>
      <c r="F674" s="9"/>
      <c r="G674" s="9"/>
      <c r="H674" s="9"/>
      <c r="I674" s="9"/>
      <c r="J674" s="5"/>
      <c r="K674" s="4"/>
      <c r="L674" s="10"/>
      <c r="M674" s="10"/>
      <c r="N674" s="10"/>
      <c r="O674" s="10"/>
      <c r="P674" s="10"/>
      <c r="Q674" s="11"/>
      <c r="R674" s="9"/>
      <c r="S674" s="12"/>
      <c r="T674" s="5"/>
      <c r="U674" s="5"/>
      <c r="V674" s="4"/>
      <c r="W674" s="4"/>
      <c r="X674" s="4"/>
      <c r="Y674" s="4"/>
    </row>
    <row r="675">
      <c r="A675" s="5"/>
      <c r="B675" s="9"/>
      <c r="C675" s="5"/>
      <c r="D675" s="9"/>
      <c r="E675" s="9"/>
      <c r="F675" s="9"/>
      <c r="G675" s="9"/>
      <c r="H675" s="9"/>
      <c r="I675" s="9"/>
      <c r="J675" s="5"/>
      <c r="K675" s="4"/>
      <c r="L675" s="10"/>
      <c r="M675" s="10"/>
      <c r="N675" s="10"/>
      <c r="O675" s="10"/>
      <c r="P675" s="10"/>
      <c r="Q675" s="11"/>
      <c r="R675" s="9"/>
      <c r="S675" s="12"/>
      <c r="T675" s="5"/>
      <c r="U675" s="5"/>
      <c r="V675" s="4"/>
      <c r="W675" s="4"/>
      <c r="X675" s="4"/>
      <c r="Y675" s="4"/>
    </row>
    <row r="676">
      <c r="A676" s="5"/>
      <c r="B676" s="9"/>
      <c r="C676" s="5"/>
      <c r="D676" s="9"/>
      <c r="E676" s="9"/>
      <c r="F676" s="9"/>
      <c r="G676" s="9"/>
      <c r="H676" s="9"/>
      <c r="I676" s="9"/>
      <c r="J676" s="5"/>
      <c r="K676" s="4"/>
      <c r="L676" s="10"/>
      <c r="M676" s="10"/>
      <c r="N676" s="10"/>
      <c r="O676" s="10"/>
      <c r="P676" s="10"/>
      <c r="Q676" s="11"/>
      <c r="R676" s="9"/>
      <c r="S676" s="12"/>
      <c r="T676" s="5"/>
      <c r="U676" s="5"/>
      <c r="V676" s="4"/>
      <c r="W676" s="4"/>
      <c r="X676" s="4"/>
      <c r="Y676" s="4"/>
    </row>
    <row r="677">
      <c r="A677" s="5"/>
      <c r="B677" s="9"/>
      <c r="C677" s="5"/>
      <c r="D677" s="9"/>
      <c r="E677" s="9"/>
      <c r="F677" s="9"/>
      <c r="G677" s="9"/>
      <c r="H677" s="9"/>
      <c r="I677" s="9"/>
      <c r="J677" s="5"/>
      <c r="K677" s="4"/>
      <c r="L677" s="10"/>
      <c r="M677" s="10"/>
      <c r="N677" s="10"/>
      <c r="O677" s="10"/>
      <c r="P677" s="10"/>
      <c r="Q677" s="11"/>
      <c r="R677" s="9"/>
      <c r="S677" s="12"/>
      <c r="T677" s="5"/>
      <c r="U677" s="5"/>
      <c r="V677" s="4"/>
      <c r="W677" s="4"/>
      <c r="X677" s="4"/>
      <c r="Y677" s="4"/>
    </row>
    <row r="678">
      <c r="A678" s="5"/>
      <c r="B678" s="9"/>
      <c r="C678" s="5"/>
      <c r="D678" s="9"/>
      <c r="E678" s="9"/>
      <c r="F678" s="9"/>
      <c r="G678" s="9"/>
      <c r="H678" s="9"/>
      <c r="I678" s="9"/>
      <c r="J678" s="5"/>
      <c r="K678" s="4"/>
      <c r="L678" s="10"/>
      <c r="M678" s="10"/>
      <c r="N678" s="10"/>
      <c r="O678" s="10"/>
      <c r="P678" s="10"/>
      <c r="Q678" s="11"/>
      <c r="R678" s="9"/>
      <c r="S678" s="12"/>
      <c r="T678" s="5"/>
      <c r="U678" s="5"/>
      <c r="V678" s="4"/>
      <c r="W678" s="4"/>
      <c r="X678" s="4"/>
      <c r="Y678" s="4"/>
    </row>
    <row r="679">
      <c r="A679" s="5"/>
      <c r="B679" s="9"/>
      <c r="C679" s="5"/>
      <c r="D679" s="9"/>
      <c r="E679" s="9"/>
      <c r="F679" s="9"/>
      <c r="G679" s="9"/>
      <c r="H679" s="9"/>
      <c r="I679" s="9"/>
      <c r="J679" s="5"/>
      <c r="K679" s="4"/>
      <c r="L679" s="10"/>
      <c r="M679" s="10"/>
      <c r="N679" s="10"/>
      <c r="O679" s="10"/>
      <c r="P679" s="10"/>
      <c r="Q679" s="11"/>
      <c r="R679" s="9"/>
      <c r="S679" s="12"/>
      <c r="T679" s="5"/>
      <c r="U679" s="5"/>
      <c r="V679" s="4"/>
      <c r="W679" s="4"/>
      <c r="X679" s="4"/>
      <c r="Y679" s="4"/>
    </row>
    <row r="680">
      <c r="A680" s="5"/>
      <c r="B680" s="9"/>
      <c r="C680" s="5"/>
      <c r="D680" s="9"/>
      <c r="E680" s="9"/>
      <c r="F680" s="9"/>
      <c r="G680" s="9"/>
      <c r="H680" s="9"/>
      <c r="I680" s="9"/>
      <c r="J680" s="5"/>
      <c r="K680" s="4"/>
      <c r="L680" s="10"/>
      <c r="M680" s="10"/>
      <c r="N680" s="10"/>
      <c r="O680" s="10"/>
      <c r="P680" s="10"/>
      <c r="Q680" s="11"/>
      <c r="R680" s="9"/>
      <c r="S680" s="12"/>
      <c r="T680" s="5"/>
      <c r="U680" s="5"/>
      <c r="V680" s="4"/>
      <c r="W680" s="4"/>
      <c r="X680" s="4"/>
      <c r="Y680" s="4"/>
    </row>
    <row r="681">
      <c r="A681" s="5"/>
      <c r="B681" s="9"/>
      <c r="C681" s="5"/>
      <c r="D681" s="9"/>
      <c r="E681" s="9"/>
      <c r="F681" s="9"/>
      <c r="G681" s="9"/>
      <c r="H681" s="9"/>
      <c r="I681" s="9"/>
      <c r="J681" s="5"/>
      <c r="K681" s="4"/>
      <c r="L681" s="10"/>
      <c r="M681" s="10"/>
      <c r="N681" s="10"/>
      <c r="O681" s="10"/>
      <c r="P681" s="10"/>
      <c r="Q681" s="11"/>
      <c r="R681" s="9"/>
      <c r="S681" s="12"/>
      <c r="T681" s="5"/>
      <c r="U681" s="5"/>
      <c r="V681" s="4"/>
      <c r="W681" s="4"/>
      <c r="X681" s="4"/>
      <c r="Y681" s="4"/>
    </row>
    <row r="682">
      <c r="A682" s="5"/>
      <c r="B682" s="9"/>
      <c r="C682" s="5"/>
      <c r="D682" s="9"/>
      <c r="E682" s="9"/>
      <c r="F682" s="9"/>
      <c r="G682" s="9"/>
      <c r="H682" s="9"/>
      <c r="I682" s="9"/>
      <c r="J682" s="5"/>
      <c r="K682" s="4"/>
      <c r="L682" s="10"/>
      <c r="M682" s="10"/>
      <c r="N682" s="10"/>
      <c r="O682" s="10"/>
      <c r="P682" s="10"/>
      <c r="Q682" s="11"/>
      <c r="R682" s="9"/>
      <c r="S682" s="12"/>
      <c r="T682" s="5"/>
      <c r="U682" s="5"/>
      <c r="V682" s="4"/>
      <c r="W682" s="4"/>
      <c r="X682" s="4"/>
      <c r="Y682" s="4"/>
    </row>
    <row r="683">
      <c r="A683" s="5"/>
      <c r="B683" s="9"/>
      <c r="C683" s="5"/>
      <c r="D683" s="9"/>
      <c r="E683" s="9"/>
      <c r="F683" s="9"/>
      <c r="G683" s="9"/>
      <c r="H683" s="9"/>
      <c r="I683" s="9"/>
      <c r="J683" s="5"/>
      <c r="K683" s="4"/>
      <c r="L683" s="10"/>
      <c r="M683" s="10"/>
      <c r="N683" s="10"/>
      <c r="O683" s="10"/>
      <c r="P683" s="10"/>
      <c r="Q683" s="11"/>
      <c r="R683" s="9"/>
      <c r="S683" s="12"/>
      <c r="T683" s="5"/>
      <c r="U683" s="5"/>
      <c r="V683" s="4"/>
      <c r="W683" s="4"/>
      <c r="X683" s="4"/>
      <c r="Y683" s="4"/>
    </row>
    <row r="684">
      <c r="A684" s="5"/>
      <c r="B684" s="9"/>
      <c r="C684" s="5"/>
      <c r="D684" s="9"/>
      <c r="E684" s="9"/>
      <c r="F684" s="9"/>
      <c r="G684" s="9"/>
      <c r="H684" s="9"/>
      <c r="I684" s="9"/>
      <c r="J684" s="5"/>
      <c r="K684" s="4"/>
      <c r="L684" s="10"/>
      <c r="M684" s="10"/>
      <c r="N684" s="10"/>
      <c r="O684" s="10"/>
      <c r="P684" s="10"/>
      <c r="Q684" s="11"/>
      <c r="R684" s="9"/>
      <c r="S684" s="12"/>
      <c r="T684" s="5"/>
      <c r="U684" s="5"/>
      <c r="V684" s="4"/>
      <c r="W684" s="4"/>
      <c r="X684" s="4"/>
      <c r="Y684" s="4"/>
    </row>
    <row r="685">
      <c r="A685" s="5"/>
      <c r="B685" s="9"/>
      <c r="C685" s="5"/>
      <c r="D685" s="9"/>
      <c r="E685" s="9"/>
      <c r="F685" s="9"/>
      <c r="G685" s="9"/>
      <c r="H685" s="9"/>
      <c r="I685" s="9"/>
      <c r="J685" s="5"/>
      <c r="K685" s="4"/>
      <c r="L685" s="10"/>
      <c r="M685" s="10"/>
      <c r="N685" s="10"/>
      <c r="O685" s="10"/>
      <c r="P685" s="10"/>
      <c r="Q685" s="11"/>
      <c r="R685" s="9"/>
      <c r="S685" s="12"/>
      <c r="T685" s="5"/>
      <c r="U685" s="5"/>
      <c r="V685" s="4"/>
      <c r="W685" s="4"/>
      <c r="X685" s="4"/>
      <c r="Y685" s="4"/>
    </row>
    <row r="686">
      <c r="A686" s="5"/>
      <c r="B686" s="9"/>
      <c r="C686" s="5"/>
      <c r="D686" s="9"/>
      <c r="E686" s="9"/>
      <c r="F686" s="9"/>
      <c r="G686" s="9"/>
      <c r="H686" s="9"/>
      <c r="I686" s="9"/>
      <c r="J686" s="5"/>
      <c r="K686" s="4"/>
      <c r="L686" s="10"/>
      <c r="M686" s="10"/>
      <c r="N686" s="10"/>
      <c r="O686" s="10"/>
      <c r="P686" s="10"/>
      <c r="Q686" s="11"/>
      <c r="R686" s="9"/>
      <c r="S686" s="12"/>
      <c r="T686" s="5"/>
      <c r="U686" s="5"/>
      <c r="V686" s="4"/>
      <c r="W686" s="4"/>
      <c r="X686" s="4"/>
      <c r="Y686" s="4"/>
    </row>
    <row r="687">
      <c r="A687" s="5"/>
      <c r="B687" s="9"/>
      <c r="C687" s="5"/>
      <c r="D687" s="9"/>
      <c r="E687" s="9"/>
      <c r="F687" s="9"/>
      <c r="G687" s="9"/>
      <c r="H687" s="9"/>
      <c r="I687" s="9"/>
      <c r="J687" s="5"/>
      <c r="K687" s="4"/>
      <c r="L687" s="10"/>
      <c r="M687" s="10"/>
      <c r="N687" s="10"/>
      <c r="O687" s="10"/>
      <c r="P687" s="10"/>
      <c r="Q687" s="11"/>
      <c r="R687" s="9"/>
      <c r="S687" s="12"/>
      <c r="T687" s="5"/>
      <c r="U687" s="5"/>
      <c r="V687" s="4"/>
      <c r="W687" s="4"/>
      <c r="X687" s="4"/>
      <c r="Y687" s="4"/>
    </row>
    <row r="688">
      <c r="A688" s="5"/>
      <c r="B688" s="9"/>
      <c r="C688" s="5"/>
      <c r="D688" s="9"/>
      <c r="E688" s="9"/>
      <c r="F688" s="9"/>
      <c r="G688" s="9"/>
      <c r="H688" s="9"/>
      <c r="I688" s="9"/>
      <c r="J688" s="5"/>
      <c r="K688" s="4"/>
      <c r="L688" s="10"/>
      <c r="M688" s="10"/>
      <c r="N688" s="10"/>
      <c r="O688" s="10"/>
      <c r="P688" s="10"/>
      <c r="Q688" s="11"/>
      <c r="R688" s="9"/>
      <c r="S688" s="12"/>
      <c r="T688" s="5"/>
      <c r="U688" s="5"/>
      <c r="V688" s="4"/>
      <c r="W688" s="4"/>
      <c r="X688" s="4"/>
      <c r="Y688" s="4"/>
    </row>
    <row r="689">
      <c r="A689" s="5"/>
      <c r="B689" s="9"/>
      <c r="C689" s="5"/>
      <c r="D689" s="9"/>
      <c r="E689" s="9"/>
      <c r="F689" s="9"/>
      <c r="G689" s="9"/>
      <c r="H689" s="9"/>
      <c r="I689" s="9"/>
      <c r="J689" s="5"/>
      <c r="K689" s="4"/>
      <c r="L689" s="10"/>
      <c r="M689" s="10"/>
      <c r="N689" s="10"/>
      <c r="O689" s="10"/>
      <c r="P689" s="10"/>
      <c r="Q689" s="11"/>
      <c r="R689" s="9"/>
      <c r="S689" s="12"/>
      <c r="T689" s="5"/>
      <c r="U689" s="5"/>
      <c r="V689" s="4"/>
      <c r="W689" s="4"/>
      <c r="X689" s="4"/>
      <c r="Y689" s="4"/>
    </row>
    <row r="690">
      <c r="A690" s="5"/>
      <c r="B690" s="9"/>
      <c r="C690" s="5"/>
      <c r="D690" s="9"/>
      <c r="E690" s="9"/>
      <c r="F690" s="9"/>
      <c r="G690" s="9"/>
      <c r="H690" s="9"/>
      <c r="I690" s="9"/>
      <c r="J690" s="5"/>
      <c r="K690" s="4"/>
      <c r="L690" s="10"/>
      <c r="M690" s="10"/>
      <c r="N690" s="10"/>
      <c r="O690" s="10"/>
      <c r="P690" s="10"/>
      <c r="Q690" s="11"/>
      <c r="R690" s="9"/>
      <c r="S690" s="12"/>
      <c r="T690" s="5"/>
      <c r="U690" s="5"/>
      <c r="V690" s="4"/>
      <c r="W690" s="4"/>
      <c r="X690" s="4"/>
      <c r="Y690" s="4"/>
    </row>
    <row r="691">
      <c r="A691" s="5"/>
      <c r="B691" s="9"/>
      <c r="C691" s="5"/>
      <c r="D691" s="9"/>
      <c r="E691" s="9"/>
      <c r="F691" s="9"/>
      <c r="G691" s="9"/>
      <c r="H691" s="9"/>
      <c r="I691" s="9"/>
      <c r="J691" s="5"/>
      <c r="K691" s="4"/>
      <c r="L691" s="10"/>
      <c r="M691" s="10"/>
      <c r="N691" s="10"/>
      <c r="O691" s="10"/>
      <c r="P691" s="10"/>
      <c r="Q691" s="11"/>
      <c r="R691" s="9"/>
      <c r="S691" s="12"/>
      <c r="T691" s="5"/>
      <c r="U691" s="5"/>
      <c r="V691" s="4"/>
      <c r="W691" s="4"/>
      <c r="X691" s="4"/>
      <c r="Y691" s="4"/>
    </row>
    <row r="692">
      <c r="A692" s="5"/>
      <c r="B692" s="9"/>
      <c r="C692" s="5"/>
      <c r="D692" s="9"/>
      <c r="E692" s="9"/>
      <c r="F692" s="9"/>
      <c r="G692" s="9"/>
      <c r="H692" s="9"/>
      <c r="I692" s="9"/>
      <c r="J692" s="5"/>
      <c r="K692" s="4"/>
      <c r="L692" s="10"/>
      <c r="M692" s="10"/>
      <c r="N692" s="10"/>
      <c r="O692" s="10"/>
      <c r="P692" s="10"/>
      <c r="Q692" s="11"/>
      <c r="R692" s="9"/>
      <c r="S692" s="12"/>
      <c r="T692" s="5"/>
      <c r="U692" s="5"/>
      <c r="V692" s="4"/>
      <c r="W692" s="4"/>
      <c r="X692" s="4"/>
      <c r="Y692" s="4"/>
    </row>
    <row r="693">
      <c r="A693" s="5"/>
      <c r="B693" s="9"/>
      <c r="C693" s="5"/>
      <c r="D693" s="9"/>
      <c r="E693" s="9"/>
      <c r="F693" s="9"/>
      <c r="G693" s="9"/>
      <c r="H693" s="9"/>
      <c r="I693" s="9"/>
      <c r="J693" s="5"/>
      <c r="K693" s="4"/>
      <c r="L693" s="10"/>
      <c r="M693" s="10"/>
      <c r="N693" s="10"/>
      <c r="O693" s="10"/>
      <c r="P693" s="10"/>
      <c r="Q693" s="11"/>
      <c r="R693" s="9"/>
      <c r="S693" s="12"/>
      <c r="T693" s="5"/>
      <c r="U693" s="5"/>
      <c r="V693" s="4"/>
      <c r="W693" s="4"/>
      <c r="X693" s="4"/>
      <c r="Y693" s="4"/>
    </row>
    <row r="694">
      <c r="A694" s="5"/>
      <c r="B694" s="9"/>
      <c r="C694" s="5"/>
      <c r="D694" s="9"/>
      <c r="E694" s="9"/>
      <c r="F694" s="9"/>
      <c r="G694" s="9"/>
      <c r="H694" s="9"/>
      <c r="I694" s="9"/>
      <c r="J694" s="5"/>
      <c r="K694" s="4"/>
      <c r="L694" s="10"/>
      <c r="M694" s="10"/>
      <c r="N694" s="10"/>
      <c r="O694" s="10"/>
      <c r="P694" s="10"/>
      <c r="Q694" s="11"/>
      <c r="R694" s="9"/>
      <c r="S694" s="12"/>
      <c r="T694" s="5"/>
      <c r="U694" s="5"/>
      <c r="V694" s="4"/>
      <c r="W694" s="4"/>
      <c r="X694" s="4"/>
      <c r="Y694" s="4"/>
    </row>
    <row r="695">
      <c r="A695" s="5"/>
      <c r="B695" s="9"/>
      <c r="C695" s="5"/>
      <c r="D695" s="9"/>
      <c r="E695" s="9"/>
      <c r="F695" s="9"/>
      <c r="G695" s="9"/>
      <c r="H695" s="9"/>
      <c r="I695" s="9"/>
      <c r="J695" s="5"/>
      <c r="K695" s="4"/>
      <c r="L695" s="10"/>
      <c r="M695" s="10"/>
      <c r="N695" s="10"/>
      <c r="O695" s="10"/>
      <c r="P695" s="10"/>
      <c r="Q695" s="11"/>
      <c r="R695" s="9"/>
      <c r="S695" s="12"/>
      <c r="T695" s="5"/>
      <c r="U695" s="5"/>
      <c r="V695" s="4"/>
      <c r="W695" s="4"/>
      <c r="X695" s="4"/>
      <c r="Y695" s="4"/>
    </row>
    <row r="696">
      <c r="A696" s="5"/>
      <c r="B696" s="9"/>
      <c r="C696" s="5"/>
      <c r="D696" s="9"/>
      <c r="E696" s="9"/>
      <c r="F696" s="9"/>
      <c r="G696" s="9"/>
      <c r="H696" s="9"/>
      <c r="I696" s="9"/>
      <c r="J696" s="5"/>
      <c r="K696" s="4"/>
      <c r="L696" s="10"/>
      <c r="M696" s="10"/>
      <c r="N696" s="10"/>
      <c r="O696" s="10"/>
      <c r="P696" s="10"/>
      <c r="Q696" s="11"/>
      <c r="R696" s="9"/>
      <c r="S696" s="12"/>
      <c r="T696" s="5"/>
      <c r="U696" s="5"/>
      <c r="V696" s="4"/>
      <c r="W696" s="4"/>
      <c r="X696" s="4"/>
      <c r="Y696" s="4"/>
    </row>
    <row r="697">
      <c r="A697" s="5"/>
      <c r="B697" s="9"/>
      <c r="C697" s="5"/>
      <c r="D697" s="9"/>
      <c r="E697" s="9"/>
      <c r="F697" s="9"/>
      <c r="G697" s="9"/>
      <c r="H697" s="9"/>
      <c r="I697" s="9"/>
      <c r="J697" s="5"/>
      <c r="K697" s="4"/>
      <c r="L697" s="10"/>
      <c r="M697" s="10"/>
      <c r="N697" s="10"/>
      <c r="O697" s="10"/>
      <c r="P697" s="10"/>
      <c r="Q697" s="11"/>
      <c r="R697" s="9"/>
      <c r="S697" s="12"/>
      <c r="T697" s="5"/>
      <c r="U697" s="5"/>
      <c r="V697" s="4"/>
      <c r="W697" s="4"/>
      <c r="X697" s="4"/>
      <c r="Y697" s="4"/>
    </row>
    <row r="698">
      <c r="A698" s="5"/>
      <c r="B698" s="9"/>
      <c r="C698" s="5"/>
      <c r="D698" s="9"/>
      <c r="E698" s="9"/>
      <c r="F698" s="9"/>
      <c r="G698" s="9"/>
      <c r="H698" s="9"/>
      <c r="I698" s="9"/>
      <c r="J698" s="5"/>
      <c r="K698" s="4"/>
      <c r="L698" s="10"/>
      <c r="M698" s="10"/>
      <c r="N698" s="10"/>
      <c r="O698" s="10"/>
      <c r="P698" s="10"/>
      <c r="Q698" s="11"/>
      <c r="R698" s="9"/>
      <c r="S698" s="12"/>
      <c r="T698" s="5"/>
      <c r="U698" s="5"/>
      <c r="V698" s="4"/>
      <c r="W698" s="4"/>
      <c r="X698" s="4"/>
      <c r="Y698" s="4"/>
    </row>
    <row r="699">
      <c r="A699" s="5"/>
      <c r="B699" s="9"/>
      <c r="C699" s="5"/>
      <c r="D699" s="9"/>
      <c r="E699" s="9"/>
      <c r="F699" s="9"/>
      <c r="G699" s="9"/>
      <c r="H699" s="9"/>
      <c r="I699" s="9"/>
      <c r="J699" s="5"/>
      <c r="K699" s="4"/>
      <c r="L699" s="10"/>
      <c r="M699" s="10"/>
      <c r="N699" s="10"/>
      <c r="O699" s="10"/>
      <c r="P699" s="10"/>
      <c r="Q699" s="11"/>
      <c r="R699" s="9"/>
      <c r="S699" s="12"/>
      <c r="T699" s="5"/>
      <c r="U699" s="5"/>
      <c r="V699" s="4"/>
      <c r="W699" s="4"/>
      <c r="X699" s="4"/>
      <c r="Y699" s="4"/>
    </row>
    <row r="700">
      <c r="A700" s="5"/>
      <c r="B700" s="9"/>
      <c r="C700" s="5"/>
      <c r="D700" s="9"/>
      <c r="E700" s="9"/>
      <c r="F700" s="9"/>
      <c r="G700" s="9"/>
      <c r="H700" s="9"/>
      <c r="I700" s="9"/>
      <c r="J700" s="5"/>
      <c r="K700" s="4"/>
      <c r="L700" s="10"/>
      <c r="M700" s="10"/>
      <c r="N700" s="10"/>
      <c r="O700" s="10"/>
      <c r="P700" s="10"/>
      <c r="Q700" s="11"/>
      <c r="R700" s="9"/>
      <c r="S700" s="12"/>
      <c r="T700" s="5"/>
      <c r="U700" s="5"/>
      <c r="V700" s="4"/>
      <c r="W700" s="4"/>
      <c r="X700" s="4"/>
      <c r="Y700" s="4"/>
    </row>
    <row r="701">
      <c r="A701" s="5"/>
      <c r="B701" s="9"/>
      <c r="C701" s="5"/>
      <c r="D701" s="9"/>
      <c r="E701" s="9"/>
      <c r="F701" s="9"/>
      <c r="G701" s="9"/>
      <c r="H701" s="9"/>
      <c r="I701" s="9"/>
      <c r="J701" s="5"/>
      <c r="K701" s="4"/>
      <c r="L701" s="10"/>
      <c r="M701" s="10"/>
      <c r="N701" s="10"/>
      <c r="O701" s="10"/>
      <c r="P701" s="10"/>
      <c r="Q701" s="11"/>
      <c r="R701" s="9"/>
      <c r="S701" s="12"/>
      <c r="T701" s="5"/>
      <c r="U701" s="5"/>
      <c r="V701" s="4"/>
      <c r="W701" s="4"/>
      <c r="X701" s="4"/>
      <c r="Y701" s="4"/>
    </row>
    <row r="702">
      <c r="A702" s="5"/>
      <c r="B702" s="9"/>
      <c r="C702" s="5"/>
      <c r="D702" s="9"/>
      <c r="E702" s="9"/>
      <c r="F702" s="9"/>
      <c r="G702" s="9"/>
      <c r="H702" s="9"/>
      <c r="I702" s="9"/>
      <c r="J702" s="5"/>
      <c r="K702" s="4"/>
      <c r="L702" s="10"/>
      <c r="M702" s="10"/>
      <c r="N702" s="10"/>
      <c r="O702" s="10"/>
      <c r="P702" s="10"/>
      <c r="Q702" s="11"/>
      <c r="R702" s="9"/>
      <c r="S702" s="12"/>
      <c r="T702" s="5"/>
      <c r="U702" s="5"/>
      <c r="V702" s="4"/>
      <c r="W702" s="4"/>
      <c r="X702" s="4"/>
      <c r="Y702" s="4"/>
    </row>
    <row r="703">
      <c r="A703" s="5"/>
      <c r="B703" s="9"/>
      <c r="C703" s="5"/>
      <c r="D703" s="9"/>
      <c r="E703" s="9"/>
      <c r="F703" s="9"/>
      <c r="G703" s="9"/>
      <c r="H703" s="9"/>
      <c r="I703" s="9"/>
      <c r="J703" s="5"/>
      <c r="K703" s="4"/>
      <c r="L703" s="10"/>
      <c r="M703" s="10"/>
      <c r="N703" s="10"/>
      <c r="O703" s="10"/>
      <c r="P703" s="10"/>
      <c r="Q703" s="11"/>
      <c r="R703" s="9"/>
      <c r="S703" s="12"/>
      <c r="T703" s="5"/>
      <c r="U703" s="5"/>
      <c r="V703" s="4"/>
      <c r="W703" s="4"/>
      <c r="X703" s="4"/>
      <c r="Y703" s="4"/>
    </row>
    <row r="704">
      <c r="A704" s="5"/>
      <c r="B704" s="9"/>
      <c r="C704" s="5"/>
      <c r="D704" s="9"/>
      <c r="E704" s="9"/>
      <c r="F704" s="9"/>
      <c r="G704" s="9"/>
      <c r="H704" s="9"/>
      <c r="I704" s="9"/>
      <c r="J704" s="5"/>
      <c r="K704" s="4"/>
      <c r="L704" s="10"/>
      <c r="M704" s="10"/>
      <c r="N704" s="10"/>
      <c r="O704" s="10"/>
      <c r="P704" s="10"/>
      <c r="Q704" s="11"/>
      <c r="R704" s="9"/>
      <c r="S704" s="12"/>
      <c r="T704" s="5"/>
      <c r="U704" s="5"/>
      <c r="V704" s="4"/>
      <c r="W704" s="4"/>
      <c r="X704" s="4"/>
      <c r="Y704" s="4"/>
    </row>
    <row r="705">
      <c r="A705" s="5"/>
      <c r="B705" s="9"/>
      <c r="C705" s="5"/>
      <c r="D705" s="9"/>
      <c r="E705" s="9"/>
      <c r="F705" s="9"/>
      <c r="G705" s="9"/>
      <c r="H705" s="9"/>
      <c r="I705" s="9"/>
      <c r="J705" s="5"/>
      <c r="K705" s="4"/>
      <c r="L705" s="10"/>
      <c r="M705" s="10"/>
      <c r="N705" s="10"/>
      <c r="O705" s="10"/>
      <c r="P705" s="10"/>
      <c r="Q705" s="11"/>
      <c r="R705" s="9"/>
      <c r="S705" s="12"/>
      <c r="T705" s="5"/>
      <c r="U705" s="5"/>
      <c r="V705" s="4"/>
      <c r="W705" s="4"/>
      <c r="X705" s="4"/>
      <c r="Y705" s="4"/>
    </row>
    <row r="706">
      <c r="A706" s="5"/>
      <c r="B706" s="9"/>
      <c r="C706" s="5"/>
      <c r="D706" s="9"/>
      <c r="E706" s="9"/>
      <c r="F706" s="9"/>
      <c r="G706" s="9"/>
      <c r="H706" s="9"/>
      <c r="I706" s="9"/>
      <c r="J706" s="5"/>
      <c r="K706" s="4"/>
      <c r="L706" s="10"/>
      <c r="M706" s="10"/>
      <c r="N706" s="10"/>
      <c r="O706" s="10"/>
      <c r="P706" s="10"/>
      <c r="Q706" s="11"/>
      <c r="R706" s="9"/>
      <c r="S706" s="12"/>
      <c r="T706" s="5"/>
      <c r="U706" s="5"/>
      <c r="V706" s="4"/>
      <c r="W706" s="4"/>
      <c r="X706" s="4"/>
      <c r="Y706" s="4"/>
    </row>
    <row r="707">
      <c r="A707" s="5"/>
      <c r="B707" s="9"/>
      <c r="C707" s="5"/>
      <c r="D707" s="9"/>
      <c r="E707" s="9"/>
      <c r="F707" s="9"/>
      <c r="G707" s="9"/>
      <c r="H707" s="9"/>
      <c r="I707" s="9"/>
      <c r="J707" s="5"/>
      <c r="K707" s="4"/>
      <c r="L707" s="10"/>
      <c r="M707" s="10"/>
      <c r="N707" s="10"/>
      <c r="O707" s="10"/>
      <c r="P707" s="10"/>
      <c r="Q707" s="11"/>
      <c r="R707" s="9"/>
      <c r="S707" s="12"/>
      <c r="T707" s="5"/>
      <c r="U707" s="5"/>
      <c r="V707" s="4"/>
      <c r="W707" s="4"/>
      <c r="X707" s="4"/>
      <c r="Y707" s="4"/>
    </row>
    <row r="708">
      <c r="A708" s="5"/>
      <c r="B708" s="9"/>
      <c r="C708" s="5"/>
      <c r="D708" s="9"/>
      <c r="E708" s="9"/>
      <c r="F708" s="9"/>
      <c r="G708" s="9"/>
      <c r="H708" s="9"/>
      <c r="I708" s="9"/>
      <c r="J708" s="5"/>
      <c r="K708" s="4"/>
      <c r="L708" s="10"/>
      <c r="M708" s="10"/>
      <c r="N708" s="10"/>
      <c r="O708" s="10"/>
      <c r="P708" s="10"/>
      <c r="Q708" s="11"/>
      <c r="R708" s="9"/>
      <c r="S708" s="12"/>
      <c r="T708" s="5"/>
      <c r="U708" s="5"/>
      <c r="V708" s="4"/>
      <c r="W708" s="4"/>
      <c r="X708" s="4"/>
      <c r="Y708" s="4"/>
    </row>
    <row r="709">
      <c r="A709" s="5"/>
      <c r="B709" s="9"/>
      <c r="C709" s="5"/>
      <c r="D709" s="9"/>
      <c r="E709" s="9"/>
      <c r="F709" s="9"/>
      <c r="G709" s="9"/>
      <c r="H709" s="9"/>
      <c r="I709" s="9"/>
      <c r="J709" s="5"/>
      <c r="K709" s="4"/>
      <c r="L709" s="10"/>
      <c r="M709" s="10"/>
      <c r="N709" s="10"/>
      <c r="O709" s="10"/>
      <c r="P709" s="10"/>
      <c r="Q709" s="11"/>
      <c r="R709" s="9"/>
      <c r="S709" s="12"/>
      <c r="T709" s="5"/>
      <c r="U709" s="5"/>
      <c r="V709" s="4"/>
      <c r="W709" s="4"/>
      <c r="X709" s="4"/>
      <c r="Y709" s="4"/>
    </row>
    <row r="710">
      <c r="A710" s="5"/>
      <c r="B710" s="9"/>
      <c r="C710" s="5"/>
      <c r="D710" s="9"/>
      <c r="E710" s="9"/>
      <c r="F710" s="9"/>
      <c r="G710" s="9"/>
      <c r="H710" s="9"/>
      <c r="I710" s="9"/>
      <c r="J710" s="5"/>
      <c r="K710" s="4"/>
      <c r="L710" s="10"/>
      <c r="M710" s="10"/>
      <c r="N710" s="10"/>
      <c r="O710" s="10"/>
      <c r="P710" s="10"/>
      <c r="Q710" s="11"/>
      <c r="R710" s="9"/>
      <c r="S710" s="12"/>
      <c r="T710" s="5"/>
      <c r="U710" s="5"/>
      <c r="V710" s="4"/>
      <c r="W710" s="4"/>
      <c r="X710" s="4"/>
      <c r="Y710" s="4"/>
    </row>
    <row r="711">
      <c r="A711" s="5"/>
      <c r="B711" s="9"/>
      <c r="C711" s="5"/>
      <c r="D711" s="9"/>
      <c r="E711" s="9"/>
      <c r="F711" s="9"/>
      <c r="G711" s="9"/>
      <c r="H711" s="9"/>
      <c r="I711" s="9"/>
      <c r="J711" s="5"/>
      <c r="K711" s="4"/>
      <c r="L711" s="10"/>
      <c r="M711" s="10"/>
      <c r="N711" s="10"/>
      <c r="O711" s="10"/>
      <c r="P711" s="10"/>
      <c r="Q711" s="11"/>
      <c r="R711" s="9"/>
      <c r="S711" s="12"/>
      <c r="T711" s="5"/>
      <c r="U711" s="5"/>
      <c r="V711" s="4"/>
      <c r="W711" s="4"/>
      <c r="X711" s="4"/>
      <c r="Y711" s="4"/>
    </row>
    <row r="712">
      <c r="A712" s="5"/>
      <c r="B712" s="9"/>
      <c r="C712" s="5"/>
      <c r="D712" s="9"/>
      <c r="E712" s="9"/>
      <c r="F712" s="9"/>
      <c r="G712" s="9"/>
      <c r="H712" s="9"/>
      <c r="I712" s="9"/>
      <c r="J712" s="5"/>
      <c r="K712" s="4"/>
      <c r="L712" s="10"/>
      <c r="M712" s="10"/>
      <c r="N712" s="10"/>
      <c r="O712" s="10"/>
      <c r="P712" s="10"/>
      <c r="Q712" s="11"/>
      <c r="R712" s="9"/>
      <c r="S712" s="12"/>
      <c r="T712" s="5"/>
      <c r="U712" s="5"/>
      <c r="V712" s="4"/>
      <c r="W712" s="4"/>
      <c r="X712" s="4"/>
      <c r="Y712" s="4"/>
    </row>
    <row r="713">
      <c r="A713" s="5"/>
      <c r="B713" s="9"/>
      <c r="C713" s="5"/>
      <c r="D713" s="9"/>
      <c r="E713" s="9"/>
      <c r="F713" s="9"/>
      <c r="G713" s="9"/>
      <c r="H713" s="9"/>
      <c r="I713" s="9"/>
      <c r="J713" s="5"/>
      <c r="K713" s="4"/>
      <c r="L713" s="10"/>
      <c r="M713" s="10"/>
      <c r="N713" s="10"/>
      <c r="O713" s="10"/>
      <c r="P713" s="10"/>
      <c r="Q713" s="11"/>
      <c r="R713" s="9"/>
      <c r="S713" s="12"/>
      <c r="T713" s="5"/>
      <c r="U713" s="5"/>
      <c r="V713" s="4"/>
      <c r="W713" s="4"/>
      <c r="X713" s="4"/>
      <c r="Y713" s="4"/>
    </row>
    <row r="714">
      <c r="A714" s="5"/>
      <c r="B714" s="9"/>
      <c r="C714" s="5"/>
      <c r="D714" s="9"/>
      <c r="E714" s="9"/>
      <c r="F714" s="9"/>
      <c r="G714" s="9"/>
      <c r="H714" s="9"/>
      <c r="I714" s="9"/>
      <c r="J714" s="5"/>
      <c r="K714" s="4"/>
      <c r="L714" s="10"/>
      <c r="M714" s="10"/>
      <c r="N714" s="10"/>
      <c r="O714" s="10"/>
      <c r="P714" s="10"/>
      <c r="Q714" s="11"/>
      <c r="R714" s="9"/>
      <c r="S714" s="12"/>
      <c r="T714" s="5"/>
      <c r="U714" s="5"/>
      <c r="V714" s="4"/>
      <c r="W714" s="4"/>
      <c r="X714" s="4"/>
      <c r="Y714" s="4"/>
    </row>
    <row r="715">
      <c r="A715" s="5"/>
      <c r="B715" s="9"/>
      <c r="C715" s="5"/>
      <c r="D715" s="9"/>
      <c r="E715" s="9"/>
      <c r="F715" s="9"/>
      <c r="G715" s="9"/>
      <c r="H715" s="9"/>
      <c r="I715" s="9"/>
      <c r="J715" s="5"/>
      <c r="K715" s="4"/>
      <c r="L715" s="10"/>
      <c r="M715" s="10"/>
      <c r="N715" s="10"/>
      <c r="O715" s="10"/>
      <c r="P715" s="10"/>
      <c r="Q715" s="11"/>
      <c r="R715" s="9"/>
      <c r="S715" s="12"/>
      <c r="T715" s="5"/>
      <c r="U715" s="5"/>
      <c r="V715" s="4"/>
      <c r="W715" s="4"/>
      <c r="X715" s="4"/>
      <c r="Y715" s="4"/>
    </row>
    <row r="716">
      <c r="A716" s="5"/>
      <c r="B716" s="9"/>
      <c r="C716" s="5"/>
      <c r="D716" s="9"/>
      <c r="E716" s="9"/>
      <c r="F716" s="9"/>
      <c r="G716" s="9"/>
      <c r="H716" s="9"/>
      <c r="I716" s="9"/>
      <c r="J716" s="5"/>
      <c r="K716" s="4"/>
      <c r="L716" s="10"/>
      <c r="M716" s="10"/>
      <c r="N716" s="10"/>
      <c r="O716" s="10"/>
      <c r="P716" s="10"/>
      <c r="Q716" s="11"/>
      <c r="R716" s="9"/>
      <c r="S716" s="12"/>
      <c r="T716" s="5"/>
      <c r="U716" s="5"/>
      <c r="V716" s="4"/>
      <c r="W716" s="4"/>
      <c r="X716" s="4"/>
      <c r="Y716" s="4"/>
    </row>
    <row r="717">
      <c r="A717" s="5"/>
      <c r="B717" s="9"/>
      <c r="C717" s="5"/>
      <c r="D717" s="9"/>
      <c r="E717" s="9"/>
      <c r="F717" s="9"/>
      <c r="G717" s="9"/>
      <c r="H717" s="9"/>
      <c r="I717" s="9"/>
      <c r="J717" s="5"/>
      <c r="K717" s="4"/>
      <c r="L717" s="10"/>
      <c r="M717" s="10"/>
      <c r="N717" s="10"/>
      <c r="O717" s="10"/>
      <c r="P717" s="10"/>
      <c r="Q717" s="11"/>
      <c r="R717" s="9"/>
      <c r="S717" s="12"/>
      <c r="T717" s="5"/>
      <c r="U717" s="5"/>
      <c r="V717" s="4"/>
      <c r="W717" s="4"/>
      <c r="X717" s="4"/>
      <c r="Y717" s="4"/>
    </row>
    <row r="718">
      <c r="A718" s="5"/>
      <c r="B718" s="9"/>
      <c r="C718" s="5"/>
      <c r="D718" s="9"/>
      <c r="E718" s="9"/>
      <c r="F718" s="9"/>
      <c r="G718" s="9"/>
      <c r="H718" s="9"/>
      <c r="I718" s="9"/>
      <c r="J718" s="5"/>
      <c r="K718" s="4"/>
      <c r="L718" s="10"/>
      <c r="M718" s="10"/>
      <c r="N718" s="10"/>
      <c r="O718" s="10"/>
      <c r="P718" s="10"/>
      <c r="Q718" s="11"/>
      <c r="R718" s="9"/>
      <c r="S718" s="12"/>
      <c r="T718" s="5"/>
      <c r="U718" s="5"/>
      <c r="V718" s="4"/>
      <c r="W718" s="4"/>
      <c r="X718" s="4"/>
      <c r="Y718" s="4"/>
    </row>
    <row r="719">
      <c r="A719" s="5"/>
      <c r="B719" s="9"/>
      <c r="C719" s="5"/>
      <c r="D719" s="9"/>
      <c r="E719" s="9"/>
      <c r="F719" s="9"/>
      <c r="G719" s="9"/>
      <c r="H719" s="9"/>
      <c r="I719" s="9"/>
      <c r="J719" s="5"/>
      <c r="K719" s="4"/>
      <c r="L719" s="10"/>
      <c r="M719" s="10"/>
      <c r="N719" s="10"/>
      <c r="O719" s="10"/>
      <c r="P719" s="10"/>
      <c r="Q719" s="11"/>
      <c r="R719" s="9"/>
      <c r="S719" s="12"/>
      <c r="T719" s="5"/>
      <c r="U719" s="5"/>
      <c r="V719" s="4"/>
      <c r="W719" s="4"/>
      <c r="X719" s="4"/>
      <c r="Y719" s="4"/>
    </row>
    <row r="720">
      <c r="A720" s="5"/>
      <c r="B720" s="9"/>
      <c r="C720" s="5"/>
      <c r="D720" s="9"/>
      <c r="E720" s="9"/>
      <c r="F720" s="9"/>
      <c r="G720" s="9"/>
      <c r="H720" s="9"/>
      <c r="I720" s="9"/>
      <c r="J720" s="5"/>
      <c r="K720" s="4"/>
      <c r="L720" s="10"/>
      <c r="M720" s="10"/>
      <c r="N720" s="10"/>
      <c r="O720" s="10"/>
      <c r="P720" s="10"/>
      <c r="Q720" s="11"/>
      <c r="R720" s="9"/>
      <c r="S720" s="12"/>
      <c r="T720" s="5"/>
      <c r="U720" s="5"/>
      <c r="V720" s="4"/>
      <c r="W720" s="4"/>
      <c r="X720" s="4"/>
      <c r="Y720" s="4"/>
    </row>
    <row r="721">
      <c r="A721" s="5"/>
      <c r="B721" s="9"/>
      <c r="C721" s="5"/>
      <c r="D721" s="9"/>
      <c r="E721" s="9"/>
      <c r="F721" s="9"/>
      <c r="G721" s="9"/>
      <c r="H721" s="9"/>
      <c r="I721" s="9"/>
      <c r="J721" s="5"/>
      <c r="K721" s="4"/>
      <c r="L721" s="10"/>
      <c r="M721" s="10"/>
      <c r="N721" s="10"/>
      <c r="O721" s="10"/>
      <c r="P721" s="10"/>
      <c r="Q721" s="11"/>
      <c r="R721" s="9"/>
      <c r="S721" s="12"/>
      <c r="T721" s="5"/>
      <c r="U721" s="5"/>
      <c r="V721" s="4"/>
      <c r="W721" s="4"/>
      <c r="X721" s="4"/>
      <c r="Y721" s="4"/>
    </row>
    <row r="722">
      <c r="A722" s="5"/>
      <c r="B722" s="9"/>
      <c r="C722" s="5"/>
      <c r="D722" s="9"/>
      <c r="E722" s="9"/>
      <c r="F722" s="9"/>
      <c r="G722" s="9"/>
      <c r="H722" s="9"/>
      <c r="I722" s="9"/>
      <c r="J722" s="5"/>
      <c r="K722" s="4"/>
      <c r="L722" s="10"/>
      <c r="M722" s="10"/>
      <c r="N722" s="10"/>
      <c r="O722" s="10"/>
      <c r="P722" s="10"/>
      <c r="Q722" s="11"/>
      <c r="R722" s="9"/>
      <c r="S722" s="12"/>
      <c r="T722" s="5"/>
      <c r="U722" s="5"/>
      <c r="V722" s="4"/>
      <c r="W722" s="4"/>
      <c r="X722" s="4"/>
      <c r="Y722" s="4"/>
    </row>
    <row r="723">
      <c r="A723" s="5"/>
      <c r="B723" s="9"/>
      <c r="C723" s="5"/>
      <c r="D723" s="9"/>
      <c r="E723" s="9"/>
      <c r="F723" s="9"/>
      <c r="G723" s="9"/>
      <c r="H723" s="9"/>
      <c r="I723" s="9"/>
      <c r="J723" s="5"/>
      <c r="K723" s="4"/>
      <c r="L723" s="10"/>
      <c r="M723" s="10"/>
      <c r="N723" s="10"/>
      <c r="O723" s="10"/>
      <c r="P723" s="10"/>
      <c r="Q723" s="11"/>
      <c r="R723" s="9"/>
      <c r="S723" s="12"/>
      <c r="T723" s="5"/>
      <c r="U723" s="5"/>
      <c r="V723" s="4"/>
      <c r="W723" s="4"/>
      <c r="X723" s="4"/>
      <c r="Y723" s="4"/>
    </row>
    <row r="724">
      <c r="A724" s="5"/>
      <c r="B724" s="9"/>
      <c r="C724" s="5"/>
      <c r="D724" s="9"/>
      <c r="E724" s="9"/>
      <c r="F724" s="9"/>
      <c r="G724" s="9"/>
      <c r="H724" s="9"/>
      <c r="I724" s="9"/>
      <c r="J724" s="5"/>
      <c r="K724" s="4"/>
      <c r="L724" s="10"/>
      <c r="M724" s="10"/>
      <c r="N724" s="10"/>
      <c r="O724" s="10"/>
      <c r="P724" s="10"/>
      <c r="Q724" s="11"/>
      <c r="R724" s="9"/>
      <c r="S724" s="12"/>
      <c r="T724" s="5"/>
      <c r="U724" s="5"/>
      <c r="V724" s="4"/>
      <c r="W724" s="4"/>
      <c r="X724" s="4"/>
      <c r="Y724" s="4"/>
    </row>
    <row r="725">
      <c r="A725" s="5"/>
      <c r="B725" s="9"/>
      <c r="C725" s="5"/>
      <c r="D725" s="9"/>
      <c r="E725" s="9"/>
      <c r="F725" s="9"/>
      <c r="G725" s="9"/>
      <c r="H725" s="9"/>
      <c r="I725" s="9"/>
      <c r="J725" s="5"/>
      <c r="K725" s="4"/>
      <c r="L725" s="10"/>
      <c r="M725" s="10"/>
      <c r="N725" s="10"/>
      <c r="O725" s="10"/>
      <c r="P725" s="10"/>
      <c r="Q725" s="11"/>
      <c r="R725" s="9"/>
      <c r="S725" s="12"/>
      <c r="T725" s="5"/>
      <c r="U725" s="5"/>
      <c r="V725" s="4"/>
      <c r="W725" s="4"/>
      <c r="X725" s="4"/>
      <c r="Y725" s="4"/>
    </row>
    <row r="726">
      <c r="A726" s="5"/>
      <c r="B726" s="9"/>
      <c r="C726" s="5"/>
      <c r="D726" s="9"/>
      <c r="E726" s="9"/>
      <c r="F726" s="9"/>
      <c r="G726" s="9"/>
      <c r="H726" s="9"/>
      <c r="I726" s="9"/>
      <c r="J726" s="5"/>
      <c r="K726" s="4"/>
      <c r="L726" s="10"/>
      <c r="M726" s="10"/>
      <c r="N726" s="10"/>
      <c r="O726" s="10"/>
      <c r="P726" s="10"/>
      <c r="Q726" s="11"/>
      <c r="R726" s="9"/>
      <c r="S726" s="12"/>
      <c r="T726" s="5"/>
      <c r="U726" s="5"/>
      <c r="V726" s="4"/>
      <c r="W726" s="4"/>
      <c r="X726" s="4"/>
      <c r="Y726" s="4"/>
    </row>
    <row r="727">
      <c r="A727" s="5"/>
      <c r="B727" s="9"/>
      <c r="C727" s="5"/>
      <c r="D727" s="9"/>
      <c r="E727" s="9"/>
      <c r="F727" s="9"/>
      <c r="G727" s="9"/>
      <c r="H727" s="9"/>
      <c r="I727" s="9"/>
      <c r="J727" s="5"/>
      <c r="K727" s="4"/>
      <c r="L727" s="10"/>
      <c r="M727" s="10"/>
      <c r="N727" s="10"/>
      <c r="O727" s="10"/>
      <c r="P727" s="10"/>
      <c r="Q727" s="11"/>
      <c r="R727" s="9"/>
      <c r="S727" s="12"/>
      <c r="T727" s="5"/>
      <c r="U727" s="5"/>
      <c r="V727" s="4"/>
      <c r="W727" s="4"/>
      <c r="X727" s="4"/>
      <c r="Y727" s="4"/>
    </row>
    <row r="728">
      <c r="A728" s="5"/>
      <c r="B728" s="9"/>
      <c r="C728" s="5"/>
      <c r="D728" s="9"/>
      <c r="E728" s="9"/>
      <c r="F728" s="9"/>
      <c r="G728" s="9"/>
      <c r="H728" s="9"/>
      <c r="I728" s="9"/>
      <c r="J728" s="5"/>
      <c r="K728" s="4"/>
      <c r="L728" s="10"/>
      <c r="M728" s="10"/>
      <c r="N728" s="10"/>
      <c r="O728" s="10"/>
      <c r="P728" s="10"/>
      <c r="Q728" s="11"/>
      <c r="R728" s="9"/>
      <c r="S728" s="12"/>
      <c r="T728" s="5"/>
      <c r="U728" s="5"/>
      <c r="V728" s="4"/>
      <c r="W728" s="4"/>
      <c r="X728" s="4"/>
      <c r="Y728" s="4"/>
    </row>
    <row r="729">
      <c r="A729" s="5"/>
      <c r="B729" s="9"/>
      <c r="C729" s="5"/>
      <c r="D729" s="9"/>
      <c r="E729" s="9"/>
      <c r="F729" s="9"/>
      <c r="G729" s="9"/>
      <c r="H729" s="9"/>
      <c r="I729" s="9"/>
      <c r="J729" s="5"/>
      <c r="K729" s="4"/>
      <c r="L729" s="10"/>
      <c r="M729" s="10"/>
      <c r="N729" s="10"/>
      <c r="O729" s="10"/>
      <c r="P729" s="10"/>
      <c r="Q729" s="11"/>
      <c r="R729" s="9"/>
      <c r="S729" s="12"/>
      <c r="T729" s="5"/>
      <c r="U729" s="5"/>
      <c r="V729" s="4"/>
      <c r="W729" s="4"/>
      <c r="X729" s="4"/>
      <c r="Y729" s="4"/>
    </row>
    <row r="730">
      <c r="A730" s="5"/>
      <c r="B730" s="9"/>
      <c r="C730" s="5"/>
      <c r="D730" s="9"/>
      <c r="E730" s="9"/>
      <c r="F730" s="9"/>
      <c r="G730" s="9"/>
      <c r="H730" s="9"/>
      <c r="I730" s="9"/>
      <c r="J730" s="5"/>
      <c r="K730" s="4"/>
      <c r="L730" s="10"/>
      <c r="M730" s="10"/>
      <c r="N730" s="10"/>
      <c r="O730" s="10"/>
      <c r="P730" s="10"/>
      <c r="Q730" s="11"/>
      <c r="R730" s="9"/>
      <c r="S730" s="12"/>
      <c r="T730" s="5"/>
      <c r="U730" s="5"/>
      <c r="V730" s="4"/>
      <c r="W730" s="4"/>
      <c r="X730" s="4"/>
      <c r="Y730" s="4"/>
    </row>
    <row r="731">
      <c r="A731" s="5"/>
      <c r="B731" s="9"/>
      <c r="C731" s="5"/>
      <c r="D731" s="9"/>
      <c r="E731" s="9"/>
      <c r="F731" s="9"/>
      <c r="G731" s="9"/>
      <c r="H731" s="9"/>
      <c r="I731" s="9"/>
      <c r="J731" s="5"/>
      <c r="K731" s="4"/>
      <c r="L731" s="10"/>
      <c r="M731" s="10"/>
      <c r="N731" s="10"/>
      <c r="O731" s="10"/>
      <c r="P731" s="10"/>
      <c r="Q731" s="11"/>
      <c r="R731" s="9"/>
      <c r="S731" s="12"/>
      <c r="T731" s="5"/>
      <c r="U731" s="5"/>
      <c r="V731" s="4"/>
      <c r="W731" s="4"/>
      <c r="X731" s="4"/>
      <c r="Y731" s="4"/>
    </row>
    <row r="732">
      <c r="A732" s="5"/>
      <c r="B732" s="9"/>
      <c r="C732" s="5"/>
      <c r="D732" s="9"/>
      <c r="E732" s="9"/>
      <c r="F732" s="9"/>
      <c r="G732" s="9"/>
      <c r="H732" s="9"/>
      <c r="I732" s="9"/>
      <c r="J732" s="5"/>
      <c r="K732" s="4"/>
      <c r="L732" s="10"/>
      <c r="M732" s="10"/>
      <c r="N732" s="10"/>
      <c r="O732" s="10"/>
      <c r="P732" s="10"/>
      <c r="Q732" s="11"/>
      <c r="R732" s="9"/>
      <c r="S732" s="12"/>
      <c r="T732" s="5"/>
      <c r="U732" s="5"/>
      <c r="V732" s="4"/>
      <c r="W732" s="4"/>
      <c r="X732" s="4"/>
      <c r="Y732" s="4"/>
    </row>
    <row r="733">
      <c r="A733" s="5"/>
      <c r="B733" s="9"/>
      <c r="C733" s="5"/>
      <c r="D733" s="9"/>
      <c r="E733" s="9"/>
      <c r="F733" s="9"/>
      <c r="G733" s="9"/>
      <c r="H733" s="9"/>
      <c r="I733" s="9"/>
      <c r="J733" s="5"/>
      <c r="K733" s="4"/>
      <c r="L733" s="10"/>
      <c r="M733" s="10"/>
      <c r="N733" s="10"/>
      <c r="O733" s="10"/>
      <c r="P733" s="10"/>
      <c r="Q733" s="11"/>
      <c r="R733" s="9"/>
      <c r="S733" s="12"/>
      <c r="T733" s="5"/>
      <c r="U733" s="5"/>
      <c r="V733" s="4"/>
      <c r="W733" s="4"/>
      <c r="X733" s="4"/>
      <c r="Y733" s="4"/>
    </row>
    <row r="734">
      <c r="A734" s="5"/>
      <c r="B734" s="9"/>
      <c r="C734" s="5"/>
      <c r="D734" s="9"/>
      <c r="E734" s="9"/>
      <c r="F734" s="9"/>
      <c r="G734" s="9"/>
      <c r="H734" s="9"/>
      <c r="I734" s="9"/>
      <c r="J734" s="5"/>
      <c r="K734" s="4"/>
      <c r="L734" s="10"/>
      <c r="M734" s="10"/>
      <c r="N734" s="10"/>
      <c r="O734" s="10"/>
      <c r="P734" s="10"/>
      <c r="Q734" s="11"/>
      <c r="R734" s="9"/>
      <c r="S734" s="12"/>
      <c r="T734" s="5"/>
      <c r="U734" s="5"/>
      <c r="V734" s="4"/>
      <c r="W734" s="4"/>
      <c r="X734" s="4"/>
      <c r="Y734" s="4"/>
    </row>
    <row r="735">
      <c r="A735" s="5"/>
      <c r="B735" s="9"/>
      <c r="C735" s="5"/>
      <c r="D735" s="9"/>
      <c r="E735" s="9"/>
      <c r="F735" s="9"/>
      <c r="G735" s="9"/>
      <c r="H735" s="9"/>
      <c r="I735" s="9"/>
      <c r="J735" s="5"/>
      <c r="K735" s="4"/>
      <c r="L735" s="10"/>
      <c r="M735" s="10"/>
      <c r="N735" s="10"/>
      <c r="O735" s="10"/>
      <c r="P735" s="10"/>
      <c r="Q735" s="11"/>
      <c r="R735" s="9"/>
      <c r="S735" s="12"/>
      <c r="T735" s="5"/>
      <c r="U735" s="5"/>
      <c r="V735" s="4"/>
      <c r="W735" s="4"/>
      <c r="X735" s="4"/>
      <c r="Y735" s="4"/>
    </row>
    <row r="736">
      <c r="A736" s="5"/>
      <c r="B736" s="9"/>
      <c r="C736" s="5"/>
      <c r="D736" s="9"/>
      <c r="E736" s="9"/>
      <c r="F736" s="9"/>
      <c r="G736" s="9"/>
      <c r="H736" s="9"/>
      <c r="I736" s="9"/>
      <c r="J736" s="5"/>
      <c r="K736" s="4"/>
      <c r="L736" s="10"/>
      <c r="M736" s="10"/>
      <c r="N736" s="10"/>
      <c r="O736" s="10"/>
      <c r="P736" s="10"/>
      <c r="Q736" s="11"/>
      <c r="R736" s="9"/>
      <c r="S736" s="12"/>
      <c r="T736" s="5"/>
      <c r="U736" s="5"/>
      <c r="V736" s="4"/>
      <c r="W736" s="4"/>
      <c r="X736" s="4"/>
      <c r="Y736" s="4"/>
    </row>
    <row r="737">
      <c r="A737" s="5"/>
      <c r="B737" s="9"/>
      <c r="C737" s="5"/>
      <c r="D737" s="9"/>
      <c r="E737" s="9"/>
      <c r="F737" s="9"/>
      <c r="G737" s="9"/>
      <c r="H737" s="9"/>
      <c r="I737" s="9"/>
      <c r="J737" s="5"/>
      <c r="K737" s="4"/>
      <c r="L737" s="10"/>
      <c r="M737" s="10"/>
      <c r="N737" s="10"/>
      <c r="O737" s="10"/>
      <c r="P737" s="10"/>
      <c r="Q737" s="11"/>
      <c r="R737" s="9"/>
      <c r="S737" s="12"/>
      <c r="T737" s="5"/>
      <c r="U737" s="5"/>
      <c r="V737" s="4"/>
      <c r="W737" s="4"/>
      <c r="X737" s="4"/>
      <c r="Y737" s="4"/>
    </row>
    <row r="738">
      <c r="A738" s="5"/>
      <c r="B738" s="9"/>
      <c r="C738" s="5"/>
      <c r="D738" s="9"/>
      <c r="E738" s="9"/>
      <c r="F738" s="9"/>
      <c r="G738" s="9"/>
      <c r="H738" s="9"/>
      <c r="I738" s="9"/>
      <c r="J738" s="5"/>
      <c r="K738" s="4"/>
      <c r="L738" s="10"/>
      <c r="M738" s="10"/>
      <c r="N738" s="10"/>
      <c r="O738" s="10"/>
      <c r="P738" s="10"/>
      <c r="Q738" s="11"/>
      <c r="R738" s="9"/>
      <c r="S738" s="12"/>
      <c r="T738" s="5"/>
      <c r="U738" s="5"/>
      <c r="V738" s="4"/>
      <c r="W738" s="4"/>
      <c r="X738" s="4"/>
      <c r="Y738" s="4"/>
    </row>
    <row r="739">
      <c r="A739" s="5"/>
      <c r="B739" s="9"/>
      <c r="C739" s="5"/>
      <c r="D739" s="9"/>
      <c r="E739" s="9"/>
      <c r="F739" s="9"/>
      <c r="G739" s="9"/>
      <c r="H739" s="9"/>
      <c r="I739" s="9"/>
      <c r="J739" s="5"/>
      <c r="K739" s="4"/>
      <c r="L739" s="10"/>
      <c r="M739" s="10"/>
      <c r="N739" s="10"/>
      <c r="O739" s="10"/>
      <c r="P739" s="10"/>
      <c r="Q739" s="11"/>
      <c r="R739" s="9"/>
      <c r="S739" s="12"/>
      <c r="T739" s="5"/>
      <c r="U739" s="5"/>
      <c r="V739" s="4"/>
      <c r="W739" s="4"/>
      <c r="X739" s="4"/>
      <c r="Y739" s="4"/>
    </row>
    <row r="740">
      <c r="A740" s="5"/>
      <c r="B740" s="9"/>
      <c r="C740" s="5"/>
      <c r="D740" s="9"/>
      <c r="E740" s="9"/>
      <c r="F740" s="9"/>
      <c r="G740" s="9"/>
      <c r="H740" s="9"/>
      <c r="I740" s="9"/>
      <c r="J740" s="5"/>
      <c r="K740" s="4"/>
      <c r="L740" s="10"/>
      <c r="M740" s="10"/>
      <c r="N740" s="10"/>
      <c r="O740" s="10"/>
      <c r="P740" s="10"/>
      <c r="Q740" s="11"/>
      <c r="R740" s="9"/>
      <c r="S740" s="12"/>
      <c r="T740" s="5"/>
      <c r="U740" s="5"/>
      <c r="V740" s="4"/>
      <c r="W740" s="4"/>
      <c r="X740" s="4"/>
      <c r="Y740" s="4"/>
    </row>
    <row r="741">
      <c r="A741" s="5"/>
      <c r="B741" s="9"/>
      <c r="C741" s="5"/>
      <c r="D741" s="9"/>
      <c r="E741" s="9"/>
      <c r="F741" s="9"/>
      <c r="G741" s="9"/>
      <c r="H741" s="9"/>
      <c r="I741" s="9"/>
      <c r="J741" s="5"/>
      <c r="K741" s="4"/>
      <c r="L741" s="10"/>
      <c r="M741" s="10"/>
      <c r="N741" s="10"/>
      <c r="O741" s="10"/>
      <c r="P741" s="10"/>
      <c r="Q741" s="11"/>
      <c r="R741" s="9"/>
      <c r="S741" s="12"/>
      <c r="T741" s="5"/>
      <c r="U741" s="5"/>
      <c r="V741" s="4"/>
      <c r="W741" s="4"/>
      <c r="X741" s="4"/>
      <c r="Y741" s="4"/>
    </row>
    <row r="742">
      <c r="A742" s="5"/>
      <c r="B742" s="9"/>
      <c r="C742" s="5"/>
      <c r="D742" s="9"/>
      <c r="E742" s="9"/>
      <c r="F742" s="9"/>
      <c r="G742" s="9"/>
      <c r="H742" s="9"/>
      <c r="I742" s="9"/>
      <c r="J742" s="5"/>
      <c r="K742" s="4"/>
      <c r="L742" s="10"/>
      <c r="M742" s="10"/>
      <c r="N742" s="10"/>
      <c r="O742" s="10"/>
      <c r="P742" s="10"/>
      <c r="Q742" s="11"/>
      <c r="R742" s="9"/>
      <c r="S742" s="12"/>
      <c r="T742" s="5"/>
      <c r="U742" s="5"/>
      <c r="V742" s="4"/>
      <c r="W742" s="4"/>
      <c r="X742" s="4"/>
      <c r="Y742" s="4"/>
    </row>
    <row r="743">
      <c r="A743" s="5"/>
      <c r="B743" s="9"/>
      <c r="C743" s="5"/>
      <c r="D743" s="9"/>
      <c r="E743" s="9"/>
      <c r="F743" s="9"/>
      <c r="G743" s="9"/>
      <c r="H743" s="9"/>
      <c r="I743" s="9"/>
      <c r="J743" s="5"/>
      <c r="K743" s="4"/>
      <c r="L743" s="10"/>
      <c r="M743" s="10"/>
      <c r="N743" s="10"/>
      <c r="O743" s="10"/>
      <c r="P743" s="10"/>
      <c r="Q743" s="11"/>
      <c r="R743" s="9"/>
      <c r="S743" s="12"/>
      <c r="T743" s="5"/>
      <c r="U743" s="5"/>
      <c r="V743" s="4"/>
      <c r="W743" s="4"/>
      <c r="X743" s="4"/>
      <c r="Y743" s="4"/>
    </row>
    <row r="744">
      <c r="A744" s="5"/>
      <c r="B744" s="9"/>
      <c r="C744" s="5"/>
      <c r="D744" s="9"/>
      <c r="E744" s="9"/>
      <c r="F744" s="9"/>
      <c r="G744" s="9"/>
      <c r="H744" s="9"/>
      <c r="I744" s="9"/>
      <c r="J744" s="5"/>
      <c r="K744" s="4"/>
      <c r="L744" s="10"/>
      <c r="M744" s="10"/>
      <c r="N744" s="10"/>
      <c r="O744" s="10"/>
      <c r="P744" s="10"/>
      <c r="Q744" s="11"/>
      <c r="R744" s="9"/>
      <c r="S744" s="12"/>
      <c r="T744" s="5"/>
      <c r="U744" s="5"/>
      <c r="V744" s="4"/>
      <c r="W744" s="4"/>
      <c r="X744" s="4"/>
      <c r="Y744" s="4"/>
    </row>
    <row r="745">
      <c r="A745" s="5"/>
      <c r="B745" s="9"/>
      <c r="C745" s="5"/>
      <c r="D745" s="9"/>
      <c r="E745" s="9"/>
      <c r="F745" s="9"/>
      <c r="G745" s="9"/>
      <c r="H745" s="9"/>
      <c r="I745" s="9"/>
      <c r="J745" s="5"/>
      <c r="K745" s="4"/>
      <c r="L745" s="10"/>
      <c r="M745" s="10"/>
      <c r="N745" s="10"/>
      <c r="O745" s="10"/>
      <c r="P745" s="10"/>
      <c r="Q745" s="11"/>
      <c r="R745" s="9"/>
      <c r="S745" s="12"/>
      <c r="T745" s="5"/>
      <c r="U745" s="5"/>
      <c r="V745" s="4"/>
      <c r="W745" s="4"/>
      <c r="X745" s="4"/>
      <c r="Y745" s="4"/>
    </row>
    <row r="746">
      <c r="A746" s="5"/>
      <c r="B746" s="9"/>
      <c r="C746" s="5"/>
      <c r="D746" s="9"/>
      <c r="E746" s="9"/>
      <c r="F746" s="9"/>
      <c r="G746" s="9"/>
      <c r="H746" s="9"/>
      <c r="I746" s="9"/>
      <c r="J746" s="5"/>
      <c r="K746" s="4"/>
      <c r="L746" s="10"/>
      <c r="M746" s="10"/>
      <c r="N746" s="10"/>
      <c r="O746" s="10"/>
      <c r="P746" s="10"/>
      <c r="Q746" s="11"/>
      <c r="R746" s="9"/>
      <c r="S746" s="12"/>
      <c r="T746" s="5"/>
      <c r="U746" s="5"/>
      <c r="V746" s="4"/>
      <c r="W746" s="4"/>
      <c r="X746" s="4"/>
      <c r="Y746" s="4"/>
    </row>
    <row r="747">
      <c r="A747" s="5"/>
      <c r="B747" s="9"/>
      <c r="C747" s="5"/>
      <c r="D747" s="9"/>
      <c r="E747" s="9"/>
      <c r="F747" s="9"/>
      <c r="G747" s="9"/>
      <c r="H747" s="9"/>
      <c r="I747" s="9"/>
      <c r="J747" s="5"/>
      <c r="K747" s="4"/>
      <c r="L747" s="10"/>
      <c r="M747" s="10"/>
      <c r="N747" s="10"/>
      <c r="O747" s="10"/>
      <c r="P747" s="10"/>
      <c r="Q747" s="11"/>
      <c r="R747" s="9"/>
      <c r="S747" s="12"/>
      <c r="T747" s="5"/>
      <c r="U747" s="5"/>
      <c r="V747" s="4"/>
      <c r="W747" s="4"/>
      <c r="X747" s="4"/>
      <c r="Y747" s="4"/>
    </row>
    <row r="748">
      <c r="A748" s="5"/>
      <c r="B748" s="9"/>
      <c r="C748" s="5"/>
      <c r="D748" s="9"/>
      <c r="E748" s="9"/>
      <c r="F748" s="9"/>
      <c r="G748" s="9"/>
      <c r="H748" s="9"/>
      <c r="I748" s="9"/>
      <c r="J748" s="5"/>
      <c r="K748" s="4"/>
      <c r="L748" s="10"/>
      <c r="M748" s="10"/>
      <c r="N748" s="10"/>
      <c r="O748" s="10"/>
      <c r="P748" s="10"/>
      <c r="Q748" s="11"/>
      <c r="R748" s="9"/>
      <c r="S748" s="12"/>
      <c r="T748" s="5"/>
      <c r="U748" s="5"/>
      <c r="V748" s="4"/>
      <c r="W748" s="4"/>
      <c r="X748" s="4"/>
      <c r="Y748" s="4"/>
    </row>
    <row r="749">
      <c r="A749" s="5"/>
      <c r="B749" s="9"/>
      <c r="C749" s="5"/>
      <c r="D749" s="9"/>
      <c r="E749" s="9"/>
      <c r="F749" s="9"/>
      <c r="G749" s="9"/>
      <c r="H749" s="9"/>
      <c r="I749" s="9"/>
      <c r="J749" s="5"/>
      <c r="K749" s="4"/>
      <c r="L749" s="10"/>
      <c r="M749" s="10"/>
      <c r="N749" s="10"/>
      <c r="O749" s="10"/>
      <c r="P749" s="10"/>
      <c r="Q749" s="11"/>
      <c r="R749" s="9"/>
      <c r="S749" s="12"/>
      <c r="T749" s="5"/>
      <c r="U749" s="5"/>
      <c r="V749" s="4"/>
      <c r="W749" s="4"/>
      <c r="X749" s="4"/>
      <c r="Y749" s="4"/>
    </row>
    <row r="750">
      <c r="A750" s="5"/>
      <c r="B750" s="9"/>
      <c r="C750" s="5"/>
      <c r="D750" s="9"/>
      <c r="E750" s="9"/>
      <c r="F750" s="9"/>
      <c r="G750" s="9"/>
      <c r="H750" s="9"/>
      <c r="I750" s="9"/>
      <c r="J750" s="5"/>
      <c r="K750" s="4"/>
      <c r="L750" s="10"/>
      <c r="M750" s="10"/>
      <c r="N750" s="10"/>
      <c r="O750" s="10"/>
      <c r="P750" s="10"/>
      <c r="Q750" s="11"/>
      <c r="R750" s="9"/>
      <c r="S750" s="12"/>
      <c r="T750" s="5"/>
      <c r="U750" s="5"/>
      <c r="V750" s="4"/>
      <c r="W750" s="4"/>
      <c r="X750" s="4"/>
      <c r="Y750" s="4"/>
    </row>
    <row r="751">
      <c r="A751" s="5"/>
      <c r="B751" s="9"/>
      <c r="C751" s="5"/>
      <c r="D751" s="9"/>
      <c r="E751" s="9"/>
      <c r="F751" s="9"/>
      <c r="G751" s="9"/>
      <c r="H751" s="9"/>
      <c r="I751" s="9"/>
      <c r="J751" s="5"/>
      <c r="K751" s="4"/>
      <c r="L751" s="10"/>
      <c r="M751" s="10"/>
      <c r="N751" s="10"/>
      <c r="O751" s="10"/>
      <c r="P751" s="10"/>
      <c r="Q751" s="11"/>
      <c r="R751" s="9"/>
      <c r="S751" s="12"/>
      <c r="T751" s="5"/>
      <c r="U751" s="5"/>
      <c r="V751" s="4"/>
      <c r="W751" s="4"/>
      <c r="X751" s="4"/>
      <c r="Y751" s="4"/>
    </row>
    <row r="752">
      <c r="A752" s="5"/>
      <c r="B752" s="9"/>
      <c r="C752" s="5"/>
      <c r="D752" s="9"/>
      <c r="E752" s="9"/>
      <c r="F752" s="9"/>
      <c r="G752" s="9"/>
      <c r="H752" s="9"/>
      <c r="I752" s="9"/>
      <c r="J752" s="5"/>
      <c r="K752" s="4"/>
      <c r="L752" s="10"/>
      <c r="M752" s="10"/>
      <c r="N752" s="10"/>
      <c r="O752" s="10"/>
      <c r="P752" s="10"/>
      <c r="Q752" s="11"/>
      <c r="R752" s="9"/>
      <c r="S752" s="12"/>
      <c r="T752" s="5"/>
      <c r="U752" s="5"/>
      <c r="V752" s="4"/>
      <c r="W752" s="4"/>
      <c r="X752" s="4"/>
      <c r="Y752" s="4"/>
    </row>
    <row r="753">
      <c r="A753" s="5"/>
      <c r="B753" s="9"/>
      <c r="C753" s="5"/>
      <c r="D753" s="9"/>
      <c r="E753" s="9"/>
      <c r="F753" s="9"/>
      <c r="G753" s="9"/>
      <c r="H753" s="9"/>
      <c r="I753" s="9"/>
      <c r="J753" s="5"/>
      <c r="K753" s="4"/>
      <c r="L753" s="10"/>
      <c r="M753" s="10"/>
      <c r="N753" s="10"/>
      <c r="O753" s="10"/>
      <c r="P753" s="10"/>
      <c r="Q753" s="11"/>
      <c r="R753" s="9"/>
      <c r="S753" s="12"/>
      <c r="T753" s="5"/>
      <c r="U753" s="5"/>
      <c r="V753" s="4"/>
      <c r="W753" s="4"/>
      <c r="X753" s="4"/>
      <c r="Y753" s="4"/>
    </row>
    <row r="754">
      <c r="A754" s="5"/>
      <c r="B754" s="9"/>
      <c r="C754" s="5"/>
      <c r="D754" s="9"/>
      <c r="E754" s="9"/>
      <c r="F754" s="9"/>
      <c r="G754" s="9"/>
      <c r="H754" s="9"/>
      <c r="I754" s="9"/>
      <c r="J754" s="5"/>
      <c r="K754" s="4"/>
      <c r="L754" s="10"/>
      <c r="M754" s="10"/>
      <c r="N754" s="10"/>
      <c r="O754" s="10"/>
      <c r="P754" s="10"/>
      <c r="Q754" s="11"/>
      <c r="R754" s="9"/>
      <c r="S754" s="12"/>
      <c r="T754" s="5"/>
      <c r="U754" s="5"/>
      <c r="V754" s="4"/>
      <c r="W754" s="4"/>
      <c r="X754" s="4"/>
      <c r="Y754" s="4"/>
    </row>
    <row r="755">
      <c r="A755" s="5"/>
      <c r="B755" s="9"/>
      <c r="C755" s="5"/>
      <c r="D755" s="9"/>
      <c r="E755" s="9"/>
      <c r="F755" s="9"/>
      <c r="G755" s="9"/>
      <c r="H755" s="9"/>
      <c r="I755" s="9"/>
      <c r="J755" s="5"/>
      <c r="K755" s="4"/>
      <c r="L755" s="10"/>
      <c r="M755" s="10"/>
      <c r="N755" s="10"/>
      <c r="O755" s="10"/>
      <c r="P755" s="10"/>
      <c r="Q755" s="11"/>
      <c r="R755" s="9"/>
      <c r="S755" s="12"/>
      <c r="T755" s="5"/>
      <c r="U755" s="5"/>
      <c r="V755" s="4"/>
      <c r="W755" s="4"/>
      <c r="X755" s="4"/>
      <c r="Y755" s="4"/>
    </row>
    <row r="756">
      <c r="A756" s="5"/>
      <c r="B756" s="9"/>
      <c r="C756" s="5"/>
      <c r="D756" s="9"/>
      <c r="E756" s="9"/>
      <c r="F756" s="9"/>
      <c r="G756" s="9"/>
      <c r="H756" s="9"/>
      <c r="I756" s="9"/>
      <c r="J756" s="5"/>
      <c r="K756" s="4"/>
      <c r="L756" s="10"/>
      <c r="M756" s="10"/>
      <c r="N756" s="10"/>
      <c r="O756" s="10"/>
      <c r="P756" s="10"/>
      <c r="Q756" s="11"/>
      <c r="R756" s="9"/>
      <c r="S756" s="12"/>
      <c r="T756" s="5"/>
      <c r="U756" s="5"/>
      <c r="V756" s="4"/>
      <c r="W756" s="4"/>
      <c r="X756" s="4"/>
      <c r="Y756" s="4"/>
    </row>
    <row r="757">
      <c r="A757" s="5"/>
      <c r="B757" s="9"/>
      <c r="C757" s="5"/>
      <c r="D757" s="9"/>
      <c r="E757" s="9"/>
      <c r="F757" s="9"/>
      <c r="G757" s="9"/>
      <c r="H757" s="9"/>
      <c r="I757" s="9"/>
      <c r="J757" s="5"/>
      <c r="K757" s="4"/>
      <c r="L757" s="10"/>
      <c r="M757" s="10"/>
      <c r="N757" s="10"/>
      <c r="O757" s="10"/>
      <c r="P757" s="10"/>
      <c r="Q757" s="11"/>
      <c r="R757" s="9"/>
      <c r="S757" s="12"/>
      <c r="T757" s="5"/>
      <c r="U757" s="5"/>
      <c r="V757" s="4"/>
      <c r="W757" s="4"/>
      <c r="X757" s="4"/>
      <c r="Y757" s="4"/>
    </row>
    <row r="758">
      <c r="A758" s="5"/>
      <c r="B758" s="9"/>
      <c r="C758" s="5"/>
      <c r="D758" s="9"/>
      <c r="E758" s="9"/>
      <c r="F758" s="9"/>
      <c r="G758" s="9"/>
      <c r="H758" s="9"/>
      <c r="I758" s="9"/>
      <c r="J758" s="5"/>
      <c r="K758" s="4"/>
      <c r="L758" s="10"/>
      <c r="M758" s="10"/>
      <c r="N758" s="10"/>
      <c r="O758" s="10"/>
      <c r="P758" s="10"/>
      <c r="Q758" s="11"/>
      <c r="R758" s="9"/>
      <c r="S758" s="12"/>
      <c r="T758" s="5"/>
      <c r="U758" s="5"/>
      <c r="V758" s="4"/>
      <c r="W758" s="4"/>
      <c r="X758" s="4"/>
      <c r="Y758" s="4"/>
    </row>
    <row r="759">
      <c r="A759" s="5"/>
      <c r="B759" s="9"/>
      <c r="C759" s="5"/>
      <c r="D759" s="9"/>
      <c r="E759" s="9"/>
      <c r="F759" s="9"/>
      <c r="G759" s="9"/>
      <c r="H759" s="9"/>
      <c r="I759" s="9"/>
      <c r="J759" s="5"/>
      <c r="K759" s="4"/>
      <c r="L759" s="10"/>
      <c r="M759" s="10"/>
      <c r="N759" s="10"/>
      <c r="O759" s="10"/>
      <c r="P759" s="10"/>
      <c r="Q759" s="11"/>
      <c r="R759" s="9"/>
      <c r="S759" s="12"/>
      <c r="T759" s="5"/>
      <c r="U759" s="5"/>
      <c r="V759" s="4"/>
      <c r="W759" s="4"/>
      <c r="X759" s="4"/>
      <c r="Y759" s="4"/>
    </row>
    <row r="760">
      <c r="A760" s="5"/>
      <c r="B760" s="9"/>
      <c r="C760" s="5"/>
      <c r="D760" s="9"/>
      <c r="E760" s="9"/>
      <c r="F760" s="9"/>
      <c r="G760" s="9"/>
      <c r="H760" s="9"/>
      <c r="I760" s="9"/>
      <c r="J760" s="5"/>
      <c r="K760" s="4"/>
      <c r="L760" s="10"/>
      <c r="M760" s="10"/>
      <c r="N760" s="10"/>
      <c r="O760" s="10"/>
      <c r="P760" s="10"/>
      <c r="Q760" s="11"/>
      <c r="R760" s="9"/>
      <c r="S760" s="12"/>
      <c r="T760" s="5"/>
      <c r="U760" s="5"/>
      <c r="V760" s="4"/>
      <c r="W760" s="4"/>
      <c r="X760" s="4"/>
      <c r="Y760" s="4"/>
    </row>
    <row r="761">
      <c r="A761" s="5"/>
      <c r="B761" s="9"/>
      <c r="C761" s="5"/>
      <c r="D761" s="9"/>
      <c r="E761" s="9"/>
      <c r="F761" s="9"/>
      <c r="G761" s="9"/>
      <c r="H761" s="9"/>
      <c r="I761" s="9"/>
      <c r="J761" s="5"/>
      <c r="K761" s="4"/>
      <c r="L761" s="10"/>
      <c r="M761" s="10"/>
      <c r="N761" s="10"/>
      <c r="O761" s="10"/>
      <c r="P761" s="10"/>
      <c r="Q761" s="11"/>
      <c r="R761" s="9"/>
      <c r="S761" s="12"/>
      <c r="T761" s="5"/>
      <c r="U761" s="5"/>
      <c r="V761" s="4"/>
      <c r="W761" s="4"/>
      <c r="X761" s="4"/>
      <c r="Y761" s="4"/>
    </row>
    <row r="762">
      <c r="A762" s="5"/>
      <c r="B762" s="9"/>
      <c r="C762" s="5"/>
      <c r="D762" s="9"/>
      <c r="E762" s="9"/>
      <c r="F762" s="9"/>
      <c r="G762" s="9"/>
      <c r="H762" s="9"/>
      <c r="I762" s="9"/>
      <c r="J762" s="5"/>
      <c r="K762" s="4"/>
      <c r="L762" s="10"/>
      <c r="M762" s="10"/>
      <c r="N762" s="10"/>
      <c r="O762" s="10"/>
      <c r="P762" s="10"/>
      <c r="Q762" s="11"/>
      <c r="R762" s="9"/>
      <c r="S762" s="12"/>
      <c r="T762" s="5"/>
      <c r="U762" s="5"/>
      <c r="V762" s="4"/>
      <c r="W762" s="4"/>
      <c r="X762" s="4"/>
      <c r="Y762" s="4"/>
    </row>
    <row r="763">
      <c r="A763" s="5"/>
      <c r="B763" s="9"/>
      <c r="C763" s="5"/>
      <c r="D763" s="9"/>
      <c r="E763" s="9"/>
      <c r="F763" s="9"/>
      <c r="G763" s="9"/>
      <c r="H763" s="9"/>
      <c r="I763" s="9"/>
      <c r="J763" s="5"/>
      <c r="K763" s="4"/>
      <c r="L763" s="10"/>
      <c r="M763" s="10"/>
      <c r="N763" s="10"/>
      <c r="O763" s="10"/>
      <c r="P763" s="10"/>
      <c r="Q763" s="11"/>
      <c r="R763" s="9"/>
      <c r="S763" s="12"/>
      <c r="T763" s="5"/>
      <c r="U763" s="5"/>
      <c r="V763" s="4"/>
      <c r="W763" s="4"/>
      <c r="X763" s="4"/>
      <c r="Y763" s="4"/>
    </row>
    <row r="764">
      <c r="A764" s="5"/>
      <c r="B764" s="9"/>
      <c r="C764" s="5"/>
      <c r="D764" s="9"/>
      <c r="E764" s="9"/>
      <c r="F764" s="9"/>
      <c r="G764" s="9"/>
      <c r="H764" s="9"/>
      <c r="I764" s="9"/>
      <c r="J764" s="5"/>
      <c r="K764" s="4"/>
      <c r="L764" s="10"/>
      <c r="M764" s="10"/>
      <c r="N764" s="10"/>
      <c r="O764" s="10"/>
      <c r="P764" s="10"/>
      <c r="Q764" s="11"/>
      <c r="R764" s="9"/>
      <c r="S764" s="12"/>
      <c r="T764" s="5"/>
      <c r="U764" s="5"/>
      <c r="V764" s="4"/>
      <c r="W764" s="4"/>
      <c r="X764" s="4"/>
      <c r="Y764" s="4"/>
    </row>
    <row r="765">
      <c r="A765" s="5"/>
      <c r="B765" s="9"/>
      <c r="C765" s="5"/>
      <c r="D765" s="9"/>
      <c r="E765" s="9"/>
      <c r="F765" s="9"/>
      <c r="G765" s="9"/>
      <c r="H765" s="9"/>
      <c r="I765" s="9"/>
      <c r="J765" s="5"/>
      <c r="K765" s="4"/>
      <c r="L765" s="10"/>
      <c r="M765" s="10"/>
      <c r="N765" s="10"/>
      <c r="O765" s="10"/>
      <c r="P765" s="10"/>
      <c r="Q765" s="11"/>
      <c r="R765" s="9"/>
      <c r="S765" s="12"/>
      <c r="T765" s="5"/>
      <c r="U765" s="5"/>
      <c r="V765" s="4"/>
      <c r="W765" s="4"/>
      <c r="X765" s="4"/>
      <c r="Y765" s="4"/>
    </row>
    <row r="766">
      <c r="A766" s="5"/>
      <c r="B766" s="9"/>
      <c r="C766" s="5"/>
      <c r="D766" s="9"/>
      <c r="E766" s="9"/>
      <c r="F766" s="9"/>
      <c r="G766" s="9"/>
      <c r="H766" s="9"/>
      <c r="I766" s="9"/>
      <c r="J766" s="5"/>
      <c r="K766" s="4"/>
      <c r="L766" s="10"/>
      <c r="M766" s="10"/>
      <c r="N766" s="10"/>
      <c r="O766" s="10"/>
      <c r="P766" s="10"/>
      <c r="Q766" s="11"/>
      <c r="R766" s="9"/>
      <c r="S766" s="12"/>
      <c r="T766" s="5"/>
      <c r="U766" s="5"/>
      <c r="V766" s="4"/>
      <c r="W766" s="4"/>
      <c r="X766" s="4"/>
      <c r="Y766" s="4"/>
    </row>
    <row r="767">
      <c r="A767" s="5"/>
      <c r="B767" s="9"/>
      <c r="C767" s="5"/>
      <c r="D767" s="9"/>
      <c r="E767" s="9"/>
      <c r="F767" s="9"/>
      <c r="G767" s="9"/>
      <c r="H767" s="9"/>
      <c r="I767" s="9"/>
      <c r="J767" s="5"/>
      <c r="K767" s="4"/>
      <c r="L767" s="10"/>
      <c r="M767" s="10"/>
      <c r="N767" s="10"/>
      <c r="O767" s="10"/>
      <c r="P767" s="10"/>
      <c r="Q767" s="11"/>
      <c r="R767" s="9"/>
      <c r="S767" s="12"/>
      <c r="T767" s="5"/>
      <c r="U767" s="5"/>
      <c r="V767" s="4"/>
      <c r="W767" s="4"/>
      <c r="X767" s="4"/>
      <c r="Y767" s="4"/>
    </row>
    <row r="768">
      <c r="A768" s="5"/>
      <c r="B768" s="9"/>
      <c r="C768" s="5"/>
      <c r="D768" s="9"/>
      <c r="E768" s="9"/>
      <c r="F768" s="9"/>
      <c r="G768" s="9"/>
      <c r="H768" s="9"/>
      <c r="I768" s="9"/>
      <c r="J768" s="5"/>
      <c r="K768" s="4"/>
      <c r="L768" s="10"/>
      <c r="M768" s="10"/>
      <c r="N768" s="10"/>
      <c r="O768" s="10"/>
      <c r="P768" s="10"/>
      <c r="Q768" s="11"/>
      <c r="R768" s="9"/>
      <c r="S768" s="12"/>
      <c r="T768" s="5"/>
      <c r="U768" s="5"/>
      <c r="V768" s="4"/>
      <c r="W768" s="4"/>
      <c r="X768" s="4"/>
      <c r="Y768" s="4"/>
    </row>
    <row r="769">
      <c r="A769" s="5"/>
      <c r="B769" s="9"/>
      <c r="C769" s="5"/>
      <c r="D769" s="9"/>
      <c r="E769" s="9"/>
      <c r="F769" s="9"/>
      <c r="G769" s="9"/>
      <c r="H769" s="9"/>
      <c r="I769" s="9"/>
      <c r="J769" s="5"/>
      <c r="K769" s="4"/>
      <c r="L769" s="10"/>
      <c r="M769" s="10"/>
      <c r="N769" s="10"/>
      <c r="O769" s="10"/>
      <c r="P769" s="10"/>
      <c r="Q769" s="11"/>
      <c r="R769" s="9"/>
      <c r="S769" s="12"/>
      <c r="T769" s="5"/>
      <c r="U769" s="5"/>
      <c r="V769" s="4"/>
      <c r="W769" s="4"/>
      <c r="X769" s="4"/>
      <c r="Y769" s="4"/>
    </row>
    <row r="770">
      <c r="A770" s="5"/>
      <c r="B770" s="9"/>
      <c r="C770" s="5"/>
      <c r="D770" s="9"/>
      <c r="E770" s="9"/>
      <c r="F770" s="9"/>
      <c r="G770" s="9"/>
      <c r="H770" s="9"/>
      <c r="I770" s="9"/>
      <c r="J770" s="5"/>
      <c r="K770" s="4"/>
      <c r="L770" s="10"/>
      <c r="M770" s="10"/>
      <c r="N770" s="10"/>
      <c r="O770" s="10"/>
      <c r="P770" s="10"/>
      <c r="Q770" s="11"/>
      <c r="R770" s="9"/>
      <c r="S770" s="12"/>
      <c r="T770" s="5"/>
      <c r="U770" s="5"/>
      <c r="V770" s="4"/>
      <c r="W770" s="4"/>
      <c r="X770" s="4"/>
      <c r="Y770" s="4"/>
    </row>
    <row r="771">
      <c r="A771" s="5"/>
      <c r="B771" s="9"/>
      <c r="C771" s="5"/>
      <c r="D771" s="9"/>
      <c r="E771" s="9"/>
      <c r="F771" s="9"/>
      <c r="G771" s="9"/>
      <c r="H771" s="9"/>
      <c r="I771" s="9"/>
      <c r="J771" s="5"/>
      <c r="K771" s="4"/>
      <c r="L771" s="10"/>
      <c r="M771" s="10"/>
      <c r="N771" s="10"/>
      <c r="O771" s="10"/>
      <c r="P771" s="10"/>
      <c r="Q771" s="11"/>
      <c r="R771" s="9"/>
      <c r="S771" s="12"/>
      <c r="T771" s="5"/>
      <c r="U771" s="5"/>
      <c r="V771" s="4"/>
      <c r="W771" s="4"/>
      <c r="X771" s="4"/>
      <c r="Y771" s="4"/>
    </row>
    <row r="772">
      <c r="A772" s="5"/>
      <c r="B772" s="9"/>
      <c r="C772" s="5"/>
      <c r="D772" s="9"/>
      <c r="E772" s="9"/>
      <c r="F772" s="9"/>
      <c r="G772" s="9"/>
      <c r="H772" s="9"/>
      <c r="I772" s="9"/>
      <c r="J772" s="5"/>
      <c r="K772" s="4"/>
      <c r="L772" s="10"/>
      <c r="M772" s="10"/>
      <c r="N772" s="10"/>
      <c r="O772" s="10"/>
      <c r="P772" s="10"/>
      <c r="Q772" s="11"/>
      <c r="R772" s="9"/>
      <c r="S772" s="12"/>
      <c r="T772" s="5"/>
      <c r="U772" s="5"/>
      <c r="V772" s="4"/>
      <c r="W772" s="4"/>
      <c r="X772" s="4"/>
      <c r="Y772" s="4"/>
    </row>
    <row r="773">
      <c r="A773" s="5"/>
      <c r="B773" s="9"/>
      <c r="C773" s="5"/>
      <c r="D773" s="9"/>
      <c r="E773" s="9"/>
      <c r="F773" s="9"/>
      <c r="G773" s="9"/>
      <c r="H773" s="9"/>
      <c r="I773" s="9"/>
      <c r="J773" s="5"/>
      <c r="K773" s="4"/>
      <c r="L773" s="10"/>
      <c r="M773" s="10"/>
      <c r="N773" s="10"/>
      <c r="O773" s="10"/>
      <c r="P773" s="10"/>
      <c r="Q773" s="11"/>
      <c r="R773" s="9"/>
      <c r="S773" s="12"/>
      <c r="T773" s="5"/>
      <c r="U773" s="5"/>
      <c r="V773" s="4"/>
      <c r="W773" s="4"/>
      <c r="X773" s="4"/>
      <c r="Y773" s="4"/>
    </row>
    <row r="774">
      <c r="A774" s="5"/>
      <c r="B774" s="9"/>
      <c r="C774" s="5"/>
      <c r="D774" s="9"/>
      <c r="E774" s="9"/>
      <c r="F774" s="9"/>
      <c r="G774" s="9"/>
      <c r="H774" s="9"/>
      <c r="I774" s="9"/>
      <c r="J774" s="5"/>
      <c r="K774" s="4"/>
      <c r="L774" s="10"/>
      <c r="M774" s="10"/>
      <c r="N774" s="10"/>
      <c r="O774" s="10"/>
      <c r="P774" s="10"/>
      <c r="Q774" s="11"/>
      <c r="R774" s="9"/>
      <c r="S774" s="12"/>
      <c r="T774" s="5"/>
      <c r="U774" s="5"/>
      <c r="V774" s="4"/>
      <c r="W774" s="4"/>
      <c r="X774" s="4"/>
      <c r="Y774" s="4"/>
    </row>
    <row r="775">
      <c r="A775" s="5"/>
      <c r="B775" s="9"/>
      <c r="C775" s="5"/>
      <c r="D775" s="9"/>
      <c r="E775" s="9"/>
      <c r="F775" s="9"/>
      <c r="G775" s="9"/>
      <c r="H775" s="9"/>
      <c r="I775" s="9"/>
      <c r="J775" s="5"/>
      <c r="K775" s="4"/>
      <c r="L775" s="10"/>
      <c r="M775" s="10"/>
      <c r="N775" s="10"/>
      <c r="O775" s="10"/>
      <c r="P775" s="10"/>
      <c r="Q775" s="11"/>
      <c r="R775" s="9"/>
      <c r="S775" s="12"/>
      <c r="T775" s="5"/>
      <c r="U775" s="5"/>
      <c r="V775" s="4"/>
      <c r="W775" s="4"/>
      <c r="X775" s="4"/>
      <c r="Y775" s="4"/>
    </row>
    <row r="776">
      <c r="A776" s="5"/>
      <c r="B776" s="9"/>
      <c r="C776" s="5"/>
      <c r="D776" s="9"/>
      <c r="E776" s="9"/>
      <c r="F776" s="9"/>
      <c r="G776" s="9"/>
      <c r="H776" s="9"/>
      <c r="I776" s="9"/>
      <c r="J776" s="5"/>
      <c r="K776" s="4"/>
      <c r="L776" s="10"/>
      <c r="M776" s="10"/>
      <c r="N776" s="10"/>
      <c r="O776" s="10"/>
      <c r="P776" s="10"/>
      <c r="Q776" s="11"/>
      <c r="R776" s="9"/>
      <c r="S776" s="12"/>
      <c r="T776" s="5"/>
      <c r="U776" s="5"/>
      <c r="V776" s="4"/>
      <c r="W776" s="4"/>
      <c r="X776" s="4"/>
      <c r="Y776" s="4"/>
    </row>
    <row r="777">
      <c r="A777" s="5"/>
      <c r="B777" s="9"/>
      <c r="C777" s="5"/>
      <c r="D777" s="9"/>
      <c r="E777" s="9"/>
      <c r="F777" s="9"/>
      <c r="G777" s="9"/>
      <c r="H777" s="9"/>
      <c r="I777" s="9"/>
      <c r="J777" s="5"/>
      <c r="K777" s="4"/>
      <c r="L777" s="10"/>
      <c r="M777" s="10"/>
      <c r="N777" s="10"/>
      <c r="O777" s="10"/>
      <c r="P777" s="10"/>
      <c r="Q777" s="11"/>
      <c r="R777" s="9"/>
      <c r="S777" s="12"/>
      <c r="T777" s="5"/>
      <c r="U777" s="5"/>
      <c r="V777" s="4"/>
      <c r="W777" s="4"/>
      <c r="X777" s="4"/>
      <c r="Y777" s="4"/>
    </row>
    <row r="778">
      <c r="A778" s="5"/>
      <c r="B778" s="9"/>
      <c r="C778" s="5"/>
      <c r="D778" s="9"/>
      <c r="E778" s="9"/>
      <c r="F778" s="9"/>
      <c r="G778" s="9"/>
      <c r="H778" s="9"/>
      <c r="I778" s="9"/>
      <c r="J778" s="5"/>
      <c r="K778" s="4"/>
      <c r="L778" s="10"/>
      <c r="M778" s="10"/>
      <c r="N778" s="10"/>
      <c r="O778" s="10"/>
      <c r="P778" s="10"/>
      <c r="Q778" s="11"/>
      <c r="R778" s="9"/>
      <c r="S778" s="12"/>
      <c r="T778" s="5"/>
      <c r="U778" s="5"/>
      <c r="V778" s="4"/>
      <c r="W778" s="4"/>
      <c r="X778" s="4"/>
      <c r="Y778" s="4"/>
    </row>
    <row r="779">
      <c r="A779" s="5"/>
      <c r="B779" s="9"/>
      <c r="C779" s="5"/>
      <c r="D779" s="9"/>
      <c r="E779" s="9"/>
      <c r="F779" s="9"/>
      <c r="G779" s="9"/>
      <c r="H779" s="9"/>
      <c r="I779" s="9"/>
      <c r="J779" s="5"/>
      <c r="K779" s="4"/>
      <c r="L779" s="10"/>
      <c r="M779" s="10"/>
      <c r="N779" s="10"/>
      <c r="O779" s="10"/>
      <c r="P779" s="10"/>
      <c r="Q779" s="11"/>
      <c r="R779" s="9"/>
      <c r="S779" s="12"/>
      <c r="T779" s="5"/>
      <c r="U779" s="5"/>
      <c r="V779" s="4"/>
      <c r="W779" s="4"/>
      <c r="X779" s="4"/>
      <c r="Y779" s="4"/>
    </row>
    <row r="780">
      <c r="A780" s="5"/>
      <c r="B780" s="9"/>
      <c r="C780" s="5"/>
      <c r="D780" s="9"/>
      <c r="E780" s="9"/>
      <c r="F780" s="9"/>
      <c r="G780" s="9"/>
      <c r="H780" s="9"/>
      <c r="I780" s="9"/>
      <c r="J780" s="5"/>
      <c r="K780" s="4"/>
      <c r="L780" s="10"/>
      <c r="M780" s="10"/>
      <c r="N780" s="10"/>
      <c r="O780" s="10"/>
      <c r="P780" s="10"/>
      <c r="Q780" s="11"/>
      <c r="R780" s="9"/>
      <c r="S780" s="12"/>
      <c r="T780" s="5"/>
      <c r="U780" s="5"/>
      <c r="V780" s="4"/>
      <c r="W780" s="4"/>
      <c r="X780" s="4"/>
      <c r="Y780" s="4"/>
    </row>
    <row r="781">
      <c r="A781" s="5"/>
      <c r="B781" s="9"/>
      <c r="C781" s="5"/>
      <c r="D781" s="9"/>
      <c r="E781" s="9"/>
      <c r="F781" s="9"/>
      <c r="G781" s="9"/>
      <c r="H781" s="9"/>
      <c r="I781" s="9"/>
      <c r="J781" s="5"/>
      <c r="K781" s="4"/>
      <c r="L781" s="10"/>
      <c r="M781" s="10"/>
      <c r="N781" s="10"/>
      <c r="O781" s="10"/>
      <c r="P781" s="10"/>
      <c r="Q781" s="11"/>
      <c r="R781" s="9"/>
      <c r="S781" s="12"/>
      <c r="T781" s="5"/>
      <c r="U781" s="5"/>
      <c r="V781" s="4"/>
      <c r="W781" s="4"/>
      <c r="X781" s="4"/>
      <c r="Y781" s="4"/>
    </row>
    <row r="782">
      <c r="A782" s="5"/>
      <c r="B782" s="9"/>
      <c r="C782" s="5"/>
      <c r="D782" s="9"/>
      <c r="E782" s="9"/>
      <c r="F782" s="9"/>
      <c r="G782" s="9"/>
      <c r="H782" s="9"/>
      <c r="I782" s="9"/>
      <c r="J782" s="5"/>
      <c r="K782" s="4"/>
      <c r="L782" s="10"/>
      <c r="M782" s="10"/>
      <c r="N782" s="10"/>
      <c r="O782" s="10"/>
      <c r="P782" s="10"/>
      <c r="Q782" s="11"/>
      <c r="R782" s="9"/>
      <c r="S782" s="12"/>
      <c r="T782" s="5"/>
      <c r="U782" s="5"/>
      <c r="V782" s="4"/>
      <c r="W782" s="4"/>
      <c r="X782" s="4"/>
      <c r="Y782" s="4"/>
    </row>
    <row r="783">
      <c r="A783" s="5"/>
      <c r="B783" s="9"/>
      <c r="C783" s="5"/>
      <c r="D783" s="9"/>
      <c r="E783" s="9"/>
      <c r="F783" s="9"/>
      <c r="G783" s="9"/>
      <c r="H783" s="9"/>
      <c r="I783" s="9"/>
      <c r="J783" s="5"/>
      <c r="K783" s="4"/>
      <c r="L783" s="10"/>
      <c r="M783" s="10"/>
      <c r="N783" s="10"/>
      <c r="O783" s="10"/>
      <c r="P783" s="10"/>
      <c r="Q783" s="11"/>
      <c r="R783" s="9"/>
      <c r="S783" s="12"/>
      <c r="T783" s="5"/>
      <c r="U783" s="5"/>
      <c r="V783" s="4"/>
      <c r="W783" s="4"/>
      <c r="X783" s="4"/>
      <c r="Y783" s="4"/>
    </row>
    <row r="784">
      <c r="A784" s="5"/>
      <c r="B784" s="9"/>
      <c r="C784" s="5"/>
      <c r="D784" s="9"/>
      <c r="E784" s="9"/>
      <c r="F784" s="9"/>
      <c r="G784" s="9"/>
      <c r="H784" s="9"/>
      <c r="I784" s="9"/>
      <c r="J784" s="5"/>
      <c r="K784" s="4"/>
      <c r="L784" s="10"/>
      <c r="M784" s="10"/>
      <c r="N784" s="10"/>
      <c r="O784" s="10"/>
      <c r="P784" s="10"/>
      <c r="Q784" s="11"/>
      <c r="R784" s="9"/>
      <c r="S784" s="12"/>
      <c r="T784" s="5"/>
      <c r="U784" s="5"/>
      <c r="V784" s="4"/>
      <c r="W784" s="4"/>
      <c r="X784" s="4"/>
      <c r="Y784" s="4"/>
    </row>
    <row r="785">
      <c r="A785" s="5"/>
      <c r="B785" s="9"/>
      <c r="C785" s="5"/>
      <c r="D785" s="9"/>
      <c r="E785" s="9"/>
      <c r="F785" s="9"/>
      <c r="G785" s="9"/>
      <c r="H785" s="9"/>
      <c r="I785" s="9"/>
      <c r="J785" s="5"/>
      <c r="K785" s="4"/>
      <c r="L785" s="10"/>
      <c r="M785" s="10"/>
      <c r="N785" s="10"/>
      <c r="O785" s="10"/>
      <c r="P785" s="10"/>
      <c r="Q785" s="11"/>
      <c r="R785" s="9"/>
      <c r="S785" s="12"/>
      <c r="T785" s="5"/>
      <c r="U785" s="5"/>
      <c r="V785" s="4"/>
      <c r="W785" s="4"/>
      <c r="X785" s="4"/>
      <c r="Y785" s="4"/>
    </row>
    <row r="786">
      <c r="A786" s="5"/>
      <c r="B786" s="9"/>
      <c r="C786" s="5"/>
      <c r="D786" s="9"/>
      <c r="E786" s="9"/>
      <c r="F786" s="9"/>
      <c r="G786" s="9"/>
      <c r="H786" s="9"/>
      <c r="I786" s="9"/>
      <c r="J786" s="5"/>
      <c r="K786" s="4"/>
      <c r="L786" s="10"/>
      <c r="M786" s="10"/>
      <c r="N786" s="10"/>
      <c r="O786" s="10"/>
      <c r="P786" s="10"/>
      <c r="Q786" s="11"/>
      <c r="R786" s="9"/>
      <c r="S786" s="12"/>
      <c r="T786" s="5"/>
      <c r="U786" s="5"/>
      <c r="V786" s="4"/>
      <c r="W786" s="4"/>
      <c r="X786" s="4"/>
      <c r="Y786" s="4"/>
    </row>
    <row r="787">
      <c r="A787" s="5"/>
      <c r="B787" s="9"/>
      <c r="C787" s="5"/>
      <c r="D787" s="9"/>
      <c r="E787" s="9"/>
      <c r="F787" s="9"/>
      <c r="G787" s="9"/>
      <c r="H787" s="9"/>
      <c r="I787" s="9"/>
      <c r="J787" s="5"/>
      <c r="K787" s="4"/>
      <c r="L787" s="10"/>
      <c r="M787" s="10"/>
      <c r="N787" s="10"/>
      <c r="O787" s="10"/>
      <c r="P787" s="10"/>
      <c r="Q787" s="11"/>
      <c r="R787" s="9"/>
      <c r="S787" s="12"/>
      <c r="T787" s="5"/>
      <c r="U787" s="5"/>
      <c r="V787" s="4"/>
      <c r="W787" s="4"/>
      <c r="X787" s="4"/>
      <c r="Y787" s="4"/>
    </row>
    <row r="788">
      <c r="A788" s="5"/>
      <c r="B788" s="9"/>
      <c r="C788" s="5"/>
      <c r="D788" s="9"/>
      <c r="E788" s="9"/>
      <c r="F788" s="9"/>
      <c r="G788" s="9"/>
      <c r="H788" s="9"/>
      <c r="I788" s="9"/>
      <c r="J788" s="5"/>
      <c r="K788" s="4"/>
      <c r="L788" s="10"/>
      <c r="M788" s="10"/>
      <c r="N788" s="10"/>
      <c r="O788" s="10"/>
      <c r="P788" s="10"/>
      <c r="Q788" s="11"/>
      <c r="R788" s="9"/>
      <c r="S788" s="12"/>
      <c r="T788" s="5"/>
      <c r="U788" s="5"/>
      <c r="V788" s="4"/>
      <c r="W788" s="4"/>
      <c r="X788" s="4"/>
      <c r="Y788" s="4"/>
    </row>
    <row r="789">
      <c r="A789" s="5"/>
      <c r="B789" s="9"/>
      <c r="C789" s="5"/>
      <c r="D789" s="9"/>
      <c r="E789" s="9"/>
      <c r="F789" s="9"/>
      <c r="G789" s="9"/>
      <c r="H789" s="9"/>
      <c r="I789" s="9"/>
      <c r="J789" s="5"/>
      <c r="K789" s="4"/>
      <c r="L789" s="10"/>
      <c r="M789" s="10"/>
      <c r="N789" s="10"/>
      <c r="O789" s="10"/>
      <c r="P789" s="10"/>
      <c r="Q789" s="11"/>
      <c r="R789" s="9"/>
      <c r="S789" s="12"/>
      <c r="T789" s="5"/>
      <c r="U789" s="5"/>
      <c r="V789" s="4"/>
      <c r="W789" s="4"/>
      <c r="X789" s="4"/>
      <c r="Y789" s="4"/>
    </row>
    <row r="790">
      <c r="A790" s="5"/>
      <c r="B790" s="9"/>
      <c r="C790" s="5"/>
      <c r="D790" s="9"/>
      <c r="E790" s="9"/>
      <c r="F790" s="9"/>
      <c r="G790" s="9"/>
      <c r="H790" s="9"/>
      <c r="I790" s="9"/>
      <c r="J790" s="5"/>
      <c r="K790" s="4"/>
      <c r="L790" s="10"/>
      <c r="M790" s="10"/>
      <c r="N790" s="10"/>
      <c r="O790" s="10"/>
      <c r="P790" s="10"/>
      <c r="Q790" s="11"/>
      <c r="R790" s="9"/>
      <c r="S790" s="12"/>
      <c r="T790" s="5"/>
      <c r="U790" s="5"/>
      <c r="V790" s="4"/>
      <c r="W790" s="4"/>
      <c r="X790" s="4"/>
      <c r="Y790" s="4"/>
    </row>
    <row r="791">
      <c r="A791" s="5"/>
      <c r="B791" s="9"/>
      <c r="C791" s="5"/>
      <c r="D791" s="9"/>
      <c r="E791" s="9"/>
      <c r="F791" s="9"/>
      <c r="G791" s="9"/>
      <c r="H791" s="9"/>
      <c r="I791" s="9"/>
      <c r="J791" s="5"/>
      <c r="K791" s="4"/>
      <c r="L791" s="10"/>
      <c r="M791" s="10"/>
      <c r="N791" s="10"/>
      <c r="O791" s="10"/>
      <c r="P791" s="10"/>
      <c r="Q791" s="11"/>
      <c r="R791" s="9"/>
      <c r="S791" s="12"/>
      <c r="T791" s="5"/>
      <c r="U791" s="5"/>
      <c r="V791" s="4"/>
      <c r="W791" s="4"/>
      <c r="X791" s="4"/>
      <c r="Y791" s="4"/>
    </row>
    <row r="792">
      <c r="A792" s="5"/>
      <c r="B792" s="9"/>
      <c r="C792" s="5"/>
      <c r="D792" s="9"/>
      <c r="E792" s="9"/>
      <c r="F792" s="9"/>
      <c r="G792" s="9"/>
      <c r="H792" s="9"/>
      <c r="I792" s="9"/>
      <c r="J792" s="5"/>
      <c r="K792" s="4"/>
      <c r="L792" s="10"/>
      <c r="M792" s="10"/>
      <c r="N792" s="10"/>
      <c r="O792" s="10"/>
      <c r="P792" s="10"/>
      <c r="Q792" s="11"/>
      <c r="R792" s="9"/>
      <c r="S792" s="12"/>
      <c r="T792" s="5"/>
      <c r="U792" s="5"/>
      <c r="V792" s="4"/>
      <c r="W792" s="4"/>
      <c r="X792" s="4"/>
      <c r="Y792" s="4"/>
    </row>
    <row r="793">
      <c r="A793" s="5"/>
      <c r="B793" s="9"/>
      <c r="C793" s="5"/>
      <c r="D793" s="9"/>
      <c r="E793" s="9"/>
      <c r="F793" s="9"/>
      <c r="G793" s="9"/>
      <c r="H793" s="9"/>
      <c r="I793" s="9"/>
      <c r="J793" s="5"/>
      <c r="K793" s="4"/>
      <c r="L793" s="10"/>
      <c r="M793" s="10"/>
      <c r="N793" s="10"/>
      <c r="O793" s="10"/>
      <c r="P793" s="10"/>
      <c r="Q793" s="11"/>
      <c r="R793" s="9"/>
      <c r="S793" s="12"/>
      <c r="T793" s="5"/>
      <c r="U793" s="5"/>
      <c r="V793" s="4"/>
      <c r="W793" s="4"/>
      <c r="X793" s="4"/>
      <c r="Y793" s="4"/>
    </row>
    <row r="794">
      <c r="A794" s="5"/>
      <c r="B794" s="9"/>
      <c r="C794" s="5"/>
      <c r="D794" s="9"/>
      <c r="E794" s="9"/>
      <c r="F794" s="9"/>
      <c r="G794" s="9"/>
      <c r="H794" s="9"/>
      <c r="I794" s="9"/>
      <c r="J794" s="5"/>
      <c r="K794" s="4"/>
      <c r="L794" s="10"/>
      <c r="M794" s="10"/>
      <c r="N794" s="10"/>
      <c r="O794" s="10"/>
      <c r="P794" s="10"/>
      <c r="Q794" s="11"/>
      <c r="R794" s="9"/>
      <c r="S794" s="12"/>
      <c r="T794" s="5"/>
      <c r="U794" s="5"/>
      <c r="V794" s="4"/>
      <c r="W794" s="4"/>
      <c r="X794" s="4"/>
      <c r="Y794" s="4"/>
    </row>
    <row r="795">
      <c r="A795" s="5"/>
      <c r="B795" s="9"/>
      <c r="C795" s="5"/>
      <c r="D795" s="9"/>
      <c r="E795" s="9"/>
      <c r="F795" s="9"/>
      <c r="G795" s="9"/>
      <c r="H795" s="9"/>
      <c r="I795" s="9"/>
      <c r="J795" s="5"/>
      <c r="K795" s="4"/>
      <c r="L795" s="10"/>
      <c r="M795" s="10"/>
      <c r="N795" s="10"/>
      <c r="O795" s="10"/>
      <c r="P795" s="10"/>
      <c r="Q795" s="11"/>
      <c r="R795" s="9"/>
      <c r="S795" s="12"/>
      <c r="T795" s="5"/>
      <c r="U795" s="5"/>
      <c r="V795" s="4"/>
      <c r="W795" s="4"/>
      <c r="X795" s="4"/>
      <c r="Y795" s="4"/>
    </row>
    <row r="796">
      <c r="A796" s="5"/>
      <c r="B796" s="9"/>
      <c r="C796" s="5"/>
      <c r="D796" s="9"/>
      <c r="E796" s="9"/>
      <c r="F796" s="9"/>
      <c r="G796" s="9"/>
      <c r="H796" s="9"/>
      <c r="I796" s="9"/>
      <c r="J796" s="5"/>
      <c r="K796" s="4"/>
      <c r="L796" s="10"/>
      <c r="M796" s="10"/>
      <c r="N796" s="10"/>
      <c r="O796" s="10"/>
      <c r="P796" s="10"/>
      <c r="Q796" s="11"/>
      <c r="R796" s="9"/>
      <c r="S796" s="12"/>
      <c r="T796" s="5"/>
      <c r="U796" s="5"/>
      <c r="V796" s="4"/>
      <c r="W796" s="4"/>
      <c r="X796" s="4"/>
      <c r="Y796" s="4"/>
    </row>
    <row r="797">
      <c r="A797" s="5"/>
      <c r="B797" s="9"/>
      <c r="C797" s="5"/>
      <c r="D797" s="9"/>
      <c r="E797" s="9"/>
      <c r="F797" s="9"/>
      <c r="G797" s="9"/>
      <c r="H797" s="9"/>
      <c r="I797" s="9"/>
      <c r="J797" s="5"/>
      <c r="K797" s="4"/>
      <c r="L797" s="10"/>
      <c r="M797" s="10"/>
      <c r="N797" s="10"/>
      <c r="O797" s="10"/>
      <c r="P797" s="10"/>
      <c r="Q797" s="11"/>
      <c r="R797" s="9"/>
      <c r="S797" s="12"/>
      <c r="T797" s="5"/>
      <c r="U797" s="5"/>
      <c r="V797" s="4"/>
      <c r="W797" s="4"/>
      <c r="X797" s="4"/>
      <c r="Y797" s="4"/>
    </row>
    <row r="798">
      <c r="A798" s="5"/>
      <c r="B798" s="9"/>
      <c r="C798" s="5"/>
      <c r="D798" s="9"/>
      <c r="E798" s="9"/>
      <c r="F798" s="9"/>
      <c r="G798" s="9"/>
      <c r="H798" s="9"/>
      <c r="I798" s="9"/>
      <c r="J798" s="5"/>
      <c r="K798" s="4"/>
      <c r="L798" s="10"/>
      <c r="M798" s="10"/>
      <c r="N798" s="10"/>
      <c r="O798" s="10"/>
      <c r="P798" s="10"/>
      <c r="Q798" s="11"/>
      <c r="R798" s="9"/>
      <c r="S798" s="12"/>
      <c r="T798" s="5"/>
      <c r="U798" s="5"/>
      <c r="V798" s="4"/>
      <c r="W798" s="4"/>
      <c r="X798" s="4"/>
      <c r="Y798" s="4"/>
    </row>
    <row r="799">
      <c r="A799" s="5"/>
      <c r="B799" s="9"/>
      <c r="C799" s="5"/>
      <c r="D799" s="9"/>
      <c r="E799" s="9"/>
      <c r="F799" s="9"/>
      <c r="G799" s="9"/>
      <c r="H799" s="9"/>
      <c r="I799" s="9"/>
      <c r="J799" s="5"/>
      <c r="K799" s="4"/>
      <c r="L799" s="10"/>
      <c r="M799" s="10"/>
      <c r="N799" s="10"/>
      <c r="O799" s="10"/>
      <c r="P799" s="10"/>
      <c r="Q799" s="11"/>
      <c r="R799" s="9"/>
      <c r="S799" s="12"/>
      <c r="T799" s="5"/>
      <c r="U799" s="5"/>
      <c r="V799" s="4"/>
      <c r="W799" s="4"/>
      <c r="X799" s="4"/>
      <c r="Y799" s="4"/>
    </row>
    <row r="800">
      <c r="A800" s="5"/>
      <c r="B800" s="9"/>
      <c r="C800" s="5"/>
      <c r="D800" s="9"/>
      <c r="E800" s="9"/>
      <c r="F800" s="9"/>
      <c r="G800" s="9"/>
      <c r="H800" s="9"/>
      <c r="I800" s="9"/>
      <c r="J800" s="5"/>
      <c r="K800" s="4"/>
      <c r="L800" s="10"/>
      <c r="M800" s="10"/>
      <c r="N800" s="10"/>
      <c r="O800" s="10"/>
      <c r="P800" s="10"/>
      <c r="Q800" s="11"/>
      <c r="R800" s="9"/>
      <c r="S800" s="12"/>
      <c r="T800" s="5"/>
      <c r="U800" s="5"/>
      <c r="V800" s="4"/>
      <c r="W800" s="4"/>
      <c r="X800" s="4"/>
      <c r="Y800" s="4"/>
    </row>
    <row r="801">
      <c r="A801" s="5"/>
      <c r="B801" s="9"/>
      <c r="C801" s="5"/>
      <c r="D801" s="9"/>
      <c r="E801" s="9"/>
      <c r="F801" s="9"/>
      <c r="G801" s="9"/>
      <c r="H801" s="9"/>
      <c r="I801" s="9"/>
      <c r="J801" s="5"/>
      <c r="K801" s="4"/>
      <c r="L801" s="10"/>
      <c r="M801" s="10"/>
      <c r="N801" s="10"/>
      <c r="O801" s="10"/>
      <c r="P801" s="10"/>
      <c r="Q801" s="11"/>
      <c r="R801" s="9"/>
      <c r="S801" s="12"/>
      <c r="T801" s="5"/>
      <c r="U801" s="5"/>
      <c r="V801" s="4"/>
      <c r="W801" s="4"/>
      <c r="X801" s="4"/>
      <c r="Y801" s="4"/>
    </row>
    <row r="802">
      <c r="A802" s="5"/>
      <c r="B802" s="9"/>
      <c r="C802" s="5"/>
      <c r="D802" s="9"/>
      <c r="E802" s="9"/>
      <c r="F802" s="9"/>
      <c r="G802" s="9"/>
      <c r="H802" s="9"/>
      <c r="I802" s="9"/>
      <c r="J802" s="5"/>
      <c r="K802" s="4"/>
      <c r="L802" s="10"/>
      <c r="M802" s="10"/>
      <c r="N802" s="10"/>
      <c r="O802" s="10"/>
      <c r="P802" s="10"/>
      <c r="Q802" s="11"/>
      <c r="R802" s="9"/>
      <c r="S802" s="12"/>
      <c r="T802" s="5"/>
      <c r="U802" s="5"/>
      <c r="V802" s="4"/>
      <c r="W802" s="4"/>
      <c r="X802" s="4"/>
      <c r="Y802" s="4"/>
    </row>
    <row r="803">
      <c r="A803" s="5"/>
      <c r="B803" s="9"/>
      <c r="C803" s="5"/>
      <c r="D803" s="9"/>
      <c r="E803" s="9"/>
      <c r="F803" s="9"/>
      <c r="G803" s="9"/>
      <c r="H803" s="9"/>
      <c r="I803" s="9"/>
      <c r="J803" s="5"/>
      <c r="K803" s="4"/>
      <c r="L803" s="10"/>
      <c r="M803" s="10"/>
      <c r="N803" s="10"/>
      <c r="O803" s="10"/>
      <c r="P803" s="10"/>
      <c r="Q803" s="11"/>
      <c r="R803" s="9"/>
      <c r="S803" s="12"/>
      <c r="T803" s="5"/>
      <c r="U803" s="5"/>
      <c r="V803" s="4"/>
      <c r="W803" s="4"/>
      <c r="X803" s="4"/>
      <c r="Y803" s="4"/>
    </row>
    <row r="804">
      <c r="A804" s="5"/>
      <c r="B804" s="9"/>
      <c r="C804" s="5"/>
      <c r="D804" s="9"/>
      <c r="E804" s="9"/>
      <c r="F804" s="9"/>
      <c r="G804" s="9"/>
      <c r="H804" s="9"/>
      <c r="I804" s="9"/>
      <c r="J804" s="5"/>
      <c r="K804" s="4"/>
      <c r="L804" s="10"/>
      <c r="M804" s="10"/>
      <c r="N804" s="10"/>
      <c r="O804" s="10"/>
      <c r="P804" s="10"/>
      <c r="Q804" s="11"/>
      <c r="R804" s="9"/>
      <c r="S804" s="12"/>
      <c r="T804" s="5"/>
      <c r="U804" s="5"/>
      <c r="V804" s="4"/>
      <c r="W804" s="4"/>
      <c r="X804" s="4"/>
      <c r="Y804" s="4"/>
    </row>
    <row r="805">
      <c r="A805" s="5"/>
      <c r="B805" s="9"/>
      <c r="C805" s="5"/>
      <c r="D805" s="9"/>
      <c r="E805" s="9"/>
      <c r="F805" s="9"/>
      <c r="G805" s="9"/>
      <c r="H805" s="9"/>
      <c r="I805" s="9"/>
      <c r="J805" s="5"/>
      <c r="K805" s="4"/>
      <c r="L805" s="10"/>
      <c r="M805" s="10"/>
      <c r="N805" s="10"/>
      <c r="O805" s="10"/>
      <c r="P805" s="10"/>
      <c r="Q805" s="11"/>
      <c r="R805" s="9"/>
      <c r="S805" s="12"/>
      <c r="T805" s="5"/>
      <c r="U805" s="5"/>
      <c r="V805" s="4"/>
      <c r="W805" s="4"/>
      <c r="X805" s="4"/>
      <c r="Y805" s="4"/>
    </row>
    <row r="806">
      <c r="A806" s="5"/>
      <c r="B806" s="9"/>
      <c r="C806" s="5"/>
      <c r="D806" s="9"/>
      <c r="E806" s="9"/>
      <c r="F806" s="9"/>
      <c r="G806" s="9"/>
      <c r="H806" s="9"/>
      <c r="I806" s="9"/>
      <c r="J806" s="5"/>
      <c r="K806" s="4"/>
      <c r="L806" s="10"/>
      <c r="M806" s="10"/>
      <c r="N806" s="10"/>
      <c r="O806" s="10"/>
      <c r="P806" s="10"/>
      <c r="Q806" s="11"/>
      <c r="R806" s="9"/>
      <c r="S806" s="12"/>
      <c r="T806" s="5"/>
      <c r="U806" s="5"/>
      <c r="V806" s="4"/>
      <c r="W806" s="4"/>
      <c r="X806" s="4"/>
      <c r="Y806" s="4"/>
    </row>
    <row r="807">
      <c r="A807" s="5"/>
      <c r="B807" s="9"/>
      <c r="C807" s="5"/>
      <c r="D807" s="9"/>
      <c r="E807" s="9"/>
      <c r="F807" s="9"/>
      <c r="G807" s="9"/>
      <c r="H807" s="9"/>
      <c r="I807" s="9"/>
      <c r="J807" s="5"/>
      <c r="K807" s="4"/>
      <c r="L807" s="10"/>
      <c r="M807" s="10"/>
      <c r="N807" s="10"/>
      <c r="O807" s="10"/>
      <c r="P807" s="10"/>
      <c r="Q807" s="11"/>
      <c r="R807" s="9"/>
      <c r="S807" s="12"/>
      <c r="T807" s="5"/>
      <c r="U807" s="5"/>
      <c r="V807" s="4"/>
      <c r="W807" s="4"/>
      <c r="X807" s="4"/>
      <c r="Y807" s="4"/>
    </row>
    <row r="808">
      <c r="A808" s="5"/>
      <c r="B808" s="9"/>
      <c r="C808" s="5"/>
      <c r="D808" s="9"/>
      <c r="E808" s="9"/>
      <c r="F808" s="9"/>
      <c r="G808" s="9"/>
      <c r="H808" s="9"/>
      <c r="I808" s="9"/>
      <c r="J808" s="5"/>
      <c r="K808" s="4"/>
      <c r="L808" s="10"/>
      <c r="M808" s="10"/>
      <c r="N808" s="10"/>
      <c r="O808" s="10"/>
      <c r="P808" s="10"/>
      <c r="Q808" s="11"/>
      <c r="R808" s="9"/>
      <c r="S808" s="12"/>
      <c r="T808" s="5"/>
      <c r="U808" s="5"/>
      <c r="V808" s="4"/>
      <c r="W808" s="4"/>
      <c r="X808" s="4"/>
      <c r="Y808" s="4"/>
    </row>
    <row r="809">
      <c r="A809" s="5"/>
      <c r="B809" s="9"/>
      <c r="C809" s="5"/>
      <c r="D809" s="9"/>
      <c r="E809" s="9"/>
      <c r="F809" s="9"/>
      <c r="G809" s="9"/>
      <c r="H809" s="9"/>
      <c r="I809" s="9"/>
      <c r="J809" s="5"/>
      <c r="K809" s="4"/>
      <c r="L809" s="10"/>
      <c r="M809" s="10"/>
      <c r="N809" s="10"/>
      <c r="O809" s="10"/>
      <c r="P809" s="10"/>
      <c r="Q809" s="11"/>
      <c r="R809" s="9"/>
      <c r="S809" s="12"/>
      <c r="T809" s="5"/>
      <c r="U809" s="5"/>
      <c r="V809" s="4"/>
      <c r="W809" s="4"/>
      <c r="X809" s="4"/>
      <c r="Y809" s="4"/>
    </row>
    <row r="810">
      <c r="A810" s="5"/>
      <c r="B810" s="9"/>
      <c r="C810" s="5"/>
      <c r="D810" s="9"/>
      <c r="E810" s="9"/>
      <c r="F810" s="9"/>
      <c r="G810" s="9"/>
      <c r="H810" s="9"/>
      <c r="I810" s="9"/>
      <c r="J810" s="5"/>
      <c r="K810" s="4"/>
      <c r="L810" s="10"/>
      <c r="M810" s="10"/>
      <c r="N810" s="10"/>
      <c r="O810" s="10"/>
      <c r="P810" s="10"/>
      <c r="Q810" s="11"/>
      <c r="R810" s="9"/>
      <c r="S810" s="12"/>
      <c r="T810" s="5"/>
      <c r="U810" s="5"/>
      <c r="V810" s="4"/>
      <c r="W810" s="4"/>
      <c r="X810" s="4"/>
      <c r="Y810" s="4"/>
    </row>
    <row r="811">
      <c r="A811" s="5"/>
      <c r="B811" s="9"/>
      <c r="C811" s="5"/>
      <c r="D811" s="9"/>
      <c r="E811" s="9"/>
      <c r="F811" s="9"/>
      <c r="G811" s="9"/>
      <c r="H811" s="9"/>
      <c r="I811" s="9"/>
      <c r="J811" s="5"/>
      <c r="K811" s="4"/>
      <c r="L811" s="10"/>
      <c r="M811" s="10"/>
      <c r="N811" s="10"/>
      <c r="O811" s="10"/>
      <c r="P811" s="10"/>
      <c r="Q811" s="11"/>
      <c r="R811" s="9"/>
      <c r="S811" s="12"/>
      <c r="T811" s="5"/>
      <c r="U811" s="5"/>
      <c r="V811" s="4"/>
      <c r="W811" s="4"/>
      <c r="X811" s="4"/>
      <c r="Y811" s="4"/>
    </row>
    <row r="812">
      <c r="A812" s="5"/>
      <c r="B812" s="9"/>
      <c r="C812" s="5"/>
      <c r="D812" s="9"/>
      <c r="E812" s="9"/>
      <c r="F812" s="9"/>
      <c r="G812" s="9"/>
      <c r="H812" s="9"/>
      <c r="I812" s="9"/>
      <c r="J812" s="5"/>
      <c r="K812" s="4"/>
      <c r="L812" s="10"/>
      <c r="M812" s="10"/>
      <c r="N812" s="10"/>
      <c r="O812" s="10"/>
      <c r="P812" s="10"/>
      <c r="Q812" s="11"/>
      <c r="R812" s="9"/>
      <c r="S812" s="12"/>
      <c r="T812" s="5"/>
      <c r="U812" s="5"/>
      <c r="V812" s="4"/>
      <c r="W812" s="4"/>
      <c r="X812" s="4"/>
      <c r="Y812" s="4"/>
    </row>
    <row r="813">
      <c r="A813" s="5"/>
      <c r="B813" s="9"/>
      <c r="C813" s="5"/>
      <c r="D813" s="9"/>
      <c r="E813" s="9"/>
      <c r="F813" s="9"/>
      <c r="G813" s="9"/>
      <c r="H813" s="9"/>
      <c r="I813" s="9"/>
      <c r="J813" s="5"/>
      <c r="K813" s="4"/>
      <c r="L813" s="10"/>
      <c r="M813" s="10"/>
      <c r="N813" s="10"/>
      <c r="O813" s="10"/>
      <c r="P813" s="10"/>
      <c r="Q813" s="11"/>
      <c r="R813" s="9"/>
      <c r="S813" s="12"/>
      <c r="T813" s="5"/>
      <c r="U813" s="5"/>
      <c r="V813" s="4"/>
      <c r="W813" s="4"/>
      <c r="X813" s="4"/>
      <c r="Y813" s="4"/>
    </row>
    <row r="814">
      <c r="A814" s="5"/>
      <c r="B814" s="9"/>
      <c r="C814" s="5"/>
      <c r="D814" s="9"/>
      <c r="E814" s="9"/>
      <c r="F814" s="9"/>
      <c r="G814" s="9"/>
      <c r="H814" s="9"/>
      <c r="I814" s="9"/>
      <c r="J814" s="5"/>
      <c r="K814" s="4"/>
      <c r="L814" s="10"/>
      <c r="M814" s="10"/>
      <c r="N814" s="10"/>
      <c r="O814" s="10"/>
      <c r="P814" s="10"/>
      <c r="Q814" s="11"/>
      <c r="R814" s="9"/>
      <c r="S814" s="12"/>
      <c r="T814" s="5"/>
      <c r="U814" s="5"/>
      <c r="V814" s="4"/>
      <c r="W814" s="4"/>
      <c r="X814" s="4"/>
      <c r="Y814" s="4"/>
    </row>
    <row r="815">
      <c r="A815" s="5"/>
      <c r="B815" s="9"/>
      <c r="C815" s="5"/>
      <c r="D815" s="9"/>
      <c r="E815" s="9"/>
      <c r="F815" s="9"/>
      <c r="G815" s="9"/>
      <c r="H815" s="9"/>
      <c r="I815" s="9"/>
      <c r="J815" s="5"/>
      <c r="K815" s="4"/>
      <c r="L815" s="10"/>
      <c r="M815" s="10"/>
      <c r="N815" s="10"/>
      <c r="O815" s="10"/>
      <c r="P815" s="10"/>
      <c r="Q815" s="11"/>
      <c r="R815" s="9"/>
      <c r="S815" s="12"/>
      <c r="T815" s="5"/>
      <c r="U815" s="5"/>
      <c r="V815" s="4"/>
      <c r="W815" s="4"/>
      <c r="X815" s="4"/>
      <c r="Y815" s="4"/>
    </row>
    <row r="816">
      <c r="A816" s="5"/>
      <c r="B816" s="9"/>
      <c r="C816" s="5"/>
      <c r="D816" s="9"/>
      <c r="E816" s="9"/>
      <c r="F816" s="9"/>
      <c r="G816" s="9"/>
      <c r="H816" s="9"/>
      <c r="I816" s="9"/>
      <c r="J816" s="5"/>
      <c r="K816" s="4"/>
      <c r="L816" s="10"/>
      <c r="M816" s="10"/>
      <c r="N816" s="10"/>
      <c r="O816" s="10"/>
      <c r="P816" s="10"/>
      <c r="Q816" s="11"/>
      <c r="R816" s="9"/>
      <c r="S816" s="12"/>
      <c r="T816" s="5"/>
      <c r="U816" s="5"/>
      <c r="V816" s="4"/>
      <c r="W816" s="4"/>
      <c r="X816" s="4"/>
      <c r="Y816" s="4"/>
    </row>
    <row r="817">
      <c r="A817" s="5"/>
      <c r="B817" s="9"/>
      <c r="C817" s="5"/>
      <c r="D817" s="9"/>
      <c r="E817" s="9"/>
      <c r="F817" s="9"/>
      <c r="G817" s="9"/>
      <c r="H817" s="9"/>
      <c r="I817" s="9"/>
      <c r="J817" s="5"/>
      <c r="K817" s="4"/>
      <c r="L817" s="10"/>
      <c r="M817" s="10"/>
      <c r="N817" s="10"/>
      <c r="O817" s="10"/>
      <c r="P817" s="10"/>
      <c r="Q817" s="11"/>
      <c r="R817" s="9"/>
      <c r="S817" s="12"/>
      <c r="T817" s="5"/>
      <c r="U817" s="5"/>
      <c r="V817" s="4"/>
      <c r="W817" s="4"/>
      <c r="X817" s="4"/>
      <c r="Y817" s="4"/>
    </row>
    <row r="818">
      <c r="A818" s="5"/>
      <c r="B818" s="9"/>
      <c r="C818" s="5"/>
      <c r="D818" s="9"/>
      <c r="E818" s="9"/>
      <c r="F818" s="9"/>
      <c r="G818" s="9"/>
      <c r="H818" s="9"/>
      <c r="I818" s="9"/>
      <c r="J818" s="5"/>
      <c r="K818" s="4"/>
      <c r="L818" s="10"/>
      <c r="M818" s="10"/>
      <c r="N818" s="10"/>
      <c r="O818" s="10"/>
      <c r="P818" s="10"/>
      <c r="Q818" s="11"/>
      <c r="R818" s="9"/>
      <c r="S818" s="12"/>
      <c r="T818" s="5"/>
      <c r="U818" s="5"/>
      <c r="V818" s="4"/>
      <c r="W818" s="4"/>
      <c r="X818" s="4"/>
      <c r="Y818" s="4"/>
    </row>
    <row r="819">
      <c r="A819" s="5"/>
      <c r="B819" s="9"/>
      <c r="C819" s="5"/>
      <c r="D819" s="9"/>
      <c r="E819" s="9"/>
      <c r="F819" s="9"/>
      <c r="G819" s="9"/>
      <c r="H819" s="9"/>
      <c r="I819" s="9"/>
      <c r="J819" s="5"/>
      <c r="K819" s="4"/>
      <c r="L819" s="10"/>
      <c r="M819" s="10"/>
      <c r="N819" s="10"/>
      <c r="O819" s="10"/>
      <c r="P819" s="10"/>
      <c r="Q819" s="11"/>
      <c r="R819" s="9"/>
      <c r="S819" s="12"/>
      <c r="T819" s="5"/>
      <c r="U819" s="5"/>
      <c r="V819" s="4"/>
      <c r="W819" s="4"/>
      <c r="X819" s="4"/>
      <c r="Y819" s="4"/>
    </row>
    <row r="820">
      <c r="A820" s="5"/>
      <c r="B820" s="9"/>
      <c r="C820" s="5"/>
      <c r="D820" s="9"/>
      <c r="E820" s="9"/>
      <c r="F820" s="9"/>
      <c r="G820" s="9"/>
      <c r="H820" s="9"/>
      <c r="I820" s="9"/>
      <c r="J820" s="5"/>
      <c r="K820" s="4"/>
      <c r="L820" s="10"/>
      <c r="M820" s="10"/>
      <c r="N820" s="10"/>
      <c r="O820" s="10"/>
      <c r="P820" s="10"/>
      <c r="Q820" s="11"/>
      <c r="R820" s="9"/>
      <c r="S820" s="12"/>
      <c r="T820" s="5"/>
      <c r="U820" s="5"/>
      <c r="V820" s="4"/>
      <c r="W820" s="4"/>
      <c r="X820" s="4"/>
      <c r="Y820" s="4"/>
    </row>
    <row r="821">
      <c r="A821" s="5"/>
      <c r="B821" s="9"/>
      <c r="C821" s="5"/>
      <c r="D821" s="9"/>
      <c r="E821" s="9"/>
      <c r="F821" s="9"/>
      <c r="G821" s="9"/>
      <c r="H821" s="9"/>
      <c r="I821" s="9"/>
      <c r="J821" s="5"/>
      <c r="K821" s="4"/>
      <c r="L821" s="10"/>
      <c r="M821" s="10"/>
      <c r="N821" s="10"/>
      <c r="O821" s="10"/>
      <c r="P821" s="10"/>
      <c r="Q821" s="11"/>
      <c r="R821" s="9"/>
      <c r="S821" s="12"/>
      <c r="T821" s="5"/>
      <c r="U821" s="5"/>
      <c r="V821" s="4"/>
      <c r="W821" s="4"/>
      <c r="X821" s="4"/>
      <c r="Y821" s="4"/>
    </row>
    <row r="822">
      <c r="A822" s="5"/>
      <c r="B822" s="9"/>
      <c r="C822" s="5"/>
      <c r="D822" s="9"/>
      <c r="E822" s="9"/>
      <c r="F822" s="9"/>
      <c r="G822" s="9"/>
      <c r="H822" s="9"/>
      <c r="I822" s="9"/>
      <c r="J822" s="5"/>
      <c r="K822" s="4"/>
      <c r="L822" s="10"/>
      <c r="M822" s="10"/>
      <c r="N822" s="10"/>
      <c r="O822" s="10"/>
      <c r="P822" s="10"/>
      <c r="Q822" s="11"/>
      <c r="R822" s="9"/>
      <c r="S822" s="12"/>
      <c r="T822" s="5"/>
      <c r="U822" s="5"/>
      <c r="V822" s="4"/>
      <c r="W822" s="4"/>
      <c r="X822" s="4"/>
      <c r="Y822" s="4"/>
    </row>
    <row r="823">
      <c r="A823" s="5"/>
      <c r="B823" s="9"/>
      <c r="C823" s="5"/>
      <c r="D823" s="9"/>
      <c r="E823" s="9"/>
      <c r="F823" s="9"/>
      <c r="G823" s="9"/>
      <c r="H823" s="9"/>
      <c r="I823" s="9"/>
      <c r="J823" s="5"/>
      <c r="K823" s="4"/>
      <c r="L823" s="10"/>
      <c r="M823" s="10"/>
      <c r="N823" s="10"/>
      <c r="O823" s="10"/>
      <c r="P823" s="10"/>
      <c r="Q823" s="11"/>
      <c r="R823" s="9"/>
      <c r="S823" s="12"/>
      <c r="T823" s="5"/>
      <c r="U823" s="5"/>
      <c r="V823" s="4"/>
      <c r="W823" s="4"/>
      <c r="X823" s="4"/>
      <c r="Y823" s="4"/>
    </row>
    <row r="824">
      <c r="A824" s="5"/>
      <c r="B824" s="9"/>
      <c r="C824" s="5"/>
      <c r="D824" s="9"/>
      <c r="E824" s="9"/>
      <c r="F824" s="9"/>
      <c r="G824" s="9"/>
      <c r="H824" s="9"/>
      <c r="I824" s="9"/>
      <c r="J824" s="5"/>
      <c r="K824" s="4"/>
      <c r="L824" s="10"/>
      <c r="M824" s="10"/>
      <c r="N824" s="10"/>
      <c r="O824" s="10"/>
      <c r="P824" s="10"/>
      <c r="Q824" s="11"/>
      <c r="R824" s="9"/>
      <c r="S824" s="12"/>
      <c r="T824" s="5"/>
      <c r="U824" s="5"/>
      <c r="V824" s="4"/>
      <c r="W824" s="4"/>
      <c r="X824" s="4"/>
      <c r="Y824" s="4"/>
    </row>
    <row r="825">
      <c r="A825" s="5"/>
      <c r="B825" s="9"/>
      <c r="C825" s="5"/>
      <c r="D825" s="9"/>
      <c r="E825" s="9"/>
      <c r="F825" s="9"/>
      <c r="G825" s="9"/>
      <c r="H825" s="9"/>
      <c r="I825" s="9"/>
      <c r="J825" s="5"/>
      <c r="K825" s="4"/>
      <c r="L825" s="10"/>
      <c r="M825" s="10"/>
      <c r="N825" s="10"/>
      <c r="O825" s="10"/>
      <c r="P825" s="10"/>
      <c r="Q825" s="11"/>
      <c r="R825" s="9"/>
      <c r="S825" s="12"/>
      <c r="T825" s="5"/>
      <c r="U825" s="5"/>
      <c r="V825" s="4"/>
      <c r="W825" s="4"/>
      <c r="X825" s="4"/>
      <c r="Y825" s="4"/>
    </row>
    <row r="826">
      <c r="A826" s="5"/>
      <c r="B826" s="9"/>
      <c r="C826" s="5"/>
      <c r="D826" s="9"/>
      <c r="E826" s="9"/>
      <c r="F826" s="9"/>
      <c r="G826" s="9"/>
      <c r="H826" s="9"/>
      <c r="I826" s="9"/>
      <c r="J826" s="5"/>
      <c r="K826" s="4"/>
      <c r="L826" s="10"/>
      <c r="M826" s="10"/>
      <c r="N826" s="10"/>
      <c r="O826" s="10"/>
      <c r="P826" s="10"/>
      <c r="Q826" s="11"/>
      <c r="R826" s="9"/>
      <c r="S826" s="12"/>
      <c r="T826" s="5"/>
      <c r="U826" s="5"/>
      <c r="V826" s="4"/>
      <c r="W826" s="4"/>
      <c r="X826" s="4"/>
      <c r="Y826" s="4"/>
    </row>
    <row r="827">
      <c r="A827" s="5"/>
      <c r="B827" s="9"/>
      <c r="C827" s="5"/>
      <c r="D827" s="9"/>
      <c r="E827" s="9"/>
      <c r="F827" s="9"/>
      <c r="G827" s="9"/>
      <c r="H827" s="9"/>
      <c r="I827" s="9"/>
      <c r="J827" s="5"/>
      <c r="K827" s="4"/>
      <c r="L827" s="10"/>
      <c r="M827" s="10"/>
      <c r="N827" s="10"/>
      <c r="O827" s="10"/>
      <c r="P827" s="10"/>
      <c r="Q827" s="11"/>
      <c r="R827" s="9"/>
      <c r="S827" s="12"/>
      <c r="T827" s="5"/>
      <c r="U827" s="5"/>
      <c r="V827" s="4"/>
      <c r="W827" s="4"/>
      <c r="X827" s="4"/>
      <c r="Y827" s="4"/>
    </row>
    <row r="828">
      <c r="A828" s="5"/>
      <c r="B828" s="9"/>
      <c r="C828" s="5"/>
      <c r="D828" s="9"/>
      <c r="E828" s="9"/>
      <c r="F828" s="9"/>
      <c r="G828" s="9"/>
      <c r="H828" s="9"/>
      <c r="I828" s="9"/>
      <c r="J828" s="5"/>
      <c r="K828" s="4"/>
      <c r="L828" s="10"/>
      <c r="M828" s="10"/>
      <c r="N828" s="10"/>
      <c r="O828" s="10"/>
      <c r="P828" s="10"/>
      <c r="Q828" s="11"/>
      <c r="R828" s="9"/>
      <c r="S828" s="12"/>
      <c r="T828" s="5"/>
      <c r="U828" s="5"/>
      <c r="V828" s="4"/>
      <c r="W828" s="4"/>
      <c r="X828" s="4"/>
      <c r="Y828" s="4"/>
    </row>
    <row r="829">
      <c r="A829" s="5"/>
      <c r="B829" s="9"/>
      <c r="C829" s="5"/>
      <c r="D829" s="9"/>
      <c r="E829" s="9"/>
      <c r="F829" s="9"/>
      <c r="G829" s="9"/>
      <c r="H829" s="9"/>
      <c r="I829" s="9"/>
      <c r="J829" s="5"/>
      <c r="K829" s="4"/>
      <c r="L829" s="10"/>
      <c r="M829" s="10"/>
      <c r="N829" s="10"/>
      <c r="O829" s="10"/>
      <c r="P829" s="10"/>
      <c r="Q829" s="11"/>
      <c r="R829" s="9"/>
      <c r="S829" s="12"/>
      <c r="T829" s="5"/>
      <c r="U829" s="5"/>
      <c r="V829" s="4"/>
      <c r="W829" s="4"/>
      <c r="X829" s="4"/>
      <c r="Y829" s="4"/>
    </row>
    <row r="830">
      <c r="A830" s="5"/>
      <c r="B830" s="9"/>
      <c r="C830" s="5"/>
      <c r="D830" s="9"/>
      <c r="E830" s="9"/>
      <c r="F830" s="9"/>
      <c r="G830" s="9"/>
      <c r="H830" s="9"/>
      <c r="I830" s="9"/>
      <c r="J830" s="5"/>
      <c r="K830" s="4"/>
      <c r="L830" s="10"/>
      <c r="M830" s="10"/>
      <c r="N830" s="10"/>
      <c r="O830" s="10"/>
      <c r="P830" s="10"/>
      <c r="Q830" s="11"/>
      <c r="R830" s="9"/>
      <c r="S830" s="12"/>
      <c r="T830" s="5"/>
      <c r="U830" s="5"/>
      <c r="V830" s="4"/>
      <c r="W830" s="4"/>
      <c r="X830" s="4"/>
      <c r="Y830" s="4"/>
    </row>
    <row r="831">
      <c r="A831" s="5"/>
      <c r="B831" s="9"/>
      <c r="C831" s="5"/>
      <c r="D831" s="9"/>
      <c r="E831" s="9"/>
      <c r="F831" s="9"/>
      <c r="G831" s="9"/>
      <c r="H831" s="9"/>
      <c r="I831" s="9"/>
      <c r="J831" s="5"/>
      <c r="K831" s="4"/>
      <c r="L831" s="10"/>
      <c r="M831" s="10"/>
      <c r="N831" s="10"/>
      <c r="O831" s="10"/>
      <c r="P831" s="10"/>
      <c r="Q831" s="11"/>
      <c r="R831" s="9"/>
      <c r="S831" s="12"/>
      <c r="T831" s="5"/>
      <c r="U831" s="5"/>
      <c r="V831" s="4"/>
      <c r="W831" s="4"/>
      <c r="X831" s="4"/>
      <c r="Y831" s="4"/>
    </row>
    <row r="832">
      <c r="A832" s="5"/>
      <c r="B832" s="9"/>
      <c r="C832" s="5"/>
      <c r="D832" s="9"/>
      <c r="E832" s="9"/>
      <c r="F832" s="9"/>
      <c r="G832" s="9"/>
      <c r="H832" s="9"/>
      <c r="I832" s="9"/>
      <c r="J832" s="5"/>
      <c r="K832" s="4"/>
      <c r="L832" s="10"/>
      <c r="M832" s="10"/>
      <c r="N832" s="10"/>
      <c r="O832" s="10"/>
      <c r="P832" s="10"/>
      <c r="Q832" s="11"/>
      <c r="R832" s="9"/>
      <c r="S832" s="12"/>
      <c r="T832" s="5"/>
      <c r="U832" s="5"/>
      <c r="V832" s="4"/>
      <c r="W832" s="4"/>
      <c r="X832" s="4"/>
      <c r="Y832" s="4"/>
    </row>
    <row r="833">
      <c r="A833" s="5"/>
      <c r="B833" s="9"/>
      <c r="C833" s="5"/>
      <c r="D833" s="9"/>
      <c r="E833" s="9"/>
      <c r="F833" s="9"/>
      <c r="G833" s="9"/>
      <c r="H833" s="9"/>
      <c r="I833" s="9"/>
      <c r="J833" s="5"/>
      <c r="K833" s="4"/>
      <c r="L833" s="10"/>
      <c r="M833" s="10"/>
      <c r="N833" s="10"/>
      <c r="O833" s="10"/>
      <c r="P833" s="10"/>
      <c r="Q833" s="11"/>
      <c r="R833" s="9"/>
      <c r="S833" s="12"/>
      <c r="T833" s="5"/>
      <c r="U833" s="5"/>
      <c r="V833" s="4"/>
      <c r="W833" s="4"/>
      <c r="X833" s="4"/>
      <c r="Y833" s="4"/>
    </row>
    <row r="834">
      <c r="A834" s="5"/>
      <c r="B834" s="9"/>
      <c r="C834" s="5"/>
      <c r="D834" s="9"/>
      <c r="E834" s="9"/>
      <c r="F834" s="9"/>
      <c r="G834" s="9"/>
      <c r="H834" s="9"/>
      <c r="I834" s="9"/>
      <c r="J834" s="5"/>
      <c r="K834" s="4"/>
      <c r="L834" s="10"/>
      <c r="M834" s="10"/>
      <c r="N834" s="10"/>
      <c r="O834" s="10"/>
      <c r="P834" s="10"/>
      <c r="Q834" s="11"/>
      <c r="R834" s="9"/>
      <c r="S834" s="12"/>
      <c r="T834" s="5"/>
      <c r="U834" s="5"/>
      <c r="V834" s="4"/>
      <c r="W834" s="4"/>
      <c r="X834" s="4"/>
      <c r="Y834" s="4"/>
    </row>
    <row r="835">
      <c r="A835" s="5"/>
      <c r="B835" s="9"/>
      <c r="C835" s="5"/>
      <c r="D835" s="9"/>
      <c r="E835" s="9"/>
      <c r="F835" s="9"/>
      <c r="G835" s="9"/>
      <c r="H835" s="9"/>
      <c r="I835" s="9"/>
      <c r="J835" s="5"/>
      <c r="K835" s="4"/>
      <c r="L835" s="10"/>
      <c r="M835" s="10"/>
      <c r="N835" s="10"/>
      <c r="O835" s="10"/>
      <c r="P835" s="10"/>
      <c r="Q835" s="11"/>
      <c r="R835" s="9"/>
      <c r="S835" s="12"/>
      <c r="T835" s="5"/>
      <c r="U835" s="5"/>
      <c r="V835" s="4"/>
      <c r="W835" s="4"/>
      <c r="X835" s="4"/>
      <c r="Y835" s="4"/>
    </row>
    <row r="836">
      <c r="A836" s="5"/>
      <c r="B836" s="9"/>
      <c r="C836" s="5"/>
      <c r="D836" s="9"/>
      <c r="E836" s="9"/>
      <c r="F836" s="9"/>
      <c r="G836" s="9"/>
      <c r="H836" s="9"/>
      <c r="I836" s="9"/>
      <c r="J836" s="5"/>
      <c r="K836" s="4"/>
      <c r="L836" s="10"/>
      <c r="M836" s="10"/>
      <c r="N836" s="10"/>
      <c r="O836" s="10"/>
      <c r="P836" s="10"/>
      <c r="Q836" s="11"/>
      <c r="R836" s="9"/>
      <c r="S836" s="12"/>
      <c r="T836" s="5"/>
      <c r="U836" s="5"/>
      <c r="V836" s="4"/>
      <c r="W836" s="4"/>
      <c r="X836" s="4"/>
      <c r="Y836" s="4"/>
    </row>
    <row r="837">
      <c r="A837" s="5"/>
      <c r="B837" s="9"/>
      <c r="C837" s="5"/>
      <c r="D837" s="9"/>
      <c r="E837" s="9"/>
      <c r="F837" s="9"/>
      <c r="G837" s="9"/>
      <c r="H837" s="9"/>
      <c r="I837" s="9"/>
      <c r="J837" s="5"/>
      <c r="K837" s="4"/>
      <c r="L837" s="10"/>
      <c r="M837" s="10"/>
      <c r="N837" s="10"/>
      <c r="O837" s="10"/>
      <c r="P837" s="10"/>
      <c r="Q837" s="11"/>
      <c r="R837" s="9"/>
      <c r="S837" s="12"/>
      <c r="T837" s="5"/>
      <c r="U837" s="5"/>
      <c r="V837" s="4"/>
      <c r="W837" s="4"/>
      <c r="X837" s="4"/>
      <c r="Y837" s="4"/>
    </row>
    <row r="838">
      <c r="A838" s="5"/>
      <c r="B838" s="9"/>
      <c r="C838" s="5"/>
      <c r="D838" s="9"/>
      <c r="E838" s="9"/>
      <c r="F838" s="9"/>
      <c r="G838" s="9"/>
      <c r="H838" s="9"/>
      <c r="I838" s="9"/>
      <c r="J838" s="5"/>
      <c r="K838" s="4"/>
      <c r="L838" s="10"/>
      <c r="M838" s="10"/>
      <c r="N838" s="10"/>
      <c r="O838" s="10"/>
      <c r="P838" s="10"/>
      <c r="Q838" s="11"/>
      <c r="R838" s="9"/>
      <c r="S838" s="12"/>
      <c r="T838" s="5"/>
      <c r="U838" s="5"/>
      <c r="V838" s="4"/>
      <c r="W838" s="4"/>
      <c r="X838" s="4"/>
      <c r="Y838" s="4"/>
    </row>
    <row r="839">
      <c r="A839" s="5"/>
      <c r="B839" s="9"/>
      <c r="C839" s="5"/>
      <c r="D839" s="9"/>
      <c r="E839" s="9"/>
      <c r="F839" s="9"/>
      <c r="G839" s="9"/>
      <c r="H839" s="9"/>
      <c r="I839" s="9"/>
      <c r="J839" s="5"/>
      <c r="K839" s="4"/>
      <c r="L839" s="10"/>
      <c r="M839" s="10"/>
      <c r="N839" s="10"/>
      <c r="O839" s="10"/>
      <c r="P839" s="10"/>
      <c r="Q839" s="11"/>
      <c r="R839" s="9"/>
      <c r="S839" s="12"/>
      <c r="T839" s="5"/>
      <c r="U839" s="5"/>
      <c r="V839" s="4"/>
      <c r="W839" s="4"/>
      <c r="X839" s="4"/>
      <c r="Y839" s="4"/>
    </row>
    <row r="840">
      <c r="A840" s="5"/>
      <c r="B840" s="9"/>
      <c r="C840" s="5"/>
      <c r="D840" s="9"/>
      <c r="E840" s="9"/>
      <c r="F840" s="9"/>
      <c r="G840" s="9"/>
      <c r="H840" s="9"/>
      <c r="I840" s="9"/>
      <c r="J840" s="5"/>
      <c r="K840" s="4"/>
      <c r="L840" s="10"/>
      <c r="M840" s="10"/>
      <c r="N840" s="10"/>
      <c r="O840" s="10"/>
      <c r="P840" s="10"/>
      <c r="Q840" s="11"/>
      <c r="R840" s="9"/>
      <c r="S840" s="12"/>
      <c r="T840" s="5"/>
      <c r="U840" s="5"/>
      <c r="V840" s="4"/>
      <c r="W840" s="4"/>
      <c r="X840" s="4"/>
      <c r="Y840" s="4"/>
    </row>
    <row r="841">
      <c r="A841" s="5"/>
      <c r="B841" s="9"/>
      <c r="C841" s="5"/>
      <c r="D841" s="9"/>
      <c r="E841" s="9"/>
      <c r="F841" s="9"/>
      <c r="G841" s="9"/>
      <c r="H841" s="9"/>
      <c r="I841" s="9"/>
      <c r="J841" s="5"/>
      <c r="K841" s="4"/>
      <c r="L841" s="10"/>
      <c r="M841" s="10"/>
      <c r="N841" s="10"/>
      <c r="O841" s="10"/>
      <c r="P841" s="10"/>
      <c r="Q841" s="11"/>
      <c r="R841" s="9"/>
      <c r="S841" s="12"/>
      <c r="T841" s="5"/>
      <c r="U841" s="5"/>
      <c r="V841" s="4"/>
      <c r="W841" s="4"/>
      <c r="X841" s="4"/>
      <c r="Y841" s="4"/>
    </row>
    <row r="842">
      <c r="A842" s="5"/>
      <c r="B842" s="9"/>
      <c r="C842" s="5"/>
      <c r="D842" s="9"/>
      <c r="E842" s="9"/>
      <c r="F842" s="9"/>
      <c r="G842" s="9"/>
      <c r="H842" s="9"/>
      <c r="I842" s="9"/>
      <c r="J842" s="5"/>
      <c r="K842" s="4"/>
      <c r="L842" s="10"/>
      <c r="M842" s="10"/>
      <c r="N842" s="10"/>
      <c r="O842" s="10"/>
      <c r="P842" s="10"/>
      <c r="Q842" s="11"/>
      <c r="R842" s="9"/>
      <c r="S842" s="12"/>
      <c r="T842" s="5"/>
      <c r="U842" s="5"/>
      <c r="V842" s="4"/>
      <c r="W842" s="4"/>
      <c r="X842" s="4"/>
      <c r="Y842" s="4"/>
    </row>
    <row r="843">
      <c r="A843" s="5"/>
      <c r="B843" s="9"/>
      <c r="C843" s="5"/>
      <c r="D843" s="9"/>
      <c r="E843" s="9"/>
      <c r="F843" s="9"/>
      <c r="G843" s="9"/>
      <c r="H843" s="9"/>
      <c r="I843" s="9"/>
      <c r="J843" s="5"/>
      <c r="K843" s="4"/>
      <c r="L843" s="10"/>
      <c r="M843" s="10"/>
      <c r="N843" s="10"/>
      <c r="O843" s="10"/>
      <c r="P843" s="10"/>
      <c r="Q843" s="11"/>
      <c r="R843" s="9"/>
      <c r="S843" s="12"/>
      <c r="T843" s="5"/>
      <c r="U843" s="5"/>
      <c r="V843" s="4"/>
      <c r="W843" s="4"/>
      <c r="X843" s="4"/>
      <c r="Y843" s="4"/>
    </row>
    <row r="844">
      <c r="A844" s="5"/>
      <c r="B844" s="9"/>
      <c r="C844" s="5"/>
      <c r="D844" s="9"/>
      <c r="E844" s="9"/>
      <c r="F844" s="9"/>
      <c r="G844" s="9"/>
      <c r="H844" s="9"/>
      <c r="I844" s="9"/>
      <c r="J844" s="5"/>
      <c r="K844" s="4"/>
      <c r="L844" s="10"/>
      <c r="M844" s="10"/>
      <c r="N844" s="10"/>
      <c r="O844" s="10"/>
      <c r="P844" s="10"/>
      <c r="Q844" s="11"/>
      <c r="R844" s="9"/>
      <c r="S844" s="12"/>
      <c r="T844" s="5"/>
      <c r="U844" s="5"/>
      <c r="V844" s="4"/>
      <c r="W844" s="4"/>
      <c r="X844" s="4"/>
      <c r="Y844" s="4"/>
    </row>
    <row r="845">
      <c r="A845" s="5"/>
      <c r="B845" s="9"/>
      <c r="C845" s="5"/>
      <c r="D845" s="9"/>
      <c r="E845" s="9"/>
      <c r="F845" s="9"/>
      <c r="G845" s="9"/>
      <c r="H845" s="9"/>
      <c r="I845" s="9"/>
      <c r="J845" s="5"/>
      <c r="K845" s="4"/>
      <c r="L845" s="10"/>
      <c r="M845" s="10"/>
      <c r="N845" s="10"/>
      <c r="O845" s="10"/>
      <c r="P845" s="10"/>
      <c r="Q845" s="11"/>
      <c r="R845" s="9"/>
      <c r="S845" s="12"/>
      <c r="T845" s="5"/>
      <c r="U845" s="5"/>
      <c r="V845" s="4"/>
      <c r="W845" s="4"/>
      <c r="X845" s="4"/>
      <c r="Y845" s="4"/>
    </row>
    <row r="846">
      <c r="A846" s="5"/>
      <c r="B846" s="9"/>
      <c r="C846" s="5"/>
      <c r="D846" s="9"/>
      <c r="E846" s="9"/>
      <c r="F846" s="9"/>
      <c r="G846" s="9"/>
      <c r="H846" s="9"/>
      <c r="I846" s="9"/>
      <c r="J846" s="5"/>
      <c r="K846" s="4"/>
      <c r="L846" s="10"/>
      <c r="M846" s="10"/>
      <c r="N846" s="10"/>
      <c r="O846" s="10"/>
      <c r="P846" s="10"/>
      <c r="Q846" s="11"/>
      <c r="R846" s="9"/>
      <c r="S846" s="12"/>
      <c r="T846" s="5"/>
      <c r="U846" s="5"/>
      <c r="V846" s="4"/>
      <c r="W846" s="4"/>
      <c r="X846" s="4"/>
      <c r="Y846" s="4"/>
    </row>
    <row r="847">
      <c r="A847" s="5"/>
      <c r="B847" s="9"/>
      <c r="C847" s="5"/>
      <c r="D847" s="9"/>
      <c r="E847" s="9"/>
      <c r="F847" s="9"/>
      <c r="G847" s="9"/>
      <c r="H847" s="9"/>
      <c r="I847" s="9"/>
      <c r="J847" s="5"/>
      <c r="K847" s="4"/>
      <c r="L847" s="10"/>
      <c r="M847" s="10"/>
      <c r="N847" s="10"/>
      <c r="O847" s="10"/>
      <c r="P847" s="10"/>
      <c r="Q847" s="11"/>
      <c r="R847" s="9"/>
      <c r="S847" s="12"/>
      <c r="T847" s="5"/>
      <c r="U847" s="5"/>
      <c r="V847" s="4"/>
      <c r="W847" s="4"/>
      <c r="X847" s="4"/>
      <c r="Y847" s="4"/>
    </row>
    <row r="848">
      <c r="A848" s="5"/>
      <c r="B848" s="9"/>
      <c r="C848" s="5"/>
      <c r="D848" s="9"/>
      <c r="E848" s="9"/>
      <c r="F848" s="9"/>
      <c r="G848" s="9"/>
      <c r="H848" s="9"/>
      <c r="I848" s="9"/>
      <c r="J848" s="5"/>
      <c r="K848" s="4"/>
      <c r="L848" s="10"/>
      <c r="M848" s="10"/>
      <c r="N848" s="10"/>
      <c r="O848" s="10"/>
      <c r="P848" s="10"/>
      <c r="Q848" s="11"/>
      <c r="R848" s="9"/>
      <c r="S848" s="12"/>
      <c r="T848" s="5"/>
      <c r="U848" s="5"/>
      <c r="V848" s="4"/>
      <c r="W848" s="4"/>
      <c r="X848" s="4"/>
      <c r="Y848" s="4"/>
    </row>
    <row r="849">
      <c r="A849" s="5"/>
      <c r="B849" s="9"/>
      <c r="C849" s="5"/>
      <c r="D849" s="9"/>
      <c r="E849" s="9"/>
      <c r="F849" s="9"/>
      <c r="G849" s="9"/>
      <c r="H849" s="9"/>
      <c r="I849" s="9"/>
      <c r="J849" s="5"/>
      <c r="K849" s="4"/>
      <c r="L849" s="10"/>
      <c r="M849" s="10"/>
      <c r="N849" s="10"/>
      <c r="O849" s="10"/>
      <c r="P849" s="10"/>
      <c r="Q849" s="11"/>
      <c r="R849" s="9"/>
      <c r="S849" s="12"/>
      <c r="T849" s="5"/>
      <c r="U849" s="5"/>
      <c r="V849" s="4"/>
      <c r="W849" s="4"/>
      <c r="X849" s="4"/>
      <c r="Y849" s="4"/>
    </row>
    <row r="850">
      <c r="A850" s="5"/>
      <c r="B850" s="9"/>
      <c r="C850" s="5"/>
      <c r="D850" s="9"/>
      <c r="E850" s="9"/>
      <c r="F850" s="9"/>
      <c r="G850" s="9"/>
      <c r="H850" s="9"/>
      <c r="I850" s="9"/>
      <c r="J850" s="5"/>
      <c r="K850" s="4"/>
      <c r="L850" s="10"/>
      <c r="M850" s="10"/>
      <c r="N850" s="10"/>
      <c r="O850" s="10"/>
      <c r="P850" s="10"/>
      <c r="Q850" s="11"/>
      <c r="R850" s="9"/>
      <c r="S850" s="12"/>
      <c r="T850" s="5"/>
      <c r="U850" s="5"/>
      <c r="V850" s="4"/>
      <c r="W850" s="4"/>
      <c r="X850" s="4"/>
      <c r="Y850" s="4"/>
    </row>
    <row r="851">
      <c r="A851" s="5"/>
      <c r="B851" s="9"/>
      <c r="C851" s="5"/>
      <c r="D851" s="9"/>
      <c r="E851" s="9"/>
      <c r="F851" s="9"/>
      <c r="G851" s="9"/>
      <c r="H851" s="9"/>
      <c r="I851" s="9"/>
      <c r="J851" s="5"/>
      <c r="K851" s="4"/>
      <c r="L851" s="10"/>
      <c r="M851" s="10"/>
      <c r="N851" s="10"/>
      <c r="O851" s="10"/>
      <c r="P851" s="10"/>
      <c r="Q851" s="11"/>
      <c r="R851" s="9"/>
      <c r="S851" s="12"/>
      <c r="T851" s="5"/>
      <c r="U851" s="5"/>
      <c r="V851" s="4"/>
      <c r="W851" s="4"/>
      <c r="X851" s="4"/>
      <c r="Y851" s="4"/>
    </row>
    <row r="852">
      <c r="A852" s="5"/>
      <c r="B852" s="9"/>
      <c r="C852" s="5"/>
      <c r="D852" s="9"/>
      <c r="E852" s="9"/>
      <c r="F852" s="9"/>
      <c r="G852" s="9"/>
      <c r="H852" s="9"/>
      <c r="I852" s="9"/>
      <c r="J852" s="5"/>
      <c r="K852" s="4"/>
      <c r="L852" s="10"/>
      <c r="M852" s="10"/>
      <c r="N852" s="10"/>
      <c r="O852" s="10"/>
      <c r="P852" s="10"/>
      <c r="Q852" s="11"/>
      <c r="R852" s="9"/>
      <c r="S852" s="12"/>
      <c r="T852" s="5"/>
      <c r="U852" s="5"/>
      <c r="V852" s="4"/>
      <c r="W852" s="4"/>
      <c r="X852" s="4"/>
      <c r="Y852" s="4"/>
    </row>
    <row r="853">
      <c r="A853" s="5"/>
      <c r="B853" s="9"/>
      <c r="C853" s="5"/>
      <c r="D853" s="9"/>
      <c r="E853" s="9"/>
      <c r="F853" s="9"/>
      <c r="G853" s="9"/>
      <c r="H853" s="9"/>
      <c r="I853" s="9"/>
      <c r="J853" s="5"/>
      <c r="K853" s="4"/>
      <c r="L853" s="10"/>
      <c r="M853" s="10"/>
      <c r="N853" s="10"/>
      <c r="O853" s="10"/>
      <c r="P853" s="10"/>
      <c r="Q853" s="11"/>
      <c r="R853" s="9"/>
      <c r="S853" s="12"/>
      <c r="T853" s="5"/>
      <c r="U853" s="5"/>
      <c r="V853" s="4"/>
      <c r="W853" s="4"/>
      <c r="X853" s="4"/>
      <c r="Y853" s="4"/>
    </row>
    <row r="854">
      <c r="A854" s="5"/>
      <c r="B854" s="9"/>
      <c r="C854" s="5"/>
      <c r="D854" s="9"/>
      <c r="E854" s="9"/>
      <c r="F854" s="9"/>
      <c r="G854" s="9"/>
      <c r="H854" s="9"/>
      <c r="I854" s="9"/>
      <c r="J854" s="5"/>
      <c r="K854" s="4"/>
      <c r="L854" s="10"/>
      <c r="M854" s="10"/>
      <c r="N854" s="10"/>
      <c r="O854" s="10"/>
      <c r="P854" s="10"/>
      <c r="Q854" s="11"/>
      <c r="R854" s="9"/>
      <c r="S854" s="12"/>
      <c r="T854" s="5"/>
      <c r="U854" s="5"/>
      <c r="V854" s="4"/>
      <c r="W854" s="4"/>
      <c r="X854" s="4"/>
      <c r="Y854" s="4"/>
    </row>
    <row r="855">
      <c r="A855" s="5"/>
      <c r="B855" s="9"/>
      <c r="C855" s="5"/>
      <c r="D855" s="9"/>
      <c r="E855" s="9"/>
      <c r="F855" s="9"/>
      <c r="G855" s="9"/>
      <c r="H855" s="9"/>
      <c r="I855" s="9"/>
      <c r="J855" s="5"/>
      <c r="K855" s="4"/>
      <c r="L855" s="10"/>
      <c r="M855" s="10"/>
      <c r="N855" s="10"/>
      <c r="O855" s="10"/>
      <c r="P855" s="10"/>
      <c r="Q855" s="11"/>
      <c r="R855" s="9"/>
      <c r="S855" s="12"/>
      <c r="T855" s="5"/>
      <c r="U855" s="5"/>
      <c r="V855" s="4"/>
      <c r="W855" s="4"/>
      <c r="X855" s="4"/>
      <c r="Y855" s="4"/>
    </row>
    <row r="856">
      <c r="A856" s="5"/>
      <c r="B856" s="9"/>
      <c r="C856" s="5"/>
      <c r="D856" s="9"/>
      <c r="E856" s="9"/>
      <c r="F856" s="9"/>
      <c r="G856" s="9"/>
      <c r="H856" s="9"/>
      <c r="I856" s="9"/>
      <c r="J856" s="5"/>
      <c r="K856" s="4"/>
      <c r="L856" s="10"/>
      <c r="M856" s="10"/>
      <c r="N856" s="10"/>
      <c r="O856" s="10"/>
      <c r="P856" s="10"/>
      <c r="Q856" s="11"/>
      <c r="R856" s="9"/>
      <c r="S856" s="12"/>
      <c r="T856" s="5"/>
      <c r="U856" s="5"/>
      <c r="V856" s="4"/>
      <c r="W856" s="4"/>
      <c r="X856" s="4"/>
      <c r="Y856" s="4"/>
    </row>
    <row r="857">
      <c r="A857" s="5"/>
      <c r="B857" s="9"/>
      <c r="C857" s="5"/>
      <c r="D857" s="9"/>
      <c r="E857" s="9"/>
      <c r="F857" s="9"/>
      <c r="G857" s="9"/>
      <c r="H857" s="9"/>
      <c r="I857" s="9"/>
      <c r="J857" s="5"/>
      <c r="K857" s="4"/>
      <c r="L857" s="10"/>
      <c r="M857" s="10"/>
      <c r="N857" s="10"/>
      <c r="O857" s="10"/>
      <c r="P857" s="10"/>
      <c r="Q857" s="11"/>
      <c r="R857" s="9"/>
      <c r="S857" s="12"/>
      <c r="T857" s="5"/>
      <c r="U857" s="5"/>
      <c r="V857" s="4"/>
      <c r="W857" s="4"/>
      <c r="X857" s="4"/>
      <c r="Y857" s="4"/>
    </row>
    <row r="858">
      <c r="A858" s="5"/>
      <c r="B858" s="9"/>
      <c r="C858" s="5"/>
      <c r="D858" s="9"/>
      <c r="E858" s="9"/>
      <c r="F858" s="9"/>
      <c r="G858" s="9"/>
      <c r="H858" s="9"/>
      <c r="I858" s="9"/>
      <c r="J858" s="5"/>
      <c r="K858" s="4"/>
      <c r="L858" s="10"/>
      <c r="M858" s="10"/>
      <c r="N858" s="10"/>
      <c r="O858" s="10"/>
      <c r="P858" s="10"/>
      <c r="Q858" s="11"/>
      <c r="R858" s="9"/>
      <c r="S858" s="12"/>
      <c r="T858" s="5"/>
      <c r="U858" s="5"/>
      <c r="V858" s="4"/>
      <c r="W858" s="4"/>
      <c r="X858" s="4"/>
      <c r="Y858" s="4"/>
    </row>
    <row r="859">
      <c r="A859" s="5"/>
      <c r="B859" s="9"/>
      <c r="C859" s="5"/>
      <c r="D859" s="9"/>
      <c r="E859" s="9"/>
      <c r="F859" s="9"/>
      <c r="G859" s="9"/>
      <c r="H859" s="9"/>
      <c r="I859" s="9"/>
      <c r="J859" s="5"/>
      <c r="K859" s="4"/>
      <c r="L859" s="10"/>
      <c r="M859" s="10"/>
      <c r="N859" s="10"/>
      <c r="O859" s="10"/>
      <c r="P859" s="10"/>
      <c r="Q859" s="11"/>
      <c r="R859" s="9"/>
      <c r="S859" s="12"/>
      <c r="T859" s="5"/>
      <c r="U859" s="5"/>
      <c r="V859" s="4"/>
      <c r="W859" s="4"/>
      <c r="X859" s="4"/>
      <c r="Y859" s="4"/>
    </row>
    <row r="860">
      <c r="A860" s="5"/>
      <c r="B860" s="9"/>
      <c r="C860" s="5"/>
      <c r="D860" s="9"/>
      <c r="E860" s="9"/>
      <c r="F860" s="9"/>
      <c r="G860" s="9"/>
      <c r="H860" s="9"/>
      <c r="I860" s="9"/>
      <c r="J860" s="5"/>
      <c r="K860" s="4"/>
      <c r="L860" s="10"/>
      <c r="M860" s="10"/>
      <c r="N860" s="10"/>
      <c r="O860" s="10"/>
      <c r="P860" s="10"/>
      <c r="Q860" s="11"/>
      <c r="R860" s="9"/>
      <c r="S860" s="12"/>
      <c r="T860" s="5"/>
      <c r="U860" s="5"/>
      <c r="V860" s="4"/>
      <c r="W860" s="4"/>
      <c r="X860" s="4"/>
      <c r="Y860" s="4"/>
    </row>
    <row r="861">
      <c r="A861" s="5"/>
      <c r="B861" s="9"/>
      <c r="C861" s="5"/>
      <c r="D861" s="9"/>
      <c r="E861" s="9"/>
      <c r="F861" s="9"/>
      <c r="G861" s="9"/>
      <c r="H861" s="9"/>
      <c r="I861" s="9"/>
      <c r="J861" s="5"/>
      <c r="K861" s="4"/>
      <c r="L861" s="10"/>
      <c r="M861" s="10"/>
      <c r="N861" s="10"/>
      <c r="O861" s="10"/>
      <c r="P861" s="10"/>
      <c r="Q861" s="11"/>
      <c r="R861" s="9"/>
      <c r="S861" s="12"/>
      <c r="T861" s="5"/>
      <c r="U861" s="5"/>
      <c r="V861" s="4"/>
      <c r="W861" s="4"/>
      <c r="X861" s="4"/>
      <c r="Y861" s="4"/>
    </row>
    <row r="862">
      <c r="A862" s="5"/>
      <c r="B862" s="9"/>
      <c r="C862" s="5"/>
      <c r="D862" s="9"/>
      <c r="E862" s="9"/>
      <c r="F862" s="9"/>
      <c r="G862" s="9"/>
      <c r="H862" s="9"/>
      <c r="I862" s="9"/>
      <c r="J862" s="5"/>
      <c r="K862" s="4"/>
      <c r="L862" s="10"/>
      <c r="M862" s="10"/>
      <c r="N862" s="10"/>
      <c r="O862" s="10"/>
      <c r="P862" s="10"/>
      <c r="Q862" s="11"/>
      <c r="R862" s="9"/>
      <c r="S862" s="12"/>
      <c r="T862" s="5"/>
      <c r="U862" s="5"/>
      <c r="V862" s="4"/>
      <c r="W862" s="4"/>
      <c r="X862" s="4"/>
      <c r="Y862" s="4"/>
    </row>
    <row r="863">
      <c r="A863" s="5"/>
      <c r="B863" s="9"/>
      <c r="C863" s="5"/>
      <c r="D863" s="9"/>
      <c r="E863" s="9"/>
      <c r="F863" s="9"/>
      <c r="G863" s="9"/>
      <c r="H863" s="9"/>
      <c r="I863" s="9"/>
      <c r="J863" s="5"/>
      <c r="K863" s="4"/>
      <c r="L863" s="10"/>
      <c r="M863" s="10"/>
      <c r="N863" s="10"/>
      <c r="O863" s="10"/>
      <c r="P863" s="10"/>
      <c r="Q863" s="11"/>
      <c r="R863" s="9"/>
      <c r="S863" s="12"/>
      <c r="T863" s="5"/>
      <c r="U863" s="5"/>
      <c r="V863" s="4"/>
      <c r="W863" s="4"/>
      <c r="X863" s="4"/>
      <c r="Y863" s="4"/>
    </row>
    <row r="864">
      <c r="A864" s="5"/>
      <c r="B864" s="9"/>
      <c r="C864" s="5"/>
      <c r="D864" s="9"/>
      <c r="E864" s="9"/>
      <c r="F864" s="9"/>
      <c r="G864" s="9"/>
      <c r="H864" s="9"/>
      <c r="I864" s="9"/>
      <c r="J864" s="5"/>
      <c r="K864" s="4"/>
      <c r="L864" s="10"/>
      <c r="M864" s="10"/>
      <c r="N864" s="10"/>
      <c r="O864" s="10"/>
      <c r="P864" s="10"/>
      <c r="Q864" s="11"/>
      <c r="R864" s="9"/>
      <c r="S864" s="12"/>
      <c r="T864" s="5"/>
      <c r="U864" s="5"/>
      <c r="V864" s="4"/>
      <c r="W864" s="4"/>
      <c r="X864" s="4"/>
      <c r="Y864" s="4"/>
    </row>
    <row r="865">
      <c r="A865" s="5"/>
      <c r="B865" s="9"/>
      <c r="C865" s="5"/>
      <c r="D865" s="9"/>
      <c r="E865" s="9"/>
      <c r="F865" s="9"/>
      <c r="G865" s="9"/>
      <c r="H865" s="9"/>
      <c r="I865" s="9"/>
      <c r="J865" s="5"/>
      <c r="K865" s="4"/>
      <c r="L865" s="10"/>
      <c r="M865" s="10"/>
      <c r="N865" s="10"/>
      <c r="O865" s="10"/>
      <c r="P865" s="10"/>
      <c r="Q865" s="11"/>
      <c r="R865" s="9"/>
      <c r="S865" s="12"/>
      <c r="T865" s="5"/>
      <c r="U865" s="5"/>
      <c r="V865" s="4"/>
      <c r="W865" s="4"/>
      <c r="X865" s="4"/>
      <c r="Y865" s="4"/>
    </row>
    <row r="866">
      <c r="A866" s="5"/>
      <c r="B866" s="9"/>
      <c r="C866" s="5"/>
      <c r="D866" s="9"/>
      <c r="E866" s="9"/>
      <c r="F866" s="9"/>
      <c r="G866" s="9"/>
      <c r="H866" s="9"/>
      <c r="I866" s="9"/>
      <c r="J866" s="5"/>
      <c r="K866" s="4"/>
      <c r="L866" s="10"/>
      <c r="M866" s="10"/>
      <c r="N866" s="10"/>
      <c r="O866" s="10"/>
      <c r="P866" s="10"/>
      <c r="Q866" s="11"/>
      <c r="R866" s="9"/>
      <c r="S866" s="12"/>
      <c r="T866" s="5"/>
      <c r="U866" s="5"/>
      <c r="V866" s="4"/>
      <c r="W866" s="4"/>
      <c r="X866" s="4"/>
      <c r="Y866" s="4"/>
    </row>
    <row r="867">
      <c r="A867" s="5"/>
      <c r="B867" s="9"/>
      <c r="C867" s="5"/>
      <c r="D867" s="9"/>
      <c r="E867" s="9"/>
      <c r="F867" s="9"/>
      <c r="G867" s="9"/>
      <c r="H867" s="9"/>
      <c r="I867" s="9"/>
      <c r="J867" s="5"/>
      <c r="K867" s="4"/>
      <c r="L867" s="10"/>
      <c r="M867" s="10"/>
      <c r="N867" s="10"/>
      <c r="O867" s="10"/>
      <c r="P867" s="10"/>
      <c r="Q867" s="11"/>
      <c r="R867" s="9"/>
      <c r="S867" s="12"/>
      <c r="T867" s="5"/>
      <c r="U867" s="5"/>
      <c r="V867" s="4"/>
      <c r="W867" s="4"/>
      <c r="X867" s="4"/>
      <c r="Y867" s="4"/>
    </row>
    <row r="868">
      <c r="A868" s="5"/>
      <c r="B868" s="9"/>
      <c r="C868" s="5"/>
      <c r="D868" s="9"/>
      <c r="E868" s="9"/>
      <c r="F868" s="9"/>
      <c r="G868" s="9"/>
      <c r="H868" s="9"/>
      <c r="I868" s="9"/>
      <c r="J868" s="5"/>
      <c r="K868" s="4"/>
      <c r="L868" s="10"/>
      <c r="M868" s="10"/>
      <c r="N868" s="10"/>
      <c r="O868" s="10"/>
      <c r="P868" s="10"/>
      <c r="Q868" s="11"/>
      <c r="R868" s="9"/>
      <c r="S868" s="12"/>
      <c r="T868" s="5"/>
      <c r="U868" s="5"/>
      <c r="V868" s="4"/>
      <c r="W868" s="4"/>
      <c r="X868" s="4"/>
      <c r="Y868" s="4"/>
    </row>
    <row r="869">
      <c r="A869" s="5"/>
      <c r="B869" s="9"/>
      <c r="C869" s="5"/>
      <c r="D869" s="9"/>
      <c r="E869" s="9"/>
      <c r="F869" s="9"/>
      <c r="G869" s="9"/>
      <c r="H869" s="9"/>
      <c r="I869" s="9"/>
      <c r="J869" s="5"/>
      <c r="K869" s="4"/>
      <c r="L869" s="10"/>
      <c r="M869" s="10"/>
      <c r="N869" s="10"/>
      <c r="O869" s="10"/>
      <c r="P869" s="10"/>
      <c r="Q869" s="11"/>
      <c r="R869" s="9"/>
      <c r="S869" s="12"/>
      <c r="T869" s="5"/>
      <c r="U869" s="5"/>
      <c r="V869" s="4"/>
      <c r="W869" s="4"/>
      <c r="X869" s="4"/>
      <c r="Y869" s="4"/>
    </row>
    <row r="870">
      <c r="A870" s="5"/>
      <c r="B870" s="9"/>
      <c r="C870" s="5"/>
      <c r="D870" s="9"/>
      <c r="E870" s="9"/>
      <c r="F870" s="9"/>
      <c r="G870" s="9"/>
      <c r="H870" s="9"/>
      <c r="I870" s="9"/>
      <c r="J870" s="5"/>
      <c r="K870" s="4"/>
      <c r="L870" s="10"/>
      <c r="M870" s="10"/>
      <c r="N870" s="10"/>
      <c r="O870" s="10"/>
      <c r="P870" s="10"/>
      <c r="Q870" s="11"/>
      <c r="R870" s="9"/>
      <c r="S870" s="12"/>
      <c r="T870" s="5"/>
      <c r="U870" s="5"/>
      <c r="V870" s="4"/>
      <c r="W870" s="4"/>
      <c r="X870" s="4"/>
      <c r="Y870" s="4"/>
    </row>
    <row r="871">
      <c r="A871" s="5"/>
      <c r="B871" s="9"/>
      <c r="C871" s="5"/>
      <c r="D871" s="9"/>
      <c r="E871" s="9"/>
      <c r="F871" s="9"/>
      <c r="G871" s="9"/>
      <c r="H871" s="9"/>
      <c r="I871" s="9"/>
      <c r="J871" s="5"/>
      <c r="K871" s="4"/>
      <c r="L871" s="10"/>
      <c r="M871" s="10"/>
      <c r="N871" s="10"/>
      <c r="O871" s="10"/>
      <c r="P871" s="10"/>
      <c r="Q871" s="11"/>
      <c r="R871" s="9"/>
      <c r="S871" s="12"/>
      <c r="T871" s="5"/>
      <c r="U871" s="5"/>
      <c r="V871" s="4"/>
      <c r="W871" s="4"/>
      <c r="X871" s="4"/>
      <c r="Y871" s="4"/>
    </row>
    <row r="872">
      <c r="A872" s="5"/>
      <c r="B872" s="9"/>
      <c r="C872" s="5"/>
      <c r="D872" s="9"/>
      <c r="E872" s="9"/>
      <c r="F872" s="9"/>
      <c r="G872" s="9"/>
      <c r="H872" s="9"/>
      <c r="I872" s="9"/>
      <c r="J872" s="5"/>
      <c r="K872" s="4"/>
      <c r="L872" s="10"/>
      <c r="M872" s="10"/>
      <c r="N872" s="10"/>
      <c r="O872" s="10"/>
      <c r="P872" s="10"/>
      <c r="Q872" s="11"/>
      <c r="R872" s="9"/>
      <c r="S872" s="12"/>
      <c r="T872" s="5"/>
      <c r="U872" s="5"/>
      <c r="V872" s="4"/>
      <c r="W872" s="4"/>
      <c r="X872" s="4"/>
      <c r="Y872" s="4"/>
    </row>
    <row r="873">
      <c r="A873" s="5"/>
      <c r="B873" s="9"/>
      <c r="C873" s="5"/>
      <c r="D873" s="9"/>
      <c r="E873" s="9"/>
      <c r="F873" s="9"/>
      <c r="G873" s="9"/>
      <c r="H873" s="9"/>
      <c r="I873" s="9"/>
      <c r="J873" s="5"/>
      <c r="K873" s="4"/>
      <c r="L873" s="10"/>
      <c r="M873" s="10"/>
      <c r="N873" s="10"/>
      <c r="O873" s="10"/>
      <c r="P873" s="10"/>
      <c r="Q873" s="11"/>
      <c r="R873" s="9"/>
      <c r="S873" s="12"/>
      <c r="T873" s="5"/>
      <c r="U873" s="5"/>
      <c r="V873" s="4"/>
      <c r="W873" s="4"/>
      <c r="X873" s="4"/>
      <c r="Y873" s="4"/>
    </row>
    <row r="874">
      <c r="A874" s="5"/>
      <c r="B874" s="9"/>
      <c r="C874" s="5"/>
      <c r="D874" s="9"/>
      <c r="E874" s="9"/>
      <c r="F874" s="9"/>
      <c r="G874" s="9"/>
      <c r="H874" s="9"/>
      <c r="I874" s="9"/>
      <c r="J874" s="5"/>
      <c r="K874" s="4"/>
      <c r="L874" s="10"/>
      <c r="M874" s="10"/>
      <c r="N874" s="10"/>
      <c r="O874" s="10"/>
      <c r="P874" s="10"/>
      <c r="Q874" s="11"/>
      <c r="R874" s="9"/>
      <c r="S874" s="12"/>
      <c r="T874" s="5"/>
      <c r="U874" s="5"/>
      <c r="V874" s="4"/>
      <c r="W874" s="4"/>
      <c r="X874" s="4"/>
      <c r="Y874" s="4"/>
    </row>
    <row r="875">
      <c r="A875" s="5"/>
      <c r="B875" s="9"/>
      <c r="C875" s="5"/>
      <c r="D875" s="9"/>
      <c r="E875" s="9"/>
      <c r="F875" s="9"/>
      <c r="G875" s="9"/>
      <c r="H875" s="9"/>
      <c r="I875" s="9"/>
      <c r="J875" s="5"/>
      <c r="K875" s="4"/>
      <c r="L875" s="10"/>
      <c r="M875" s="10"/>
      <c r="N875" s="10"/>
      <c r="O875" s="10"/>
      <c r="P875" s="10"/>
      <c r="Q875" s="11"/>
      <c r="R875" s="9"/>
      <c r="S875" s="12"/>
      <c r="T875" s="5"/>
      <c r="U875" s="5"/>
      <c r="V875" s="4"/>
      <c r="W875" s="4"/>
      <c r="X875" s="4"/>
      <c r="Y875" s="4"/>
    </row>
    <row r="876">
      <c r="A876" s="5"/>
      <c r="B876" s="9"/>
      <c r="C876" s="5"/>
      <c r="D876" s="9"/>
      <c r="E876" s="9"/>
      <c r="F876" s="9"/>
      <c r="G876" s="9"/>
      <c r="H876" s="9"/>
      <c r="I876" s="9"/>
      <c r="J876" s="5"/>
      <c r="K876" s="4"/>
      <c r="L876" s="10"/>
      <c r="M876" s="10"/>
      <c r="N876" s="10"/>
      <c r="O876" s="10"/>
      <c r="P876" s="10"/>
      <c r="Q876" s="11"/>
      <c r="R876" s="9"/>
      <c r="S876" s="12"/>
      <c r="T876" s="5"/>
      <c r="U876" s="5"/>
      <c r="V876" s="4"/>
      <c r="W876" s="4"/>
      <c r="X876" s="4"/>
      <c r="Y876" s="4"/>
    </row>
    <row r="877">
      <c r="A877" s="5"/>
      <c r="B877" s="9"/>
      <c r="C877" s="5"/>
      <c r="D877" s="9"/>
      <c r="E877" s="9"/>
      <c r="F877" s="9"/>
      <c r="G877" s="9"/>
      <c r="H877" s="9"/>
      <c r="I877" s="9"/>
      <c r="J877" s="5"/>
      <c r="K877" s="4"/>
      <c r="L877" s="10"/>
      <c r="M877" s="10"/>
      <c r="N877" s="10"/>
      <c r="O877" s="10"/>
      <c r="P877" s="10"/>
      <c r="Q877" s="11"/>
      <c r="R877" s="9"/>
      <c r="S877" s="12"/>
      <c r="T877" s="5"/>
      <c r="U877" s="5"/>
      <c r="V877" s="4"/>
      <c r="W877" s="4"/>
      <c r="X877" s="4"/>
      <c r="Y877" s="4"/>
    </row>
    <row r="878">
      <c r="A878" s="5"/>
      <c r="B878" s="9"/>
      <c r="C878" s="5"/>
      <c r="D878" s="9"/>
      <c r="E878" s="9"/>
      <c r="F878" s="9"/>
      <c r="G878" s="9"/>
      <c r="H878" s="9"/>
      <c r="I878" s="9"/>
      <c r="J878" s="5"/>
      <c r="K878" s="4"/>
      <c r="L878" s="10"/>
      <c r="M878" s="10"/>
      <c r="N878" s="10"/>
      <c r="O878" s="10"/>
      <c r="P878" s="10"/>
      <c r="Q878" s="11"/>
      <c r="R878" s="9"/>
      <c r="S878" s="12"/>
      <c r="T878" s="5"/>
      <c r="U878" s="5"/>
      <c r="V878" s="4"/>
      <c r="W878" s="4"/>
      <c r="X878" s="4"/>
      <c r="Y878" s="4"/>
    </row>
    <row r="879">
      <c r="A879" s="5"/>
      <c r="B879" s="9"/>
      <c r="C879" s="5"/>
      <c r="D879" s="9"/>
      <c r="E879" s="9"/>
      <c r="F879" s="9"/>
      <c r="G879" s="9"/>
      <c r="H879" s="9"/>
      <c r="I879" s="9"/>
      <c r="J879" s="5"/>
      <c r="K879" s="4"/>
      <c r="L879" s="10"/>
      <c r="M879" s="10"/>
      <c r="N879" s="10"/>
      <c r="O879" s="10"/>
      <c r="P879" s="10"/>
      <c r="Q879" s="11"/>
      <c r="R879" s="9"/>
      <c r="S879" s="12"/>
      <c r="T879" s="5"/>
      <c r="U879" s="5"/>
      <c r="V879" s="4"/>
      <c r="W879" s="4"/>
      <c r="X879" s="4"/>
      <c r="Y879" s="4"/>
    </row>
    <row r="880">
      <c r="A880" s="5"/>
      <c r="B880" s="9"/>
      <c r="C880" s="5"/>
      <c r="D880" s="9"/>
      <c r="E880" s="9"/>
      <c r="F880" s="9"/>
      <c r="G880" s="9"/>
      <c r="H880" s="9"/>
      <c r="I880" s="9"/>
      <c r="J880" s="5"/>
      <c r="K880" s="4"/>
      <c r="L880" s="10"/>
      <c r="M880" s="10"/>
      <c r="N880" s="10"/>
      <c r="O880" s="10"/>
      <c r="P880" s="10"/>
      <c r="Q880" s="11"/>
      <c r="R880" s="9"/>
      <c r="S880" s="12"/>
      <c r="T880" s="5"/>
      <c r="U880" s="5"/>
      <c r="V880" s="4"/>
      <c r="W880" s="4"/>
      <c r="X880" s="4"/>
      <c r="Y880" s="4"/>
    </row>
    <row r="881">
      <c r="A881" s="5"/>
      <c r="B881" s="9"/>
      <c r="C881" s="5"/>
      <c r="D881" s="9"/>
      <c r="E881" s="9"/>
      <c r="F881" s="9"/>
      <c r="G881" s="9"/>
      <c r="H881" s="9"/>
      <c r="I881" s="9"/>
      <c r="J881" s="5"/>
      <c r="K881" s="4"/>
      <c r="L881" s="10"/>
      <c r="M881" s="10"/>
      <c r="N881" s="10"/>
      <c r="O881" s="10"/>
      <c r="P881" s="10"/>
      <c r="Q881" s="11"/>
      <c r="R881" s="9"/>
      <c r="S881" s="12"/>
      <c r="T881" s="5"/>
      <c r="U881" s="5"/>
      <c r="V881" s="4"/>
      <c r="W881" s="4"/>
      <c r="X881" s="4"/>
      <c r="Y881" s="4"/>
    </row>
    <row r="882">
      <c r="A882" s="5"/>
      <c r="B882" s="9"/>
      <c r="C882" s="5"/>
      <c r="D882" s="9"/>
      <c r="E882" s="9"/>
      <c r="F882" s="9"/>
      <c r="G882" s="9"/>
      <c r="H882" s="9"/>
      <c r="I882" s="9"/>
      <c r="J882" s="5"/>
      <c r="K882" s="4"/>
      <c r="L882" s="10"/>
      <c r="M882" s="10"/>
      <c r="N882" s="10"/>
      <c r="O882" s="10"/>
      <c r="P882" s="10"/>
      <c r="Q882" s="11"/>
      <c r="R882" s="9"/>
      <c r="S882" s="12"/>
      <c r="T882" s="5"/>
      <c r="U882" s="5"/>
      <c r="V882" s="4"/>
      <c r="W882" s="4"/>
      <c r="X882" s="4"/>
      <c r="Y882" s="4"/>
    </row>
    <row r="883">
      <c r="A883" s="5"/>
      <c r="B883" s="9"/>
      <c r="C883" s="5"/>
      <c r="D883" s="9"/>
      <c r="E883" s="9"/>
      <c r="F883" s="9"/>
      <c r="G883" s="9"/>
      <c r="H883" s="9"/>
      <c r="I883" s="9"/>
      <c r="J883" s="5"/>
      <c r="K883" s="4"/>
      <c r="L883" s="10"/>
      <c r="M883" s="10"/>
      <c r="N883" s="10"/>
      <c r="O883" s="10"/>
      <c r="P883" s="10"/>
      <c r="Q883" s="11"/>
      <c r="R883" s="9"/>
      <c r="S883" s="12"/>
      <c r="T883" s="5"/>
      <c r="U883" s="5"/>
      <c r="V883" s="4"/>
      <c r="W883" s="4"/>
      <c r="X883" s="4"/>
      <c r="Y883" s="4"/>
    </row>
    <row r="884">
      <c r="A884" s="5"/>
      <c r="B884" s="9"/>
      <c r="C884" s="5"/>
      <c r="D884" s="9"/>
      <c r="E884" s="9"/>
      <c r="F884" s="9"/>
      <c r="G884" s="9"/>
      <c r="H884" s="9"/>
      <c r="I884" s="9"/>
      <c r="J884" s="5"/>
      <c r="K884" s="4"/>
      <c r="L884" s="10"/>
      <c r="M884" s="10"/>
      <c r="N884" s="10"/>
      <c r="O884" s="10"/>
      <c r="P884" s="10"/>
      <c r="Q884" s="11"/>
      <c r="R884" s="9"/>
      <c r="S884" s="12"/>
      <c r="T884" s="5"/>
      <c r="U884" s="5"/>
      <c r="V884" s="4"/>
      <c r="W884" s="4"/>
      <c r="X884" s="4"/>
      <c r="Y884" s="4"/>
    </row>
    <row r="885">
      <c r="A885" s="5"/>
      <c r="B885" s="9"/>
      <c r="C885" s="5"/>
      <c r="D885" s="9"/>
      <c r="E885" s="9"/>
      <c r="F885" s="9"/>
      <c r="G885" s="9"/>
      <c r="H885" s="9"/>
      <c r="I885" s="9"/>
      <c r="J885" s="5"/>
      <c r="K885" s="4"/>
      <c r="L885" s="10"/>
      <c r="M885" s="10"/>
      <c r="N885" s="10"/>
      <c r="O885" s="10"/>
      <c r="P885" s="10"/>
      <c r="Q885" s="11"/>
      <c r="R885" s="9"/>
      <c r="S885" s="12"/>
      <c r="T885" s="5"/>
      <c r="U885" s="5"/>
      <c r="V885" s="4"/>
      <c r="W885" s="4"/>
      <c r="X885" s="4"/>
      <c r="Y885" s="4"/>
    </row>
    <row r="886">
      <c r="A886" s="5"/>
      <c r="B886" s="9"/>
      <c r="C886" s="5"/>
      <c r="D886" s="9"/>
      <c r="E886" s="9"/>
      <c r="F886" s="9"/>
      <c r="G886" s="9"/>
      <c r="H886" s="9"/>
      <c r="I886" s="9"/>
      <c r="J886" s="5"/>
      <c r="K886" s="4"/>
      <c r="L886" s="10"/>
      <c r="M886" s="10"/>
      <c r="N886" s="10"/>
      <c r="O886" s="10"/>
      <c r="P886" s="10"/>
      <c r="Q886" s="11"/>
      <c r="R886" s="9"/>
      <c r="S886" s="12"/>
      <c r="T886" s="5"/>
      <c r="U886" s="5"/>
      <c r="V886" s="4"/>
      <c r="W886" s="4"/>
      <c r="X886" s="4"/>
      <c r="Y886" s="4"/>
    </row>
    <row r="887">
      <c r="A887" s="5"/>
      <c r="B887" s="9"/>
      <c r="C887" s="5"/>
      <c r="D887" s="9"/>
      <c r="E887" s="9"/>
      <c r="F887" s="9"/>
      <c r="G887" s="9"/>
      <c r="H887" s="9"/>
      <c r="I887" s="9"/>
      <c r="J887" s="5"/>
      <c r="K887" s="4"/>
      <c r="L887" s="10"/>
      <c r="M887" s="10"/>
      <c r="N887" s="10"/>
      <c r="O887" s="10"/>
      <c r="P887" s="10"/>
      <c r="Q887" s="11"/>
      <c r="R887" s="9"/>
      <c r="S887" s="12"/>
      <c r="T887" s="5"/>
      <c r="U887" s="5"/>
      <c r="V887" s="4"/>
      <c r="W887" s="4"/>
      <c r="X887" s="4"/>
      <c r="Y887" s="4"/>
    </row>
    <row r="888">
      <c r="A888" s="5"/>
      <c r="B888" s="9"/>
      <c r="C888" s="5"/>
      <c r="D888" s="9"/>
      <c r="E888" s="9"/>
      <c r="F888" s="9"/>
      <c r="G888" s="9"/>
      <c r="H888" s="9"/>
      <c r="I888" s="9"/>
      <c r="J888" s="5"/>
      <c r="K888" s="4"/>
      <c r="L888" s="10"/>
      <c r="M888" s="10"/>
      <c r="N888" s="10"/>
      <c r="O888" s="10"/>
      <c r="P888" s="10"/>
      <c r="Q888" s="11"/>
      <c r="R888" s="9"/>
      <c r="S888" s="12"/>
      <c r="T888" s="5"/>
      <c r="U888" s="5"/>
      <c r="V888" s="4"/>
      <c r="W888" s="4"/>
      <c r="X888" s="4"/>
      <c r="Y888" s="4"/>
    </row>
    <row r="889">
      <c r="A889" s="5"/>
      <c r="B889" s="9"/>
      <c r="C889" s="5"/>
      <c r="D889" s="9"/>
      <c r="E889" s="9"/>
      <c r="F889" s="9"/>
      <c r="G889" s="9"/>
      <c r="H889" s="9"/>
      <c r="I889" s="9"/>
      <c r="J889" s="5"/>
      <c r="K889" s="4"/>
      <c r="L889" s="10"/>
      <c r="M889" s="10"/>
      <c r="N889" s="10"/>
      <c r="O889" s="10"/>
      <c r="P889" s="10"/>
      <c r="Q889" s="11"/>
      <c r="R889" s="9"/>
      <c r="S889" s="12"/>
      <c r="T889" s="5"/>
      <c r="U889" s="5"/>
      <c r="V889" s="4"/>
      <c r="W889" s="4"/>
      <c r="X889" s="4"/>
      <c r="Y889" s="4"/>
    </row>
    <row r="890">
      <c r="A890" s="5"/>
      <c r="B890" s="9"/>
      <c r="C890" s="5"/>
      <c r="D890" s="9"/>
      <c r="E890" s="9"/>
      <c r="F890" s="9"/>
      <c r="G890" s="9"/>
      <c r="H890" s="9"/>
      <c r="I890" s="9"/>
      <c r="J890" s="5"/>
      <c r="K890" s="4"/>
      <c r="L890" s="10"/>
      <c r="M890" s="10"/>
      <c r="N890" s="10"/>
      <c r="O890" s="10"/>
      <c r="P890" s="10"/>
      <c r="Q890" s="11"/>
      <c r="R890" s="9"/>
      <c r="S890" s="12"/>
      <c r="T890" s="5"/>
      <c r="U890" s="5"/>
      <c r="V890" s="4"/>
      <c r="W890" s="4"/>
      <c r="X890" s="4"/>
      <c r="Y890" s="4"/>
    </row>
    <row r="891">
      <c r="A891" s="5"/>
      <c r="B891" s="9"/>
      <c r="C891" s="5"/>
      <c r="D891" s="9"/>
      <c r="E891" s="9"/>
      <c r="F891" s="9"/>
      <c r="G891" s="9"/>
      <c r="H891" s="9"/>
      <c r="I891" s="9"/>
      <c r="J891" s="5"/>
      <c r="K891" s="4"/>
      <c r="L891" s="10"/>
      <c r="M891" s="10"/>
      <c r="N891" s="10"/>
      <c r="O891" s="10"/>
      <c r="P891" s="10"/>
      <c r="Q891" s="11"/>
      <c r="R891" s="9"/>
      <c r="S891" s="12"/>
      <c r="T891" s="5"/>
      <c r="U891" s="5"/>
      <c r="V891" s="4"/>
      <c r="W891" s="4"/>
      <c r="X891" s="4"/>
      <c r="Y891" s="4"/>
    </row>
    <row r="892">
      <c r="A892" s="5"/>
      <c r="B892" s="9"/>
      <c r="C892" s="5"/>
      <c r="D892" s="9"/>
      <c r="E892" s="9"/>
      <c r="F892" s="9"/>
      <c r="G892" s="9"/>
      <c r="H892" s="9"/>
      <c r="I892" s="9"/>
      <c r="J892" s="5"/>
      <c r="K892" s="4"/>
      <c r="L892" s="10"/>
      <c r="M892" s="10"/>
      <c r="N892" s="10"/>
      <c r="O892" s="10"/>
      <c r="P892" s="10"/>
      <c r="Q892" s="11"/>
      <c r="R892" s="9"/>
      <c r="S892" s="12"/>
      <c r="T892" s="5"/>
      <c r="U892" s="5"/>
      <c r="V892" s="4"/>
      <c r="W892" s="4"/>
      <c r="X892" s="4"/>
      <c r="Y892" s="4"/>
    </row>
    <row r="893">
      <c r="A893" s="5"/>
      <c r="B893" s="9"/>
      <c r="C893" s="5"/>
      <c r="D893" s="9"/>
      <c r="E893" s="9"/>
      <c r="F893" s="9"/>
      <c r="G893" s="9"/>
      <c r="H893" s="9"/>
      <c r="I893" s="9"/>
      <c r="J893" s="5"/>
      <c r="K893" s="4"/>
      <c r="L893" s="10"/>
      <c r="M893" s="10"/>
      <c r="N893" s="10"/>
      <c r="O893" s="10"/>
      <c r="P893" s="10"/>
      <c r="Q893" s="11"/>
      <c r="R893" s="9"/>
      <c r="S893" s="12"/>
      <c r="T893" s="5"/>
      <c r="U893" s="5"/>
      <c r="V893" s="4"/>
      <c r="W893" s="4"/>
      <c r="X893" s="4"/>
      <c r="Y893" s="4"/>
    </row>
    <row r="894">
      <c r="A894" s="5"/>
      <c r="B894" s="9"/>
      <c r="C894" s="5"/>
      <c r="D894" s="9"/>
      <c r="E894" s="9"/>
      <c r="F894" s="9"/>
      <c r="G894" s="9"/>
      <c r="H894" s="9"/>
      <c r="I894" s="9"/>
      <c r="J894" s="5"/>
      <c r="K894" s="4"/>
      <c r="L894" s="10"/>
      <c r="M894" s="10"/>
      <c r="N894" s="10"/>
      <c r="O894" s="10"/>
      <c r="P894" s="10"/>
      <c r="Q894" s="11"/>
      <c r="R894" s="9"/>
      <c r="S894" s="12"/>
      <c r="T894" s="5"/>
      <c r="U894" s="5"/>
      <c r="V894" s="4"/>
      <c r="W894" s="4"/>
      <c r="X894" s="4"/>
      <c r="Y894" s="4"/>
    </row>
    <row r="895">
      <c r="A895" s="5"/>
      <c r="B895" s="9"/>
      <c r="C895" s="5"/>
      <c r="D895" s="9"/>
      <c r="E895" s="9"/>
      <c r="F895" s="9"/>
      <c r="G895" s="9"/>
      <c r="H895" s="9"/>
      <c r="I895" s="9"/>
      <c r="J895" s="5"/>
      <c r="K895" s="4"/>
      <c r="L895" s="10"/>
      <c r="M895" s="10"/>
      <c r="N895" s="10"/>
      <c r="O895" s="10"/>
      <c r="P895" s="10"/>
      <c r="Q895" s="11"/>
      <c r="R895" s="9"/>
      <c r="S895" s="12"/>
      <c r="T895" s="5"/>
      <c r="U895" s="5"/>
      <c r="V895" s="4"/>
      <c r="W895" s="4"/>
      <c r="X895" s="4"/>
      <c r="Y895" s="4"/>
    </row>
    <row r="896">
      <c r="A896" s="5"/>
      <c r="B896" s="9"/>
      <c r="C896" s="5"/>
      <c r="D896" s="9"/>
      <c r="E896" s="9"/>
      <c r="F896" s="9"/>
      <c r="G896" s="9"/>
      <c r="H896" s="9"/>
      <c r="I896" s="9"/>
      <c r="J896" s="5"/>
      <c r="K896" s="4"/>
      <c r="L896" s="10"/>
      <c r="M896" s="10"/>
      <c r="N896" s="10"/>
      <c r="O896" s="10"/>
      <c r="P896" s="10"/>
      <c r="Q896" s="11"/>
      <c r="R896" s="9"/>
      <c r="S896" s="12"/>
      <c r="T896" s="5"/>
      <c r="U896" s="5"/>
      <c r="V896" s="4"/>
      <c r="W896" s="4"/>
      <c r="X896" s="4"/>
      <c r="Y896" s="4"/>
    </row>
    <row r="897">
      <c r="A897" s="5"/>
      <c r="B897" s="9"/>
      <c r="C897" s="5"/>
      <c r="D897" s="9"/>
      <c r="E897" s="9"/>
      <c r="F897" s="9"/>
      <c r="G897" s="9"/>
      <c r="H897" s="9"/>
      <c r="I897" s="9"/>
      <c r="J897" s="5"/>
      <c r="K897" s="4"/>
      <c r="L897" s="10"/>
      <c r="M897" s="10"/>
      <c r="N897" s="10"/>
      <c r="O897" s="10"/>
      <c r="P897" s="10"/>
      <c r="Q897" s="11"/>
      <c r="R897" s="9"/>
      <c r="S897" s="12"/>
      <c r="T897" s="5"/>
      <c r="U897" s="5"/>
      <c r="V897" s="4"/>
      <c r="W897" s="4"/>
      <c r="X897" s="4"/>
      <c r="Y897" s="4"/>
    </row>
    <row r="898">
      <c r="A898" s="5"/>
      <c r="B898" s="9"/>
      <c r="C898" s="5"/>
      <c r="D898" s="9"/>
      <c r="E898" s="9"/>
      <c r="F898" s="9"/>
      <c r="G898" s="9"/>
      <c r="H898" s="9"/>
      <c r="I898" s="9"/>
      <c r="J898" s="5"/>
      <c r="K898" s="4"/>
      <c r="L898" s="10"/>
      <c r="M898" s="10"/>
      <c r="N898" s="10"/>
      <c r="O898" s="10"/>
      <c r="P898" s="10"/>
      <c r="Q898" s="11"/>
      <c r="R898" s="9"/>
      <c r="S898" s="12"/>
      <c r="T898" s="5"/>
      <c r="U898" s="5"/>
      <c r="V898" s="4"/>
      <c r="W898" s="4"/>
      <c r="X898" s="4"/>
      <c r="Y898" s="4"/>
    </row>
    <row r="899">
      <c r="A899" s="5"/>
      <c r="B899" s="9"/>
      <c r="C899" s="5"/>
      <c r="D899" s="9"/>
      <c r="E899" s="9"/>
      <c r="F899" s="9"/>
      <c r="G899" s="9"/>
      <c r="H899" s="9"/>
      <c r="I899" s="9"/>
      <c r="J899" s="5"/>
      <c r="K899" s="4"/>
      <c r="L899" s="10"/>
      <c r="M899" s="10"/>
      <c r="N899" s="10"/>
      <c r="O899" s="10"/>
      <c r="P899" s="10"/>
      <c r="Q899" s="11"/>
      <c r="R899" s="9"/>
      <c r="S899" s="12"/>
      <c r="T899" s="5"/>
      <c r="U899" s="5"/>
      <c r="V899" s="4"/>
      <c r="W899" s="4"/>
      <c r="X899" s="4"/>
      <c r="Y899" s="4"/>
    </row>
    <row r="900">
      <c r="A900" s="5"/>
      <c r="B900" s="9"/>
      <c r="C900" s="5"/>
      <c r="D900" s="9"/>
      <c r="E900" s="9"/>
      <c r="F900" s="9"/>
      <c r="G900" s="9"/>
      <c r="H900" s="9"/>
      <c r="I900" s="9"/>
      <c r="J900" s="5"/>
      <c r="K900" s="4"/>
      <c r="L900" s="10"/>
      <c r="M900" s="10"/>
      <c r="N900" s="10"/>
      <c r="O900" s="10"/>
      <c r="P900" s="10"/>
      <c r="Q900" s="11"/>
      <c r="R900" s="9"/>
      <c r="S900" s="12"/>
      <c r="T900" s="5"/>
      <c r="U900" s="5"/>
      <c r="V900" s="4"/>
      <c r="W900" s="4"/>
      <c r="X900" s="4"/>
      <c r="Y900" s="4"/>
    </row>
    <row r="901">
      <c r="A901" s="5"/>
      <c r="B901" s="9"/>
      <c r="C901" s="5"/>
      <c r="D901" s="9"/>
      <c r="E901" s="9"/>
      <c r="F901" s="9"/>
      <c r="G901" s="9"/>
      <c r="H901" s="9"/>
      <c r="I901" s="9"/>
      <c r="J901" s="5"/>
      <c r="K901" s="4"/>
      <c r="L901" s="10"/>
      <c r="M901" s="10"/>
      <c r="N901" s="10"/>
      <c r="O901" s="10"/>
      <c r="P901" s="10"/>
      <c r="Q901" s="11"/>
      <c r="R901" s="9"/>
      <c r="S901" s="12"/>
      <c r="T901" s="5"/>
      <c r="U901" s="5"/>
      <c r="V901" s="4"/>
      <c r="W901" s="4"/>
      <c r="X901" s="4"/>
      <c r="Y901" s="4"/>
    </row>
    <row r="902">
      <c r="A902" s="5"/>
      <c r="B902" s="9"/>
      <c r="C902" s="5"/>
      <c r="D902" s="9"/>
      <c r="E902" s="9"/>
      <c r="F902" s="9"/>
      <c r="G902" s="9"/>
      <c r="H902" s="9"/>
      <c r="I902" s="9"/>
      <c r="J902" s="5"/>
      <c r="K902" s="4"/>
      <c r="L902" s="10"/>
      <c r="M902" s="10"/>
      <c r="N902" s="10"/>
      <c r="O902" s="10"/>
      <c r="P902" s="10"/>
      <c r="Q902" s="11"/>
      <c r="R902" s="9"/>
      <c r="S902" s="12"/>
      <c r="T902" s="5"/>
      <c r="U902" s="5"/>
      <c r="V902" s="4"/>
      <c r="W902" s="4"/>
      <c r="X902" s="4"/>
      <c r="Y902" s="4"/>
    </row>
    <row r="903">
      <c r="A903" s="5"/>
      <c r="B903" s="9"/>
      <c r="C903" s="5"/>
      <c r="D903" s="9"/>
      <c r="E903" s="9"/>
      <c r="F903" s="9"/>
      <c r="G903" s="9"/>
      <c r="H903" s="9"/>
      <c r="I903" s="9"/>
      <c r="J903" s="5"/>
      <c r="K903" s="4"/>
      <c r="L903" s="10"/>
      <c r="M903" s="10"/>
      <c r="N903" s="10"/>
      <c r="O903" s="10"/>
      <c r="P903" s="10"/>
      <c r="Q903" s="11"/>
      <c r="R903" s="9"/>
      <c r="S903" s="12"/>
      <c r="T903" s="5"/>
      <c r="U903" s="5"/>
      <c r="V903" s="4"/>
      <c r="W903" s="4"/>
      <c r="X903" s="4"/>
      <c r="Y903" s="4"/>
    </row>
    <row r="904">
      <c r="A904" s="5"/>
      <c r="B904" s="9"/>
      <c r="C904" s="5"/>
      <c r="D904" s="9"/>
      <c r="E904" s="9"/>
      <c r="F904" s="9"/>
      <c r="G904" s="9"/>
      <c r="H904" s="9"/>
      <c r="I904" s="9"/>
      <c r="J904" s="5"/>
      <c r="K904" s="4"/>
      <c r="L904" s="10"/>
      <c r="M904" s="10"/>
      <c r="N904" s="10"/>
      <c r="O904" s="10"/>
      <c r="P904" s="10"/>
      <c r="Q904" s="11"/>
      <c r="R904" s="9"/>
      <c r="S904" s="12"/>
      <c r="T904" s="5"/>
      <c r="U904" s="5"/>
      <c r="V904" s="4"/>
      <c r="W904" s="4"/>
      <c r="X904" s="4"/>
      <c r="Y904" s="4"/>
    </row>
    <row r="905">
      <c r="A905" s="5"/>
      <c r="B905" s="9"/>
      <c r="C905" s="5"/>
      <c r="D905" s="9"/>
      <c r="E905" s="9"/>
      <c r="F905" s="9"/>
      <c r="G905" s="9"/>
      <c r="H905" s="9"/>
      <c r="I905" s="9"/>
      <c r="J905" s="5"/>
      <c r="K905" s="4"/>
      <c r="L905" s="10"/>
      <c r="M905" s="10"/>
      <c r="N905" s="10"/>
      <c r="O905" s="10"/>
      <c r="P905" s="10"/>
      <c r="Q905" s="11"/>
      <c r="R905" s="9"/>
      <c r="S905" s="12"/>
      <c r="T905" s="5"/>
      <c r="U905" s="5"/>
      <c r="V905" s="4"/>
      <c r="W905" s="4"/>
      <c r="X905" s="4"/>
      <c r="Y905" s="4"/>
    </row>
    <row r="906">
      <c r="A906" s="5"/>
      <c r="B906" s="9"/>
      <c r="C906" s="5"/>
      <c r="D906" s="9"/>
      <c r="E906" s="9"/>
      <c r="F906" s="9"/>
      <c r="G906" s="9"/>
      <c r="H906" s="9"/>
      <c r="I906" s="9"/>
      <c r="J906" s="5"/>
      <c r="K906" s="4"/>
      <c r="L906" s="10"/>
      <c r="M906" s="10"/>
      <c r="N906" s="10"/>
      <c r="O906" s="10"/>
      <c r="P906" s="10"/>
      <c r="Q906" s="11"/>
      <c r="R906" s="9"/>
      <c r="S906" s="12"/>
      <c r="T906" s="5"/>
      <c r="U906" s="5"/>
      <c r="V906" s="4"/>
      <c r="W906" s="4"/>
      <c r="X906" s="4"/>
      <c r="Y906" s="4"/>
    </row>
    <row r="907">
      <c r="A907" s="5"/>
      <c r="B907" s="9"/>
      <c r="C907" s="5"/>
      <c r="D907" s="9"/>
      <c r="E907" s="9"/>
      <c r="F907" s="9"/>
      <c r="G907" s="9"/>
      <c r="H907" s="9"/>
      <c r="I907" s="9"/>
      <c r="J907" s="5"/>
      <c r="K907" s="4"/>
      <c r="L907" s="10"/>
      <c r="M907" s="10"/>
      <c r="N907" s="10"/>
      <c r="O907" s="10"/>
      <c r="P907" s="10"/>
      <c r="Q907" s="11"/>
      <c r="R907" s="9"/>
      <c r="S907" s="12"/>
      <c r="T907" s="5"/>
      <c r="U907" s="5"/>
      <c r="V907" s="4"/>
      <c r="W907" s="4"/>
      <c r="X907" s="4"/>
      <c r="Y907" s="4"/>
    </row>
    <row r="908">
      <c r="A908" s="5"/>
      <c r="B908" s="9"/>
      <c r="C908" s="5"/>
      <c r="D908" s="9"/>
      <c r="E908" s="9"/>
      <c r="F908" s="9"/>
      <c r="G908" s="9"/>
      <c r="H908" s="9"/>
      <c r="I908" s="9"/>
      <c r="J908" s="5"/>
      <c r="K908" s="4"/>
      <c r="L908" s="10"/>
      <c r="M908" s="10"/>
      <c r="N908" s="10"/>
      <c r="O908" s="10"/>
      <c r="P908" s="10"/>
      <c r="Q908" s="11"/>
      <c r="R908" s="9"/>
      <c r="S908" s="12"/>
      <c r="T908" s="5"/>
      <c r="U908" s="5"/>
      <c r="V908" s="4"/>
      <c r="W908" s="4"/>
      <c r="X908" s="4"/>
      <c r="Y908" s="4"/>
    </row>
    <row r="909">
      <c r="A909" s="5"/>
      <c r="B909" s="9"/>
      <c r="C909" s="5"/>
      <c r="D909" s="9"/>
      <c r="E909" s="9"/>
      <c r="F909" s="9"/>
      <c r="G909" s="9"/>
      <c r="H909" s="9"/>
      <c r="I909" s="9"/>
      <c r="J909" s="5"/>
      <c r="K909" s="4"/>
      <c r="L909" s="10"/>
      <c r="M909" s="10"/>
      <c r="N909" s="10"/>
      <c r="O909" s="10"/>
      <c r="P909" s="10"/>
      <c r="Q909" s="11"/>
      <c r="R909" s="9"/>
      <c r="S909" s="12"/>
      <c r="T909" s="5"/>
      <c r="U909" s="5"/>
      <c r="V909" s="4"/>
      <c r="W909" s="4"/>
      <c r="X909" s="4"/>
      <c r="Y909" s="4"/>
    </row>
    <row r="910">
      <c r="A910" s="5"/>
      <c r="B910" s="9"/>
      <c r="C910" s="5"/>
      <c r="D910" s="9"/>
      <c r="E910" s="9"/>
      <c r="F910" s="9"/>
      <c r="G910" s="9"/>
      <c r="H910" s="9"/>
      <c r="I910" s="9"/>
      <c r="J910" s="5"/>
      <c r="K910" s="4"/>
      <c r="L910" s="10"/>
      <c r="M910" s="10"/>
      <c r="N910" s="10"/>
      <c r="O910" s="10"/>
      <c r="P910" s="10"/>
      <c r="Q910" s="11"/>
      <c r="R910" s="9"/>
      <c r="S910" s="12"/>
      <c r="T910" s="5"/>
      <c r="U910" s="5"/>
      <c r="V910" s="4"/>
      <c r="W910" s="4"/>
      <c r="X910" s="4"/>
      <c r="Y910" s="4"/>
    </row>
    <row r="911">
      <c r="A911" s="5"/>
      <c r="B911" s="9"/>
      <c r="C911" s="5"/>
      <c r="D911" s="9"/>
      <c r="E911" s="9"/>
      <c r="F911" s="9"/>
      <c r="G911" s="9"/>
      <c r="H911" s="9"/>
      <c r="I911" s="9"/>
      <c r="J911" s="5"/>
      <c r="K911" s="4"/>
      <c r="L911" s="10"/>
      <c r="M911" s="10"/>
      <c r="N911" s="10"/>
      <c r="O911" s="10"/>
      <c r="P911" s="10"/>
      <c r="Q911" s="11"/>
      <c r="R911" s="9"/>
      <c r="S911" s="12"/>
      <c r="T911" s="5"/>
      <c r="U911" s="5"/>
      <c r="V911" s="4"/>
      <c r="W911" s="4"/>
      <c r="X911" s="4"/>
      <c r="Y911" s="4"/>
    </row>
    <row r="912">
      <c r="A912" s="5"/>
      <c r="B912" s="9"/>
      <c r="C912" s="5"/>
      <c r="D912" s="9"/>
      <c r="E912" s="9"/>
      <c r="F912" s="9"/>
      <c r="G912" s="9"/>
      <c r="H912" s="9"/>
      <c r="I912" s="9"/>
      <c r="J912" s="5"/>
      <c r="K912" s="4"/>
      <c r="L912" s="10"/>
      <c r="M912" s="10"/>
      <c r="N912" s="10"/>
      <c r="O912" s="10"/>
      <c r="P912" s="10"/>
      <c r="Q912" s="11"/>
      <c r="R912" s="9"/>
      <c r="S912" s="12"/>
      <c r="T912" s="5"/>
      <c r="U912" s="5"/>
      <c r="V912" s="4"/>
      <c r="W912" s="4"/>
      <c r="X912" s="4"/>
      <c r="Y912" s="4"/>
    </row>
    <row r="913">
      <c r="A913" s="5"/>
      <c r="B913" s="9"/>
      <c r="C913" s="5"/>
      <c r="D913" s="9"/>
      <c r="E913" s="9"/>
      <c r="F913" s="9"/>
      <c r="G913" s="9"/>
      <c r="H913" s="9"/>
      <c r="I913" s="9"/>
      <c r="J913" s="5"/>
      <c r="K913" s="4"/>
      <c r="L913" s="10"/>
      <c r="M913" s="10"/>
      <c r="N913" s="10"/>
      <c r="O913" s="10"/>
      <c r="P913" s="10"/>
      <c r="Q913" s="11"/>
      <c r="R913" s="9"/>
      <c r="S913" s="12"/>
      <c r="T913" s="5"/>
      <c r="U913" s="5"/>
      <c r="V913" s="4"/>
      <c r="W913" s="4"/>
      <c r="X913" s="4"/>
      <c r="Y913" s="4"/>
    </row>
    <row r="914">
      <c r="A914" s="5"/>
      <c r="B914" s="9"/>
      <c r="C914" s="5"/>
      <c r="D914" s="9"/>
      <c r="E914" s="9"/>
      <c r="F914" s="9"/>
      <c r="G914" s="9"/>
      <c r="H914" s="9"/>
      <c r="I914" s="9"/>
      <c r="J914" s="5"/>
      <c r="K914" s="4"/>
      <c r="L914" s="10"/>
      <c r="M914" s="10"/>
      <c r="N914" s="10"/>
      <c r="O914" s="10"/>
      <c r="P914" s="10"/>
      <c r="Q914" s="11"/>
      <c r="R914" s="9"/>
      <c r="S914" s="12"/>
      <c r="T914" s="5"/>
      <c r="U914" s="5"/>
      <c r="V914" s="4"/>
      <c r="W914" s="4"/>
      <c r="X914" s="4"/>
      <c r="Y914" s="4"/>
    </row>
    <row r="915">
      <c r="A915" s="5"/>
      <c r="B915" s="9"/>
      <c r="C915" s="5"/>
      <c r="D915" s="9"/>
      <c r="E915" s="9"/>
      <c r="F915" s="9"/>
      <c r="G915" s="9"/>
      <c r="H915" s="9"/>
      <c r="I915" s="9"/>
      <c r="J915" s="5"/>
      <c r="K915" s="4"/>
      <c r="L915" s="10"/>
      <c r="M915" s="10"/>
      <c r="N915" s="10"/>
      <c r="O915" s="10"/>
      <c r="P915" s="10"/>
      <c r="Q915" s="11"/>
      <c r="R915" s="9"/>
      <c r="S915" s="12"/>
      <c r="T915" s="5"/>
      <c r="U915" s="5"/>
      <c r="V915" s="4"/>
      <c r="W915" s="4"/>
      <c r="X915" s="4"/>
      <c r="Y915" s="4"/>
    </row>
    <row r="916">
      <c r="A916" s="5"/>
      <c r="B916" s="9"/>
      <c r="C916" s="5"/>
      <c r="D916" s="9"/>
      <c r="E916" s="9"/>
      <c r="F916" s="9"/>
      <c r="G916" s="9"/>
      <c r="H916" s="9"/>
      <c r="I916" s="9"/>
      <c r="J916" s="5"/>
      <c r="K916" s="4"/>
      <c r="L916" s="10"/>
      <c r="M916" s="10"/>
      <c r="N916" s="10"/>
      <c r="O916" s="10"/>
      <c r="P916" s="10"/>
      <c r="Q916" s="11"/>
      <c r="R916" s="9"/>
      <c r="S916" s="12"/>
      <c r="T916" s="5"/>
      <c r="U916" s="5"/>
      <c r="V916" s="4"/>
      <c r="W916" s="4"/>
      <c r="X916" s="4"/>
      <c r="Y916" s="4"/>
    </row>
    <row r="917">
      <c r="A917" s="5"/>
      <c r="B917" s="9"/>
      <c r="C917" s="5"/>
      <c r="D917" s="9"/>
      <c r="E917" s="9"/>
      <c r="F917" s="9"/>
      <c r="G917" s="9"/>
      <c r="H917" s="9"/>
      <c r="I917" s="9"/>
      <c r="J917" s="5"/>
      <c r="K917" s="4"/>
      <c r="L917" s="10"/>
      <c r="M917" s="10"/>
      <c r="N917" s="10"/>
      <c r="O917" s="10"/>
      <c r="P917" s="10"/>
      <c r="Q917" s="11"/>
      <c r="R917" s="9"/>
      <c r="S917" s="12"/>
      <c r="T917" s="5"/>
      <c r="U917" s="5"/>
      <c r="V917" s="4"/>
      <c r="W917" s="4"/>
      <c r="X917" s="4"/>
      <c r="Y917" s="4"/>
    </row>
    <row r="918">
      <c r="A918" s="5"/>
      <c r="B918" s="9"/>
      <c r="C918" s="5"/>
      <c r="D918" s="9"/>
      <c r="E918" s="9"/>
      <c r="F918" s="9"/>
      <c r="G918" s="9"/>
      <c r="H918" s="9"/>
      <c r="I918" s="9"/>
      <c r="J918" s="5"/>
      <c r="K918" s="4"/>
      <c r="L918" s="10"/>
      <c r="M918" s="10"/>
      <c r="N918" s="10"/>
      <c r="O918" s="10"/>
      <c r="P918" s="10"/>
      <c r="Q918" s="11"/>
      <c r="R918" s="9"/>
      <c r="S918" s="12"/>
      <c r="T918" s="5"/>
      <c r="U918" s="5"/>
      <c r="V918" s="4"/>
      <c r="W918" s="4"/>
      <c r="X918" s="4"/>
      <c r="Y918" s="4"/>
    </row>
    <row r="919">
      <c r="A919" s="5"/>
      <c r="B919" s="9"/>
      <c r="C919" s="5"/>
      <c r="D919" s="9"/>
      <c r="E919" s="9"/>
      <c r="F919" s="9"/>
      <c r="G919" s="9"/>
      <c r="H919" s="9"/>
      <c r="I919" s="9"/>
      <c r="J919" s="5"/>
      <c r="K919" s="4"/>
      <c r="L919" s="10"/>
      <c r="M919" s="10"/>
      <c r="N919" s="10"/>
      <c r="O919" s="10"/>
      <c r="P919" s="10"/>
      <c r="Q919" s="11"/>
      <c r="R919" s="9"/>
      <c r="S919" s="12"/>
      <c r="T919" s="5"/>
      <c r="U919" s="5"/>
      <c r="V919" s="4"/>
      <c r="W919" s="4"/>
      <c r="X919" s="4"/>
      <c r="Y919" s="4"/>
    </row>
    <row r="920">
      <c r="A920" s="5"/>
      <c r="B920" s="9"/>
      <c r="C920" s="5"/>
      <c r="D920" s="9"/>
      <c r="E920" s="9"/>
      <c r="F920" s="9"/>
      <c r="G920" s="9"/>
      <c r="H920" s="9"/>
      <c r="I920" s="9"/>
      <c r="J920" s="5"/>
      <c r="K920" s="4"/>
      <c r="L920" s="10"/>
      <c r="M920" s="10"/>
      <c r="N920" s="10"/>
      <c r="O920" s="10"/>
      <c r="P920" s="10"/>
      <c r="Q920" s="11"/>
      <c r="R920" s="9"/>
      <c r="S920" s="12"/>
      <c r="T920" s="5"/>
      <c r="U920" s="5"/>
      <c r="V920" s="4"/>
      <c r="W920" s="4"/>
      <c r="X920" s="4"/>
      <c r="Y920" s="4"/>
    </row>
    <row r="921">
      <c r="A921" s="5"/>
      <c r="B921" s="9"/>
      <c r="C921" s="5"/>
      <c r="D921" s="9"/>
      <c r="E921" s="9"/>
      <c r="F921" s="9"/>
      <c r="G921" s="9"/>
      <c r="H921" s="9"/>
      <c r="I921" s="9"/>
      <c r="J921" s="5"/>
      <c r="K921" s="4"/>
      <c r="L921" s="10"/>
      <c r="M921" s="10"/>
      <c r="N921" s="10"/>
      <c r="O921" s="10"/>
      <c r="P921" s="10"/>
      <c r="Q921" s="11"/>
      <c r="R921" s="9"/>
      <c r="S921" s="12"/>
      <c r="T921" s="5"/>
      <c r="U921" s="5"/>
      <c r="V921" s="4"/>
      <c r="W921" s="4"/>
      <c r="X921" s="4"/>
      <c r="Y921" s="4"/>
    </row>
    <row r="922">
      <c r="A922" s="5"/>
      <c r="B922" s="9"/>
      <c r="C922" s="5"/>
      <c r="D922" s="9"/>
      <c r="E922" s="9"/>
      <c r="F922" s="9"/>
      <c r="G922" s="9"/>
      <c r="H922" s="9"/>
      <c r="I922" s="9"/>
      <c r="J922" s="5"/>
      <c r="K922" s="4"/>
      <c r="L922" s="10"/>
      <c r="M922" s="10"/>
      <c r="N922" s="10"/>
      <c r="O922" s="10"/>
      <c r="P922" s="10"/>
      <c r="Q922" s="11"/>
      <c r="R922" s="9"/>
      <c r="S922" s="12"/>
      <c r="T922" s="5"/>
      <c r="U922" s="5"/>
      <c r="V922" s="4"/>
      <c r="W922" s="4"/>
      <c r="X922" s="4"/>
      <c r="Y922" s="4"/>
    </row>
    <row r="923">
      <c r="A923" s="5"/>
      <c r="B923" s="9"/>
      <c r="C923" s="5"/>
      <c r="D923" s="9"/>
      <c r="E923" s="9"/>
      <c r="F923" s="9"/>
      <c r="G923" s="9"/>
      <c r="H923" s="9"/>
      <c r="I923" s="9"/>
      <c r="J923" s="5"/>
      <c r="K923" s="4"/>
      <c r="L923" s="10"/>
      <c r="M923" s="10"/>
      <c r="N923" s="10"/>
      <c r="O923" s="10"/>
      <c r="P923" s="10"/>
      <c r="Q923" s="11"/>
      <c r="R923" s="9"/>
      <c r="S923" s="12"/>
      <c r="T923" s="5"/>
      <c r="U923" s="5"/>
      <c r="V923" s="4"/>
      <c r="W923" s="4"/>
      <c r="X923" s="4"/>
      <c r="Y923" s="4"/>
    </row>
    <row r="924">
      <c r="A924" s="5"/>
      <c r="B924" s="9"/>
      <c r="C924" s="5"/>
      <c r="D924" s="9"/>
      <c r="E924" s="9"/>
      <c r="F924" s="9"/>
      <c r="G924" s="9"/>
      <c r="H924" s="9"/>
      <c r="I924" s="9"/>
      <c r="J924" s="5"/>
      <c r="K924" s="4"/>
      <c r="L924" s="10"/>
      <c r="M924" s="10"/>
      <c r="N924" s="10"/>
      <c r="O924" s="10"/>
      <c r="P924" s="10"/>
      <c r="Q924" s="11"/>
      <c r="R924" s="9"/>
      <c r="S924" s="12"/>
      <c r="T924" s="5"/>
      <c r="U924" s="5"/>
      <c r="V924" s="4"/>
      <c r="W924" s="4"/>
      <c r="X924" s="4"/>
      <c r="Y924" s="4"/>
    </row>
    <row r="925">
      <c r="A925" s="5"/>
      <c r="B925" s="9"/>
      <c r="C925" s="5"/>
      <c r="D925" s="9"/>
      <c r="E925" s="9"/>
      <c r="F925" s="9"/>
      <c r="G925" s="9"/>
      <c r="H925" s="9"/>
      <c r="I925" s="9"/>
      <c r="J925" s="5"/>
      <c r="K925" s="4"/>
      <c r="L925" s="10"/>
      <c r="M925" s="10"/>
      <c r="N925" s="10"/>
      <c r="O925" s="10"/>
      <c r="P925" s="10"/>
      <c r="Q925" s="11"/>
      <c r="R925" s="9"/>
      <c r="S925" s="12"/>
      <c r="T925" s="5"/>
      <c r="U925" s="5"/>
      <c r="V925" s="4"/>
      <c r="W925" s="4"/>
      <c r="X925" s="4"/>
      <c r="Y925" s="4"/>
    </row>
    <row r="926">
      <c r="A926" s="5"/>
      <c r="B926" s="9"/>
      <c r="C926" s="5"/>
      <c r="D926" s="9"/>
      <c r="E926" s="9"/>
      <c r="F926" s="9"/>
      <c r="G926" s="9"/>
      <c r="H926" s="9"/>
      <c r="I926" s="9"/>
      <c r="J926" s="5"/>
      <c r="K926" s="4"/>
      <c r="L926" s="10"/>
      <c r="M926" s="10"/>
      <c r="N926" s="10"/>
      <c r="O926" s="10"/>
      <c r="P926" s="10"/>
      <c r="Q926" s="11"/>
      <c r="R926" s="9"/>
      <c r="S926" s="12"/>
      <c r="T926" s="5"/>
      <c r="U926" s="5"/>
      <c r="V926" s="4"/>
      <c r="W926" s="4"/>
      <c r="X926" s="4"/>
      <c r="Y926" s="4"/>
    </row>
    <row r="927">
      <c r="A927" s="5"/>
      <c r="B927" s="9"/>
      <c r="C927" s="5"/>
      <c r="D927" s="9"/>
      <c r="E927" s="9"/>
      <c r="F927" s="9"/>
      <c r="G927" s="9"/>
      <c r="H927" s="9"/>
      <c r="I927" s="9"/>
      <c r="J927" s="5"/>
      <c r="K927" s="4"/>
      <c r="L927" s="10"/>
      <c r="M927" s="10"/>
      <c r="N927" s="10"/>
      <c r="O927" s="10"/>
      <c r="P927" s="10"/>
      <c r="Q927" s="11"/>
      <c r="R927" s="9"/>
      <c r="S927" s="12"/>
      <c r="T927" s="5"/>
      <c r="U927" s="5"/>
      <c r="V927" s="4"/>
      <c r="W927" s="4"/>
      <c r="X927" s="4"/>
      <c r="Y927" s="4"/>
    </row>
    <row r="928">
      <c r="A928" s="5"/>
      <c r="B928" s="9"/>
      <c r="C928" s="5"/>
      <c r="D928" s="9"/>
      <c r="E928" s="9"/>
      <c r="F928" s="9"/>
      <c r="G928" s="9"/>
      <c r="H928" s="9"/>
      <c r="I928" s="9"/>
      <c r="J928" s="5"/>
      <c r="K928" s="4"/>
      <c r="L928" s="10"/>
      <c r="M928" s="10"/>
      <c r="N928" s="10"/>
      <c r="O928" s="10"/>
      <c r="P928" s="10"/>
      <c r="Q928" s="11"/>
      <c r="R928" s="9"/>
      <c r="S928" s="12"/>
      <c r="T928" s="5"/>
      <c r="U928" s="5"/>
      <c r="V928" s="4"/>
      <c r="W928" s="4"/>
      <c r="X928" s="4"/>
      <c r="Y928" s="4"/>
    </row>
    <row r="929">
      <c r="A929" s="5"/>
      <c r="B929" s="9"/>
      <c r="C929" s="5"/>
      <c r="D929" s="9"/>
      <c r="E929" s="9"/>
      <c r="F929" s="9"/>
      <c r="G929" s="9"/>
      <c r="H929" s="9"/>
      <c r="I929" s="9"/>
      <c r="J929" s="5"/>
      <c r="K929" s="4"/>
      <c r="L929" s="10"/>
      <c r="M929" s="10"/>
      <c r="N929" s="10"/>
      <c r="O929" s="10"/>
      <c r="P929" s="10"/>
      <c r="Q929" s="11"/>
      <c r="R929" s="9"/>
      <c r="S929" s="12"/>
      <c r="T929" s="5"/>
      <c r="U929" s="5"/>
      <c r="V929" s="4"/>
      <c r="W929" s="4"/>
      <c r="X929" s="4"/>
      <c r="Y929" s="4"/>
    </row>
    <row r="930">
      <c r="A930" s="5"/>
      <c r="B930" s="9"/>
      <c r="C930" s="5"/>
      <c r="D930" s="9"/>
      <c r="E930" s="9"/>
      <c r="F930" s="9"/>
      <c r="G930" s="9"/>
      <c r="H930" s="9"/>
      <c r="I930" s="9"/>
      <c r="J930" s="5"/>
      <c r="K930" s="4"/>
      <c r="L930" s="10"/>
      <c r="M930" s="10"/>
      <c r="N930" s="10"/>
      <c r="O930" s="10"/>
      <c r="P930" s="10"/>
      <c r="Q930" s="11"/>
      <c r="R930" s="9"/>
      <c r="S930" s="12"/>
      <c r="T930" s="5"/>
      <c r="U930" s="5"/>
      <c r="V930" s="4"/>
      <c r="W930" s="4"/>
      <c r="X930" s="4"/>
      <c r="Y930" s="4"/>
    </row>
    <row r="931">
      <c r="A931" s="5"/>
      <c r="B931" s="9"/>
      <c r="C931" s="5"/>
      <c r="D931" s="9"/>
      <c r="E931" s="9"/>
      <c r="F931" s="9"/>
      <c r="G931" s="9"/>
      <c r="H931" s="9"/>
      <c r="I931" s="9"/>
      <c r="J931" s="5"/>
      <c r="K931" s="4"/>
      <c r="L931" s="10"/>
      <c r="M931" s="10"/>
      <c r="N931" s="10"/>
      <c r="O931" s="10"/>
      <c r="P931" s="10"/>
      <c r="Q931" s="11"/>
      <c r="R931" s="9"/>
      <c r="S931" s="12"/>
      <c r="T931" s="5"/>
      <c r="U931" s="5"/>
      <c r="V931" s="4"/>
      <c r="W931" s="4"/>
      <c r="X931" s="4"/>
      <c r="Y931" s="4"/>
    </row>
    <row r="932">
      <c r="A932" s="5"/>
      <c r="B932" s="9"/>
      <c r="C932" s="5"/>
      <c r="D932" s="9"/>
      <c r="E932" s="9"/>
      <c r="F932" s="9"/>
      <c r="G932" s="9"/>
      <c r="H932" s="9"/>
      <c r="I932" s="9"/>
      <c r="J932" s="5"/>
      <c r="K932" s="4"/>
      <c r="L932" s="10"/>
      <c r="M932" s="10"/>
      <c r="N932" s="10"/>
      <c r="O932" s="10"/>
      <c r="P932" s="10"/>
      <c r="Q932" s="11"/>
      <c r="R932" s="9"/>
      <c r="S932" s="12"/>
      <c r="T932" s="5"/>
      <c r="U932" s="5"/>
      <c r="V932" s="4"/>
      <c r="W932" s="4"/>
      <c r="X932" s="4"/>
      <c r="Y932" s="4"/>
    </row>
    <row r="933">
      <c r="A933" s="5"/>
      <c r="B933" s="9"/>
      <c r="C933" s="5"/>
      <c r="D933" s="9"/>
      <c r="E933" s="9"/>
      <c r="F933" s="9"/>
      <c r="G933" s="9"/>
      <c r="H933" s="9"/>
      <c r="I933" s="9"/>
      <c r="J933" s="5"/>
      <c r="K933" s="4"/>
      <c r="L933" s="10"/>
      <c r="M933" s="10"/>
      <c r="N933" s="10"/>
      <c r="O933" s="10"/>
      <c r="P933" s="10"/>
      <c r="Q933" s="11"/>
      <c r="R933" s="9"/>
      <c r="S933" s="12"/>
      <c r="T933" s="5"/>
      <c r="U933" s="5"/>
      <c r="V933" s="4"/>
      <c r="W933" s="4"/>
      <c r="X933" s="4"/>
      <c r="Y933" s="4"/>
    </row>
    <row r="934">
      <c r="A934" s="5"/>
      <c r="B934" s="9"/>
      <c r="C934" s="5"/>
      <c r="D934" s="9"/>
      <c r="E934" s="9"/>
      <c r="F934" s="9"/>
      <c r="G934" s="9"/>
      <c r="H934" s="9"/>
      <c r="I934" s="9"/>
      <c r="J934" s="5"/>
      <c r="K934" s="4"/>
      <c r="L934" s="10"/>
      <c r="M934" s="10"/>
      <c r="N934" s="10"/>
      <c r="O934" s="10"/>
      <c r="P934" s="10"/>
      <c r="Q934" s="11"/>
      <c r="R934" s="9"/>
      <c r="S934" s="12"/>
      <c r="T934" s="5"/>
      <c r="U934" s="5"/>
      <c r="V934" s="4"/>
      <c r="W934" s="4"/>
      <c r="X934" s="4"/>
      <c r="Y934" s="4"/>
    </row>
    <row r="935">
      <c r="A935" s="5"/>
      <c r="B935" s="9"/>
      <c r="C935" s="5"/>
      <c r="D935" s="9"/>
      <c r="E935" s="9"/>
      <c r="F935" s="9"/>
      <c r="G935" s="9"/>
      <c r="H935" s="9"/>
      <c r="I935" s="9"/>
      <c r="J935" s="5"/>
      <c r="K935" s="4"/>
      <c r="L935" s="10"/>
      <c r="M935" s="10"/>
      <c r="N935" s="10"/>
      <c r="O935" s="10"/>
      <c r="P935" s="10"/>
      <c r="Q935" s="11"/>
      <c r="R935" s="9"/>
      <c r="S935" s="12"/>
      <c r="T935" s="5"/>
      <c r="U935" s="5"/>
      <c r="V935" s="4"/>
      <c r="W935" s="4"/>
      <c r="X935" s="4"/>
      <c r="Y935" s="4"/>
    </row>
    <row r="936">
      <c r="A936" s="5"/>
      <c r="B936" s="9"/>
      <c r="C936" s="5"/>
      <c r="D936" s="9"/>
      <c r="E936" s="9"/>
      <c r="F936" s="9"/>
      <c r="G936" s="9"/>
      <c r="H936" s="9"/>
      <c r="I936" s="9"/>
      <c r="J936" s="5"/>
      <c r="K936" s="4"/>
      <c r="L936" s="10"/>
      <c r="M936" s="10"/>
      <c r="N936" s="10"/>
      <c r="O936" s="10"/>
      <c r="P936" s="10"/>
      <c r="Q936" s="11"/>
      <c r="R936" s="9"/>
      <c r="S936" s="12"/>
      <c r="T936" s="5"/>
      <c r="U936" s="5"/>
      <c r="V936" s="4"/>
      <c r="W936" s="4"/>
      <c r="X936" s="4"/>
      <c r="Y936" s="4"/>
    </row>
    <row r="937">
      <c r="A937" s="5"/>
      <c r="B937" s="9"/>
      <c r="C937" s="5"/>
      <c r="D937" s="9"/>
      <c r="E937" s="9"/>
      <c r="F937" s="9"/>
      <c r="G937" s="9"/>
      <c r="H937" s="9"/>
      <c r="I937" s="9"/>
      <c r="J937" s="5"/>
      <c r="K937" s="4"/>
      <c r="L937" s="10"/>
      <c r="M937" s="10"/>
      <c r="N937" s="10"/>
      <c r="O937" s="10"/>
      <c r="P937" s="10"/>
      <c r="Q937" s="11"/>
      <c r="R937" s="9"/>
      <c r="S937" s="12"/>
      <c r="T937" s="5"/>
      <c r="U937" s="5"/>
      <c r="V937" s="4"/>
      <c r="W937" s="4"/>
      <c r="X937" s="4"/>
      <c r="Y937" s="4"/>
    </row>
    <row r="938">
      <c r="A938" s="5"/>
      <c r="B938" s="9"/>
      <c r="C938" s="5"/>
      <c r="D938" s="9"/>
      <c r="E938" s="9"/>
      <c r="F938" s="9"/>
      <c r="G938" s="9"/>
      <c r="H938" s="9"/>
      <c r="I938" s="9"/>
      <c r="J938" s="5"/>
      <c r="K938" s="4"/>
      <c r="L938" s="10"/>
      <c r="M938" s="10"/>
      <c r="N938" s="10"/>
      <c r="O938" s="10"/>
      <c r="P938" s="10"/>
      <c r="Q938" s="11"/>
      <c r="R938" s="9"/>
      <c r="S938" s="12"/>
      <c r="T938" s="5"/>
      <c r="U938" s="5"/>
      <c r="V938" s="4"/>
      <c r="W938" s="4"/>
      <c r="X938" s="4"/>
      <c r="Y938" s="4"/>
    </row>
    <row r="939">
      <c r="A939" s="5"/>
      <c r="B939" s="9"/>
      <c r="C939" s="5"/>
      <c r="D939" s="9"/>
      <c r="E939" s="9"/>
      <c r="F939" s="9"/>
      <c r="G939" s="9"/>
      <c r="H939" s="9"/>
      <c r="I939" s="9"/>
      <c r="J939" s="5"/>
      <c r="K939" s="4"/>
      <c r="L939" s="10"/>
      <c r="M939" s="10"/>
      <c r="N939" s="10"/>
      <c r="O939" s="10"/>
      <c r="P939" s="10"/>
      <c r="Q939" s="11"/>
      <c r="R939" s="9"/>
      <c r="S939" s="12"/>
      <c r="T939" s="5"/>
      <c r="U939" s="5"/>
      <c r="V939" s="4"/>
      <c r="W939" s="4"/>
      <c r="X939" s="4"/>
      <c r="Y939" s="4"/>
    </row>
    <row r="940">
      <c r="A940" s="5"/>
      <c r="B940" s="9"/>
      <c r="C940" s="5"/>
      <c r="D940" s="9"/>
      <c r="E940" s="9"/>
      <c r="F940" s="9"/>
      <c r="G940" s="9"/>
      <c r="H940" s="9"/>
      <c r="I940" s="9"/>
      <c r="J940" s="5"/>
      <c r="K940" s="4"/>
      <c r="L940" s="10"/>
      <c r="M940" s="10"/>
      <c r="N940" s="10"/>
      <c r="O940" s="10"/>
      <c r="P940" s="10"/>
      <c r="Q940" s="11"/>
      <c r="R940" s="9"/>
      <c r="S940" s="12"/>
      <c r="T940" s="5"/>
      <c r="U940" s="5"/>
      <c r="V940" s="4"/>
      <c r="W940" s="4"/>
      <c r="X940" s="4"/>
      <c r="Y940" s="4"/>
    </row>
    <row r="941">
      <c r="A941" s="5"/>
      <c r="B941" s="9"/>
      <c r="C941" s="5"/>
      <c r="D941" s="9"/>
      <c r="E941" s="9"/>
      <c r="F941" s="9"/>
      <c r="G941" s="9"/>
      <c r="H941" s="9"/>
      <c r="I941" s="9"/>
      <c r="J941" s="5"/>
      <c r="K941" s="4"/>
      <c r="L941" s="10"/>
      <c r="M941" s="10"/>
      <c r="N941" s="10"/>
      <c r="O941" s="10"/>
      <c r="P941" s="10"/>
      <c r="Q941" s="11"/>
      <c r="R941" s="9"/>
      <c r="S941" s="12"/>
      <c r="T941" s="5"/>
      <c r="U941" s="5"/>
      <c r="V941" s="4"/>
      <c r="W941" s="4"/>
      <c r="X941" s="4"/>
      <c r="Y94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13"/>
    <col customWidth="1" min="3" max="3" width="54.5"/>
    <col customWidth="1" min="4" max="4" width="8.25"/>
    <col customWidth="1" min="5" max="5" width="55.0"/>
    <col customWidth="1" min="6" max="6" width="10.63"/>
    <col customWidth="1" min="7" max="7" width="15.63"/>
  </cols>
  <sheetData>
    <row r="1">
      <c r="A1" s="13" t="s">
        <v>62</v>
      </c>
      <c r="B1" s="14" t="s">
        <v>63</v>
      </c>
      <c r="C1" s="13" t="s">
        <v>64</v>
      </c>
      <c r="D1" s="13" t="s">
        <v>65</v>
      </c>
      <c r="E1" s="13" t="s">
        <v>66</v>
      </c>
      <c r="F1" s="13" t="s">
        <v>67</v>
      </c>
      <c r="G1" s="13" t="s">
        <v>68</v>
      </c>
      <c r="H1" s="13" t="s">
        <v>69</v>
      </c>
      <c r="I1" s="15" t="s">
        <v>70</v>
      </c>
      <c r="J1" s="16" t="s">
        <v>71</v>
      </c>
      <c r="K1" s="17" t="s">
        <v>72</v>
      </c>
      <c r="L1" s="17" t="s">
        <v>73</v>
      </c>
      <c r="M1" s="17" t="s">
        <v>74</v>
      </c>
      <c r="N1" s="17" t="s">
        <v>75</v>
      </c>
      <c r="O1" s="17" t="s">
        <v>76</v>
      </c>
      <c r="P1" s="17" t="s">
        <v>77</v>
      </c>
      <c r="Q1" s="17" t="s">
        <v>78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>
      <c r="A2" s="19" t="s">
        <v>79</v>
      </c>
      <c r="B2" s="20" t="s">
        <v>80</v>
      </c>
      <c r="C2" s="19" t="s">
        <v>81</v>
      </c>
      <c r="D2" s="19">
        <v>5.0</v>
      </c>
      <c r="E2" s="19" t="s">
        <v>82</v>
      </c>
      <c r="F2" s="19">
        <v>2.0</v>
      </c>
      <c r="G2" s="21">
        <v>46063.018055555556</v>
      </c>
      <c r="H2" s="19" t="s">
        <v>83</v>
      </c>
      <c r="I2" s="22" t="s">
        <v>84</v>
      </c>
      <c r="J2" s="23" t="str">
        <f>IFERROR(__xludf.DUMMYFUNCTION("ARRAYFORMULA(REGEXEXTRACT(SPLIT(C2, ""&lt;br&gt;""), ""([가-힣A-Za-z]+)""))"),"신형만")</f>
        <v>신형만</v>
      </c>
      <c r="K2" s="24" t="str">
        <f>IFERROR(__xludf.DUMMYFUNCTION("""COMPUTED_VALUE"""),"박서")</f>
        <v>박서</v>
      </c>
      <c r="L2" s="24" t="str">
        <f>IFERROR(__xludf.DUMMYFUNCTION("""COMPUTED_VALUE"""),"학생")</f>
        <v>학생</v>
      </c>
      <c r="M2" s="24" t="str">
        <f>IFERROR(__xludf.DUMMYFUNCTION("""COMPUTED_VALUE"""),"규식")</f>
        <v>규식</v>
      </c>
      <c r="N2" s="24" t="str">
        <f>IFERROR(__xludf.DUMMYFUNCTION("ARRAYFORMULA(REGEXEXTRACT(SPLIT(E2, ""&lt;br&gt;""), ""([가-힣A-Za-z]+)""))"),"깡패")</f>
        <v>깡패</v>
      </c>
      <c r="O2" s="24" t="str">
        <f>IFERROR(__xludf.DUMMYFUNCTION("""COMPUTED_VALUE"""),"혀니")</f>
        <v>혀니</v>
      </c>
      <c r="P2" s="24" t="str">
        <f>IFERROR(__xludf.DUMMYFUNCTION("""COMPUTED_VALUE"""),"터미")</f>
        <v>터미</v>
      </c>
      <c r="Q2" s="24" t="str">
        <f>IFERROR(__xludf.DUMMYFUNCTION("""COMPUTED_VALUE"""),"민우")</f>
        <v>민우</v>
      </c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19" t="s">
        <v>85</v>
      </c>
      <c r="B3" s="20" t="s">
        <v>86</v>
      </c>
      <c r="C3" s="19" t="s">
        <v>87</v>
      </c>
      <c r="D3" s="19">
        <v>5.0</v>
      </c>
      <c r="E3" s="19" t="s">
        <v>88</v>
      </c>
      <c r="F3" s="19">
        <v>1.0</v>
      </c>
      <c r="G3" s="21">
        <v>46062.98402777778</v>
      </c>
      <c r="H3" s="19" t="s">
        <v>83</v>
      </c>
      <c r="I3" s="22" t="s">
        <v>84</v>
      </c>
      <c r="J3" s="23" t="str">
        <f>IFERROR(__xludf.DUMMYFUNCTION("ARRAYFORMULA(REGEXEXTRACT(SPLIT(C3, ""&lt;br&gt;""), ""([가-힣A-Za-z]+)""))"),"학생")</f>
        <v>학생</v>
      </c>
      <c r="K3" s="24" t="str">
        <f>IFERROR(__xludf.DUMMYFUNCTION("""COMPUTED_VALUE"""),"혀니")</f>
        <v>혀니</v>
      </c>
      <c r="L3" s="24" t="str">
        <f>IFERROR(__xludf.DUMMYFUNCTION("""COMPUTED_VALUE"""),"테리")</f>
        <v>테리</v>
      </c>
      <c r="M3" s="24" t="str">
        <f>IFERROR(__xludf.DUMMYFUNCTION("""COMPUTED_VALUE"""),"박서")</f>
        <v>박서</v>
      </c>
      <c r="N3" s="24" t="str">
        <f>IFERROR(__xludf.DUMMYFUNCTION("ARRAYFORMULA(REGEXEXTRACT(SPLIT(E3, ""&lt;br&gt;""), ""([가-힣A-Za-z]+)""))"),"한메")</f>
        <v>한메</v>
      </c>
      <c r="O3" s="24" t="str">
        <f>IFERROR(__xludf.DUMMYFUNCTION("""COMPUTED_VALUE"""),"깡패")</f>
        <v>깡패</v>
      </c>
      <c r="P3" s="24" t="str">
        <f>IFERROR(__xludf.DUMMYFUNCTION("""COMPUTED_VALUE"""),"터미")</f>
        <v>터미</v>
      </c>
      <c r="Q3" s="24" t="str">
        <f>IFERROR(__xludf.DUMMYFUNCTION("""COMPUTED_VALUE"""),"신형만")</f>
        <v>신형만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9" t="s">
        <v>89</v>
      </c>
      <c r="B4" s="20" t="s">
        <v>90</v>
      </c>
      <c r="C4" s="19" t="s">
        <v>91</v>
      </c>
      <c r="D4" s="19">
        <v>5.0</v>
      </c>
      <c r="E4" s="19" t="s">
        <v>92</v>
      </c>
      <c r="F4" s="19">
        <v>4.0</v>
      </c>
      <c r="G4" s="21">
        <v>46062.95972222222</v>
      </c>
      <c r="H4" s="19" t="s">
        <v>83</v>
      </c>
      <c r="I4" s="22" t="s">
        <v>84</v>
      </c>
      <c r="J4" s="23" t="str">
        <f>IFERROR(__xludf.DUMMYFUNCTION("ARRAYFORMULA(REGEXEXTRACT(SPLIT(C4, ""&lt;br&gt;""), ""([가-힣A-Za-z]+)""))"),"박서")</f>
        <v>박서</v>
      </c>
      <c r="K4" s="24" t="str">
        <f>IFERROR(__xludf.DUMMYFUNCTION("""COMPUTED_VALUE"""),"신형만")</f>
        <v>신형만</v>
      </c>
      <c r="L4" s="24" t="str">
        <f>IFERROR(__xludf.DUMMYFUNCTION("""COMPUTED_VALUE"""),"학생")</f>
        <v>학생</v>
      </c>
      <c r="M4" s="24" t="str">
        <f>IFERROR(__xludf.DUMMYFUNCTION("""COMPUTED_VALUE"""),"터미")</f>
        <v>터미</v>
      </c>
      <c r="N4" s="24" t="str">
        <f>IFERROR(__xludf.DUMMYFUNCTION("ARRAYFORMULA(REGEXEXTRACT(SPLIT(E4, ""&lt;br&gt;""), ""([가-힣A-Za-z]+)""))"),"깡패")</f>
        <v>깡패</v>
      </c>
      <c r="O4" s="24" t="str">
        <f>IFERROR(__xludf.DUMMYFUNCTION("""COMPUTED_VALUE"""),"테리")</f>
        <v>테리</v>
      </c>
      <c r="P4" s="24" t="str">
        <f>IFERROR(__xludf.DUMMYFUNCTION("""COMPUTED_VALUE"""),"한메")</f>
        <v>한메</v>
      </c>
      <c r="Q4" s="24" t="str">
        <f>IFERROR(__xludf.DUMMYFUNCTION("""COMPUTED_VALUE"""),"혀니")</f>
        <v>혀니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93</v>
      </c>
      <c r="B5" s="20" t="s">
        <v>94</v>
      </c>
      <c r="C5" s="19" t="s">
        <v>95</v>
      </c>
      <c r="D5" s="19">
        <v>5.0</v>
      </c>
      <c r="E5" s="19" t="s">
        <v>96</v>
      </c>
      <c r="F5" s="19">
        <v>2.0</v>
      </c>
      <c r="G5" s="21">
        <v>46062.930555555555</v>
      </c>
      <c r="H5" s="19" t="s">
        <v>83</v>
      </c>
      <c r="I5" s="22" t="s">
        <v>84</v>
      </c>
      <c r="J5" s="23" t="str">
        <f>IFERROR(__xludf.DUMMYFUNCTION("ARRAYFORMULA(REGEXEXTRACT(SPLIT(C5, ""&lt;br&gt;""), ""([가-힣A-Za-z]+)""))"),"테리")</f>
        <v>테리</v>
      </c>
      <c r="K5" s="24" t="str">
        <f>IFERROR(__xludf.DUMMYFUNCTION("""COMPUTED_VALUE"""),"박서")</f>
        <v>박서</v>
      </c>
      <c r="L5" s="24" t="str">
        <f>IFERROR(__xludf.DUMMYFUNCTION("""COMPUTED_VALUE"""),"터미")</f>
        <v>터미</v>
      </c>
      <c r="M5" s="24" t="str">
        <f>IFERROR(__xludf.DUMMYFUNCTION("""COMPUTED_VALUE"""),"한메")</f>
        <v>한메</v>
      </c>
      <c r="N5" s="24" t="str">
        <f>IFERROR(__xludf.DUMMYFUNCTION("ARRAYFORMULA(REGEXEXTRACT(SPLIT(E5, ""&lt;br&gt;""), ""([가-힣A-Za-z]+)""))"),"학생")</f>
        <v>학생</v>
      </c>
      <c r="O5" s="24" t="str">
        <f>IFERROR(__xludf.DUMMYFUNCTION("""COMPUTED_VALUE"""),"깡패")</f>
        <v>깡패</v>
      </c>
      <c r="P5" s="24" t="str">
        <f>IFERROR(__xludf.DUMMYFUNCTION("""COMPUTED_VALUE"""),"혀니")</f>
        <v>혀니</v>
      </c>
      <c r="Q5" s="24" t="str">
        <f>IFERROR(__xludf.DUMMYFUNCTION("""COMPUTED_VALUE"""),"신형만")</f>
        <v>신형만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9" t="s">
        <v>97</v>
      </c>
      <c r="B6" s="20" t="s">
        <v>98</v>
      </c>
      <c r="C6" s="19" t="s">
        <v>99</v>
      </c>
      <c r="D6" s="19">
        <v>5.0</v>
      </c>
      <c r="E6" s="19" t="s">
        <v>100</v>
      </c>
      <c r="F6" s="19">
        <v>1.0</v>
      </c>
      <c r="G6" s="21">
        <v>46062.902083333334</v>
      </c>
      <c r="H6" s="19" t="s">
        <v>83</v>
      </c>
      <c r="I6" s="22" t="s">
        <v>101</v>
      </c>
      <c r="J6" s="23" t="str">
        <f>IFERROR(__xludf.DUMMYFUNCTION("ARRAYFORMULA(REGEXEXTRACT(SPLIT(C6, ""&lt;br&gt;""), ""([가-힣A-Za-z]+)""))"),"테리")</f>
        <v>테리</v>
      </c>
      <c r="K6" s="24" t="str">
        <f>IFERROR(__xludf.DUMMYFUNCTION("""COMPUTED_VALUE"""),"깡패")</f>
        <v>깡패</v>
      </c>
      <c r="L6" s="24" t="str">
        <f>IFERROR(__xludf.DUMMYFUNCTION("""COMPUTED_VALUE"""),"규식")</f>
        <v>규식</v>
      </c>
      <c r="M6" s="24" t="str">
        <f>IFERROR(__xludf.DUMMYFUNCTION("""COMPUTED_VALUE"""),"터미")</f>
        <v>터미</v>
      </c>
      <c r="N6" s="24" t="str">
        <f>IFERROR(__xludf.DUMMYFUNCTION("ARRAYFORMULA(REGEXEXTRACT(SPLIT(E6, ""&lt;br&gt;""), ""([가-힣A-Za-z]+)""))"),"박서")</f>
        <v>박서</v>
      </c>
      <c r="O6" s="24" t="str">
        <f>IFERROR(__xludf.DUMMYFUNCTION("""COMPUTED_VALUE"""),"학생")</f>
        <v>학생</v>
      </c>
      <c r="P6" s="24" t="str">
        <f>IFERROR(__xludf.DUMMYFUNCTION("""COMPUTED_VALUE"""),"한메")</f>
        <v>한메</v>
      </c>
      <c r="Q6" s="24" t="str">
        <f>IFERROR(__xludf.DUMMYFUNCTION("""COMPUTED_VALUE"""),"기재")</f>
        <v>기재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9" t="s">
        <v>102</v>
      </c>
      <c r="B7" s="20" t="s">
        <v>103</v>
      </c>
      <c r="C7" s="19" t="s">
        <v>104</v>
      </c>
      <c r="D7" s="19">
        <v>5.0</v>
      </c>
      <c r="E7" s="19" t="s">
        <v>105</v>
      </c>
      <c r="F7" s="19">
        <v>2.0</v>
      </c>
      <c r="G7" s="21">
        <v>46062.88333333333</v>
      </c>
      <c r="H7" s="19" t="s">
        <v>83</v>
      </c>
      <c r="I7" s="22" t="s">
        <v>101</v>
      </c>
      <c r="J7" s="23" t="str">
        <f>IFERROR(__xludf.DUMMYFUNCTION("ARRAYFORMULA(REGEXEXTRACT(SPLIT(C7, ""&lt;br&gt;""), ""([가-힣A-Za-z]+)""))"),"깡패")</f>
        <v>깡패</v>
      </c>
      <c r="K7" s="24" t="str">
        <f>IFERROR(__xludf.DUMMYFUNCTION("""COMPUTED_VALUE"""),"규식")</f>
        <v>규식</v>
      </c>
      <c r="L7" s="24" t="str">
        <f>IFERROR(__xludf.DUMMYFUNCTION("""COMPUTED_VALUE"""),"기재")</f>
        <v>기재</v>
      </c>
      <c r="M7" s="24" t="str">
        <f>IFERROR(__xludf.DUMMYFUNCTION("""COMPUTED_VALUE"""),"한메")</f>
        <v>한메</v>
      </c>
      <c r="N7" s="24" t="str">
        <f>IFERROR(__xludf.DUMMYFUNCTION("ARRAYFORMULA(REGEXEXTRACT(SPLIT(E7, ""&lt;br&gt;""), ""([가-힣A-Za-z]+)""))"),"터미")</f>
        <v>터미</v>
      </c>
      <c r="O7" s="24" t="str">
        <f>IFERROR(__xludf.DUMMYFUNCTION("""COMPUTED_VALUE"""),"테리")</f>
        <v>테리</v>
      </c>
      <c r="P7" s="24" t="str">
        <f>IFERROR(__xludf.DUMMYFUNCTION("""COMPUTED_VALUE"""),"박서")</f>
        <v>박서</v>
      </c>
      <c r="Q7" s="24" t="str">
        <f>IFERROR(__xludf.DUMMYFUNCTION("""COMPUTED_VALUE"""),"학생")</f>
        <v>학생</v>
      </c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9" t="s">
        <v>106</v>
      </c>
      <c r="B8" s="20" t="s">
        <v>107</v>
      </c>
      <c r="C8" s="19" t="s">
        <v>108</v>
      </c>
      <c r="D8" s="19">
        <v>5.0</v>
      </c>
      <c r="E8" s="19" t="s">
        <v>109</v>
      </c>
      <c r="F8" s="19">
        <v>0.0</v>
      </c>
      <c r="G8" s="21">
        <v>46062.20972222222</v>
      </c>
      <c r="H8" s="19" t="s">
        <v>83</v>
      </c>
      <c r="I8" s="22" t="s">
        <v>110</v>
      </c>
      <c r="J8" s="23" t="str">
        <f>IFERROR(__xludf.DUMMYFUNCTION("ARRAYFORMULA(REGEXEXTRACT(SPLIT(C8, ""&lt;br&gt;""), ""([가-힣A-Za-z]+)""))"),"참치")</f>
        <v>참치</v>
      </c>
      <c r="K8" s="24" t="str">
        <f>IFERROR(__xludf.DUMMYFUNCTION("""COMPUTED_VALUE"""),"신형만")</f>
        <v>신형만</v>
      </c>
      <c r="L8" s="24" t="str">
        <f>IFERROR(__xludf.DUMMYFUNCTION("""COMPUTED_VALUE"""),"ACDC")</f>
        <v>ACDC</v>
      </c>
      <c r="M8" s="24" t="str">
        <f>IFERROR(__xludf.DUMMYFUNCTION("""COMPUTED_VALUE"""),"깡패")</f>
        <v>깡패</v>
      </c>
      <c r="N8" s="24" t="str">
        <f>IFERROR(__xludf.DUMMYFUNCTION("ARRAYFORMULA(REGEXEXTRACT(SPLIT(E8, ""&lt;br&gt;""), ""([가-힣A-Za-z]+)""))"),"민우")</f>
        <v>민우</v>
      </c>
      <c r="O8" s="24" t="str">
        <f>IFERROR(__xludf.DUMMYFUNCTION("""COMPUTED_VALUE"""),"짱구")</f>
        <v>짱구</v>
      </c>
      <c r="P8" s="24" t="str">
        <f>IFERROR(__xludf.DUMMYFUNCTION("""COMPUTED_VALUE"""),"수련")</f>
        <v>수련</v>
      </c>
      <c r="Q8" s="24" t="str">
        <f>IFERROR(__xludf.DUMMYFUNCTION("""COMPUTED_VALUE"""),"학생")</f>
        <v>학생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9" t="s">
        <v>111</v>
      </c>
      <c r="B9" s="20" t="s">
        <v>112</v>
      </c>
      <c r="C9" s="19" t="s">
        <v>113</v>
      </c>
      <c r="D9" s="19">
        <v>5.0</v>
      </c>
      <c r="E9" s="19" t="s">
        <v>114</v>
      </c>
      <c r="F9" s="19">
        <v>4.0</v>
      </c>
      <c r="G9" s="21">
        <v>46062.191666666666</v>
      </c>
      <c r="H9" s="19" t="s">
        <v>83</v>
      </c>
      <c r="I9" s="22" t="s">
        <v>110</v>
      </c>
      <c r="J9" s="23" t="str">
        <f>IFERROR(__xludf.DUMMYFUNCTION("ARRAYFORMULA(REGEXEXTRACT(SPLIT(C9, ""&lt;br&gt;""), ""([가-힣A-Za-z]+)""))"),"ACDC")</f>
        <v>ACDC</v>
      </c>
      <c r="K9" s="24" t="str">
        <f>IFERROR(__xludf.DUMMYFUNCTION("""COMPUTED_VALUE"""),"학생")</f>
        <v>학생</v>
      </c>
      <c r="L9" s="24" t="str">
        <f>IFERROR(__xludf.DUMMYFUNCTION("""COMPUTED_VALUE"""),"참치")</f>
        <v>참치</v>
      </c>
      <c r="M9" s="24" t="str">
        <f>IFERROR(__xludf.DUMMYFUNCTION("""COMPUTED_VALUE"""),"민우")</f>
        <v>민우</v>
      </c>
      <c r="N9" s="24" t="str">
        <f>IFERROR(__xludf.DUMMYFUNCTION("ARRAYFORMULA(REGEXEXTRACT(SPLIT(E9, ""&lt;br&gt;""), ""([가-힣A-Za-z]+)""))"),"깡패")</f>
        <v>깡패</v>
      </c>
      <c r="O9" s="24" t="str">
        <f>IFERROR(__xludf.DUMMYFUNCTION("""COMPUTED_VALUE"""),"수련")</f>
        <v>수련</v>
      </c>
      <c r="P9" s="24" t="str">
        <f>IFERROR(__xludf.DUMMYFUNCTION("""COMPUTED_VALUE"""),"짱구")</f>
        <v>짱구</v>
      </c>
      <c r="Q9" s="24" t="str">
        <f>IFERROR(__xludf.DUMMYFUNCTION("""COMPUTED_VALUE"""),"신형만")</f>
        <v>신형만</v>
      </c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9" t="s">
        <v>115</v>
      </c>
      <c r="B10" s="20" t="s">
        <v>116</v>
      </c>
      <c r="C10" s="19" t="s">
        <v>117</v>
      </c>
      <c r="D10" s="19">
        <v>5.0</v>
      </c>
      <c r="E10" s="19" t="s">
        <v>118</v>
      </c>
      <c r="F10" s="19">
        <v>0.0</v>
      </c>
      <c r="G10" s="21">
        <v>46062.04513888889</v>
      </c>
      <c r="H10" s="19" t="s">
        <v>83</v>
      </c>
      <c r="I10" s="22" t="s">
        <v>119</v>
      </c>
      <c r="J10" s="23" t="str">
        <f>IFERROR(__xludf.DUMMYFUNCTION("ARRAYFORMULA(REGEXEXTRACT(SPLIT(C10, ""&lt;br&gt;""), ""([가-힣A-Za-z]+)""))"),"참치")</f>
        <v>참치</v>
      </c>
      <c r="K10" s="24" t="str">
        <f>IFERROR(__xludf.DUMMYFUNCTION("""COMPUTED_VALUE"""),"테리")</f>
        <v>테리</v>
      </c>
      <c r="L10" s="24" t="str">
        <f>IFERROR(__xludf.DUMMYFUNCTION("""COMPUTED_VALUE"""),"학생")</f>
        <v>학생</v>
      </c>
      <c r="M10" s="24" t="str">
        <f>IFERROR(__xludf.DUMMYFUNCTION("""COMPUTED_VALUE"""),"규식")</f>
        <v>규식</v>
      </c>
      <c r="N10" s="24" t="str">
        <f>IFERROR(__xludf.DUMMYFUNCTION("ARRAYFORMULA(REGEXEXTRACT(SPLIT(E10, ""&lt;br&gt;""), ""([가-힣A-Za-z]+)""))"),"짱구")</f>
        <v>짱구</v>
      </c>
      <c r="O10" s="24" t="str">
        <f>IFERROR(__xludf.DUMMYFUNCTION("""COMPUTED_VALUE"""),"깡패")</f>
        <v>깡패</v>
      </c>
      <c r="P10" s="24" t="str">
        <f>IFERROR(__xludf.DUMMYFUNCTION("""COMPUTED_VALUE"""),"신형만")</f>
        <v>신형만</v>
      </c>
      <c r="Q10" s="24" t="str">
        <f>IFERROR(__xludf.DUMMYFUNCTION("""COMPUTED_VALUE"""),"ACDC")</f>
        <v>ACDC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9" t="s">
        <v>120</v>
      </c>
      <c r="B11" s="20" t="s">
        <v>121</v>
      </c>
      <c r="C11" s="19" t="s">
        <v>122</v>
      </c>
      <c r="D11" s="19">
        <v>5.0</v>
      </c>
      <c r="E11" s="19" t="s">
        <v>123</v>
      </c>
      <c r="F11" s="19">
        <v>0.0</v>
      </c>
      <c r="G11" s="21">
        <v>46062.03055555555</v>
      </c>
      <c r="H11" s="19" t="s">
        <v>83</v>
      </c>
      <c r="I11" s="22" t="s">
        <v>119</v>
      </c>
      <c r="J11" s="23" t="str">
        <f>IFERROR(__xludf.DUMMYFUNCTION("ARRAYFORMULA(REGEXEXTRACT(SPLIT(C11, ""&lt;br&gt;""), ""([가-힣A-Za-z]+)""))"),"테리")</f>
        <v>테리</v>
      </c>
      <c r="K11" s="24" t="str">
        <f>IFERROR(__xludf.DUMMYFUNCTION("""COMPUTED_VALUE"""),"짱구")</f>
        <v>짱구</v>
      </c>
      <c r="L11" s="24" t="str">
        <f>IFERROR(__xludf.DUMMYFUNCTION("""COMPUTED_VALUE"""),"ACDC")</f>
        <v>ACDC</v>
      </c>
      <c r="M11" s="24" t="str">
        <f>IFERROR(__xludf.DUMMYFUNCTION("""COMPUTED_VALUE"""),"참치")</f>
        <v>참치</v>
      </c>
      <c r="N11" s="24" t="str">
        <f>IFERROR(__xludf.DUMMYFUNCTION("ARRAYFORMULA(REGEXEXTRACT(SPLIT(E11, ""&lt;br&gt;""), ""([가-힣A-Za-z]+)""))"),"학생")</f>
        <v>학생</v>
      </c>
      <c r="O11" s="24" t="str">
        <f>IFERROR(__xludf.DUMMYFUNCTION("""COMPUTED_VALUE"""),"신형만")</f>
        <v>신형만</v>
      </c>
      <c r="P11" s="24" t="str">
        <f>IFERROR(__xludf.DUMMYFUNCTION("""COMPUTED_VALUE"""),"기재")</f>
        <v>기재</v>
      </c>
      <c r="Q11" s="24" t="str">
        <f>IFERROR(__xludf.DUMMYFUNCTION("""COMPUTED_VALUE"""),"깡패")</f>
        <v>깡패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9" t="s">
        <v>124</v>
      </c>
      <c r="B12" s="20" t="s">
        <v>125</v>
      </c>
      <c r="C12" s="19" t="s">
        <v>126</v>
      </c>
      <c r="D12" s="19">
        <v>5.0</v>
      </c>
      <c r="E12" s="19" t="s">
        <v>127</v>
      </c>
      <c r="F12" s="19">
        <v>0.0</v>
      </c>
      <c r="G12" s="21">
        <v>46062.01111111111</v>
      </c>
      <c r="H12" s="19" t="s">
        <v>83</v>
      </c>
      <c r="I12" s="22" t="s">
        <v>119</v>
      </c>
      <c r="J12" s="23" t="str">
        <f>IFERROR(__xludf.DUMMYFUNCTION("ARRAYFORMULA(REGEXEXTRACT(SPLIT(C12, ""&lt;br&gt;""), ""([가-힣A-Za-z]+)""))"),"깡패")</f>
        <v>깡패</v>
      </c>
      <c r="K12" s="24" t="str">
        <f>IFERROR(__xludf.DUMMYFUNCTION("""COMPUTED_VALUE"""),"테리")</f>
        <v>테리</v>
      </c>
      <c r="L12" s="24" t="str">
        <f>IFERROR(__xludf.DUMMYFUNCTION("""COMPUTED_VALUE"""),"짱구")</f>
        <v>짱구</v>
      </c>
      <c r="M12" s="24" t="str">
        <f>IFERROR(__xludf.DUMMYFUNCTION("""COMPUTED_VALUE"""),"신형만")</f>
        <v>신형만</v>
      </c>
      <c r="N12" s="24" t="str">
        <f>IFERROR(__xludf.DUMMYFUNCTION("ARRAYFORMULA(REGEXEXTRACT(SPLIT(E12, ""&lt;br&gt;""), ""([가-힣A-Za-z]+)""))"),"ACDC")</f>
        <v>ACDC</v>
      </c>
      <c r="O12" s="24" t="str">
        <f>IFERROR(__xludf.DUMMYFUNCTION("""COMPUTED_VALUE"""),"참치")</f>
        <v>참치</v>
      </c>
      <c r="P12" s="24" t="str">
        <f>IFERROR(__xludf.DUMMYFUNCTION("""COMPUTED_VALUE"""),"학생")</f>
        <v>학생</v>
      </c>
      <c r="Q12" s="24" t="str">
        <f>IFERROR(__xludf.DUMMYFUNCTION("""COMPUTED_VALUE"""),"기재")</f>
        <v>기재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9" t="s">
        <v>128</v>
      </c>
      <c r="B13" s="20" t="s">
        <v>129</v>
      </c>
      <c r="C13" s="19" t="s">
        <v>130</v>
      </c>
      <c r="D13" s="19">
        <v>5.0</v>
      </c>
      <c r="E13" s="19" t="s">
        <v>131</v>
      </c>
      <c r="F13" s="19">
        <v>0.0</v>
      </c>
      <c r="G13" s="21">
        <v>46061.99513888889</v>
      </c>
      <c r="H13" s="19" t="s">
        <v>83</v>
      </c>
      <c r="I13" s="22" t="s">
        <v>119</v>
      </c>
      <c r="J13" s="23" t="str">
        <f>IFERROR(__xludf.DUMMYFUNCTION("ARRAYFORMULA(REGEXEXTRACT(SPLIT(C13, ""&lt;br&gt;""), ""([가-힣A-Za-z]+)""))"),"참치")</f>
        <v>참치</v>
      </c>
      <c r="K13" s="24" t="str">
        <f>IFERROR(__xludf.DUMMYFUNCTION("""COMPUTED_VALUE"""),"짱구")</f>
        <v>짱구</v>
      </c>
      <c r="L13" s="24" t="str">
        <f>IFERROR(__xludf.DUMMYFUNCTION("""COMPUTED_VALUE"""),"테리")</f>
        <v>테리</v>
      </c>
      <c r="M13" s="24" t="str">
        <f>IFERROR(__xludf.DUMMYFUNCTION("""COMPUTED_VALUE"""),"학생")</f>
        <v>학생</v>
      </c>
      <c r="N13" s="24" t="str">
        <f>IFERROR(__xludf.DUMMYFUNCTION("ARRAYFORMULA(REGEXEXTRACT(SPLIT(E13, ""&lt;br&gt;""), ""([가-힣A-Za-z]+)""))"),"기재")</f>
        <v>기재</v>
      </c>
      <c r="O13" s="24" t="str">
        <f>IFERROR(__xludf.DUMMYFUNCTION("""COMPUTED_VALUE"""),"깡패")</f>
        <v>깡패</v>
      </c>
      <c r="P13" s="24" t="str">
        <f>IFERROR(__xludf.DUMMYFUNCTION("""COMPUTED_VALUE"""),"신형만")</f>
        <v>신형만</v>
      </c>
      <c r="Q13" s="24" t="str">
        <f>IFERROR(__xludf.DUMMYFUNCTION("""COMPUTED_VALUE"""),"ACDC")</f>
        <v>ACDC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9" t="s">
        <v>132</v>
      </c>
      <c r="B14" s="20" t="s">
        <v>133</v>
      </c>
      <c r="C14" s="19" t="s">
        <v>134</v>
      </c>
      <c r="D14" s="19">
        <v>5.0</v>
      </c>
      <c r="E14" s="19" t="s">
        <v>135</v>
      </c>
      <c r="F14" s="19">
        <v>4.0</v>
      </c>
      <c r="G14" s="21">
        <v>46061.975694444445</v>
      </c>
      <c r="H14" s="19" t="s">
        <v>83</v>
      </c>
      <c r="I14" s="22" t="s">
        <v>136</v>
      </c>
      <c r="J14" s="23" t="str">
        <f>IFERROR(__xludf.DUMMYFUNCTION("ARRAYFORMULA(REGEXEXTRACT(SPLIT(C14, ""&lt;br&gt;""), ""([가-힣A-Za-z]+)""))"),"ovo")</f>
        <v>ovo</v>
      </c>
      <c r="K14" s="24" t="str">
        <f>IFERROR(__xludf.DUMMYFUNCTION("""COMPUTED_VALUE"""),"혀니")</f>
        <v>혀니</v>
      </c>
      <c r="L14" s="24" t="str">
        <f>IFERROR(__xludf.DUMMYFUNCTION("""COMPUTED_VALUE"""),"원")</f>
        <v>원</v>
      </c>
      <c r="M14" s="24" t="str">
        <f>IFERROR(__xludf.DUMMYFUNCTION("""COMPUTED_VALUE"""),"깡패")</f>
        <v>깡패</v>
      </c>
      <c r="N14" s="24" t="str">
        <f>IFERROR(__xludf.DUMMYFUNCTION("ARRAYFORMULA(REGEXEXTRACT(SPLIT(E14, ""&lt;br&gt;""), ""([가-힣A-Za-z]+)""))"),"신형만")</f>
        <v>신형만</v>
      </c>
      <c r="O14" s="24" t="str">
        <f>IFERROR(__xludf.DUMMYFUNCTION("""COMPUTED_VALUE"""),"학생")</f>
        <v>학생</v>
      </c>
      <c r="P14" s="24" t="str">
        <f>IFERROR(__xludf.DUMMYFUNCTION("""COMPUTED_VALUE"""),"웅")</f>
        <v>웅</v>
      </c>
      <c r="Q14" s="24" t="str">
        <f>IFERROR(__xludf.DUMMYFUNCTION("""COMPUTED_VALUE"""),"기재")</f>
        <v>기재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9" t="s">
        <v>137</v>
      </c>
      <c r="B15" s="20" t="s">
        <v>138</v>
      </c>
      <c r="C15" s="19" t="s">
        <v>139</v>
      </c>
      <c r="D15" s="19">
        <v>5.0</v>
      </c>
      <c r="E15" s="19" t="s">
        <v>140</v>
      </c>
      <c r="F15" s="19">
        <v>2.0</v>
      </c>
      <c r="G15" s="21">
        <v>46061.95763888889</v>
      </c>
      <c r="H15" s="19" t="s">
        <v>83</v>
      </c>
      <c r="I15" s="22" t="s">
        <v>136</v>
      </c>
      <c r="J15" s="23" t="str">
        <f>IFERROR(__xludf.DUMMYFUNCTION("ARRAYFORMULA(REGEXEXTRACT(SPLIT(C15, ""&lt;br&gt;""), ""([가-힣A-Za-z]+)""))"),"테리")</f>
        <v>테리</v>
      </c>
      <c r="K15" s="24" t="str">
        <f>IFERROR(__xludf.DUMMYFUNCTION("""COMPUTED_VALUE"""),"깡패")</f>
        <v>깡패</v>
      </c>
      <c r="L15" s="24" t="str">
        <f>IFERROR(__xludf.DUMMYFUNCTION("""COMPUTED_VALUE"""),"ovo")</f>
        <v>ovo</v>
      </c>
      <c r="M15" s="24" t="str">
        <f>IFERROR(__xludf.DUMMYFUNCTION("""COMPUTED_VALUE"""),"신형만")</f>
        <v>신형만</v>
      </c>
      <c r="N15" s="24" t="str">
        <f>IFERROR(__xludf.DUMMYFUNCTION("ARRAYFORMULA(REGEXEXTRACT(SPLIT(E15, ""&lt;br&gt;""), ""([가-힣A-Za-z]+)""))"),"학생")</f>
        <v>학생</v>
      </c>
      <c r="O15" s="24" t="str">
        <f>IFERROR(__xludf.DUMMYFUNCTION("""COMPUTED_VALUE"""),"원")</f>
        <v>원</v>
      </c>
      <c r="P15" s="24" t="str">
        <f>IFERROR(__xludf.DUMMYFUNCTION("""COMPUTED_VALUE"""),"혀니")</f>
        <v>혀니</v>
      </c>
      <c r="Q15" s="24" t="str">
        <f>IFERROR(__xludf.DUMMYFUNCTION("""COMPUTED_VALUE"""),"웅")</f>
        <v>웅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9" t="s">
        <v>141</v>
      </c>
      <c r="B16" s="20" t="s">
        <v>142</v>
      </c>
      <c r="C16" s="19" t="s">
        <v>143</v>
      </c>
      <c r="D16" s="19">
        <v>5.0</v>
      </c>
      <c r="E16" s="19" t="s">
        <v>144</v>
      </c>
      <c r="F16" s="19">
        <v>4.0</v>
      </c>
      <c r="G16" s="21">
        <v>46061.913194444445</v>
      </c>
      <c r="H16" s="19" t="s">
        <v>83</v>
      </c>
      <c r="I16" s="22" t="s">
        <v>145</v>
      </c>
      <c r="J16" s="23" t="str">
        <f>IFERROR(__xludf.DUMMYFUNCTION("ARRAYFORMULA(REGEXEXTRACT(SPLIT(C16, ""&lt;br&gt;""), ""([가-힣A-Za-z]+)""))"),"원")</f>
        <v>원</v>
      </c>
      <c r="K16" s="24" t="str">
        <f>IFERROR(__xludf.DUMMYFUNCTION("""COMPUTED_VALUE"""),"혀니")</f>
        <v>혀니</v>
      </c>
      <c r="L16" s="24" t="str">
        <f>IFERROR(__xludf.DUMMYFUNCTION("""COMPUTED_VALUE"""),"테리")</f>
        <v>테리</v>
      </c>
      <c r="M16" s="24" t="str">
        <f>IFERROR(__xludf.DUMMYFUNCTION("""COMPUTED_VALUE"""),"깡패")</f>
        <v>깡패</v>
      </c>
      <c r="N16" s="24" t="str">
        <f>IFERROR(__xludf.DUMMYFUNCTION("ARRAYFORMULA(REGEXEXTRACT(SPLIT(E16, ""&lt;br&gt;""), ""([가-힣A-Za-z]+)""))"),"신형만")</f>
        <v>신형만</v>
      </c>
      <c r="O16" s="24" t="str">
        <f>IFERROR(__xludf.DUMMYFUNCTION("""COMPUTED_VALUE"""),"학생")</f>
        <v>학생</v>
      </c>
      <c r="P16" s="24" t="str">
        <f>IFERROR(__xludf.DUMMYFUNCTION("""COMPUTED_VALUE"""),"짱구")</f>
        <v>짱구</v>
      </c>
      <c r="Q16" s="24" t="str">
        <f>IFERROR(__xludf.DUMMYFUNCTION("""COMPUTED_VALUE"""),"ovo")</f>
        <v>ovo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9" t="s">
        <v>146</v>
      </c>
      <c r="B17" s="20" t="s">
        <v>147</v>
      </c>
      <c r="C17" s="19" t="s">
        <v>148</v>
      </c>
      <c r="D17" s="19">
        <v>5.0</v>
      </c>
      <c r="E17" s="19" t="s">
        <v>149</v>
      </c>
      <c r="F17" s="19">
        <v>3.0</v>
      </c>
      <c r="G17" s="21">
        <v>46061.88055555556</v>
      </c>
      <c r="H17" s="19" t="s">
        <v>83</v>
      </c>
      <c r="I17" s="22" t="s">
        <v>145</v>
      </c>
      <c r="J17" s="23" t="str">
        <f>IFERROR(__xludf.DUMMYFUNCTION("ARRAYFORMULA(REGEXEXTRACT(SPLIT(C17, ""&lt;br&gt;""), ""([가-힣A-Za-z]+)""))"),"학생")</f>
        <v>학생</v>
      </c>
      <c r="K17" s="24" t="str">
        <f>IFERROR(__xludf.DUMMYFUNCTION("""COMPUTED_VALUE"""),"깡패")</f>
        <v>깡패</v>
      </c>
      <c r="L17" s="24" t="str">
        <f>IFERROR(__xludf.DUMMYFUNCTION("""COMPUTED_VALUE"""),"ovo")</f>
        <v>ovo</v>
      </c>
      <c r="M17" s="24" t="str">
        <f>IFERROR(__xludf.DUMMYFUNCTION("""COMPUTED_VALUE"""),"원")</f>
        <v>원</v>
      </c>
      <c r="N17" s="24" t="str">
        <f>IFERROR(__xludf.DUMMYFUNCTION("ARRAYFORMULA(REGEXEXTRACT(SPLIT(E17, ""&lt;br&gt;""), ""([가-힣A-Za-z]+)""))"),"짱구")</f>
        <v>짱구</v>
      </c>
      <c r="O17" s="24" t="str">
        <f>IFERROR(__xludf.DUMMYFUNCTION("""COMPUTED_VALUE"""),"테리")</f>
        <v>테리</v>
      </c>
      <c r="P17" s="24" t="str">
        <f>IFERROR(__xludf.DUMMYFUNCTION("""COMPUTED_VALUE"""),"혀니")</f>
        <v>혀니</v>
      </c>
      <c r="Q17" s="24" t="str">
        <f>IFERROR(__xludf.DUMMYFUNCTION("""COMPUTED_VALUE"""),"신형만")</f>
        <v>신형만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9" t="s">
        <v>150</v>
      </c>
      <c r="B18" s="20" t="s">
        <v>151</v>
      </c>
      <c r="C18" s="19" t="s">
        <v>152</v>
      </c>
      <c r="D18" s="19">
        <v>5.0</v>
      </c>
      <c r="E18" s="19" t="s">
        <v>153</v>
      </c>
      <c r="F18" s="19">
        <v>0.0</v>
      </c>
      <c r="G18" s="21">
        <v>46052.896527777775</v>
      </c>
      <c r="H18" s="19" t="s">
        <v>83</v>
      </c>
      <c r="I18" s="22" t="s">
        <v>154</v>
      </c>
      <c r="J18" s="23" t="str">
        <f>IFERROR(__xludf.DUMMYFUNCTION("ARRAYFORMULA(REGEXEXTRACT(SPLIT(C18, ""&lt;br&gt;""), ""([가-힣A-Za-z]+)""))"),"참치")</f>
        <v>참치</v>
      </c>
      <c r="K18" s="24" t="str">
        <f>IFERROR(__xludf.DUMMYFUNCTION("""COMPUTED_VALUE"""),"테리")</f>
        <v>테리</v>
      </c>
      <c r="L18" s="24" t="str">
        <f>IFERROR(__xludf.DUMMYFUNCTION("""COMPUTED_VALUE"""),"신형만")</f>
        <v>신형만</v>
      </c>
      <c r="M18" s="24" t="str">
        <f>IFERROR(__xludf.DUMMYFUNCTION("""COMPUTED_VALUE"""),"ACDC")</f>
        <v>ACDC</v>
      </c>
      <c r="N18" s="24" t="str">
        <f>IFERROR(__xludf.DUMMYFUNCTION("ARRAYFORMULA(REGEXEXTRACT(SPLIT(E18, ""&lt;br&gt;""), ""([가-힣A-Za-z]+)""))"),"원")</f>
        <v>원</v>
      </c>
      <c r="O18" s="24" t="str">
        <f>IFERROR(__xludf.DUMMYFUNCTION("""COMPUTED_VALUE"""),"학생")</f>
        <v>학생</v>
      </c>
      <c r="P18" s="24" t="str">
        <f>IFERROR(__xludf.DUMMYFUNCTION("""COMPUTED_VALUE"""),"짱구")</f>
        <v>짱구</v>
      </c>
      <c r="Q18" s="24" t="str">
        <f>IFERROR(__xludf.DUMMYFUNCTION("""COMPUTED_VALUE"""),"넘버")</f>
        <v>넘버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9" t="s">
        <v>155</v>
      </c>
      <c r="B19" s="20" t="s">
        <v>156</v>
      </c>
      <c r="C19" s="19" t="s">
        <v>157</v>
      </c>
      <c r="D19" s="19">
        <v>5.0</v>
      </c>
      <c r="E19" s="19" t="s">
        <v>158</v>
      </c>
      <c r="F19" s="19">
        <v>0.0</v>
      </c>
      <c r="G19" s="21">
        <v>46052.881944444445</v>
      </c>
      <c r="H19" s="19" t="s">
        <v>83</v>
      </c>
      <c r="I19" s="22" t="s">
        <v>154</v>
      </c>
      <c r="J19" s="23" t="str">
        <f>IFERROR(__xludf.DUMMYFUNCTION("ARRAYFORMULA(REGEXEXTRACT(SPLIT(C19, ""&lt;br&gt;""), ""([가-힣A-Za-z]+)""))"),"짱구")</f>
        <v>짱구</v>
      </c>
      <c r="K19" s="24" t="str">
        <f>IFERROR(__xludf.DUMMYFUNCTION("""COMPUTED_VALUE"""),"신형만")</f>
        <v>신형만</v>
      </c>
      <c r="L19" s="24" t="str">
        <f>IFERROR(__xludf.DUMMYFUNCTION("""COMPUTED_VALUE"""),"테리")</f>
        <v>테리</v>
      </c>
      <c r="M19" s="24" t="str">
        <f>IFERROR(__xludf.DUMMYFUNCTION("""COMPUTED_VALUE"""),"원")</f>
        <v>원</v>
      </c>
      <c r="N19" s="24" t="str">
        <f>IFERROR(__xludf.DUMMYFUNCTION("ARRAYFORMULA(REGEXEXTRACT(SPLIT(E19, ""&lt;br&gt;""), ""([가-힣A-Za-z]+)""))"),"학생")</f>
        <v>학생</v>
      </c>
      <c r="O19" s="24" t="str">
        <f>IFERROR(__xludf.DUMMYFUNCTION("""COMPUTED_VALUE"""),"규식")</f>
        <v>규식</v>
      </c>
      <c r="P19" s="24" t="str">
        <f>IFERROR(__xludf.DUMMYFUNCTION("""COMPUTED_VALUE"""),"넘버")</f>
        <v>넘버</v>
      </c>
      <c r="Q19" s="24" t="str">
        <f>IFERROR(__xludf.DUMMYFUNCTION("""COMPUTED_VALUE"""),"참치")</f>
        <v>참치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9" t="s">
        <v>159</v>
      </c>
      <c r="B20" s="20" t="s">
        <v>160</v>
      </c>
      <c r="C20" s="19" t="s">
        <v>161</v>
      </c>
      <c r="D20" s="19">
        <v>5.0</v>
      </c>
      <c r="E20" s="19" t="s">
        <v>162</v>
      </c>
      <c r="F20" s="19">
        <v>4.0</v>
      </c>
      <c r="G20" s="21">
        <v>46052.86736111111</v>
      </c>
      <c r="H20" s="19" t="s">
        <v>83</v>
      </c>
      <c r="I20" s="22" t="s">
        <v>154</v>
      </c>
      <c r="J20" s="23" t="str">
        <f>IFERROR(__xludf.DUMMYFUNCTION("ARRAYFORMULA(REGEXEXTRACT(SPLIT(C20, ""&lt;br&gt;""), ""([가-힣A-Za-z]+)""))"),"원")</f>
        <v>원</v>
      </c>
      <c r="K20" s="24" t="str">
        <f>IFERROR(__xludf.DUMMYFUNCTION("""COMPUTED_VALUE"""),"테리")</f>
        <v>테리</v>
      </c>
      <c r="L20" s="24" t="str">
        <f>IFERROR(__xludf.DUMMYFUNCTION("""COMPUTED_VALUE"""),"학생")</f>
        <v>학생</v>
      </c>
      <c r="M20" s="24" t="str">
        <f>IFERROR(__xludf.DUMMYFUNCTION("""COMPUTED_VALUE"""),"규식")</f>
        <v>규식</v>
      </c>
      <c r="N20" s="24" t="str">
        <f>IFERROR(__xludf.DUMMYFUNCTION("ARRAYFORMULA(REGEXEXTRACT(SPLIT(E20, ""&lt;br&gt;""), ""([가-힣A-Za-z]+)""))"),"넘버")</f>
        <v>넘버</v>
      </c>
      <c r="O20" s="24" t="str">
        <f>IFERROR(__xludf.DUMMYFUNCTION("""COMPUTED_VALUE"""),"참치")</f>
        <v>참치</v>
      </c>
      <c r="P20" s="24" t="str">
        <f>IFERROR(__xludf.DUMMYFUNCTION("""COMPUTED_VALUE"""),"짱구")</f>
        <v>짱구</v>
      </c>
      <c r="Q20" s="24" t="str">
        <f>IFERROR(__xludf.DUMMYFUNCTION("""COMPUTED_VALUE"""),"신형만")</f>
        <v>신형만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9" t="s">
        <v>163</v>
      </c>
      <c r="B21" s="20" t="s">
        <v>164</v>
      </c>
      <c r="C21" s="19" t="s">
        <v>165</v>
      </c>
      <c r="D21" s="19">
        <v>5.0</v>
      </c>
      <c r="E21" s="19" t="s">
        <v>166</v>
      </c>
      <c r="F21" s="19">
        <v>3.0</v>
      </c>
      <c r="G21" s="21">
        <v>46049.91805555556</v>
      </c>
      <c r="H21" s="19" t="s">
        <v>83</v>
      </c>
      <c r="I21" s="22" t="s">
        <v>167</v>
      </c>
      <c r="J21" s="23" t="str">
        <f>IFERROR(__xludf.DUMMYFUNCTION("ARRAYFORMULA(REGEXEXTRACT(SPLIT(C21, ""&lt;br&gt;""), ""([가-힣A-Za-z]+)""))"),"학생")</f>
        <v>학생</v>
      </c>
      <c r="K21" s="24" t="str">
        <f>IFERROR(__xludf.DUMMYFUNCTION("""COMPUTED_VALUE"""),"규식")</f>
        <v>규식</v>
      </c>
      <c r="L21" s="24" t="str">
        <f>IFERROR(__xludf.DUMMYFUNCTION("""COMPUTED_VALUE"""),"원")</f>
        <v>원</v>
      </c>
      <c r="M21" s="24" t="str">
        <f>IFERROR(__xludf.DUMMYFUNCTION("""COMPUTED_VALUE"""),"넘버")</f>
        <v>넘버</v>
      </c>
      <c r="N21" s="24" t="str">
        <f>IFERROR(__xludf.DUMMYFUNCTION("ARRAYFORMULA(REGEXEXTRACT(SPLIT(E21, ""&lt;br&gt;""), ""([가-힣A-Za-z]+)""))"),"테리")</f>
        <v>테리</v>
      </c>
      <c r="O21" s="24" t="str">
        <f>IFERROR(__xludf.DUMMYFUNCTION("""COMPUTED_VALUE"""),"ACDC")</f>
        <v>ACDC</v>
      </c>
      <c r="P21" s="24" t="str">
        <f>IFERROR(__xludf.DUMMYFUNCTION("""COMPUTED_VALUE"""),"신형만")</f>
        <v>신형만</v>
      </c>
      <c r="Q21" s="24" t="str">
        <f>IFERROR(__xludf.DUMMYFUNCTION("""COMPUTED_VALUE"""),"참치")</f>
        <v>참치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9" t="s">
        <v>168</v>
      </c>
      <c r="B22" s="20" t="s">
        <v>169</v>
      </c>
      <c r="C22" s="19" t="s">
        <v>170</v>
      </c>
      <c r="D22" s="19">
        <v>5.0</v>
      </c>
      <c r="E22" s="19" t="s">
        <v>171</v>
      </c>
      <c r="F22" s="19">
        <v>2.0</v>
      </c>
      <c r="G22" s="21">
        <v>46049.916666666664</v>
      </c>
      <c r="H22" s="19" t="s">
        <v>83</v>
      </c>
      <c r="I22" s="22" t="s">
        <v>172</v>
      </c>
      <c r="J22" s="23" t="str">
        <f>IFERROR(__xludf.DUMMYFUNCTION("ARRAYFORMULA(REGEXEXTRACT(SPLIT(C22, ""&lt;br&gt;""), ""([가-힣A-Za-z]+)""))"),"신형만")</f>
        <v>신형만</v>
      </c>
      <c r="K22" s="24" t="str">
        <f>IFERROR(__xludf.DUMMYFUNCTION("""COMPUTED_VALUE"""),"원")</f>
        <v>원</v>
      </c>
      <c r="L22" s="24" t="str">
        <f>IFERROR(__xludf.DUMMYFUNCTION("""COMPUTED_VALUE"""),"참치")</f>
        <v>참치</v>
      </c>
      <c r="M22" s="24" t="str">
        <f>IFERROR(__xludf.DUMMYFUNCTION("""COMPUTED_VALUE"""),"학생")</f>
        <v>학생</v>
      </c>
      <c r="N22" s="24" t="str">
        <f>IFERROR(__xludf.DUMMYFUNCTION("ARRAYFORMULA(REGEXEXTRACT(SPLIT(E22, ""&lt;br&gt;""), ""([가-힣A-Za-z]+)""))"),"넘버")</f>
        <v>넘버</v>
      </c>
      <c r="O22" s="24" t="str">
        <f>IFERROR(__xludf.DUMMYFUNCTION("""COMPUTED_VALUE"""),"테리")</f>
        <v>테리</v>
      </c>
      <c r="P22" s="24" t="str">
        <f>IFERROR(__xludf.DUMMYFUNCTION("""COMPUTED_VALUE"""),"오딘")</f>
        <v>오딘</v>
      </c>
      <c r="Q22" s="24" t="str">
        <f>IFERROR(__xludf.DUMMYFUNCTION("""COMPUTED_VALUE"""),"ACDC")</f>
        <v>ACDC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9" t="s">
        <v>173</v>
      </c>
      <c r="B23" s="20" t="s">
        <v>174</v>
      </c>
      <c r="C23" s="19" t="s">
        <v>175</v>
      </c>
      <c r="D23" s="19">
        <v>5.0</v>
      </c>
      <c r="E23" s="19" t="s">
        <v>176</v>
      </c>
      <c r="F23" s="19">
        <v>0.0</v>
      </c>
      <c r="G23" s="21">
        <v>46049.91388888889</v>
      </c>
      <c r="H23" s="19" t="s">
        <v>83</v>
      </c>
      <c r="I23" s="22" t="s">
        <v>172</v>
      </c>
      <c r="J23" s="23" t="str">
        <f>IFERROR(__xludf.DUMMYFUNCTION("ARRAYFORMULA(REGEXEXTRACT(SPLIT(C23, ""&lt;br&gt;""), ""([가-힣A-Za-z]+)""))"),"ACDC")</f>
        <v>ACDC</v>
      </c>
      <c r="K23" s="24" t="str">
        <f>IFERROR(__xludf.DUMMYFUNCTION("""COMPUTED_VALUE"""),"참치")</f>
        <v>참치</v>
      </c>
      <c r="L23" s="24" t="str">
        <f>IFERROR(__xludf.DUMMYFUNCTION("""COMPUTED_VALUE"""),"테리")</f>
        <v>테리</v>
      </c>
      <c r="M23" s="24" t="str">
        <f>IFERROR(__xludf.DUMMYFUNCTION("""COMPUTED_VALUE"""),"신형만")</f>
        <v>신형만</v>
      </c>
      <c r="N23" s="24" t="str">
        <f>IFERROR(__xludf.DUMMYFUNCTION("ARRAYFORMULA(REGEXEXTRACT(SPLIT(E23, ""&lt;br&gt;""), ""([가-힣A-Za-z]+)""))"),"원")</f>
        <v>원</v>
      </c>
      <c r="O23" s="24" t="str">
        <f>IFERROR(__xludf.DUMMYFUNCTION("""COMPUTED_VALUE"""),"넘버")</f>
        <v>넘버</v>
      </c>
      <c r="P23" s="24" t="str">
        <f>IFERROR(__xludf.DUMMYFUNCTION("""COMPUTED_VALUE"""),"학생")</f>
        <v>학생</v>
      </c>
      <c r="Q23" s="24" t="str">
        <f>IFERROR(__xludf.DUMMYFUNCTION("""COMPUTED_VALUE"""),"오딘")</f>
        <v>오딘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9" t="s">
        <v>177</v>
      </c>
      <c r="B24" s="20" t="s">
        <v>178</v>
      </c>
      <c r="C24" s="19" t="s">
        <v>179</v>
      </c>
      <c r="D24" s="19">
        <v>5.0</v>
      </c>
      <c r="E24" s="19" t="s">
        <v>180</v>
      </c>
      <c r="F24" s="19">
        <v>0.0</v>
      </c>
      <c r="G24" s="21">
        <v>46049.910416666666</v>
      </c>
      <c r="H24" s="19" t="s">
        <v>83</v>
      </c>
      <c r="I24" s="22" t="s">
        <v>172</v>
      </c>
      <c r="J24" s="23" t="str">
        <f>IFERROR(__xludf.DUMMYFUNCTION("ARRAYFORMULA(REGEXEXTRACT(SPLIT(C24, ""&lt;br&gt;""), ""([가-힣A-Za-z]+)""))"),"테리")</f>
        <v>테리</v>
      </c>
      <c r="K24" s="24" t="str">
        <f>IFERROR(__xludf.DUMMYFUNCTION("""COMPUTED_VALUE"""),"원")</f>
        <v>원</v>
      </c>
      <c r="L24" s="24" t="str">
        <f>IFERROR(__xludf.DUMMYFUNCTION("""COMPUTED_VALUE"""),"신형만")</f>
        <v>신형만</v>
      </c>
      <c r="M24" s="24" t="str">
        <f>IFERROR(__xludf.DUMMYFUNCTION("""COMPUTED_VALUE"""),"넘버")</f>
        <v>넘버</v>
      </c>
      <c r="N24" s="24" t="str">
        <f>IFERROR(__xludf.DUMMYFUNCTION("ARRAYFORMULA(REGEXEXTRACT(SPLIT(E24, ""&lt;br&gt;""), ""([가-힣A-Za-z]+)""))"),"학생")</f>
        <v>학생</v>
      </c>
      <c r="O24" s="24" t="str">
        <f>IFERROR(__xludf.DUMMYFUNCTION("""COMPUTED_VALUE"""),"오딘")</f>
        <v>오딘</v>
      </c>
      <c r="P24" s="24" t="str">
        <f>IFERROR(__xludf.DUMMYFUNCTION("""COMPUTED_VALUE"""),"참치")</f>
        <v>참치</v>
      </c>
      <c r="Q24" s="24" t="str">
        <f>IFERROR(__xludf.DUMMYFUNCTION("""COMPUTED_VALUE"""),"ACDC")</f>
        <v>ACDC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9" t="s">
        <v>181</v>
      </c>
      <c r="B25" s="20" t="s">
        <v>182</v>
      </c>
      <c r="C25" s="19" t="s">
        <v>183</v>
      </c>
      <c r="D25" s="19">
        <v>5.0</v>
      </c>
      <c r="E25" s="19" t="s">
        <v>184</v>
      </c>
      <c r="F25" s="19">
        <v>3.0</v>
      </c>
      <c r="G25" s="21">
        <v>46043.92638888889</v>
      </c>
      <c r="H25" s="19" t="s">
        <v>83</v>
      </c>
      <c r="I25" s="22" t="s">
        <v>185</v>
      </c>
      <c r="J25" s="23" t="str">
        <f>IFERROR(__xludf.DUMMYFUNCTION("ARRAYFORMULA(REGEXEXTRACT(SPLIT(C25, ""&lt;br&gt;""), ""([가-힣A-Za-z]+)""))"),"ACDC")</f>
        <v>ACDC</v>
      </c>
      <c r="K25" s="24" t="str">
        <f>IFERROR(__xludf.DUMMYFUNCTION("""COMPUTED_VALUE"""),"넘버")</f>
        <v>넘버</v>
      </c>
      <c r="L25" s="24" t="str">
        <f>IFERROR(__xludf.DUMMYFUNCTION("""COMPUTED_VALUE"""),"학생")</f>
        <v>학생</v>
      </c>
      <c r="M25" s="24" t="str">
        <f>IFERROR(__xludf.DUMMYFUNCTION("""COMPUTED_VALUE"""),"깡패")</f>
        <v>깡패</v>
      </c>
      <c r="N25" s="24" t="str">
        <f>IFERROR(__xludf.DUMMYFUNCTION("ARRAYFORMULA(REGEXEXTRACT(SPLIT(E25, ""&lt;br&gt;""), ""([가-힣A-Za-z]+)""))"),"테리")</f>
        <v>테리</v>
      </c>
      <c r="O25" s="24" t="str">
        <f>IFERROR(__xludf.DUMMYFUNCTION("""COMPUTED_VALUE"""),"원")</f>
        <v>원</v>
      </c>
      <c r="P25" s="24" t="str">
        <f>IFERROR(__xludf.DUMMYFUNCTION("""COMPUTED_VALUE"""),"규식")</f>
        <v>규식</v>
      </c>
      <c r="Q25" s="24" t="str">
        <f>IFERROR(__xludf.DUMMYFUNCTION("""COMPUTED_VALUE"""),"한메")</f>
        <v>한메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9" t="s">
        <v>186</v>
      </c>
      <c r="B26" s="20" t="s">
        <v>187</v>
      </c>
      <c r="C26" s="19" t="s">
        <v>188</v>
      </c>
      <c r="D26" s="19">
        <v>5.0</v>
      </c>
      <c r="E26" s="19" t="s">
        <v>189</v>
      </c>
      <c r="F26" s="19">
        <v>3.0</v>
      </c>
      <c r="G26" s="21">
        <v>46043.89097222222</v>
      </c>
      <c r="H26" s="19" t="s">
        <v>83</v>
      </c>
      <c r="I26" s="22" t="s">
        <v>185</v>
      </c>
      <c r="J26" s="23" t="str">
        <f>IFERROR(__xludf.DUMMYFUNCTION("ARRAYFORMULA(REGEXEXTRACT(SPLIT(C26, ""&lt;br&gt;""), ""([가-힣A-Za-z]+)""))"),"원")</f>
        <v>원</v>
      </c>
      <c r="K26" s="24" t="str">
        <f>IFERROR(__xludf.DUMMYFUNCTION("""COMPUTED_VALUE"""),"학생")</f>
        <v>학생</v>
      </c>
      <c r="L26" s="24" t="str">
        <f>IFERROR(__xludf.DUMMYFUNCTION("""COMPUTED_VALUE"""),"깡패")</f>
        <v>깡패</v>
      </c>
      <c r="M26" s="24" t="str">
        <f>IFERROR(__xludf.DUMMYFUNCTION("""COMPUTED_VALUE"""),"한메")</f>
        <v>한메</v>
      </c>
      <c r="N26" s="24" t="str">
        <f>IFERROR(__xludf.DUMMYFUNCTION("ARRAYFORMULA(REGEXEXTRACT(SPLIT(E26, ""&lt;br&gt;""), ""([가-힣A-Za-z]+)""))"),"테리")</f>
        <v>테리</v>
      </c>
      <c r="O26" s="24" t="str">
        <f>IFERROR(__xludf.DUMMYFUNCTION("""COMPUTED_VALUE"""),"넘버")</f>
        <v>넘버</v>
      </c>
      <c r="P26" s="24" t="str">
        <f>IFERROR(__xludf.DUMMYFUNCTION("""COMPUTED_VALUE"""),"ACDC")</f>
        <v>ACDC</v>
      </c>
      <c r="Q26" s="24" t="str">
        <f>IFERROR(__xludf.DUMMYFUNCTION("""COMPUTED_VALUE"""),"규식")</f>
        <v>규식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9" t="s">
        <v>190</v>
      </c>
      <c r="B27" s="20" t="s">
        <v>191</v>
      </c>
      <c r="C27" s="19" t="s">
        <v>192</v>
      </c>
      <c r="D27" s="19">
        <v>5.0</v>
      </c>
      <c r="E27" s="19" t="s">
        <v>193</v>
      </c>
      <c r="F27" s="19">
        <v>3.0</v>
      </c>
      <c r="G27" s="21">
        <v>46043.083333333336</v>
      </c>
      <c r="H27" s="19" t="s">
        <v>83</v>
      </c>
      <c r="I27" s="22" t="s">
        <v>194</v>
      </c>
      <c r="J27" s="23" t="str">
        <f>IFERROR(__xludf.DUMMYFUNCTION("ARRAYFORMULA(REGEXEXTRACT(SPLIT(C27, ""&lt;br&gt;""), ""([가-힣A-Za-z]+)""))"),"ACDC")</f>
        <v>ACDC</v>
      </c>
      <c r="K27" s="24" t="str">
        <f>IFERROR(__xludf.DUMMYFUNCTION("""COMPUTED_VALUE"""),"깡패")</f>
        <v>깡패</v>
      </c>
      <c r="L27" s="24" t="str">
        <f>IFERROR(__xludf.DUMMYFUNCTION("""COMPUTED_VALUE"""),"넘버")</f>
        <v>넘버</v>
      </c>
      <c r="M27" s="24" t="str">
        <f>IFERROR(__xludf.DUMMYFUNCTION("""COMPUTED_VALUE"""),"짱구")</f>
        <v>짱구</v>
      </c>
      <c r="N27" s="24" t="str">
        <f>IFERROR(__xludf.DUMMYFUNCTION("ARRAYFORMULA(REGEXEXTRACT(SPLIT(E27, ""&lt;br&gt;""), ""([가-힣A-Za-z]+)""))"),"솔")</f>
        <v>솔</v>
      </c>
      <c r="O27" s="24" t="str">
        <f>IFERROR(__xludf.DUMMYFUNCTION("""COMPUTED_VALUE"""),"학생")</f>
        <v>학생</v>
      </c>
      <c r="P27" s="24" t="str">
        <f>IFERROR(__xludf.DUMMYFUNCTION("""COMPUTED_VALUE"""),"테리")</f>
        <v>테리</v>
      </c>
      <c r="Q27" s="24" t="str">
        <f>IFERROR(__xludf.DUMMYFUNCTION("""COMPUTED_VALUE"""),"신형만")</f>
        <v>신형만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9" t="s">
        <v>195</v>
      </c>
      <c r="B28" s="20" t="s">
        <v>196</v>
      </c>
      <c r="C28" s="19" t="s">
        <v>197</v>
      </c>
      <c r="D28" s="19">
        <v>5.0</v>
      </c>
      <c r="E28" s="19" t="s">
        <v>198</v>
      </c>
      <c r="F28" s="19">
        <v>1.0</v>
      </c>
      <c r="G28" s="21">
        <v>46043.038194444445</v>
      </c>
      <c r="H28" s="19" t="s">
        <v>83</v>
      </c>
      <c r="I28" s="22" t="s">
        <v>199</v>
      </c>
      <c r="J28" s="23" t="str">
        <f>IFERROR(__xludf.DUMMYFUNCTION("ARRAYFORMULA(REGEXEXTRACT(SPLIT(C28, ""&lt;br&gt;""), ""([가-힣A-Za-z]+)""))"),"테리")</f>
        <v>테리</v>
      </c>
      <c r="K28" s="24" t="str">
        <f>IFERROR(__xludf.DUMMYFUNCTION("""COMPUTED_VALUE"""),"짱구")</f>
        <v>짱구</v>
      </c>
      <c r="L28" s="24" t="str">
        <f>IFERROR(__xludf.DUMMYFUNCTION("""COMPUTED_VALUE"""),"솔")</f>
        <v>솔</v>
      </c>
      <c r="M28" s="24" t="str">
        <f>IFERROR(__xludf.DUMMYFUNCTION("""COMPUTED_VALUE"""),"ACDC")</f>
        <v>ACDC</v>
      </c>
      <c r="N28" s="24" t="str">
        <f>IFERROR(__xludf.DUMMYFUNCTION("ARRAYFORMULA(REGEXEXTRACT(SPLIT(E28, ""&lt;br&gt;""), ""([가-힣A-Za-z]+)""))"),"학생")</f>
        <v>학생</v>
      </c>
      <c r="O28" s="24" t="str">
        <f>IFERROR(__xludf.DUMMYFUNCTION("""COMPUTED_VALUE"""),"신형만")</f>
        <v>신형만</v>
      </c>
      <c r="P28" s="24" t="str">
        <f>IFERROR(__xludf.DUMMYFUNCTION("""COMPUTED_VALUE"""),"깡패")</f>
        <v>깡패</v>
      </c>
      <c r="Q28" s="24" t="str">
        <f>IFERROR(__xludf.DUMMYFUNCTION("""COMPUTED_VALUE"""),"넘버")</f>
        <v>넘버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9" t="s">
        <v>200</v>
      </c>
      <c r="B29" s="20" t="s">
        <v>201</v>
      </c>
      <c r="C29" s="19" t="s">
        <v>202</v>
      </c>
      <c r="D29" s="19">
        <v>5.0</v>
      </c>
      <c r="E29" s="19" t="s">
        <v>203</v>
      </c>
      <c r="F29" s="19">
        <v>3.0</v>
      </c>
      <c r="G29" s="21">
        <v>46043.01944444444</v>
      </c>
      <c r="H29" s="19" t="s">
        <v>83</v>
      </c>
      <c r="I29" s="22" t="s">
        <v>199</v>
      </c>
      <c r="J29" s="23" t="str">
        <f>IFERROR(__xludf.DUMMYFUNCTION("ARRAYFORMULA(REGEXEXTRACT(SPLIT(C29, ""&lt;br&gt;""), ""([가-힣A-Za-z]+)""))"),"깡패")</f>
        <v>깡패</v>
      </c>
      <c r="K29" s="24" t="str">
        <f>IFERROR(__xludf.DUMMYFUNCTION("""COMPUTED_VALUE"""),"넘버")</f>
        <v>넘버</v>
      </c>
      <c r="L29" s="24" t="str">
        <f>IFERROR(__xludf.DUMMYFUNCTION("""COMPUTED_VALUE"""),"ACDC")</f>
        <v>ACDC</v>
      </c>
      <c r="M29" s="24" t="str">
        <f>IFERROR(__xludf.DUMMYFUNCTION("""COMPUTED_VALUE"""),"솔")</f>
        <v>솔</v>
      </c>
      <c r="N29" s="24" t="str">
        <f>IFERROR(__xludf.DUMMYFUNCTION("ARRAYFORMULA(REGEXEXTRACT(SPLIT(E29, ""&lt;br&gt;""), ""([가-힣A-Za-z]+)""))"),"신형만")</f>
        <v>신형만</v>
      </c>
      <c r="O29" s="24" t="str">
        <f>IFERROR(__xludf.DUMMYFUNCTION("""COMPUTED_VALUE"""),"학생")</f>
        <v>학생</v>
      </c>
      <c r="P29" s="24" t="str">
        <f>IFERROR(__xludf.DUMMYFUNCTION("""COMPUTED_VALUE"""),"테리")</f>
        <v>테리</v>
      </c>
      <c r="Q29" s="24" t="str">
        <f>IFERROR(__xludf.DUMMYFUNCTION("""COMPUTED_VALUE"""),"짱구")</f>
        <v>짱구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9" t="s">
        <v>204</v>
      </c>
      <c r="B30" s="20" t="s">
        <v>205</v>
      </c>
      <c r="C30" s="19" t="s">
        <v>206</v>
      </c>
      <c r="D30" s="19">
        <v>5.0</v>
      </c>
      <c r="E30" s="19" t="s">
        <v>207</v>
      </c>
      <c r="F30" s="19">
        <v>4.0</v>
      </c>
      <c r="G30" s="21">
        <v>46042.98611111111</v>
      </c>
      <c r="H30" s="19" t="s">
        <v>83</v>
      </c>
      <c r="I30" s="22" t="s">
        <v>208</v>
      </c>
      <c r="J30" s="23" t="str">
        <f>IFERROR(__xludf.DUMMYFUNCTION("ARRAYFORMULA(REGEXEXTRACT(SPLIT(C30, ""&lt;br&gt;""), ""([가-힣A-Za-z]+)""))"),"학생")</f>
        <v>학생</v>
      </c>
      <c r="K30" s="24" t="str">
        <f>IFERROR(__xludf.DUMMYFUNCTION("""COMPUTED_VALUE"""),"솔")</f>
        <v>솔</v>
      </c>
      <c r="L30" s="24" t="str">
        <f>IFERROR(__xludf.DUMMYFUNCTION("""COMPUTED_VALUE"""),"넘버")</f>
        <v>넘버</v>
      </c>
      <c r="M30" s="24" t="str">
        <f>IFERROR(__xludf.DUMMYFUNCTION("""COMPUTED_VALUE"""),"원")</f>
        <v>원</v>
      </c>
      <c r="N30" s="24" t="str">
        <f>IFERROR(__xludf.DUMMYFUNCTION("ARRAYFORMULA(REGEXEXTRACT(SPLIT(E30, ""&lt;br&gt;""), ""([가-힣A-Za-z]+)""))"),"테리")</f>
        <v>테리</v>
      </c>
      <c r="O30" s="24" t="str">
        <f>IFERROR(__xludf.DUMMYFUNCTION("""COMPUTED_VALUE"""),"짱구")</f>
        <v>짱구</v>
      </c>
      <c r="P30" s="24" t="str">
        <f>IFERROR(__xludf.DUMMYFUNCTION("""COMPUTED_VALUE"""),"깡패")</f>
        <v>깡패</v>
      </c>
      <c r="Q30" s="24" t="str">
        <f>IFERROR(__xludf.DUMMYFUNCTION("""COMPUTED_VALUE"""),"ACDC")</f>
        <v>ACDC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9" t="s">
        <v>209</v>
      </c>
      <c r="B31" s="20" t="s">
        <v>210</v>
      </c>
      <c r="C31" s="19" t="s">
        <v>211</v>
      </c>
      <c r="D31" s="19">
        <v>5.0</v>
      </c>
      <c r="E31" s="19" t="s">
        <v>212</v>
      </c>
      <c r="F31" s="19">
        <v>1.0</v>
      </c>
      <c r="G31" s="21">
        <v>46042.96041666667</v>
      </c>
      <c r="H31" s="19" t="s">
        <v>83</v>
      </c>
      <c r="I31" s="22" t="s">
        <v>213</v>
      </c>
      <c r="J31" s="23" t="str">
        <f>IFERROR(__xludf.DUMMYFUNCTION("ARRAYFORMULA(REGEXEXTRACT(SPLIT(C31, ""&lt;br&gt;""), ""([가-힣A-Za-z]+)""))"),"신형만")</f>
        <v>신형만</v>
      </c>
      <c r="K31" s="24" t="str">
        <f>IFERROR(__xludf.DUMMYFUNCTION("""COMPUTED_VALUE"""),"깡패")</f>
        <v>깡패</v>
      </c>
      <c r="L31" s="24" t="str">
        <f>IFERROR(__xludf.DUMMYFUNCTION("""COMPUTED_VALUE"""),"원")</f>
        <v>원</v>
      </c>
      <c r="M31" s="24" t="str">
        <f>IFERROR(__xludf.DUMMYFUNCTION("""COMPUTED_VALUE"""),"짱구")</f>
        <v>짱구</v>
      </c>
      <c r="N31" s="24" t="str">
        <f>IFERROR(__xludf.DUMMYFUNCTION("ARRAYFORMULA(REGEXEXTRACT(SPLIT(E31, ""&lt;br&gt;""), ""([가-힣A-Za-z]+)""))"),"솔")</f>
        <v>솔</v>
      </c>
      <c r="O31" s="24" t="str">
        <f>IFERROR(__xludf.DUMMYFUNCTION("""COMPUTED_VALUE"""),"ACDC")</f>
        <v>ACDC</v>
      </c>
      <c r="P31" s="24" t="str">
        <f>IFERROR(__xludf.DUMMYFUNCTION("""COMPUTED_VALUE"""),"테리")</f>
        <v>테리</v>
      </c>
      <c r="Q31" s="24" t="str">
        <f>IFERROR(__xludf.DUMMYFUNCTION("""COMPUTED_VALUE"""),"학생")</f>
        <v>학생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9" t="s">
        <v>214</v>
      </c>
      <c r="B32" s="20" t="s">
        <v>215</v>
      </c>
      <c r="C32" s="19" t="s">
        <v>216</v>
      </c>
      <c r="D32" s="19">
        <v>5.0</v>
      </c>
      <c r="E32" s="19" t="s">
        <v>217</v>
      </c>
      <c r="F32" s="19">
        <v>3.0</v>
      </c>
      <c r="G32" s="21">
        <v>46042.93472222222</v>
      </c>
      <c r="H32" s="19" t="s">
        <v>83</v>
      </c>
      <c r="I32" s="22" t="s">
        <v>218</v>
      </c>
      <c r="J32" s="23" t="str">
        <f>IFERROR(__xludf.DUMMYFUNCTION("ARRAYFORMULA(REGEXEXTRACT(SPLIT(C32, ""&lt;br&gt;""), ""([가-힣A-Za-z]+)""))"),"ACDC")</f>
        <v>ACDC</v>
      </c>
      <c r="K32" s="24" t="str">
        <f>IFERROR(__xludf.DUMMYFUNCTION("""COMPUTED_VALUE"""),"테리")</f>
        <v>테리</v>
      </c>
      <c r="L32" s="24" t="str">
        <f>IFERROR(__xludf.DUMMYFUNCTION("""COMPUTED_VALUE"""),"깡패")</f>
        <v>깡패</v>
      </c>
      <c r="M32" s="24" t="str">
        <f>IFERROR(__xludf.DUMMYFUNCTION("""COMPUTED_VALUE"""),"원")</f>
        <v>원</v>
      </c>
      <c r="N32" s="24" t="str">
        <f>IFERROR(__xludf.DUMMYFUNCTION("ARRAYFORMULA(REGEXEXTRACT(SPLIT(E32, ""&lt;br&gt;""), ""([가-힣A-Za-z]+)""))"),"한메")</f>
        <v>한메</v>
      </c>
      <c r="O32" s="24" t="str">
        <f>IFERROR(__xludf.DUMMYFUNCTION("""COMPUTED_VALUE"""),"학생")</f>
        <v>학생</v>
      </c>
      <c r="P32" s="24" t="str">
        <f>IFERROR(__xludf.DUMMYFUNCTION("""COMPUTED_VALUE"""),"신형만")</f>
        <v>신형만</v>
      </c>
      <c r="Q32" s="24" t="str">
        <f>IFERROR(__xludf.DUMMYFUNCTION("""COMPUTED_VALUE"""),"솔")</f>
        <v>솔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9" t="s">
        <v>219</v>
      </c>
      <c r="B33" s="20" t="s">
        <v>220</v>
      </c>
      <c r="C33" s="19" t="s">
        <v>221</v>
      </c>
      <c r="D33" s="19">
        <v>5.0</v>
      </c>
      <c r="E33" s="19" t="s">
        <v>222</v>
      </c>
      <c r="F33" s="19">
        <v>2.0</v>
      </c>
      <c r="G33" s="21">
        <v>46042.90277777778</v>
      </c>
      <c r="H33" s="19" t="s">
        <v>83</v>
      </c>
      <c r="I33" s="22" t="s">
        <v>223</v>
      </c>
      <c r="J33" s="23" t="str">
        <f>IFERROR(__xludf.DUMMYFUNCTION("ARRAYFORMULA(REGEXEXTRACT(SPLIT(C33, ""&lt;br&gt;""), ""([가-힣A-Za-z]+)""))"),"깡패")</f>
        <v>깡패</v>
      </c>
      <c r="K33" s="24" t="str">
        <f>IFERROR(__xludf.DUMMYFUNCTION("""COMPUTED_VALUE"""),"넘버")</f>
        <v>넘버</v>
      </c>
      <c r="L33" s="24" t="str">
        <f>IFERROR(__xludf.DUMMYFUNCTION("""COMPUTED_VALUE"""),"신형만")</f>
        <v>신형만</v>
      </c>
      <c r="M33" s="24" t="str">
        <f>IFERROR(__xludf.DUMMYFUNCTION("""COMPUTED_VALUE"""),"ACDC")</f>
        <v>ACDC</v>
      </c>
      <c r="N33" s="24" t="str">
        <f>IFERROR(__xludf.DUMMYFUNCTION("ARRAYFORMULA(REGEXEXTRACT(SPLIT(E33, ""&lt;br&gt;""), ""([가-힣A-Za-z]+)""))"),"테리")</f>
        <v>테리</v>
      </c>
      <c r="O33" s="24" t="str">
        <f>IFERROR(__xludf.DUMMYFUNCTION("""COMPUTED_VALUE"""),"솔")</f>
        <v>솔</v>
      </c>
      <c r="P33" s="24" t="str">
        <f>IFERROR(__xludf.DUMMYFUNCTION("""COMPUTED_VALUE"""),"학생")</f>
        <v>학생</v>
      </c>
      <c r="Q33" s="24" t="str">
        <f>IFERROR(__xludf.DUMMYFUNCTION("""COMPUTED_VALUE"""),"한메")</f>
        <v>한메</v>
      </c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9" t="s">
        <v>224</v>
      </c>
      <c r="B34" s="20" t="s">
        <v>225</v>
      </c>
      <c r="C34" s="19" t="s">
        <v>226</v>
      </c>
      <c r="D34" s="19">
        <v>5.0</v>
      </c>
      <c r="E34" s="19" t="s">
        <v>227</v>
      </c>
      <c r="F34" s="19">
        <v>0.0</v>
      </c>
      <c r="G34" s="21">
        <v>46042.876388888886</v>
      </c>
      <c r="H34" s="19" t="s">
        <v>83</v>
      </c>
      <c r="I34" s="22" t="s">
        <v>223</v>
      </c>
      <c r="J34" s="23" t="str">
        <f>IFERROR(__xludf.DUMMYFUNCTION("ARRAYFORMULA(REGEXEXTRACT(SPLIT(C34, ""&lt;br&gt;""), ""([가-힣A-Za-z]+)""))"),"ACDC")</f>
        <v>ACDC</v>
      </c>
      <c r="K34" s="24" t="str">
        <f>IFERROR(__xludf.DUMMYFUNCTION("""COMPUTED_VALUE"""),"테리")</f>
        <v>테리</v>
      </c>
      <c r="L34" s="24" t="str">
        <f>IFERROR(__xludf.DUMMYFUNCTION("""COMPUTED_VALUE"""),"학생")</f>
        <v>학생</v>
      </c>
      <c r="M34" s="24" t="str">
        <f>IFERROR(__xludf.DUMMYFUNCTION("""COMPUTED_VALUE"""),"신형만")</f>
        <v>신형만</v>
      </c>
      <c r="N34" s="24" t="str">
        <f>IFERROR(__xludf.DUMMYFUNCTION("ARRAYFORMULA(REGEXEXTRACT(SPLIT(E34, ""&lt;br&gt;""), ""([가-힣A-Za-z]+)""))"),"한메")</f>
        <v>한메</v>
      </c>
      <c r="O34" s="24" t="str">
        <f>IFERROR(__xludf.DUMMYFUNCTION("""COMPUTED_VALUE"""),"깡패")</f>
        <v>깡패</v>
      </c>
      <c r="P34" s="24" t="str">
        <f>IFERROR(__xludf.DUMMYFUNCTION("""COMPUTED_VALUE"""),"솔")</f>
        <v>솔</v>
      </c>
      <c r="Q34" s="24" t="str">
        <f>IFERROR(__xludf.DUMMYFUNCTION("""COMPUTED_VALUE"""),"넘버")</f>
        <v>넘버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9" t="s">
        <v>228</v>
      </c>
      <c r="B35" s="20" t="s">
        <v>229</v>
      </c>
      <c r="C35" s="19" t="s">
        <v>230</v>
      </c>
      <c r="D35" s="19">
        <v>5.0</v>
      </c>
      <c r="E35" s="19" t="s">
        <v>231</v>
      </c>
      <c r="F35" s="19">
        <v>4.0</v>
      </c>
      <c r="G35" s="21">
        <v>46042.8625</v>
      </c>
      <c r="H35" s="19" t="s">
        <v>83</v>
      </c>
      <c r="I35" s="22" t="s">
        <v>223</v>
      </c>
      <c r="J35" s="23" t="str">
        <f>IFERROR(__xludf.DUMMYFUNCTION("ARRAYFORMULA(REGEXEXTRACT(SPLIT(C35, ""&lt;br&gt;""), ""([가-힣A-Za-z]+)""))"),"학생")</f>
        <v>학생</v>
      </c>
      <c r="K35" s="24" t="str">
        <f>IFERROR(__xludf.DUMMYFUNCTION("""COMPUTED_VALUE"""),"신형만")</f>
        <v>신형만</v>
      </c>
      <c r="L35" s="24" t="str">
        <f>IFERROR(__xludf.DUMMYFUNCTION("""COMPUTED_VALUE"""),"깡패")</f>
        <v>깡패</v>
      </c>
      <c r="M35" s="24" t="str">
        <f>IFERROR(__xludf.DUMMYFUNCTION("""COMPUTED_VALUE"""),"한메")</f>
        <v>한메</v>
      </c>
      <c r="N35" s="24" t="str">
        <f>IFERROR(__xludf.DUMMYFUNCTION("ARRAYFORMULA(REGEXEXTRACT(SPLIT(E35, ""&lt;br&gt;""), ""([가-힣A-Za-z]+)""))"),"넘버")</f>
        <v>넘버</v>
      </c>
      <c r="O35" s="24" t="str">
        <f>IFERROR(__xludf.DUMMYFUNCTION("""COMPUTED_VALUE"""),"솔")</f>
        <v>솔</v>
      </c>
      <c r="P35" s="24" t="str">
        <f>IFERROR(__xludf.DUMMYFUNCTION("""COMPUTED_VALUE"""),"테리")</f>
        <v>테리</v>
      </c>
      <c r="Q35" s="24" t="str">
        <f>IFERROR(__xludf.DUMMYFUNCTION("""COMPUTED_VALUE"""),"ACDC")</f>
        <v>ACDC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9" t="s">
        <v>232</v>
      </c>
      <c r="B36" s="20" t="s">
        <v>233</v>
      </c>
      <c r="C36" s="19" t="s">
        <v>234</v>
      </c>
      <c r="D36" s="19">
        <v>5.0</v>
      </c>
      <c r="E36" s="19" t="s">
        <v>235</v>
      </c>
      <c r="F36" s="19">
        <v>4.0</v>
      </c>
      <c r="G36" s="21">
        <v>46036.96597222222</v>
      </c>
      <c r="H36" s="19" t="s">
        <v>83</v>
      </c>
      <c r="I36" s="22" t="s">
        <v>236</v>
      </c>
      <c r="J36" s="23" t="str">
        <f>IFERROR(__xludf.DUMMYFUNCTION("ARRAYFORMULA(REGEXEXTRACT(SPLIT(C36, ""&lt;br&gt;""), ""([가-힣A-Za-z]+)""))"),"테리")</f>
        <v>테리</v>
      </c>
      <c r="K36" s="24" t="str">
        <f>IFERROR(__xludf.DUMMYFUNCTION("""COMPUTED_VALUE"""),"신형만")</f>
        <v>신형만</v>
      </c>
      <c r="L36" s="24" t="str">
        <f>IFERROR(__xludf.DUMMYFUNCTION("""COMPUTED_VALUE"""),"규식")</f>
        <v>규식</v>
      </c>
      <c r="M36" s="24" t="str">
        <f>IFERROR(__xludf.DUMMYFUNCTION("""COMPUTED_VALUE"""),"솔")</f>
        <v>솔</v>
      </c>
      <c r="N36" s="24" t="str">
        <f>IFERROR(__xludf.DUMMYFUNCTION("ARRAYFORMULA(REGEXEXTRACT(SPLIT(E36, ""&lt;br&gt;""), ""([가-힣A-Za-z]+)""))"),"짱구")</f>
        <v>짱구</v>
      </c>
      <c r="O36" s="24" t="str">
        <f>IFERROR(__xludf.DUMMYFUNCTION("""COMPUTED_VALUE"""),"깡패")</f>
        <v>깡패</v>
      </c>
      <c r="P36" s="24" t="str">
        <f>IFERROR(__xludf.DUMMYFUNCTION("""COMPUTED_VALUE"""),"ACDC")</f>
        <v>ACDC</v>
      </c>
      <c r="Q36" s="24" t="str">
        <f>IFERROR(__xludf.DUMMYFUNCTION("""COMPUTED_VALUE"""),"학생")</f>
        <v>학생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9" t="s">
        <v>237</v>
      </c>
      <c r="B37" s="20" t="s">
        <v>238</v>
      </c>
      <c r="C37" s="19" t="s">
        <v>239</v>
      </c>
      <c r="D37" s="19">
        <v>5.0</v>
      </c>
      <c r="E37" s="19" t="s">
        <v>240</v>
      </c>
      <c r="F37" s="19">
        <v>0.0</v>
      </c>
      <c r="G37" s="21">
        <v>46036.964583333334</v>
      </c>
      <c r="H37" s="19" t="s">
        <v>83</v>
      </c>
      <c r="I37" s="22" t="s">
        <v>241</v>
      </c>
      <c r="J37" s="23" t="str">
        <f>IFERROR(__xludf.DUMMYFUNCTION("ARRAYFORMULA(REGEXEXTRACT(SPLIT(C37, ""&lt;br&gt;""), ""([가-힣A-Za-z]+)""))"),"신형만")</f>
        <v>신형만</v>
      </c>
      <c r="K37" s="24" t="str">
        <f>IFERROR(__xludf.DUMMYFUNCTION("""COMPUTED_VALUE"""),"테리")</f>
        <v>테리</v>
      </c>
      <c r="L37" s="24" t="str">
        <f>IFERROR(__xludf.DUMMYFUNCTION("""COMPUTED_VALUE"""),"넘버")</f>
        <v>넘버</v>
      </c>
      <c r="M37" s="24" t="str">
        <f>IFERROR(__xludf.DUMMYFUNCTION("""COMPUTED_VALUE"""),"ACDC")</f>
        <v>ACDC</v>
      </c>
      <c r="N37" s="24" t="str">
        <f>IFERROR(__xludf.DUMMYFUNCTION("ARRAYFORMULA(REGEXEXTRACT(SPLIT(E37, ""&lt;br&gt;""), ""([가-힣A-Za-z]+)""))"),"솔")</f>
        <v>솔</v>
      </c>
      <c r="O37" s="24" t="str">
        <f>IFERROR(__xludf.DUMMYFUNCTION("""COMPUTED_VALUE"""),"학생")</f>
        <v>학생</v>
      </c>
      <c r="P37" s="24" t="str">
        <f>IFERROR(__xludf.DUMMYFUNCTION("""COMPUTED_VALUE"""),"짱구")</f>
        <v>짱구</v>
      </c>
      <c r="Q37" s="24" t="str">
        <f>IFERROR(__xludf.DUMMYFUNCTION("""COMPUTED_VALUE"""),"규식")</f>
        <v>규식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9" t="s">
        <v>242</v>
      </c>
      <c r="B38" s="20" t="s">
        <v>243</v>
      </c>
      <c r="C38" s="19" t="s">
        <v>244</v>
      </c>
      <c r="D38" s="19">
        <v>5.0</v>
      </c>
      <c r="E38" s="19" t="s">
        <v>245</v>
      </c>
      <c r="F38" s="19">
        <v>3.0</v>
      </c>
      <c r="G38" s="21">
        <v>46036.9625</v>
      </c>
      <c r="H38" s="19" t="s">
        <v>83</v>
      </c>
      <c r="I38" s="22" t="s">
        <v>241</v>
      </c>
      <c r="J38" s="23" t="str">
        <f>IFERROR(__xludf.DUMMYFUNCTION("ARRAYFORMULA(REGEXEXTRACT(SPLIT(C38, ""&lt;br&gt;""), ""([가-힣A-Za-z]+)""))"),"테리")</f>
        <v>테리</v>
      </c>
      <c r="K38" s="24" t="str">
        <f>IFERROR(__xludf.DUMMYFUNCTION("""COMPUTED_VALUE"""),"규식")</f>
        <v>규식</v>
      </c>
      <c r="L38" s="24" t="str">
        <f>IFERROR(__xludf.DUMMYFUNCTION("""COMPUTED_VALUE"""),"ACDC")</f>
        <v>ACDC</v>
      </c>
      <c r="M38" s="24" t="str">
        <f>IFERROR(__xludf.DUMMYFUNCTION("""COMPUTED_VALUE"""),"짱구")</f>
        <v>짱구</v>
      </c>
      <c r="N38" s="24" t="str">
        <f>IFERROR(__xludf.DUMMYFUNCTION("ARRAYFORMULA(REGEXEXTRACT(SPLIT(E38, ""&lt;br&gt;""), ""([가-힣A-Za-z]+)""))"),"학생")</f>
        <v>학생</v>
      </c>
      <c r="O38" s="24" t="str">
        <f>IFERROR(__xludf.DUMMYFUNCTION("""COMPUTED_VALUE"""),"신형만")</f>
        <v>신형만</v>
      </c>
      <c r="P38" s="24" t="str">
        <f>IFERROR(__xludf.DUMMYFUNCTION("""COMPUTED_VALUE"""),"솔")</f>
        <v>솔</v>
      </c>
      <c r="Q38" s="24" t="str">
        <f>IFERROR(__xludf.DUMMYFUNCTION("""COMPUTED_VALUE"""),"넘버")</f>
        <v>넘버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9" t="s">
        <v>246</v>
      </c>
      <c r="B39" s="20" t="s">
        <v>247</v>
      </c>
      <c r="C39" s="19" t="s">
        <v>248</v>
      </c>
      <c r="D39" s="19">
        <v>5.0</v>
      </c>
      <c r="E39" s="19" t="s">
        <v>249</v>
      </c>
      <c r="F39" s="19">
        <v>4.0</v>
      </c>
      <c r="G39" s="21">
        <v>46001.89236111111</v>
      </c>
      <c r="H39" s="19" t="s">
        <v>83</v>
      </c>
      <c r="I39" s="22" t="s">
        <v>250</v>
      </c>
      <c r="J39" s="23" t="str">
        <f>IFERROR(__xludf.DUMMYFUNCTION("ARRAYFORMULA(REGEXEXTRACT(SPLIT(C39, ""&lt;br&gt;""), ""([가-힣A-Za-z]+)""))"),"테리")</f>
        <v>테리</v>
      </c>
      <c r="K39" s="24" t="str">
        <f>IFERROR(__xludf.DUMMYFUNCTION("""COMPUTED_VALUE"""),"학생")</f>
        <v>학생</v>
      </c>
      <c r="L39" s="24" t="str">
        <f>IFERROR(__xludf.DUMMYFUNCTION("""COMPUTED_VALUE"""),"한메")</f>
        <v>한메</v>
      </c>
      <c r="M39" s="24" t="str">
        <f>IFERROR(__xludf.DUMMYFUNCTION("""COMPUTED_VALUE"""),"신형만")</f>
        <v>신형만</v>
      </c>
      <c r="N39" s="24" t="str">
        <f>IFERROR(__xludf.DUMMYFUNCTION("ARRAYFORMULA(REGEXEXTRACT(SPLIT(E39, ""&lt;br&gt;""), ""([가-힣A-Za-z]+)""))"),"노인")</f>
        <v>노인</v>
      </c>
      <c r="O39" s="24" t="str">
        <f>IFERROR(__xludf.DUMMYFUNCTION("""COMPUTED_VALUE"""),"오딘")</f>
        <v>오딘</v>
      </c>
      <c r="P39" s="24" t="str">
        <f>IFERROR(__xludf.DUMMYFUNCTION("""COMPUTED_VALUE"""),"규식")</f>
        <v>규식</v>
      </c>
      <c r="Q39" s="24" t="str">
        <f>IFERROR(__xludf.DUMMYFUNCTION("""COMPUTED_VALUE"""),"깡패")</f>
        <v>깡패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9" t="s">
        <v>251</v>
      </c>
      <c r="B40" s="20" t="s">
        <v>252</v>
      </c>
      <c r="C40" s="19" t="s">
        <v>253</v>
      </c>
      <c r="D40" s="19">
        <v>5.0</v>
      </c>
      <c r="E40" s="19" t="s">
        <v>254</v>
      </c>
      <c r="F40" s="19">
        <v>2.0</v>
      </c>
      <c r="G40" s="21">
        <v>46001.86041666667</v>
      </c>
      <c r="H40" s="19" t="s">
        <v>83</v>
      </c>
      <c r="I40" s="22" t="s">
        <v>250</v>
      </c>
      <c r="J40" s="23" t="str">
        <f>IFERROR(__xludf.DUMMYFUNCTION("ARRAYFORMULA(REGEXEXTRACT(SPLIT(C40, ""&lt;br&gt;""), ""([가-힣A-Za-z]+)""))"),"학생")</f>
        <v>학생</v>
      </c>
      <c r="K40" s="24" t="str">
        <f>IFERROR(__xludf.DUMMYFUNCTION("""COMPUTED_VALUE"""),"깡패")</f>
        <v>깡패</v>
      </c>
      <c r="L40" s="24" t="str">
        <f>IFERROR(__xludf.DUMMYFUNCTION("""COMPUTED_VALUE"""),"테리")</f>
        <v>테리</v>
      </c>
      <c r="M40" s="24" t="str">
        <f>IFERROR(__xludf.DUMMYFUNCTION("""COMPUTED_VALUE"""),"오딘")</f>
        <v>오딘</v>
      </c>
      <c r="N40" s="24" t="str">
        <f>IFERROR(__xludf.DUMMYFUNCTION("ARRAYFORMULA(REGEXEXTRACT(SPLIT(E40, ""&lt;br&gt;""), ""([가-힣A-Za-z]+)""))"),"한메")</f>
        <v>한메</v>
      </c>
      <c r="O40" s="24" t="str">
        <f>IFERROR(__xludf.DUMMYFUNCTION("""COMPUTED_VALUE"""),"신형만")</f>
        <v>신형만</v>
      </c>
      <c r="P40" s="24" t="str">
        <f>IFERROR(__xludf.DUMMYFUNCTION("""COMPUTED_VALUE"""),"노인")</f>
        <v>노인</v>
      </c>
      <c r="Q40" s="24" t="str">
        <f>IFERROR(__xludf.DUMMYFUNCTION("""COMPUTED_VALUE"""),"규식")</f>
        <v>규식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9" t="s">
        <v>255</v>
      </c>
      <c r="B41" s="20" t="s">
        <v>256</v>
      </c>
      <c r="C41" s="19" t="s">
        <v>257</v>
      </c>
      <c r="D41" s="19">
        <v>5.0</v>
      </c>
      <c r="E41" s="19" t="s">
        <v>258</v>
      </c>
      <c r="F41" s="19">
        <v>3.0</v>
      </c>
      <c r="G41" s="21">
        <v>45999.93819444445</v>
      </c>
      <c r="H41" s="19" t="s">
        <v>83</v>
      </c>
      <c r="I41" s="22" t="s">
        <v>259</v>
      </c>
      <c r="J41" s="23" t="str">
        <f>IFERROR(__xludf.DUMMYFUNCTION("ARRAYFORMULA(REGEXEXTRACT(SPLIT(C41, ""&lt;br&gt;""), ""([가-힣A-Za-z]+)""))"),"노인")</f>
        <v>노인</v>
      </c>
      <c r="K41" s="24" t="str">
        <f>IFERROR(__xludf.DUMMYFUNCTION("""COMPUTED_VALUE"""),"신형만")</f>
        <v>신형만</v>
      </c>
      <c r="L41" s="24" t="str">
        <f>IFERROR(__xludf.DUMMYFUNCTION("""COMPUTED_VALUE"""),"한메")</f>
        <v>한메</v>
      </c>
      <c r="M41" s="24" t="str">
        <f>IFERROR(__xludf.DUMMYFUNCTION("""COMPUTED_VALUE"""),"원")</f>
        <v>원</v>
      </c>
      <c r="N41" s="24" t="str">
        <f>IFERROR(__xludf.DUMMYFUNCTION("ARRAYFORMULA(REGEXEXTRACT(SPLIT(E41, ""&lt;br&gt;""), ""([가-힣A-Za-z]+)""))"),"깡패")</f>
        <v>깡패</v>
      </c>
      <c r="O41" s="24" t="str">
        <f>IFERROR(__xludf.DUMMYFUNCTION("""COMPUTED_VALUE"""),"테리")</f>
        <v>테리</v>
      </c>
      <c r="P41" s="24" t="str">
        <f>IFERROR(__xludf.DUMMYFUNCTION("""COMPUTED_VALUE"""),"기재")</f>
        <v>기재</v>
      </c>
      <c r="Q41" s="24" t="str">
        <f>IFERROR(__xludf.DUMMYFUNCTION("""COMPUTED_VALUE"""),"ACDC")</f>
        <v>ACDC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9" t="s">
        <v>260</v>
      </c>
      <c r="B42" s="20" t="s">
        <v>261</v>
      </c>
      <c r="C42" s="19" t="s">
        <v>262</v>
      </c>
      <c r="D42" s="19">
        <v>5.0</v>
      </c>
      <c r="E42" s="19" t="s">
        <v>263</v>
      </c>
      <c r="F42" s="19">
        <v>3.0</v>
      </c>
      <c r="G42" s="21">
        <v>45999.902083333334</v>
      </c>
      <c r="H42" s="19" t="s">
        <v>83</v>
      </c>
      <c r="I42" s="22" t="s">
        <v>259</v>
      </c>
      <c r="J42" s="23" t="str">
        <f>IFERROR(__xludf.DUMMYFUNCTION("ARRAYFORMULA(REGEXEXTRACT(SPLIT(C42, ""&lt;br&gt;""), ""([가-힣A-Za-z]+)""))"),"원")</f>
        <v>원</v>
      </c>
      <c r="K42" s="24" t="str">
        <f>IFERROR(__xludf.DUMMYFUNCTION("""COMPUTED_VALUE"""),"깡패")</f>
        <v>깡패</v>
      </c>
      <c r="L42" s="24" t="str">
        <f>IFERROR(__xludf.DUMMYFUNCTION("""COMPUTED_VALUE"""),"ACDC")</f>
        <v>ACDC</v>
      </c>
      <c r="M42" s="24" t="str">
        <f>IFERROR(__xludf.DUMMYFUNCTION("""COMPUTED_VALUE"""),"신형만")</f>
        <v>신형만</v>
      </c>
      <c r="N42" s="24" t="str">
        <f>IFERROR(__xludf.DUMMYFUNCTION("ARRAYFORMULA(REGEXEXTRACT(SPLIT(E42, ""&lt;br&gt;""), ""([가-힣A-Za-z]+)""))"),"기재")</f>
        <v>기재</v>
      </c>
      <c r="O42" s="24" t="str">
        <f>IFERROR(__xludf.DUMMYFUNCTION("""COMPUTED_VALUE"""),"짱구")</f>
        <v>짱구</v>
      </c>
      <c r="P42" s="24" t="str">
        <f>IFERROR(__xludf.DUMMYFUNCTION("""COMPUTED_VALUE"""),"테리")</f>
        <v>테리</v>
      </c>
      <c r="Q42" s="24" t="str">
        <f>IFERROR(__xludf.DUMMYFUNCTION("""COMPUTED_VALUE"""),"한메")</f>
        <v>한메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9" t="s">
        <v>264</v>
      </c>
      <c r="B43" s="20" t="s">
        <v>265</v>
      </c>
      <c r="C43" s="19" t="s">
        <v>266</v>
      </c>
      <c r="D43" s="19">
        <v>5.0</v>
      </c>
      <c r="E43" s="19" t="s">
        <v>267</v>
      </c>
      <c r="F43" s="19">
        <v>4.0</v>
      </c>
      <c r="G43" s="21">
        <v>45994.07152777778</v>
      </c>
      <c r="H43" s="19" t="s">
        <v>83</v>
      </c>
      <c r="I43" s="22" t="s">
        <v>268</v>
      </c>
      <c r="J43" s="23" t="str">
        <f>IFERROR(__xludf.DUMMYFUNCTION("ARRAYFORMULA(REGEXEXTRACT(SPLIT(C43, ""&lt;br&gt;""), ""([가-힣A-Za-z]+)""))"),"깡패")</f>
        <v>깡패</v>
      </c>
      <c r="K43" s="24" t="str">
        <f>IFERROR(__xludf.DUMMYFUNCTION("""COMPUTED_VALUE"""),"학생")</f>
        <v>학생</v>
      </c>
      <c r="L43" s="24" t="str">
        <f>IFERROR(__xludf.DUMMYFUNCTION("""COMPUTED_VALUE"""),"짱구")</f>
        <v>짱구</v>
      </c>
      <c r="M43" s="24" t="str">
        <f>IFERROR(__xludf.DUMMYFUNCTION("""COMPUTED_VALUE"""),"규식")</f>
        <v>규식</v>
      </c>
      <c r="N43" s="24" t="str">
        <f>IFERROR(__xludf.DUMMYFUNCTION("ARRAYFORMULA(REGEXEXTRACT(SPLIT(E43, ""&lt;br&gt;""), ""([가-힣A-Za-z]+)""))"),"신형만")</f>
        <v>신형만</v>
      </c>
      <c r="O43" s="24" t="str">
        <f>IFERROR(__xludf.DUMMYFUNCTION("""COMPUTED_VALUE"""),"참치")</f>
        <v>참치</v>
      </c>
      <c r="P43" s="24" t="str">
        <f>IFERROR(__xludf.DUMMYFUNCTION("""COMPUTED_VALUE"""),"테리")</f>
        <v>테리</v>
      </c>
      <c r="Q43" s="24" t="str">
        <f>IFERROR(__xludf.DUMMYFUNCTION("""COMPUTED_VALUE"""),"ovo")</f>
        <v>ovo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9" t="s">
        <v>269</v>
      </c>
      <c r="B44" s="20" t="s">
        <v>270</v>
      </c>
      <c r="C44" s="19" t="s">
        <v>271</v>
      </c>
      <c r="D44" s="19">
        <v>5.0</v>
      </c>
      <c r="E44" s="19" t="s">
        <v>272</v>
      </c>
      <c r="F44" s="19">
        <v>3.0</v>
      </c>
      <c r="G44" s="21">
        <v>45994.03194444445</v>
      </c>
      <c r="H44" s="19" t="s">
        <v>83</v>
      </c>
      <c r="I44" s="22" t="s">
        <v>273</v>
      </c>
      <c r="J44" s="23" t="str">
        <f>IFERROR(__xludf.DUMMYFUNCTION("ARRAYFORMULA(REGEXEXTRACT(SPLIT(C44, ""&lt;br&gt;""), ""([가-힣A-Za-z]+)""))"),"테리")</f>
        <v>테리</v>
      </c>
      <c r="K44" s="24" t="str">
        <f>IFERROR(__xludf.DUMMYFUNCTION("""COMPUTED_VALUE"""),"깡패")</f>
        <v>깡패</v>
      </c>
      <c r="L44" s="24" t="str">
        <f>IFERROR(__xludf.DUMMYFUNCTION("""COMPUTED_VALUE"""),"학생")</f>
        <v>학생</v>
      </c>
      <c r="M44" s="24" t="str">
        <f>IFERROR(__xludf.DUMMYFUNCTION("""COMPUTED_VALUE"""),"ACDC")</f>
        <v>ACDC</v>
      </c>
      <c r="N44" s="24" t="str">
        <f>IFERROR(__xludf.DUMMYFUNCTION("ARRAYFORMULA(REGEXEXTRACT(SPLIT(E44, ""&lt;br&gt;""), ""([가-힣A-Za-z]+)""))"),"ovo")</f>
        <v>ovo</v>
      </c>
      <c r="O44" s="24" t="str">
        <f>IFERROR(__xludf.DUMMYFUNCTION("""COMPUTED_VALUE"""),"규식")</f>
        <v>규식</v>
      </c>
      <c r="P44" s="24" t="str">
        <f>IFERROR(__xludf.DUMMYFUNCTION("""COMPUTED_VALUE"""),"신형만")</f>
        <v>신형만</v>
      </c>
      <c r="Q44" s="24" t="str">
        <f>IFERROR(__xludf.DUMMYFUNCTION("""COMPUTED_VALUE"""),"짱구")</f>
        <v>짱구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9" t="s">
        <v>274</v>
      </c>
      <c r="B45" s="20" t="s">
        <v>275</v>
      </c>
      <c r="C45" s="19" t="s">
        <v>276</v>
      </c>
      <c r="D45" s="19">
        <v>5.0</v>
      </c>
      <c r="E45" s="19" t="s">
        <v>277</v>
      </c>
      <c r="F45" s="19">
        <v>1.0</v>
      </c>
      <c r="G45" s="21">
        <v>45993.959027777775</v>
      </c>
      <c r="H45" s="19" t="s">
        <v>83</v>
      </c>
      <c r="I45" s="22" t="s">
        <v>278</v>
      </c>
      <c r="J45" s="23" t="str">
        <f>IFERROR(__xludf.DUMMYFUNCTION("ARRAYFORMULA(REGEXEXTRACT(SPLIT(C45, ""&lt;br&gt;""), ""([가-힣A-Za-z]+)""))"),"신형만")</f>
        <v>신형만</v>
      </c>
      <c r="K45" s="24" t="str">
        <f>IFERROR(__xludf.DUMMYFUNCTION("""COMPUTED_VALUE"""),"참치")</f>
        <v>참치</v>
      </c>
      <c r="L45" s="24" t="str">
        <f>IFERROR(__xludf.DUMMYFUNCTION("""COMPUTED_VALUE"""),"원")</f>
        <v>원</v>
      </c>
      <c r="M45" s="24" t="str">
        <f>IFERROR(__xludf.DUMMYFUNCTION("""COMPUTED_VALUE"""),"학생")</f>
        <v>학생</v>
      </c>
      <c r="N45" s="24" t="str">
        <f>IFERROR(__xludf.DUMMYFUNCTION("ARRAYFORMULA(REGEXEXTRACT(SPLIT(E45, ""&lt;br&gt;""), ""([가-힣A-Za-z]+)""))"),"깡패")</f>
        <v>깡패</v>
      </c>
      <c r="O45" s="24" t="str">
        <f>IFERROR(__xludf.DUMMYFUNCTION("""COMPUTED_VALUE"""),"규식")</f>
        <v>규식</v>
      </c>
      <c r="P45" s="24" t="str">
        <f>IFERROR(__xludf.DUMMYFUNCTION("""COMPUTED_VALUE"""),"기재")</f>
        <v>기재</v>
      </c>
      <c r="Q45" s="24" t="str">
        <f>IFERROR(__xludf.DUMMYFUNCTION("""COMPUTED_VALUE"""),"ACDC")</f>
        <v>ACDC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9" t="s">
        <v>279</v>
      </c>
      <c r="B46" s="20" t="s">
        <v>280</v>
      </c>
      <c r="C46" s="19" t="s">
        <v>281</v>
      </c>
      <c r="D46" s="19">
        <v>5.0</v>
      </c>
      <c r="E46" s="19" t="s">
        <v>282</v>
      </c>
      <c r="F46" s="19">
        <v>3.0</v>
      </c>
      <c r="G46" s="21">
        <v>45993.94236111111</v>
      </c>
      <c r="H46" s="19" t="s">
        <v>83</v>
      </c>
      <c r="I46" s="22" t="s">
        <v>278</v>
      </c>
      <c r="J46" s="23" t="str">
        <f>IFERROR(__xludf.DUMMYFUNCTION("ARRAYFORMULA(REGEXEXTRACT(SPLIT(C46, ""&lt;br&gt;""), ""([가-힣A-Za-z]+)""))"),"기재")</f>
        <v>기재</v>
      </c>
      <c r="K46" s="24" t="str">
        <f>IFERROR(__xludf.DUMMYFUNCTION("""COMPUTED_VALUE"""),"학생")</f>
        <v>학생</v>
      </c>
      <c r="L46" s="24" t="str">
        <f>IFERROR(__xludf.DUMMYFUNCTION("""COMPUTED_VALUE"""),"신형만")</f>
        <v>신형만</v>
      </c>
      <c r="M46" s="24" t="str">
        <f>IFERROR(__xludf.DUMMYFUNCTION("""COMPUTED_VALUE"""),"깡패")</f>
        <v>깡패</v>
      </c>
      <c r="N46" s="24" t="str">
        <f>IFERROR(__xludf.DUMMYFUNCTION("ARRAYFORMULA(REGEXEXTRACT(SPLIT(E46, ""&lt;br&gt;""), ""([가-힣A-Za-z]+)""))"),"참치")</f>
        <v>참치</v>
      </c>
      <c r="O46" s="24" t="str">
        <f>IFERROR(__xludf.DUMMYFUNCTION("""COMPUTED_VALUE"""),"테리")</f>
        <v>테리</v>
      </c>
      <c r="P46" s="24" t="str">
        <f>IFERROR(__xludf.DUMMYFUNCTION("""COMPUTED_VALUE"""),"ACDC")</f>
        <v>ACDC</v>
      </c>
      <c r="Q46" s="24" t="str">
        <f>IFERROR(__xludf.DUMMYFUNCTION("""COMPUTED_VALUE"""),"원")</f>
        <v>원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9" t="s">
        <v>283</v>
      </c>
      <c r="B47" s="20" t="s">
        <v>284</v>
      </c>
      <c r="C47" s="19" t="s">
        <v>285</v>
      </c>
      <c r="D47" s="19">
        <v>5.0</v>
      </c>
      <c r="E47" s="19" t="s">
        <v>286</v>
      </c>
      <c r="F47" s="19">
        <v>3.0</v>
      </c>
      <c r="G47" s="21">
        <v>45993.90902777778</v>
      </c>
      <c r="H47" s="19" t="s">
        <v>83</v>
      </c>
      <c r="I47" s="22" t="s">
        <v>278</v>
      </c>
      <c r="J47" s="23" t="str">
        <f>IFERROR(__xludf.DUMMYFUNCTION("ARRAYFORMULA(REGEXEXTRACT(SPLIT(C47, ""&lt;br&gt;""), ""([가-힣A-Za-z]+)""))"),"깡패")</f>
        <v>깡패</v>
      </c>
      <c r="K47" s="24" t="str">
        <f>IFERROR(__xludf.DUMMYFUNCTION("""COMPUTED_VALUE"""),"참치")</f>
        <v>참치</v>
      </c>
      <c r="L47" s="24" t="str">
        <f>IFERROR(__xludf.DUMMYFUNCTION("""COMPUTED_VALUE"""),"테리")</f>
        <v>테리</v>
      </c>
      <c r="M47" s="24" t="str">
        <f>IFERROR(__xludf.DUMMYFUNCTION("""COMPUTED_VALUE"""),"신형만")</f>
        <v>신형만</v>
      </c>
      <c r="N47" s="24" t="str">
        <f>IFERROR(__xludf.DUMMYFUNCTION("ARRAYFORMULA(REGEXEXTRACT(SPLIT(E47, ""&lt;br&gt;""), ""([가-힣A-Za-z]+)""))"),"원")</f>
        <v>원</v>
      </c>
      <c r="O47" s="24" t="str">
        <f>IFERROR(__xludf.DUMMYFUNCTION("""COMPUTED_VALUE"""),"ACDC")</f>
        <v>ACDC</v>
      </c>
      <c r="P47" s="24" t="str">
        <f>IFERROR(__xludf.DUMMYFUNCTION("""COMPUTED_VALUE"""),"기재")</f>
        <v>기재</v>
      </c>
      <c r="Q47" s="24" t="str">
        <f>IFERROR(__xludf.DUMMYFUNCTION("""COMPUTED_VALUE"""),"학생")</f>
        <v>학생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9" t="s">
        <v>287</v>
      </c>
      <c r="B48" s="20" t="s">
        <v>288</v>
      </c>
      <c r="C48" s="19" t="s">
        <v>289</v>
      </c>
      <c r="D48" s="19">
        <v>5.0</v>
      </c>
      <c r="E48" s="19" t="s">
        <v>290</v>
      </c>
      <c r="F48" s="19">
        <v>1.0</v>
      </c>
      <c r="G48" s="21">
        <v>45993.87986111111</v>
      </c>
      <c r="H48" s="19" t="s">
        <v>83</v>
      </c>
      <c r="I48" s="22" t="s">
        <v>278</v>
      </c>
      <c r="J48" s="23" t="str">
        <f>IFERROR(__xludf.DUMMYFUNCTION("ARRAYFORMULA(REGEXEXTRACT(SPLIT(C48, ""&lt;br&gt;""), ""([가-힣A-Za-z]+)""))"),"참치")</f>
        <v>참치</v>
      </c>
      <c r="K48" s="24" t="str">
        <f>IFERROR(__xludf.DUMMYFUNCTION("""COMPUTED_VALUE"""),"깡패")</f>
        <v>깡패</v>
      </c>
      <c r="L48" s="24" t="str">
        <f>IFERROR(__xludf.DUMMYFUNCTION("""COMPUTED_VALUE"""),"원")</f>
        <v>원</v>
      </c>
      <c r="M48" s="24" t="str">
        <f>IFERROR(__xludf.DUMMYFUNCTION("""COMPUTED_VALUE"""),"ACDC")</f>
        <v>ACDC</v>
      </c>
      <c r="N48" s="24" t="str">
        <f>IFERROR(__xludf.DUMMYFUNCTION("ARRAYFORMULA(REGEXEXTRACT(SPLIT(E48, ""&lt;br&gt;""), ""([가-힣A-Za-z]+)""))"),"테리")</f>
        <v>테리</v>
      </c>
      <c r="O48" s="24" t="str">
        <f>IFERROR(__xludf.DUMMYFUNCTION("""COMPUTED_VALUE"""),"학생")</f>
        <v>학생</v>
      </c>
      <c r="P48" s="24" t="str">
        <f>IFERROR(__xludf.DUMMYFUNCTION("""COMPUTED_VALUE"""),"신형만")</f>
        <v>신형만</v>
      </c>
      <c r="Q48" s="24" t="str">
        <f>IFERROR(__xludf.DUMMYFUNCTION("""COMPUTED_VALUE"""),"기재")</f>
        <v>기재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9" t="s">
        <v>291</v>
      </c>
      <c r="B49" s="20" t="s">
        <v>292</v>
      </c>
      <c r="C49" s="19" t="s">
        <v>293</v>
      </c>
      <c r="D49" s="19">
        <v>5.0</v>
      </c>
      <c r="E49" s="19" t="s">
        <v>294</v>
      </c>
      <c r="F49" s="19">
        <v>2.0</v>
      </c>
      <c r="G49" s="21">
        <v>45987.885416666664</v>
      </c>
      <c r="H49" s="19" t="s">
        <v>83</v>
      </c>
      <c r="I49" s="22" t="s">
        <v>295</v>
      </c>
      <c r="J49" s="23" t="str">
        <f>IFERROR(__xludf.DUMMYFUNCTION("ARRAYFORMULA(REGEXEXTRACT(SPLIT(C49, ""&lt;br&gt;""), ""([가-힣A-Za-z]+)""))"),"테리")</f>
        <v>테리</v>
      </c>
      <c r="K49" s="24" t="str">
        <f>IFERROR(__xludf.DUMMYFUNCTION("""COMPUTED_VALUE"""),"신형만")</f>
        <v>신형만</v>
      </c>
      <c r="L49" s="24" t="str">
        <f>IFERROR(__xludf.DUMMYFUNCTION("""COMPUTED_VALUE"""),"깡패")</f>
        <v>깡패</v>
      </c>
      <c r="M49" s="24" t="str">
        <f>IFERROR(__xludf.DUMMYFUNCTION("""COMPUTED_VALUE"""),"규식")</f>
        <v>규식</v>
      </c>
      <c r="N49" s="24" t="str">
        <f>IFERROR(__xludf.DUMMYFUNCTION("ARRAYFORMULA(REGEXEXTRACT(SPLIT(E49, ""&lt;br&gt;""), ""([가-힣A-Za-z]+)""))"),"ACDC")</f>
        <v>ACDC</v>
      </c>
      <c r="O49" s="24" t="str">
        <f>IFERROR(__xludf.DUMMYFUNCTION("""COMPUTED_VALUE"""),"짱구")</f>
        <v>짱구</v>
      </c>
      <c r="P49" s="24" t="str">
        <f>IFERROR(__xludf.DUMMYFUNCTION("""COMPUTED_VALUE"""),"노인")</f>
        <v>노인</v>
      </c>
      <c r="Q49" s="24" t="str">
        <f>IFERROR(__xludf.DUMMYFUNCTION("""COMPUTED_VALUE"""),"노픽업")</f>
        <v>노픽업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9" t="s">
        <v>296</v>
      </c>
      <c r="B50" s="20" t="s">
        <v>297</v>
      </c>
      <c r="C50" s="19" t="s">
        <v>298</v>
      </c>
      <c r="D50" s="19">
        <v>5.0</v>
      </c>
      <c r="E50" s="19" t="s">
        <v>299</v>
      </c>
      <c r="F50" s="19">
        <v>3.0</v>
      </c>
      <c r="G50" s="21">
        <v>45987.85833333333</v>
      </c>
      <c r="H50" s="19" t="s">
        <v>83</v>
      </c>
      <c r="I50" s="22" t="s">
        <v>300</v>
      </c>
      <c r="J50" s="23" t="str">
        <f>IFERROR(__xludf.DUMMYFUNCTION("ARRAYFORMULA(REGEXEXTRACT(SPLIT(C50, ""&lt;br&gt;""), ""([가-힣A-Za-z]+)""))"),"노인")</f>
        <v>노인</v>
      </c>
      <c r="K50" s="24" t="str">
        <f>IFERROR(__xludf.DUMMYFUNCTION("""COMPUTED_VALUE"""),"규식")</f>
        <v>규식</v>
      </c>
      <c r="L50" s="24" t="str">
        <f>IFERROR(__xludf.DUMMYFUNCTION("""COMPUTED_VALUE"""),"넘버")</f>
        <v>넘버</v>
      </c>
      <c r="M50" s="24" t="str">
        <f>IFERROR(__xludf.DUMMYFUNCTION("""COMPUTED_VALUE"""),"깡패")</f>
        <v>깡패</v>
      </c>
      <c r="N50" s="24" t="str">
        <f>IFERROR(__xludf.DUMMYFUNCTION("ARRAYFORMULA(REGEXEXTRACT(SPLIT(E50, ""&lt;br&gt;""), ""([가-힣A-Za-z]+)""))"),"테리")</f>
        <v>테리</v>
      </c>
      <c r="O50" s="24" t="str">
        <f>IFERROR(__xludf.DUMMYFUNCTION("""COMPUTED_VALUE"""),"신형만")</f>
        <v>신형만</v>
      </c>
      <c r="P50" s="24" t="str">
        <f>IFERROR(__xludf.DUMMYFUNCTION("""COMPUTED_VALUE"""),"ACDC")</f>
        <v>ACDC</v>
      </c>
      <c r="Q50" s="24" t="str">
        <f>IFERROR(__xludf.DUMMYFUNCTION("""COMPUTED_VALUE"""),"짱구")</f>
        <v>짱구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9" t="s">
        <v>301</v>
      </c>
      <c r="B51" s="20" t="s">
        <v>302</v>
      </c>
      <c r="C51" s="19" t="s">
        <v>303</v>
      </c>
      <c r="D51" s="19">
        <v>5.0</v>
      </c>
      <c r="E51" s="19" t="s">
        <v>304</v>
      </c>
      <c r="F51" s="19">
        <v>1.0</v>
      </c>
      <c r="G51" s="21">
        <v>45987.041666666664</v>
      </c>
      <c r="H51" s="19" t="s">
        <v>83</v>
      </c>
      <c r="I51" s="22" t="s">
        <v>305</v>
      </c>
      <c r="J51" s="23" t="str">
        <f>IFERROR(__xludf.DUMMYFUNCTION("ARRAYFORMULA(REGEXEXTRACT(SPLIT(C51, ""&lt;br&gt;""), ""([가-힣A-Za-z]+)""))"),"테리")</f>
        <v>테리</v>
      </c>
      <c r="K51" s="24" t="str">
        <f>IFERROR(__xludf.DUMMYFUNCTION("""COMPUTED_VALUE"""),"넘버")</f>
        <v>넘버</v>
      </c>
      <c r="L51" s="24" t="str">
        <f>IFERROR(__xludf.DUMMYFUNCTION("""COMPUTED_VALUE"""),"짱구")</f>
        <v>짱구</v>
      </c>
      <c r="M51" s="24" t="str">
        <f>IFERROR(__xludf.DUMMYFUNCTION("""COMPUTED_VALUE"""),"깡패")</f>
        <v>깡패</v>
      </c>
      <c r="N51" s="24" t="str">
        <f>IFERROR(__xludf.DUMMYFUNCTION("ARRAYFORMULA(REGEXEXTRACT(SPLIT(E51, ""&lt;br&gt;""), ""([가-힣A-Za-z]+)""))"),"신형만")</f>
        <v>신형만</v>
      </c>
      <c r="O51" s="24" t="str">
        <f>IFERROR(__xludf.DUMMYFUNCTION("""COMPUTED_VALUE"""),"학생")</f>
        <v>학생</v>
      </c>
      <c r="P51" s="24" t="str">
        <f>IFERROR(__xludf.DUMMYFUNCTION("""COMPUTED_VALUE"""),"ACDC")</f>
        <v>ACDC</v>
      </c>
      <c r="Q51" s="24" t="str">
        <f>IFERROR(__xludf.DUMMYFUNCTION("""COMPUTED_VALUE"""),"ovo")</f>
        <v>ovo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9" t="s">
        <v>306</v>
      </c>
      <c r="B52" s="20" t="s">
        <v>307</v>
      </c>
      <c r="C52" s="19" t="s">
        <v>308</v>
      </c>
      <c r="D52" s="19">
        <v>5.0</v>
      </c>
      <c r="E52" s="19" t="s">
        <v>309</v>
      </c>
      <c r="F52" s="19">
        <v>4.0</v>
      </c>
      <c r="G52" s="21">
        <v>45987.025</v>
      </c>
      <c r="H52" s="19" t="s">
        <v>83</v>
      </c>
      <c r="I52" s="22" t="s">
        <v>305</v>
      </c>
      <c r="J52" s="23" t="str">
        <f>IFERROR(__xludf.DUMMYFUNCTION("ARRAYFORMULA(REGEXEXTRACT(SPLIT(C52, ""&lt;br&gt;""), ""([가-힣A-Za-z]+)""))"),"ovo")</f>
        <v>ovo</v>
      </c>
      <c r="K52" s="24" t="str">
        <f>IFERROR(__xludf.DUMMYFUNCTION("""COMPUTED_VALUE"""),"짱구")</f>
        <v>짱구</v>
      </c>
      <c r="L52" s="24" t="str">
        <f>IFERROR(__xludf.DUMMYFUNCTION("""COMPUTED_VALUE"""),"테리")</f>
        <v>테리</v>
      </c>
      <c r="M52" s="24" t="str">
        <f>IFERROR(__xludf.DUMMYFUNCTION("""COMPUTED_VALUE"""),"ACDC")</f>
        <v>ACDC</v>
      </c>
      <c r="N52" s="24" t="str">
        <f>IFERROR(__xludf.DUMMYFUNCTION("ARRAYFORMULA(REGEXEXTRACT(SPLIT(E52, ""&lt;br&gt;""), ""([가-힣A-Za-z]+)""))"),"넘버")</f>
        <v>넘버</v>
      </c>
      <c r="O52" s="24" t="str">
        <f>IFERROR(__xludf.DUMMYFUNCTION("""COMPUTED_VALUE"""),"깡패")</f>
        <v>깡패</v>
      </c>
      <c r="P52" s="24" t="str">
        <f>IFERROR(__xludf.DUMMYFUNCTION("""COMPUTED_VALUE"""),"학생")</f>
        <v>학생</v>
      </c>
      <c r="Q52" s="24" t="str">
        <f>IFERROR(__xludf.DUMMYFUNCTION("""COMPUTED_VALUE"""),"신형만")</f>
        <v>신형만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9" t="s">
        <v>310</v>
      </c>
      <c r="B53" s="20" t="s">
        <v>311</v>
      </c>
      <c r="C53" s="19" t="s">
        <v>312</v>
      </c>
      <c r="D53" s="19">
        <v>5.0</v>
      </c>
      <c r="E53" s="19" t="s">
        <v>313</v>
      </c>
      <c r="F53" s="19">
        <v>1.0</v>
      </c>
      <c r="G53" s="21">
        <v>45986.96805555555</v>
      </c>
      <c r="H53" s="19" t="s">
        <v>83</v>
      </c>
      <c r="I53" s="22" t="s">
        <v>314</v>
      </c>
      <c r="J53" s="23" t="str">
        <f>IFERROR(__xludf.DUMMYFUNCTION("ARRAYFORMULA(REGEXEXTRACT(SPLIT(C53, ""&lt;br&gt;""), ""([가-힣A-Za-z]+)""))"),"기재")</f>
        <v>기재</v>
      </c>
      <c r="K53" s="24" t="str">
        <f>IFERROR(__xludf.DUMMYFUNCTION("""COMPUTED_VALUE"""),"짱구")</f>
        <v>짱구</v>
      </c>
      <c r="L53" s="24" t="str">
        <f>IFERROR(__xludf.DUMMYFUNCTION("""COMPUTED_VALUE"""),"ACDC")</f>
        <v>ACDC</v>
      </c>
      <c r="M53" s="24" t="str">
        <f>IFERROR(__xludf.DUMMYFUNCTION("""COMPUTED_VALUE"""),"규식")</f>
        <v>규식</v>
      </c>
      <c r="N53" s="24" t="str">
        <f>IFERROR(__xludf.DUMMYFUNCTION("ARRAYFORMULA(REGEXEXTRACT(SPLIT(E53, ""&lt;br&gt;""), ""([가-힣A-Za-z]+)""))"),"유즈")</f>
        <v>유즈</v>
      </c>
      <c r="O53" s="24" t="str">
        <f>IFERROR(__xludf.DUMMYFUNCTION("""COMPUTED_VALUE"""),"넘버")</f>
        <v>넘버</v>
      </c>
      <c r="P53" s="24" t="str">
        <f>IFERROR(__xludf.DUMMYFUNCTION("""COMPUTED_VALUE"""),"학생")</f>
        <v>학생</v>
      </c>
      <c r="Q53" s="24" t="str">
        <f>IFERROR(__xludf.DUMMYFUNCTION("""COMPUTED_VALUE"""),"신형만")</f>
        <v>신형만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9" t="s">
        <v>315</v>
      </c>
      <c r="B54" s="20" t="s">
        <v>316</v>
      </c>
      <c r="C54" s="19" t="s">
        <v>317</v>
      </c>
      <c r="D54" s="19">
        <v>5.0</v>
      </c>
      <c r="E54" s="19" t="s">
        <v>318</v>
      </c>
      <c r="F54" s="19">
        <v>2.0</v>
      </c>
      <c r="G54" s="21">
        <v>45986.947222222225</v>
      </c>
      <c r="H54" s="19" t="s">
        <v>83</v>
      </c>
      <c r="I54" s="22" t="s">
        <v>319</v>
      </c>
      <c r="J54" s="23" t="str">
        <f>IFERROR(__xludf.DUMMYFUNCTION("ARRAYFORMULA(REGEXEXTRACT(SPLIT(C54, ""&lt;br&gt;""), ""([가-힣A-Za-z]+)""))"),"ACDC")</f>
        <v>ACDC</v>
      </c>
      <c r="K54" s="24" t="str">
        <f>IFERROR(__xludf.DUMMYFUNCTION("""COMPUTED_VALUE"""),"신형만")</f>
        <v>신형만</v>
      </c>
      <c r="L54" s="24" t="str">
        <f>IFERROR(__xludf.DUMMYFUNCTION("""COMPUTED_VALUE"""),"규식")</f>
        <v>규식</v>
      </c>
      <c r="M54" s="24" t="str">
        <f>IFERROR(__xludf.DUMMYFUNCTION("""COMPUTED_VALUE"""),"학생")</f>
        <v>학생</v>
      </c>
      <c r="N54" s="24" t="str">
        <f>IFERROR(__xludf.DUMMYFUNCTION("ARRAYFORMULA(REGEXEXTRACT(SPLIT(E54, ""&lt;br&gt;""), ""([가-힣A-Za-z]+)""))"),"테리")</f>
        <v>테리</v>
      </c>
      <c r="O54" s="24" t="str">
        <f>IFERROR(__xludf.DUMMYFUNCTION("""COMPUTED_VALUE"""),"유즈")</f>
        <v>유즈</v>
      </c>
      <c r="P54" s="24" t="str">
        <f>IFERROR(__xludf.DUMMYFUNCTION("""COMPUTED_VALUE"""),"기재")</f>
        <v>기재</v>
      </c>
      <c r="Q54" s="24" t="str">
        <f>IFERROR(__xludf.DUMMYFUNCTION("""COMPUTED_VALUE"""),"짱구")</f>
        <v>짱구</v>
      </c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9" t="s">
        <v>320</v>
      </c>
      <c r="B55" s="20" t="s">
        <v>321</v>
      </c>
      <c r="C55" s="19" t="s">
        <v>322</v>
      </c>
      <c r="D55" s="19">
        <v>5.0</v>
      </c>
      <c r="E55" s="19" t="s">
        <v>323</v>
      </c>
      <c r="F55" s="19">
        <v>2.0</v>
      </c>
      <c r="G55" s="21">
        <v>45986.91180555556</v>
      </c>
      <c r="H55" s="19" t="s">
        <v>83</v>
      </c>
      <c r="I55" s="22" t="s">
        <v>319</v>
      </c>
      <c r="J55" s="23" t="str">
        <f>IFERROR(__xludf.DUMMYFUNCTION("ARRAYFORMULA(REGEXEXTRACT(SPLIT(C55, ""&lt;br&gt;""), ""([가-힣A-Za-z]+)""))"),"기재")</f>
        <v>기재</v>
      </c>
      <c r="K55" s="24" t="str">
        <f>IFERROR(__xludf.DUMMYFUNCTION("""COMPUTED_VALUE"""),"학생")</f>
        <v>학생</v>
      </c>
      <c r="L55" s="24" t="str">
        <f>IFERROR(__xludf.DUMMYFUNCTION("""COMPUTED_VALUE"""),"테리")</f>
        <v>테리</v>
      </c>
      <c r="M55" s="24" t="str">
        <f>IFERROR(__xludf.DUMMYFUNCTION("""COMPUTED_VALUE"""),"규식")</f>
        <v>규식</v>
      </c>
      <c r="N55" s="24" t="str">
        <f>IFERROR(__xludf.DUMMYFUNCTION("ARRAYFORMULA(REGEXEXTRACT(SPLIT(E55, ""&lt;br&gt;""), ""([가-힣A-Za-z]+)""))"),"유즈")</f>
        <v>유즈</v>
      </c>
      <c r="O55" s="24" t="str">
        <f>IFERROR(__xludf.DUMMYFUNCTION("""COMPUTED_VALUE"""),"짱구")</f>
        <v>짱구</v>
      </c>
      <c r="P55" s="24" t="str">
        <f>IFERROR(__xludf.DUMMYFUNCTION("""COMPUTED_VALUE"""),"신형만")</f>
        <v>신형만</v>
      </c>
      <c r="Q55" s="24" t="str">
        <f>IFERROR(__xludf.DUMMYFUNCTION("""COMPUTED_VALUE"""),"ACDC")</f>
        <v>ACDC</v>
      </c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9" t="s">
        <v>324</v>
      </c>
      <c r="B56" s="20" t="s">
        <v>325</v>
      </c>
      <c r="C56" s="19" t="s">
        <v>326</v>
      </c>
      <c r="D56" s="19">
        <v>5.0</v>
      </c>
      <c r="E56" s="19" t="s">
        <v>327</v>
      </c>
      <c r="F56" s="19">
        <v>4.0</v>
      </c>
      <c r="G56" s="21">
        <v>45985.93958333333</v>
      </c>
      <c r="H56" s="19" t="s">
        <v>83</v>
      </c>
      <c r="I56" s="22" t="s">
        <v>328</v>
      </c>
      <c r="J56" s="23" t="str">
        <f>IFERROR(__xludf.DUMMYFUNCTION("ARRAYFORMULA(REGEXEXTRACT(SPLIT(C56, ""&lt;br&gt;""), ""([가-힣A-Za-z]+)""))"),"원")</f>
        <v>원</v>
      </c>
      <c r="K56" s="24" t="str">
        <f>IFERROR(__xludf.DUMMYFUNCTION("""COMPUTED_VALUE"""),"깡패")</f>
        <v>깡패</v>
      </c>
      <c r="L56" s="24" t="str">
        <f>IFERROR(__xludf.DUMMYFUNCTION("""COMPUTED_VALUE"""),"한메")</f>
        <v>한메</v>
      </c>
      <c r="M56" s="24" t="str">
        <f>IFERROR(__xludf.DUMMYFUNCTION("""COMPUTED_VALUE"""),"기재")</f>
        <v>기재</v>
      </c>
      <c r="N56" s="24" t="str">
        <f>IFERROR(__xludf.DUMMYFUNCTION("ARRAYFORMULA(REGEXEXTRACT(SPLIT(E56, ""&lt;br&gt;""), ""([가-힣A-Za-z]+)""))"),"ACDC")</f>
        <v>ACDC</v>
      </c>
      <c r="O56" s="24" t="str">
        <f>IFERROR(__xludf.DUMMYFUNCTION("""COMPUTED_VALUE"""),"노픽업")</f>
        <v>노픽업</v>
      </c>
      <c r="P56" s="24" t="str">
        <f>IFERROR(__xludf.DUMMYFUNCTION("""COMPUTED_VALUE"""),"테리")</f>
        <v>테리</v>
      </c>
      <c r="Q56" s="24" t="str">
        <f>IFERROR(__xludf.DUMMYFUNCTION("""COMPUTED_VALUE"""),"짱구")</f>
        <v>짱구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9" t="s">
        <v>329</v>
      </c>
      <c r="B57" s="20" t="s">
        <v>330</v>
      </c>
      <c r="C57" s="19" t="s">
        <v>331</v>
      </c>
      <c r="D57" s="19">
        <v>5.0</v>
      </c>
      <c r="E57" s="19" t="s">
        <v>332</v>
      </c>
      <c r="F57" s="19">
        <v>0.0</v>
      </c>
      <c r="G57" s="21">
        <v>45985.90902777778</v>
      </c>
      <c r="H57" s="19" t="s">
        <v>83</v>
      </c>
      <c r="I57" s="22" t="s">
        <v>328</v>
      </c>
      <c r="J57" s="23" t="str">
        <f>IFERROR(__xludf.DUMMYFUNCTION("ARRAYFORMULA(REGEXEXTRACT(SPLIT(C57, ""&lt;br&gt;""), ""([가-힣A-Za-z]+)""))"),"테리")</f>
        <v>테리</v>
      </c>
      <c r="K57" s="24" t="str">
        <f>IFERROR(__xludf.DUMMYFUNCTION("""COMPUTED_VALUE"""),"짱구")</f>
        <v>짱구</v>
      </c>
      <c r="L57" s="24" t="str">
        <f>IFERROR(__xludf.DUMMYFUNCTION("""COMPUTED_VALUE"""),"기재")</f>
        <v>기재</v>
      </c>
      <c r="M57" s="24" t="str">
        <f>IFERROR(__xludf.DUMMYFUNCTION("""COMPUTED_VALUE"""),"한메")</f>
        <v>한메</v>
      </c>
      <c r="N57" s="24" t="str">
        <f>IFERROR(__xludf.DUMMYFUNCTION("ARRAYFORMULA(REGEXEXTRACT(SPLIT(E57, ""&lt;br&gt;""), ""([가-힣A-Za-z]+)""))"),"깡패")</f>
        <v>깡패</v>
      </c>
      <c r="O57" s="24" t="str">
        <f>IFERROR(__xludf.DUMMYFUNCTION("""COMPUTED_VALUE"""),"ACDC")</f>
        <v>ACDC</v>
      </c>
      <c r="P57" s="24" t="str">
        <f>IFERROR(__xludf.DUMMYFUNCTION("""COMPUTED_VALUE"""),"노픽업")</f>
        <v>노픽업</v>
      </c>
      <c r="Q57" s="24" t="str">
        <f>IFERROR(__xludf.DUMMYFUNCTION("""COMPUTED_VALUE"""),"원")</f>
        <v>원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9" t="s">
        <v>333</v>
      </c>
      <c r="B58" s="20" t="s">
        <v>334</v>
      </c>
      <c r="C58" s="19" t="s">
        <v>335</v>
      </c>
      <c r="D58" s="19">
        <v>5.0</v>
      </c>
      <c r="E58" s="19" t="s">
        <v>336</v>
      </c>
      <c r="F58" s="19">
        <v>1.0</v>
      </c>
      <c r="G58" s="21">
        <v>45985.89722222222</v>
      </c>
      <c r="H58" s="19" t="s">
        <v>83</v>
      </c>
      <c r="I58" s="22" t="s">
        <v>328</v>
      </c>
      <c r="J58" s="23" t="str">
        <f>IFERROR(__xludf.DUMMYFUNCTION("ARRAYFORMULA(REGEXEXTRACT(SPLIT(C58, ""&lt;br&gt;""), ""([가-힣A-Za-z]+)""))"),"깡패")</f>
        <v>깡패</v>
      </c>
      <c r="K58" s="24" t="str">
        <f>IFERROR(__xludf.DUMMYFUNCTION("""COMPUTED_VALUE"""),"짱구")</f>
        <v>짱구</v>
      </c>
      <c r="L58" s="24" t="str">
        <f>IFERROR(__xludf.DUMMYFUNCTION("""COMPUTED_VALUE"""),"원")</f>
        <v>원</v>
      </c>
      <c r="M58" s="24" t="str">
        <f>IFERROR(__xludf.DUMMYFUNCTION("""COMPUTED_VALUE"""),"한메")</f>
        <v>한메</v>
      </c>
      <c r="N58" s="24" t="str">
        <f>IFERROR(__xludf.DUMMYFUNCTION("ARRAYFORMULA(REGEXEXTRACT(SPLIT(E58, ""&lt;br&gt;""), ""([가-힣A-Za-z]+)""))"),"ACDC")</f>
        <v>ACDC</v>
      </c>
      <c r="O58" s="24" t="str">
        <f>IFERROR(__xludf.DUMMYFUNCTION("""COMPUTED_VALUE"""),"테리")</f>
        <v>테리</v>
      </c>
      <c r="P58" s="24" t="str">
        <f>IFERROR(__xludf.DUMMYFUNCTION("""COMPUTED_VALUE"""),"노픽업")</f>
        <v>노픽업</v>
      </c>
      <c r="Q58" s="24" t="str">
        <f>IFERROR(__xludf.DUMMYFUNCTION("""COMPUTED_VALUE"""),"기재")</f>
        <v>기재</v>
      </c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9" t="s">
        <v>337</v>
      </c>
      <c r="B59" s="20" t="s">
        <v>338</v>
      </c>
      <c r="C59" s="19" t="s">
        <v>339</v>
      </c>
      <c r="D59" s="19">
        <v>5.0</v>
      </c>
      <c r="E59" s="19" t="s">
        <v>340</v>
      </c>
      <c r="F59" s="19">
        <v>2.0</v>
      </c>
      <c r="G59" s="21">
        <v>45984.93958333333</v>
      </c>
      <c r="H59" s="19" t="s">
        <v>83</v>
      </c>
      <c r="I59" s="22" t="s">
        <v>341</v>
      </c>
      <c r="J59" s="23" t="str">
        <f>IFERROR(__xludf.DUMMYFUNCTION("ARRAYFORMULA(REGEXEXTRACT(SPLIT(C59, ""&lt;br&gt;""), ""([가-힣A-Za-z]+)""))"),"ACDC")</f>
        <v>ACDC</v>
      </c>
      <c r="K59" s="24" t="str">
        <f>IFERROR(__xludf.DUMMYFUNCTION("""COMPUTED_VALUE"""),"짱구")</f>
        <v>짱구</v>
      </c>
      <c r="L59" s="24" t="str">
        <f>IFERROR(__xludf.DUMMYFUNCTION("""COMPUTED_VALUE"""),"규식")</f>
        <v>규식</v>
      </c>
      <c r="M59" s="24" t="str">
        <f>IFERROR(__xludf.DUMMYFUNCTION("""COMPUTED_VALUE"""),"ovo")</f>
        <v>ovo</v>
      </c>
      <c r="N59" s="24" t="str">
        <f>IFERROR(__xludf.DUMMYFUNCTION("ARRAYFORMULA(REGEXEXTRACT(SPLIT(E59, ""&lt;br&gt;""), ""([가-힣A-Za-z]+)""))"),"깡패")</f>
        <v>깡패</v>
      </c>
      <c r="O59" s="24" t="str">
        <f>IFERROR(__xludf.DUMMYFUNCTION("""COMPUTED_VALUE"""),"테리")</f>
        <v>테리</v>
      </c>
      <c r="P59" s="24" t="str">
        <f>IFERROR(__xludf.DUMMYFUNCTION("""COMPUTED_VALUE"""),"노픽업")</f>
        <v>노픽업</v>
      </c>
      <c r="Q59" s="24" t="str">
        <f>IFERROR(__xludf.DUMMYFUNCTION("""COMPUTED_VALUE"""),"신형만")</f>
        <v>신형만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9" t="s">
        <v>342</v>
      </c>
      <c r="B60" s="20" t="s">
        <v>343</v>
      </c>
      <c r="C60" s="19" t="s">
        <v>344</v>
      </c>
      <c r="D60" s="19">
        <v>5.0</v>
      </c>
      <c r="E60" s="19" t="s">
        <v>345</v>
      </c>
      <c r="F60" s="19">
        <v>0.0</v>
      </c>
      <c r="G60" s="21">
        <v>45984.91458333333</v>
      </c>
      <c r="H60" s="19" t="s">
        <v>83</v>
      </c>
      <c r="I60" s="22" t="s">
        <v>341</v>
      </c>
      <c r="J60" s="23" t="str">
        <f>IFERROR(__xludf.DUMMYFUNCTION("ARRAYFORMULA(REGEXEXTRACT(SPLIT(C60, ""&lt;br&gt;""), ""([가-힣A-Za-z]+)""))"),"기재")</f>
        <v>기재</v>
      </c>
      <c r="K60" s="24" t="str">
        <f>IFERROR(__xludf.DUMMYFUNCTION("""COMPUTED_VALUE"""),"깡패")</f>
        <v>깡패</v>
      </c>
      <c r="L60" s="24" t="str">
        <f>IFERROR(__xludf.DUMMYFUNCTION("""COMPUTED_VALUE"""),"테리")</f>
        <v>테리</v>
      </c>
      <c r="M60" s="24" t="str">
        <f>IFERROR(__xludf.DUMMYFUNCTION("""COMPUTED_VALUE"""),"짱구")</f>
        <v>짱구</v>
      </c>
      <c r="N60" s="24" t="str">
        <f>IFERROR(__xludf.DUMMYFUNCTION("ARRAYFORMULA(REGEXEXTRACT(SPLIT(E60, ""&lt;br&gt;""), ""([가-힣A-Za-z]+)""))"),"신형만")</f>
        <v>신형만</v>
      </c>
      <c r="O60" s="24" t="str">
        <f>IFERROR(__xludf.DUMMYFUNCTION("""COMPUTED_VALUE"""),"노픽업")</f>
        <v>노픽업</v>
      </c>
      <c r="P60" s="24" t="str">
        <f>IFERROR(__xludf.DUMMYFUNCTION("""COMPUTED_VALUE"""),"ovo")</f>
        <v>ovo</v>
      </c>
      <c r="Q60" s="24" t="str">
        <f>IFERROR(__xludf.DUMMYFUNCTION("""COMPUTED_VALUE"""),"ACDC")</f>
        <v>ACDC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9" t="s">
        <v>346</v>
      </c>
      <c r="B61" s="20" t="s">
        <v>347</v>
      </c>
      <c r="C61" s="19" t="s">
        <v>348</v>
      </c>
      <c r="D61" s="19">
        <v>5.0</v>
      </c>
      <c r="E61" s="19" t="s">
        <v>349</v>
      </c>
      <c r="F61" s="19">
        <v>3.0</v>
      </c>
      <c r="G61" s="21">
        <v>45984.89722222222</v>
      </c>
      <c r="H61" s="19" t="s">
        <v>83</v>
      </c>
      <c r="I61" s="22" t="s">
        <v>341</v>
      </c>
      <c r="J61" s="23" t="str">
        <f>IFERROR(__xludf.DUMMYFUNCTION("ARRAYFORMULA(REGEXEXTRACT(SPLIT(C61, ""&lt;br&gt;""), ""([가-힣A-Za-z]+)""))"),"ovo")</f>
        <v>ovo</v>
      </c>
      <c r="K61" s="24" t="str">
        <f>IFERROR(__xludf.DUMMYFUNCTION("""COMPUTED_VALUE"""),"짱구")</f>
        <v>짱구</v>
      </c>
      <c r="L61" s="24" t="str">
        <f>IFERROR(__xludf.DUMMYFUNCTION("""COMPUTED_VALUE"""),"규식")</f>
        <v>규식</v>
      </c>
      <c r="M61" s="24" t="str">
        <f>IFERROR(__xludf.DUMMYFUNCTION("""COMPUTED_VALUE"""),"노픽업")</f>
        <v>노픽업</v>
      </c>
      <c r="N61" s="24" t="str">
        <f>IFERROR(__xludf.DUMMYFUNCTION("ARRAYFORMULA(REGEXEXTRACT(SPLIT(E61, ""&lt;br&gt;""), ""([가-힣A-Za-z]+)""))"),"ACDC")</f>
        <v>ACDC</v>
      </c>
      <c r="O61" s="24" t="str">
        <f>IFERROR(__xludf.DUMMYFUNCTION("""COMPUTED_VALUE"""),"테리")</f>
        <v>테리</v>
      </c>
      <c r="P61" s="24" t="str">
        <f>IFERROR(__xludf.DUMMYFUNCTION("""COMPUTED_VALUE"""),"신형만")</f>
        <v>신형만</v>
      </c>
      <c r="Q61" s="24" t="str">
        <f>IFERROR(__xludf.DUMMYFUNCTION("""COMPUTED_VALUE"""),"깡패")</f>
        <v>깡패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9" t="s">
        <v>350</v>
      </c>
      <c r="B62" s="20" t="s">
        <v>351</v>
      </c>
      <c r="C62" s="19" t="s">
        <v>352</v>
      </c>
      <c r="D62" s="19">
        <v>5.0</v>
      </c>
      <c r="E62" s="19" t="s">
        <v>353</v>
      </c>
      <c r="F62" s="19">
        <v>1.0</v>
      </c>
      <c r="G62" s="21">
        <v>45984.85763888889</v>
      </c>
      <c r="H62" s="19" t="s">
        <v>83</v>
      </c>
      <c r="I62" s="22" t="s">
        <v>341</v>
      </c>
      <c r="J62" s="23" t="str">
        <f>IFERROR(__xludf.DUMMYFUNCTION("ARRAYFORMULA(REGEXEXTRACT(SPLIT(C62, ""&lt;br&gt;""), ""([가-힣A-Za-z]+)""))"),"깡패")</f>
        <v>깡패</v>
      </c>
      <c r="K62" s="24" t="str">
        <f>IFERROR(__xludf.DUMMYFUNCTION("""COMPUTED_VALUE"""),"ACDC")</f>
        <v>ACDC</v>
      </c>
      <c r="L62" s="24" t="str">
        <f>IFERROR(__xludf.DUMMYFUNCTION("""COMPUTED_VALUE"""),"ovo")</f>
        <v>ovo</v>
      </c>
      <c r="M62" s="24" t="str">
        <f>IFERROR(__xludf.DUMMYFUNCTION("""COMPUTED_VALUE"""),"규식")</f>
        <v>규식</v>
      </c>
      <c r="N62" s="24" t="str">
        <f>IFERROR(__xludf.DUMMYFUNCTION("ARRAYFORMULA(REGEXEXTRACT(SPLIT(E62, ""&lt;br&gt;""), ""([가-힣A-Za-z]+)""))"),"신형만")</f>
        <v>신형만</v>
      </c>
      <c r="O62" s="24" t="str">
        <f>IFERROR(__xludf.DUMMYFUNCTION("""COMPUTED_VALUE"""),"노픽업")</f>
        <v>노픽업</v>
      </c>
      <c r="P62" s="24" t="str">
        <f>IFERROR(__xludf.DUMMYFUNCTION("""COMPUTED_VALUE"""),"테리")</f>
        <v>테리</v>
      </c>
      <c r="Q62" s="24" t="str">
        <f>IFERROR(__xludf.DUMMYFUNCTION("""COMPUTED_VALUE"""),"짱구")</f>
        <v>짱구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9" t="s">
        <v>354</v>
      </c>
      <c r="B63" s="20" t="s">
        <v>355</v>
      </c>
      <c r="C63" s="19" t="s">
        <v>356</v>
      </c>
      <c r="D63" s="19">
        <v>5.0</v>
      </c>
      <c r="E63" s="19" t="s">
        <v>357</v>
      </c>
      <c r="F63" s="19">
        <v>4.0</v>
      </c>
      <c r="G63" s="21">
        <v>45980.92013888889</v>
      </c>
      <c r="H63" s="19" t="s">
        <v>83</v>
      </c>
      <c r="I63" s="22" t="s">
        <v>26</v>
      </c>
      <c r="J63" s="23" t="str">
        <f>IFERROR(__xludf.DUMMYFUNCTION("ARRAYFORMULA(REGEXEXTRACT(SPLIT(C63, ""&lt;br&gt;""), ""([가-힣A-Za-z]+)""))"),"ACDC")</f>
        <v>ACDC</v>
      </c>
      <c r="K63" s="24" t="str">
        <f>IFERROR(__xludf.DUMMYFUNCTION("""COMPUTED_VALUE"""),"규식")</f>
        <v>규식</v>
      </c>
      <c r="L63" s="24" t="str">
        <f>IFERROR(__xludf.DUMMYFUNCTION("""COMPUTED_VALUE"""),"테리")</f>
        <v>테리</v>
      </c>
      <c r="M63" s="24" t="str">
        <f>IFERROR(__xludf.DUMMYFUNCTION("""COMPUTED_VALUE"""),"짱구")</f>
        <v>짱구</v>
      </c>
      <c r="N63" s="24" t="str">
        <f>IFERROR(__xludf.DUMMYFUNCTION("ARRAYFORMULA(REGEXEXTRACT(SPLIT(E63, ""&lt;br&gt;""), ""([가-힣A-Za-z]+)""))"),"노인")</f>
        <v>노인</v>
      </c>
      <c r="O63" s="24" t="str">
        <f>IFERROR(__xludf.DUMMYFUNCTION("""COMPUTED_VALUE"""),"유즈")</f>
        <v>유즈</v>
      </c>
      <c r="P63" s="24" t="str">
        <f>IFERROR(__xludf.DUMMYFUNCTION("""COMPUTED_VALUE"""),"기재")</f>
        <v>기재</v>
      </c>
      <c r="Q63" s="24" t="str">
        <f>IFERROR(__xludf.DUMMYFUNCTION("""COMPUTED_VALUE"""),"깡패")</f>
        <v>깡패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9" t="s">
        <v>358</v>
      </c>
      <c r="B64" s="20" t="s">
        <v>359</v>
      </c>
      <c r="C64" s="19" t="s">
        <v>360</v>
      </c>
      <c r="D64" s="19">
        <v>5.0</v>
      </c>
      <c r="E64" s="19" t="s">
        <v>361</v>
      </c>
      <c r="F64" s="19">
        <v>3.0</v>
      </c>
      <c r="G64" s="21">
        <v>45980.88402777778</v>
      </c>
      <c r="H64" s="19" t="s">
        <v>83</v>
      </c>
      <c r="I64" s="22" t="s">
        <v>341</v>
      </c>
      <c r="J64" s="23" t="str">
        <f>IFERROR(__xludf.DUMMYFUNCTION("ARRAYFORMULA(REGEXEXTRACT(SPLIT(C64, ""&lt;br&gt;""), ""([가-힣A-Za-z]+)""))"),"기재")</f>
        <v>기재</v>
      </c>
      <c r="K64" s="24" t="str">
        <f>IFERROR(__xludf.DUMMYFUNCTION("""COMPUTED_VALUE"""),"테리")</f>
        <v>테리</v>
      </c>
      <c r="L64" s="24" t="str">
        <f>IFERROR(__xludf.DUMMYFUNCTION("""COMPUTED_VALUE"""),"짱구")</f>
        <v>짱구</v>
      </c>
      <c r="M64" s="24" t="str">
        <f>IFERROR(__xludf.DUMMYFUNCTION("""COMPUTED_VALUE"""),"신형만")</f>
        <v>신형만</v>
      </c>
      <c r="N64" s="24" t="str">
        <f>IFERROR(__xludf.DUMMYFUNCTION("ARRAYFORMULA(REGEXEXTRACT(SPLIT(E64, ""&lt;br&gt;""), ""([가-힣A-Za-z]+)""))"),"깡패")</f>
        <v>깡패</v>
      </c>
      <c r="O64" s="24" t="str">
        <f>IFERROR(__xludf.DUMMYFUNCTION("""COMPUTED_VALUE"""),"노인")</f>
        <v>노인</v>
      </c>
      <c r="P64" s="24" t="str">
        <f>IFERROR(__xludf.DUMMYFUNCTION("""COMPUTED_VALUE"""),"ACDC")</f>
        <v>ACDC</v>
      </c>
      <c r="Q64" s="24" t="str">
        <f>IFERROR(__xludf.DUMMYFUNCTION("""COMPUTED_VALUE"""),"규식")</f>
        <v>규식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9" t="s">
        <v>362</v>
      </c>
      <c r="B65" s="20" t="s">
        <v>363</v>
      </c>
      <c r="C65" s="19" t="s">
        <v>364</v>
      </c>
      <c r="D65" s="19">
        <v>5.0</v>
      </c>
      <c r="E65" s="19" t="s">
        <v>365</v>
      </c>
      <c r="F65" s="19">
        <v>1.0</v>
      </c>
      <c r="G65" s="21">
        <v>45980.853472222225</v>
      </c>
      <c r="H65" s="19" t="s">
        <v>83</v>
      </c>
      <c r="I65" s="22" t="s">
        <v>341</v>
      </c>
      <c r="J65" s="23" t="str">
        <f>IFERROR(__xludf.DUMMYFUNCTION("ARRAYFORMULA(REGEXEXTRACT(SPLIT(C65, ""&lt;br&gt;""), ""([가-힣A-Za-z]+)""))"),"테리")</f>
        <v>테리</v>
      </c>
      <c r="K65" s="24" t="str">
        <f>IFERROR(__xludf.DUMMYFUNCTION("""COMPUTED_VALUE"""),"규식")</f>
        <v>규식</v>
      </c>
      <c r="L65" s="24" t="str">
        <f>IFERROR(__xludf.DUMMYFUNCTION("""COMPUTED_VALUE"""),"깡패")</f>
        <v>깡패</v>
      </c>
      <c r="M65" s="24" t="str">
        <f>IFERROR(__xludf.DUMMYFUNCTION("""COMPUTED_VALUE"""),"한메")</f>
        <v>한메</v>
      </c>
      <c r="N65" s="24" t="str">
        <f>IFERROR(__xludf.DUMMYFUNCTION("ARRAYFORMULA(REGEXEXTRACT(SPLIT(E65, ""&lt;br&gt;""), ""([가-힣A-Za-z]+)""))"),"노인")</f>
        <v>노인</v>
      </c>
      <c r="O65" s="24" t="str">
        <f>IFERROR(__xludf.DUMMYFUNCTION("""COMPUTED_VALUE"""),"신형만")</f>
        <v>신형만</v>
      </c>
      <c r="P65" s="24" t="str">
        <f>IFERROR(__xludf.DUMMYFUNCTION("""COMPUTED_VALUE"""),"짱구")</f>
        <v>짱구</v>
      </c>
      <c r="Q65" s="24" t="str">
        <f>IFERROR(__xludf.DUMMYFUNCTION("""COMPUTED_VALUE"""),"ACDC")</f>
        <v>ACDC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9" t="s">
        <v>366</v>
      </c>
      <c r="B66" s="20" t="s">
        <v>367</v>
      </c>
      <c r="C66" s="19" t="s">
        <v>368</v>
      </c>
      <c r="D66" s="19">
        <v>5.0</v>
      </c>
      <c r="E66" s="19" t="s">
        <v>369</v>
      </c>
      <c r="F66" s="19">
        <v>3.0</v>
      </c>
      <c r="G66" s="21">
        <v>45971.92222222222</v>
      </c>
      <c r="H66" s="19" t="s">
        <v>83</v>
      </c>
      <c r="I66" s="22" t="s">
        <v>370</v>
      </c>
      <c r="J66" s="23" t="str">
        <f>IFERROR(__xludf.DUMMYFUNCTION("ARRAYFORMULA(REGEXEXTRACT(SPLIT(C66, ""&lt;br&gt;""), ""([가-힣A-Za-z]+)""))"),"테리")</f>
        <v>테리</v>
      </c>
      <c r="K66" s="24" t="str">
        <f>IFERROR(__xludf.DUMMYFUNCTION("""COMPUTED_VALUE"""),"학생")</f>
        <v>학생</v>
      </c>
      <c r="L66" s="24" t="str">
        <f>IFERROR(__xludf.DUMMYFUNCTION("""COMPUTED_VALUE"""),"기재")</f>
        <v>기재</v>
      </c>
      <c r="M66" s="24" t="str">
        <f>IFERROR(__xludf.DUMMYFUNCTION("""COMPUTED_VALUE"""),"규식")</f>
        <v>규식</v>
      </c>
      <c r="N66" s="24" t="str">
        <f>IFERROR(__xludf.DUMMYFUNCTION("ARRAYFORMULA(REGEXEXTRACT(SPLIT(E66, ""&lt;br&gt;""), ""([가-힣A-Za-z]+)""))"),"깡패")</f>
        <v>깡패</v>
      </c>
      <c r="O66" s="24" t="str">
        <f>IFERROR(__xludf.DUMMYFUNCTION("""COMPUTED_VALUE"""),"노인")</f>
        <v>노인</v>
      </c>
      <c r="P66" s="24" t="str">
        <f>IFERROR(__xludf.DUMMYFUNCTION("""COMPUTED_VALUE"""),"짱구")</f>
        <v>짱구</v>
      </c>
      <c r="Q66" s="24" t="str">
        <f>IFERROR(__xludf.DUMMYFUNCTION("""COMPUTED_VALUE"""),"참치")</f>
        <v>참치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9" t="s">
        <v>371</v>
      </c>
      <c r="B67" s="20" t="s">
        <v>372</v>
      </c>
      <c r="C67" s="19" t="s">
        <v>373</v>
      </c>
      <c r="D67" s="19">
        <v>5.0</v>
      </c>
      <c r="E67" s="19" t="s">
        <v>374</v>
      </c>
      <c r="F67" s="19">
        <v>3.0</v>
      </c>
      <c r="G67" s="21">
        <v>45971.88402777778</v>
      </c>
      <c r="H67" s="19" t="s">
        <v>83</v>
      </c>
      <c r="I67" s="22" t="s">
        <v>370</v>
      </c>
      <c r="J67" s="23" t="str">
        <f>IFERROR(__xludf.DUMMYFUNCTION("ARRAYFORMULA(REGEXEXTRACT(SPLIT(C67, ""&lt;br&gt;""), ""([가-힣A-Za-z]+)""))"),"노인")</f>
        <v>노인</v>
      </c>
      <c r="K67" s="24" t="str">
        <f>IFERROR(__xludf.DUMMYFUNCTION("""COMPUTED_VALUE"""),"테리")</f>
        <v>테리</v>
      </c>
      <c r="L67" s="24" t="str">
        <f>IFERROR(__xludf.DUMMYFUNCTION("""COMPUTED_VALUE"""),"깡패")</f>
        <v>깡패</v>
      </c>
      <c r="M67" s="24" t="str">
        <f>IFERROR(__xludf.DUMMYFUNCTION("""COMPUTED_VALUE"""),"학생")</f>
        <v>학생</v>
      </c>
      <c r="N67" s="24" t="str">
        <f>IFERROR(__xludf.DUMMYFUNCTION("ARRAYFORMULA(REGEXEXTRACT(SPLIT(E67, ""&lt;br&gt;""), ""([가-힣A-Za-z]+)""))"),"참치")</f>
        <v>참치</v>
      </c>
      <c r="O67" s="24" t="str">
        <f>IFERROR(__xludf.DUMMYFUNCTION("""COMPUTED_VALUE"""),"짱구")</f>
        <v>짱구</v>
      </c>
      <c r="P67" s="24" t="str">
        <f>IFERROR(__xludf.DUMMYFUNCTION("""COMPUTED_VALUE"""),"규식")</f>
        <v>규식</v>
      </c>
      <c r="Q67" s="24" t="str">
        <f>IFERROR(__xludf.DUMMYFUNCTION("""COMPUTED_VALUE"""),"기재")</f>
        <v>기재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9" t="s">
        <v>375</v>
      </c>
      <c r="B68" s="20" t="s">
        <v>376</v>
      </c>
      <c r="C68" s="19" t="s">
        <v>377</v>
      </c>
      <c r="D68" s="19">
        <v>5.0</v>
      </c>
      <c r="E68" s="19" t="s">
        <v>378</v>
      </c>
      <c r="F68" s="19">
        <v>2.0</v>
      </c>
      <c r="G68" s="21">
        <v>45970.98125</v>
      </c>
      <c r="H68" s="19" t="s">
        <v>379</v>
      </c>
      <c r="I68" s="22" t="s">
        <v>380</v>
      </c>
      <c r="J68" s="23" t="str">
        <f>IFERROR(__xludf.DUMMYFUNCTION("ARRAYFORMULA(REGEXEXTRACT(SPLIT(C68, ""&lt;br&gt;""), ""([가-힣A-Za-z]+)""))"),"넘버")</f>
        <v>넘버</v>
      </c>
      <c r="K68" s="24" t="str">
        <f>IFERROR(__xludf.DUMMYFUNCTION("""COMPUTED_VALUE"""),"신형만")</f>
        <v>신형만</v>
      </c>
      <c r="L68" s="24" t="str">
        <f>IFERROR(__xludf.DUMMYFUNCTION("""COMPUTED_VALUE"""),"원")</f>
        <v>원</v>
      </c>
      <c r="M68" s="24" t="str">
        <f>IFERROR(__xludf.DUMMYFUNCTION("""COMPUTED_VALUE"""),"깡패")</f>
        <v>깡패</v>
      </c>
      <c r="N68" s="24" t="str">
        <f>IFERROR(__xludf.DUMMYFUNCTION("ARRAYFORMULA(REGEXEXTRACT(SPLIT(E68, ""&lt;br&gt;""), ""([가-힣A-Za-z]+)""))"),"테리")</f>
        <v>테리</v>
      </c>
      <c r="O68" s="24" t="str">
        <f>IFERROR(__xludf.DUMMYFUNCTION("""COMPUTED_VALUE"""),"노픽업")</f>
        <v>노픽업</v>
      </c>
      <c r="P68" s="24" t="str">
        <f>IFERROR(__xludf.DUMMYFUNCTION("""COMPUTED_VALUE"""),"짱구")</f>
        <v>짱구</v>
      </c>
      <c r="Q68" s="24" t="str">
        <f>IFERROR(__xludf.DUMMYFUNCTION("""COMPUTED_VALUE"""),"규식")</f>
        <v>규식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9" t="s">
        <v>381</v>
      </c>
      <c r="B69" s="20" t="s">
        <v>382</v>
      </c>
      <c r="C69" s="19" t="s">
        <v>383</v>
      </c>
      <c r="D69" s="19">
        <v>5.0</v>
      </c>
      <c r="E69" s="19" t="s">
        <v>384</v>
      </c>
      <c r="F69" s="19">
        <v>1.0</v>
      </c>
      <c r="G69" s="21">
        <v>45970.96111111111</v>
      </c>
      <c r="H69" s="19" t="s">
        <v>379</v>
      </c>
      <c r="I69" s="22" t="s">
        <v>385</v>
      </c>
      <c r="J69" s="23" t="str">
        <f>IFERROR(__xludf.DUMMYFUNCTION("ARRAYFORMULA(REGEXEXTRACT(SPLIT(C69, ""&lt;br&gt;""), ""([가-힣A-Za-z]+)""))"),"깡패")</f>
        <v>깡패</v>
      </c>
      <c r="K69" s="24" t="str">
        <f>IFERROR(__xludf.DUMMYFUNCTION("""COMPUTED_VALUE"""),"원")</f>
        <v>원</v>
      </c>
      <c r="L69" s="24" t="str">
        <f>IFERROR(__xludf.DUMMYFUNCTION("""COMPUTED_VALUE"""),"테리")</f>
        <v>테리</v>
      </c>
      <c r="M69" s="24" t="str">
        <f>IFERROR(__xludf.DUMMYFUNCTION("""COMPUTED_VALUE"""),"짱구")</f>
        <v>짱구</v>
      </c>
      <c r="N69" s="24" t="str">
        <f>IFERROR(__xludf.DUMMYFUNCTION("ARRAYFORMULA(REGEXEXTRACT(SPLIT(E69, ""&lt;br&gt;""), ""([가-힣A-Za-z]+)""))"),"솔")</f>
        <v>솔</v>
      </c>
      <c r="O69" s="24" t="str">
        <f>IFERROR(__xludf.DUMMYFUNCTION("""COMPUTED_VALUE"""),"규식")</f>
        <v>규식</v>
      </c>
      <c r="P69" s="24" t="str">
        <f>IFERROR(__xludf.DUMMYFUNCTION("""COMPUTED_VALUE"""),"신형만")</f>
        <v>신형만</v>
      </c>
      <c r="Q69" s="24" t="str">
        <f>IFERROR(__xludf.DUMMYFUNCTION("""COMPUTED_VALUE"""),"노픽업")</f>
        <v>노픽업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9" t="s">
        <v>386</v>
      </c>
      <c r="B70" s="20" t="s">
        <v>387</v>
      </c>
      <c r="C70" s="19" t="s">
        <v>388</v>
      </c>
      <c r="D70" s="19">
        <v>5.0</v>
      </c>
      <c r="E70" s="19" t="s">
        <v>389</v>
      </c>
      <c r="F70" s="19">
        <v>2.0</v>
      </c>
      <c r="G70" s="21">
        <v>45970.94236111111</v>
      </c>
      <c r="H70" s="19" t="s">
        <v>379</v>
      </c>
      <c r="I70" s="22" t="s">
        <v>385</v>
      </c>
      <c r="J70" s="23" t="str">
        <f>IFERROR(__xludf.DUMMYFUNCTION("ARRAYFORMULA(REGEXEXTRACT(SPLIT(C70, ""&lt;br&gt;""), ""([가-힣A-Za-z]+)""))"),"솔")</f>
        <v>솔</v>
      </c>
      <c r="K70" s="24" t="str">
        <f>IFERROR(__xludf.DUMMYFUNCTION("""COMPUTED_VALUE"""),"원")</f>
        <v>원</v>
      </c>
      <c r="L70" s="24" t="str">
        <f>IFERROR(__xludf.DUMMYFUNCTION("""COMPUTED_VALUE"""),"테리")</f>
        <v>테리</v>
      </c>
      <c r="M70" s="24" t="str">
        <f>IFERROR(__xludf.DUMMYFUNCTION("""COMPUTED_VALUE"""),"신형만")</f>
        <v>신형만</v>
      </c>
      <c r="N70" s="24" t="str">
        <f>IFERROR(__xludf.DUMMYFUNCTION("ARRAYFORMULA(REGEXEXTRACT(SPLIT(E70, ""&lt;br&gt;""), ""([가-힣A-Za-z]+)""))"),"깡패")</f>
        <v>깡패</v>
      </c>
      <c r="O70" s="24" t="str">
        <f>IFERROR(__xludf.DUMMYFUNCTION("""COMPUTED_VALUE"""),"짱구")</f>
        <v>짱구</v>
      </c>
      <c r="P70" s="24" t="str">
        <f>IFERROR(__xludf.DUMMYFUNCTION("""COMPUTED_VALUE"""),"기재")</f>
        <v>기재</v>
      </c>
      <c r="Q70" s="24" t="str">
        <f>IFERROR(__xludf.DUMMYFUNCTION("""COMPUTED_VALUE"""),"노픽업")</f>
        <v>노픽업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9" t="s">
        <v>390</v>
      </c>
      <c r="B71" s="20" t="s">
        <v>391</v>
      </c>
      <c r="C71" s="19" t="s">
        <v>392</v>
      </c>
      <c r="D71" s="19">
        <v>5.0</v>
      </c>
      <c r="E71" s="19" t="s">
        <v>393</v>
      </c>
      <c r="F71" s="19">
        <v>3.0</v>
      </c>
      <c r="G71" s="21">
        <v>45970.907638888886</v>
      </c>
      <c r="H71" s="19" t="s">
        <v>379</v>
      </c>
      <c r="I71" s="22" t="s">
        <v>385</v>
      </c>
      <c r="J71" s="23" t="str">
        <f>IFERROR(__xludf.DUMMYFUNCTION("ARRAYFORMULA(REGEXEXTRACT(SPLIT(C71, ""&lt;br&gt;""), ""([가-힣A-Za-z]+)""))"),"테리")</f>
        <v>테리</v>
      </c>
      <c r="K71" s="24" t="str">
        <f>IFERROR(__xludf.DUMMYFUNCTION("""COMPUTED_VALUE"""),"깡패")</f>
        <v>깡패</v>
      </c>
      <c r="L71" s="24" t="str">
        <f>IFERROR(__xludf.DUMMYFUNCTION("""COMPUTED_VALUE"""),"솔")</f>
        <v>솔</v>
      </c>
      <c r="M71" s="24" t="str">
        <f>IFERROR(__xludf.DUMMYFUNCTION("""COMPUTED_VALUE"""),"짱구")</f>
        <v>짱구</v>
      </c>
      <c r="N71" s="24" t="str">
        <f>IFERROR(__xludf.DUMMYFUNCTION("ARRAYFORMULA(REGEXEXTRACT(SPLIT(E71, ""&lt;br&gt;""), ""([가-힣A-Za-z]+)""))"),"신형만")</f>
        <v>신형만</v>
      </c>
      <c r="O71" s="24" t="str">
        <f>IFERROR(__xludf.DUMMYFUNCTION("""COMPUTED_VALUE"""),"노픽업")</f>
        <v>노픽업</v>
      </c>
      <c r="P71" s="24" t="str">
        <f>IFERROR(__xludf.DUMMYFUNCTION("""COMPUTED_VALUE"""),"원")</f>
        <v>원</v>
      </c>
      <c r="Q71" s="24" t="str">
        <f>IFERROR(__xludf.DUMMYFUNCTION("""COMPUTED_VALUE"""),"기재")</f>
        <v>기재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9" t="s">
        <v>394</v>
      </c>
      <c r="B72" s="20" t="s">
        <v>395</v>
      </c>
      <c r="C72" s="19" t="s">
        <v>396</v>
      </c>
      <c r="D72" s="19">
        <v>5.0</v>
      </c>
      <c r="E72" s="19" t="s">
        <v>397</v>
      </c>
      <c r="F72" s="19">
        <v>3.0</v>
      </c>
      <c r="G72" s="21">
        <v>45970.87013888889</v>
      </c>
      <c r="H72" s="19" t="s">
        <v>379</v>
      </c>
      <c r="I72" s="22" t="s">
        <v>385</v>
      </c>
      <c r="J72" s="23" t="str">
        <f>IFERROR(__xludf.DUMMYFUNCTION("ARRAYFORMULA(REGEXEXTRACT(SPLIT(C72, ""&lt;br&gt;""), ""([가-힣A-Za-z]+)""))"),"솔")</f>
        <v>솔</v>
      </c>
      <c r="K72" s="24" t="str">
        <f>IFERROR(__xludf.DUMMYFUNCTION("""COMPUTED_VALUE"""),"짱구")</f>
        <v>짱구</v>
      </c>
      <c r="L72" s="24" t="str">
        <f>IFERROR(__xludf.DUMMYFUNCTION("""COMPUTED_VALUE"""),"기재")</f>
        <v>기재</v>
      </c>
      <c r="M72" s="24" t="str">
        <f>IFERROR(__xludf.DUMMYFUNCTION("""COMPUTED_VALUE"""),"신형만")</f>
        <v>신형만</v>
      </c>
      <c r="N72" s="24" t="str">
        <f>IFERROR(__xludf.DUMMYFUNCTION("ARRAYFORMULA(REGEXEXTRACT(SPLIT(E72, ""&lt;br&gt;""), ""([가-힣A-Za-z]+)""))"),"깡패")</f>
        <v>깡패</v>
      </c>
      <c r="O72" s="24" t="str">
        <f>IFERROR(__xludf.DUMMYFUNCTION("""COMPUTED_VALUE"""),"테리")</f>
        <v>테리</v>
      </c>
      <c r="P72" s="24" t="str">
        <f>IFERROR(__xludf.DUMMYFUNCTION("""COMPUTED_VALUE"""),"노픽업")</f>
        <v>노픽업</v>
      </c>
      <c r="Q72" s="24" t="str">
        <f>IFERROR(__xludf.DUMMYFUNCTION("""COMPUTED_VALUE"""),"원")</f>
        <v>원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9" t="s">
        <v>398</v>
      </c>
      <c r="B73" s="20" t="s">
        <v>399</v>
      </c>
      <c r="C73" s="19" t="s">
        <v>400</v>
      </c>
      <c r="D73" s="19">
        <v>5.0</v>
      </c>
      <c r="E73" s="19" t="s">
        <v>401</v>
      </c>
      <c r="F73" s="19">
        <v>1.0</v>
      </c>
      <c r="G73" s="21">
        <v>45970.84652777778</v>
      </c>
      <c r="H73" s="19" t="s">
        <v>379</v>
      </c>
      <c r="I73" s="22" t="s">
        <v>385</v>
      </c>
      <c r="J73" s="23" t="str">
        <f>IFERROR(__xludf.DUMMYFUNCTION("ARRAYFORMULA(REGEXEXTRACT(SPLIT(C73, ""&lt;br&gt;""), ""([가-힣A-Za-z]+)""))"),"기재")</f>
        <v>기재</v>
      </c>
      <c r="K73" s="24" t="str">
        <f>IFERROR(__xludf.DUMMYFUNCTION("""COMPUTED_VALUE"""),"솔")</f>
        <v>솔</v>
      </c>
      <c r="L73" s="24" t="str">
        <f>IFERROR(__xludf.DUMMYFUNCTION("""COMPUTED_VALUE"""),"원")</f>
        <v>원</v>
      </c>
      <c r="M73" s="24" t="str">
        <f>IFERROR(__xludf.DUMMYFUNCTION("""COMPUTED_VALUE"""),"노픽업")</f>
        <v>노픽업</v>
      </c>
      <c r="N73" s="24" t="str">
        <f>IFERROR(__xludf.DUMMYFUNCTION("ARRAYFORMULA(REGEXEXTRACT(SPLIT(E73, ""&lt;br&gt;""), ""([가-힣A-Za-z]+)""))"),"테리")</f>
        <v>테리</v>
      </c>
      <c r="O73" s="24" t="str">
        <f>IFERROR(__xludf.DUMMYFUNCTION("""COMPUTED_VALUE"""),"신형만")</f>
        <v>신형만</v>
      </c>
      <c r="P73" s="24" t="str">
        <f>IFERROR(__xludf.DUMMYFUNCTION("""COMPUTED_VALUE"""),"깡패")</f>
        <v>깡패</v>
      </c>
      <c r="Q73" s="24" t="str">
        <f>IFERROR(__xludf.DUMMYFUNCTION("""COMPUTED_VALUE"""),"짱구")</f>
        <v>짱구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9" t="s">
        <v>402</v>
      </c>
      <c r="B74" s="20" t="s">
        <v>403</v>
      </c>
      <c r="C74" s="19" t="s">
        <v>404</v>
      </c>
      <c r="D74" s="19">
        <v>5.0</v>
      </c>
      <c r="E74" s="19" t="s">
        <v>405</v>
      </c>
      <c r="F74" s="19">
        <v>4.0</v>
      </c>
      <c r="G74" s="21">
        <v>45970.67361111111</v>
      </c>
      <c r="H74" s="19" t="s">
        <v>379</v>
      </c>
      <c r="I74" s="22" t="s">
        <v>406</v>
      </c>
      <c r="J74" s="23" t="str">
        <f>IFERROR(__xludf.DUMMYFUNCTION("ARRAYFORMULA(REGEXEXTRACT(SPLIT(C74, ""&lt;br&gt;""), ""([가-힣A-Za-z]+)""))"),"ovo")</f>
        <v>ovo</v>
      </c>
      <c r="K74" s="24" t="str">
        <f>IFERROR(__xludf.DUMMYFUNCTION("""COMPUTED_VALUE"""),"규식")</f>
        <v>규식</v>
      </c>
      <c r="L74" s="24" t="str">
        <f>IFERROR(__xludf.DUMMYFUNCTION("""COMPUTED_VALUE"""),"신형만")</f>
        <v>신형만</v>
      </c>
      <c r="M74" s="24" t="str">
        <f>IFERROR(__xludf.DUMMYFUNCTION("""COMPUTED_VALUE"""),"기재")</f>
        <v>기재</v>
      </c>
      <c r="N74" s="24" t="str">
        <f>IFERROR(__xludf.DUMMYFUNCTION("ARRAYFORMULA(REGEXEXTRACT(SPLIT(E74, ""&lt;br&gt;""), ""([가-힣A-Za-z]+)""))"),"넘버")</f>
        <v>넘버</v>
      </c>
      <c r="O74" s="24" t="str">
        <f>IFERROR(__xludf.DUMMYFUNCTION("""COMPUTED_VALUE"""),"GYUL")</f>
        <v>GYUL</v>
      </c>
      <c r="P74" s="24" t="str">
        <f>IFERROR(__xludf.DUMMYFUNCTION("""COMPUTED_VALUE"""),"용이")</f>
        <v>용이</v>
      </c>
      <c r="Q74" s="24" t="str">
        <f>IFERROR(__xludf.DUMMYFUNCTION("""COMPUTED_VALUE"""),"노픽업")</f>
        <v>노픽업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9" t="s">
        <v>407</v>
      </c>
      <c r="B75" s="20" t="s">
        <v>408</v>
      </c>
      <c r="C75" s="19" t="s">
        <v>409</v>
      </c>
      <c r="D75" s="19">
        <v>5.0</v>
      </c>
      <c r="E75" s="19" t="s">
        <v>410</v>
      </c>
      <c r="F75" s="19">
        <v>0.0</v>
      </c>
      <c r="G75" s="21">
        <v>45970.646527777775</v>
      </c>
      <c r="H75" s="19" t="s">
        <v>379</v>
      </c>
      <c r="I75" s="22" t="s">
        <v>406</v>
      </c>
      <c r="J75" s="23" t="str">
        <f>IFERROR(__xludf.DUMMYFUNCTION("ARRAYFORMULA(REGEXEXTRACT(SPLIT(C75, ""&lt;br&gt;""), ""([가-힣A-Za-z]+)""))"),"기재")</f>
        <v>기재</v>
      </c>
      <c r="K75" s="24" t="str">
        <f>IFERROR(__xludf.DUMMYFUNCTION("""COMPUTED_VALUE"""),"넘버")</f>
        <v>넘버</v>
      </c>
      <c r="L75" s="24" t="str">
        <f>IFERROR(__xludf.DUMMYFUNCTION("""COMPUTED_VALUE"""),"규식")</f>
        <v>규식</v>
      </c>
      <c r="M75" s="24" t="str">
        <f>IFERROR(__xludf.DUMMYFUNCTION("""COMPUTED_VALUE"""),"GYUL")</f>
        <v>GYUL</v>
      </c>
      <c r="N75" s="24" t="str">
        <f>IFERROR(__xludf.DUMMYFUNCTION("ARRAYFORMULA(REGEXEXTRACT(SPLIT(E75, ""&lt;br&gt;""), ""([가-힣A-Za-z]+)""))"),"용이")</f>
        <v>용이</v>
      </c>
      <c r="O75" s="24" t="str">
        <f>IFERROR(__xludf.DUMMYFUNCTION("""COMPUTED_VALUE"""),"신형만")</f>
        <v>신형만</v>
      </c>
      <c r="P75" s="24" t="str">
        <f>IFERROR(__xludf.DUMMYFUNCTION("""COMPUTED_VALUE"""),"노픽업")</f>
        <v>노픽업</v>
      </c>
      <c r="Q75" s="24" t="str">
        <f>IFERROR(__xludf.DUMMYFUNCTION("""COMPUTED_VALUE"""),"ovo")</f>
        <v>ovo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9" t="s">
        <v>411</v>
      </c>
      <c r="B76" s="20" t="s">
        <v>412</v>
      </c>
      <c r="C76" s="19" t="s">
        <v>413</v>
      </c>
      <c r="D76" s="19">
        <v>5.0</v>
      </c>
      <c r="E76" s="19" t="s">
        <v>414</v>
      </c>
      <c r="F76" s="19">
        <v>2.0</v>
      </c>
      <c r="G76" s="21">
        <v>45967.10555555556</v>
      </c>
      <c r="H76" s="19" t="s">
        <v>379</v>
      </c>
      <c r="I76" s="22" t="s">
        <v>415</v>
      </c>
      <c r="J76" s="23" t="str">
        <f>IFERROR(__xludf.DUMMYFUNCTION("ARRAYFORMULA(REGEXEXTRACT(SPLIT(C76, ""&lt;br&gt;""), ""([가-힣A-Za-z]+)""))"),"넘버")</f>
        <v>넘버</v>
      </c>
      <c r="K76" s="24" t="str">
        <f>IFERROR(__xludf.DUMMYFUNCTION("""COMPUTED_VALUE"""),"학생")</f>
        <v>학생</v>
      </c>
      <c r="L76" s="24" t="str">
        <f>IFERROR(__xludf.DUMMYFUNCTION("""COMPUTED_VALUE"""),"ACDC")</f>
        <v>ACDC</v>
      </c>
      <c r="M76" s="24" t="str">
        <f>IFERROR(__xludf.DUMMYFUNCTION("""COMPUTED_VALUE"""),"규식")</f>
        <v>규식</v>
      </c>
      <c r="N76" s="24" t="str">
        <f>IFERROR(__xludf.DUMMYFUNCTION("ARRAYFORMULA(REGEXEXTRACT(SPLIT(E76, ""&lt;br&gt;""), ""([가-힣A-Za-z]+)""))"),"깡패")</f>
        <v>깡패</v>
      </c>
      <c r="O76" s="24" t="str">
        <f>IFERROR(__xludf.DUMMYFUNCTION("""COMPUTED_VALUE"""),"신형만")</f>
        <v>신형만</v>
      </c>
      <c r="P76" s="24" t="str">
        <f>IFERROR(__xludf.DUMMYFUNCTION("""COMPUTED_VALUE"""),"솔")</f>
        <v>솔</v>
      </c>
      <c r="Q76" s="24" t="str">
        <f>IFERROR(__xludf.DUMMYFUNCTION("""COMPUTED_VALUE"""),"짱구")</f>
        <v>짱구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9" t="s">
        <v>416</v>
      </c>
      <c r="B77" s="20" t="s">
        <v>417</v>
      </c>
      <c r="C77" s="19" t="s">
        <v>418</v>
      </c>
      <c r="D77" s="19">
        <v>5.0</v>
      </c>
      <c r="E77" s="19" t="s">
        <v>419</v>
      </c>
      <c r="F77" s="19">
        <v>1.0</v>
      </c>
      <c r="G77" s="21">
        <v>45967.06875</v>
      </c>
      <c r="H77" s="19" t="s">
        <v>379</v>
      </c>
      <c r="I77" s="22" t="s">
        <v>415</v>
      </c>
      <c r="J77" s="23" t="str">
        <f>IFERROR(__xludf.DUMMYFUNCTION("ARRAYFORMULA(REGEXEXTRACT(SPLIT(C77, ""&lt;br&gt;""), ""([가-힣A-Za-z]+)""))"),"신형만")</f>
        <v>신형만</v>
      </c>
      <c r="K77" s="24" t="str">
        <f>IFERROR(__xludf.DUMMYFUNCTION("""COMPUTED_VALUE"""),"깡패")</f>
        <v>깡패</v>
      </c>
      <c r="L77" s="24" t="str">
        <f>IFERROR(__xludf.DUMMYFUNCTION("""COMPUTED_VALUE"""),"규식")</f>
        <v>규식</v>
      </c>
      <c r="M77" s="24" t="str">
        <f>IFERROR(__xludf.DUMMYFUNCTION("""COMPUTED_VALUE"""),"학생")</f>
        <v>학생</v>
      </c>
      <c r="N77" s="24" t="str">
        <f>IFERROR(__xludf.DUMMYFUNCTION("ARRAYFORMULA(REGEXEXTRACT(SPLIT(E77, ""&lt;br&gt;""), ""([가-힣A-Za-z]+)""))"),"솔")</f>
        <v>솔</v>
      </c>
      <c r="O77" s="24" t="str">
        <f>IFERROR(__xludf.DUMMYFUNCTION("""COMPUTED_VALUE"""),"ACDC")</f>
        <v>ACDC</v>
      </c>
      <c r="P77" s="24" t="str">
        <f>IFERROR(__xludf.DUMMYFUNCTION("""COMPUTED_VALUE"""),"짱구")</f>
        <v>짱구</v>
      </c>
      <c r="Q77" s="24" t="str">
        <f>IFERROR(__xludf.DUMMYFUNCTION("""COMPUTED_VALUE"""),"넘버")</f>
        <v>넘버</v>
      </c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9" t="s">
        <v>420</v>
      </c>
      <c r="B78" s="20" t="s">
        <v>421</v>
      </c>
      <c r="C78" s="19" t="s">
        <v>422</v>
      </c>
      <c r="D78" s="19">
        <v>5.0</v>
      </c>
      <c r="E78" s="19" t="s">
        <v>423</v>
      </c>
      <c r="F78" s="19">
        <v>3.0</v>
      </c>
      <c r="G78" s="21">
        <v>45967.04791666667</v>
      </c>
      <c r="H78" s="19" t="s">
        <v>379</v>
      </c>
      <c r="I78" s="22" t="s">
        <v>424</v>
      </c>
      <c r="J78" s="23" t="str">
        <f>IFERROR(__xludf.DUMMYFUNCTION("ARRAYFORMULA(REGEXEXTRACT(SPLIT(C78, ""&lt;br&gt;""), ""([가-힣A-Za-z]+)""))"),"한메")</f>
        <v>한메</v>
      </c>
      <c r="K78" s="24" t="str">
        <f>IFERROR(__xludf.DUMMYFUNCTION("""COMPUTED_VALUE"""),"짱구")</f>
        <v>짱구</v>
      </c>
      <c r="L78" s="24" t="str">
        <f>IFERROR(__xludf.DUMMYFUNCTION("""COMPUTED_VALUE"""),"테리")</f>
        <v>테리</v>
      </c>
      <c r="M78" s="24" t="str">
        <f>IFERROR(__xludf.DUMMYFUNCTION("""COMPUTED_VALUE"""),"깡패")</f>
        <v>깡패</v>
      </c>
      <c r="N78" s="24" t="str">
        <f>IFERROR(__xludf.DUMMYFUNCTION("ARRAYFORMULA(REGEXEXTRACT(SPLIT(E78, ""&lt;br&gt;""), ""([가-힣A-Za-z]+)""))"),"솔")</f>
        <v>솔</v>
      </c>
      <c r="O78" s="24" t="str">
        <f>IFERROR(__xludf.DUMMYFUNCTION("""COMPUTED_VALUE"""),"유즈")</f>
        <v>유즈</v>
      </c>
      <c r="P78" s="24" t="str">
        <f>IFERROR(__xludf.DUMMYFUNCTION("""COMPUTED_VALUE"""),"ACDC")</f>
        <v>ACDC</v>
      </c>
      <c r="Q78" s="24" t="str">
        <f>IFERROR(__xludf.DUMMYFUNCTION("""COMPUTED_VALUE"""),"신형만")</f>
        <v>신형만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9" t="s">
        <v>425</v>
      </c>
      <c r="B79" s="20" t="s">
        <v>426</v>
      </c>
      <c r="C79" s="19" t="s">
        <v>427</v>
      </c>
      <c r="D79" s="19">
        <v>5.0</v>
      </c>
      <c r="E79" s="19" t="s">
        <v>428</v>
      </c>
      <c r="F79" s="19">
        <v>3.0</v>
      </c>
      <c r="G79" s="21">
        <v>45967.00347222222</v>
      </c>
      <c r="H79" s="19" t="s">
        <v>379</v>
      </c>
      <c r="I79" s="22" t="s">
        <v>424</v>
      </c>
      <c r="J79" s="23" t="str">
        <f>IFERROR(__xludf.DUMMYFUNCTION("ARRAYFORMULA(REGEXEXTRACT(SPLIT(C79, ""&lt;br&gt;""), ""([가-힣A-Za-z]+)""))"),"ACDC")</f>
        <v>ACDC</v>
      </c>
      <c r="K79" s="24" t="str">
        <f>IFERROR(__xludf.DUMMYFUNCTION("""COMPUTED_VALUE"""),"신형만")</f>
        <v>신형만</v>
      </c>
      <c r="L79" s="24" t="str">
        <f>IFERROR(__xludf.DUMMYFUNCTION("""COMPUTED_VALUE"""),"깡패")</f>
        <v>깡패</v>
      </c>
      <c r="M79" s="24" t="str">
        <f>IFERROR(__xludf.DUMMYFUNCTION("""COMPUTED_VALUE"""),"짱구")</f>
        <v>짱구</v>
      </c>
      <c r="N79" s="24" t="str">
        <f>IFERROR(__xludf.DUMMYFUNCTION("ARRAYFORMULA(REGEXEXTRACT(SPLIT(E79, ""&lt;br&gt;""), ""([가-힣A-Za-z]+)""))"),"유즈")</f>
        <v>유즈</v>
      </c>
      <c r="O79" s="24" t="str">
        <f>IFERROR(__xludf.DUMMYFUNCTION("""COMPUTED_VALUE"""),"솔")</f>
        <v>솔</v>
      </c>
      <c r="P79" s="24" t="str">
        <f>IFERROR(__xludf.DUMMYFUNCTION("""COMPUTED_VALUE"""),"한메")</f>
        <v>한메</v>
      </c>
      <c r="Q79" s="24" t="str">
        <f>IFERROR(__xludf.DUMMYFUNCTION("""COMPUTED_VALUE"""),"기재")</f>
        <v>기재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9" t="s">
        <v>429</v>
      </c>
      <c r="B80" s="20" t="s">
        <v>430</v>
      </c>
      <c r="C80" s="19" t="s">
        <v>431</v>
      </c>
      <c r="D80" s="19">
        <v>5.0</v>
      </c>
      <c r="E80" s="19" t="s">
        <v>432</v>
      </c>
      <c r="F80" s="19">
        <v>4.0</v>
      </c>
      <c r="G80" s="21">
        <v>45966.91736111111</v>
      </c>
      <c r="H80" s="19" t="s">
        <v>379</v>
      </c>
      <c r="I80" s="22" t="s">
        <v>433</v>
      </c>
      <c r="J80" s="23" t="str">
        <f>IFERROR(__xludf.DUMMYFUNCTION("ARRAYFORMULA(REGEXEXTRACT(SPLIT(C80, ""&lt;br&gt;""), ""([가-힣A-Za-z]+)""))"),"노인")</f>
        <v>노인</v>
      </c>
      <c r="K80" s="24" t="str">
        <f>IFERROR(__xludf.DUMMYFUNCTION("""COMPUTED_VALUE"""),"짱구")</f>
        <v>짱구</v>
      </c>
      <c r="L80" s="24" t="str">
        <f>IFERROR(__xludf.DUMMYFUNCTION("""COMPUTED_VALUE"""),"깡패")</f>
        <v>깡패</v>
      </c>
      <c r="M80" s="24" t="str">
        <f>IFERROR(__xludf.DUMMYFUNCTION("""COMPUTED_VALUE"""),"신형만")</f>
        <v>신형만</v>
      </c>
      <c r="N80" s="24" t="str">
        <f>IFERROR(__xludf.DUMMYFUNCTION("ARRAYFORMULA(REGEXEXTRACT(SPLIT(E80, ""&lt;br&gt;""), ""([가-힣A-Za-z]+)""))"),"기재")</f>
        <v>기재</v>
      </c>
      <c r="O80" s="24" t="str">
        <f>IFERROR(__xludf.DUMMYFUNCTION("""COMPUTED_VALUE"""),"테리")</f>
        <v>테리</v>
      </c>
      <c r="P80" s="24" t="str">
        <f>IFERROR(__xludf.DUMMYFUNCTION("""COMPUTED_VALUE"""),"넘버")</f>
        <v>넘버</v>
      </c>
      <c r="Q80" s="24" t="str">
        <f>IFERROR(__xludf.DUMMYFUNCTION("""COMPUTED_VALUE"""),"규식")</f>
        <v>규식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9" t="s">
        <v>434</v>
      </c>
      <c r="B81" s="20" t="s">
        <v>435</v>
      </c>
      <c r="C81" s="19" t="s">
        <v>436</v>
      </c>
      <c r="D81" s="19">
        <v>5.0</v>
      </c>
      <c r="E81" s="19" t="s">
        <v>437</v>
      </c>
      <c r="F81" s="19">
        <v>0.0</v>
      </c>
      <c r="G81" s="21">
        <v>45966.87152777778</v>
      </c>
      <c r="H81" s="19" t="s">
        <v>379</v>
      </c>
      <c r="I81" s="22" t="s">
        <v>433</v>
      </c>
      <c r="J81" s="23" t="str">
        <f>IFERROR(__xludf.DUMMYFUNCTION("ARRAYFORMULA(REGEXEXTRACT(SPLIT(C81, ""&lt;br&gt;""), ""([가-힣A-Za-z]+)""))"),"테리")</f>
        <v>테리</v>
      </c>
      <c r="K81" s="24" t="str">
        <f>IFERROR(__xludf.DUMMYFUNCTION("""COMPUTED_VALUE"""),"노인")</f>
        <v>노인</v>
      </c>
      <c r="L81" s="24" t="str">
        <f>IFERROR(__xludf.DUMMYFUNCTION("""COMPUTED_VALUE"""),"짱구")</f>
        <v>짱구</v>
      </c>
      <c r="M81" s="24" t="str">
        <f>IFERROR(__xludf.DUMMYFUNCTION("""COMPUTED_VALUE"""),"넘버")</f>
        <v>넘버</v>
      </c>
      <c r="N81" s="24" t="str">
        <f>IFERROR(__xludf.DUMMYFUNCTION("ARRAYFORMULA(REGEXEXTRACT(SPLIT(E81, ""&lt;br&gt;""), ""([가-힣A-Za-z]+)""))"),"깡패")</f>
        <v>깡패</v>
      </c>
      <c r="O81" s="24" t="str">
        <f>IFERROR(__xludf.DUMMYFUNCTION("""COMPUTED_VALUE"""),"신형만")</f>
        <v>신형만</v>
      </c>
      <c r="P81" s="24" t="str">
        <f>IFERROR(__xludf.DUMMYFUNCTION("""COMPUTED_VALUE"""),"규식")</f>
        <v>규식</v>
      </c>
      <c r="Q81" s="24" t="str">
        <f>IFERROR(__xludf.DUMMYFUNCTION("""COMPUTED_VALUE"""),"기재")</f>
        <v>기재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9" t="s">
        <v>438</v>
      </c>
      <c r="B82" s="20" t="s">
        <v>439</v>
      </c>
      <c r="C82" s="19" t="s">
        <v>440</v>
      </c>
      <c r="D82" s="19">
        <v>5.0</v>
      </c>
      <c r="E82" s="19" t="s">
        <v>441</v>
      </c>
      <c r="F82" s="19">
        <v>3.0</v>
      </c>
      <c r="G82" s="21">
        <v>45966.14861111111</v>
      </c>
      <c r="H82" s="19" t="s">
        <v>379</v>
      </c>
      <c r="I82" s="22" t="s">
        <v>424</v>
      </c>
      <c r="J82" s="23" t="str">
        <f>IFERROR(__xludf.DUMMYFUNCTION("ARRAYFORMULA(REGEXEXTRACT(SPLIT(C82, ""&lt;br&gt;""), ""([가-힣A-Za-z]+)""))"),"민우")</f>
        <v>민우</v>
      </c>
      <c r="K82" s="24" t="str">
        <f>IFERROR(__xludf.DUMMYFUNCTION("""COMPUTED_VALUE"""),"솔")</f>
        <v>솔</v>
      </c>
      <c r="L82" s="24" t="str">
        <f>IFERROR(__xludf.DUMMYFUNCTION("""COMPUTED_VALUE"""),"ovo")</f>
        <v>ovo</v>
      </c>
      <c r="M82" s="24" t="str">
        <f>IFERROR(__xludf.DUMMYFUNCTION("""COMPUTED_VALUE"""),"깡패")</f>
        <v>깡패</v>
      </c>
      <c r="N82" s="24" t="str">
        <f>IFERROR(__xludf.DUMMYFUNCTION("ARRAYFORMULA(REGEXEXTRACT(SPLIT(E82, ""&lt;br&gt;""), ""([가-힣A-Za-z]+)""))"),"신형만")</f>
        <v>신형만</v>
      </c>
      <c r="O82" s="24" t="str">
        <f>IFERROR(__xludf.DUMMYFUNCTION("""COMPUTED_VALUE"""),"학생")</f>
        <v>학생</v>
      </c>
      <c r="P82" s="24" t="str">
        <f>IFERROR(__xludf.DUMMYFUNCTION("""COMPUTED_VALUE"""),"노픽업")</f>
        <v>노픽업</v>
      </c>
      <c r="Q82" s="24" t="str">
        <f>IFERROR(__xludf.DUMMYFUNCTION("""COMPUTED_VALUE"""),"짱구")</f>
        <v>짱구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9" t="s">
        <v>442</v>
      </c>
      <c r="B83" s="20" t="s">
        <v>443</v>
      </c>
      <c r="C83" s="19" t="s">
        <v>444</v>
      </c>
      <c r="D83" s="19">
        <v>5.0</v>
      </c>
      <c r="E83" s="19" t="s">
        <v>445</v>
      </c>
      <c r="F83" s="19">
        <v>4.0</v>
      </c>
      <c r="G83" s="21">
        <v>45966.12986111111</v>
      </c>
      <c r="H83" s="19" t="s">
        <v>379</v>
      </c>
      <c r="I83" s="22" t="s">
        <v>424</v>
      </c>
      <c r="J83" s="23" t="str">
        <f>IFERROR(__xludf.DUMMYFUNCTION("ARRAYFORMULA(REGEXEXTRACT(SPLIT(C83, ""&lt;br&gt;""), ""([가-힣A-Za-z]+)""))"),"솔")</f>
        <v>솔</v>
      </c>
      <c r="K83" s="24" t="str">
        <f>IFERROR(__xludf.DUMMYFUNCTION("""COMPUTED_VALUE"""),"신형만")</f>
        <v>신형만</v>
      </c>
      <c r="L83" s="24" t="str">
        <f>IFERROR(__xludf.DUMMYFUNCTION("""COMPUTED_VALUE"""),"짱구")</f>
        <v>짱구</v>
      </c>
      <c r="M83" s="24" t="str">
        <f>IFERROR(__xludf.DUMMYFUNCTION("""COMPUTED_VALUE"""),"민우")</f>
        <v>민우</v>
      </c>
      <c r="N83" s="24" t="str">
        <f>IFERROR(__xludf.DUMMYFUNCTION("ARRAYFORMULA(REGEXEXTRACT(SPLIT(E83, ""&lt;br&gt;""), ""([가-힣A-Za-z]+)""))"),"ovo")</f>
        <v>ovo</v>
      </c>
      <c r="O83" s="24" t="str">
        <f>IFERROR(__xludf.DUMMYFUNCTION("""COMPUTED_VALUE"""),"노픽업")</f>
        <v>노픽업</v>
      </c>
      <c r="P83" s="24" t="str">
        <f>IFERROR(__xludf.DUMMYFUNCTION("""COMPUTED_VALUE"""),"깡패")</f>
        <v>깡패</v>
      </c>
      <c r="Q83" s="24" t="str">
        <f>IFERROR(__xludf.DUMMYFUNCTION("""COMPUTED_VALUE"""),"학생")</f>
        <v>학생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9" t="s">
        <v>446</v>
      </c>
      <c r="B84" s="20" t="s">
        <v>447</v>
      </c>
      <c r="C84" s="19" t="s">
        <v>448</v>
      </c>
      <c r="D84" s="19">
        <v>5.0</v>
      </c>
      <c r="E84" s="19" t="s">
        <v>449</v>
      </c>
      <c r="F84" s="19">
        <v>3.0</v>
      </c>
      <c r="G84" s="21">
        <v>45966.084027777775</v>
      </c>
      <c r="H84" s="19" t="s">
        <v>379</v>
      </c>
      <c r="I84" s="22" t="s">
        <v>415</v>
      </c>
      <c r="J84" s="23" t="str">
        <f>IFERROR(__xludf.DUMMYFUNCTION("ARRAYFORMULA(REGEXEXTRACT(SPLIT(C84, ""&lt;br&gt;""), ""([가-힣A-Za-z]+)""))"),"신형만")</f>
        <v>신형만</v>
      </c>
      <c r="K84" s="24" t="str">
        <f>IFERROR(__xludf.DUMMYFUNCTION("""COMPUTED_VALUE"""),"짱구")</f>
        <v>짱구</v>
      </c>
      <c r="L84" s="24" t="str">
        <f>IFERROR(__xludf.DUMMYFUNCTION("""COMPUTED_VALUE"""),"테리")</f>
        <v>테리</v>
      </c>
      <c r="M84" s="24" t="str">
        <f>IFERROR(__xludf.DUMMYFUNCTION("""COMPUTED_VALUE"""),"솔")</f>
        <v>솔</v>
      </c>
      <c r="N84" s="24" t="str">
        <f>IFERROR(__xludf.DUMMYFUNCTION("ARRAYFORMULA(REGEXEXTRACT(SPLIT(E84, ""&lt;br&gt;""), ""([가-힣A-Za-z]+)""))"),"넘버")</f>
        <v>넘버</v>
      </c>
      <c r="O84" s="24" t="str">
        <f>IFERROR(__xludf.DUMMYFUNCTION("""COMPUTED_VALUE"""),"학생")</f>
        <v>학생</v>
      </c>
      <c r="P84" s="24" t="str">
        <f>IFERROR(__xludf.DUMMYFUNCTION("""COMPUTED_VALUE"""),"노픽업")</f>
        <v>노픽업</v>
      </c>
      <c r="Q84" s="24" t="str">
        <f>IFERROR(__xludf.DUMMYFUNCTION("""COMPUTED_VALUE"""),"깡패")</f>
        <v>깡패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9" t="s">
        <v>450</v>
      </c>
      <c r="B85" s="20" t="s">
        <v>451</v>
      </c>
      <c r="C85" s="19" t="s">
        <v>452</v>
      </c>
      <c r="D85" s="19">
        <v>5.0</v>
      </c>
      <c r="E85" s="19" t="s">
        <v>453</v>
      </c>
      <c r="F85" s="19">
        <v>0.0</v>
      </c>
      <c r="G85" s="21">
        <v>45966.052777777775</v>
      </c>
      <c r="H85" s="19" t="s">
        <v>379</v>
      </c>
      <c r="I85" s="22" t="s">
        <v>454</v>
      </c>
      <c r="J85" s="23" t="str">
        <f>IFERROR(__xludf.DUMMYFUNCTION("ARRAYFORMULA(REGEXEXTRACT(SPLIT(C85, ""&lt;br&gt;""), ""([가-힣A-Za-z]+)""))"),"신형만")</f>
        <v>신형만</v>
      </c>
      <c r="K85" s="24" t="str">
        <f>IFERROR(__xludf.DUMMYFUNCTION("""COMPUTED_VALUE"""),"참치")</f>
        <v>참치</v>
      </c>
      <c r="L85" s="24" t="str">
        <f>IFERROR(__xludf.DUMMYFUNCTION("""COMPUTED_VALUE"""),"기재")</f>
        <v>기재</v>
      </c>
      <c r="M85" s="24" t="str">
        <f>IFERROR(__xludf.DUMMYFUNCTION("""COMPUTED_VALUE"""),"깡패")</f>
        <v>깡패</v>
      </c>
      <c r="N85" s="24" t="str">
        <f>IFERROR(__xludf.DUMMYFUNCTION("ARRAYFORMULA(REGEXEXTRACT(SPLIT(E85, ""&lt;br&gt;""), ""([가-힣A-Za-z]+)""))"),"솔")</f>
        <v>솔</v>
      </c>
      <c r="O85" s="24" t="str">
        <f>IFERROR(__xludf.DUMMYFUNCTION("""COMPUTED_VALUE"""),"노픽업")</f>
        <v>노픽업</v>
      </c>
      <c r="P85" s="24" t="str">
        <f>IFERROR(__xludf.DUMMYFUNCTION("""COMPUTED_VALUE"""),"학생")</f>
        <v>학생</v>
      </c>
      <c r="Q85" s="24" t="str">
        <f>IFERROR(__xludf.DUMMYFUNCTION("""COMPUTED_VALUE"""),"넘버")</f>
        <v>넘버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9" t="s">
        <v>455</v>
      </c>
      <c r="B86" s="20" t="s">
        <v>456</v>
      </c>
      <c r="C86" s="19" t="s">
        <v>457</v>
      </c>
      <c r="D86" s="19">
        <v>5.0</v>
      </c>
      <c r="E86" s="19" t="s">
        <v>458</v>
      </c>
      <c r="F86" s="19">
        <v>3.0</v>
      </c>
      <c r="G86" s="21">
        <v>45966.029861111114</v>
      </c>
      <c r="H86" s="19" t="s">
        <v>379</v>
      </c>
      <c r="I86" s="22" t="s">
        <v>454</v>
      </c>
      <c r="J86" s="23" t="str">
        <f>IFERROR(__xludf.DUMMYFUNCTION("ARRAYFORMULA(REGEXEXTRACT(SPLIT(C86, ""&lt;br&gt;""), ""([가-힣A-Za-z]+)""))"),"신형만")</f>
        <v>신형만</v>
      </c>
      <c r="K86" s="24" t="str">
        <f>IFERROR(__xludf.DUMMYFUNCTION("""COMPUTED_VALUE"""),"참치")</f>
        <v>참치</v>
      </c>
      <c r="L86" s="24" t="str">
        <f>IFERROR(__xludf.DUMMYFUNCTION("""COMPUTED_VALUE"""),"규식")</f>
        <v>규식</v>
      </c>
      <c r="M86" s="24" t="str">
        <f>IFERROR(__xludf.DUMMYFUNCTION("""COMPUTED_VALUE"""),"넘버")</f>
        <v>넘버</v>
      </c>
      <c r="N86" s="24" t="str">
        <f>IFERROR(__xludf.DUMMYFUNCTION("ARRAYFORMULA(REGEXEXTRACT(SPLIT(E86, ""&lt;br&gt;""), ""([가-힣A-Za-z]+)""))"),"깡패")</f>
        <v>깡패</v>
      </c>
      <c r="O86" s="24" t="str">
        <f>IFERROR(__xludf.DUMMYFUNCTION("""COMPUTED_VALUE"""),"테리")</f>
        <v>테리</v>
      </c>
      <c r="P86" s="24" t="str">
        <f>IFERROR(__xludf.DUMMYFUNCTION("""COMPUTED_VALUE"""),"기재")</f>
        <v>기재</v>
      </c>
      <c r="Q86" s="24" t="str">
        <f>IFERROR(__xludf.DUMMYFUNCTION("""COMPUTED_VALUE"""),"솔")</f>
        <v>솔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9" t="s">
        <v>459</v>
      </c>
      <c r="B87" s="20" t="s">
        <v>460</v>
      </c>
      <c r="C87" s="19" t="s">
        <v>461</v>
      </c>
      <c r="D87" s="19">
        <v>5.0</v>
      </c>
      <c r="E87" s="19" t="s">
        <v>462</v>
      </c>
      <c r="F87" s="19">
        <v>1.0</v>
      </c>
      <c r="G87" s="21">
        <v>45965.993055555555</v>
      </c>
      <c r="H87" s="19" t="s">
        <v>379</v>
      </c>
      <c r="I87" s="22" t="s">
        <v>454</v>
      </c>
      <c r="J87" s="23" t="str">
        <f>IFERROR(__xludf.DUMMYFUNCTION("ARRAYFORMULA(REGEXEXTRACT(SPLIT(C87, ""&lt;br&gt;""), ""([가-힣A-Za-z]+)""))"),"솔")</f>
        <v>솔</v>
      </c>
      <c r="K87" s="24" t="str">
        <f>IFERROR(__xludf.DUMMYFUNCTION("""COMPUTED_VALUE"""),"규식")</f>
        <v>규식</v>
      </c>
      <c r="L87" s="24" t="str">
        <f>IFERROR(__xludf.DUMMYFUNCTION("""COMPUTED_VALUE"""),"넘버")</f>
        <v>넘버</v>
      </c>
      <c r="M87" s="24" t="str">
        <f>IFERROR(__xludf.DUMMYFUNCTION("""COMPUTED_VALUE"""),"깡패")</f>
        <v>깡패</v>
      </c>
      <c r="N87" s="24" t="str">
        <f>IFERROR(__xludf.DUMMYFUNCTION("ARRAYFORMULA(REGEXEXTRACT(SPLIT(E87, ""&lt;br&gt;""), ""([가-힣A-Za-z]+)""))"),"기재")</f>
        <v>기재</v>
      </c>
      <c r="O87" s="24" t="str">
        <f>IFERROR(__xludf.DUMMYFUNCTION("""COMPUTED_VALUE"""),"ACDC")</f>
        <v>ACDC</v>
      </c>
      <c r="P87" s="24" t="str">
        <f>IFERROR(__xludf.DUMMYFUNCTION("""COMPUTED_VALUE"""),"신형만")</f>
        <v>신형만</v>
      </c>
      <c r="Q87" s="24" t="str">
        <f>IFERROR(__xludf.DUMMYFUNCTION("""COMPUTED_VALUE"""),"참치")</f>
        <v>참치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9" t="s">
        <v>463</v>
      </c>
      <c r="B88" s="20" t="s">
        <v>464</v>
      </c>
      <c r="C88" s="19" t="s">
        <v>465</v>
      </c>
      <c r="D88" s="19">
        <v>5.0</v>
      </c>
      <c r="E88" s="19" t="s">
        <v>466</v>
      </c>
      <c r="F88" s="19">
        <v>1.0</v>
      </c>
      <c r="G88" s="21">
        <v>45965.97708333333</v>
      </c>
      <c r="H88" s="19" t="s">
        <v>379</v>
      </c>
      <c r="I88" s="22" t="s">
        <v>467</v>
      </c>
      <c r="J88" s="23" t="str">
        <f>IFERROR(__xludf.DUMMYFUNCTION("ARRAYFORMULA(REGEXEXTRACT(SPLIT(C88, ""&lt;br&gt;""), ""([가-힣A-Za-z]+)""))"),"깡패")</f>
        <v>깡패</v>
      </c>
      <c r="K88" s="24" t="str">
        <f>IFERROR(__xludf.DUMMYFUNCTION("""COMPUTED_VALUE"""),"원")</f>
        <v>원</v>
      </c>
      <c r="L88" s="24" t="str">
        <f>IFERROR(__xludf.DUMMYFUNCTION("""COMPUTED_VALUE"""),"ACDC")</f>
        <v>ACDC</v>
      </c>
      <c r="M88" s="24" t="str">
        <f>IFERROR(__xludf.DUMMYFUNCTION("""COMPUTED_VALUE"""),"기재")</f>
        <v>기재</v>
      </c>
      <c r="N88" s="24" t="str">
        <f>IFERROR(__xludf.DUMMYFUNCTION("ARRAYFORMULA(REGEXEXTRACT(SPLIT(E88, ""&lt;br&gt;""), ""([가-힣A-Za-z]+)""))"),"참치")</f>
        <v>참치</v>
      </c>
      <c r="O88" s="24" t="str">
        <f>IFERROR(__xludf.DUMMYFUNCTION("""COMPUTED_VALUE"""),"신형만")</f>
        <v>신형만</v>
      </c>
      <c r="P88" s="24" t="str">
        <f>IFERROR(__xludf.DUMMYFUNCTION("""COMPUTED_VALUE"""),"규식")</f>
        <v>규식</v>
      </c>
      <c r="Q88" s="24" t="str">
        <f>IFERROR(__xludf.DUMMYFUNCTION("""COMPUTED_VALUE"""),"솔")</f>
        <v>솔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9" t="s">
        <v>468</v>
      </c>
      <c r="B89" s="20" t="s">
        <v>469</v>
      </c>
      <c r="C89" s="19" t="s">
        <v>470</v>
      </c>
      <c r="D89" s="19">
        <v>5.0</v>
      </c>
      <c r="E89" s="19" t="s">
        <v>471</v>
      </c>
      <c r="F89" s="19">
        <v>2.0</v>
      </c>
      <c r="G89" s="21">
        <v>45965.92847222222</v>
      </c>
      <c r="H89" s="19" t="s">
        <v>379</v>
      </c>
      <c r="I89" s="22" t="s">
        <v>472</v>
      </c>
      <c r="J89" s="23" t="str">
        <f>IFERROR(__xludf.DUMMYFUNCTION("ARRAYFORMULA(REGEXEXTRACT(SPLIT(C89, ""&lt;br&gt;""), ""([가-힣A-Za-z]+)""))"),"ACDC")</f>
        <v>ACDC</v>
      </c>
      <c r="K89" s="24" t="str">
        <f>IFERROR(__xludf.DUMMYFUNCTION("""COMPUTED_VALUE"""),"솔")</f>
        <v>솔</v>
      </c>
      <c r="L89" s="24" t="str">
        <f>IFERROR(__xludf.DUMMYFUNCTION("""COMPUTED_VALUE"""),"참치")</f>
        <v>참치</v>
      </c>
      <c r="M89" s="24" t="str">
        <f>IFERROR(__xludf.DUMMYFUNCTION("""COMPUTED_VALUE"""),"원")</f>
        <v>원</v>
      </c>
      <c r="N89" s="24" t="str">
        <f>IFERROR(__xludf.DUMMYFUNCTION("ARRAYFORMULA(REGEXEXTRACT(SPLIT(E89, ""&lt;br&gt;""), ""([가-힣A-Za-z]+)""))"),"기재")</f>
        <v>기재</v>
      </c>
      <c r="O89" s="24" t="str">
        <f>IFERROR(__xludf.DUMMYFUNCTION("""COMPUTED_VALUE"""),"테리")</f>
        <v>테리</v>
      </c>
      <c r="P89" s="24" t="str">
        <f>IFERROR(__xludf.DUMMYFUNCTION("""COMPUTED_VALUE"""),"한메")</f>
        <v>한메</v>
      </c>
      <c r="Q89" s="24" t="str">
        <f>IFERROR(__xludf.DUMMYFUNCTION("""COMPUTED_VALUE"""),"짱구")</f>
        <v>짱구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9" t="s">
        <v>473</v>
      </c>
      <c r="B90" s="20" t="s">
        <v>474</v>
      </c>
      <c r="C90" s="19" t="s">
        <v>475</v>
      </c>
      <c r="D90" s="19">
        <v>5.0</v>
      </c>
      <c r="E90" s="19" t="s">
        <v>476</v>
      </c>
      <c r="F90" s="19">
        <v>1.0</v>
      </c>
      <c r="G90" s="21">
        <v>45965.899305555555</v>
      </c>
      <c r="H90" s="19" t="s">
        <v>379</v>
      </c>
      <c r="I90" s="22" t="s">
        <v>477</v>
      </c>
      <c r="J90" s="23" t="str">
        <f>IFERROR(__xludf.DUMMYFUNCTION("ARRAYFORMULA(REGEXEXTRACT(SPLIT(C90, ""&lt;br&gt;""), ""([가-힣A-Za-z]+)""))"),"테리")</f>
        <v>테리</v>
      </c>
      <c r="K90" s="24" t="str">
        <f>IFERROR(__xludf.DUMMYFUNCTION("""COMPUTED_VALUE"""),"넘버")</f>
        <v>넘버</v>
      </c>
      <c r="L90" s="24" t="str">
        <f>IFERROR(__xludf.DUMMYFUNCTION("""COMPUTED_VALUE"""),"한메")</f>
        <v>한메</v>
      </c>
      <c r="M90" s="24" t="str">
        <f>IFERROR(__xludf.DUMMYFUNCTION("""COMPUTED_VALUE"""),"참치")</f>
        <v>참치</v>
      </c>
      <c r="N90" s="24" t="str">
        <f>IFERROR(__xludf.DUMMYFUNCTION("ARRAYFORMULA(REGEXEXTRACT(SPLIT(E90, ""&lt;br&gt;""), ""([가-힣A-Za-z]+)""))"),"기재")</f>
        <v>기재</v>
      </c>
      <c r="O90" s="24" t="str">
        <f>IFERROR(__xludf.DUMMYFUNCTION("""COMPUTED_VALUE"""),"짱구")</f>
        <v>짱구</v>
      </c>
      <c r="P90" s="24" t="str">
        <f>IFERROR(__xludf.DUMMYFUNCTION("""COMPUTED_VALUE"""),"ACDC")</f>
        <v>ACDC</v>
      </c>
      <c r="Q90" s="24" t="str">
        <f>IFERROR(__xludf.DUMMYFUNCTION("""COMPUTED_VALUE"""),"솔")</f>
        <v>솔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9" t="s">
        <v>478</v>
      </c>
      <c r="B91" s="20" t="s">
        <v>479</v>
      </c>
      <c r="C91" s="19" t="s">
        <v>480</v>
      </c>
      <c r="D91" s="19">
        <v>5.0</v>
      </c>
      <c r="E91" s="19" t="s">
        <v>481</v>
      </c>
      <c r="F91" s="19">
        <v>4.0</v>
      </c>
      <c r="G91" s="21">
        <v>45965.88055555556</v>
      </c>
      <c r="H91" s="19" t="s">
        <v>379</v>
      </c>
      <c r="I91" s="22" t="s">
        <v>482</v>
      </c>
      <c r="J91" s="23" t="str">
        <f>IFERROR(__xludf.DUMMYFUNCTION("ARRAYFORMULA(REGEXEXTRACT(SPLIT(C91, ""&lt;br&gt;""), ""([가-힣A-Za-z]+)""))"),"테리")</f>
        <v>테리</v>
      </c>
      <c r="K91" s="24" t="str">
        <f>IFERROR(__xludf.DUMMYFUNCTION("""COMPUTED_VALUE"""),"짱구")</f>
        <v>짱구</v>
      </c>
      <c r="L91" s="24" t="str">
        <f>IFERROR(__xludf.DUMMYFUNCTION("""COMPUTED_VALUE"""),"기재")</f>
        <v>기재</v>
      </c>
      <c r="M91" s="24" t="str">
        <f>IFERROR(__xludf.DUMMYFUNCTION("""COMPUTED_VALUE"""),"한메")</f>
        <v>한메</v>
      </c>
      <c r="N91" s="24" t="str">
        <f>IFERROR(__xludf.DUMMYFUNCTION("ARRAYFORMULA(REGEXEXTRACT(SPLIT(E91, ""&lt;br&gt;""), ""([가-힣A-Za-z]+)""))"),"솔")</f>
        <v>솔</v>
      </c>
      <c r="O91" s="24" t="str">
        <f>IFERROR(__xludf.DUMMYFUNCTION("""COMPUTED_VALUE"""),"ACDC")</f>
        <v>ACDC</v>
      </c>
      <c r="P91" s="24" t="str">
        <f>IFERROR(__xludf.DUMMYFUNCTION("""COMPUTED_VALUE"""),"넘버")</f>
        <v>넘버</v>
      </c>
      <c r="Q91" s="24" t="str">
        <f>IFERROR(__xludf.DUMMYFUNCTION("""COMPUTED_VALUE"""),"참치")</f>
        <v>참치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9" t="s">
        <v>483</v>
      </c>
      <c r="B92" s="20" t="s">
        <v>484</v>
      </c>
      <c r="C92" s="19" t="s">
        <v>485</v>
      </c>
      <c r="D92" s="19">
        <v>5.0</v>
      </c>
      <c r="E92" s="19" t="s">
        <v>486</v>
      </c>
      <c r="F92" s="19">
        <v>4.0</v>
      </c>
      <c r="G92" s="21">
        <v>45965.061111111114</v>
      </c>
      <c r="H92" s="19" t="s">
        <v>379</v>
      </c>
      <c r="I92" s="22" t="s">
        <v>487</v>
      </c>
      <c r="J92" s="23" t="str">
        <f>IFERROR(__xludf.DUMMYFUNCTION("ARRAYFORMULA(REGEXEXTRACT(SPLIT(C92, ""&lt;br&gt;""), ""([가-힣A-Za-z]+)""))"),"솔")</f>
        <v>솔</v>
      </c>
      <c r="K92" s="24" t="str">
        <f>IFERROR(__xludf.DUMMYFUNCTION("""COMPUTED_VALUE"""),"넘버")</f>
        <v>넘버</v>
      </c>
      <c r="L92" s="24" t="str">
        <f>IFERROR(__xludf.DUMMYFUNCTION("""COMPUTED_VALUE"""),"기재")</f>
        <v>기재</v>
      </c>
      <c r="M92" s="24" t="str">
        <f>IFERROR(__xludf.DUMMYFUNCTION("""COMPUTED_VALUE"""),"짱구")</f>
        <v>짱구</v>
      </c>
      <c r="N92" s="24" t="str">
        <f>IFERROR(__xludf.DUMMYFUNCTION("ARRAYFORMULA(REGEXEXTRACT(SPLIT(E92, ""&lt;br&gt;""), ""([가-힣A-Za-z]+)""))"),"신형만")</f>
        <v>신형만</v>
      </c>
      <c r="O92" s="24" t="str">
        <f>IFERROR(__xludf.DUMMYFUNCTION("""COMPUTED_VALUE"""),"깡패")</f>
        <v>깡패</v>
      </c>
      <c r="P92" s="24" t="str">
        <f>IFERROR(__xludf.DUMMYFUNCTION("""COMPUTED_VALUE"""),"ACDC")</f>
        <v>ACDC</v>
      </c>
      <c r="Q92" s="24" t="str">
        <f>IFERROR(__xludf.DUMMYFUNCTION("""COMPUTED_VALUE"""),"노픽업")</f>
        <v>노픽업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9" t="s">
        <v>488</v>
      </c>
      <c r="B93" s="20" t="s">
        <v>489</v>
      </c>
      <c r="C93" s="19" t="s">
        <v>490</v>
      </c>
      <c r="D93" s="19">
        <v>5.0</v>
      </c>
      <c r="E93" s="19" t="s">
        <v>491</v>
      </c>
      <c r="F93" s="19">
        <v>3.0</v>
      </c>
      <c r="G93" s="21">
        <v>45965.05138888889</v>
      </c>
      <c r="H93" s="19" t="s">
        <v>379</v>
      </c>
      <c r="I93" s="22" t="s">
        <v>492</v>
      </c>
      <c r="J93" s="23" t="str">
        <f>IFERROR(__xludf.DUMMYFUNCTION("ARRAYFORMULA(REGEXEXTRACT(SPLIT(C93, ""&lt;br&gt;""), ""([가-힣A-Za-z]+)""))"),"ACDC")</f>
        <v>ACDC</v>
      </c>
      <c r="K93" s="24" t="str">
        <f>IFERROR(__xludf.DUMMYFUNCTION("""COMPUTED_VALUE"""),"짱구")</f>
        <v>짱구</v>
      </c>
      <c r="L93" s="24" t="str">
        <f>IFERROR(__xludf.DUMMYFUNCTION("""COMPUTED_VALUE"""),"노픽업")</f>
        <v>노픽업</v>
      </c>
      <c r="M93" s="24" t="str">
        <f>IFERROR(__xludf.DUMMYFUNCTION("""COMPUTED_VALUE"""),"기재")</f>
        <v>기재</v>
      </c>
      <c r="N93" s="24" t="str">
        <f>IFERROR(__xludf.DUMMYFUNCTION("ARRAYFORMULA(REGEXEXTRACT(SPLIT(E93, ""&lt;br&gt;""), ""([가-힣A-Za-z]+)""))"),"넘버")</f>
        <v>넘버</v>
      </c>
      <c r="O93" s="24" t="str">
        <f>IFERROR(__xludf.DUMMYFUNCTION("""COMPUTED_VALUE"""),"노인")</f>
        <v>노인</v>
      </c>
      <c r="P93" s="24" t="str">
        <f>IFERROR(__xludf.DUMMYFUNCTION("""COMPUTED_VALUE"""),"신형만")</f>
        <v>신형만</v>
      </c>
      <c r="Q93" s="24" t="str">
        <f>IFERROR(__xludf.DUMMYFUNCTION("""COMPUTED_VALUE"""),"깡패")</f>
        <v>깡패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9" t="s">
        <v>493</v>
      </c>
      <c r="B94" s="20" t="s">
        <v>494</v>
      </c>
      <c r="C94" s="19" t="s">
        <v>495</v>
      </c>
      <c r="D94" s="19">
        <v>5.0</v>
      </c>
      <c r="E94" s="19" t="s">
        <v>496</v>
      </c>
      <c r="F94" s="19">
        <v>2.0</v>
      </c>
      <c r="G94" s="21">
        <v>45965.00347222222</v>
      </c>
      <c r="H94" s="19" t="s">
        <v>379</v>
      </c>
      <c r="I94" s="22" t="s">
        <v>424</v>
      </c>
      <c r="J94" s="23" t="str">
        <f>IFERROR(__xludf.DUMMYFUNCTION("ARRAYFORMULA(REGEXEXTRACT(SPLIT(C94, ""&lt;br&gt;""), ""([가-힣A-Za-z]+)""))"),"ACDC")</f>
        <v>ACDC</v>
      </c>
      <c r="K94" s="24" t="str">
        <f>IFERROR(__xludf.DUMMYFUNCTION("""COMPUTED_VALUE"""),"깡패")</f>
        <v>깡패</v>
      </c>
      <c r="L94" s="24" t="str">
        <f>IFERROR(__xludf.DUMMYFUNCTION("""COMPUTED_VALUE"""),"학생")</f>
        <v>학생</v>
      </c>
      <c r="M94" s="24" t="str">
        <f>IFERROR(__xludf.DUMMYFUNCTION("""COMPUTED_VALUE"""),"신형만")</f>
        <v>신형만</v>
      </c>
      <c r="N94" s="24" t="str">
        <f>IFERROR(__xludf.DUMMYFUNCTION("ARRAYFORMULA(REGEXEXTRACT(SPLIT(E94, ""&lt;br&gt;""), ""([가-힣A-Za-z]+)""))"),"솔")</f>
        <v>솔</v>
      </c>
      <c r="O94" s="24" t="str">
        <f>IFERROR(__xludf.DUMMYFUNCTION("""COMPUTED_VALUE"""),"노인")</f>
        <v>노인</v>
      </c>
      <c r="P94" s="24" t="str">
        <f>IFERROR(__xludf.DUMMYFUNCTION("""COMPUTED_VALUE"""),"기재")</f>
        <v>기재</v>
      </c>
      <c r="Q94" s="24" t="str">
        <f>IFERROR(__xludf.DUMMYFUNCTION("""COMPUTED_VALUE"""),"짱구")</f>
        <v>짱구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9" t="s">
        <v>497</v>
      </c>
      <c r="B95" s="20" t="s">
        <v>498</v>
      </c>
      <c r="C95" s="19" t="s">
        <v>499</v>
      </c>
      <c r="D95" s="19">
        <v>5.0</v>
      </c>
      <c r="E95" s="19" t="s">
        <v>500</v>
      </c>
      <c r="F95" s="19">
        <v>2.0</v>
      </c>
      <c r="G95" s="21">
        <v>45964.96666666667</v>
      </c>
      <c r="H95" s="19" t="s">
        <v>379</v>
      </c>
      <c r="I95" s="22" t="s">
        <v>424</v>
      </c>
      <c r="J95" s="23" t="str">
        <f>IFERROR(__xludf.DUMMYFUNCTION("ARRAYFORMULA(REGEXEXTRACT(SPLIT(C95, ""&lt;br&gt;""), ""([가-힣A-Za-z]+)""))"),"노인")</f>
        <v>노인</v>
      </c>
      <c r="K95" s="24" t="str">
        <f>IFERROR(__xludf.DUMMYFUNCTION("""COMPUTED_VALUE"""),"학생")</f>
        <v>학생</v>
      </c>
      <c r="L95" s="24" t="str">
        <f>IFERROR(__xludf.DUMMYFUNCTION("""COMPUTED_VALUE"""),"솔")</f>
        <v>솔</v>
      </c>
      <c r="M95" s="24" t="str">
        <f>IFERROR(__xludf.DUMMYFUNCTION("""COMPUTED_VALUE"""),"깡패")</f>
        <v>깡패</v>
      </c>
      <c r="N95" s="24" t="str">
        <f>IFERROR(__xludf.DUMMYFUNCTION("ARRAYFORMULA(REGEXEXTRACT(SPLIT(E95, ""&lt;br&gt;""), ""([가-힣A-Za-z]+)""))"),"신형만")</f>
        <v>신형만</v>
      </c>
      <c r="O95" s="24" t="str">
        <f>IFERROR(__xludf.DUMMYFUNCTION("""COMPUTED_VALUE"""),"짱구")</f>
        <v>짱구</v>
      </c>
      <c r="P95" s="24" t="str">
        <f>IFERROR(__xludf.DUMMYFUNCTION("""COMPUTED_VALUE"""),"ACDC")</f>
        <v>ACDC</v>
      </c>
      <c r="Q95" s="24" t="str">
        <f>IFERROR(__xludf.DUMMYFUNCTION("""COMPUTED_VALUE"""),"기재")</f>
        <v>기재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9" t="s">
        <v>501</v>
      </c>
      <c r="B96" s="20" t="s">
        <v>502</v>
      </c>
      <c r="C96" s="19" t="s">
        <v>503</v>
      </c>
      <c r="D96" s="19">
        <v>5.0</v>
      </c>
      <c r="E96" s="19" t="s">
        <v>504</v>
      </c>
      <c r="F96" s="19">
        <v>2.0</v>
      </c>
      <c r="G96" s="21">
        <v>45964.93680555555</v>
      </c>
      <c r="H96" s="19" t="s">
        <v>379</v>
      </c>
      <c r="I96" s="22" t="s">
        <v>424</v>
      </c>
      <c r="J96" s="23" t="str">
        <f>IFERROR(__xludf.DUMMYFUNCTION("ARRAYFORMULA(REGEXEXTRACT(SPLIT(C96, ""&lt;br&gt;""), ""([가-힣A-Za-z]+)""))"),"솔")</f>
        <v>솔</v>
      </c>
      <c r="K96" s="24" t="str">
        <f>IFERROR(__xludf.DUMMYFUNCTION("""COMPUTED_VALUE"""),"테리")</f>
        <v>테리</v>
      </c>
      <c r="L96" s="24" t="str">
        <f>IFERROR(__xludf.DUMMYFUNCTION("""COMPUTED_VALUE"""),"기재")</f>
        <v>기재</v>
      </c>
      <c r="M96" s="24" t="str">
        <f>IFERROR(__xludf.DUMMYFUNCTION("""COMPUTED_VALUE"""),"짱구")</f>
        <v>짱구</v>
      </c>
      <c r="N96" s="24" t="str">
        <f>IFERROR(__xludf.DUMMYFUNCTION("ARRAYFORMULA(REGEXEXTRACT(SPLIT(E96, ""&lt;br&gt;""), ""([가-힣A-Za-z]+)""))"),"깡패")</f>
        <v>깡패</v>
      </c>
      <c r="O96" s="24" t="str">
        <f>IFERROR(__xludf.DUMMYFUNCTION("""COMPUTED_VALUE"""),"ACDC")</f>
        <v>ACDC</v>
      </c>
      <c r="P96" s="24" t="str">
        <f>IFERROR(__xludf.DUMMYFUNCTION("""COMPUTED_VALUE"""),"신형만")</f>
        <v>신형만</v>
      </c>
      <c r="Q96" s="24" t="str">
        <f>IFERROR(__xludf.DUMMYFUNCTION("""COMPUTED_VALUE"""),"학생")</f>
        <v>학생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9" t="s">
        <v>505</v>
      </c>
      <c r="B97" s="20" t="s">
        <v>506</v>
      </c>
      <c r="C97" s="19" t="s">
        <v>507</v>
      </c>
      <c r="D97" s="19">
        <v>5.0</v>
      </c>
      <c r="E97" s="19" t="s">
        <v>508</v>
      </c>
      <c r="F97" s="19">
        <v>1.0</v>
      </c>
      <c r="G97" s="21">
        <v>45964.90694444445</v>
      </c>
      <c r="H97" s="19" t="s">
        <v>379</v>
      </c>
      <c r="I97" s="22" t="s">
        <v>341</v>
      </c>
      <c r="J97" s="23" t="str">
        <f>IFERROR(__xludf.DUMMYFUNCTION("ARRAYFORMULA(REGEXEXTRACT(SPLIT(C97, ""&lt;br&gt;""), ""([가-힣A-Za-z]+)""))"),"테리")</f>
        <v>테리</v>
      </c>
      <c r="K97" s="24" t="str">
        <f>IFERROR(__xludf.DUMMYFUNCTION("""COMPUTED_VALUE"""),"규식")</f>
        <v>규식</v>
      </c>
      <c r="L97" s="24" t="str">
        <f>IFERROR(__xludf.DUMMYFUNCTION("""COMPUTED_VALUE"""),"짱구")</f>
        <v>짱구</v>
      </c>
      <c r="M97" s="24" t="str">
        <f>IFERROR(__xludf.DUMMYFUNCTION("""COMPUTED_VALUE"""),"기재")</f>
        <v>기재</v>
      </c>
      <c r="N97" s="24" t="str">
        <f>IFERROR(__xludf.DUMMYFUNCTION("ARRAYFORMULA(REGEXEXTRACT(SPLIT(E97, ""&lt;br&gt;""), ""([가-힣A-Za-z]+)""))"),"오딘")</f>
        <v>오딘</v>
      </c>
      <c r="O97" s="24" t="str">
        <f>IFERROR(__xludf.DUMMYFUNCTION("""COMPUTED_VALUE"""),"학생")</f>
        <v>학생</v>
      </c>
      <c r="P97" s="24" t="str">
        <f>IFERROR(__xludf.DUMMYFUNCTION("""COMPUTED_VALUE"""),"신형만")</f>
        <v>신형만</v>
      </c>
      <c r="Q97" s="24" t="str">
        <f>IFERROR(__xludf.DUMMYFUNCTION("""COMPUTED_VALUE"""),"깡패")</f>
        <v>깡패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9" t="s">
        <v>509</v>
      </c>
      <c r="B98" s="20" t="s">
        <v>510</v>
      </c>
      <c r="C98" s="19" t="s">
        <v>511</v>
      </c>
      <c r="D98" s="19">
        <v>5.0</v>
      </c>
      <c r="E98" s="19" t="s">
        <v>512</v>
      </c>
      <c r="F98" s="19">
        <v>0.0</v>
      </c>
      <c r="G98" s="21">
        <v>45964.884722222225</v>
      </c>
      <c r="H98" s="19" t="s">
        <v>379</v>
      </c>
      <c r="I98" s="22" t="s">
        <v>341</v>
      </c>
      <c r="J98" s="23" t="str">
        <f>IFERROR(__xludf.DUMMYFUNCTION("ARRAYFORMULA(REGEXEXTRACT(SPLIT(C98, ""&lt;br&gt;""), ""([가-힣A-Za-z]+)""))"),"깡패")</f>
        <v>깡패</v>
      </c>
      <c r="K98" s="24" t="str">
        <f>IFERROR(__xludf.DUMMYFUNCTION("""COMPUTED_VALUE"""),"짱구")</f>
        <v>짱구</v>
      </c>
      <c r="L98" s="24" t="str">
        <f>IFERROR(__xludf.DUMMYFUNCTION("""COMPUTED_VALUE"""),"규식")</f>
        <v>규식</v>
      </c>
      <c r="M98" s="24" t="str">
        <f>IFERROR(__xludf.DUMMYFUNCTION("""COMPUTED_VALUE"""),"학생")</f>
        <v>학생</v>
      </c>
      <c r="N98" s="24" t="str">
        <f>IFERROR(__xludf.DUMMYFUNCTION("ARRAYFORMULA(REGEXEXTRACT(SPLIT(E98, ""&lt;br&gt;""), ""([가-힣A-Za-z]+)""))"),"기재")</f>
        <v>기재</v>
      </c>
      <c r="O98" s="24" t="str">
        <f>IFERROR(__xludf.DUMMYFUNCTION("""COMPUTED_VALUE"""),"오딘")</f>
        <v>오딘</v>
      </c>
      <c r="P98" s="24" t="str">
        <f>IFERROR(__xludf.DUMMYFUNCTION("""COMPUTED_VALUE"""),"테리")</f>
        <v>테리</v>
      </c>
      <c r="Q98" s="24" t="str">
        <f>IFERROR(__xludf.DUMMYFUNCTION("""COMPUTED_VALUE"""),"신형만")</f>
        <v>신형만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9" t="s">
        <v>513</v>
      </c>
      <c r="B99" s="20" t="s">
        <v>514</v>
      </c>
      <c r="C99" s="19" t="s">
        <v>515</v>
      </c>
      <c r="D99" s="19">
        <v>5.0</v>
      </c>
      <c r="E99" s="19" t="s">
        <v>516</v>
      </c>
      <c r="F99" s="19">
        <v>3.0</v>
      </c>
      <c r="G99" s="21">
        <v>45964.06180555555</v>
      </c>
      <c r="H99" s="19" t="s">
        <v>379</v>
      </c>
      <c r="I99" s="22" t="s">
        <v>517</v>
      </c>
      <c r="J99" s="23" t="str">
        <f>IFERROR(__xludf.DUMMYFUNCTION("ARRAYFORMULA(REGEXEXTRACT(SPLIT(C99, ""&lt;br&gt;""), ""([가-힣A-Za-z]+)""))"),"신형만")</f>
        <v>신형만</v>
      </c>
      <c r="K99" s="24" t="str">
        <f>IFERROR(__xludf.DUMMYFUNCTION("""COMPUTED_VALUE"""),"짱구")</f>
        <v>짱구</v>
      </c>
      <c r="L99" s="24" t="str">
        <f>IFERROR(__xludf.DUMMYFUNCTION("""COMPUTED_VALUE"""),"노픽업")</f>
        <v>노픽업</v>
      </c>
      <c r="M99" s="24" t="str">
        <f>IFERROR(__xludf.DUMMYFUNCTION("""COMPUTED_VALUE"""),"깡패")</f>
        <v>깡패</v>
      </c>
      <c r="N99" s="24" t="str">
        <f>IFERROR(__xludf.DUMMYFUNCTION("ARRAYFORMULA(REGEXEXTRACT(SPLIT(E99, ""&lt;br&gt;""), ""([가-힣A-Za-z]+)""))"),"기재")</f>
        <v>기재</v>
      </c>
      <c r="O99" s="24" t="str">
        <f>IFERROR(__xludf.DUMMYFUNCTION("""COMPUTED_VALUE"""),"넘버")</f>
        <v>넘버</v>
      </c>
      <c r="P99" s="24" t="str">
        <f>IFERROR(__xludf.DUMMYFUNCTION("""COMPUTED_VALUE"""),"ACDC")</f>
        <v>ACDC</v>
      </c>
      <c r="Q99" s="24" t="str">
        <f>IFERROR(__xludf.DUMMYFUNCTION("""COMPUTED_VALUE"""),"규식")</f>
        <v>규식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9" t="s">
        <v>518</v>
      </c>
      <c r="B100" s="20" t="s">
        <v>519</v>
      </c>
      <c r="C100" s="19" t="s">
        <v>520</v>
      </c>
      <c r="D100" s="19">
        <v>5.0</v>
      </c>
      <c r="E100" s="19" t="s">
        <v>521</v>
      </c>
      <c r="F100" s="19">
        <v>0.0</v>
      </c>
      <c r="G100" s="21">
        <v>45964.02361111111</v>
      </c>
      <c r="H100" s="19" t="s">
        <v>379</v>
      </c>
      <c r="I100" s="22" t="s">
        <v>517</v>
      </c>
      <c r="J100" s="23" t="str">
        <f>IFERROR(__xludf.DUMMYFUNCTION("ARRAYFORMULA(REGEXEXTRACT(SPLIT(C100, ""&lt;br&gt;""), ""([가-힣A-Za-z]+)""))"),"넘버")</f>
        <v>넘버</v>
      </c>
      <c r="K100" s="24" t="str">
        <f>IFERROR(__xludf.DUMMYFUNCTION("""COMPUTED_VALUE"""),"깡패")</f>
        <v>깡패</v>
      </c>
      <c r="L100" s="24" t="str">
        <f>IFERROR(__xludf.DUMMYFUNCTION("""COMPUTED_VALUE"""),"기재")</f>
        <v>기재</v>
      </c>
      <c r="M100" s="24" t="str">
        <f>IFERROR(__xludf.DUMMYFUNCTION("""COMPUTED_VALUE"""),"짱구")</f>
        <v>짱구</v>
      </c>
      <c r="N100" s="24" t="str">
        <f>IFERROR(__xludf.DUMMYFUNCTION("ARRAYFORMULA(REGEXEXTRACT(SPLIT(E100, ""&lt;br&gt;""), ""([가-힣A-Za-z]+)""))"),"ACDC")</f>
        <v>ACDC</v>
      </c>
      <c r="O100" s="24" t="str">
        <f>IFERROR(__xludf.DUMMYFUNCTION("""COMPUTED_VALUE"""),"규식")</f>
        <v>규식</v>
      </c>
      <c r="P100" s="24" t="str">
        <f>IFERROR(__xludf.DUMMYFUNCTION("""COMPUTED_VALUE"""),"신형만")</f>
        <v>신형만</v>
      </c>
      <c r="Q100" s="24" t="str">
        <f>IFERROR(__xludf.DUMMYFUNCTION("""COMPUTED_VALUE"""),"노픽업")</f>
        <v>노픽업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9" t="s">
        <v>522</v>
      </c>
      <c r="B101" s="20" t="s">
        <v>523</v>
      </c>
      <c r="C101" s="19" t="s">
        <v>524</v>
      </c>
      <c r="D101" s="19">
        <v>5.0</v>
      </c>
      <c r="E101" s="19" t="s">
        <v>525</v>
      </c>
      <c r="F101" s="19">
        <v>4.0</v>
      </c>
      <c r="G101" s="21">
        <v>45963.99722222222</v>
      </c>
      <c r="H101" s="19" t="s">
        <v>379</v>
      </c>
      <c r="I101" s="22" t="s">
        <v>526</v>
      </c>
      <c r="J101" s="23" t="str">
        <f>IFERROR(__xludf.DUMMYFUNCTION("ARRAYFORMULA(REGEXEXTRACT(SPLIT(C101, ""&lt;br&gt;""), ""([가-힣A-Za-z]+)""))"),"솔")</f>
        <v>솔</v>
      </c>
      <c r="K101" s="24" t="str">
        <f>IFERROR(__xludf.DUMMYFUNCTION("""COMPUTED_VALUE"""),"짱구")</f>
        <v>짱구</v>
      </c>
      <c r="L101" s="24" t="str">
        <f>IFERROR(__xludf.DUMMYFUNCTION("""COMPUTED_VALUE"""),"노픽업")</f>
        <v>노픽업</v>
      </c>
      <c r="M101" s="24" t="str">
        <f>IFERROR(__xludf.DUMMYFUNCTION("""COMPUTED_VALUE"""),"넘버")</f>
        <v>넘버</v>
      </c>
      <c r="N101" s="24" t="str">
        <f>IFERROR(__xludf.DUMMYFUNCTION("ARRAYFORMULA(REGEXEXTRACT(SPLIT(E101, ""&lt;br&gt;""), ""([가-힣A-Za-z]+)""))"),"기재")</f>
        <v>기재</v>
      </c>
      <c r="O101" s="24" t="str">
        <f>IFERROR(__xludf.DUMMYFUNCTION("""COMPUTED_VALUE"""),"ACDC")</f>
        <v>ACDC</v>
      </c>
      <c r="P101" s="24" t="str">
        <f>IFERROR(__xludf.DUMMYFUNCTION("""COMPUTED_VALUE"""),"깡패")</f>
        <v>깡패</v>
      </c>
      <c r="Q101" s="24" t="str">
        <f>IFERROR(__xludf.DUMMYFUNCTION("""COMPUTED_VALUE"""),"규식")</f>
        <v>규식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9" t="s">
        <v>527</v>
      </c>
      <c r="B102" s="20" t="s">
        <v>528</v>
      </c>
      <c r="C102" s="19" t="s">
        <v>529</v>
      </c>
      <c r="D102" s="19">
        <v>5.0</v>
      </c>
      <c r="E102" s="19" t="s">
        <v>530</v>
      </c>
      <c r="F102" s="19">
        <v>0.0</v>
      </c>
      <c r="G102" s="21">
        <v>45963.97361111111</v>
      </c>
      <c r="H102" s="19" t="s">
        <v>379</v>
      </c>
      <c r="I102" s="22" t="s">
        <v>526</v>
      </c>
      <c r="J102" s="23" t="str">
        <f>IFERROR(__xludf.DUMMYFUNCTION("ARRAYFORMULA(REGEXEXTRACT(SPLIT(C102, ""&lt;br&gt;""), ""([가-힣A-Za-z]+)""))"),"넘버")</f>
        <v>넘버</v>
      </c>
      <c r="K102" s="24" t="str">
        <f>IFERROR(__xludf.DUMMYFUNCTION("""COMPUTED_VALUE"""),"규식")</f>
        <v>규식</v>
      </c>
      <c r="L102" s="24" t="str">
        <f>IFERROR(__xludf.DUMMYFUNCTION("""COMPUTED_VALUE"""),"솔")</f>
        <v>솔</v>
      </c>
      <c r="M102" s="24" t="str">
        <f>IFERROR(__xludf.DUMMYFUNCTION("""COMPUTED_VALUE"""),"깡패")</f>
        <v>깡패</v>
      </c>
      <c r="N102" s="24" t="str">
        <f>IFERROR(__xludf.DUMMYFUNCTION("ARRAYFORMULA(REGEXEXTRACT(SPLIT(E102, ""&lt;br&gt;""), ""([가-힣A-Za-z]+)""))"),"ACDC")</f>
        <v>ACDC</v>
      </c>
      <c r="O102" s="24" t="str">
        <f>IFERROR(__xludf.DUMMYFUNCTION("""COMPUTED_VALUE"""),"노픽업")</f>
        <v>노픽업</v>
      </c>
      <c r="P102" s="24" t="str">
        <f>IFERROR(__xludf.DUMMYFUNCTION("""COMPUTED_VALUE"""),"기재")</f>
        <v>기재</v>
      </c>
      <c r="Q102" s="24" t="str">
        <f>IFERROR(__xludf.DUMMYFUNCTION("""COMPUTED_VALUE"""),"짱구")</f>
        <v>짱구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9" t="s">
        <v>531</v>
      </c>
      <c r="B103" s="20" t="s">
        <v>532</v>
      </c>
      <c r="C103" s="19" t="s">
        <v>533</v>
      </c>
      <c r="D103" s="19">
        <v>5.0</v>
      </c>
      <c r="E103" s="19" t="s">
        <v>534</v>
      </c>
      <c r="F103" s="19">
        <v>2.0</v>
      </c>
      <c r="G103" s="21">
        <v>45963.95416666667</v>
      </c>
      <c r="H103" s="19" t="s">
        <v>379</v>
      </c>
      <c r="I103" s="22" t="s">
        <v>535</v>
      </c>
      <c r="J103" s="23" t="str">
        <f>IFERROR(__xludf.DUMMYFUNCTION("ARRAYFORMULA(REGEXEXTRACT(SPLIT(C103, ""&lt;br&gt;""), ""([가-힣A-Za-z]+)""))"),"솔")</f>
        <v>솔</v>
      </c>
      <c r="K103" s="24" t="str">
        <f>IFERROR(__xludf.DUMMYFUNCTION("""COMPUTED_VALUE"""),"깡패")</f>
        <v>깡패</v>
      </c>
      <c r="L103" s="24" t="str">
        <f>IFERROR(__xludf.DUMMYFUNCTION("""COMPUTED_VALUE"""),"짱구")</f>
        <v>짱구</v>
      </c>
      <c r="M103" s="24" t="str">
        <f>IFERROR(__xludf.DUMMYFUNCTION("""COMPUTED_VALUE"""),"기재")</f>
        <v>기재</v>
      </c>
      <c r="N103" s="24" t="str">
        <f>IFERROR(__xludf.DUMMYFUNCTION("ARRAYFORMULA(REGEXEXTRACT(SPLIT(E103, ""&lt;br&gt;""), ""([가-힣A-Za-z]+)""))"),"노인")</f>
        <v>노인</v>
      </c>
      <c r="O103" s="24" t="str">
        <f>IFERROR(__xludf.DUMMYFUNCTION("""COMPUTED_VALUE"""),"ACDC")</f>
        <v>ACDC</v>
      </c>
      <c r="P103" s="24" t="str">
        <f>IFERROR(__xludf.DUMMYFUNCTION("""COMPUTED_VALUE"""),"규식")</f>
        <v>규식</v>
      </c>
      <c r="Q103" s="24" t="str">
        <f>IFERROR(__xludf.DUMMYFUNCTION("""COMPUTED_VALUE"""),"노픽업")</f>
        <v>노픽업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9" t="s">
        <v>536</v>
      </c>
      <c r="B104" s="20" t="s">
        <v>537</v>
      </c>
      <c r="C104" s="19" t="s">
        <v>538</v>
      </c>
      <c r="D104" s="19">
        <v>5.0</v>
      </c>
      <c r="E104" s="19" t="s">
        <v>539</v>
      </c>
      <c r="F104" s="19">
        <v>4.0</v>
      </c>
      <c r="G104" s="21">
        <v>45963.92847222222</v>
      </c>
      <c r="H104" s="19" t="s">
        <v>379</v>
      </c>
      <c r="I104" s="22" t="s">
        <v>535</v>
      </c>
      <c r="J104" s="23" t="str">
        <f>IFERROR(__xludf.DUMMYFUNCTION("ARRAYFORMULA(REGEXEXTRACT(SPLIT(C104, ""&lt;br&gt;""), ""([가-힣A-Za-z]+)""))"),"기재")</f>
        <v>기재</v>
      </c>
      <c r="K104" s="24" t="str">
        <f>IFERROR(__xludf.DUMMYFUNCTION("""COMPUTED_VALUE"""),"규식")</f>
        <v>규식</v>
      </c>
      <c r="L104" s="24" t="str">
        <f>IFERROR(__xludf.DUMMYFUNCTION("""COMPUTED_VALUE"""),"ACDC")</f>
        <v>ACDC</v>
      </c>
      <c r="M104" s="24" t="str">
        <f>IFERROR(__xludf.DUMMYFUNCTION("""COMPUTED_VALUE"""),"솔")</f>
        <v>솔</v>
      </c>
      <c r="N104" s="24" t="str">
        <f>IFERROR(__xludf.DUMMYFUNCTION("ARRAYFORMULA(REGEXEXTRACT(SPLIT(E104, ""&lt;br&gt;""), ""([가-힣A-Za-z]+)""))"),"깡패")</f>
        <v>깡패</v>
      </c>
      <c r="O104" s="24" t="str">
        <f>IFERROR(__xludf.DUMMYFUNCTION("""COMPUTED_VALUE"""),"노픽업")</f>
        <v>노픽업</v>
      </c>
      <c r="P104" s="24" t="str">
        <f>IFERROR(__xludf.DUMMYFUNCTION("""COMPUTED_VALUE"""),"노인")</f>
        <v>노인</v>
      </c>
      <c r="Q104" s="24" t="str">
        <f>IFERROR(__xludf.DUMMYFUNCTION("""COMPUTED_VALUE"""),"짱구")</f>
        <v>짱구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9" t="s">
        <v>540</v>
      </c>
      <c r="B105" s="20" t="s">
        <v>541</v>
      </c>
      <c r="C105" s="19" t="s">
        <v>542</v>
      </c>
      <c r="D105" s="19">
        <v>5.0</v>
      </c>
      <c r="E105" s="19" t="s">
        <v>543</v>
      </c>
      <c r="F105" s="19">
        <v>1.0</v>
      </c>
      <c r="G105" s="21">
        <v>45963.899305555555</v>
      </c>
      <c r="H105" s="19" t="s">
        <v>379</v>
      </c>
      <c r="I105" s="22" t="s">
        <v>26</v>
      </c>
      <c r="J105" s="23" t="str">
        <f>IFERROR(__xludf.DUMMYFUNCTION("ARRAYFORMULA(REGEXEXTRACT(SPLIT(C105, ""&lt;br&gt;""), ""([가-힣A-Za-z]+)""))"),"테리")</f>
        <v>테리</v>
      </c>
      <c r="K105" s="24" t="str">
        <f>IFERROR(__xludf.DUMMYFUNCTION("""COMPUTED_VALUE"""),"깡패")</f>
        <v>깡패</v>
      </c>
      <c r="L105" s="24" t="str">
        <f>IFERROR(__xludf.DUMMYFUNCTION("""COMPUTED_VALUE"""),"짱구")</f>
        <v>짱구</v>
      </c>
      <c r="M105" s="24" t="str">
        <f>IFERROR(__xludf.DUMMYFUNCTION("""COMPUTED_VALUE"""),"기재")</f>
        <v>기재</v>
      </c>
      <c r="N105" s="24" t="str">
        <f>IFERROR(__xludf.DUMMYFUNCTION("ARRAYFORMULA(REGEXEXTRACT(SPLIT(E105, ""&lt;br&gt;""), ""([가-힣A-Za-z]+)""))"),"ACDC")</f>
        <v>ACDC</v>
      </c>
      <c r="O105" s="24" t="str">
        <f>IFERROR(__xludf.DUMMYFUNCTION("""COMPUTED_VALUE"""),"노인")</f>
        <v>노인</v>
      </c>
      <c r="P105" s="24" t="str">
        <f>IFERROR(__xludf.DUMMYFUNCTION("""COMPUTED_VALUE"""),"노픽업")</f>
        <v>노픽업</v>
      </c>
      <c r="Q105" s="24" t="str">
        <f>IFERROR(__xludf.DUMMYFUNCTION("""COMPUTED_VALUE"""),"규식")</f>
        <v>규식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9" t="s">
        <v>544</v>
      </c>
      <c r="B106" s="20" t="s">
        <v>545</v>
      </c>
      <c r="C106" s="19" t="s">
        <v>546</v>
      </c>
      <c r="D106" s="19">
        <v>5.0</v>
      </c>
      <c r="E106" s="19" t="s">
        <v>547</v>
      </c>
      <c r="F106" s="19">
        <v>0.0</v>
      </c>
      <c r="G106" s="21">
        <v>45963.87777777778</v>
      </c>
      <c r="H106" s="19" t="s">
        <v>379</v>
      </c>
      <c r="I106" s="22" t="s">
        <v>26</v>
      </c>
      <c r="J106" s="23" t="str">
        <f>IFERROR(__xludf.DUMMYFUNCTION("ARRAYFORMULA(REGEXEXTRACT(SPLIT(C106, ""&lt;br&gt;""), ""([가-힣A-Za-z]+)""))"),"노인")</f>
        <v>노인</v>
      </c>
      <c r="K106" s="24" t="str">
        <f>IFERROR(__xludf.DUMMYFUNCTION("""COMPUTED_VALUE"""),"ACDC")</f>
        <v>ACDC</v>
      </c>
      <c r="L106" s="24" t="str">
        <f>IFERROR(__xludf.DUMMYFUNCTION("""COMPUTED_VALUE"""),"테리")</f>
        <v>테리</v>
      </c>
      <c r="M106" s="24" t="str">
        <f>IFERROR(__xludf.DUMMYFUNCTION("""COMPUTED_VALUE"""),"깡패")</f>
        <v>깡패</v>
      </c>
      <c r="N106" s="24" t="str">
        <f>IFERROR(__xludf.DUMMYFUNCTION("ARRAYFORMULA(REGEXEXTRACT(SPLIT(E106, ""&lt;br&gt;""), ""([가-힣A-Za-z]+)""))"),"기재")</f>
        <v>기재</v>
      </c>
      <c r="O106" s="24" t="str">
        <f>IFERROR(__xludf.DUMMYFUNCTION("""COMPUTED_VALUE"""),"노픽업")</f>
        <v>노픽업</v>
      </c>
      <c r="P106" s="24" t="str">
        <f>IFERROR(__xludf.DUMMYFUNCTION("""COMPUTED_VALUE"""),"규식")</f>
        <v>규식</v>
      </c>
      <c r="Q106" s="24" t="str">
        <f>IFERROR(__xludf.DUMMYFUNCTION("""COMPUTED_VALUE"""),"짱구")</f>
        <v>짱구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9" t="s">
        <v>548</v>
      </c>
      <c r="B107" s="20" t="s">
        <v>549</v>
      </c>
      <c r="C107" s="19" t="s">
        <v>550</v>
      </c>
      <c r="D107" s="19">
        <v>5.0</v>
      </c>
      <c r="E107" s="19" t="s">
        <v>551</v>
      </c>
      <c r="F107" s="19">
        <v>2.0</v>
      </c>
      <c r="G107" s="21">
        <v>45963.86319444444</v>
      </c>
      <c r="H107" s="19" t="s">
        <v>379</v>
      </c>
      <c r="I107" s="22" t="s">
        <v>552</v>
      </c>
      <c r="J107" s="23" t="str">
        <f>IFERROR(__xludf.DUMMYFUNCTION("ARRAYFORMULA(REGEXEXTRACT(SPLIT(C107, ""&lt;br&gt;""), ""([가-힣A-Za-z]+)""))"),"깡패")</f>
        <v>깡패</v>
      </c>
      <c r="K107" s="24" t="str">
        <f>IFERROR(__xludf.DUMMYFUNCTION("""COMPUTED_VALUE"""),"노인")</f>
        <v>노인</v>
      </c>
      <c r="L107" s="24" t="str">
        <f>IFERROR(__xludf.DUMMYFUNCTION("""COMPUTED_VALUE"""),"짱구")</f>
        <v>짱구</v>
      </c>
      <c r="M107" s="24" t="str">
        <f>IFERROR(__xludf.DUMMYFUNCTION("""COMPUTED_VALUE"""),"솔")</f>
        <v>솔</v>
      </c>
      <c r="N107" s="24" t="str">
        <f>IFERROR(__xludf.DUMMYFUNCTION("ARRAYFORMULA(REGEXEXTRACT(SPLIT(E107, ""&lt;br&gt;""), ""([가-힣A-Za-z]+)""))"),"ACDC")</f>
        <v>ACDC</v>
      </c>
      <c r="O107" s="24" t="str">
        <f>IFERROR(__xludf.DUMMYFUNCTION("""COMPUTED_VALUE"""),"테리")</f>
        <v>테리</v>
      </c>
      <c r="P107" s="24" t="str">
        <f>IFERROR(__xludf.DUMMYFUNCTION("""COMPUTED_VALUE"""),"기재")</f>
        <v>기재</v>
      </c>
      <c r="Q107" s="24" t="str">
        <f>IFERROR(__xludf.DUMMYFUNCTION("""COMPUTED_VALUE"""),"규식")</f>
        <v>규식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9" t="s">
        <v>553</v>
      </c>
      <c r="B108" s="20" t="s">
        <v>554</v>
      </c>
      <c r="C108" s="19" t="s">
        <v>555</v>
      </c>
      <c r="D108" s="19">
        <v>5.0</v>
      </c>
      <c r="E108" s="19" t="s">
        <v>556</v>
      </c>
      <c r="F108" s="19">
        <v>2.0</v>
      </c>
      <c r="G108" s="21">
        <v>45963.7375</v>
      </c>
      <c r="H108" s="19" t="s">
        <v>379</v>
      </c>
      <c r="I108" s="22" t="s">
        <v>26</v>
      </c>
      <c r="J108" s="23" t="str">
        <f>IFERROR(__xludf.DUMMYFUNCTION("ARRAYFORMULA(REGEXEXTRACT(SPLIT(C108, ""&lt;br&gt;""), ""([가-힣A-Za-z]+)""))"),"ACDC")</f>
        <v>ACDC</v>
      </c>
      <c r="K108" s="24" t="str">
        <f>IFERROR(__xludf.DUMMYFUNCTION("""COMPUTED_VALUE"""),"깡패")</f>
        <v>깡패</v>
      </c>
      <c r="L108" s="24" t="str">
        <f>IFERROR(__xludf.DUMMYFUNCTION("""COMPUTED_VALUE"""),"규식")</f>
        <v>규식</v>
      </c>
      <c r="M108" s="24" t="str">
        <f>IFERROR(__xludf.DUMMYFUNCTION("""COMPUTED_VALUE"""),"짱구")</f>
        <v>짱구</v>
      </c>
      <c r="N108" s="24" t="str">
        <f>IFERROR(__xludf.DUMMYFUNCTION("ARRAYFORMULA(REGEXEXTRACT(SPLIT(E108, ""&lt;br&gt;""), ""([가-힣A-Za-z]+)""))"),"기재")</f>
        <v>기재</v>
      </c>
      <c r="O108" s="24" t="str">
        <f>IFERROR(__xludf.DUMMYFUNCTION("""COMPUTED_VALUE"""),"퍼플")</f>
        <v>퍼플</v>
      </c>
      <c r="P108" s="24" t="str">
        <f>IFERROR(__xludf.DUMMYFUNCTION("""COMPUTED_VALUE"""),"노인")</f>
        <v>노인</v>
      </c>
      <c r="Q108" s="24" t="str">
        <f>IFERROR(__xludf.DUMMYFUNCTION("""COMPUTED_VALUE"""),"ovo")</f>
        <v>ovo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9" t="s">
        <v>557</v>
      </c>
      <c r="B109" s="20" t="s">
        <v>558</v>
      </c>
      <c r="C109" s="19" t="s">
        <v>559</v>
      </c>
      <c r="D109" s="19">
        <v>5.0</v>
      </c>
      <c r="E109" s="19" t="s">
        <v>560</v>
      </c>
      <c r="F109" s="19">
        <v>4.0</v>
      </c>
      <c r="G109" s="21">
        <v>45963.70972222222</v>
      </c>
      <c r="H109" s="19" t="s">
        <v>379</v>
      </c>
      <c r="I109" s="22" t="s">
        <v>26</v>
      </c>
      <c r="J109" s="23" t="str">
        <f>IFERROR(__xludf.DUMMYFUNCTION("ARRAYFORMULA(REGEXEXTRACT(SPLIT(C109, ""&lt;br&gt;""), ""([가-힣A-Za-z]+)""))"),"테리")</f>
        <v>테리</v>
      </c>
      <c r="K109" s="24" t="str">
        <f>IFERROR(__xludf.DUMMYFUNCTION("""COMPUTED_VALUE"""),"노인")</f>
        <v>노인</v>
      </c>
      <c r="L109" s="24" t="str">
        <f>IFERROR(__xludf.DUMMYFUNCTION("""COMPUTED_VALUE"""),"ovo")</f>
        <v>ovo</v>
      </c>
      <c r="M109" s="24" t="str">
        <f>IFERROR(__xludf.DUMMYFUNCTION("""COMPUTED_VALUE"""),"규식")</f>
        <v>규식</v>
      </c>
      <c r="N109" s="24" t="str">
        <f>IFERROR(__xludf.DUMMYFUNCTION("ARRAYFORMULA(REGEXEXTRACT(SPLIT(E109, ""&lt;br&gt;""), ""([가-힣A-Za-z]+)""))"),"퍼플")</f>
        <v>퍼플</v>
      </c>
      <c r="O109" s="24" t="str">
        <f>IFERROR(__xludf.DUMMYFUNCTION("""COMPUTED_VALUE"""),"ACDC")</f>
        <v>ACDC</v>
      </c>
      <c r="P109" s="24" t="str">
        <f>IFERROR(__xludf.DUMMYFUNCTION("""COMPUTED_VALUE"""),"기재")</f>
        <v>기재</v>
      </c>
      <c r="Q109" s="24" t="str">
        <f>IFERROR(__xludf.DUMMYFUNCTION("""COMPUTED_VALUE"""),"깡패")</f>
        <v>깡패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9" t="s">
        <v>561</v>
      </c>
      <c r="B110" s="20" t="s">
        <v>562</v>
      </c>
      <c r="C110" s="19" t="s">
        <v>563</v>
      </c>
      <c r="D110" s="19">
        <v>5.0</v>
      </c>
      <c r="E110" s="19" t="s">
        <v>564</v>
      </c>
      <c r="F110" s="19">
        <v>4.0</v>
      </c>
      <c r="G110" s="21">
        <v>45963.67361111111</v>
      </c>
      <c r="H110" s="19" t="s">
        <v>379</v>
      </c>
      <c r="I110" s="22" t="s">
        <v>26</v>
      </c>
      <c r="J110" s="23" t="str">
        <f>IFERROR(__xludf.DUMMYFUNCTION("ARRAYFORMULA(REGEXEXTRACT(SPLIT(C110, ""&lt;br&gt;""), ""([가-힣A-Za-z]+)""))"),"노인")</f>
        <v>노인</v>
      </c>
      <c r="K110" s="24" t="str">
        <f>IFERROR(__xludf.DUMMYFUNCTION("""COMPUTED_VALUE"""),"테리")</f>
        <v>테리</v>
      </c>
      <c r="L110" s="24" t="str">
        <f>IFERROR(__xludf.DUMMYFUNCTION("""COMPUTED_VALUE"""),"ovo")</f>
        <v>ovo</v>
      </c>
      <c r="M110" s="24" t="str">
        <f>IFERROR(__xludf.DUMMYFUNCTION("""COMPUTED_VALUE"""),"퍼플")</f>
        <v>퍼플</v>
      </c>
      <c r="N110" s="24" t="str">
        <f>IFERROR(__xludf.DUMMYFUNCTION("ARRAYFORMULA(REGEXEXTRACT(SPLIT(E110, ""&lt;br&gt;""), ""([가-힣A-Za-z]+)""))"),"깡패")</f>
        <v>깡패</v>
      </c>
      <c r="O110" s="24" t="str">
        <f>IFERROR(__xludf.DUMMYFUNCTION("""COMPUTED_VALUE"""),"짱구")</f>
        <v>짱구</v>
      </c>
      <c r="P110" s="24" t="str">
        <f>IFERROR(__xludf.DUMMYFUNCTION("""COMPUTED_VALUE"""),"용이")</f>
        <v>용이</v>
      </c>
      <c r="Q110" s="24" t="str">
        <f>IFERROR(__xludf.DUMMYFUNCTION("""COMPUTED_VALUE"""),"기재")</f>
        <v>기재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9" t="s">
        <v>565</v>
      </c>
      <c r="B111" s="20" t="s">
        <v>566</v>
      </c>
      <c r="C111" s="19" t="s">
        <v>567</v>
      </c>
      <c r="D111" s="19">
        <v>5.0</v>
      </c>
      <c r="E111" s="19" t="s">
        <v>568</v>
      </c>
      <c r="F111" s="19">
        <v>2.0</v>
      </c>
      <c r="G111" s="21">
        <v>45963.6375</v>
      </c>
      <c r="H111" s="19" t="s">
        <v>379</v>
      </c>
      <c r="I111" s="22" t="s">
        <v>26</v>
      </c>
      <c r="J111" s="23" t="str">
        <f>IFERROR(__xludf.DUMMYFUNCTION("ARRAYFORMULA(REGEXEXTRACT(SPLIT(C111, ""&lt;br&gt;""), ""([가-힣A-Za-z]+)""))"),"테리")</f>
        <v>테리</v>
      </c>
      <c r="K111" s="24" t="str">
        <f>IFERROR(__xludf.DUMMYFUNCTION("""COMPUTED_VALUE"""),"노인")</f>
        <v>노인</v>
      </c>
      <c r="L111" s="24" t="str">
        <f>IFERROR(__xludf.DUMMYFUNCTION("""COMPUTED_VALUE"""),"짱구")</f>
        <v>짱구</v>
      </c>
      <c r="M111" s="24" t="str">
        <f>IFERROR(__xludf.DUMMYFUNCTION("""COMPUTED_VALUE"""),"깡패")</f>
        <v>깡패</v>
      </c>
      <c r="N111" s="24" t="str">
        <f>IFERROR(__xludf.DUMMYFUNCTION("ARRAYFORMULA(REGEXEXTRACT(SPLIT(E111, ""&lt;br&gt;""), ""([가-힣A-Za-z]+)""))"),"용이")</f>
        <v>용이</v>
      </c>
      <c r="O111" s="24" t="str">
        <f>IFERROR(__xludf.DUMMYFUNCTION("""COMPUTED_VALUE"""),"퍼플")</f>
        <v>퍼플</v>
      </c>
      <c r="P111" s="24" t="str">
        <f>IFERROR(__xludf.DUMMYFUNCTION("""COMPUTED_VALUE"""),"기재")</f>
        <v>기재</v>
      </c>
      <c r="Q111" s="24" t="str">
        <f>IFERROR(__xludf.DUMMYFUNCTION("""COMPUTED_VALUE"""),"ovo")</f>
        <v>ovo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9" t="s">
        <v>569</v>
      </c>
      <c r="B112" s="20" t="s">
        <v>570</v>
      </c>
      <c r="C112" s="19" t="s">
        <v>571</v>
      </c>
      <c r="D112" s="19">
        <v>5.0</v>
      </c>
      <c r="E112" s="19" t="s">
        <v>572</v>
      </c>
      <c r="F112" s="19">
        <v>1.0</v>
      </c>
      <c r="G112" s="21">
        <v>45962.055555555555</v>
      </c>
      <c r="H112" s="19" t="s">
        <v>379</v>
      </c>
      <c r="I112" s="22" t="s">
        <v>573</v>
      </c>
      <c r="J112" s="23" t="str">
        <f>IFERROR(__xludf.DUMMYFUNCTION("ARRAYFORMULA(REGEXEXTRACT(SPLIT(C112, ""&lt;br&gt;""), ""([가-힣A-Za-z]+)""))"),"한메")</f>
        <v>한메</v>
      </c>
      <c r="K112" s="24" t="str">
        <f>IFERROR(__xludf.DUMMYFUNCTION("""COMPUTED_VALUE"""),"넘버")</f>
        <v>넘버</v>
      </c>
      <c r="L112" s="24" t="str">
        <f>IFERROR(__xludf.DUMMYFUNCTION("""COMPUTED_VALUE"""),"짱구")</f>
        <v>짱구</v>
      </c>
      <c r="M112" s="24" t="str">
        <f>IFERROR(__xludf.DUMMYFUNCTION("""COMPUTED_VALUE"""),"규식")</f>
        <v>규식</v>
      </c>
      <c r="N112" s="24" t="str">
        <f>IFERROR(__xludf.DUMMYFUNCTION("ARRAYFORMULA(REGEXEXTRACT(SPLIT(E112, ""&lt;br&gt;""), ""([가-힣A-Za-z]+)""))"),"테리")</f>
        <v>테리</v>
      </c>
      <c r="O112" s="24" t="str">
        <f>IFERROR(__xludf.DUMMYFUNCTION("""COMPUTED_VALUE"""),"참치")</f>
        <v>참치</v>
      </c>
      <c r="P112" s="24" t="str">
        <f>IFERROR(__xludf.DUMMYFUNCTION("""COMPUTED_VALUE"""),"ACDC")</f>
        <v>ACDC</v>
      </c>
      <c r="Q112" s="24" t="str">
        <f>IFERROR(__xludf.DUMMYFUNCTION("""COMPUTED_VALUE"""),"깡패")</f>
        <v>깡패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9" t="s">
        <v>574</v>
      </c>
      <c r="B113" s="20" t="s">
        <v>575</v>
      </c>
      <c r="C113" s="19" t="s">
        <v>576</v>
      </c>
      <c r="D113" s="19">
        <v>5.0</v>
      </c>
      <c r="E113" s="19" t="s">
        <v>577</v>
      </c>
      <c r="F113" s="19">
        <v>4.0</v>
      </c>
      <c r="G113" s="21">
        <v>45962.020833333336</v>
      </c>
      <c r="H113" s="19" t="s">
        <v>379</v>
      </c>
      <c r="I113" s="22" t="s">
        <v>573</v>
      </c>
      <c r="J113" s="23" t="str">
        <f>IFERROR(__xludf.DUMMYFUNCTION("ARRAYFORMULA(REGEXEXTRACT(SPLIT(C113, ""&lt;br&gt;""), ""([가-힣A-Za-z]+)""))"),"넘버")</f>
        <v>넘버</v>
      </c>
      <c r="K113" s="24" t="str">
        <f>IFERROR(__xludf.DUMMYFUNCTION("""COMPUTED_VALUE"""),"깡패")</f>
        <v>깡패</v>
      </c>
      <c r="L113" s="24" t="str">
        <f>IFERROR(__xludf.DUMMYFUNCTION("""COMPUTED_VALUE"""),"한메")</f>
        <v>한메</v>
      </c>
      <c r="M113" s="24" t="str">
        <f>IFERROR(__xludf.DUMMYFUNCTION("""COMPUTED_VALUE"""),"참치")</f>
        <v>참치</v>
      </c>
      <c r="N113" s="24" t="str">
        <f>IFERROR(__xludf.DUMMYFUNCTION("ARRAYFORMULA(REGEXEXTRACT(SPLIT(E113, ""&lt;br&gt;""), ""([가-힣A-Za-z]+)""))"),"ACDC")</f>
        <v>ACDC</v>
      </c>
      <c r="O113" s="24" t="str">
        <f>IFERROR(__xludf.DUMMYFUNCTION("""COMPUTED_VALUE"""),"규식")</f>
        <v>규식</v>
      </c>
      <c r="P113" s="24" t="str">
        <f>IFERROR(__xludf.DUMMYFUNCTION("""COMPUTED_VALUE"""),"테리")</f>
        <v>테리</v>
      </c>
      <c r="Q113" s="24" t="str">
        <f>IFERROR(__xludf.DUMMYFUNCTION("""COMPUTED_VALUE"""),"짱구")</f>
        <v>짱구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9" t="s">
        <v>578</v>
      </c>
      <c r="B114" s="20" t="s">
        <v>579</v>
      </c>
      <c r="C114" s="19" t="s">
        <v>580</v>
      </c>
      <c r="D114" s="19">
        <v>5.0</v>
      </c>
      <c r="E114" s="19" t="s">
        <v>581</v>
      </c>
      <c r="F114" s="19">
        <v>1.0</v>
      </c>
      <c r="G114" s="21">
        <v>45959.92083333333</v>
      </c>
      <c r="H114" s="19" t="s">
        <v>379</v>
      </c>
      <c r="I114" s="22" t="s">
        <v>582</v>
      </c>
      <c r="J114" s="23" t="str">
        <f>IFERROR(__xludf.DUMMYFUNCTION("ARRAYFORMULA(REGEXEXTRACT(SPLIT(C114, ""&lt;br&gt;""), ""([가-힣A-Za-z]+)""))"),"깡패")</f>
        <v>깡패</v>
      </c>
      <c r="K114" s="24" t="str">
        <f>IFERROR(__xludf.DUMMYFUNCTION("""COMPUTED_VALUE"""),"규식")</f>
        <v>규식</v>
      </c>
      <c r="L114" s="24" t="str">
        <f>IFERROR(__xludf.DUMMYFUNCTION("""COMPUTED_VALUE"""),"테리")</f>
        <v>테리</v>
      </c>
      <c r="M114" s="24" t="str">
        <f>IFERROR(__xludf.DUMMYFUNCTION("""COMPUTED_VALUE"""),"원")</f>
        <v>원</v>
      </c>
      <c r="N114" s="24" t="str">
        <f>IFERROR(__xludf.DUMMYFUNCTION("ARRAYFORMULA(REGEXEXTRACT(SPLIT(E114, ""&lt;br&gt;""), ""([가-힣A-Za-z]+)""))"),"ACDC")</f>
        <v>ACDC</v>
      </c>
      <c r="O114" s="24" t="str">
        <f>IFERROR(__xludf.DUMMYFUNCTION("""COMPUTED_VALUE"""),"짱구")</f>
        <v>짱구</v>
      </c>
      <c r="P114" s="24" t="str">
        <f>IFERROR(__xludf.DUMMYFUNCTION("""COMPUTED_VALUE"""),"노인")</f>
        <v>노인</v>
      </c>
      <c r="Q114" s="24" t="str">
        <f>IFERROR(__xludf.DUMMYFUNCTION("""COMPUTED_VALUE"""),"GYUL")</f>
        <v>GYUL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9" t="s">
        <v>583</v>
      </c>
      <c r="B115" s="20" t="s">
        <v>584</v>
      </c>
      <c r="C115" s="19" t="s">
        <v>585</v>
      </c>
      <c r="D115" s="19">
        <v>5.0</v>
      </c>
      <c r="E115" s="19" t="s">
        <v>586</v>
      </c>
      <c r="F115" s="19">
        <v>0.0</v>
      </c>
      <c r="G115" s="21">
        <v>45959.899305555555</v>
      </c>
      <c r="H115" s="19" t="s">
        <v>379</v>
      </c>
      <c r="I115" s="22" t="s">
        <v>587</v>
      </c>
      <c r="J115" s="23" t="str">
        <f>IFERROR(__xludf.DUMMYFUNCTION("ARRAYFORMULA(REGEXEXTRACT(SPLIT(C115, ""&lt;br&gt;""), ""([가-힣A-Za-z]+)""))"),"GYUL")</f>
        <v>GYUL</v>
      </c>
      <c r="K115" s="24" t="str">
        <f>IFERROR(__xludf.DUMMYFUNCTION("""COMPUTED_VALUE"""),"노인")</f>
        <v>노인</v>
      </c>
      <c r="L115" s="24" t="str">
        <f>IFERROR(__xludf.DUMMYFUNCTION("""COMPUTED_VALUE"""),"깡패")</f>
        <v>깡패</v>
      </c>
      <c r="M115" s="24" t="str">
        <f>IFERROR(__xludf.DUMMYFUNCTION("""COMPUTED_VALUE"""),"규식")</f>
        <v>규식</v>
      </c>
      <c r="N115" s="24" t="str">
        <f>IFERROR(__xludf.DUMMYFUNCTION("ARRAYFORMULA(REGEXEXTRACT(SPLIT(E115, ""&lt;br&gt;""), ""([가-힣A-Za-z]+)""))"),"테리")</f>
        <v>테리</v>
      </c>
      <c r="O115" s="24" t="str">
        <f>IFERROR(__xludf.DUMMYFUNCTION("""COMPUTED_VALUE"""),"오딘")</f>
        <v>오딘</v>
      </c>
      <c r="P115" s="24" t="str">
        <f>IFERROR(__xludf.DUMMYFUNCTION("""COMPUTED_VALUE"""),"ACDC")</f>
        <v>ACDC</v>
      </c>
      <c r="Q115" s="24" t="str">
        <f>IFERROR(__xludf.DUMMYFUNCTION("""COMPUTED_VALUE"""),"짱구")</f>
        <v>짱구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9" t="s">
        <v>588</v>
      </c>
      <c r="B116" s="20" t="s">
        <v>589</v>
      </c>
      <c r="C116" s="19" t="s">
        <v>590</v>
      </c>
      <c r="D116" s="19">
        <v>5.0</v>
      </c>
      <c r="E116" s="19" t="s">
        <v>591</v>
      </c>
      <c r="F116" s="19">
        <v>1.0</v>
      </c>
      <c r="G116" s="21">
        <v>45959.876388888886</v>
      </c>
      <c r="H116" s="19" t="s">
        <v>379</v>
      </c>
      <c r="I116" s="22" t="s">
        <v>587</v>
      </c>
      <c r="J116" s="23" t="str">
        <f>IFERROR(__xludf.DUMMYFUNCTION("ARRAYFORMULA(REGEXEXTRACT(SPLIT(C116, ""&lt;br&gt;""), ""([가-힣A-Za-z]+)""))"),"노인")</f>
        <v>노인</v>
      </c>
      <c r="K116" s="24" t="str">
        <f>IFERROR(__xludf.DUMMYFUNCTION("""COMPUTED_VALUE"""),"ACDC")</f>
        <v>ACDC</v>
      </c>
      <c r="L116" s="24" t="str">
        <f>IFERROR(__xludf.DUMMYFUNCTION("""COMPUTED_VALUE"""),"테리")</f>
        <v>테리</v>
      </c>
      <c r="M116" s="24" t="str">
        <f>IFERROR(__xludf.DUMMYFUNCTION("""COMPUTED_VALUE"""),"깡패")</f>
        <v>깡패</v>
      </c>
      <c r="N116" s="24" t="str">
        <f>IFERROR(__xludf.DUMMYFUNCTION("ARRAYFORMULA(REGEXEXTRACT(SPLIT(E116, ""&lt;br&gt;""), ""([가-힣A-Za-z]+)""))"),"오딘")</f>
        <v>오딘</v>
      </c>
      <c r="O116" s="24" t="str">
        <f>IFERROR(__xludf.DUMMYFUNCTION("""COMPUTED_VALUE"""),"짱구")</f>
        <v>짱구</v>
      </c>
      <c r="P116" s="24" t="str">
        <f>IFERROR(__xludf.DUMMYFUNCTION("""COMPUTED_VALUE"""),"규식")</f>
        <v>규식</v>
      </c>
      <c r="Q116" s="24" t="str">
        <f>IFERROR(__xludf.DUMMYFUNCTION("""COMPUTED_VALUE"""),"GYUL")</f>
        <v>GYUL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9" t="s">
        <v>592</v>
      </c>
      <c r="B117" s="20" t="s">
        <v>593</v>
      </c>
      <c r="C117" s="19" t="s">
        <v>594</v>
      </c>
      <c r="D117" s="19">
        <v>5.0</v>
      </c>
      <c r="E117" s="19" t="s">
        <v>595</v>
      </c>
      <c r="F117" s="19">
        <v>2.0</v>
      </c>
      <c r="G117" s="21">
        <v>45957.02638888889</v>
      </c>
      <c r="H117" s="19" t="s">
        <v>379</v>
      </c>
      <c r="I117" s="22" t="s">
        <v>596</v>
      </c>
      <c r="J117" s="23" t="str">
        <f>IFERROR(__xludf.DUMMYFUNCTION("ARRAYFORMULA(REGEXEXTRACT(SPLIT(C117, ""&lt;br&gt;""), ""([가-힣A-Za-z]+)""))"),"깡패")</f>
        <v>깡패</v>
      </c>
      <c r="K117" s="24" t="str">
        <f>IFERROR(__xludf.DUMMYFUNCTION("""COMPUTED_VALUE"""),"학생")</f>
        <v>학생</v>
      </c>
      <c r="L117" s="24" t="str">
        <f>IFERROR(__xludf.DUMMYFUNCTION("""COMPUTED_VALUE"""),"노인")</f>
        <v>노인</v>
      </c>
      <c r="M117" s="24" t="str">
        <f>IFERROR(__xludf.DUMMYFUNCTION("""COMPUTED_VALUE"""),"짱구")</f>
        <v>짱구</v>
      </c>
      <c r="N117" s="24" t="str">
        <f>IFERROR(__xludf.DUMMYFUNCTION("ARRAYFORMULA(REGEXEXTRACT(SPLIT(E117, ""&lt;br&gt;""), ""([가-힣A-Za-z]+)""))"),"신형만")</f>
        <v>신형만</v>
      </c>
      <c r="O117" s="24" t="str">
        <f>IFERROR(__xludf.DUMMYFUNCTION("""COMPUTED_VALUE"""),"노픽업")</f>
        <v>노픽업</v>
      </c>
      <c r="P117" s="24" t="str">
        <f>IFERROR(__xludf.DUMMYFUNCTION("""COMPUTED_VALUE"""),"솔")</f>
        <v>솔</v>
      </c>
      <c r="Q117" s="24" t="str">
        <f>IFERROR(__xludf.DUMMYFUNCTION("""COMPUTED_VALUE"""),"한메")</f>
        <v>한메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9" t="s">
        <v>597</v>
      </c>
      <c r="B118" s="20" t="s">
        <v>598</v>
      </c>
      <c r="C118" s="19" t="s">
        <v>599</v>
      </c>
      <c r="D118" s="19">
        <v>5.0</v>
      </c>
      <c r="E118" s="19" t="s">
        <v>600</v>
      </c>
      <c r="F118" s="19">
        <v>4.0</v>
      </c>
      <c r="G118" s="21">
        <v>45956.98541666667</v>
      </c>
      <c r="H118" s="19" t="s">
        <v>379</v>
      </c>
      <c r="I118" s="22" t="s">
        <v>601</v>
      </c>
      <c r="J118" s="23" t="str">
        <f>IFERROR(__xludf.DUMMYFUNCTION("ARRAYFORMULA(REGEXEXTRACT(SPLIT(C118, ""&lt;br&gt;""), ""([가-힣A-Za-z]+)""))"),"GYUL")</f>
        <v>GYUL</v>
      </c>
      <c r="K118" s="24" t="str">
        <f>IFERROR(__xludf.DUMMYFUNCTION("""COMPUTED_VALUE"""),"깡패")</f>
        <v>깡패</v>
      </c>
      <c r="L118" s="24" t="str">
        <f>IFERROR(__xludf.DUMMYFUNCTION("""COMPUTED_VALUE"""),"원")</f>
        <v>원</v>
      </c>
      <c r="M118" s="24" t="str">
        <f>IFERROR(__xludf.DUMMYFUNCTION("""COMPUTED_VALUE"""),"짱구")</f>
        <v>짱구</v>
      </c>
      <c r="N118" s="24" t="str">
        <f>IFERROR(__xludf.DUMMYFUNCTION("ARRAYFORMULA(REGEXEXTRACT(SPLIT(E118, ""&lt;br&gt;""), ""([가-힣A-Za-z]+)""))"),"노인")</f>
        <v>노인</v>
      </c>
      <c r="O118" s="24" t="str">
        <f>IFERROR(__xludf.DUMMYFUNCTION("""COMPUTED_VALUE"""),"학생")</f>
        <v>학생</v>
      </c>
      <c r="P118" s="24" t="str">
        <f>IFERROR(__xludf.DUMMYFUNCTION("""COMPUTED_VALUE"""),"노픽업")</f>
        <v>노픽업</v>
      </c>
      <c r="Q118" s="24" t="str">
        <f>IFERROR(__xludf.DUMMYFUNCTION("""COMPUTED_VALUE"""),"한메")</f>
        <v>한메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9" t="s">
        <v>602</v>
      </c>
      <c r="B119" s="20" t="s">
        <v>603</v>
      </c>
      <c r="C119" s="19" t="s">
        <v>604</v>
      </c>
      <c r="D119" s="19">
        <v>5.0</v>
      </c>
      <c r="E119" s="19" t="s">
        <v>605</v>
      </c>
      <c r="F119" s="19">
        <v>2.0</v>
      </c>
      <c r="G119" s="21">
        <v>45956.95694444444</v>
      </c>
      <c r="H119" s="19" t="s">
        <v>379</v>
      </c>
      <c r="I119" s="22" t="s">
        <v>601</v>
      </c>
      <c r="J119" s="23" t="str">
        <f>IFERROR(__xludf.DUMMYFUNCTION("ARRAYFORMULA(REGEXEXTRACT(SPLIT(C119, ""&lt;br&gt;""), ""([가-힣A-Za-z]+)""))"),"노인")</f>
        <v>노인</v>
      </c>
      <c r="K119" s="24" t="str">
        <f>IFERROR(__xludf.DUMMYFUNCTION("""COMPUTED_VALUE"""),"깡패")</f>
        <v>깡패</v>
      </c>
      <c r="L119" s="24" t="str">
        <f>IFERROR(__xludf.DUMMYFUNCTION("""COMPUTED_VALUE"""),"GYUL")</f>
        <v>GYUL</v>
      </c>
      <c r="M119" s="24" t="str">
        <f>IFERROR(__xludf.DUMMYFUNCTION("""COMPUTED_VALUE"""),"노픽업")</f>
        <v>노픽업</v>
      </c>
      <c r="N119" s="24" t="str">
        <f>IFERROR(__xludf.DUMMYFUNCTION("ARRAYFORMULA(REGEXEXTRACT(SPLIT(E119, ""&lt;br&gt;""), ""([가-힣A-Za-z]+)""))"),"한메")</f>
        <v>한메</v>
      </c>
      <c r="O119" s="24" t="str">
        <f>IFERROR(__xludf.DUMMYFUNCTION("""COMPUTED_VALUE"""),"원")</f>
        <v>원</v>
      </c>
      <c r="P119" s="24" t="str">
        <f>IFERROR(__xludf.DUMMYFUNCTION("""COMPUTED_VALUE"""),"학생")</f>
        <v>학생</v>
      </c>
      <c r="Q119" s="24" t="str">
        <f>IFERROR(__xludf.DUMMYFUNCTION("""COMPUTED_VALUE"""),"짱구")</f>
        <v>짱구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9" t="s">
        <v>606</v>
      </c>
      <c r="B120" s="20" t="s">
        <v>607</v>
      </c>
      <c r="C120" s="19" t="s">
        <v>608</v>
      </c>
      <c r="D120" s="19">
        <v>5.0</v>
      </c>
      <c r="E120" s="19" t="s">
        <v>609</v>
      </c>
      <c r="F120" s="19">
        <v>0.0</v>
      </c>
      <c r="G120" s="21">
        <v>45956.93472222222</v>
      </c>
      <c r="H120" s="19" t="s">
        <v>379</v>
      </c>
      <c r="I120" s="22" t="s">
        <v>601</v>
      </c>
      <c r="J120" s="23" t="str">
        <f>IFERROR(__xludf.DUMMYFUNCTION("ARRAYFORMULA(REGEXEXTRACT(SPLIT(C120, ""&lt;br&gt;""), ""([가-힣A-Za-z]+)""))"),"깡패")</f>
        <v>깡패</v>
      </c>
      <c r="K120" s="24" t="str">
        <f>IFERROR(__xludf.DUMMYFUNCTION("""COMPUTED_VALUE"""),"짱구")</f>
        <v>짱구</v>
      </c>
      <c r="L120" s="24" t="str">
        <f>IFERROR(__xludf.DUMMYFUNCTION("""COMPUTED_VALUE"""),"노인")</f>
        <v>노인</v>
      </c>
      <c r="M120" s="24" t="str">
        <f>IFERROR(__xludf.DUMMYFUNCTION("""COMPUTED_VALUE"""),"한메")</f>
        <v>한메</v>
      </c>
      <c r="N120" s="24" t="str">
        <f>IFERROR(__xludf.DUMMYFUNCTION("ARRAYFORMULA(REGEXEXTRACT(SPLIT(E120, ""&lt;br&gt;""), ""([가-힣A-Za-z]+)""))"),"원")</f>
        <v>원</v>
      </c>
      <c r="O120" s="24" t="str">
        <f>IFERROR(__xludf.DUMMYFUNCTION("""COMPUTED_VALUE"""),"학생")</f>
        <v>학생</v>
      </c>
      <c r="P120" s="24" t="str">
        <f>IFERROR(__xludf.DUMMYFUNCTION("""COMPUTED_VALUE"""),"노픽업")</f>
        <v>노픽업</v>
      </c>
      <c r="Q120" s="24" t="str">
        <f>IFERROR(__xludf.DUMMYFUNCTION("""COMPUTED_VALUE"""),"GYUL")</f>
        <v>GYUL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9" t="s">
        <v>610</v>
      </c>
      <c r="B121" s="20" t="s">
        <v>611</v>
      </c>
      <c r="C121" s="19" t="s">
        <v>612</v>
      </c>
      <c r="D121" s="19">
        <v>5.0</v>
      </c>
      <c r="E121" s="19" t="s">
        <v>613</v>
      </c>
      <c r="F121" s="19">
        <v>0.0</v>
      </c>
      <c r="G121" s="21">
        <v>45956.92083333333</v>
      </c>
      <c r="H121" s="19" t="s">
        <v>379</v>
      </c>
      <c r="I121" s="22" t="s">
        <v>614</v>
      </c>
      <c r="J121" s="23" t="str">
        <f>IFERROR(__xludf.DUMMYFUNCTION("ARRAYFORMULA(REGEXEXTRACT(SPLIT(C121, ""&lt;br&gt;""), ""([가-힣A-Za-z]+)""))"),"깡패")</f>
        <v>깡패</v>
      </c>
      <c r="K121" s="24" t="str">
        <f>IFERROR(__xludf.DUMMYFUNCTION("""COMPUTED_VALUE"""),"규식")</f>
        <v>규식</v>
      </c>
      <c r="L121" s="24" t="str">
        <f>IFERROR(__xludf.DUMMYFUNCTION("""COMPUTED_VALUE"""),"한메")</f>
        <v>한메</v>
      </c>
      <c r="M121" s="24" t="str">
        <f>IFERROR(__xludf.DUMMYFUNCTION("""COMPUTED_VALUE"""),"원")</f>
        <v>원</v>
      </c>
      <c r="N121" s="24" t="str">
        <f>IFERROR(__xludf.DUMMYFUNCTION("ARRAYFORMULA(REGEXEXTRACT(SPLIT(E121, ""&lt;br&gt;""), ""([가-힣A-Za-z]+)""))"),"노인")</f>
        <v>노인</v>
      </c>
      <c r="O121" s="24" t="str">
        <f>IFERROR(__xludf.DUMMYFUNCTION("""COMPUTED_VALUE"""),"오딘")</f>
        <v>오딘</v>
      </c>
      <c r="P121" s="24" t="str">
        <f>IFERROR(__xludf.DUMMYFUNCTION("""COMPUTED_VALUE"""),"학생")</f>
        <v>학생</v>
      </c>
      <c r="Q121" s="24" t="str">
        <f>IFERROR(__xludf.DUMMYFUNCTION("""COMPUTED_VALUE"""),"짱구")</f>
        <v>짱구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9" t="s">
        <v>615</v>
      </c>
      <c r="B122" s="20" t="s">
        <v>616</v>
      </c>
      <c r="C122" s="19" t="s">
        <v>617</v>
      </c>
      <c r="D122" s="19">
        <v>5.0</v>
      </c>
      <c r="E122" s="19" t="s">
        <v>618</v>
      </c>
      <c r="F122" s="19">
        <v>1.0</v>
      </c>
      <c r="G122" s="21">
        <v>45956.90625</v>
      </c>
      <c r="H122" s="19" t="s">
        <v>379</v>
      </c>
      <c r="I122" s="22" t="s">
        <v>614</v>
      </c>
      <c r="J122" s="23" t="str">
        <f>IFERROR(__xludf.DUMMYFUNCTION("ARRAYFORMULA(REGEXEXTRACT(SPLIT(C122, ""&lt;br&gt;""), ""([가-힣A-Za-z]+)""))"),"한메")</f>
        <v>한메</v>
      </c>
      <c r="K122" s="24" t="str">
        <f>IFERROR(__xludf.DUMMYFUNCTION("""COMPUTED_VALUE"""),"짱구")</f>
        <v>짱구</v>
      </c>
      <c r="L122" s="24" t="str">
        <f>IFERROR(__xludf.DUMMYFUNCTION("""COMPUTED_VALUE"""),"원")</f>
        <v>원</v>
      </c>
      <c r="M122" s="24" t="str">
        <f>IFERROR(__xludf.DUMMYFUNCTION("""COMPUTED_VALUE"""),"규식")</f>
        <v>규식</v>
      </c>
      <c r="N122" s="24" t="str">
        <f>IFERROR(__xludf.DUMMYFUNCTION("ARRAYFORMULA(REGEXEXTRACT(SPLIT(E122, ""&lt;br&gt;""), ""([가-힣A-Za-z]+)""))"),"오딘")</f>
        <v>오딘</v>
      </c>
      <c r="O122" s="24" t="str">
        <f>IFERROR(__xludf.DUMMYFUNCTION("""COMPUTED_VALUE"""),"깡패")</f>
        <v>깡패</v>
      </c>
      <c r="P122" s="24" t="str">
        <f>IFERROR(__xludf.DUMMYFUNCTION("""COMPUTED_VALUE"""),"노인")</f>
        <v>노인</v>
      </c>
      <c r="Q122" s="24" t="str">
        <f>IFERROR(__xludf.DUMMYFUNCTION("""COMPUTED_VALUE"""),"학생")</f>
        <v>학생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9" t="s">
        <v>619</v>
      </c>
      <c r="B123" s="20" t="s">
        <v>620</v>
      </c>
      <c r="C123" s="19" t="s">
        <v>621</v>
      </c>
      <c r="D123" s="19">
        <v>5.0</v>
      </c>
      <c r="E123" s="19" t="s">
        <v>622</v>
      </c>
      <c r="F123" s="19">
        <v>2.0</v>
      </c>
      <c r="G123" s="21">
        <v>45956.88402777778</v>
      </c>
      <c r="H123" s="19" t="s">
        <v>379</v>
      </c>
      <c r="I123" s="22" t="s">
        <v>614</v>
      </c>
      <c r="J123" s="23" t="str">
        <f>IFERROR(__xludf.DUMMYFUNCTION("ARRAYFORMULA(REGEXEXTRACT(SPLIT(C123, ""&lt;br&gt;""), ""([가-힣A-Za-z]+)""))"),"노인")</f>
        <v>노인</v>
      </c>
      <c r="K123" s="24" t="str">
        <f>IFERROR(__xludf.DUMMYFUNCTION("""COMPUTED_VALUE"""),"오딘")</f>
        <v>오딘</v>
      </c>
      <c r="L123" s="24" t="str">
        <f>IFERROR(__xludf.DUMMYFUNCTION("""COMPUTED_VALUE"""),"규식")</f>
        <v>규식</v>
      </c>
      <c r="M123" s="24" t="str">
        <f>IFERROR(__xludf.DUMMYFUNCTION("""COMPUTED_VALUE"""),"원")</f>
        <v>원</v>
      </c>
      <c r="N123" s="24" t="str">
        <f>IFERROR(__xludf.DUMMYFUNCTION("ARRAYFORMULA(REGEXEXTRACT(SPLIT(E123, ""&lt;br&gt;""), ""([가-힣A-Za-z]+)""))"),"깡패")</f>
        <v>깡패</v>
      </c>
      <c r="O123" s="24" t="str">
        <f>IFERROR(__xludf.DUMMYFUNCTION("""COMPUTED_VALUE"""),"학생")</f>
        <v>학생</v>
      </c>
      <c r="P123" s="24" t="str">
        <f>IFERROR(__xludf.DUMMYFUNCTION("""COMPUTED_VALUE"""),"한메")</f>
        <v>한메</v>
      </c>
      <c r="Q123" s="24" t="str">
        <f>IFERROR(__xludf.DUMMYFUNCTION("""COMPUTED_VALUE"""),"짱구")</f>
        <v>짱구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9" t="s">
        <v>623</v>
      </c>
      <c r="B124" s="20" t="s">
        <v>624</v>
      </c>
      <c r="C124" s="19" t="s">
        <v>625</v>
      </c>
      <c r="D124" s="19">
        <v>5.0</v>
      </c>
      <c r="E124" s="19" t="s">
        <v>626</v>
      </c>
      <c r="F124" s="19">
        <v>2.0</v>
      </c>
      <c r="G124" s="21">
        <v>45956.86319444444</v>
      </c>
      <c r="H124" s="19" t="s">
        <v>379</v>
      </c>
      <c r="I124" s="22" t="s">
        <v>614</v>
      </c>
      <c r="J124" s="23" t="str">
        <f>IFERROR(__xludf.DUMMYFUNCTION("ARRAYFORMULA(REGEXEXTRACT(SPLIT(C124, ""&lt;br&gt;""), ""([가-힣A-Za-z]+)""))"),"오딘")</f>
        <v>오딘</v>
      </c>
      <c r="K124" s="24" t="str">
        <f>IFERROR(__xludf.DUMMYFUNCTION("""COMPUTED_VALUE"""),"짱구")</f>
        <v>짱구</v>
      </c>
      <c r="L124" s="24" t="str">
        <f>IFERROR(__xludf.DUMMYFUNCTION("""COMPUTED_VALUE"""),"깡패")</f>
        <v>깡패</v>
      </c>
      <c r="M124" s="24" t="str">
        <f>IFERROR(__xludf.DUMMYFUNCTION("""COMPUTED_VALUE"""),"규식")</f>
        <v>규식</v>
      </c>
      <c r="N124" s="24" t="str">
        <f>IFERROR(__xludf.DUMMYFUNCTION("ARRAYFORMULA(REGEXEXTRACT(SPLIT(E124, ""&lt;br&gt;""), ""([가-힣A-Za-z]+)""))"),"원")</f>
        <v>원</v>
      </c>
      <c r="O124" s="24" t="str">
        <f>IFERROR(__xludf.DUMMYFUNCTION("""COMPUTED_VALUE"""),"노인")</f>
        <v>노인</v>
      </c>
      <c r="P124" s="24" t="str">
        <f>IFERROR(__xludf.DUMMYFUNCTION("""COMPUTED_VALUE"""),"학생")</f>
        <v>학생</v>
      </c>
      <c r="Q124" s="24" t="str">
        <f>IFERROR(__xludf.DUMMYFUNCTION("""COMPUTED_VALUE"""),"한메")</f>
        <v>한메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9" t="s">
        <v>627</v>
      </c>
      <c r="B125" s="20" t="s">
        <v>628</v>
      </c>
      <c r="C125" s="19" t="s">
        <v>629</v>
      </c>
      <c r="D125" s="19">
        <v>5.0</v>
      </c>
      <c r="E125" s="19" t="s">
        <v>630</v>
      </c>
      <c r="F125" s="19">
        <v>3.0</v>
      </c>
      <c r="G125" s="21">
        <v>45955.086805555555</v>
      </c>
      <c r="H125" s="19" t="s">
        <v>379</v>
      </c>
      <c r="I125" s="22" t="s">
        <v>492</v>
      </c>
      <c r="J125" s="23" t="str">
        <f>IFERROR(__xludf.DUMMYFUNCTION("ARRAYFORMULA(REGEXEXTRACT(SPLIT(C125, ""&lt;br&gt;""), ""([가-힣A-Za-z]+)""))"),"신형만")</f>
        <v>신형만</v>
      </c>
      <c r="K125" s="24" t="str">
        <f>IFERROR(__xludf.DUMMYFUNCTION("""COMPUTED_VALUE"""),"테리")</f>
        <v>테리</v>
      </c>
      <c r="L125" s="24" t="str">
        <f>IFERROR(__xludf.DUMMYFUNCTION("""COMPUTED_VALUE"""),"규식")</f>
        <v>규식</v>
      </c>
      <c r="M125" s="24" t="str">
        <f>IFERROR(__xludf.DUMMYFUNCTION("""COMPUTED_VALUE"""),"노픽업")</f>
        <v>노픽업</v>
      </c>
      <c r="N125" s="24" t="str">
        <f>IFERROR(__xludf.DUMMYFUNCTION("ARRAYFORMULA(REGEXEXTRACT(SPLIT(E125, ""&lt;br&gt;""), ""([가-힣A-Za-z]+)""))"),"넘버")</f>
        <v>넘버</v>
      </c>
      <c r="O125" s="24" t="str">
        <f>IFERROR(__xludf.DUMMYFUNCTION("""COMPUTED_VALUE"""),"깡패")</f>
        <v>깡패</v>
      </c>
      <c r="P125" s="24" t="str">
        <f>IFERROR(__xludf.DUMMYFUNCTION("""COMPUTED_VALUE"""),"노인")</f>
        <v>노인</v>
      </c>
      <c r="Q125" s="24" t="str">
        <f>IFERROR(__xludf.DUMMYFUNCTION("""COMPUTED_VALUE"""),"한메")</f>
        <v>한메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9" t="s">
        <v>631</v>
      </c>
      <c r="B126" s="20" t="s">
        <v>632</v>
      </c>
      <c r="C126" s="19" t="s">
        <v>633</v>
      </c>
      <c r="D126" s="19">
        <v>5.0</v>
      </c>
      <c r="E126" s="19" t="s">
        <v>634</v>
      </c>
      <c r="F126" s="19">
        <v>1.0</v>
      </c>
      <c r="G126" s="21">
        <v>45955.05694444444</v>
      </c>
      <c r="H126" s="19" t="s">
        <v>379</v>
      </c>
      <c r="I126" s="22" t="s">
        <v>492</v>
      </c>
      <c r="J126" s="23" t="str">
        <f>IFERROR(__xludf.DUMMYFUNCTION("ARRAYFORMULA(REGEXEXTRACT(SPLIT(C126, ""&lt;br&gt;""), ""([가-힣A-Za-z]+)""))"),"노인")</f>
        <v>노인</v>
      </c>
      <c r="K126" s="24" t="str">
        <f>IFERROR(__xludf.DUMMYFUNCTION("""COMPUTED_VALUE"""),"노픽업")</f>
        <v>노픽업</v>
      </c>
      <c r="L126" s="24" t="str">
        <f>IFERROR(__xludf.DUMMYFUNCTION("""COMPUTED_VALUE"""),"테리")</f>
        <v>테리</v>
      </c>
      <c r="M126" s="24" t="str">
        <f>IFERROR(__xludf.DUMMYFUNCTION("""COMPUTED_VALUE"""),"깡패")</f>
        <v>깡패</v>
      </c>
      <c r="N126" s="24" t="str">
        <f>IFERROR(__xludf.DUMMYFUNCTION("ARRAYFORMULA(REGEXEXTRACT(SPLIT(E126, ""&lt;br&gt;""), ""([가-힣A-Za-z]+)""))"),"한메")</f>
        <v>한메</v>
      </c>
      <c r="O126" s="24" t="str">
        <f>IFERROR(__xludf.DUMMYFUNCTION("""COMPUTED_VALUE"""),"넘버")</f>
        <v>넘버</v>
      </c>
      <c r="P126" s="24" t="str">
        <f>IFERROR(__xludf.DUMMYFUNCTION("""COMPUTED_VALUE"""),"신형만")</f>
        <v>신형만</v>
      </c>
      <c r="Q126" s="24" t="str">
        <f>IFERROR(__xludf.DUMMYFUNCTION("""COMPUTED_VALUE"""),"규식")</f>
        <v>규식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9" t="s">
        <v>635</v>
      </c>
      <c r="B127" s="20" t="s">
        <v>636</v>
      </c>
      <c r="C127" s="19" t="s">
        <v>637</v>
      </c>
      <c r="D127" s="19">
        <v>5.0</v>
      </c>
      <c r="E127" s="19" t="s">
        <v>638</v>
      </c>
      <c r="F127" s="19">
        <v>1.0</v>
      </c>
      <c r="G127" s="21">
        <v>45955.03125</v>
      </c>
      <c r="H127" s="19" t="s">
        <v>379</v>
      </c>
      <c r="I127" s="22" t="s">
        <v>492</v>
      </c>
      <c r="J127" s="23" t="str">
        <f>IFERROR(__xludf.DUMMYFUNCTION("ARRAYFORMULA(REGEXEXTRACT(SPLIT(C127, ""&lt;br&gt;""), ""([가-힣A-Za-z]+)""))"),"테리")</f>
        <v>테리</v>
      </c>
      <c r="K127" s="24" t="str">
        <f>IFERROR(__xludf.DUMMYFUNCTION("""COMPUTED_VALUE"""),"노인")</f>
        <v>노인</v>
      </c>
      <c r="L127" s="24" t="str">
        <f>IFERROR(__xludf.DUMMYFUNCTION("""COMPUTED_VALUE"""),"규식")</f>
        <v>규식</v>
      </c>
      <c r="M127" s="24" t="str">
        <f>IFERROR(__xludf.DUMMYFUNCTION("""COMPUTED_VALUE"""),"한메")</f>
        <v>한메</v>
      </c>
      <c r="N127" s="24" t="str">
        <f>IFERROR(__xludf.DUMMYFUNCTION("ARRAYFORMULA(REGEXEXTRACT(SPLIT(E127, ""&lt;br&gt;""), ""([가-힣A-Za-z]+)""))"),"신형만")</f>
        <v>신형만</v>
      </c>
      <c r="O127" s="24" t="str">
        <f>IFERROR(__xludf.DUMMYFUNCTION("""COMPUTED_VALUE"""),"ACDC")</f>
        <v>ACDC</v>
      </c>
      <c r="P127" s="24" t="str">
        <f>IFERROR(__xludf.DUMMYFUNCTION("""COMPUTED_VALUE"""),"깡패")</f>
        <v>깡패</v>
      </c>
      <c r="Q127" s="24" t="str">
        <f>IFERROR(__xludf.DUMMYFUNCTION("""COMPUTED_VALUE"""),"넘버")</f>
        <v>넘버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9" t="s">
        <v>639</v>
      </c>
      <c r="B128" s="20" t="s">
        <v>640</v>
      </c>
      <c r="C128" s="19" t="s">
        <v>641</v>
      </c>
      <c r="D128" s="19">
        <v>5.0</v>
      </c>
      <c r="E128" s="19" t="s">
        <v>642</v>
      </c>
      <c r="F128" s="19">
        <v>2.0</v>
      </c>
      <c r="G128" s="21">
        <v>45955.010416666664</v>
      </c>
      <c r="H128" s="19" t="s">
        <v>379</v>
      </c>
      <c r="I128" s="22" t="s">
        <v>492</v>
      </c>
      <c r="J128" s="23" t="str">
        <f>IFERROR(__xludf.DUMMYFUNCTION("ARRAYFORMULA(REGEXEXTRACT(SPLIT(C128, ""&lt;br&gt;""), ""([가-힣A-Za-z]+)""))"),"넘버")</f>
        <v>넘버</v>
      </c>
      <c r="K128" s="24" t="str">
        <f>IFERROR(__xludf.DUMMYFUNCTION("""COMPUTED_VALUE"""),"규식")</f>
        <v>규식</v>
      </c>
      <c r="L128" s="24" t="str">
        <f>IFERROR(__xludf.DUMMYFUNCTION("""COMPUTED_VALUE"""),"노인")</f>
        <v>노인</v>
      </c>
      <c r="M128" s="24" t="str">
        <f>IFERROR(__xludf.DUMMYFUNCTION("""COMPUTED_VALUE"""),"깡패")</f>
        <v>깡패</v>
      </c>
      <c r="N128" s="24" t="str">
        <f>IFERROR(__xludf.DUMMYFUNCTION("ARRAYFORMULA(REGEXEXTRACT(SPLIT(E128, ""&lt;br&gt;""), ""([가-힣A-Za-z]+)""))"),"ACDC")</f>
        <v>ACDC</v>
      </c>
      <c r="O128" s="24" t="str">
        <f>IFERROR(__xludf.DUMMYFUNCTION("""COMPUTED_VALUE"""),"신형만")</f>
        <v>신형만</v>
      </c>
      <c r="P128" s="24" t="str">
        <f>IFERROR(__xludf.DUMMYFUNCTION("""COMPUTED_VALUE"""),"테리")</f>
        <v>테리</v>
      </c>
      <c r="Q128" s="24" t="str">
        <f>IFERROR(__xludf.DUMMYFUNCTION("""COMPUTED_VALUE"""),"용이")</f>
        <v>용이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9" t="s">
        <v>643</v>
      </c>
      <c r="B129" s="20" t="s">
        <v>644</v>
      </c>
      <c r="C129" s="19" t="s">
        <v>645</v>
      </c>
      <c r="D129" s="19">
        <v>5.0</v>
      </c>
      <c r="E129" s="19" t="s">
        <v>646</v>
      </c>
      <c r="F129" s="19">
        <v>4.0</v>
      </c>
      <c r="G129" s="21">
        <v>45955.00902777778</v>
      </c>
      <c r="H129" s="19" t="s">
        <v>379</v>
      </c>
      <c r="I129" s="22" t="s">
        <v>492</v>
      </c>
      <c r="J129" s="23" t="str">
        <f>IFERROR(__xludf.DUMMYFUNCTION("ARRAYFORMULA(REGEXEXTRACT(SPLIT(C129, ""&lt;br&gt;""), ""([가-힣A-Za-z]+)""))"),"노인")</f>
        <v>노인</v>
      </c>
      <c r="K129" s="24" t="str">
        <f>IFERROR(__xludf.DUMMYFUNCTION("""COMPUTED_VALUE"""),"ACDC")</f>
        <v>ACDC</v>
      </c>
      <c r="L129" s="24" t="str">
        <f>IFERROR(__xludf.DUMMYFUNCTION("""COMPUTED_VALUE"""),"용이")</f>
        <v>용이</v>
      </c>
      <c r="M129" s="24" t="str">
        <f>IFERROR(__xludf.DUMMYFUNCTION("""COMPUTED_VALUE"""),"넘버")</f>
        <v>넘버</v>
      </c>
      <c r="N129" s="24" t="str">
        <f>IFERROR(__xludf.DUMMYFUNCTION("ARRAYFORMULA(REGEXEXTRACT(SPLIT(E129, ""&lt;br&gt;""), ""([가-힣A-Za-z]+)""))"),"깡패")</f>
        <v>깡패</v>
      </c>
      <c r="O129" s="24" t="str">
        <f>IFERROR(__xludf.DUMMYFUNCTION("""COMPUTED_VALUE"""),"짱구")</f>
        <v>짱구</v>
      </c>
      <c r="P129" s="24" t="str">
        <f>IFERROR(__xludf.DUMMYFUNCTION("""COMPUTED_VALUE"""),"규식")</f>
        <v>규식</v>
      </c>
      <c r="Q129" s="24" t="str">
        <f>IFERROR(__xludf.DUMMYFUNCTION("""COMPUTED_VALUE"""),"신형만")</f>
        <v>신형만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9" t="s">
        <v>647</v>
      </c>
      <c r="B130" s="20" t="s">
        <v>648</v>
      </c>
      <c r="C130" s="19" t="s">
        <v>649</v>
      </c>
      <c r="D130" s="19">
        <v>5.0</v>
      </c>
      <c r="E130" s="19" t="s">
        <v>650</v>
      </c>
      <c r="F130" s="19">
        <v>1.0</v>
      </c>
      <c r="G130" s="21">
        <v>45954.941666666666</v>
      </c>
      <c r="H130" s="19" t="s">
        <v>379</v>
      </c>
      <c r="I130" s="22" t="s">
        <v>492</v>
      </c>
      <c r="J130" s="23" t="str">
        <f>IFERROR(__xludf.DUMMYFUNCTION("ARRAYFORMULA(REGEXEXTRACT(SPLIT(C130, ""&lt;br&gt;""), ""([가-힣A-Za-z]+)""))"),"ACDC")</f>
        <v>ACDC</v>
      </c>
      <c r="K130" s="24" t="str">
        <f>IFERROR(__xludf.DUMMYFUNCTION("""COMPUTED_VALUE"""),"넘버")</f>
        <v>넘버</v>
      </c>
      <c r="L130" s="24" t="str">
        <f>IFERROR(__xludf.DUMMYFUNCTION("""COMPUTED_VALUE"""),"짱구")</f>
        <v>짱구</v>
      </c>
      <c r="M130" s="24" t="str">
        <f>IFERROR(__xludf.DUMMYFUNCTION("""COMPUTED_VALUE"""),"깡패")</f>
        <v>깡패</v>
      </c>
      <c r="N130" s="24" t="str">
        <f>IFERROR(__xludf.DUMMYFUNCTION("ARRAYFORMULA(REGEXEXTRACT(SPLIT(E130, ""&lt;br&gt;""), ""([가-힣A-Za-z]+)""))"),"신형만")</f>
        <v>신형만</v>
      </c>
      <c r="O130" s="24" t="str">
        <f>IFERROR(__xludf.DUMMYFUNCTION("""COMPUTED_VALUE"""),"규식")</f>
        <v>규식</v>
      </c>
      <c r="P130" s="24" t="str">
        <f>IFERROR(__xludf.DUMMYFUNCTION("""COMPUTED_VALUE"""),"노인")</f>
        <v>노인</v>
      </c>
      <c r="Q130" s="24" t="str">
        <f>IFERROR(__xludf.DUMMYFUNCTION("""COMPUTED_VALUE"""),"용이")</f>
        <v>용이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9" t="s">
        <v>651</v>
      </c>
      <c r="B131" s="20" t="s">
        <v>652</v>
      </c>
      <c r="C131" s="19" t="s">
        <v>653</v>
      </c>
      <c r="D131" s="19">
        <v>5.0</v>
      </c>
      <c r="E131" s="19" t="s">
        <v>654</v>
      </c>
      <c r="F131" s="19">
        <v>2.0</v>
      </c>
      <c r="G131" s="21">
        <v>45954.87708333333</v>
      </c>
      <c r="H131" s="19" t="s">
        <v>379</v>
      </c>
      <c r="I131" s="22" t="s">
        <v>341</v>
      </c>
      <c r="J131" s="23" t="str">
        <f>IFERROR(__xludf.DUMMYFUNCTION("ARRAYFORMULA(REGEXEXTRACT(SPLIT(C131, ""&lt;br&gt;""), ""([가-힣A-Za-z]+)""))"),"ACDC")</f>
        <v>ACDC</v>
      </c>
      <c r="K131" s="24" t="str">
        <f>IFERROR(__xludf.DUMMYFUNCTION("""COMPUTED_VALUE"""),"노인")</f>
        <v>노인</v>
      </c>
      <c r="L131" s="24" t="str">
        <f>IFERROR(__xludf.DUMMYFUNCTION("""COMPUTED_VALUE"""),"규식")</f>
        <v>규식</v>
      </c>
      <c r="M131" s="24" t="str">
        <f>IFERROR(__xludf.DUMMYFUNCTION("""COMPUTED_VALUE"""),"신형만")</f>
        <v>신형만</v>
      </c>
      <c r="N131" s="24" t="str">
        <f>IFERROR(__xludf.DUMMYFUNCTION("ARRAYFORMULA(REGEXEXTRACT(SPLIT(E131, ""&lt;br&gt;""), ""([가-힣A-Za-z]+)""))"),"깡패")</f>
        <v>깡패</v>
      </c>
      <c r="O131" s="24" t="str">
        <f>IFERROR(__xludf.DUMMYFUNCTION("""COMPUTED_VALUE"""),"짱구")</f>
        <v>짱구</v>
      </c>
      <c r="P131" s="24" t="str">
        <f>IFERROR(__xludf.DUMMYFUNCTION("""COMPUTED_VALUE"""),"테리")</f>
        <v>테리</v>
      </c>
      <c r="Q131" s="24" t="str">
        <f>IFERROR(__xludf.DUMMYFUNCTION("""COMPUTED_VALUE"""),"기재")</f>
        <v>기재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9" t="s">
        <v>655</v>
      </c>
      <c r="B132" s="20" t="s">
        <v>656</v>
      </c>
      <c r="C132" s="19" t="s">
        <v>657</v>
      </c>
      <c r="D132" s="19">
        <v>5.0</v>
      </c>
      <c r="E132" s="19" t="s">
        <v>658</v>
      </c>
      <c r="F132" s="19">
        <v>3.0</v>
      </c>
      <c r="G132" s="21">
        <v>45954.00902777778</v>
      </c>
      <c r="H132" s="19" t="s">
        <v>379</v>
      </c>
      <c r="I132" s="22" t="s">
        <v>659</v>
      </c>
      <c r="J132" s="23" t="str">
        <f>IFERROR(__xludf.DUMMYFUNCTION("ARRAYFORMULA(REGEXEXTRACT(SPLIT(C132, ""&lt;br&gt;""), ""([가-힣A-Za-z]+)""))"),"한메")</f>
        <v>한메</v>
      </c>
      <c r="K132" s="24" t="str">
        <f>IFERROR(__xludf.DUMMYFUNCTION("""COMPUTED_VALUE"""),"참치")</f>
        <v>참치</v>
      </c>
      <c r="L132" s="24" t="str">
        <f>IFERROR(__xludf.DUMMYFUNCTION("""COMPUTED_VALUE"""),"테리")</f>
        <v>테리</v>
      </c>
      <c r="M132" s="24" t="str">
        <f>IFERROR(__xludf.DUMMYFUNCTION("""COMPUTED_VALUE"""),"넘버")</f>
        <v>넘버</v>
      </c>
      <c r="N132" s="24" t="str">
        <f>IFERROR(__xludf.DUMMYFUNCTION("ARRAYFORMULA(REGEXEXTRACT(SPLIT(E132, ""&lt;br&gt;""), ""([가-힣A-Za-z]+)""))"),"솔")</f>
        <v>솔</v>
      </c>
      <c r="O132" s="24" t="str">
        <f>IFERROR(__xludf.DUMMYFUNCTION("""COMPUTED_VALUE"""),"깡패")</f>
        <v>깡패</v>
      </c>
      <c r="P132" s="24" t="str">
        <f>IFERROR(__xludf.DUMMYFUNCTION("""COMPUTED_VALUE"""),"원")</f>
        <v>원</v>
      </c>
      <c r="Q132" s="24" t="str">
        <f>IFERROR(__xludf.DUMMYFUNCTION("""COMPUTED_VALUE"""),"신형만")</f>
        <v>신형만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9" t="s">
        <v>660</v>
      </c>
      <c r="B133" s="20" t="s">
        <v>661</v>
      </c>
      <c r="C133" s="19" t="s">
        <v>662</v>
      </c>
      <c r="D133" s="19">
        <v>5.0</v>
      </c>
      <c r="E133" s="19" t="s">
        <v>663</v>
      </c>
      <c r="F133" s="19">
        <v>1.0</v>
      </c>
      <c r="G133" s="21">
        <v>45953.979166666664</v>
      </c>
      <c r="H133" s="19" t="s">
        <v>379</v>
      </c>
      <c r="I133" s="22" t="s">
        <v>664</v>
      </c>
      <c r="J133" s="23" t="str">
        <f>IFERROR(__xludf.DUMMYFUNCTION("ARRAYFORMULA(REGEXEXTRACT(SPLIT(C133, ""&lt;br&gt;""), ""([가-힣A-Za-z]+)""))"),"테리")</f>
        <v>테리</v>
      </c>
      <c r="K133" s="24" t="str">
        <f>IFERROR(__xludf.DUMMYFUNCTION("""COMPUTED_VALUE"""),"신형만")</f>
        <v>신형만</v>
      </c>
      <c r="L133" s="24" t="str">
        <f>IFERROR(__xludf.DUMMYFUNCTION("""COMPUTED_VALUE"""),"넘버")</f>
        <v>넘버</v>
      </c>
      <c r="M133" s="24" t="str">
        <f>IFERROR(__xludf.DUMMYFUNCTION("""COMPUTED_VALUE"""),"깡패")</f>
        <v>깡패</v>
      </c>
      <c r="N133" s="24" t="str">
        <f>IFERROR(__xludf.DUMMYFUNCTION("ARRAYFORMULA(REGEXEXTRACT(SPLIT(E133, ""&lt;br&gt;""), ""([가-힣A-Za-z]+)""))"),"참치")</f>
        <v>참치</v>
      </c>
      <c r="O133" s="24" t="str">
        <f>IFERROR(__xludf.DUMMYFUNCTION("""COMPUTED_VALUE"""),"원")</f>
        <v>원</v>
      </c>
      <c r="P133" s="24" t="str">
        <f>IFERROR(__xludf.DUMMYFUNCTION("""COMPUTED_VALUE"""),"노인")</f>
        <v>노인</v>
      </c>
      <c r="Q133" s="24" t="str">
        <f>IFERROR(__xludf.DUMMYFUNCTION("""COMPUTED_VALUE"""),"한메")</f>
        <v>한메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9" t="s">
        <v>665</v>
      </c>
      <c r="B134" s="20" t="s">
        <v>666</v>
      </c>
      <c r="C134" s="19" t="s">
        <v>667</v>
      </c>
      <c r="D134" s="19">
        <v>5.0</v>
      </c>
      <c r="E134" s="19" t="s">
        <v>668</v>
      </c>
      <c r="F134" s="19">
        <v>2.0</v>
      </c>
      <c r="G134" s="21">
        <v>45953.950694444444</v>
      </c>
      <c r="H134" s="19" t="s">
        <v>379</v>
      </c>
      <c r="I134" s="22" t="s">
        <v>669</v>
      </c>
      <c r="J134" s="23" t="str">
        <f>IFERROR(__xludf.DUMMYFUNCTION("ARRAYFORMULA(REGEXEXTRACT(SPLIT(C134, ""&lt;br&gt;""), ""([가-힣A-Za-z]+)""))"),"한메")</f>
        <v>한메</v>
      </c>
      <c r="K134" s="24" t="str">
        <f>IFERROR(__xludf.DUMMYFUNCTION("""COMPUTED_VALUE"""),"규식")</f>
        <v>규식</v>
      </c>
      <c r="L134" s="24" t="str">
        <f>IFERROR(__xludf.DUMMYFUNCTION("""COMPUTED_VALUE"""),"넘버")</f>
        <v>넘버</v>
      </c>
      <c r="M134" s="24" t="str">
        <f>IFERROR(__xludf.DUMMYFUNCTION("""COMPUTED_VALUE"""),"깡패")</f>
        <v>깡패</v>
      </c>
      <c r="N134" s="24" t="str">
        <f>IFERROR(__xludf.DUMMYFUNCTION("ARRAYFORMULA(REGEXEXTRACT(SPLIT(E134, ""&lt;br&gt;""), ""([가-힣A-Za-z]+)""))"),"참치")</f>
        <v>참치</v>
      </c>
      <c r="O134" s="24" t="str">
        <f>IFERROR(__xludf.DUMMYFUNCTION("""COMPUTED_VALUE"""),"노인")</f>
        <v>노인</v>
      </c>
      <c r="P134" s="24" t="str">
        <f>IFERROR(__xludf.DUMMYFUNCTION("""COMPUTED_VALUE"""),"ovo")</f>
        <v>ovo</v>
      </c>
      <c r="Q134" s="24" t="str">
        <f>IFERROR(__xludf.DUMMYFUNCTION("""COMPUTED_VALUE"""),"신형만")</f>
        <v>신형만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9" t="s">
        <v>670</v>
      </c>
      <c r="B135" s="20" t="s">
        <v>671</v>
      </c>
      <c r="C135" s="19" t="s">
        <v>672</v>
      </c>
      <c r="D135" s="19">
        <v>5.0</v>
      </c>
      <c r="E135" s="19" t="s">
        <v>673</v>
      </c>
      <c r="F135" s="19">
        <v>1.0</v>
      </c>
      <c r="G135" s="21">
        <v>45953.93472222222</v>
      </c>
      <c r="H135" s="19" t="s">
        <v>379</v>
      </c>
      <c r="I135" s="22" t="s">
        <v>674</v>
      </c>
      <c r="J135" s="23" t="str">
        <f>IFERROR(__xludf.DUMMYFUNCTION("ARRAYFORMULA(REGEXEXTRACT(SPLIT(C135, ""&lt;br&gt;""), ""([가-힣A-Za-z]+)""))"),"한메")</f>
        <v>한메</v>
      </c>
      <c r="K135" s="24" t="str">
        <f>IFERROR(__xludf.DUMMYFUNCTION("""COMPUTED_VALUE"""),"노인")</f>
        <v>노인</v>
      </c>
      <c r="L135" s="24" t="str">
        <f>IFERROR(__xludf.DUMMYFUNCTION("""COMPUTED_VALUE"""),"참치")</f>
        <v>참치</v>
      </c>
      <c r="M135" s="24" t="str">
        <f>IFERROR(__xludf.DUMMYFUNCTION("""COMPUTED_VALUE"""),"규식")</f>
        <v>규식</v>
      </c>
      <c r="N135" s="24" t="str">
        <f>IFERROR(__xludf.DUMMYFUNCTION("ARRAYFORMULA(REGEXEXTRACT(SPLIT(E135, ""&lt;br&gt;""), ""([가-힣A-Za-z]+)""))"),"솔")</f>
        <v>솔</v>
      </c>
      <c r="O135" s="24" t="str">
        <f>IFERROR(__xludf.DUMMYFUNCTION("""COMPUTED_VALUE"""),"오딘")</f>
        <v>오딘</v>
      </c>
      <c r="P135" s="24" t="str">
        <f>IFERROR(__xludf.DUMMYFUNCTION("""COMPUTED_VALUE"""),"깡패")</f>
        <v>깡패</v>
      </c>
      <c r="Q135" s="24" t="str">
        <f>IFERROR(__xludf.DUMMYFUNCTION("""COMPUTED_VALUE"""),"신형만")</f>
        <v>신형만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9" t="s">
        <v>675</v>
      </c>
      <c r="B136" s="20" t="s">
        <v>676</v>
      </c>
      <c r="C136" s="19" t="s">
        <v>677</v>
      </c>
      <c r="D136" s="19">
        <v>5.0</v>
      </c>
      <c r="E136" s="19" t="s">
        <v>678</v>
      </c>
      <c r="F136" s="19">
        <v>4.0</v>
      </c>
      <c r="G136" s="21">
        <v>45953.91388888889</v>
      </c>
      <c r="H136" s="19" t="s">
        <v>379</v>
      </c>
      <c r="I136" s="22" t="s">
        <v>424</v>
      </c>
      <c r="J136" s="23" t="str">
        <f>IFERROR(__xludf.DUMMYFUNCTION("ARRAYFORMULA(REGEXEXTRACT(SPLIT(C136, ""&lt;br&gt;""), ""([가-힣A-Za-z]+)""))"),"테리")</f>
        <v>테리</v>
      </c>
      <c r="K136" s="24" t="str">
        <f>IFERROR(__xludf.DUMMYFUNCTION("""COMPUTED_VALUE"""),"솔")</f>
        <v>솔</v>
      </c>
      <c r="L136" s="24" t="str">
        <f>IFERROR(__xludf.DUMMYFUNCTION("""COMPUTED_VALUE"""),"신형만")</f>
        <v>신형만</v>
      </c>
      <c r="M136" s="24" t="str">
        <f>IFERROR(__xludf.DUMMYFUNCTION("""COMPUTED_VALUE"""),"깡패")</f>
        <v>깡패</v>
      </c>
      <c r="N136" s="24" t="str">
        <f>IFERROR(__xludf.DUMMYFUNCTION("ARRAYFORMULA(REGEXEXTRACT(SPLIT(E136, ""&lt;br&gt;""), ""([가-힣A-Za-z]+)""))"),"노인")</f>
        <v>노인</v>
      </c>
      <c r="O136" s="24" t="str">
        <f>IFERROR(__xludf.DUMMYFUNCTION("""COMPUTED_VALUE"""),"규식")</f>
        <v>규식</v>
      </c>
      <c r="P136" s="24" t="str">
        <f>IFERROR(__xludf.DUMMYFUNCTION("""COMPUTED_VALUE"""),"유즈")</f>
        <v>유즈</v>
      </c>
      <c r="Q136" s="24" t="str">
        <f>IFERROR(__xludf.DUMMYFUNCTION("""COMPUTED_VALUE"""),"한메")</f>
        <v>한메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9" t="s">
        <v>679</v>
      </c>
      <c r="B137" s="20" t="s">
        <v>680</v>
      </c>
      <c r="C137" s="19" t="s">
        <v>681</v>
      </c>
      <c r="D137" s="19">
        <v>5.0</v>
      </c>
      <c r="E137" s="19" t="s">
        <v>682</v>
      </c>
      <c r="F137" s="19">
        <v>2.0</v>
      </c>
      <c r="G137" s="21">
        <v>45953.881944444445</v>
      </c>
      <c r="H137" s="19" t="s">
        <v>379</v>
      </c>
      <c r="I137" s="22" t="s">
        <v>487</v>
      </c>
      <c r="J137" s="23" t="str">
        <f>IFERROR(__xludf.DUMMYFUNCTION("ARRAYFORMULA(REGEXEXTRACT(SPLIT(C137, ""&lt;br&gt;""), ""([가-힣A-Za-z]+)""))"),"솔")</f>
        <v>솔</v>
      </c>
      <c r="K137" s="24" t="str">
        <f>IFERROR(__xludf.DUMMYFUNCTION("""COMPUTED_VALUE"""),"노인")</f>
        <v>노인</v>
      </c>
      <c r="L137" s="24" t="str">
        <f>IFERROR(__xludf.DUMMYFUNCTION("""COMPUTED_VALUE"""),"깡패")</f>
        <v>깡패</v>
      </c>
      <c r="M137" s="24" t="str">
        <f>IFERROR(__xludf.DUMMYFUNCTION("""COMPUTED_VALUE"""),"규식")</f>
        <v>규식</v>
      </c>
      <c r="N137" s="24" t="str">
        <f>IFERROR(__xludf.DUMMYFUNCTION("ARRAYFORMULA(REGEXEXTRACT(SPLIT(E137, ""&lt;br&gt;""), ""([가-힣A-Za-z]+)""))"),"유즈")</f>
        <v>유즈</v>
      </c>
      <c r="O137" s="24" t="str">
        <f>IFERROR(__xludf.DUMMYFUNCTION("""COMPUTED_VALUE"""),"신형만")</f>
        <v>신형만</v>
      </c>
      <c r="P137" s="24" t="str">
        <f>IFERROR(__xludf.DUMMYFUNCTION("""COMPUTED_VALUE"""),"테리")</f>
        <v>테리</v>
      </c>
      <c r="Q137" s="24" t="str">
        <f>IFERROR(__xludf.DUMMYFUNCTION("""COMPUTED_VALUE"""),"넘버")</f>
        <v>넘버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9" t="s">
        <v>683</v>
      </c>
      <c r="B138" s="20" t="s">
        <v>684</v>
      </c>
      <c r="C138" s="19" t="s">
        <v>685</v>
      </c>
      <c r="D138" s="19">
        <v>5.0</v>
      </c>
      <c r="E138" s="19" t="s">
        <v>686</v>
      </c>
      <c r="F138" s="19">
        <v>4.0</v>
      </c>
      <c r="G138" s="21">
        <v>45953.85486111111</v>
      </c>
      <c r="H138" s="19" t="s">
        <v>379</v>
      </c>
      <c r="I138" s="22" t="s">
        <v>424</v>
      </c>
      <c r="J138" s="23" t="str">
        <f>IFERROR(__xludf.DUMMYFUNCTION("ARRAYFORMULA(REGEXEXTRACT(SPLIT(C138, ""&lt;br&gt;""), ""([가-힣A-Za-z]+)""))"),"짱구")</f>
        <v>짱구</v>
      </c>
      <c r="K138" s="24" t="str">
        <f>IFERROR(__xludf.DUMMYFUNCTION("""COMPUTED_VALUE"""),"깡패")</f>
        <v>깡패</v>
      </c>
      <c r="L138" s="24" t="str">
        <f>IFERROR(__xludf.DUMMYFUNCTION("""COMPUTED_VALUE"""),"규식")</f>
        <v>규식</v>
      </c>
      <c r="M138" s="24" t="str">
        <f>IFERROR(__xludf.DUMMYFUNCTION("""COMPUTED_VALUE"""),"한메")</f>
        <v>한메</v>
      </c>
      <c r="N138" s="24" t="str">
        <f>IFERROR(__xludf.DUMMYFUNCTION("ARRAYFORMULA(REGEXEXTRACT(SPLIT(E138, ""&lt;br&gt;""), ""([가-힣A-Za-z]+)""))"),"신형만")</f>
        <v>신형만</v>
      </c>
      <c r="O138" s="24" t="str">
        <f>IFERROR(__xludf.DUMMYFUNCTION("""COMPUTED_VALUE"""),"필찌")</f>
        <v>필찌</v>
      </c>
      <c r="P138" s="24" t="str">
        <f>IFERROR(__xludf.DUMMYFUNCTION("""COMPUTED_VALUE"""),"ACDC")</f>
        <v>ACDC</v>
      </c>
      <c r="Q138" s="24" t="str">
        <f>IFERROR(__xludf.DUMMYFUNCTION("""COMPUTED_VALUE"""),"솔")</f>
        <v>솔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9" t="s">
        <v>687</v>
      </c>
      <c r="B139" s="20" t="s">
        <v>688</v>
      </c>
      <c r="C139" s="19" t="s">
        <v>689</v>
      </c>
      <c r="D139" s="19">
        <v>5.0</v>
      </c>
      <c r="E139" s="19" t="s">
        <v>690</v>
      </c>
      <c r="F139" s="19">
        <v>2.0</v>
      </c>
      <c r="G139" s="21">
        <v>45953.853472222225</v>
      </c>
      <c r="H139" s="19" t="s">
        <v>379</v>
      </c>
      <c r="I139" s="22" t="s">
        <v>424</v>
      </c>
      <c r="J139" s="23" t="str">
        <f>IFERROR(__xludf.DUMMYFUNCTION("ARRAYFORMULA(REGEXEXTRACT(SPLIT(C139, ""&lt;br&gt;""), ""([가-힣A-Za-z]+)""))"),"신형만")</f>
        <v>신형만</v>
      </c>
      <c r="K139" s="24" t="str">
        <f>IFERROR(__xludf.DUMMYFUNCTION("""COMPUTED_VALUE"""),"필찌")</f>
        <v>필찌</v>
      </c>
      <c r="L139" s="24" t="str">
        <f>IFERROR(__xludf.DUMMYFUNCTION("""COMPUTED_VALUE"""),"ACDC")</f>
        <v>ACDC</v>
      </c>
      <c r="M139" s="24" t="str">
        <f>IFERROR(__xludf.DUMMYFUNCTION("""COMPUTED_VALUE"""),"솔")</f>
        <v>솔</v>
      </c>
      <c r="N139" s="24" t="str">
        <f>IFERROR(__xludf.DUMMYFUNCTION("ARRAYFORMULA(REGEXEXTRACT(SPLIT(E139, ""&lt;br&gt;""), ""([가-힣A-Za-z]+)""))"),"짱구")</f>
        <v>짱구</v>
      </c>
      <c r="O139" s="24" t="str">
        <f>IFERROR(__xludf.DUMMYFUNCTION("""COMPUTED_VALUE"""),"깡패")</f>
        <v>깡패</v>
      </c>
      <c r="P139" s="24" t="str">
        <f>IFERROR(__xludf.DUMMYFUNCTION("""COMPUTED_VALUE"""),"규식")</f>
        <v>규식</v>
      </c>
      <c r="Q139" s="24" t="str">
        <f>IFERROR(__xludf.DUMMYFUNCTION("""COMPUTED_VALUE"""),"한메")</f>
        <v>한메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9" t="s">
        <v>691</v>
      </c>
      <c r="B140" s="20" t="s">
        <v>692</v>
      </c>
      <c r="C140" s="19" t="s">
        <v>693</v>
      </c>
      <c r="D140" s="19">
        <v>5.0</v>
      </c>
      <c r="E140" s="19" t="s">
        <v>694</v>
      </c>
      <c r="F140" s="19">
        <v>2.0</v>
      </c>
      <c r="G140" s="21">
        <v>45952.92847222222</v>
      </c>
      <c r="H140" s="19" t="s">
        <v>379</v>
      </c>
      <c r="I140" s="22" t="s">
        <v>424</v>
      </c>
      <c r="J140" s="23" t="str">
        <f>IFERROR(__xludf.DUMMYFUNCTION("ARRAYFORMULA(REGEXEXTRACT(SPLIT(C140, ""&lt;br&gt;""), ""([가-힣A-Za-z]+)""))"),"ACDC")</f>
        <v>ACDC</v>
      </c>
      <c r="K140" s="24" t="str">
        <f>IFERROR(__xludf.DUMMYFUNCTION("""COMPUTED_VALUE"""),"필찌")</f>
        <v>필찌</v>
      </c>
      <c r="L140" s="24" t="str">
        <f>IFERROR(__xludf.DUMMYFUNCTION("""COMPUTED_VALUE"""),"테리")</f>
        <v>테리</v>
      </c>
      <c r="M140" s="24" t="str">
        <f>IFERROR(__xludf.DUMMYFUNCTION("""COMPUTED_VALUE"""),"깡패")</f>
        <v>깡패</v>
      </c>
      <c r="N140" s="24" t="str">
        <f>IFERROR(__xludf.DUMMYFUNCTION("ARRAYFORMULA(REGEXEXTRACT(SPLIT(E140, ""&lt;br&gt;""), ""([가-힣A-Za-z]+)""))"),"짱구")</f>
        <v>짱구</v>
      </c>
      <c r="O140" s="24" t="str">
        <f>IFERROR(__xludf.DUMMYFUNCTION("""COMPUTED_VALUE"""),"신형만")</f>
        <v>신형만</v>
      </c>
      <c r="P140" s="24" t="str">
        <f>IFERROR(__xludf.DUMMYFUNCTION("""COMPUTED_VALUE"""),"한메")</f>
        <v>한메</v>
      </c>
      <c r="Q140" s="24" t="str">
        <f>IFERROR(__xludf.DUMMYFUNCTION("""COMPUTED_VALUE"""),"솔")</f>
        <v>솔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9" t="s">
        <v>695</v>
      </c>
      <c r="B141" s="20" t="s">
        <v>696</v>
      </c>
      <c r="C141" s="19" t="s">
        <v>697</v>
      </c>
      <c r="D141" s="19">
        <v>5.0</v>
      </c>
      <c r="E141" s="19" t="s">
        <v>698</v>
      </c>
      <c r="F141" s="19">
        <v>0.0</v>
      </c>
      <c r="G141" s="21">
        <v>45952.881944444445</v>
      </c>
      <c r="H141" s="19" t="s">
        <v>379</v>
      </c>
      <c r="I141" s="22" t="s">
        <v>487</v>
      </c>
      <c r="J141" s="23" t="str">
        <f>IFERROR(__xludf.DUMMYFUNCTION("ARRAYFORMULA(REGEXEXTRACT(SPLIT(C141, ""&lt;br&gt;""), ""([가-힣A-Za-z]+)""))"),"솔")</f>
        <v>솔</v>
      </c>
      <c r="K141" s="24" t="str">
        <f>IFERROR(__xludf.DUMMYFUNCTION("""COMPUTED_VALUE"""),"테리")</f>
        <v>테리</v>
      </c>
      <c r="L141" s="24" t="str">
        <f>IFERROR(__xludf.DUMMYFUNCTION("""COMPUTED_VALUE"""),"짱구")</f>
        <v>짱구</v>
      </c>
      <c r="M141" s="24" t="str">
        <f>IFERROR(__xludf.DUMMYFUNCTION("""COMPUTED_VALUE"""),"규식")</f>
        <v>규식</v>
      </c>
      <c r="N141" s="24" t="str">
        <f>IFERROR(__xludf.DUMMYFUNCTION("ARRAYFORMULA(REGEXEXTRACT(SPLIT(E141, ""&lt;br&gt;""), ""([가-힣A-Za-z]+)""))"),"깡패")</f>
        <v>깡패</v>
      </c>
      <c r="O141" s="24" t="str">
        <f>IFERROR(__xludf.DUMMYFUNCTION("""COMPUTED_VALUE"""),"넘버")</f>
        <v>넘버</v>
      </c>
      <c r="P141" s="24" t="str">
        <f>IFERROR(__xludf.DUMMYFUNCTION("""COMPUTED_VALUE"""),"한메")</f>
        <v>한메</v>
      </c>
      <c r="Q141" s="24" t="str">
        <f>IFERROR(__xludf.DUMMYFUNCTION("""COMPUTED_VALUE"""),"신형만")</f>
        <v>신형만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9" t="s">
        <v>699</v>
      </c>
      <c r="B142" s="20" t="s">
        <v>700</v>
      </c>
      <c r="C142" s="19" t="s">
        <v>701</v>
      </c>
      <c r="D142" s="19">
        <v>5.0</v>
      </c>
      <c r="E142" s="19" t="s">
        <v>702</v>
      </c>
      <c r="F142" s="19">
        <v>1.0</v>
      </c>
      <c r="G142" s="21">
        <v>45952.86736111111</v>
      </c>
      <c r="H142" s="19" t="s">
        <v>379</v>
      </c>
      <c r="I142" s="22" t="s">
        <v>487</v>
      </c>
      <c r="J142" s="23" t="str">
        <f>IFERROR(__xludf.DUMMYFUNCTION("ARRAYFORMULA(REGEXEXTRACT(SPLIT(C142, ""&lt;br&gt;""), ""([가-힣A-Za-z]+)""))"),"테리")</f>
        <v>테리</v>
      </c>
      <c r="K142" s="24" t="str">
        <f>IFERROR(__xludf.DUMMYFUNCTION("""COMPUTED_VALUE"""),"규식")</f>
        <v>규식</v>
      </c>
      <c r="L142" s="24" t="str">
        <f>IFERROR(__xludf.DUMMYFUNCTION("""COMPUTED_VALUE"""),"넘버")</f>
        <v>넘버</v>
      </c>
      <c r="M142" s="24" t="str">
        <f>IFERROR(__xludf.DUMMYFUNCTION("""COMPUTED_VALUE"""),"한메")</f>
        <v>한메</v>
      </c>
      <c r="N142" s="24" t="str">
        <f>IFERROR(__xludf.DUMMYFUNCTION("ARRAYFORMULA(REGEXEXTRACT(SPLIT(E142, ""&lt;br&gt;""), ""([가-힣A-Za-z]+)""))"),"짱구")</f>
        <v>짱구</v>
      </c>
      <c r="O142" s="24" t="str">
        <f>IFERROR(__xludf.DUMMYFUNCTION("""COMPUTED_VALUE"""),"신형만")</f>
        <v>신형만</v>
      </c>
      <c r="P142" s="24" t="str">
        <f>IFERROR(__xludf.DUMMYFUNCTION("""COMPUTED_VALUE"""),"솔")</f>
        <v>솔</v>
      </c>
      <c r="Q142" s="24" t="str">
        <f>IFERROR(__xludf.DUMMYFUNCTION("""COMPUTED_VALUE"""),"깡패")</f>
        <v>깡패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9" t="s">
        <v>703</v>
      </c>
      <c r="B143" s="20" t="s">
        <v>704</v>
      </c>
      <c r="C143" s="19" t="s">
        <v>705</v>
      </c>
      <c r="D143" s="19">
        <v>5.0</v>
      </c>
      <c r="E143" s="19" t="s">
        <v>706</v>
      </c>
      <c r="F143" s="19">
        <v>0.0</v>
      </c>
      <c r="G143" s="21">
        <v>45952.85</v>
      </c>
      <c r="H143" s="19" t="s">
        <v>379</v>
      </c>
      <c r="I143" s="22" t="s">
        <v>487</v>
      </c>
      <c r="J143" s="23" t="str">
        <f>IFERROR(__xludf.DUMMYFUNCTION("ARRAYFORMULA(REGEXEXTRACT(SPLIT(C143, ""&lt;br&gt;""), ""([가-힣A-Za-z]+)""))"),"신형만")</f>
        <v>신형만</v>
      </c>
      <c r="K143" s="24" t="str">
        <f>IFERROR(__xludf.DUMMYFUNCTION("""COMPUTED_VALUE"""),"깡패")</f>
        <v>깡패</v>
      </c>
      <c r="L143" s="24" t="str">
        <f>IFERROR(__xludf.DUMMYFUNCTION("""COMPUTED_VALUE"""),"테리")</f>
        <v>테리</v>
      </c>
      <c r="M143" s="24" t="str">
        <f>IFERROR(__xludf.DUMMYFUNCTION("""COMPUTED_VALUE"""),"넘버")</f>
        <v>넘버</v>
      </c>
      <c r="N143" s="24" t="str">
        <f>IFERROR(__xludf.DUMMYFUNCTION("ARRAYFORMULA(REGEXEXTRACT(SPLIT(E143, ""&lt;br&gt;""), ""([가-힣A-Za-z]+)""))"),"한메")</f>
        <v>한메</v>
      </c>
      <c r="O143" s="24" t="str">
        <f>IFERROR(__xludf.DUMMYFUNCTION("""COMPUTED_VALUE"""),"짱구")</f>
        <v>짱구</v>
      </c>
      <c r="P143" s="24" t="str">
        <f>IFERROR(__xludf.DUMMYFUNCTION("""COMPUTED_VALUE"""),"규식")</f>
        <v>규식</v>
      </c>
      <c r="Q143" s="24" t="str">
        <f>IFERROR(__xludf.DUMMYFUNCTION("""COMPUTED_VALUE"""),"솔")</f>
        <v>솔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9" t="s">
        <v>707</v>
      </c>
      <c r="B144" s="20" t="s">
        <v>708</v>
      </c>
      <c r="C144" s="19" t="s">
        <v>709</v>
      </c>
      <c r="D144" s="19">
        <v>5.0</v>
      </c>
      <c r="E144" s="19" t="s">
        <v>710</v>
      </c>
      <c r="F144" s="19">
        <v>1.0</v>
      </c>
      <c r="G144" s="21">
        <v>45951.095138888886</v>
      </c>
      <c r="H144" s="19" t="s">
        <v>379</v>
      </c>
      <c r="I144" s="22" t="s">
        <v>341</v>
      </c>
      <c r="J144" s="23" t="str">
        <f>IFERROR(__xludf.DUMMYFUNCTION("ARRAYFORMULA(REGEXEXTRACT(SPLIT(C144, ""&lt;br&gt;""), ""([가-힣A-Za-z]+)""))"),"민우")</f>
        <v>민우</v>
      </c>
      <c r="K144" s="24" t="str">
        <f>IFERROR(__xludf.DUMMYFUNCTION("""COMPUTED_VALUE"""),"깡패")</f>
        <v>깡패</v>
      </c>
      <c r="L144" s="24" t="str">
        <f>IFERROR(__xludf.DUMMYFUNCTION("""COMPUTED_VALUE"""),"재우")</f>
        <v>재우</v>
      </c>
      <c r="M144" s="24" t="str">
        <f>IFERROR(__xludf.DUMMYFUNCTION("""COMPUTED_VALUE"""),"ovo")</f>
        <v>ovo</v>
      </c>
      <c r="N144" s="24" t="str">
        <f>IFERROR(__xludf.DUMMYFUNCTION("ARRAYFORMULA(REGEXEXTRACT(SPLIT(E144, ""&lt;br&gt;""), ""([가-힣A-Za-z]+)""))"),"ACDC")</f>
        <v>ACDC</v>
      </c>
      <c r="O144" s="24" t="str">
        <f>IFERROR(__xludf.DUMMYFUNCTION("""COMPUTED_VALUE"""),"조네")</f>
        <v>조네</v>
      </c>
      <c r="P144" s="24" t="str">
        <f>IFERROR(__xludf.DUMMYFUNCTION("""COMPUTED_VALUE"""),"노픽업")</f>
        <v>노픽업</v>
      </c>
      <c r="Q144" s="24" t="str">
        <f>IFERROR(__xludf.DUMMYFUNCTION("""COMPUTED_VALUE"""),"신형만")</f>
        <v>신형만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9" t="s">
        <v>711</v>
      </c>
      <c r="B145" s="20" t="s">
        <v>712</v>
      </c>
      <c r="C145" s="19" t="s">
        <v>713</v>
      </c>
      <c r="D145" s="19">
        <v>5.0</v>
      </c>
      <c r="E145" s="19" t="s">
        <v>714</v>
      </c>
      <c r="F145" s="19">
        <v>4.0</v>
      </c>
      <c r="G145" s="21">
        <v>45951.07152777778</v>
      </c>
      <c r="H145" s="19" t="s">
        <v>379</v>
      </c>
      <c r="I145" s="22" t="s">
        <v>341</v>
      </c>
      <c r="J145" s="23" t="str">
        <f>IFERROR(__xludf.DUMMYFUNCTION("ARRAYFORMULA(REGEXEXTRACT(SPLIT(C145, ""&lt;br&gt;""), ""([가-힣A-Za-z]+)""))"),"재우")</f>
        <v>재우</v>
      </c>
      <c r="K145" s="24" t="str">
        <f>IFERROR(__xludf.DUMMYFUNCTION("""COMPUTED_VALUE"""),"ACDC")</f>
        <v>ACDC</v>
      </c>
      <c r="L145" s="24" t="str">
        <f>IFERROR(__xludf.DUMMYFUNCTION("""COMPUTED_VALUE"""),"신형만")</f>
        <v>신형만</v>
      </c>
      <c r="M145" s="24" t="str">
        <f>IFERROR(__xludf.DUMMYFUNCTION("""COMPUTED_VALUE"""),"깡패")</f>
        <v>깡패</v>
      </c>
      <c r="N145" s="24" t="str">
        <f>IFERROR(__xludf.DUMMYFUNCTION("ARRAYFORMULA(REGEXEXTRACT(SPLIT(E145, ""&lt;br&gt;""), ""([가-힣A-Za-z]+)""))"),"조네")</f>
        <v>조네</v>
      </c>
      <c r="O145" s="24" t="str">
        <f>IFERROR(__xludf.DUMMYFUNCTION("""COMPUTED_VALUE"""),"노픽업")</f>
        <v>노픽업</v>
      </c>
      <c r="P145" s="24" t="str">
        <f>IFERROR(__xludf.DUMMYFUNCTION("""COMPUTED_VALUE"""),"ovo")</f>
        <v>ovo</v>
      </c>
      <c r="Q145" s="24" t="str">
        <f>IFERROR(__xludf.DUMMYFUNCTION("""COMPUTED_VALUE"""),"민우")</f>
        <v>민우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9" t="s">
        <v>715</v>
      </c>
      <c r="B146" s="20" t="s">
        <v>716</v>
      </c>
      <c r="C146" s="19" t="s">
        <v>717</v>
      </c>
      <c r="D146" s="19">
        <v>5.0</v>
      </c>
      <c r="E146" s="19" t="s">
        <v>718</v>
      </c>
      <c r="F146" s="19">
        <v>3.0</v>
      </c>
      <c r="G146" s="21">
        <v>45950.99791666667</v>
      </c>
      <c r="H146" s="19" t="s">
        <v>379</v>
      </c>
      <c r="I146" s="22" t="s">
        <v>719</v>
      </c>
      <c r="J146" s="23" t="str">
        <f>IFERROR(__xludf.DUMMYFUNCTION("ARRAYFORMULA(REGEXEXTRACT(SPLIT(C146, ""&lt;br&gt;""), ""([가-힣A-Za-z]+)""))"),"테리")</f>
        <v>테리</v>
      </c>
      <c r="K146" s="24" t="str">
        <f>IFERROR(__xludf.DUMMYFUNCTION("""COMPUTED_VALUE"""),"규식")</f>
        <v>규식</v>
      </c>
      <c r="L146" s="24" t="str">
        <f>IFERROR(__xludf.DUMMYFUNCTION("""COMPUTED_VALUE"""),"학생")</f>
        <v>학생</v>
      </c>
      <c r="M146" s="24" t="str">
        <f>IFERROR(__xludf.DUMMYFUNCTION("""COMPUTED_VALUE"""),"한메")</f>
        <v>한메</v>
      </c>
      <c r="N146" s="24" t="str">
        <f>IFERROR(__xludf.DUMMYFUNCTION("ARRAYFORMULA(REGEXEXTRACT(SPLIT(E146, ""&lt;br&gt;""), ""([가-힣A-Za-z]+)""))"),"재우")</f>
        <v>재우</v>
      </c>
      <c r="O146" s="24" t="str">
        <f>IFERROR(__xludf.DUMMYFUNCTION("""COMPUTED_VALUE"""),"짱구")</f>
        <v>짱구</v>
      </c>
      <c r="P146" s="24" t="str">
        <f>IFERROR(__xludf.DUMMYFUNCTION("""COMPUTED_VALUE"""),"신형만")</f>
        <v>신형만</v>
      </c>
      <c r="Q146" s="24" t="str">
        <f>IFERROR(__xludf.DUMMYFUNCTION("""COMPUTED_VALUE"""),"깡패")</f>
        <v>깡패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9" t="s">
        <v>720</v>
      </c>
      <c r="B147" s="20" t="s">
        <v>721</v>
      </c>
      <c r="C147" s="19" t="s">
        <v>722</v>
      </c>
      <c r="D147" s="19">
        <v>5.0</v>
      </c>
      <c r="E147" s="19" t="s">
        <v>723</v>
      </c>
      <c r="F147" s="19">
        <v>4.0</v>
      </c>
      <c r="G147" s="21">
        <v>45950.9625</v>
      </c>
      <c r="H147" s="19" t="s">
        <v>379</v>
      </c>
      <c r="I147" s="22" t="s">
        <v>719</v>
      </c>
      <c r="J147" s="23" t="str">
        <f>IFERROR(__xludf.DUMMYFUNCTION("ARRAYFORMULA(REGEXEXTRACT(SPLIT(C147, ""&lt;br&gt;""), ""([가-힣A-Za-z]+)""))"),"한메")</f>
        <v>한메</v>
      </c>
      <c r="K147" s="24" t="str">
        <f>IFERROR(__xludf.DUMMYFUNCTION("""COMPUTED_VALUE"""),"규식")</f>
        <v>규식</v>
      </c>
      <c r="L147" s="24" t="str">
        <f>IFERROR(__xludf.DUMMYFUNCTION("""COMPUTED_VALUE"""),"학생")</f>
        <v>학생</v>
      </c>
      <c r="M147" s="24" t="str">
        <f>IFERROR(__xludf.DUMMYFUNCTION("""COMPUTED_VALUE"""),"기재")</f>
        <v>기재</v>
      </c>
      <c r="N147" s="24" t="str">
        <f>IFERROR(__xludf.DUMMYFUNCTION("ARRAYFORMULA(REGEXEXTRACT(SPLIT(E147, ""&lt;br&gt;""), ""([가-힣A-Za-z]+)""))"),"노인")</f>
        <v>노인</v>
      </c>
      <c r="O147" s="24" t="str">
        <f>IFERROR(__xludf.DUMMYFUNCTION("""COMPUTED_VALUE"""),"신형만")</f>
        <v>신형만</v>
      </c>
      <c r="P147" s="24" t="str">
        <f>IFERROR(__xludf.DUMMYFUNCTION("""COMPUTED_VALUE"""),"깡패")</f>
        <v>깡패</v>
      </c>
      <c r="Q147" s="24" t="str">
        <f>IFERROR(__xludf.DUMMYFUNCTION("""COMPUTED_VALUE"""),"재우")</f>
        <v>재우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9" t="s">
        <v>724</v>
      </c>
      <c r="B148" s="20" t="s">
        <v>725</v>
      </c>
      <c r="C148" s="19" t="s">
        <v>726</v>
      </c>
      <c r="D148" s="19">
        <v>5.0</v>
      </c>
      <c r="E148" s="19" t="s">
        <v>727</v>
      </c>
      <c r="F148" s="19">
        <v>3.0</v>
      </c>
      <c r="G148" s="21">
        <v>45950.029861111114</v>
      </c>
      <c r="H148" s="19" t="s">
        <v>379</v>
      </c>
      <c r="I148" s="22" t="s">
        <v>728</v>
      </c>
      <c r="J148" s="23" t="str">
        <f>IFERROR(__xludf.DUMMYFUNCTION("ARRAYFORMULA(REGEXEXTRACT(SPLIT(C148, ""&lt;br&gt;""), ""([가-힣A-Za-z]+)""))"),"노인")</f>
        <v>노인</v>
      </c>
      <c r="K148" s="24" t="str">
        <f>IFERROR(__xludf.DUMMYFUNCTION("""COMPUTED_VALUE"""),"깡패")</f>
        <v>깡패</v>
      </c>
      <c r="L148" s="24" t="str">
        <f>IFERROR(__xludf.DUMMYFUNCTION("""COMPUTED_VALUE"""),"솔")</f>
        <v>솔</v>
      </c>
      <c r="M148" s="24" t="str">
        <f>IFERROR(__xludf.DUMMYFUNCTION("""COMPUTED_VALUE"""),"넘버")</f>
        <v>넘버</v>
      </c>
      <c r="N148" s="24" t="str">
        <f>IFERROR(__xludf.DUMMYFUNCTION("ARRAYFORMULA(REGEXEXTRACT(SPLIT(E148, ""&lt;br&gt;""), ""([가-힣A-Za-z]+)""))"),"한메")</f>
        <v>한메</v>
      </c>
      <c r="O148" s="24" t="str">
        <f>IFERROR(__xludf.DUMMYFUNCTION("""COMPUTED_VALUE"""),"규식")</f>
        <v>규식</v>
      </c>
      <c r="P148" s="24" t="str">
        <f>IFERROR(__xludf.DUMMYFUNCTION("""COMPUTED_VALUE"""),"기재")</f>
        <v>기재</v>
      </c>
      <c r="Q148" s="24" t="str">
        <f>IFERROR(__xludf.DUMMYFUNCTION("""COMPUTED_VALUE"""),"참치")</f>
        <v>참치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9" t="s">
        <v>729</v>
      </c>
      <c r="B149" s="20" t="s">
        <v>730</v>
      </c>
      <c r="C149" s="19" t="s">
        <v>731</v>
      </c>
      <c r="D149" s="19">
        <v>5.0</v>
      </c>
      <c r="E149" s="19" t="s">
        <v>732</v>
      </c>
      <c r="F149" s="19">
        <v>1.0</v>
      </c>
      <c r="G149" s="21">
        <v>45949.998611111114</v>
      </c>
      <c r="H149" s="19" t="s">
        <v>379</v>
      </c>
      <c r="I149" s="22" t="s">
        <v>733</v>
      </c>
      <c r="J149" s="23" t="str">
        <f>IFERROR(__xludf.DUMMYFUNCTION("ARRAYFORMULA(REGEXEXTRACT(SPLIT(C149, ""&lt;br&gt;""), ""([가-힣A-Za-z]+)""))"),"깡패")</f>
        <v>깡패</v>
      </c>
      <c r="K149" s="24" t="str">
        <f>IFERROR(__xludf.DUMMYFUNCTION("""COMPUTED_VALUE"""),"노인")</f>
        <v>노인</v>
      </c>
      <c r="L149" s="24" t="str">
        <f>IFERROR(__xludf.DUMMYFUNCTION("""COMPUTED_VALUE"""),"한메")</f>
        <v>한메</v>
      </c>
      <c r="M149" s="24" t="str">
        <f>IFERROR(__xludf.DUMMYFUNCTION("""COMPUTED_VALUE"""),"기재")</f>
        <v>기재</v>
      </c>
      <c r="N149" s="24" t="str">
        <f>IFERROR(__xludf.DUMMYFUNCTION("ARRAYFORMULA(REGEXEXTRACT(SPLIT(E149, ""&lt;br&gt;""), ""([가-힣A-Za-z]+)""))"),"넘버")</f>
        <v>넘버</v>
      </c>
      <c r="O149" s="24" t="str">
        <f>IFERROR(__xludf.DUMMYFUNCTION("""COMPUTED_VALUE"""),"솔")</f>
        <v>솔</v>
      </c>
      <c r="P149" s="24" t="str">
        <f>IFERROR(__xludf.DUMMYFUNCTION("""COMPUTED_VALUE"""),"GYUL")</f>
        <v>GYUL</v>
      </c>
      <c r="Q149" s="24" t="str">
        <f>IFERROR(__xludf.DUMMYFUNCTION("""COMPUTED_VALUE"""),"규식")</f>
        <v>규식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9" t="s">
        <v>734</v>
      </c>
      <c r="B150" s="20" t="s">
        <v>735</v>
      </c>
      <c r="C150" s="19" t="s">
        <v>736</v>
      </c>
      <c r="D150" s="19">
        <v>5.0</v>
      </c>
      <c r="E150" s="19" t="s">
        <v>737</v>
      </c>
      <c r="F150" s="19">
        <v>2.0</v>
      </c>
      <c r="G150" s="21">
        <v>45949.98402777778</v>
      </c>
      <c r="H150" s="19" t="s">
        <v>379</v>
      </c>
      <c r="I150" s="22" t="s">
        <v>733</v>
      </c>
      <c r="J150" s="23" t="str">
        <f>IFERROR(__xludf.DUMMYFUNCTION("ARRAYFORMULA(REGEXEXTRACT(SPLIT(C150, ""&lt;br&gt;""), ""([가-힣A-Za-z]+)""))"),"노인")</f>
        <v>노인</v>
      </c>
      <c r="K150" s="24" t="str">
        <f>IFERROR(__xludf.DUMMYFUNCTION("""COMPUTED_VALUE"""),"규식")</f>
        <v>규식</v>
      </c>
      <c r="L150" s="24" t="str">
        <f>IFERROR(__xludf.DUMMYFUNCTION("""COMPUTED_VALUE"""),"깡패")</f>
        <v>깡패</v>
      </c>
      <c r="M150" s="24" t="str">
        <f>IFERROR(__xludf.DUMMYFUNCTION("""COMPUTED_VALUE"""),"솔")</f>
        <v>솔</v>
      </c>
      <c r="N150" s="24" t="str">
        <f>IFERROR(__xludf.DUMMYFUNCTION("ARRAYFORMULA(REGEXEXTRACT(SPLIT(E150, ""&lt;br&gt;""), ""([가-힣A-Za-z]+)""))"),"한메")</f>
        <v>한메</v>
      </c>
      <c r="O150" s="24" t="str">
        <f>IFERROR(__xludf.DUMMYFUNCTION("""COMPUTED_VALUE"""),"넘버")</f>
        <v>넘버</v>
      </c>
      <c r="P150" s="24" t="str">
        <f>IFERROR(__xludf.DUMMYFUNCTION("""COMPUTED_VALUE"""),"기재")</f>
        <v>기재</v>
      </c>
      <c r="Q150" s="24" t="str">
        <f>IFERROR(__xludf.DUMMYFUNCTION("""COMPUTED_VALUE"""),"GYUL")</f>
        <v>GYUL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9" t="s">
        <v>738</v>
      </c>
      <c r="B151" s="20" t="s">
        <v>739</v>
      </c>
      <c r="C151" s="19" t="s">
        <v>740</v>
      </c>
      <c r="D151" s="19">
        <v>5.0</v>
      </c>
      <c r="E151" s="19" t="s">
        <v>741</v>
      </c>
      <c r="F151" s="19">
        <v>1.0</v>
      </c>
      <c r="G151" s="21">
        <v>45949.964583333334</v>
      </c>
      <c r="H151" s="19" t="s">
        <v>379</v>
      </c>
      <c r="I151" s="22" t="s">
        <v>742</v>
      </c>
      <c r="J151" s="23" t="str">
        <f>IFERROR(__xludf.DUMMYFUNCTION("ARRAYFORMULA(REGEXEXTRACT(SPLIT(C151, ""&lt;br&gt;""), ""([가-힣A-Za-z]+)""))"),"기재")</f>
        <v>기재</v>
      </c>
      <c r="K151" s="24" t="str">
        <f>IFERROR(__xludf.DUMMYFUNCTION("""COMPUTED_VALUE"""),"노인")</f>
        <v>노인</v>
      </c>
      <c r="L151" s="24" t="str">
        <f>IFERROR(__xludf.DUMMYFUNCTION("""COMPUTED_VALUE"""),"필찌")</f>
        <v>필찌</v>
      </c>
      <c r="M151" s="24" t="str">
        <f>IFERROR(__xludf.DUMMYFUNCTION("""COMPUTED_VALUE"""),"GYUL")</f>
        <v>GYUL</v>
      </c>
      <c r="N151" s="24" t="str">
        <f>IFERROR(__xludf.DUMMYFUNCTION("ARRAYFORMULA(REGEXEXTRACT(SPLIT(E151, ""&lt;br&gt;""), ""([가-힣A-Za-z]+)""))"),"한메")</f>
        <v>한메</v>
      </c>
      <c r="O151" s="24" t="str">
        <f>IFERROR(__xludf.DUMMYFUNCTION("""COMPUTED_VALUE"""),"ACDC")</f>
        <v>ACDC</v>
      </c>
      <c r="P151" s="24" t="str">
        <f>IFERROR(__xludf.DUMMYFUNCTION("""COMPUTED_VALUE"""),"깡패")</f>
        <v>깡패</v>
      </c>
      <c r="Q151" s="24" t="str">
        <f>IFERROR(__xludf.DUMMYFUNCTION("""COMPUTED_VALUE"""),"솔")</f>
        <v>솔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9" t="s">
        <v>743</v>
      </c>
      <c r="B152" s="20" t="s">
        <v>744</v>
      </c>
      <c r="C152" s="19" t="s">
        <v>745</v>
      </c>
      <c r="D152" s="19">
        <v>5.0</v>
      </c>
      <c r="E152" s="19" t="s">
        <v>746</v>
      </c>
      <c r="F152" s="19">
        <v>3.0</v>
      </c>
      <c r="G152" s="21">
        <v>45949.94236111111</v>
      </c>
      <c r="H152" s="19" t="s">
        <v>379</v>
      </c>
      <c r="I152" s="22" t="s">
        <v>742</v>
      </c>
      <c r="J152" s="23" t="str">
        <f>IFERROR(__xludf.DUMMYFUNCTION("ARRAYFORMULA(REGEXEXTRACT(SPLIT(C152, ""&lt;br&gt;""), ""([가-힣A-Za-z]+)""))"),"노인")</f>
        <v>노인</v>
      </c>
      <c r="K152" s="24" t="str">
        <f>IFERROR(__xludf.DUMMYFUNCTION("""COMPUTED_VALUE"""),"필찌")</f>
        <v>필찌</v>
      </c>
      <c r="L152" s="24" t="str">
        <f>IFERROR(__xludf.DUMMYFUNCTION("""COMPUTED_VALUE"""),"솔")</f>
        <v>솔</v>
      </c>
      <c r="M152" s="24" t="str">
        <f>IFERROR(__xludf.DUMMYFUNCTION("""COMPUTED_VALUE"""),"한메")</f>
        <v>한메</v>
      </c>
      <c r="N152" s="24" t="str">
        <f>IFERROR(__xludf.DUMMYFUNCTION("ARRAYFORMULA(REGEXEXTRACT(SPLIT(E152, ""&lt;br&gt;""), ""([가-힣A-Za-z]+)""))"),"깡패")</f>
        <v>깡패</v>
      </c>
      <c r="O152" s="24" t="str">
        <f>IFERROR(__xludf.DUMMYFUNCTION("""COMPUTED_VALUE"""),"GYUL")</f>
        <v>GYUL</v>
      </c>
      <c r="P152" s="24" t="str">
        <f>IFERROR(__xludf.DUMMYFUNCTION("""COMPUTED_VALUE"""),"ACDC")</f>
        <v>ACDC</v>
      </c>
      <c r="Q152" s="24" t="str">
        <f>IFERROR(__xludf.DUMMYFUNCTION("""COMPUTED_VALUE"""),"기재")</f>
        <v>기재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9" t="s">
        <v>747</v>
      </c>
      <c r="B153" s="20" t="s">
        <v>748</v>
      </c>
      <c r="C153" s="19" t="s">
        <v>749</v>
      </c>
      <c r="D153" s="19">
        <v>5.0</v>
      </c>
      <c r="E153" s="19" t="s">
        <v>750</v>
      </c>
      <c r="F153" s="19">
        <v>1.0</v>
      </c>
      <c r="G153" s="21">
        <v>45949.907638888886</v>
      </c>
      <c r="H153" s="19" t="s">
        <v>379</v>
      </c>
      <c r="I153" s="22" t="s">
        <v>742</v>
      </c>
      <c r="J153" s="23" t="str">
        <f>IFERROR(__xludf.DUMMYFUNCTION("ARRAYFORMULA(REGEXEXTRACT(SPLIT(C153, ""&lt;br&gt;""), ""([가-힣A-Za-z]+)""))"),"솔")</f>
        <v>솔</v>
      </c>
      <c r="K153" s="24" t="str">
        <f>IFERROR(__xludf.DUMMYFUNCTION("""COMPUTED_VALUE"""),"GYUL")</f>
        <v>GYUL</v>
      </c>
      <c r="L153" s="24" t="str">
        <f>IFERROR(__xludf.DUMMYFUNCTION("""COMPUTED_VALUE"""),"노픽업")</f>
        <v>노픽업</v>
      </c>
      <c r="M153" s="24" t="str">
        <f>IFERROR(__xludf.DUMMYFUNCTION("""COMPUTED_VALUE"""),"깡패")</f>
        <v>깡패</v>
      </c>
      <c r="N153" s="24" t="str">
        <f>IFERROR(__xludf.DUMMYFUNCTION("ARRAYFORMULA(REGEXEXTRACT(SPLIT(E153, ""&lt;br&gt;""), ""([가-힣A-Za-z]+)""))"),"ACDC")</f>
        <v>ACDC</v>
      </c>
      <c r="O153" s="24" t="str">
        <f>IFERROR(__xludf.DUMMYFUNCTION("""COMPUTED_VALUE"""),"노인")</f>
        <v>노인</v>
      </c>
      <c r="P153" s="24" t="str">
        <f>IFERROR(__xludf.DUMMYFUNCTION("""COMPUTED_VALUE"""),"필찌")</f>
        <v>필찌</v>
      </c>
      <c r="Q153" s="24" t="str">
        <f>IFERROR(__xludf.DUMMYFUNCTION("""COMPUTED_VALUE"""),"규식")</f>
        <v>규식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9" t="s">
        <v>751</v>
      </c>
      <c r="B154" s="20" t="s">
        <v>752</v>
      </c>
      <c r="C154" s="19" t="s">
        <v>753</v>
      </c>
      <c r="D154" s="19">
        <v>5.0</v>
      </c>
      <c r="E154" s="19" t="s">
        <v>754</v>
      </c>
      <c r="F154" s="19">
        <v>0.0</v>
      </c>
      <c r="G154" s="21">
        <v>45949.896527777775</v>
      </c>
      <c r="H154" s="19" t="s">
        <v>379</v>
      </c>
      <c r="I154" s="22" t="s">
        <v>742</v>
      </c>
      <c r="J154" s="23" t="str">
        <f>IFERROR(__xludf.DUMMYFUNCTION("ARRAYFORMULA(REGEXEXTRACT(SPLIT(C154, ""&lt;br&gt;""), ""([가-힣A-Za-z]+)""))"),"노인")</f>
        <v>노인</v>
      </c>
      <c r="K154" s="24" t="str">
        <f>IFERROR(__xludf.DUMMYFUNCTION("""COMPUTED_VALUE"""),"필찌")</f>
        <v>필찌</v>
      </c>
      <c r="L154" s="24" t="str">
        <f>IFERROR(__xludf.DUMMYFUNCTION("""COMPUTED_VALUE"""),"솔")</f>
        <v>솔</v>
      </c>
      <c r="M154" s="24" t="str">
        <f>IFERROR(__xludf.DUMMYFUNCTION("""COMPUTED_VALUE"""),"노픽업")</f>
        <v>노픽업</v>
      </c>
      <c r="N154" s="24" t="str">
        <f>IFERROR(__xludf.DUMMYFUNCTION("ARRAYFORMULA(REGEXEXTRACT(SPLIT(E154, ""&lt;br&gt;""), ""([가-힣A-Za-z]+)""))"),"깡패")</f>
        <v>깡패</v>
      </c>
      <c r="O154" s="24" t="str">
        <f>IFERROR(__xludf.DUMMYFUNCTION("""COMPUTED_VALUE"""),"규식")</f>
        <v>규식</v>
      </c>
      <c r="P154" s="24" t="str">
        <f>IFERROR(__xludf.DUMMYFUNCTION("""COMPUTED_VALUE"""),"ACDC")</f>
        <v>ACDC</v>
      </c>
      <c r="Q154" s="24" t="str">
        <f>IFERROR(__xludf.DUMMYFUNCTION("""COMPUTED_VALUE"""),"GYUL")</f>
        <v>GYUL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9" t="s">
        <v>755</v>
      </c>
      <c r="B155" s="20" t="s">
        <v>756</v>
      </c>
      <c r="C155" s="19" t="s">
        <v>757</v>
      </c>
      <c r="D155" s="19">
        <v>5.0</v>
      </c>
      <c r="E155" s="19" t="s">
        <v>758</v>
      </c>
      <c r="F155" s="19">
        <v>1.0</v>
      </c>
      <c r="G155" s="21">
        <v>45949.87847222222</v>
      </c>
      <c r="H155" s="19" t="s">
        <v>379</v>
      </c>
      <c r="I155" s="22" t="s">
        <v>535</v>
      </c>
      <c r="J155" s="23" t="str">
        <f>IFERROR(__xludf.DUMMYFUNCTION("ARRAYFORMULA(REGEXEXTRACT(SPLIT(C155, ""&lt;br&gt;""), ""([가-힣A-Za-z]+)""))"),"테리")</f>
        <v>테리</v>
      </c>
      <c r="K155" s="24" t="str">
        <f>IFERROR(__xludf.DUMMYFUNCTION("""COMPUTED_VALUE"""),"규식")</f>
        <v>규식</v>
      </c>
      <c r="L155" s="24" t="str">
        <f>IFERROR(__xludf.DUMMYFUNCTION("""COMPUTED_VALUE"""),"노인")</f>
        <v>노인</v>
      </c>
      <c r="M155" s="24" t="str">
        <f>IFERROR(__xludf.DUMMYFUNCTION("""COMPUTED_VALUE"""),"노픽업")</f>
        <v>노픽업</v>
      </c>
      <c r="N155" s="24" t="str">
        <f>IFERROR(__xludf.DUMMYFUNCTION("ARRAYFORMULA(REGEXEXTRACT(SPLIT(E155, ""&lt;br&gt;""), ""([가-힣A-Za-z]+)""))"),"솔")</f>
        <v>솔</v>
      </c>
      <c r="O155" s="24" t="str">
        <f>IFERROR(__xludf.DUMMYFUNCTION("""COMPUTED_VALUE"""),"ACDC")</f>
        <v>ACDC</v>
      </c>
      <c r="P155" s="24" t="str">
        <f>IFERROR(__xludf.DUMMYFUNCTION("""COMPUTED_VALUE"""),"필찌")</f>
        <v>필찌</v>
      </c>
      <c r="Q155" s="24" t="str">
        <f>IFERROR(__xludf.DUMMYFUNCTION("""COMPUTED_VALUE"""),"깡패")</f>
        <v>깡패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9" t="s">
        <v>759</v>
      </c>
      <c r="B156" s="20" t="s">
        <v>760</v>
      </c>
      <c r="C156" s="19" t="s">
        <v>761</v>
      </c>
      <c r="D156" s="19">
        <v>5.0</v>
      </c>
      <c r="E156" s="19" t="s">
        <v>762</v>
      </c>
      <c r="F156" s="19">
        <v>4.0</v>
      </c>
      <c r="G156" s="21">
        <v>45949.86111111111</v>
      </c>
      <c r="H156" s="19" t="s">
        <v>379</v>
      </c>
      <c r="I156" s="22" t="s">
        <v>535</v>
      </c>
      <c r="J156" s="23" t="str">
        <f>IFERROR(__xludf.DUMMYFUNCTION("ARRAYFORMULA(REGEXEXTRACT(SPLIT(C156, ""&lt;br&gt;""), ""([가-힣A-Za-z]+)""))"),"ACDC")</f>
        <v>ACDC</v>
      </c>
      <c r="K156" s="24" t="str">
        <f>IFERROR(__xludf.DUMMYFUNCTION("""COMPUTED_VALUE"""),"테리")</f>
        <v>테리</v>
      </c>
      <c r="L156" s="24" t="str">
        <f>IFERROR(__xludf.DUMMYFUNCTION("""COMPUTED_VALUE"""),"노픽업")</f>
        <v>노픽업</v>
      </c>
      <c r="M156" s="24" t="str">
        <f>IFERROR(__xludf.DUMMYFUNCTION("""COMPUTED_VALUE"""),"솔")</f>
        <v>솔</v>
      </c>
      <c r="N156" s="24" t="str">
        <f>IFERROR(__xludf.DUMMYFUNCTION("ARRAYFORMULA(REGEXEXTRACT(SPLIT(E156, ""&lt;br&gt;""), ""([가-힣A-Za-z]+)""))"),"필찌")</f>
        <v>필찌</v>
      </c>
      <c r="O156" s="24" t="str">
        <f>IFERROR(__xludf.DUMMYFUNCTION("""COMPUTED_VALUE"""),"노인")</f>
        <v>노인</v>
      </c>
      <c r="P156" s="24" t="str">
        <f>IFERROR(__xludf.DUMMYFUNCTION("""COMPUTED_VALUE"""),"깡패")</f>
        <v>깡패</v>
      </c>
      <c r="Q156" s="24" t="str">
        <f>IFERROR(__xludf.DUMMYFUNCTION("""COMPUTED_VALUE"""),"규식")</f>
        <v>규식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9" t="s">
        <v>763</v>
      </c>
      <c r="B157" s="20" t="s">
        <v>764</v>
      </c>
      <c r="C157" s="19" t="s">
        <v>765</v>
      </c>
      <c r="D157" s="19">
        <v>5.0</v>
      </c>
      <c r="E157" s="19" t="s">
        <v>766</v>
      </c>
      <c r="F157" s="19">
        <v>1.0</v>
      </c>
      <c r="G157" s="21">
        <v>45949.68125</v>
      </c>
      <c r="H157" s="19" t="s">
        <v>379</v>
      </c>
      <c r="I157" s="22" t="s">
        <v>767</v>
      </c>
      <c r="J157" s="23" t="str">
        <f>IFERROR(__xludf.DUMMYFUNCTION("ARRAYFORMULA(REGEXEXTRACT(SPLIT(C157, ""&lt;br&gt;""), ""([가-힣A-Za-z]+)""))"),"용이")</f>
        <v>용이</v>
      </c>
      <c r="K157" s="24" t="str">
        <f>IFERROR(__xludf.DUMMYFUNCTION("""COMPUTED_VALUE"""),"원")</f>
        <v>원</v>
      </c>
      <c r="L157" s="24" t="str">
        <f>IFERROR(__xludf.DUMMYFUNCTION("""COMPUTED_VALUE"""),"넘버")</f>
        <v>넘버</v>
      </c>
      <c r="M157" s="24" t="str">
        <f>IFERROR(__xludf.DUMMYFUNCTION("""COMPUTED_VALUE"""),"신형만")</f>
        <v>신형만</v>
      </c>
      <c r="N157" s="24" t="str">
        <f>IFERROR(__xludf.DUMMYFUNCTION("ARRAYFORMULA(REGEXEXTRACT(SPLIT(E157, ""&lt;br&gt;""), ""([가-힣A-Za-z]+)""))"),"기재")</f>
        <v>기재</v>
      </c>
      <c r="O157" s="24" t="str">
        <f>IFERROR(__xludf.DUMMYFUNCTION("""COMPUTED_VALUE"""),"필찌")</f>
        <v>필찌</v>
      </c>
      <c r="P157" s="24" t="str">
        <f>IFERROR(__xludf.DUMMYFUNCTION("""COMPUTED_VALUE"""),"노픽업")</f>
        <v>노픽업</v>
      </c>
      <c r="Q157" s="24" t="str">
        <f>IFERROR(__xludf.DUMMYFUNCTION("""COMPUTED_VALUE"""),"오딘")</f>
        <v>오딘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9" t="s">
        <v>768</v>
      </c>
      <c r="B158" s="20" t="s">
        <v>769</v>
      </c>
      <c r="C158" s="19" t="s">
        <v>770</v>
      </c>
      <c r="D158" s="19">
        <v>5.0</v>
      </c>
      <c r="E158" s="19" t="s">
        <v>771</v>
      </c>
      <c r="F158" s="19">
        <v>0.0</v>
      </c>
      <c r="G158" s="21">
        <v>45949.665972222225</v>
      </c>
      <c r="H158" s="19" t="s">
        <v>379</v>
      </c>
      <c r="I158" s="22" t="s">
        <v>767</v>
      </c>
      <c r="J158" s="23" t="str">
        <f>IFERROR(__xludf.DUMMYFUNCTION("ARRAYFORMULA(REGEXEXTRACT(SPLIT(C158, ""&lt;br&gt;""), ""([가-힣A-Za-z]+)""))"),"신형만")</f>
        <v>신형만</v>
      </c>
      <c r="K158" s="24" t="str">
        <f>IFERROR(__xludf.DUMMYFUNCTION("""COMPUTED_VALUE"""),"노픽업")</f>
        <v>노픽업</v>
      </c>
      <c r="L158" s="24" t="str">
        <f>IFERROR(__xludf.DUMMYFUNCTION("""COMPUTED_VALUE"""),"기재")</f>
        <v>기재</v>
      </c>
      <c r="M158" s="24" t="str">
        <f>IFERROR(__xludf.DUMMYFUNCTION("""COMPUTED_VALUE"""),"원")</f>
        <v>원</v>
      </c>
      <c r="N158" s="24" t="str">
        <f>IFERROR(__xludf.DUMMYFUNCTION("ARRAYFORMULA(REGEXEXTRACT(SPLIT(E158, ""&lt;br&gt;""), ""([가-힣A-Za-z]+)""))"),"오딘")</f>
        <v>오딘</v>
      </c>
      <c r="O158" s="24" t="str">
        <f>IFERROR(__xludf.DUMMYFUNCTION("""COMPUTED_VALUE"""),"넘버")</f>
        <v>넘버</v>
      </c>
      <c r="P158" s="24" t="str">
        <f>IFERROR(__xludf.DUMMYFUNCTION("""COMPUTED_VALUE"""),"필찌")</f>
        <v>필찌</v>
      </c>
      <c r="Q158" s="24" t="str">
        <f>IFERROR(__xludf.DUMMYFUNCTION("""COMPUTED_VALUE"""),"용이")</f>
        <v>용이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9" t="s">
        <v>772</v>
      </c>
      <c r="B159" s="20" t="s">
        <v>773</v>
      </c>
      <c r="C159" s="19" t="s">
        <v>774</v>
      </c>
      <c r="D159" s="19">
        <v>5.0</v>
      </c>
      <c r="E159" s="19" t="s">
        <v>775</v>
      </c>
      <c r="F159" s="19">
        <v>4.0</v>
      </c>
      <c r="G159" s="21">
        <v>45949.65</v>
      </c>
      <c r="H159" s="19" t="s">
        <v>379</v>
      </c>
      <c r="I159" s="22" t="s">
        <v>767</v>
      </c>
      <c r="J159" s="23" t="str">
        <f>IFERROR(__xludf.DUMMYFUNCTION("ARRAYFORMULA(REGEXEXTRACT(SPLIT(C159, ""&lt;br&gt;""), ""([가-힣A-Za-z]+)""))"),"넘버")</f>
        <v>넘버</v>
      </c>
      <c r="K159" s="24" t="str">
        <f>IFERROR(__xludf.DUMMYFUNCTION("""COMPUTED_VALUE"""),"필찌")</f>
        <v>필찌</v>
      </c>
      <c r="L159" s="24" t="str">
        <f>IFERROR(__xludf.DUMMYFUNCTION("""COMPUTED_VALUE"""),"노픽업")</f>
        <v>노픽업</v>
      </c>
      <c r="M159" s="24" t="str">
        <f>IFERROR(__xludf.DUMMYFUNCTION("""COMPUTED_VALUE"""),"기재")</f>
        <v>기재</v>
      </c>
      <c r="N159" s="24" t="str">
        <f>IFERROR(__xludf.DUMMYFUNCTION("ARRAYFORMULA(REGEXEXTRACT(SPLIT(E159, ""&lt;br&gt;""), ""([가-힣A-Za-z]+)""))"),"용이")</f>
        <v>용이</v>
      </c>
      <c r="O159" s="24" t="str">
        <f>IFERROR(__xludf.DUMMYFUNCTION("""COMPUTED_VALUE"""),"오딘")</f>
        <v>오딘</v>
      </c>
      <c r="P159" s="24" t="str">
        <f>IFERROR(__xludf.DUMMYFUNCTION("""COMPUTED_VALUE"""),"원")</f>
        <v>원</v>
      </c>
      <c r="Q159" s="24" t="str">
        <f>IFERROR(__xludf.DUMMYFUNCTION("""COMPUTED_VALUE"""),"신형만")</f>
        <v>신형만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9" t="s">
        <v>776</v>
      </c>
      <c r="B160" s="20" t="s">
        <v>777</v>
      </c>
      <c r="C160" s="19" t="s">
        <v>778</v>
      </c>
      <c r="D160" s="19">
        <v>5.0</v>
      </c>
      <c r="E160" s="19" t="s">
        <v>779</v>
      </c>
      <c r="F160" s="19">
        <v>3.0</v>
      </c>
      <c r="G160" s="21">
        <v>45949.62291666667</v>
      </c>
      <c r="H160" s="19" t="s">
        <v>379</v>
      </c>
      <c r="I160" s="22" t="s">
        <v>767</v>
      </c>
      <c r="J160" s="23" t="str">
        <f>IFERROR(__xludf.DUMMYFUNCTION("ARRAYFORMULA(REGEXEXTRACT(SPLIT(C160, ""&lt;br&gt;""), ""([가-힣A-Za-z]+)""))"),"오딘")</f>
        <v>오딘</v>
      </c>
      <c r="K160" s="24" t="str">
        <f>IFERROR(__xludf.DUMMYFUNCTION("""COMPUTED_VALUE"""),"신형만")</f>
        <v>신형만</v>
      </c>
      <c r="L160" s="24" t="str">
        <f>IFERROR(__xludf.DUMMYFUNCTION("""COMPUTED_VALUE"""),"기재")</f>
        <v>기재</v>
      </c>
      <c r="M160" s="24" t="str">
        <f>IFERROR(__xludf.DUMMYFUNCTION("""COMPUTED_VALUE"""),"넘버")</f>
        <v>넘버</v>
      </c>
      <c r="N160" s="24" t="str">
        <f>IFERROR(__xludf.DUMMYFUNCTION("ARRAYFORMULA(REGEXEXTRACT(SPLIT(E160, ""&lt;br&gt;""), ""([가-힣A-Za-z]+)""))"),"필찌")</f>
        <v>필찌</v>
      </c>
      <c r="O160" s="24" t="str">
        <f>IFERROR(__xludf.DUMMYFUNCTION("""COMPUTED_VALUE"""),"노픽업")</f>
        <v>노픽업</v>
      </c>
      <c r="P160" s="24" t="str">
        <f>IFERROR(__xludf.DUMMYFUNCTION("""COMPUTED_VALUE"""),"용이")</f>
        <v>용이</v>
      </c>
      <c r="Q160" s="24" t="str">
        <f>IFERROR(__xludf.DUMMYFUNCTION("""COMPUTED_VALUE"""),"원")</f>
        <v>원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9" t="s">
        <v>780</v>
      </c>
      <c r="B161" s="20" t="s">
        <v>781</v>
      </c>
      <c r="C161" s="19" t="s">
        <v>782</v>
      </c>
      <c r="D161" s="19">
        <v>5.0</v>
      </c>
      <c r="E161" s="19" t="s">
        <v>783</v>
      </c>
      <c r="F161" s="19">
        <v>2.0</v>
      </c>
      <c r="G161" s="21">
        <v>45949.586805555555</v>
      </c>
      <c r="H161" s="19" t="s">
        <v>379</v>
      </c>
      <c r="I161" s="22" t="s">
        <v>784</v>
      </c>
      <c r="J161" s="23" t="str">
        <f>IFERROR(__xludf.DUMMYFUNCTION("ARRAYFORMULA(REGEXEXTRACT(SPLIT(C161, ""&lt;br&gt;""), ""([가-힣A-Za-z]+)""))"),"신형만")</f>
        <v>신형만</v>
      </c>
      <c r="K161" s="24" t="str">
        <f>IFERROR(__xludf.DUMMYFUNCTION("""COMPUTED_VALUE"""),"테리")</f>
        <v>테리</v>
      </c>
      <c r="L161" s="24" t="str">
        <f>IFERROR(__xludf.DUMMYFUNCTION("""COMPUTED_VALUE"""),"기재")</f>
        <v>기재</v>
      </c>
      <c r="M161" s="24" t="str">
        <f>IFERROR(__xludf.DUMMYFUNCTION("""COMPUTED_VALUE"""),"넘버")</f>
        <v>넘버</v>
      </c>
      <c r="N161" s="24" t="str">
        <f>IFERROR(__xludf.DUMMYFUNCTION("ARRAYFORMULA(REGEXEXTRACT(SPLIT(E161, ""&lt;br&gt;""), ""([가-힣A-Za-z]+)""))"),"짱구")</f>
        <v>짱구</v>
      </c>
      <c r="O161" s="24" t="str">
        <f>IFERROR(__xludf.DUMMYFUNCTION("""COMPUTED_VALUE"""),"필찌")</f>
        <v>필찌</v>
      </c>
      <c r="P161" s="24" t="str">
        <f>IFERROR(__xludf.DUMMYFUNCTION("""COMPUTED_VALUE"""),"용이")</f>
        <v>용이</v>
      </c>
      <c r="Q161" s="24" t="str">
        <f>IFERROR(__xludf.DUMMYFUNCTION("""COMPUTED_VALUE"""),"노픽업")</f>
        <v>노픽업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9" t="s">
        <v>785</v>
      </c>
      <c r="B162" s="20" t="s">
        <v>786</v>
      </c>
      <c r="C162" s="19" t="s">
        <v>787</v>
      </c>
      <c r="D162" s="19">
        <v>5.0</v>
      </c>
      <c r="E162" s="19" t="s">
        <v>788</v>
      </c>
      <c r="F162" s="19">
        <v>3.0</v>
      </c>
      <c r="G162" s="21">
        <v>45949.566666666666</v>
      </c>
      <c r="H162" s="19" t="s">
        <v>379</v>
      </c>
      <c r="I162" s="22" t="s">
        <v>784</v>
      </c>
      <c r="J162" s="23" t="str">
        <f>IFERROR(__xludf.DUMMYFUNCTION("ARRAYFORMULA(REGEXEXTRACT(SPLIT(C162, ""&lt;br&gt;""), ""([가-힣A-Za-z]+)""))"),"필찌")</f>
        <v>필찌</v>
      </c>
      <c r="K162" s="24" t="str">
        <f>IFERROR(__xludf.DUMMYFUNCTION("""COMPUTED_VALUE"""),"짱구")</f>
        <v>짱구</v>
      </c>
      <c r="L162" s="24" t="str">
        <f>IFERROR(__xludf.DUMMYFUNCTION("""COMPUTED_VALUE"""),"넘버")</f>
        <v>넘버</v>
      </c>
      <c r="M162" s="24" t="str">
        <f>IFERROR(__xludf.DUMMYFUNCTION("""COMPUTED_VALUE"""),"규식")</f>
        <v>규식</v>
      </c>
      <c r="N162" s="24" t="str">
        <f>IFERROR(__xludf.DUMMYFUNCTION("ARRAYFORMULA(REGEXEXTRACT(SPLIT(E162, ""&lt;br&gt;""), ""([가-힣A-Za-z]+)""))"),"용이")</f>
        <v>용이</v>
      </c>
      <c r="O162" s="24" t="str">
        <f>IFERROR(__xludf.DUMMYFUNCTION("""COMPUTED_VALUE"""),"노픽업")</f>
        <v>노픽업</v>
      </c>
      <c r="P162" s="24" t="str">
        <f>IFERROR(__xludf.DUMMYFUNCTION("""COMPUTED_VALUE"""),"신형만")</f>
        <v>신형만</v>
      </c>
      <c r="Q162" s="24" t="str">
        <f>IFERROR(__xludf.DUMMYFUNCTION("""COMPUTED_VALUE"""),"기재")</f>
        <v>기재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9" t="s">
        <v>789</v>
      </c>
      <c r="B163" s="20" t="s">
        <v>790</v>
      </c>
      <c r="C163" s="19" t="s">
        <v>791</v>
      </c>
      <c r="D163" s="19">
        <v>5.0</v>
      </c>
      <c r="E163" s="19" t="s">
        <v>792</v>
      </c>
      <c r="F163" s="19">
        <v>2.0</v>
      </c>
      <c r="G163" s="21">
        <v>45949.53055555555</v>
      </c>
      <c r="H163" s="19" t="s">
        <v>379</v>
      </c>
      <c r="I163" s="22" t="s">
        <v>784</v>
      </c>
      <c r="J163" s="23" t="str">
        <f>IFERROR(__xludf.DUMMYFUNCTION("ARRAYFORMULA(REGEXEXTRACT(SPLIT(C163, ""&lt;br&gt;""), ""([가-힣A-Za-z]+)""))"),"기재")</f>
        <v>기재</v>
      </c>
      <c r="K163" s="24" t="str">
        <f>IFERROR(__xludf.DUMMYFUNCTION("""COMPUTED_VALUE"""),"규식")</f>
        <v>규식</v>
      </c>
      <c r="L163" s="24" t="str">
        <f>IFERROR(__xludf.DUMMYFUNCTION("""COMPUTED_VALUE"""),"용이")</f>
        <v>용이</v>
      </c>
      <c r="M163" s="24" t="str">
        <f>IFERROR(__xludf.DUMMYFUNCTION("""COMPUTED_VALUE"""),"넘버")</f>
        <v>넘버</v>
      </c>
      <c r="N163" s="24" t="str">
        <f>IFERROR(__xludf.DUMMYFUNCTION("ARRAYFORMULA(REGEXEXTRACT(SPLIT(E163, ""&lt;br&gt;""), ""([가-힣A-Za-z]+)""))"),"신형만")</f>
        <v>신형만</v>
      </c>
      <c r="O163" s="24" t="str">
        <f>IFERROR(__xludf.DUMMYFUNCTION("""COMPUTED_VALUE"""),"필찌")</f>
        <v>필찌</v>
      </c>
      <c r="P163" s="24" t="str">
        <f>IFERROR(__xludf.DUMMYFUNCTION("""COMPUTED_VALUE"""),"짱구")</f>
        <v>짱구</v>
      </c>
      <c r="Q163" s="24" t="str">
        <f>IFERROR(__xludf.DUMMYFUNCTION("""COMPUTED_VALUE"""),"노픽업")</f>
        <v>노픽업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9" t="s">
        <v>793</v>
      </c>
      <c r="B164" s="20" t="s">
        <v>794</v>
      </c>
      <c r="C164" s="19" t="s">
        <v>795</v>
      </c>
      <c r="D164" s="19">
        <v>5.0</v>
      </c>
      <c r="E164" s="19" t="s">
        <v>796</v>
      </c>
      <c r="F164" s="19">
        <v>0.0</v>
      </c>
      <c r="G164" s="21">
        <v>45949.07638888889</v>
      </c>
      <c r="H164" s="19" t="s">
        <v>379</v>
      </c>
      <c r="I164" s="22" t="s">
        <v>797</v>
      </c>
      <c r="J164" s="23" t="str">
        <f>IFERROR(__xludf.DUMMYFUNCTION("ARRAYFORMULA(REGEXEXTRACT(SPLIT(C164, ""&lt;br&gt;""), ""([가-힣A-Za-z]+)""))"),"ACDC")</f>
        <v>ACDC</v>
      </c>
      <c r="K164" s="24" t="str">
        <f>IFERROR(__xludf.DUMMYFUNCTION("""COMPUTED_VALUE"""),"참치")</f>
        <v>참치</v>
      </c>
      <c r="L164" s="24" t="str">
        <f>IFERROR(__xludf.DUMMYFUNCTION("""COMPUTED_VALUE"""),"원")</f>
        <v>원</v>
      </c>
      <c r="M164" s="24" t="str">
        <f>IFERROR(__xludf.DUMMYFUNCTION("""COMPUTED_VALUE"""),"한메")</f>
        <v>한메</v>
      </c>
      <c r="N164" s="24" t="str">
        <f>IFERROR(__xludf.DUMMYFUNCTION("ARRAYFORMULA(REGEXEXTRACT(SPLIT(E164, ""&lt;br&gt;""), ""([가-힣A-Za-z]+)""))"),"기재")</f>
        <v>기재</v>
      </c>
      <c r="O164" s="24" t="str">
        <f>IFERROR(__xludf.DUMMYFUNCTION("""COMPUTED_VALUE"""),"신형만")</f>
        <v>신형만</v>
      </c>
      <c r="P164" s="24" t="str">
        <f>IFERROR(__xludf.DUMMYFUNCTION("""COMPUTED_VALUE"""),"짱구")</f>
        <v>짱구</v>
      </c>
      <c r="Q164" s="24" t="str">
        <f>IFERROR(__xludf.DUMMYFUNCTION("""COMPUTED_VALUE"""),"넘버")</f>
        <v>넘버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9" t="s">
        <v>798</v>
      </c>
      <c r="B165" s="20" t="s">
        <v>799</v>
      </c>
      <c r="C165" s="19" t="s">
        <v>800</v>
      </c>
      <c r="D165" s="19">
        <v>5.0</v>
      </c>
      <c r="E165" s="19" t="s">
        <v>801</v>
      </c>
      <c r="F165" s="19">
        <v>1.0</v>
      </c>
      <c r="G165" s="21">
        <v>45949.05902777778</v>
      </c>
      <c r="H165" s="19" t="s">
        <v>379</v>
      </c>
      <c r="I165" s="22" t="s">
        <v>797</v>
      </c>
      <c r="J165" s="23" t="str">
        <f>IFERROR(__xludf.DUMMYFUNCTION("ARRAYFORMULA(REGEXEXTRACT(SPLIT(C165, ""&lt;br&gt;""), ""([가-힣A-Za-z]+)""))"),"참치")</f>
        <v>참치</v>
      </c>
      <c r="K165" s="24" t="str">
        <f>IFERROR(__xludf.DUMMYFUNCTION("""COMPUTED_VALUE"""),"넘버")</f>
        <v>넘버</v>
      </c>
      <c r="L165" s="24" t="str">
        <f>IFERROR(__xludf.DUMMYFUNCTION("""COMPUTED_VALUE"""),"짱구")</f>
        <v>짱구</v>
      </c>
      <c r="M165" s="24" t="str">
        <f>IFERROR(__xludf.DUMMYFUNCTION("""COMPUTED_VALUE"""),"원")</f>
        <v>원</v>
      </c>
      <c r="N165" s="24" t="str">
        <f>IFERROR(__xludf.DUMMYFUNCTION("ARRAYFORMULA(REGEXEXTRACT(SPLIT(E165, ""&lt;br&gt;""), ""([가-힣A-Za-z]+)""))"),"필찌")</f>
        <v>필찌</v>
      </c>
      <c r="O165" s="24" t="str">
        <f>IFERROR(__xludf.DUMMYFUNCTION("""COMPUTED_VALUE"""),"ACDC")</f>
        <v>ACDC</v>
      </c>
      <c r="P165" s="24" t="str">
        <f>IFERROR(__xludf.DUMMYFUNCTION("""COMPUTED_VALUE"""),"신형만")</f>
        <v>신형만</v>
      </c>
      <c r="Q165" s="24" t="str">
        <f>IFERROR(__xludf.DUMMYFUNCTION("""COMPUTED_VALUE"""),"기재")</f>
        <v>기재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9" t="s">
        <v>802</v>
      </c>
      <c r="B166" s="20" t="s">
        <v>803</v>
      </c>
      <c r="C166" s="19" t="s">
        <v>804</v>
      </c>
      <c r="D166" s="19">
        <v>5.0</v>
      </c>
      <c r="E166" s="19" t="s">
        <v>805</v>
      </c>
      <c r="F166" s="19">
        <v>4.0</v>
      </c>
      <c r="G166" s="21">
        <v>45949.04305555556</v>
      </c>
      <c r="H166" s="19" t="s">
        <v>379</v>
      </c>
      <c r="I166" s="22" t="s">
        <v>797</v>
      </c>
      <c r="J166" s="23" t="str">
        <f>IFERROR(__xludf.DUMMYFUNCTION("ARRAYFORMULA(REGEXEXTRACT(SPLIT(C166, ""&lt;br&gt;""), ""([가-힣A-Za-z]+)""))"),"신형만")</f>
        <v>신형만</v>
      </c>
      <c r="K166" s="24" t="str">
        <f>IFERROR(__xludf.DUMMYFUNCTION("""COMPUTED_VALUE"""),"짱구")</f>
        <v>짱구</v>
      </c>
      <c r="L166" s="24" t="str">
        <f>IFERROR(__xludf.DUMMYFUNCTION("""COMPUTED_VALUE"""),"기재")</f>
        <v>기재</v>
      </c>
      <c r="M166" s="24" t="str">
        <f>IFERROR(__xludf.DUMMYFUNCTION("""COMPUTED_VALUE"""),"참치")</f>
        <v>참치</v>
      </c>
      <c r="N166" s="24" t="str">
        <f>IFERROR(__xludf.DUMMYFUNCTION("ARRAYFORMULA(REGEXEXTRACT(SPLIT(E166, ""&lt;br&gt;""), ""([가-힣A-Za-z]+)""))"),"ACDC")</f>
        <v>ACDC</v>
      </c>
      <c r="O166" s="24" t="str">
        <f>IFERROR(__xludf.DUMMYFUNCTION("""COMPUTED_VALUE"""),"원")</f>
        <v>원</v>
      </c>
      <c r="P166" s="24" t="str">
        <f>IFERROR(__xludf.DUMMYFUNCTION("""COMPUTED_VALUE"""),"필찌")</f>
        <v>필찌</v>
      </c>
      <c r="Q166" s="24" t="str">
        <f>IFERROR(__xludf.DUMMYFUNCTION("""COMPUTED_VALUE"""),"넘버")</f>
        <v>넘버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9" t="s">
        <v>806</v>
      </c>
      <c r="B167" s="20" t="s">
        <v>807</v>
      </c>
      <c r="C167" s="19" t="s">
        <v>808</v>
      </c>
      <c r="D167" s="19">
        <v>5.0</v>
      </c>
      <c r="E167" s="19" t="s">
        <v>809</v>
      </c>
      <c r="F167" s="19">
        <v>2.0</v>
      </c>
      <c r="G167" s="21">
        <v>45949.00763888889</v>
      </c>
      <c r="H167" s="19" t="s">
        <v>379</v>
      </c>
      <c r="I167" s="22" t="s">
        <v>797</v>
      </c>
      <c r="J167" s="23" t="str">
        <f>IFERROR(__xludf.DUMMYFUNCTION("ARRAYFORMULA(REGEXEXTRACT(SPLIT(C167, ""&lt;br&gt;""), ""([가-힣A-Za-z]+)""))"),"기재")</f>
        <v>기재</v>
      </c>
      <c r="K167" s="24" t="str">
        <f>IFERROR(__xludf.DUMMYFUNCTION("""COMPUTED_VALUE"""),"필찌")</f>
        <v>필찌</v>
      </c>
      <c r="L167" s="24" t="str">
        <f>IFERROR(__xludf.DUMMYFUNCTION("""COMPUTED_VALUE"""),"규식")</f>
        <v>규식</v>
      </c>
      <c r="M167" s="24" t="str">
        <f>IFERROR(__xludf.DUMMYFUNCTION("""COMPUTED_VALUE"""),"원")</f>
        <v>원</v>
      </c>
      <c r="N167" s="24" t="str">
        <f>IFERROR(__xludf.DUMMYFUNCTION("ARRAYFORMULA(REGEXEXTRACT(SPLIT(E167, ""&lt;br&gt;""), ""([가-힣A-Za-z]+)""))"),"참치")</f>
        <v>참치</v>
      </c>
      <c r="O167" s="24" t="str">
        <f>IFERROR(__xludf.DUMMYFUNCTION("""COMPUTED_VALUE"""),"넘버")</f>
        <v>넘버</v>
      </c>
      <c r="P167" s="24" t="str">
        <f>IFERROR(__xludf.DUMMYFUNCTION("""COMPUTED_VALUE"""),"ACDC")</f>
        <v>ACDC</v>
      </c>
      <c r="Q167" s="24" t="str">
        <f>IFERROR(__xludf.DUMMYFUNCTION("""COMPUTED_VALUE"""),"신형만")</f>
        <v>신형만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9" t="s">
        <v>810</v>
      </c>
      <c r="B168" s="20" t="s">
        <v>811</v>
      </c>
      <c r="C168" s="19" t="s">
        <v>812</v>
      </c>
      <c r="D168" s="19">
        <v>5.0</v>
      </c>
      <c r="E168" s="19" t="s">
        <v>813</v>
      </c>
      <c r="F168" s="19">
        <v>2.0</v>
      </c>
      <c r="G168" s="21">
        <v>45948.98611111111</v>
      </c>
      <c r="H168" s="19" t="s">
        <v>379</v>
      </c>
      <c r="I168" s="22" t="s">
        <v>797</v>
      </c>
      <c r="J168" s="23" t="str">
        <f>IFERROR(__xludf.DUMMYFUNCTION("ARRAYFORMULA(REGEXEXTRACT(SPLIT(C168, ""&lt;br&gt;""), ""([가-힣A-Za-z]+)""))"),"신형만")</f>
        <v>신형만</v>
      </c>
      <c r="K168" s="24" t="str">
        <f>IFERROR(__xludf.DUMMYFUNCTION("""COMPUTED_VALUE"""),"원")</f>
        <v>원</v>
      </c>
      <c r="L168" s="24" t="str">
        <f>IFERROR(__xludf.DUMMYFUNCTION("""COMPUTED_VALUE"""),"넘버")</f>
        <v>넘버</v>
      </c>
      <c r="M168" s="24" t="str">
        <f>IFERROR(__xludf.DUMMYFUNCTION("""COMPUTED_VALUE"""),"기재")</f>
        <v>기재</v>
      </c>
      <c r="N168" s="24" t="str">
        <f>IFERROR(__xludf.DUMMYFUNCTION("ARRAYFORMULA(REGEXEXTRACT(SPLIT(E168, ""&lt;br&gt;""), ""([가-힣A-Za-z]+)""))"),"필찌")</f>
        <v>필찌</v>
      </c>
      <c r="O168" s="24" t="str">
        <f>IFERROR(__xludf.DUMMYFUNCTION("""COMPUTED_VALUE"""),"ACDC")</f>
        <v>ACDC</v>
      </c>
      <c r="P168" s="24" t="str">
        <f>IFERROR(__xludf.DUMMYFUNCTION("""COMPUTED_VALUE"""),"참치")</f>
        <v>참치</v>
      </c>
      <c r="Q168" s="24" t="str">
        <f>IFERROR(__xludf.DUMMYFUNCTION("""COMPUTED_VALUE"""),"규식")</f>
        <v>규식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9" t="s">
        <v>814</v>
      </c>
      <c r="B169" s="20" t="s">
        <v>815</v>
      </c>
      <c r="C169" s="19" t="s">
        <v>816</v>
      </c>
      <c r="D169" s="19">
        <v>5.0</v>
      </c>
      <c r="E169" s="19" t="s">
        <v>817</v>
      </c>
      <c r="F169" s="19">
        <v>1.0</v>
      </c>
      <c r="G169" s="21">
        <v>45948.96597222222</v>
      </c>
      <c r="H169" s="19" t="s">
        <v>379</v>
      </c>
      <c r="I169" s="22" t="s">
        <v>797</v>
      </c>
      <c r="J169" s="23" t="str">
        <f>IFERROR(__xludf.DUMMYFUNCTION("ARRAYFORMULA(REGEXEXTRACT(SPLIT(C169, ""&lt;br&gt;""), ""([가-힣A-Za-z]+)""))"),"넘버")</f>
        <v>넘버</v>
      </c>
      <c r="K169" s="24" t="str">
        <f>IFERROR(__xludf.DUMMYFUNCTION("""COMPUTED_VALUE"""),"테리")</f>
        <v>테리</v>
      </c>
      <c r="L169" s="24" t="str">
        <f>IFERROR(__xludf.DUMMYFUNCTION("""COMPUTED_VALUE"""),"규식")</f>
        <v>규식</v>
      </c>
      <c r="M169" s="24" t="str">
        <f>IFERROR(__xludf.DUMMYFUNCTION("""COMPUTED_VALUE"""),"원")</f>
        <v>원</v>
      </c>
      <c r="N169" s="24" t="str">
        <f>IFERROR(__xludf.DUMMYFUNCTION("ARRAYFORMULA(REGEXEXTRACT(SPLIT(E169, ""&lt;br&gt;""), ""([가-힣A-Za-z]+)""))"),"기재")</f>
        <v>기재</v>
      </c>
      <c r="O169" s="24" t="str">
        <f>IFERROR(__xludf.DUMMYFUNCTION("""COMPUTED_VALUE"""),"신형만")</f>
        <v>신형만</v>
      </c>
      <c r="P169" s="24" t="str">
        <f>IFERROR(__xludf.DUMMYFUNCTION("""COMPUTED_VALUE"""),"ACDC")</f>
        <v>ACDC</v>
      </c>
      <c r="Q169" s="24" t="str">
        <f>IFERROR(__xludf.DUMMYFUNCTION("""COMPUTED_VALUE"""),"참치")</f>
        <v>참치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9" t="s">
        <v>818</v>
      </c>
      <c r="B170" s="20" t="s">
        <v>819</v>
      </c>
      <c r="C170" s="19" t="s">
        <v>820</v>
      </c>
      <c r="D170" s="19">
        <v>5.0</v>
      </c>
      <c r="E170" s="19" t="s">
        <v>821</v>
      </c>
      <c r="F170" s="19">
        <v>0.0</v>
      </c>
      <c r="G170" s="21">
        <v>45948.95625</v>
      </c>
      <c r="H170" s="19" t="s">
        <v>379</v>
      </c>
      <c r="I170" s="22" t="s">
        <v>797</v>
      </c>
      <c r="J170" s="23" t="str">
        <f>IFERROR(__xludf.DUMMYFUNCTION("ARRAYFORMULA(REGEXEXTRACT(SPLIT(C170, ""&lt;br&gt;""), ""([가-힣A-Za-z]+)""))"),"테리")</f>
        <v>테리</v>
      </c>
      <c r="K170" s="24" t="str">
        <f>IFERROR(__xludf.DUMMYFUNCTION("""COMPUTED_VALUE"""),"참치")</f>
        <v>참치</v>
      </c>
      <c r="L170" s="24" t="str">
        <f>IFERROR(__xludf.DUMMYFUNCTION("""COMPUTED_VALUE"""),"넘버")</f>
        <v>넘버</v>
      </c>
      <c r="M170" s="24" t="str">
        <f>IFERROR(__xludf.DUMMYFUNCTION("""COMPUTED_VALUE"""),"신형만")</f>
        <v>신형만</v>
      </c>
      <c r="N170" s="24" t="str">
        <f>IFERROR(__xludf.DUMMYFUNCTION("ARRAYFORMULA(REGEXEXTRACT(SPLIT(E170, ""&lt;br&gt;""), ""([가-힣A-Za-z]+)""))"),"원")</f>
        <v>원</v>
      </c>
      <c r="O170" s="24" t="str">
        <f>IFERROR(__xludf.DUMMYFUNCTION("""COMPUTED_VALUE"""),"ACDC")</f>
        <v>ACDC</v>
      </c>
      <c r="P170" s="24" t="str">
        <f>IFERROR(__xludf.DUMMYFUNCTION("""COMPUTED_VALUE"""),"기재")</f>
        <v>기재</v>
      </c>
      <c r="Q170" s="24" t="str">
        <f>IFERROR(__xludf.DUMMYFUNCTION("""COMPUTED_VALUE"""),"규식")</f>
        <v>규식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9" t="s">
        <v>822</v>
      </c>
      <c r="B171" s="20" t="s">
        <v>823</v>
      </c>
      <c r="C171" s="19" t="s">
        <v>824</v>
      </c>
      <c r="D171" s="19">
        <v>5.0</v>
      </c>
      <c r="E171" s="19" t="s">
        <v>825</v>
      </c>
      <c r="F171" s="19">
        <v>2.0</v>
      </c>
      <c r="G171" s="21">
        <v>45948.93819444445</v>
      </c>
      <c r="H171" s="19" t="s">
        <v>379</v>
      </c>
      <c r="I171" s="22" t="s">
        <v>797</v>
      </c>
      <c r="J171" s="23" t="str">
        <f>IFERROR(__xludf.DUMMYFUNCTION("ARRAYFORMULA(REGEXEXTRACT(SPLIT(C171, ""&lt;br&gt;""), ""([가-힣A-Za-z]+)""))"),"기재")</f>
        <v>기재</v>
      </c>
      <c r="K171" s="24" t="str">
        <f>IFERROR(__xludf.DUMMYFUNCTION("""COMPUTED_VALUE"""),"테리")</f>
        <v>테리</v>
      </c>
      <c r="L171" s="24" t="str">
        <f>IFERROR(__xludf.DUMMYFUNCTION("""COMPUTED_VALUE"""),"원")</f>
        <v>원</v>
      </c>
      <c r="M171" s="24" t="str">
        <f>IFERROR(__xludf.DUMMYFUNCTION("""COMPUTED_VALUE"""),"참치")</f>
        <v>참치</v>
      </c>
      <c r="N171" s="24" t="str">
        <f>IFERROR(__xludf.DUMMYFUNCTION("ARRAYFORMULA(REGEXEXTRACT(SPLIT(E171, ""&lt;br&gt;""), ""([가-힣A-Za-z]+)""))"),"ACDC")</f>
        <v>ACDC</v>
      </c>
      <c r="O171" s="24" t="str">
        <f>IFERROR(__xludf.DUMMYFUNCTION("""COMPUTED_VALUE"""),"규식")</f>
        <v>규식</v>
      </c>
      <c r="P171" s="24" t="str">
        <f>IFERROR(__xludf.DUMMYFUNCTION("""COMPUTED_VALUE"""),"신형만")</f>
        <v>신형만</v>
      </c>
      <c r="Q171" s="24" t="str">
        <f>IFERROR(__xludf.DUMMYFUNCTION("""COMPUTED_VALUE"""),"넘버")</f>
        <v>넘버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9" t="s">
        <v>826</v>
      </c>
      <c r="B172" s="20" t="s">
        <v>827</v>
      </c>
      <c r="C172" s="19" t="s">
        <v>828</v>
      </c>
      <c r="D172" s="19">
        <v>5.0</v>
      </c>
      <c r="E172" s="19" t="s">
        <v>829</v>
      </c>
      <c r="F172" s="19">
        <v>1.0</v>
      </c>
      <c r="G172" s="21">
        <v>45948.05972222222</v>
      </c>
      <c r="H172" s="19" t="s">
        <v>379</v>
      </c>
      <c r="I172" s="22" t="s">
        <v>830</v>
      </c>
      <c r="J172" s="23" t="str">
        <f>IFERROR(__xludf.DUMMYFUNCTION("ARRAYFORMULA(REGEXEXTRACT(SPLIT(C172, ""&lt;br&gt;""), ""([가-힣A-Za-z]+)""))"),"기재")</f>
        <v>기재</v>
      </c>
      <c r="K172" s="24" t="str">
        <f>IFERROR(__xludf.DUMMYFUNCTION("""COMPUTED_VALUE"""),"짱구")</f>
        <v>짱구</v>
      </c>
      <c r="L172" s="24" t="str">
        <f>IFERROR(__xludf.DUMMYFUNCTION("""COMPUTED_VALUE"""),"넘버")</f>
        <v>넘버</v>
      </c>
      <c r="M172" s="24" t="str">
        <f>IFERROR(__xludf.DUMMYFUNCTION("""COMPUTED_VALUE"""),"GYUL")</f>
        <v>GYUL</v>
      </c>
      <c r="N172" s="24" t="str">
        <f>IFERROR(__xludf.DUMMYFUNCTION("ARRAYFORMULA(REGEXEXTRACT(SPLIT(E172, ""&lt;br&gt;""), ""([가-힣A-Za-z]+)""))"),"참치")</f>
        <v>참치</v>
      </c>
      <c r="O172" s="24" t="str">
        <f>IFERROR(__xludf.DUMMYFUNCTION("""COMPUTED_VALUE"""),"깡패")</f>
        <v>깡패</v>
      </c>
      <c r="P172" s="24" t="str">
        <f>IFERROR(__xludf.DUMMYFUNCTION("""COMPUTED_VALUE"""),"규식")</f>
        <v>규식</v>
      </c>
      <c r="Q172" s="24" t="str">
        <f>IFERROR(__xludf.DUMMYFUNCTION("""COMPUTED_VALUE"""),"노픽업")</f>
        <v>노픽업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9" t="s">
        <v>831</v>
      </c>
      <c r="B173" s="20" t="s">
        <v>832</v>
      </c>
      <c r="C173" s="19" t="s">
        <v>833</v>
      </c>
      <c r="D173" s="19">
        <v>5.0</v>
      </c>
      <c r="E173" s="19" t="s">
        <v>834</v>
      </c>
      <c r="F173" s="19">
        <v>1.0</v>
      </c>
      <c r="G173" s="21">
        <v>45948.03611111111</v>
      </c>
      <c r="H173" s="19" t="s">
        <v>379</v>
      </c>
      <c r="I173" s="22" t="s">
        <v>830</v>
      </c>
      <c r="J173" s="23" t="str">
        <f>IFERROR(__xludf.DUMMYFUNCTION("ARRAYFORMULA(REGEXEXTRACT(SPLIT(C173, ""&lt;br&gt;""), ""([가-힣A-Za-z]+)""))"),"짱구")</f>
        <v>짱구</v>
      </c>
      <c r="K173" s="24" t="str">
        <f>IFERROR(__xludf.DUMMYFUNCTION("""COMPUTED_VALUE"""),"참치")</f>
        <v>참치</v>
      </c>
      <c r="L173" s="24" t="str">
        <f>IFERROR(__xludf.DUMMYFUNCTION("""COMPUTED_VALUE"""),"기재")</f>
        <v>기재</v>
      </c>
      <c r="M173" s="24" t="str">
        <f>IFERROR(__xludf.DUMMYFUNCTION("""COMPUTED_VALUE"""),"깡패")</f>
        <v>깡패</v>
      </c>
      <c r="N173" s="24" t="str">
        <f>IFERROR(__xludf.DUMMYFUNCTION("ARRAYFORMULA(REGEXEXTRACT(SPLIT(E173, ""&lt;br&gt;""), ""([가-힣A-Za-z]+)""))"),"필찌")</f>
        <v>필찌</v>
      </c>
      <c r="O173" s="24" t="str">
        <f>IFERROR(__xludf.DUMMYFUNCTION("""COMPUTED_VALUE"""),"넘버")</f>
        <v>넘버</v>
      </c>
      <c r="P173" s="24" t="str">
        <f>IFERROR(__xludf.DUMMYFUNCTION("""COMPUTED_VALUE"""),"GYUL")</f>
        <v>GYUL</v>
      </c>
      <c r="Q173" s="24" t="str">
        <f>IFERROR(__xludf.DUMMYFUNCTION("""COMPUTED_VALUE"""),"규식")</f>
        <v>규식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9" t="s">
        <v>835</v>
      </c>
      <c r="B174" s="20" t="s">
        <v>836</v>
      </c>
      <c r="C174" s="19" t="s">
        <v>837</v>
      </c>
      <c r="D174" s="19">
        <v>5.0</v>
      </c>
      <c r="E174" s="19" t="s">
        <v>838</v>
      </c>
      <c r="F174" s="19">
        <v>0.0</v>
      </c>
      <c r="G174" s="21">
        <v>45948.01527777778</v>
      </c>
      <c r="H174" s="19" t="s">
        <v>379</v>
      </c>
      <c r="I174" s="22" t="s">
        <v>830</v>
      </c>
      <c r="J174" s="23" t="str">
        <f>IFERROR(__xludf.DUMMYFUNCTION("ARRAYFORMULA(REGEXEXTRACT(SPLIT(C174, ""&lt;br&gt;""), ""([가-힣A-Za-z]+)""))"),"넘버")</f>
        <v>넘버</v>
      </c>
      <c r="K174" s="24" t="str">
        <f>IFERROR(__xludf.DUMMYFUNCTION("""COMPUTED_VALUE"""),"짱구")</f>
        <v>짱구</v>
      </c>
      <c r="L174" s="24" t="str">
        <f>IFERROR(__xludf.DUMMYFUNCTION("""COMPUTED_VALUE"""),"깡패")</f>
        <v>깡패</v>
      </c>
      <c r="M174" s="24" t="str">
        <f>IFERROR(__xludf.DUMMYFUNCTION("""COMPUTED_VALUE"""),"GYUL")</f>
        <v>GYUL</v>
      </c>
      <c r="N174" s="24" t="str">
        <f>IFERROR(__xludf.DUMMYFUNCTION("ARRAYFORMULA(REGEXEXTRACT(SPLIT(E174, ""&lt;br&gt;""), ""([가-힣A-Za-z]+)""))"),"기재")</f>
        <v>기재</v>
      </c>
      <c r="O174" s="24" t="str">
        <f>IFERROR(__xludf.DUMMYFUNCTION("""COMPUTED_VALUE"""),"필찌")</f>
        <v>필찌</v>
      </c>
      <c r="P174" s="24" t="str">
        <f>IFERROR(__xludf.DUMMYFUNCTION("""COMPUTED_VALUE"""),"규식")</f>
        <v>규식</v>
      </c>
      <c r="Q174" s="24" t="str">
        <f>IFERROR(__xludf.DUMMYFUNCTION("""COMPUTED_VALUE"""),"참치")</f>
        <v>참치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9" t="s">
        <v>839</v>
      </c>
      <c r="B175" s="20" t="s">
        <v>840</v>
      </c>
      <c r="C175" s="19" t="s">
        <v>841</v>
      </c>
      <c r="D175" s="19">
        <v>5.0</v>
      </c>
      <c r="E175" s="19" t="s">
        <v>842</v>
      </c>
      <c r="F175" s="19">
        <v>3.0</v>
      </c>
      <c r="G175" s="21">
        <v>45948.00069444445</v>
      </c>
      <c r="H175" s="19" t="s">
        <v>379</v>
      </c>
      <c r="I175" s="22" t="s">
        <v>830</v>
      </c>
      <c r="J175" s="23" t="str">
        <f>IFERROR(__xludf.DUMMYFUNCTION("ARRAYFORMULA(REGEXEXTRACT(SPLIT(C175, ""&lt;br&gt;""), ""([가-힣A-Za-z]+)""))"),"깡패")</f>
        <v>깡패</v>
      </c>
      <c r="K175" s="24" t="str">
        <f>IFERROR(__xludf.DUMMYFUNCTION("""COMPUTED_VALUE"""),"참치")</f>
        <v>참치</v>
      </c>
      <c r="L175" s="24" t="str">
        <f>IFERROR(__xludf.DUMMYFUNCTION("""COMPUTED_VALUE"""),"넘버")</f>
        <v>넘버</v>
      </c>
      <c r="M175" s="24" t="str">
        <f>IFERROR(__xludf.DUMMYFUNCTION("""COMPUTED_VALUE"""),"기재")</f>
        <v>기재</v>
      </c>
      <c r="N175" s="24" t="str">
        <f>IFERROR(__xludf.DUMMYFUNCTION("ARRAYFORMULA(REGEXEXTRACT(SPLIT(E175, ""&lt;br&gt;""), ""([가-힣A-Za-z]+)""))"),"짱구")</f>
        <v>짱구</v>
      </c>
      <c r="O175" s="24" t="str">
        <f>IFERROR(__xludf.DUMMYFUNCTION("""COMPUTED_VALUE"""),"GYUL")</f>
        <v>GYUL</v>
      </c>
      <c r="P175" s="24" t="str">
        <f>IFERROR(__xludf.DUMMYFUNCTION("""COMPUTED_VALUE"""),"필찌")</f>
        <v>필찌</v>
      </c>
      <c r="Q175" s="24" t="str">
        <f>IFERROR(__xludf.DUMMYFUNCTION("""COMPUTED_VALUE"""),"규식")</f>
        <v>규식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9" t="s">
        <v>843</v>
      </c>
      <c r="B176" s="20" t="s">
        <v>844</v>
      </c>
      <c r="C176" s="19" t="s">
        <v>845</v>
      </c>
      <c r="D176" s="19">
        <v>5.0</v>
      </c>
      <c r="E176" s="19" t="s">
        <v>846</v>
      </c>
      <c r="F176" s="19">
        <v>0.0</v>
      </c>
      <c r="G176" s="21">
        <v>45947.975</v>
      </c>
      <c r="H176" s="19" t="s">
        <v>379</v>
      </c>
      <c r="I176" s="22" t="s">
        <v>847</v>
      </c>
      <c r="J176" s="23" t="str">
        <f>IFERROR(__xludf.DUMMYFUNCTION("ARRAYFORMULA(REGEXEXTRACT(SPLIT(C176, ""&lt;br&gt;""), ""([가-힣A-Za-z]+)""))"),"참치")</f>
        <v>참치</v>
      </c>
      <c r="K176" s="24" t="str">
        <f>IFERROR(__xludf.DUMMYFUNCTION("""COMPUTED_VALUE"""),"짱구")</f>
        <v>짱구</v>
      </c>
      <c r="L176" s="24" t="str">
        <f>IFERROR(__xludf.DUMMYFUNCTION("""COMPUTED_VALUE"""),"기재")</f>
        <v>기재</v>
      </c>
      <c r="M176" s="24" t="str">
        <f>IFERROR(__xludf.DUMMYFUNCTION("""COMPUTED_VALUE"""),"규식")</f>
        <v>규식</v>
      </c>
      <c r="N176" s="24" t="str">
        <f>IFERROR(__xludf.DUMMYFUNCTION("ARRAYFORMULA(REGEXEXTRACT(SPLIT(E176, ""&lt;br&gt;""), ""([가-힣A-Za-z]+)""))"),"노인")</f>
        <v>노인</v>
      </c>
      <c r="O176" s="24" t="str">
        <f>IFERROR(__xludf.DUMMYFUNCTION("""COMPUTED_VALUE"""),"깡패")</f>
        <v>깡패</v>
      </c>
      <c r="P176" s="24" t="str">
        <f>IFERROR(__xludf.DUMMYFUNCTION("""COMPUTED_VALUE"""),"ACDC")</f>
        <v>ACDC</v>
      </c>
      <c r="Q176" s="24" t="str">
        <f>IFERROR(__xludf.DUMMYFUNCTION("""COMPUTED_VALUE"""),"GYUL")</f>
        <v>GYUL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9" t="s">
        <v>848</v>
      </c>
      <c r="B177" s="20" t="s">
        <v>849</v>
      </c>
      <c r="C177" s="19" t="s">
        <v>850</v>
      </c>
      <c r="D177" s="19">
        <v>5.0</v>
      </c>
      <c r="E177" s="19" t="s">
        <v>851</v>
      </c>
      <c r="F177" s="19">
        <v>4.0</v>
      </c>
      <c r="G177" s="21">
        <v>45947.95763888889</v>
      </c>
      <c r="H177" s="19" t="s">
        <v>379</v>
      </c>
      <c r="I177" s="22" t="s">
        <v>852</v>
      </c>
      <c r="J177" s="23" t="str">
        <f>IFERROR(__xludf.DUMMYFUNCTION("ARRAYFORMULA(REGEXEXTRACT(SPLIT(C177, ""&lt;br&gt;""), ""([가-힣A-Za-z]+)""))"),"ACDC")</f>
        <v>ACDC</v>
      </c>
      <c r="K177" s="24" t="str">
        <f>IFERROR(__xludf.DUMMYFUNCTION("""COMPUTED_VALUE"""),"신형만")</f>
        <v>신형만</v>
      </c>
      <c r="L177" s="24" t="str">
        <f>IFERROR(__xludf.DUMMYFUNCTION("""COMPUTED_VALUE"""),"규식")</f>
        <v>규식</v>
      </c>
      <c r="M177" s="24" t="str">
        <f>IFERROR(__xludf.DUMMYFUNCTION("""COMPUTED_VALUE"""),"참치")</f>
        <v>참치</v>
      </c>
      <c r="N177" s="24" t="str">
        <f>IFERROR(__xludf.DUMMYFUNCTION("ARRAYFORMULA(REGEXEXTRACT(SPLIT(E177, ""&lt;br&gt;""), ""([가-힣A-Za-z]+)""))"),"짱구")</f>
        <v>짱구</v>
      </c>
      <c r="O177" s="24" t="str">
        <f>IFERROR(__xludf.DUMMYFUNCTION("""COMPUTED_VALUE"""),"GYUL")</f>
        <v>GYUL</v>
      </c>
      <c r="P177" s="24" t="str">
        <f>IFERROR(__xludf.DUMMYFUNCTION("""COMPUTED_VALUE"""),"노인")</f>
        <v>노인</v>
      </c>
      <c r="Q177" s="24" t="str">
        <f>IFERROR(__xludf.DUMMYFUNCTION("""COMPUTED_VALUE"""),"기재")</f>
        <v>기재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9" t="s">
        <v>853</v>
      </c>
      <c r="B178" s="20" t="s">
        <v>854</v>
      </c>
      <c r="C178" s="19" t="s">
        <v>855</v>
      </c>
      <c r="D178" s="19">
        <v>5.0</v>
      </c>
      <c r="E178" s="19" t="s">
        <v>856</v>
      </c>
      <c r="F178" s="19">
        <v>3.0</v>
      </c>
      <c r="G178" s="21">
        <v>45947.907638888886</v>
      </c>
      <c r="H178" s="19" t="s">
        <v>379</v>
      </c>
      <c r="I178" s="22" t="s">
        <v>857</v>
      </c>
      <c r="J178" s="23" t="str">
        <f>IFERROR(__xludf.DUMMYFUNCTION("ARRAYFORMULA(REGEXEXTRACT(SPLIT(C178, ""&lt;br&gt;""), ""([가-힣A-Za-z]+)""))"),"기재")</f>
        <v>기재</v>
      </c>
      <c r="K178" s="24" t="str">
        <f>IFERROR(__xludf.DUMMYFUNCTION("""COMPUTED_VALUE"""),"짱구")</f>
        <v>짱구</v>
      </c>
      <c r="L178" s="24" t="str">
        <f>IFERROR(__xludf.DUMMYFUNCTION("""COMPUTED_VALUE"""),"신형만")</f>
        <v>신형만</v>
      </c>
      <c r="M178" s="24" t="str">
        <f>IFERROR(__xludf.DUMMYFUNCTION("""COMPUTED_VALUE"""),"넘버")</f>
        <v>넘버</v>
      </c>
      <c r="N178" s="24" t="str">
        <f>IFERROR(__xludf.DUMMYFUNCTION("ARRAYFORMULA(REGEXEXTRACT(SPLIT(E178, ""&lt;br&gt;""), ""([가-힣A-Za-z]+)""))"),"참치")</f>
        <v>참치</v>
      </c>
      <c r="O178" s="24" t="str">
        <f>IFERROR(__xludf.DUMMYFUNCTION("""COMPUTED_VALUE"""),"노인")</f>
        <v>노인</v>
      </c>
      <c r="P178" s="24" t="str">
        <f>IFERROR(__xludf.DUMMYFUNCTION("""COMPUTED_VALUE"""),"GYUL")</f>
        <v>GYUL</v>
      </c>
      <c r="Q178" s="24" t="str">
        <f>IFERROR(__xludf.DUMMYFUNCTION("""COMPUTED_VALUE"""),"규식")</f>
        <v>규식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9" t="s">
        <v>858</v>
      </c>
      <c r="B179" s="20" t="s">
        <v>859</v>
      </c>
      <c r="C179" s="19" t="s">
        <v>860</v>
      </c>
      <c r="D179" s="19">
        <v>5.0</v>
      </c>
      <c r="E179" s="19" t="s">
        <v>861</v>
      </c>
      <c r="F179" s="19">
        <v>1.0</v>
      </c>
      <c r="G179" s="21">
        <v>45947.88611111111</v>
      </c>
      <c r="H179" s="19" t="s">
        <v>379</v>
      </c>
      <c r="I179" s="22" t="s">
        <v>862</v>
      </c>
      <c r="J179" s="23" t="str">
        <f>IFERROR(__xludf.DUMMYFUNCTION("ARRAYFORMULA(REGEXEXTRACT(SPLIT(C179, ""&lt;br&gt;""), ""([가-힣A-Za-z]+)""))"),"신형만")</f>
        <v>신형만</v>
      </c>
      <c r="K179" s="24" t="str">
        <f>IFERROR(__xludf.DUMMYFUNCTION("""COMPUTED_VALUE"""),"노인")</f>
        <v>노인</v>
      </c>
      <c r="L179" s="24" t="str">
        <f>IFERROR(__xludf.DUMMYFUNCTION("""COMPUTED_VALUE"""),"기재")</f>
        <v>기재</v>
      </c>
      <c r="M179" s="24" t="str">
        <f>IFERROR(__xludf.DUMMYFUNCTION("""COMPUTED_VALUE"""),"넘버")</f>
        <v>넘버</v>
      </c>
      <c r="N179" s="24" t="str">
        <f>IFERROR(__xludf.DUMMYFUNCTION("ARRAYFORMULA(REGEXEXTRACT(SPLIT(E179, ""&lt;br&gt;""), ""([가-힣A-Za-z]+)""))"),"짱구")</f>
        <v>짱구</v>
      </c>
      <c r="O179" s="24" t="str">
        <f>IFERROR(__xludf.DUMMYFUNCTION("""COMPUTED_VALUE"""),"GYUL")</f>
        <v>GYUL</v>
      </c>
      <c r="P179" s="24" t="str">
        <f>IFERROR(__xludf.DUMMYFUNCTION("""COMPUTED_VALUE"""),"필찌")</f>
        <v>필찌</v>
      </c>
      <c r="Q179" s="24" t="str">
        <f>IFERROR(__xludf.DUMMYFUNCTION("""COMPUTED_VALUE"""),"오딘")</f>
        <v>오딘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9" t="s">
        <v>863</v>
      </c>
      <c r="B180" s="20" t="s">
        <v>864</v>
      </c>
      <c r="C180" s="19" t="s">
        <v>865</v>
      </c>
      <c r="D180" s="19">
        <v>5.0</v>
      </c>
      <c r="E180" s="19" t="s">
        <v>866</v>
      </c>
      <c r="F180" s="19">
        <v>3.0</v>
      </c>
      <c r="G180" s="21">
        <v>45947.86597222222</v>
      </c>
      <c r="H180" s="19" t="s">
        <v>379</v>
      </c>
      <c r="I180" s="22" t="s">
        <v>862</v>
      </c>
      <c r="J180" s="23" t="str">
        <f>IFERROR(__xludf.DUMMYFUNCTION("ARRAYFORMULA(REGEXEXTRACT(SPLIT(C180, ""&lt;br&gt;""), ""([가-힣A-Za-z]+)""))"),"기재")</f>
        <v>기재</v>
      </c>
      <c r="K180" s="24" t="str">
        <f>IFERROR(__xludf.DUMMYFUNCTION("""COMPUTED_VALUE"""),"오딘")</f>
        <v>오딘</v>
      </c>
      <c r="L180" s="24" t="str">
        <f>IFERROR(__xludf.DUMMYFUNCTION("""COMPUTED_VALUE"""),"짱구")</f>
        <v>짱구</v>
      </c>
      <c r="M180" s="24" t="str">
        <f>IFERROR(__xludf.DUMMYFUNCTION("""COMPUTED_VALUE"""),"신형만")</f>
        <v>신형만</v>
      </c>
      <c r="N180" s="24" t="str">
        <f>IFERROR(__xludf.DUMMYFUNCTION("ARRAYFORMULA(REGEXEXTRACT(SPLIT(E180, ""&lt;br&gt;""), ""([가-힣A-Za-z]+)""))"),"필찌")</f>
        <v>필찌</v>
      </c>
      <c r="O180" s="24" t="str">
        <f>IFERROR(__xludf.DUMMYFUNCTION("""COMPUTED_VALUE"""),"넘버")</f>
        <v>넘버</v>
      </c>
      <c r="P180" s="24" t="str">
        <f>IFERROR(__xludf.DUMMYFUNCTION("""COMPUTED_VALUE"""),"노인")</f>
        <v>노인</v>
      </c>
      <c r="Q180" s="24" t="str">
        <f>IFERROR(__xludf.DUMMYFUNCTION("""COMPUTED_VALUE"""),"GYUL")</f>
        <v>GYUL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9" t="s">
        <v>867</v>
      </c>
      <c r="B181" s="20" t="s">
        <v>868</v>
      </c>
      <c r="C181" s="19" t="s">
        <v>869</v>
      </c>
      <c r="D181" s="19">
        <v>5.0</v>
      </c>
      <c r="E181" s="19" t="s">
        <v>870</v>
      </c>
      <c r="F181" s="19">
        <v>4.0</v>
      </c>
      <c r="G181" s="21">
        <v>45947.06805555556</v>
      </c>
      <c r="H181" s="19" t="s">
        <v>379</v>
      </c>
      <c r="I181" s="22" t="s">
        <v>871</v>
      </c>
      <c r="J181" s="23" t="str">
        <f>IFERROR(__xludf.DUMMYFUNCTION("ARRAYFORMULA(REGEXEXTRACT(SPLIT(C181, ""&lt;br&gt;""), ""([가-힣A-Za-z]+)""))"),"ovo")</f>
        <v>ovo</v>
      </c>
      <c r="K181" s="24" t="str">
        <f>IFERROR(__xludf.DUMMYFUNCTION("""COMPUTED_VALUE"""),"깡패")</f>
        <v>깡패</v>
      </c>
      <c r="L181" s="24" t="str">
        <f>IFERROR(__xludf.DUMMYFUNCTION("""COMPUTED_VALUE"""),"신형만")</f>
        <v>신형만</v>
      </c>
      <c r="M181" s="24" t="str">
        <f>IFERROR(__xludf.DUMMYFUNCTION("""COMPUTED_VALUE"""),"기재")</f>
        <v>기재</v>
      </c>
      <c r="N181" s="24" t="str">
        <f>IFERROR(__xludf.DUMMYFUNCTION("ARRAYFORMULA(REGEXEXTRACT(SPLIT(E181, ""&lt;br&gt;""), ""([가-힣A-Za-z]+)""))"),"넘버")</f>
        <v>넘버</v>
      </c>
      <c r="O181" s="24" t="str">
        <f>IFERROR(__xludf.DUMMYFUNCTION("""COMPUTED_VALUE"""),"참치")</f>
        <v>참치</v>
      </c>
      <c r="P181" s="24" t="str">
        <f>IFERROR(__xludf.DUMMYFUNCTION("""COMPUTED_VALUE"""),"짱구")</f>
        <v>짱구</v>
      </c>
      <c r="Q181" s="24" t="str">
        <f>IFERROR(__xludf.DUMMYFUNCTION("""COMPUTED_VALUE"""),"노픽업")</f>
        <v>노픽업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9" t="s">
        <v>872</v>
      </c>
      <c r="B182" s="20" t="s">
        <v>873</v>
      </c>
      <c r="C182" s="19" t="s">
        <v>874</v>
      </c>
      <c r="D182" s="19">
        <v>5.0</v>
      </c>
      <c r="E182" s="19" t="s">
        <v>875</v>
      </c>
      <c r="F182" s="19">
        <v>0.0</v>
      </c>
      <c r="G182" s="21">
        <v>45947.04583333333</v>
      </c>
      <c r="H182" s="19" t="s">
        <v>379</v>
      </c>
      <c r="I182" s="22" t="s">
        <v>871</v>
      </c>
      <c r="J182" s="23" t="str">
        <f>IFERROR(__xludf.DUMMYFUNCTION("ARRAYFORMULA(REGEXEXTRACT(SPLIT(C182, ""&lt;br&gt;""), ""([가-힣A-Za-z]+)""))"),"기재")</f>
        <v>기재</v>
      </c>
      <c r="K182" s="24" t="str">
        <f>IFERROR(__xludf.DUMMYFUNCTION("""COMPUTED_VALUE"""),"짱구")</f>
        <v>짱구</v>
      </c>
      <c r="L182" s="24" t="str">
        <f>IFERROR(__xludf.DUMMYFUNCTION("""COMPUTED_VALUE"""),"넘버")</f>
        <v>넘버</v>
      </c>
      <c r="M182" s="24" t="str">
        <f>IFERROR(__xludf.DUMMYFUNCTION("""COMPUTED_VALUE"""),"깡패")</f>
        <v>깡패</v>
      </c>
      <c r="N182" s="24" t="str">
        <f>IFERROR(__xludf.DUMMYFUNCTION("ARRAYFORMULA(REGEXEXTRACT(SPLIT(E182, ""&lt;br&gt;""), ""([가-힣A-Za-z]+)""))"),"참치")</f>
        <v>참치</v>
      </c>
      <c r="O182" s="24" t="str">
        <f>IFERROR(__xludf.DUMMYFUNCTION("""COMPUTED_VALUE"""),"신형만")</f>
        <v>신형만</v>
      </c>
      <c r="P182" s="24" t="str">
        <f>IFERROR(__xludf.DUMMYFUNCTION("""COMPUTED_VALUE"""),"노픽업")</f>
        <v>노픽업</v>
      </c>
      <c r="Q182" s="24" t="str">
        <f>IFERROR(__xludf.DUMMYFUNCTION("""COMPUTED_VALUE"""),"ovo")</f>
        <v>ovo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9" t="s">
        <v>876</v>
      </c>
      <c r="B183" s="20" t="s">
        <v>877</v>
      </c>
      <c r="C183" s="19" t="s">
        <v>878</v>
      </c>
      <c r="D183" s="19">
        <v>5.0</v>
      </c>
      <c r="E183" s="19" t="s">
        <v>879</v>
      </c>
      <c r="F183" s="19">
        <v>3.0</v>
      </c>
      <c r="G183" s="21">
        <v>45947.027083333334</v>
      </c>
      <c r="H183" s="19" t="s">
        <v>379</v>
      </c>
      <c r="I183" s="22" t="s">
        <v>871</v>
      </c>
      <c r="J183" s="23" t="str">
        <f>IFERROR(__xludf.DUMMYFUNCTION("ARRAYFORMULA(REGEXEXTRACT(SPLIT(C183, ""&lt;br&gt;""), ""([가-힣A-Za-z]+)""))"),"테리")</f>
        <v>테리</v>
      </c>
      <c r="K183" s="24" t="str">
        <f>IFERROR(__xludf.DUMMYFUNCTION("""COMPUTED_VALUE"""),"규식")</f>
        <v>규식</v>
      </c>
      <c r="L183" s="24" t="str">
        <f>IFERROR(__xludf.DUMMYFUNCTION("""COMPUTED_VALUE"""),"기재")</f>
        <v>기재</v>
      </c>
      <c r="M183" s="24" t="str">
        <f>IFERROR(__xludf.DUMMYFUNCTION("""COMPUTED_VALUE"""),"넘버")</f>
        <v>넘버</v>
      </c>
      <c r="N183" s="24" t="str">
        <f>IFERROR(__xludf.DUMMYFUNCTION("ARRAYFORMULA(REGEXEXTRACT(SPLIT(E183, ""&lt;br&gt;""), ""([가-힣A-Za-z]+)""))"),"신형만")</f>
        <v>신형만</v>
      </c>
      <c r="O183" s="24" t="str">
        <f>IFERROR(__xludf.DUMMYFUNCTION("""COMPUTED_VALUE"""),"깡패")</f>
        <v>깡패</v>
      </c>
      <c r="P183" s="24" t="str">
        <f>IFERROR(__xludf.DUMMYFUNCTION("""COMPUTED_VALUE"""),"참치")</f>
        <v>참치</v>
      </c>
      <c r="Q183" s="24" t="str">
        <f>IFERROR(__xludf.DUMMYFUNCTION("""COMPUTED_VALUE"""),"한메")</f>
        <v>한메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9" t="s">
        <v>880</v>
      </c>
      <c r="B184" s="20" t="s">
        <v>881</v>
      </c>
      <c r="C184" s="19" t="s">
        <v>882</v>
      </c>
      <c r="D184" s="19">
        <v>5.0</v>
      </c>
      <c r="E184" s="19" t="s">
        <v>883</v>
      </c>
      <c r="F184" s="19">
        <v>3.0</v>
      </c>
      <c r="G184" s="21">
        <v>45946.98125</v>
      </c>
      <c r="H184" s="19" t="s">
        <v>379</v>
      </c>
      <c r="I184" s="22" t="s">
        <v>871</v>
      </c>
      <c r="J184" s="23" t="str">
        <f>IFERROR(__xludf.DUMMYFUNCTION("ARRAYFORMULA(REGEXEXTRACT(SPLIT(C184, ""&lt;br&gt;""), ""([가-힣A-Za-z]+)""))"),"참치")</f>
        <v>참치</v>
      </c>
      <c r="K184" s="24" t="str">
        <f>IFERROR(__xludf.DUMMYFUNCTION("""COMPUTED_VALUE"""),"넘버")</f>
        <v>넘버</v>
      </c>
      <c r="L184" s="24" t="str">
        <f>IFERROR(__xludf.DUMMYFUNCTION("""COMPUTED_VALUE"""),"한메")</f>
        <v>한메</v>
      </c>
      <c r="M184" s="24" t="str">
        <f>IFERROR(__xludf.DUMMYFUNCTION("""COMPUTED_VALUE"""),"규식")</f>
        <v>규식</v>
      </c>
      <c r="N184" s="24" t="str">
        <f>IFERROR(__xludf.DUMMYFUNCTION("ARRAYFORMULA(REGEXEXTRACT(SPLIT(E184, ""&lt;br&gt;""), ""([가-힣A-Za-z]+)""))"),"기재")</f>
        <v>기재</v>
      </c>
      <c r="O184" s="24" t="str">
        <f>IFERROR(__xludf.DUMMYFUNCTION("""COMPUTED_VALUE"""),"신형만")</f>
        <v>신형만</v>
      </c>
      <c r="P184" s="24" t="str">
        <f>IFERROR(__xludf.DUMMYFUNCTION("""COMPUTED_VALUE"""),"필찌")</f>
        <v>필찌</v>
      </c>
      <c r="Q184" s="24" t="str">
        <f>IFERROR(__xludf.DUMMYFUNCTION("""COMPUTED_VALUE"""),"깡패")</f>
        <v>깡패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9" t="s">
        <v>884</v>
      </c>
      <c r="B185" s="20" t="s">
        <v>885</v>
      </c>
      <c r="C185" s="19" t="s">
        <v>886</v>
      </c>
      <c r="D185" s="19">
        <v>5.0</v>
      </c>
      <c r="E185" s="19" t="s">
        <v>887</v>
      </c>
      <c r="F185" s="19">
        <v>1.0</v>
      </c>
      <c r="G185" s="21">
        <v>45946.95</v>
      </c>
      <c r="H185" s="19" t="s">
        <v>379</v>
      </c>
      <c r="I185" s="22" t="s">
        <v>888</v>
      </c>
      <c r="J185" s="23" t="str">
        <f>IFERROR(__xludf.DUMMYFUNCTION("ARRAYFORMULA(REGEXEXTRACT(SPLIT(C185, ""&lt;br&gt;""), ""([가-힣A-Za-z]+)""))"),"깡패")</f>
        <v>깡패</v>
      </c>
      <c r="K185" s="24" t="str">
        <f>IFERROR(__xludf.DUMMYFUNCTION("""COMPUTED_VALUE"""),"참치")</f>
        <v>참치</v>
      </c>
      <c r="L185" s="24" t="str">
        <f>IFERROR(__xludf.DUMMYFUNCTION("""COMPUTED_VALUE"""),"기재")</f>
        <v>기재</v>
      </c>
      <c r="M185" s="24" t="str">
        <f>IFERROR(__xludf.DUMMYFUNCTION("""COMPUTED_VALUE"""),"한메")</f>
        <v>한메</v>
      </c>
      <c r="N185" s="24" t="str">
        <f>IFERROR(__xludf.DUMMYFUNCTION("ARRAYFORMULA(REGEXEXTRACT(SPLIT(E185, ""&lt;br&gt;""), ""([가-힣A-Za-z]+)""))"),"필찌")</f>
        <v>필찌</v>
      </c>
      <c r="O185" s="24" t="str">
        <f>IFERROR(__xludf.DUMMYFUNCTION("""COMPUTED_VALUE"""),"오딘")</f>
        <v>오딘</v>
      </c>
      <c r="P185" s="24" t="str">
        <f>IFERROR(__xludf.DUMMYFUNCTION("""COMPUTED_VALUE"""),"규식")</f>
        <v>규식</v>
      </c>
      <c r="Q185" s="24" t="str">
        <f>IFERROR(__xludf.DUMMYFUNCTION("""COMPUTED_VALUE"""),"신형만")</f>
        <v>신형만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9" t="s">
        <v>889</v>
      </c>
      <c r="B186" s="20" t="s">
        <v>890</v>
      </c>
      <c r="C186" s="19" t="s">
        <v>891</v>
      </c>
      <c r="D186" s="19">
        <v>5.0</v>
      </c>
      <c r="E186" s="19" t="s">
        <v>892</v>
      </c>
      <c r="F186" s="19">
        <v>2.0</v>
      </c>
      <c r="G186" s="21">
        <v>45946.91875</v>
      </c>
      <c r="H186" s="19" t="s">
        <v>379</v>
      </c>
      <c r="I186" s="22" t="s">
        <v>893</v>
      </c>
      <c r="J186" s="23" t="str">
        <f>IFERROR(__xludf.DUMMYFUNCTION("ARRAYFORMULA(REGEXEXTRACT(SPLIT(C186, ""&lt;br&gt;""), ""([가-힣A-Za-z]+)""))"),"테리")</f>
        <v>테리</v>
      </c>
      <c r="K186" s="24" t="str">
        <f>IFERROR(__xludf.DUMMYFUNCTION("""COMPUTED_VALUE"""),"필찌")</f>
        <v>필찌</v>
      </c>
      <c r="L186" s="24" t="str">
        <f>IFERROR(__xludf.DUMMYFUNCTION("""COMPUTED_VALUE"""),"한메")</f>
        <v>한메</v>
      </c>
      <c r="M186" s="24" t="str">
        <f>IFERROR(__xludf.DUMMYFUNCTION("""COMPUTED_VALUE"""),"규식")</f>
        <v>규식</v>
      </c>
      <c r="N186" s="24" t="str">
        <f>IFERROR(__xludf.DUMMYFUNCTION("ARRAYFORMULA(REGEXEXTRACT(SPLIT(E186, ""&lt;br&gt;""), ""([가-힣A-Za-z]+)""))"),"기재")</f>
        <v>기재</v>
      </c>
      <c r="O186" s="24" t="str">
        <f>IFERROR(__xludf.DUMMYFUNCTION("""COMPUTED_VALUE"""),"깡패")</f>
        <v>깡패</v>
      </c>
      <c r="P186" s="24" t="str">
        <f>IFERROR(__xludf.DUMMYFUNCTION("""COMPUTED_VALUE"""),"신형만")</f>
        <v>신형만</v>
      </c>
      <c r="Q186" s="24" t="str">
        <f>IFERROR(__xludf.DUMMYFUNCTION("""COMPUTED_VALUE"""),"오딘")</f>
        <v>오딘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9" t="s">
        <v>894</v>
      </c>
      <c r="B187" s="20" t="s">
        <v>895</v>
      </c>
      <c r="C187" s="19" t="s">
        <v>896</v>
      </c>
      <c r="D187" s="19">
        <v>5.0</v>
      </c>
      <c r="E187" s="19" t="s">
        <v>897</v>
      </c>
      <c r="F187" s="19">
        <v>3.0</v>
      </c>
      <c r="G187" s="21">
        <v>45946.88263888889</v>
      </c>
      <c r="H187" s="19" t="s">
        <v>379</v>
      </c>
      <c r="I187" s="22" t="s">
        <v>893</v>
      </c>
      <c r="J187" s="23" t="str">
        <f>IFERROR(__xludf.DUMMYFUNCTION("ARRAYFORMULA(REGEXEXTRACT(SPLIT(C187, ""&lt;br&gt;""), ""([가-힣A-Za-z]+)""))"),"신형만")</f>
        <v>신형만</v>
      </c>
      <c r="K187" s="24" t="str">
        <f>IFERROR(__xludf.DUMMYFUNCTION("""COMPUTED_VALUE"""),"테리")</f>
        <v>테리</v>
      </c>
      <c r="L187" s="24" t="str">
        <f>IFERROR(__xludf.DUMMYFUNCTION("""COMPUTED_VALUE"""),"필찌")</f>
        <v>필찌</v>
      </c>
      <c r="M187" s="24" t="str">
        <f>IFERROR(__xludf.DUMMYFUNCTION("""COMPUTED_VALUE"""),"기재")</f>
        <v>기재</v>
      </c>
      <c r="N187" s="24" t="str">
        <f>IFERROR(__xludf.DUMMYFUNCTION("ARRAYFORMULA(REGEXEXTRACT(SPLIT(E187, ""&lt;br&gt;""), ""([가-힣A-Za-z]+)""))"),"오딘")</f>
        <v>오딘</v>
      </c>
      <c r="O187" s="24" t="str">
        <f>IFERROR(__xludf.DUMMYFUNCTION("""COMPUTED_VALUE"""),"규식")</f>
        <v>규식</v>
      </c>
      <c r="P187" s="24" t="str">
        <f>IFERROR(__xludf.DUMMYFUNCTION("""COMPUTED_VALUE"""),"깡패")</f>
        <v>깡패</v>
      </c>
      <c r="Q187" s="24" t="str">
        <f>IFERROR(__xludf.DUMMYFUNCTION("""COMPUTED_VALUE"""),"한메")</f>
        <v>한메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9" t="s">
        <v>898</v>
      </c>
      <c r="B188" s="20" t="s">
        <v>899</v>
      </c>
      <c r="C188" s="19" t="s">
        <v>900</v>
      </c>
      <c r="D188" s="19">
        <v>5.0</v>
      </c>
      <c r="E188" s="19" t="s">
        <v>901</v>
      </c>
      <c r="F188" s="19">
        <v>1.0</v>
      </c>
      <c r="G188" s="21">
        <v>45946.853472222225</v>
      </c>
      <c r="H188" s="19" t="s">
        <v>379</v>
      </c>
      <c r="I188" s="22" t="s">
        <v>893</v>
      </c>
      <c r="J188" s="23" t="str">
        <f>IFERROR(__xludf.DUMMYFUNCTION("ARRAYFORMULA(REGEXEXTRACT(SPLIT(C188, ""&lt;br&gt;""), ""([가-힣A-Za-z]+)""))"),"테리")</f>
        <v>테리</v>
      </c>
      <c r="K188" s="24" t="str">
        <f>IFERROR(__xludf.DUMMYFUNCTION("""COMPUTED_VALUE"""),"깡패")</f>
        <v>깡패</v>
      </c>
      <c r="L188" s="24" t="str">
        <f>IFERROR(__xludf.DUMMYFUNCTION("""COMPUTED_VALUE"""),"신형만")</f>
        <v>신형만</v>
      </c>
      <c r="M188" s="24" t="str">
        <f>IFERROR(__xludf.DUMMYFUNCTION("""COMPUTED_VALUE"""),"규식")</f>
        <v>규식</v>
      </c>
      <c r="N188" s="24" t="str">
        <f>IFERROR(__xludf.DUMMYFUNCTION("ARRAYFORMULA(REGEXEXTRACT(SPLIT(E188, ""&lt;br&gt;""), ""([가-힣A-Za-z]+)""))"),"한메")</f>
        <v>한메</v>
      </c>
      <c r="O188" s="24" t="str">
        <f>IFERROR(__xludf.DUMMYFUNCTION("""COMPUTED_VALUE"""),"필찌")</f>
        <v>필찌</v>
      </c>
      <c r="P188" s="24" t="str">
        <f>IFERROR(__xludf.DUMMYFUNCTION("""COMPUTED_VALUE"""),"기재")</f>
        <v>기재</v>
      </c>
      <c r="Q188" s="24" t="str">
        <f>IFERROR(__xludf.DUMMYFUNCTION("""COMPUTED_VALUE"""),"오딘")</f>
        <v>오딘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9" t="s">
        <v>902</v>
      </c>
      <c r="B189" s="20" t="s">
        <v>903</v>
      </c>
      <c r="C189" s="19" t="s">
        <v>904</v>
      </c>
      <c r="D189" s="19">
        <v>5.0</v>
      </c>
      <c r="E189" s="19" t="s">
        <v>905</v>
      </c>
      <c r="F189" s="19">
        <v>0.0</v>
      </c>
      <c r="G189" s="21">
        <v>45946.021527777775</v>
      </c>
      <c r="H189" s="19" t="s">
        <v>379</v>
      </c>
      <c r="I189" s="22" t="s">
        <v>906</v>
      </c>
      <c r="J189" s="23" t="str">
        <f>IFERROR(__xludf.DUMMYFUNCTION("ARRAYFORMULA(REGEXEXTRACT(SPLIT(C189, ""&lt;br&gt;""), ""([가-힣A-Za-z]+)""))"),"원")</f>
        <v>원</v>
      </c>
      <c r="K189" s="24" t="str">
        <f>IFERROR(__xludf.DUMMYFUNCTION("""COMPUTED_VALUE"""),"솔")</f>
        <v>솔</v>
      </c>
      <c r="L189" s="24" t="str">
        <f>IFERROR(__xludf.DUMMYFUNCTION("""COMPUTED_VALUE"""),"짱구")</f>
        <v>짱구</v>
      </c>
      <c r="M189" s="24" t="str">
        <f>IFERROR(__xludf.DUMMYFUNCTION("""COMPUTED_VALUE"""),"넘버")</f>
        <v>넘버</v>
      </c>
      <c r="N189" s="24" t="str">
        <f>IFERROR(__xludf.DUMMYFUNCTION("ARRAYFORMULA(REGEXEXTRACT(SPLIT(E189, ""&lt;br&gt;""), ""([가-힣A-Za-z]+)""))"),"한메")</f>
        <v>한메</v>
      </c>
      <c r="O189" s="24" t="str">
        <f>IFERROR(__xludf.DUMMYFUNCTION("""COMPUTED_VALUE"""),"깡패")</f>
        <v>깡패</v>
      </c>
      <c r="P189" s="24" t="str">
        <f>IFERROR(__xludf.DUMMYFUNCTION("""COMPUTED_VALUE"""),"노픽업")</f>
        <v>노픽업</v>
      </c>
      <c r="Q189" s="24" t="str">
        <f>IFERROR(__xludf.DUMMYFUNCTION("""COMPUTED_VALUE"""),"규식")</f>
        <v>규식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9" t="s">
        <v>907</v>
      </c>
      <c r="B190" s="20" t="s">
        <v>908</v>
      </c>
      <c r="C190" s="19" t="s">
        <v>909</v>
      </c>
      <c r="D190" s="19">
        <v>5.0</v>
      </c>
      <c r="E190" s="19" t="s">
        <v>910</v>
      </c>
      <c r="F190" s="19">
        <v>2.0</v>
      </c>
      <c r="G190" s="21">
        <v>45946.00555555556</v>
      </c>
      <c r="H190" s="19" t="s">
        <v>379</v>
      </c>
      <c r="I190" s="22" t="s">
        <v>911</v>
      </c>
      <c r="J190" s="23" t="str">
        <f>IFERROR(__xludf.DUMMYFUNCTION("ARRAYFORMULA(REGEXEXTRACT(SPLIT(C190, ""&lt;br&gt;""), ""([가-힣A-Za-z]+)""))"),"넘버")</f>
        <v>넘버</v>
      </c>
      <c r="K190" s="24" t="str">
        <f>IFERROR(__xludf.DUMMYFUNCTION("""COMPUTED_VALUE"""),"원")</f>
        <v>원</v>
      </c>
      <c r="L190" s="24" t="str">
        <f>IFERROR(__xludf.DUMMYFUNCTION("""COMPUTED_VALUE"""),"깡패")</f>
        <v>깡패</v>
      </c>
      <c r="M190" s="24" t="str">
        <f>IFERROR(__xludf.DUMMYFUNCTION("""COMPUTED_VALUE"""),"한메")</f>
        <v>한메</v>
      </c>
      <c r="N190" s="24" t="str">
        <f>IFERROR(__xludf.DUMMYFUNCTION("ARRAYFORMULA(REGEXEXTRACT(SPLIT(E190, ""&lt;br&gt;""), ""([가-힣A-Za-z]+)""))"),"짱구")</f>
        <v>짱구</v>
      </c>
      <c r="O190" s="24" t="str">
        <f>IFERROR(__xludf.DUMMYFUNCTION("""COMPUTED_VALUE"""),"재우")</f>
        <v>재우</v>
      </c>
      <c r="P190" s="24" t="str">
        <f>IFERROR(__xludf.DUMMYFUNCTION("""COMPUTED_VALUE"""),"솔")</f>
        <v>솔</v>
      </c>
      <c r="Q190" s="24" t="str">
        <f>IFERROR(__xludf.DUMMYFUNCTION("""COMPUTED_VALUE"""),"GYUL")</f>
        <v>GYUL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9" t="s">
        <v>912</v>
      </c>
      <c r="B191" s="20" t="s">
        <v>913</v>
      </c>
      <c r="C191" s="19" t="s">
        <v>914</v>
      </c>
      <c r="D191" s="19">
        <v>5.0</v>
      </c>
      <c r="E191" s="19" t="s">
        <v>915</v>
      </c>
      <c r="F191" s="19">
        <v>4.0</v>
      </c>
      <c r="G191" s="21">
        <v>45945.98333333333</v>
      </c>
      <c r="H191" s="19" t="s">
        <v>379</v>
      </c>
      <c r="I191" s="22" t="s">
        <v>911</v>
      </c>
      <c r="J191" s="23" t="str">
        <f>IFERROR(__xludf.DUMMYFUNCTION("ARRAYFORMULA(REGEXEXTRACT(SPLIT(C191, ""&lt;br&gt;""), ""([가-힣A-Za-z]+)""))"),"원")</f>
        <v>원</v>
      </c>
      <c r="K191" s="24" t="str">
        <f>IFERROR(__xludf.DUMMYFUNCTION("""COMPUTED_VALUE"""),"깡패")</f>
        <v>깡패</v>
      </c>
      <c r="L191" s="24" t="str">
        <f>IFERROR(__xludf.DUMMYFUNCTION("""COMPUTED_VALUE"""),"재우")</f>
        <v>재우</v>
      </c>
      <c r="M191" s="24" t="str">
        <f>IFERROR(__xludf.DUMMYFUNCTION("""COMPUTED_VALUE"""),"솔")</f>
        <v>솔</v>
      </c>
      <c r="N191" s="24" t="str">
        <f>IFERROR(__xludf.DUMMYFUNCTION("ARRAYFORMULA(REGEXEXTRACT(SPLIT(E191, ""&lt;br&gt;""), ""([가-힣A-Za-z]+)""))"),"한메")</f>
        <v>한메</v>
      </c>
      <c r="O191" s="24" t="str">
        <f>IFERROR(__xludf.DUMMYFUNCTION("""COMPUTED_VALUE"""),"짱구")</f>
        <v>짱구</v>
      </c>
      <c r="P191" s="24" t="str">
        <f>IFERROR(__xludf.DUMMYFUNCTION("""COMPUTED_VALUE"""),"GYUL")</f>
        <v>GYUL</v>
      </c>
      <c r="Q191" s="24" t="str">
        <f>IFERROR(__xludf.DUMMYFUNCTION("""COMPUTED_VALUE"""),"넘버")</f>
        <v>넘버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9" t="s">
        <v>916</v>
      </c>
      <c r="B192" s="20" t="s">
        <v>917</v>
      </c>
      <c r="C192" s="19" t="s">
        <v>918</v>
      </c>
      <c r="D192" s="19">
        <v>5.0</v>
      </c>
      <c r="E192" s="19" t="s">
        <v>919</v>
      </c>
      <c r="F192" s="19">
        <v>4.0</v>
      </c>
      <c r="G192" s="21">
        <v>45945.950694444444</v>
      </c>
      <c r="H192" s="19" t="s">
        <v>379</v>
      </c>
      <c r="I192" s="22" t="s">
        <v>920</v>
      </c>
      <c r="J192" s="23" t="str">
        <f>IFERROR(__xludf.DUMMYFUNCTION("ARRAYFORMULA(REGEXEXTRACT(SPLIT(C192, ""&lt;br&gt;""), ""([가-힣A-Za-z]+)""))"),"짱구")</f>
        <v>짱구</v>
      </c>
      <c r="K192" s="24" t="str">
        <f>IFERROR(__xludf.DUMMYFUNCTION("""COMPUTED_VALUE"""),"GYUL")</f>
        <v>GYUL</v>
      </c>
      <c r="L192" s="24" t="str">
        <f>IFERROR(__xludf.DUMMYFUNCTION("""COMPUTED_VALUE"""),"깡패")</f>
        <v>깡패</v>
      </c>
      <c r="M192" s="24" t="str">
        <f>IFERROR(__xludf.DUMMYFUNCTION("""COMPUTED_VALUE"""),"규식")</f>
        <v>규식</v>
      </c>
      <c r="N192" s="24" t="str">
        <f>IFERROR(__xludf.DUMMYFUNCTION("ARRAYFORMULA(REGEXEXTRACT(SPLIT(E192, ""&lt;br&gt;""), ""([가-힣A-Za-z]+)""))"),"필찌")</f>
        <v>필찌</v>
      </c>
      <c r="O192" s="24" t="str">
        <f>IFERROR(__xludf.DUMMYFUNCTION("""COMPUTED_VALUE"""),"원")</f>
        <v>원</v>
      </c>
      <c r="P192" s="24" t="str">
        <f>IFERROR(__xludf.DUMMYFUNCTION("""COMPUTED_VALUE"""),"솔")</f>
        <v>솔</v>
      </c>
      <c r="Q192" s="24" t="str">
        <f>IFERROR(__xludf.DUMMYFUNCTION("""COMPUTED_VALUE"""),"한메")</f>
        <v>한메</v>
      </c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9" t="s">
        <v>921</v>
      </c>
      <c r="B193" s="20" t="s">
        <v>922</v>
      </c>
      <c r="C193" s="19" t="s">
        <v>923</v>
      </c>
      <c r="D193" s="19">
        <v>5.0</v>
      </c>
      <c r="E193" s="19" t="s">
        <v>924</v>
      </c>
      <c r="F193" s="19">
        <v>3.0</v>
      </c>
      <c r="G193" s="21">
        <v>45945.904861111114</v>
      </c>
      <c r="H193" s="19" t="s">
        <v>379</v>
      </c>
      <c r="I193" s="22" t="s">
        <v>742</v>
      </c>
      <c r="J193" s="23" t="str">
        <f>IFERROR(__xludf.DUMMYFUNCTION("ARRAYFORMULA(REGEXEXTRACT(SPLIT(C193, ""&lt;br&gt;""), ""([가-힣A-Za-z]+)""))"),"한메")</f>
        <v>한메</v>
      </c>
      <c r="K193" s="24" t="str">
        <f>IFERROR(__xludf.DUMMYFUNCTION("""COMPUTED_VALUE"""),"솔")</f>
        <v>솔</v>
      </c>
      <c r="L193" s="24" t="str">
        <f>IFERROR(__xludf.DUMMYFUNCTION("""COMPUTED_VALUE"""),"짱구")</f>
        <v>짱구</v>
      </c>
      <c r="M193" s="24" t="str">
        <f>IFERROR(__xludf.DUMMYFUNCTION("""COMPUTED_VALUE"""),"GYUL")</f>
        <v>GYUL</v>
      </c>
      <c r="N193" s="24" t="str">
        <f>IFERROR(__xludf.DUMMYFUNCTION("ARRAYFORMULA(REGEXEXTRACT(SPLIT(E193, ""&lt;br&gt;""), ""([가-힣A-Za-z]+)""))"),"노인")</f>
        <v>노인</v>
      </c>
      <c r="O193" s="24" t="str">
        <f>IFERROR(__xludf.DUMMYFUNCTION("""COMPUTED_VALUE"""),"규식")</f>
        <v>규식</v>
      </c>
      <c r="P193" s="24" t="str">
        <f>IFERROR(__xludf.DUMMYFUNCTION("""COMPUTED_VALUE"""),"필찌")</f>
        <v>필찌</v>
      </c>
      <c r="Q193" s="24" t="str">
        <f>IFERROR(__xludf.DUMMYFUNCTION("""COMPUTED_VALUE"""),"깡패")</f>
        <v>깡패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9" t="s">
        <v>925</v>
      </c>
      <c r="B194" s="20" t="s">
        <v>926</v>
      </c>
      <c r="C194" s="19" t="s">
        <v>927</v>
      </c>
      <c r="D194" s="19">
        <v>5.0</v>
      </c>
      <c r="E194" s="19" t="s">
        <v>928</v>
      </c>
      <c r="F194" s="19">
        <v>3.0</v>
      </c>
      <c r="G194" s="21">
        <v>45945.873611111114</v>
      </c>
      <c r="H194" s="19" t="s">
        <v>379</v>
      </c>
      <c r="I194" s="22" t="s">
        <v>742</v>
      </c>
      <c r="J194" s="23" t="str">
        <f>IFERROR(__xludf.DUMMYFUNCTION("ARRAYFORMULA(REGEXEXTRACT(SPLIT(C194, ""&lt;br&gt;""), ""([가-힣A-Za-z]+)""))"),"필찌")</f>
        <v>필찌</v>
      </c>
      <c r="K194" s="24" t="str">
        <f>IFERROR(__xludf.DUMMYFUNCTION("""COMPUTED_VALUE"""),"짱구")</f>
        <v>짱구</v>
      </c>
      <c r="L194" s="24" t="str">
        <f>IFERROR(__xludf.DUMMYFUNCTION("""COMPUTED_VALUE"""),"솔")</f>
        <v>솔</v>
      </c>
      <c r="M194" s="24" t="str">
        <f>IFERROR(__xludf.DUMMYFUNCTION("""COMPUTED_VALUE"""),"규식")</f>
        <v>규식</v>
      </c>
      <c r="N194" s="24" t="str">
        <f>IFERROR(__xludf.DUMMYFUNCTION("ARRAYFORMULA(REGEXEXTRACT(SPLIT(E194, ""&lt;br&gt;""), ""([가-힣A-Za-z]+)""))"),"GYUL")</f>
        <v>GYUL</v>
      </c>
      <c r="O194" s="24" t="str">
        <f>IFERROR(__xludf.DUMMYFUNCTION("""COMPUTED_VALUE"""),"노인")</f>
        <v>노인</v>
      </c>
      <c r="P194" s="24" t="str">
        <f>IFERROR(__xludf.DUMMYFUNCTION("""COMPUTED_VALUE"""),"깡패")</f>
        <v>깡패</v>
      </c>
      <c r="Q194" s="24" t="str">
        <f>IFERROR(__xludf.DUMMYFUNCTION("""COMPUTED_VALUE"""),"한메")</f>
        <v>한메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9" t="s">
        <v>929</v>
      </c>
      <c r="B195" s="20" t="s">
        <v>930</v>
      </c>
      <c r="C195" s="19" t="s">
        <v>931</v>
      </c>
      <c r="D195" s="19">
        <v>5.0</v>
      </c>
      <c r="E195" s="19" t="s">
        <v>932</v>
      </c>
      <c r="F195" s="19">
        <v>1.0</v>
      </c>
      <c r="G195" s="21">
        <v>45945.05</v>
      </c>
      <c r="H195" s="19" t="s">
        <v>379</v>
      </c>
      <c r="I195" s="22" t="s">
        <v>487</v>
      </c>
      <c r="J195" s="23" t="str">
        <f>IFERROR(__xludf.DUMMYFUNCTION("ARRAYFORMULA(REGEXEXTRACT(SPLIT(C195, ""&lt;br&gt;""), ""([가-힣A-Za-z]+)""))"),"깡패")</f>
        <v>깡패</v>
      </c>
      <c r="K195" s="24" t="str">
        <f>IFERROR(__xludf.DUMMYFUNCTION("""COMPUTED_VALUE"""),"짱구")</f>
        <v>짱구</v>
      </c>
      <c r="L195" s="24" t="str">
        <f>IFERROR(__xludf.DUMMYFUNCTION("""COMPUTED_VALUE"""),"넘버")</f>
        <v>넘버</v>
      </c>
      <c r="M195" s="24" t="str">
        <f>IFERROR(__xludf.DUMMYFUNCTION("""COMPUTED_VALUE"""),"솔")</f>
        <v>솔</v>
      </c>
      <c r="N195" s="24" t="str">
        <f>IFERROR(__xludf.DUMMYFUNCTION("ARRAYFORMULA(REGEXEXTRACT(SPLIT(E195, ""&lt;br&gt;""), ""([가-힣A-Za-z]+)""))"),"기재")</f>
        <v>기재</v>
      </c>
      <c r="O195" s="24" t="str">
        <f>IFERROR(__xludf.DUMMYFUNCTION("""COMPUTED_VALUE"""),"노픽업")</f>
        <v>노픽업</v>
      </c>
      <c r="P195" s="24" t="str">
        <f>IFERROR(__xludf.DUMMYFUNCTION("""COMPUTED_VALUE"""),"테리")</f>
        <v>테리</v>
      </c>
      <c r="Q195" s="24" t="str">
        <f>IFERROR(__xludf.DUMMYFUNCTION("""COMPUTED_VALUE"""),"신형만")</f>
        <v>신형만</v>
      </c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9" t="s">
        <v>933</v>
      </c>
      <c r="B196" s="20" t="s">
        <v>934</v>
      </c>
      <c r="C196" s="19" t="s">
        <v>935</v>
      </c>
      <c r="D196" s="19">
        <v>5.0</v>
      </c>
      <c r="E196" s="19" t="s">
        <v>936</v>
      </c>
      <c r="F196" s="19">
        <v>3.0</v>
      </c>
      <c r="G196" s="21">
        <v>45945.021527777775</v>
      </c>
      <c r="H196" s="19" t="s">
        <v>379</v>
      </c>
      <c r="I196" s="22" t="s">
        <v>937</v>
      </c>
      <c r="J196" s="23" t="str">
        <f>IFERROR(__xludf.DUMMYFUNCTION("ARRAYFORMULA(REGEXEXTRACT(SPLIT(C196, ""&lt;br&gt;""), ""([가-힣A-Za-z]+)""))"),"신형만")</f>
        <v>신형만</v>
      </c>
      <c r="K196" s="24" t="str">
        <f>IFERROR(__xludf.DUMMYFUNCTION("""COMPUTED_VALUE"""),"솔")</f>
        <v>솔</v>
      </c>
      <c r="L196" s="24" t="str">
        <f>IFERROR(__xludf.DUMMYFUNCTION("""COMPUTED_VALUE"""),"깡패")</f>
        <v>깡패</v>
      </c>
      <c r="M196" s="24" t="str">
        <f>IFERROR(__xludf.DUMMYFUNCTION("""COMPUTED_VALUE"""),"노픽업")</f>
        <v>노픽업</v>
      </c>
      <c r="N196" s="24" t="str">
        <f>IFERROR(__xludf.DUMMYFUNCTION("ARRAYFORMULA(REGEXEXTRACT(SPLIT(E196, ""&lt;br&gt;""), ""([가-힣A-Za-z]+)""))"),"테리")</f>
        <v>테리</v>
      </c>
      <c r="O196" s="24" t="str">
        <f>IFERROR(__xludf.DUMMYFUNCTION("""COMPUTED_VALUE"""),"재우")</f>
        <v>재우</v>
      </c>
      <c r="P196" s="24" t="str">
        <f>IFERROR(__xludf.DUMMYFUNCTION("""COMPUTED_VALUE"""),"기재")</f>
        <v>기재</v>
      </c>
      <c r="Q196" s="24" t="str">
        <f>IFERROR(__xludf.DUMMYFUNCTION("""COMPUTED_VALUE"""),"넘버")</f>
        <v>넘버</v>
      </c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9" t="s">
        <v>938</v>
      </c>
      <c r="B197" s="20" t="s">
        <v>939</v>
      </c>
      <c r="C197" s="19" t="s">
        <v>940</v>
      </c>
      <c r="D197" s="19">
        <v>5.0</v>
      </c>
      <c r="E197" s="19" t="s">
        <v>941</v>
      </c>
      <c r="F197" s="19">
        <v>2.0</v>
      </c>
      <c r="G197" s="21">
        <v>45944.99930555555</v>
      </c>
      <c r="H197" s="19" t="s">
        <v>379</v>
      </c>
      <c r="I197" s="22" t="s">
        <v>942</v>
      </c>
      <c r="J197" s="23" t="str">
        <f>IFERROR(__xludf.DUMMYFUNCTION("ARRAYFORMULA(REGEXEXTRACT(SPLIT(C197, ""&lt;br&gt;""), ""([가-힣A-Za-z]+)""))"),"솔")</f>
        <v>솔</v>
      </c>
      <c r="K197" s="24" t="str">
        <f>IFERROR(__xludf.DUMMYFUNCTION("""COMPUTED_VALUE"""),"깡패")</f>
        <v>깡패</v>
      </c>
      <c r="L197" s="24" t="str">
        <f>IFERROR(__xludf.DUMMYFUNCTION("""COMPUTED_VALUE"""),"GYUL")</f>
        <v>GYUL</v>
      </c>
      <c r="M197" s="24" t="str">
        <f>IFERROR(__xludf.DUMMYFUNCTION("""COMPUTED_VALUE"""),"기재")</f>
        <v>기재</v>
      </c>
      <c r="N197" s="24" t="str">
        <f>IFERROR(__xludf.DUMMYFUNCTION("ARRAYFORMULA(REGEXEXTRACT(SPLIT(E197, ""&lt;br&gt;""), ""([가-힣A-Za-z]+)""))"),"재우")</f>
        <v>재우</v>
      </c>
      <c r="O197" s="24" t="str">
        <f>IFERROR(__xludf.DUMMYFUNCTION("""COMPUTED_VALUE"""),"필찌")</f>
        <v>필찌</v>
      </c>
      <c r="P197" s="24" t="str">
        <f>IFERROR(__xludf.DUMMYFUNCTION("""COMPUTED_VALUE"""),"테리")</f>
        <v>테리</v>
      </c>
      <c r="Q197" s="24" t="str">
        <f>IFERROR(__xludf.DUMMYFUNCTION("""COMPUTED_VALUE"""),"신형만")</f>
        <v>신형만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9" t="s">
        <v>943</v>
      </c>
      <c r="B198" s="20" t="s">
        <v>944</v>
      </c>
      <c r="C198" s="19" t="s">
        <v>945</v>
      </c>
      <c r="D198" s="19">
        <v>5.0</v>
      </c>
      <c r="E198" s="19" t="s">
        <v>946</v>
      </c>
      <c r="F198" s="19">
        <v>1.0</v>
      </c>
      <c r="G198" s="21">
        <v>45944.96666666667</v>
      </c>
      <c r="H198" s="19" t="s">
        <v>379</v>
      </c>
      <c r="I198" s="22" t="s">
        <v>947</v>
      </c>
      <c r="J198" s="23" t="str">
        <f>IFERROR(__xludf.DUMMYFUNCTION("ARRAYFORMULA(REGEXEXTRACT(SPLIT(C198, ""&lt;br&gt;""), ""([가-힣A-Za-z]+)""))"),"GYUL")</f>
        <v>GYUL</v>
      </c>
      <c r="K198" s="24" t="str">
        <f>IFERROR(__xludf.DUMMYFUNCTION("""COMPUTED_VALUE"""),"규식")</f>
        <v>규식</v>
      </c>
      <c r="L198" s="24" t="str">
        <f>IFERROR(__xludf.DUMMYFUNCTION("""COMPUTED_VALUE"""),"필찌")</f>
        <v>필찌</v>
      </c>
      <c r="M198" s="24" t="str">
        <f>IFERROR(__xludf.DUMMYFUNCTION("""COMPUTED_VALUE"""),"재우")</f>
        <v>재우</v>
      </c>
      <c r="N198" s="24" t="str">
        <f>IFERROR(__xludf.DUMMYFUNCTION("ARRAYFORMULA(REGEXEXTRACT(SPLIT(E198, ""&lt;br&gt;""), ""([가-힣A-Za-z]+)""))"),"신형만")</f>
        <v>신형만</v>
      </c>
      <c r="O198" s="24" t="str">
        <f>IFERROR(__xludf.DUMMYFUNCTION("""COMPUTED_VALUE"""),"오딘")</f>
        <v>오딘</v>
      </c>
      <c r="P198" s="24" t="str">
        <f>IFERROR(__xludf.DUMMYFUNCTION("""COMPUTED_VALUE"""),"기재")</f>
        <v>기재</v>
      </c>
      <c r="Q198" s="24" t="str">
        <f>IFERROR(__xludf.DUMMYFUNCTION("""COMPUTED_VALUE"""),"솔")</f>
        <v>솔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9" t="s">
        <v>948</v>
      </c>
      <c r="B199" s="20" t="s">
        <v>949</v>
      </c>
      <c r="C199" s="19" t="s">
        <v>950</v>
      </c>
      <c r="D199" s="19">
        <v>5.0</v>
      </c>
      <c r="E199" s="19" t="s">
        <v>951</v>
      </c>
      <c r="F199" s="19">
        <v>4.0</v>
      </c>
      <c r="G199" s="21">
        <v>45944.93541666667</v>
      </c>
      <c r="H199" s="19" t="s">
        <v>379</v>
      </c>
      <c r="I199" s="22" t="s">
        <v>952</v>
      </c>
      <c r="J199" s="23" t="str">
        <f>IFERROR(__xludf.DUMMYFUNCTION("ARRAYFORMULA(REGEXEXTRACT(SPLIT(C199, ""&lt;br&gt;""), ""([가-힣A-Za-z]+)""))"),"필찌")</f>
        <v>필찌</v>
      </c>
      <c r="K199" s="24" t="str">
        <f>IFERROR(__xludf.DUMMYFUNCTION("""COMPUTED_VALUE"""),"솔")</f>
        <v>솔</v>
      </c>
      <c r="L199" s="24" t="str">
        <f>IFERROR(__xludf.DUMMYFUNCTION("""COMPUTED_VALUE"""),"규식")</f>
        <v>규식</v>
      </c>
      <c r="M199" s="24" t="str">
        <f>IFERROR(__xludf.DUMMYFUNCTION("""COMPUTED_VALUE"""),"기재")</f>
        <v>기재</v>
      </c>
      <c r="N199" s="24" t="str">
        <f>IFERROR(__xludf.DUMMYFUNCTION("ARRAYFORMULA(REGEXEXTRACT(SPLIT(E199, ""&lt;br&gt;""), ""([가-힣A-Za-z]+)""))"),"오딘")</f>
        <v>오딘</v>
      </c>
      <c r="O199" s="24" t="str">
        <f>IFERROR(__xludf.DUMMYFUNCTION("""COMPUTED_VALUE"""),"넘버")</f>
        <v>넘버</v>
      </c>
      <c r="P199" s="24" t="str">
        <f>IFERROR(__xludf.DUMMYFUNCTION("""COMPUTED_VALUE"""),"노인")</f>
        <v>노인</v>
      </c>
      <c r="Q199" s="24" t="str">
        <f>IFERROR(__xludf.DUMMYFUNCTION("""COMPUTED_VALUE"""),"신형만")</f>
        <v>신형만</v>
      </c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9" t="s">
        <v>953</v>
      </c>
      <c r="B200" s="20" t="s">
        <v>954</v>
      </c>
      <c r="C200" s="19" t="s">
        <v>955</v>
      </c>
      <c r="D200" s="19">
        <v>5.0</v>
      </c>
      <c r="E200" s="19" t="s">
        <v>956</v>
      </c>
      <c r="F200" s="19">
        <v>2.0</v>
      </c>
      <c r="G200" s="21">
        <v>45944.8875</v>
      </c>
      <c r="H200" s="19" t="s">
        <v>379</v>
      </c>
      <c r="I200" s="22" t="s">
        <v>952</v>
      </c>
      <c r="J200" s="23" t="str">
        <f>IFERROR(__xludf.DUMMYFUNCTION("ARRAYFORMULA(REGEXEXTRACT(SPLIT(C200, ""&lt;br&gt;""), ""([가-힣A-Za-z]+)""))"),"넘버")</f>
        <v>넘버</v>
      </c>
      <c r="K200" s="24" t="str">
        <f>IFERROR(__xludf.DUMMYFUNCTION("""COMPUTED_VALUE"""),"노인")</f>
        <v>노인</v>
      </c>
      <c r="L200" s="24" t="str">
        <f>IFERROR(__xludf.DUMMYFUNCTION("""COMPUTED_VALUE"""),"기재")</f>
        <v>기재</v>
      </c>
      <c r="M200" s="24" t="str">
        <f>IFERROR(__xludf.DUMMYFUNCTION("""COMPUTED_VALUE"""),"규식")</f>
        <v>규식</v>
      </c>
      <c r="N200" s="24" t="str">
        <f>IFERROR(__xludf.DUMMYFUNCTION("ARRAYFORMULA(REGEXEXTRACT(SPLIT(E200, ""&lt;br&gt;""), ""([가-힣A-Za-z]+)""))"),"신형만")</f>
        <v>신형만</v>
      </c>
      <c r="O200" s="24" t="str">
        <f>IFERROR(__xludf.DUMMYFUNCTION("""COMPUTED_VALUE"""),"테리")</f>
        <v>테리</v>
      </c>
      <c r="P200" s="24" t="str">
        <f>IFERROR(__xludf.DUMMYFUNCTION("""COMPUTED_VALUE"""),"필찌")</f>
        <v>필찌</v>
      </c>
      <c r="Q200" s="24" t="str">
        <f>IFERROR(__xludf.DUMMYFUNCTION("""COMPUTED_VALUE"""),"솔")</f>
        <v>솔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9" t="s">
        <v>957</v>
      </c>
      <c r="B201" s="20" t="s">
        <v>958</v>
      </c>
      <c r="C201" s="19" t="s">
        <v>959</v>
      </c>
      <c r="D201" s="19">
        <v>5.0</v>
      </c>
      <c r="E201" s="19" t="s">
        <v>960</v>
      </c>
      <c r="F201" s="19">
        <v>1.0</v>
      </c>
      <c r="G201" s="21">
        <v>45944.85625</v>
      </c>
      <c r="H201" s="19" t="s">
        <v>379</v>
      </c>
      <c r="I201" s="22" t="s">
        <v>952</v>
      </c>
      <c r="J201" s="23" t="str">
        <f>IFERROR(__xludf.DUMMYFUNCTION("ARRAYFORMULA(REGEXEXTRACT(SPLIT(C201, ""&lt;br&gt;""), ""([가-힣A-Za-z]+)""))"),"노인")</f>
        <v>노인</v>
      </c>
      <c r="K201" s="24" t="str">
        <f>IFERROR(__xludf.DUMMYFUNCTION("""COMPUTED_VALUE"""),"필찌")</f>
        <v>필찌</v>
      </c>
      <c r="L201" s="24" t="str">
        <f>IFERROR(__xludf.DUMMYFUNCTION("""COMPUTED_VALUE"""),"솔")</f>
        <v>솔</v>
      </c>
      <c r="M201" s="24" t="str">
        <f>IFERROR(__xludf.DUMMYFUNCTION("""COMPUTED_VALUE"""),"넘버")</f>
        <v>넘버</v>
      </c>
      <c r="N201" s="24" t="str">
        <f>IFERROR(__xludf.DUMMYFUNCTION("ARRAYFORMULA(REGEXEXTRACT(SPLIT(E201, ""&lt;br&gt;""), ""([가-힣A-Za-z]+)""))"),"테리")</f>
        <v>테리</v>
      </c>
      <c r="O201" s="24" t="str">
        <f>IFERROR(__xludf.DUMMYFUNCTION("""COMPUTED_VALUE"""),"규식")</f>
        <v>규식</v>
      </c>
      <c r="P201" s="24" t="str">
        <f>IFERROR(__xludf.DUMMYFUNCTION("""COMPUTED_VALUE"""),"신형만")</f>
        <v>신형만</v>
      </c>
      <c r="Q201" s="24" t="str">
        <f>IFERROR(__xludf.DUMMYFUNCTION("""COMPUTED_VALUE"""),"기재")</f>
        <v>기재</v>
      </c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9" t="s">
        <v>961</v>
      </c>
      <c r="B202" s="20" t="s">
        <v>962</v>
      </c>
      <c r="C202" s="19" t="s">
        <v>963</v>
      </c>
      <c r="D202" s="19">
        <v>5.0</v>
      </c>
      <c r="E202" s="19" t="s">
        <v>964</v>
      </c>
      <c r="F202" s="19">
        <v>0.0</v>
      </c>
      <c r="G202" s="21">
        <v>45944.05347222222</v>
      </c>
      <c r="H202" s="19" t="s">
        <v>379</v>
      </c>
      <c r="I202" s="22" t="s">
        <v>965</v>
      </c>
      <c r="J202" s="23" t="str">
        <f>IFERROR(__xludf.DUMMYFUNCTION("ARRAYFORMULA(REGEXEXTRACT(SPLIT(C202, ""&lt;br&gt;""), ""([가-힣A-Za-z]+)""))"),"깡패")</f>
        <v>깡패</v>
      </c>
      <c r="K202" s="24" t="str">
        <f>IFERROR(__xludf.DUMMYFUNCTION("""COMPUTED_VALUE"""),"넘버")</f>
        <v>넘버</v>
      </c>
      <c r="L202" s="24" t="str">
        <f>IFERROR(__xludf.DUMMYFUNCTION("""COMPUTED_VALUE"""),"필찌")</f>
        <v>필찌</v>
      </c>
      <c r="M202" s="24" t="str">
        <f>IFERROR(__xludf.DUMMYFUNCTION("""COMPUTED_VALUE"""),"한메")</f>
        <v>한메</v>
      </c>
      <c r="N202" s="24" t="str">
        <f>IFERROR(__xludf.DUMMYFUNCTION("ARRAYFORMULA(REGEXEXTRACT(SPLIT(E202, ""&lt;br&gt;""), ""([가-힣A-Za-z]+)""))"),"ACDC")</f>
        <v>ACDC</v>
      </c>
      <c r="O202" s="24" t="str">
        <f>IFERROR(__xludf.DUMMYFUNCTION("""COMPUTED_VALUE"""),"노인")</f>
        <v>노인</v>
      </c>
      <c r="P202" s="24" t="str">
        <f>IFERROR(__xludf.DUMMYFUNCTION("""COMPUTED_VALUE"""),"민우")</f>
        <v>민우</v>
      </c>
      <c r="Q202" s="24" t="str">
        <f>IFERROR(__xludf.DUMMYFUNCTION("""COMPUTED_VALUE"""),"신형만")</f>
        <v>신형만</v>
      </c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9" t="s">
        <v>966</v>
      </c>
      <c r="B203" s="20" t="s">
        <v>967</v>
      </c>
      <c r="C203" s="19" t="s">
        <v>968</v>
      </c>
      <c r="D203" s="19">
        <v>5.0</v>
      </c>
      <c r="E203" s="19" t="s">
        <v>969</v>
      </c>
      <c r="F203" s="19">
        <v>3.0</v>
      </c>
      <c r="G203" s="21">
        <v>45944.04305555556</v>
      </c>
      <c r="H203" s="19" t="s">
        <v>379</v>
      </c>
      <c r="I203" s="22" t="s">
        <v>965</v>
      </c>
      <c r="J203" s="23" t="str">
        <f>IFERROR(__xludf.DUMMYFUNCTION("ARRAYFORMULA(REGEXEXTRACT(SPLIT(C203, ""&lt;br&gt;""), ""([가-힣A-Za-z]+)""))"),"한메")</f>
        <v>한메</v>
      </c>
      <c r="K203" s="24" t="str">
        <f>IFERROR(__xludf.DUMMYFUNCTION("""COMPUTED_VALUE"""),"유즈")</f>
        <v>유즈</v>
      </c>
      <c r="L203" s="24" t="str">
        <f>IFERROR(__xludf.DUMMYFUNCTION("""COMPUTED_VALUE"""),"깡패")</f>
        <v>깡패</v>
      </c>
      <c r="M203" s="24" t="str">
        <f>IFERROR(__xludf.DUMMYFUNCTION("""COMPUTED_VALUE"""),"민우")</f>
        <v>민우</v>
      </c>
      <c r="N203" s="24" t="str">
        <f>IFERROR(__xludf.DUMMYFUNCTION("ARRAYFORMULA(REGEXEXTRACT(SPLIT(E203, ""&lt;br&gt;""), ""([가-힣A-Za-z]+)""))"),"필찌")</f>
        <v>필찌</v>
      </c>
      <c r="O203" s="24" t="str">
        <f>IFERROR(__xludf.DUMMYFUNCTION("""COMPUTED_VALUE"""),"신형만")</f>
        <v>신형만</v>
      </c>
      <c r="P203" s="24" t="str">
        <f>IFERROR(__xludf.DUMMYFUNCTION("""COMPUTED_VALUE"""),"노인")</f>
        <v>노인</v>
      </c>
      <c r="Q203" s="24" t="str">
        <f>IFERROR(__xludf.DUMMYFUNCTION("""COMPUTED_VALUE"""),"넘버")</f>
        <v>넘버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9" t="s">
        <v>970</v>
      </c>
      <c r="B204" s="20" t="s">
        <v>971</v>
      </c>
      <c r="C204" s="19" t="s">
        <v>972</v>
      </c>
      <c r="D204" s="19">
        <v>5.0</v>
      </c>
      <c r="E204" s="19" t="s">
        <v>973</v>
      </c>
      <c r="F204" s="19">
        <v>1.0</v>
      </c>
      <c r="G204" s="21">
        <v>45944.00555555556</v>
      </c>
      <c r="H204" s="19" t="s">
        <v>379</v>
      </c>
      <c r="I204" s="22" t="s">
        <v>965</v>
      </c>
      <c r="J204" s="23" t="str">
        <f>IFERROR(__xludf.DUMMYFUNCTION("ARRAYFORMULA(REGEXEXTRACT(SPLIT(C204, ""&lt;br&gt;""), ""([가-힣A-Za-z]+)""))"),"넘버")</f>
        <v>넘버</v>
      </c>
      <c r="K204" s="24" t="str">
        <f>IFERROR(__xludf.DUMMYFUNCTION("""COMPUTED_VALUE"""),"규식")</f>
        <v>규식</v>
      </c>
      <c r="L204" s="24" t="str">
        <f>IFERROR(__xludf.DUMMYFUNCTION("""COMPUTED_VALUE"""),"한메")</f>
        <v>한메</v>
      </c>
      <c r="M204" s="24" t="str">
        <f>IFERROR(__xludf.DUMMYFUNCTION("""COMPUTED_VALUE"""),"깡패")</f>
        <v>깡패</v>
      </c>
      <c r="N204" s="24" t="str">
        <f>IFERROR(__xludf.DUMMYFUNCTION("ARRAYFORMULA(REGEXEXTRACT(SPLIT(E204, ""&lt;br&gt;""), ""([가-힣A-Za-z]+)""))"),"유즈")</f>
        <v>유즈</v>
      </c>
      <c r="O204" s="24" t="str">
        <f>IFERROR(__xludf.DUMMYFUNCTION("""COMPUTED_VALUE"""),"노인")</f>
        <v>노인</v>
      </c>
      <c r="P204" s="24" t="str">
        <f>IFERROR(__xludf.DUMMYFUNCTION("""COMPUTED_VALUE"""),"짱구")</f>
        <v>짱구</v>
      </c>
      <c r="Q204" s="24" t="str">
        <f>IFERROR(__xludf.DUMMYFUNCTION("""COMPUTED_VALUE"""),"신형만")</f>
        <v>신형만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9" t="s">
        <v>974</v>
      </c>
      <c r="B205" s="20" t="s">
        <v>975</v>
      </c>
      <c r="C205" s="19" t="s">
        <v>976</v>
      </c>
      <c r="D205" s="19">
        <v>5.0</v>
      </c>
      <c r="E205" s="19" t="s">
        <v>977</v>
      </c>
      <c r="F205" s="19">
        <v>1.0</v>
      </c>
      <c r="G205" s="21">
        <v>45943.989583333336</v>
      </c>
      <c r="H205" s="19" t="s">
        <v>379</v>
      </c>
      <c r="I205" s="22" t="s">
        <v>965</v>
      </c>
      <c r="J205" s="23" t="str">
        <f>IFERROR(__xludf.DUMMYFUNCTION("ARRAYFORMULA(REGEXEXTRACT(SPLIT(C205, ""&lt;br&gt;""), ""([가-힣A-Za-z]+)""))"),"노인")</f>
        <v>노인</v>
      </c>
      <c r="K205" s="24" t="str">
        <f>IFERROR(__xludf.DUMMYFUNCTION("""COMPUTED_VALUE"""),"깡패")</f>
        <v>깡패</v>
      </c>
      <c r="L205" s="24" t="str">
        <f>IFERROR(__xludf.DUMMYFUNCTION("""COMPUTED_VALUE"""),"신형만")</f>
        <v>신형만</v>
      </c>
      <c r="M205" s="24" t="str">
        <f>IFERROR(__xludf.DUMMYFUNCTION("""COMPUTED_VALUE"""),"규식")</f>
        <v>규식</v>
      </c>
      <c r="N205" s="24" t="str">
        <f>IFERROR(__xludf.DUMMYFUNCTION("ARRAYFORMULA(REGEXEXTRACT(SPLIT(E205, ""&lt;br&gt;""), ""([가-힣A-Za-z]+)""))"),"짱구")</f>
        <v>짱구</v>
      </c>
      <c r="O205" s="24" t="str">
        <f>IFERROR(__xludf.DUMMYFUNCTION("""COMPUTED_VALUE"""),"유즈")</f>
        <v>유즈</v>
      </c>
      <c r="P205" s="24" t="str">
        <f>IFERROR(__xludf.DUMMYFUNCTION("""COMPUTED_VALUE"""),"넘버")</f>
        <v>넘버</v>
      </c>
      <c r="Q205" s="24" t="str">
        <f>IFERROR(__xludf.DUMMYFUNCTION("""COMPUTED_VALUE"""),"한메")</f>
        <v>한메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9" t="s">
        <v>978</v>
      </c>
      <c r="B206" s="20" t="s">
        <v>979</v>
      </c>
      <c r="C206" s="19" t="s">
        <v>980</v>
      </c>
      <c r="D206" s="19">
        <v>5.0</v>
      </c>
      <c r="E206" s="19" t="s">
        <v>981</v>
      </c>
      <c r="F206" s="19">
        <v>4.0</v>
      </c>
      <c r="G206" s="21">
        <v>45943.97083333333</v>
      </c>
      <c r="H206" s="19" t="s">
        <v>379</v>
      </c>
      <c r="I206" s="22" t="s">
        <v>341</v>
      </c>
      <c r="J206" s="23" t="str">
        <f>IFERROR(__xludf.DUMMYFUNCTION("ARRAYFORMULA(REGEXEXTRACT(SPLIT(C206, ""&lt;br&gt;""), ""([가-힣A-Za-z]+)""))"),"깡패")</f>
        <v>깡패</v>
      </c>
      <c r="K206" s="24" t="str">
        <f>IFERROR(__xludf.DUMMYFUNCTION("""COMPUTED_VALUE"""),"테리")</f>
        <v>테리</v>
      </c>
      <c r="L206" s="24" t="str">
        <f>IFERROR(__xludf.DUMMYFUNCTION("""COMPUTED_VALUE"""),"필찌")</f>
        <v>필찌</v>
      </c>
      <c r="M206" s="24" t="str">
        <f>IFERROR(__xludf.DUMMYFUNCTION("""COMPUTED_VALUE"""),"오딘")</f>
        <v>오딘</v>
      </c>
      <c r="N206" s="24" t="str">
        <f>IFERROR(__xludf.DUMMYFUNCTION("ARRAYFORMULA(REGEXEXTRACT(SPLIT(E206, ""&lt;br&gt;""), ""([가-힣A-Za-z]+)""))"),"유즈")</f>
        <v>유즈</v>
      </c>
      <c r="O206" s="24" t="str">
        <f>IFERROR(__xludf.DUMMYFUNCTION("""COMPUTED_VALUE"""),"신형만")</f>
        <v>신형만</v>
      </c>
      <c r="P206" s="24" t="str">
        <f>IFERROR(__xludf.DUMMYFUNCTION("""COMPUTED_VALUE"""),"한메")</f>
        <v>한메</v>
      </c>
      <c r="Q206" s="24" t="str">
        <f>IFERROR(__xludf.DUMMYFUNCTION("""COMPUTED_VALUE"""),"규식")</f>
        <v>규식</v>
      </c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9" t="s">
        <v>982</v>
      </c>
      <c r="B207" s="20" t="s">
        <v>983</v>
      </c>
      <c r="C207" s="19" t="s">
        <v>984</v>
      </c>
      <c r="D207" s="19">
        <v>5.0</v>
      </c>
      <c r="E207" s="19" t="s">
        <v>985</v>
      </c>
      <c r="F207" s="19">
        <v>3.0</v>
      </c>
      <c r="G207" s="21">
        <v>45943.92986111111</v>
      </c>
      <c r="H207" s="19" t="s">
        <v>379</v>
      </c>
      <c r="I207" s="22" t="s">
        <v>341</v>
      </c>
      <c r="J207" s="23" t="str">
        <f>IFERROR(__xludf.DUMMYFUNCTION("ARRAYFORMULA(REGEXEXTRACT(SPLIT(C207, ""&lt;br&gt;""), ""([가-힣A-Za-z]+)""))"),"테리")</f>
        <v>테리</v>
      </c>
      <c r="K207" s="24" t="str">
        <f>IFERROR(__xludf.DUMMYFUNCTION("""COMPUTED_VALUE"""),"규식")</f>
        <v>규식</v>
      </c>
      <c r="L207" s="24" t="str">
        <f>IFERROR(__xludf.DUMMYFUNCTION("""COMPUTED_VALUE"""),"신형만")</f>
        <v>신형만</v>
      </c>
      <c r="M207" s="24" t="str">
        <f>IFERROR(__xludf.DUMMYFUNCTION("""COMPUTED_VALUE"""),"깡패")</f>
        <v>깡패</v>
      </c>
      <c r="N207" s="24" t="str">
        <f>IFERROR(__xludf.DUMMYFUNCTION("ARRAYFORMULA(REGEXEXTRACT(SPLIT(E207, ""&lt;br&gt;""), ""([가-힣A-Za-z]+)""))"),"오딘")</f>
        <v>오딘</v>
      </c>
      <c r="O207" s="24" t="str">
        <f>IFERROR(__xludf.DUMMYFUNCTION("""COMPUTED_VALUE"""),"필찌")</f>
        <v>필찌</v>
      </c>
      <c r="P207" s="24" t="str">
        <f>IFERROR(__xludf.DUMMYFUNCTION("""COMPUTED_VALUE"""),"유즈")</f>
        <v>유즈</v>
      </c>
      <c r="Q207" s="24" t="str">
        <f>IFERROR(__xludf.DUMMYFUNCTION("""COMPUTED_VALUE"""),"한메")</f>
        <v>한메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9" t="s">
        <v>986</v>
      </c>
      <c r="B208" s="20" t="s">
        <v>987</v>
      </c>
      <c r="C208" s="19" t="s">
        <v>988</v>
      </c>
      <c r="D208" s="19">
        <v>5.0</v>
      </c>
      <c r="E208" s="19" t="s">
        <v>989</v>
      </c>
      <c r="F208" s="19">
        <v>3.0</v>
      </c>
      <c r="G208" s="21">
        <v>45943.86736111111</v>
      </c>
      <c r="H208" s="19" t="s">
        <v>379</v>
      </c>
      <c r="I208" s="22" t="s">
        <v>990</v>
      </c>
      <c r="J208" s="23" t="str">
        <f>IFERROR(__xludf.DUMMYFUNCTION("ARRAYFORMULA(REGEXEXTRACT(SPLIT(C208, ""&lt;br&gt;""), ""([가-힣A-Za-z]+)""))"),"유즈")</f>
        <v>유즈</v>
      </c>
      <c r="K208" s="24" t="str">
        <f>IFERROR(__xludf.DUMMYFUNCTION("""COMPUTED_VALUE"""),"노인")</f>
        <v>노인</v>
      </c>
      <c r="L208" s="24" t="str">
        <f>IFERROR(__xludf.DUMMYFUNCTION("""COMPUTED_VALUE"""),"테리")</f>
        <v>테리</v>
      </c>
      <c r="M208" s="24" t="str">
        <f>IFERROR(__xludf.DUMMYFUNCTION("""COMPUTED_VALUE"""),"규식")</f>
        <v>규식</v>
      </c>
      <c r="N208" s="24" t="str">
        <f>IFERROR(__xludf.DUMMYFUNCTION("ARRAYFORMULA(REGEXEXTRACT(SPLIT(E208, ""&lt;br&gt;""), ""([가-힣A-Za-z]+)""))"),"한메")</f>
        <v>한메</v>
      </c>
      <c r="O208" s="24" t="str">
        <f>IFERROR(__xludf.DUMMYFUNCTION("""COMPUTED_VALUE"""),"오딘")</f>
        <v>오딘</v>
      </c>
      <c r="P208" s="24" t="str">
        <f>IFERROR(__xludf.DUMMYFUNCTION("""COMPUTED_VALUE"""),"넘버")</f>
        <v>넘버</v>
      </c>
      <c r="Q208" s="24" t="str">
        <f>IFERROR(__xludf.DUMMYFUNCTION("""COMPUTED_VALUE"""),"신형만")</f>
        <v>신형만</v>
      </c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9" t="s">
        <v>991</v>
      </c>
      <c r="B209" s="20" t="s">
        <v>992</v>
      </c>
      <c r="C209" s="19" t="s">
        <v>993</v>
      </c>
      <c r="D209" s="19">
        <v>5.0</v>
      </c>
      <c r="E209" s="19" t="s">
        <v>994</v>
      </c>
      <c r="F209" s="19">
        <v>2.0</v>
      </c>
      <c r="G209" s="21">
        <v>45943.0</v>
      </c>
      <c r="H209" s="19" t="s">
        <v>379</v>
      </c>
      <c r="I209" s="22" t="s">
        <v>995</v>
      </c>
      <c r="J209" s="23" t="str">
        <f>IFERROR(__xludf.DUMMYFUNCTION("ARRAYFORMULA(REGEXEXTRACT(SPLIT(C209, ""&lt;br&gt;""), ""([가-힣A-Za-z]+)""))"),"깡패")</f>
        <v>깡패</v>
      </c>
      <c r="K209" s="24" t="str">
        <f>IFERROR(__xludf.DUMMYFUNCTION("""COMPUTED_VALUE"""),"원")</f>
        <v>원</v>
      </c>
      <c r="L209" s="24" t="str">
        <f>IFERROR(__xludf.DUMMYFUNCTION("""COMPUTED_VALUE"""),"학생")</f>
        <v>학생</v>
      </c>
      <c r="M209" s="24" t="str">
        <f>IFERROR(__xludf.DUMMYFUNCTION("""COMPUTED_VALUE"""),"규식")</f>
        <v>규식</v>
      </c>
      <c r="N209" s="24" t="str">
        <f>IFERROR(__xludf.DUMMYFUNCTION("ARRAYFORMULA(REGEXEXTRACT(SPLIT(E209, ""&lt;br&gt;""), ""([가-힣A-Za-z]+)""))"),"테리")</f>
        <v>테리</v>
      </c>
      <c r="O209" s="24" t="str">
        <f>IFERROR(__xludf.DUMMYFUNCTION("""COMPUTED_VALUE"""),"노픽업")</f>
        <v>노픽업</v>
      </c>
      <c r="P209" s="24" t="str">
        <f>IFERROR(__xludf.DUMMYFUNCTION("""COMPUTED_VALUE"""),"신형만")</f>
        <v>신형만</v>
      </c>
      <c r="Q209" s="24" t="str">
        <f>IFERROR(__xludf.DUMMYFUNCTION("""COMPUTED_VALUE"""),"넘버")</f>
        <v>넘버</v>
      </c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9" t="s">
        <v>996</v>
      </c>
      <c r="B210" s="20" t="s">
        <v>997</v>
      </c>
      <c r="C210" s="19" t="s">
        <v>998</v>
      </c>
      <c r="D210" s="19">
        <v>5.0</v>
      </c>
      <c r="E210" s="19" t="s">
        <v>999</v>
      </c>
      <c r="F210" s="19">
        <v>4.0</v>
      </c>
      <c r="G210" s="21">
        <v>45942.964583333334</v>
      </c>
      <c r="H210" s="19" t="s">
        <v>379</v>
      </c>
      <c r="I210" s="22" t="s">
        <v>995</v>
      </c>
      <c r="J210" s="23" t="str">
        <f>IFERROR(__xludf.DUMMYFUNCTION("ARRAYFORMULA(REGEXEXTRACT(SPLIT(C210, ""&lt;br&gt;""), ""([가-힣A-Za-z]+)""))"),"ACDC")</f>
        <v>ACDC</v>
      </c>
      <c r="K210" s="24" t="str">
        <f>IFERROR(__xludf.DUMMYFUNCTION("""COMPUTED_VALUE"""),"규식")</f>
        <v>규식</v>
      </c>
      <c r="L210" s="24" t="str">
        <f>IFERROR(__xludf.DUMMYFUNCTION("""COMPUTED_VALUE"""),"노픽업")</f>
        <v>노픽업</v>
      </c>
      <c r="M210" s="24" t="str">
        <f>IFERROR(__xludf.DUMMYFUNCTION("""COMPUTED_VALUE"""),"학생")</f>
        <v>학생</v>
      </c>
      <c r="N210" s="24" t="str">
        <f>IFERROR(__xludf.DUMMYFUNCTION("ARRAYFORMULA(REGEXEXTRACT(SPLIT(E210, ""&lt;br&gt;""), ""([가-힣A-Za-z]+)""))"),"원")</f>
        <v>원</v>
      </c>
      <c r="O210" s="24" t="str">
        <f>IFERROR(__xludf.DUMMYFUNCTION("""COMPUTED_VALUE"""),"신형만")</f>
        <v>신형만</v>
      </c>
      <c r="P210" s="24" t="str">
        <f>IFERROR(__xludf.DUMMYFUNCTION("""COMPUTED_VALUE"""),"넘버")</f>
        <v>넘버</v>
      </c>
      <c r="Q210" s="24" t="str">
        <f>IFERROR(__xludf.DUMMYFUNCTION("""COMPUTED_VALUE"""),"깡패")</f>
        <v>깡패</v>
      </c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9" t="s">
        <v>1000</v>
      </c>
      <c r="B211" s="20" t="s">
        <v>1001</v>
      </c>
      <c r="C211" s="19" t="s">
        <v>1002</v>
      </c>
      <c r="D211" s="19">
        <v>5.0</v>
      </c>
      <c r="E211" s="19" t="s">
        <v>1003</v>
      </c>
      <c r="F211" s="19">
        <v>3.0</v>
      </c>
      <c r="G211" s="21">
        <v>45942.927777777775</v>
      </c>
      <c r="H211" s="19" t="s">
        <v>379</v>
      </c>
      <c r="I211" s="22" t="s">
        <v>995</v>
      </c>
      <c r="J211" s="23" t="str">
        <f>IFERROR(__xludf.DUMMYFUNCTION("ARRAYFORMULA(REGEXEXTRACT(SPLIT(C211, ""&lt;br&gt;""), ""([가-힣A-Za-z]+)""))"),"깡패")</f>
        <v>깡패</v>
      </c>
      <c r="K211" s="24" t="str">
        <f>IFERROR(__xludf.DUMMYFUNCTION("""COMPUTED_VALUE"""),"넘버")</f>
        <v>넘버</v>
      </c>
      <c r="L211" s="24" t="str">
        <f>IFERROR(__xludf.DUMMYFUNCTION("""COMPUTED_VALUE"""),"ACDC")</f>
        <v>ACDC</v>
      </c>
      <c r="M211" s="24" t="str">
        <f>IFERROR(__xludf.DUMMYFUNCTION("""COMPUTED_VALUE"""),"규식")</f>
        <v>규식</v>
      </c>
      <c r="N211" s="24" t="str">
        <f>IFERROR(__xludf.DUMMYFUNCTION("ARRAYFORMULA(REGEXEXTRACT(SPLIT(E211, ""&lt;br&gt;""), ""([가-힣A-Za-z]+)""))"),"신형만")</f>
        <v>신형만</v>
      </c>
      <c r="O211" s="24" t="str">
        <f>IFERROR(__xludf.DUMMYFUNCTION("""COMPUTED_VALUE"""),"노픽업")</f>
        <v>노픽업</v>
      </c>
      <c r="P211" s="24" t="str">
        <f>IFERROR(__xludf.DUMMYFUNCTION("""COMPUTED_VALUE"""),"테리")</f>
        <v>테리</v>
      </c>
      <c r="Q211" s="24" t="str">
        <f>IFERROR(__xludf.DUMMYFUNCTION("""COMPUTED_VALUE"""),"원")</f>
        <v>원</v>
      </c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9" t="s">
        <v>1004</v>
      </c>
      <c r="B212" s="20" t="s">
        <v>1005</v>
      </c>
      <c r="C212" s="19" t="s">
        <v>1006</v>
      </c>
      <c r="D212" s="19">
        <v>5.0</v>
      </c>
      <c r="E212" s="19" t="s">
        <v>1007</v>
      </c>
      <c r="F212" s="19">
        <v>3.0</v>
      </c>
      <c r="G212" s="21">
        <v>45942.885416666664</v>
      </c>
      <c r="H212" s="19" t="s">
        <v>379</v>
      </c>
      <c r="I212" s="22" t="s">
        <v>1008</v>
      </c>
      <c r="J212" s="23" t="str">
        <f>IFERROR(__xludf.DUMMYFUNCTION("ARRAYFORMULA(REGEXEXTRACT(SPLIT(C212, ""&lt;br&gt;""), ""([가-힣A-Za-z]+)""))"),"테리")</f>
        <v>테리</v>
      </c>
      <c r="K212" s="24" t="str">
        <f>IFERROR(__xludf.DUMMYFUNCTION("""COMPUTED_VALUE"""),"규식")</f>
        <v>규식</v>
      </c>
      <c r="L212" s="24" t="str">
        <f>IFERROR(__xludf.DUMMYFUNCTION("""COMPUTED_VALUE"""),"노픽업")</f>
        <v>노픽업</v>
      </c>
      <c r="M212" s="24" t="str">
        <f>IFERROR(__xludf.DUMMYFUNCTION("""COMPUTED_VALUE"""),"깡패")</f>
        <v>깡패</v>
      </c>
      <c r="N212" s="24" t="str">
        <f>IFERROR(__xludf.DUMMYFUNCTION("ARRAYFORMULA(REGEXEXTRACT(SPLIT(E212, ""&lt;br&gt;""), ""([가-힣A-Za-z]+)""))"),"원")</f>
        <v>원</v>
      </c>
      <c r="O212" s="24" t="str">
        <f>IFERROR(__xludf.DUMMYFUNCTION("""COMPUTED_VALUE"""),"ACDC")</f>
        <v>ACDC</v>
      </c>
      <c r="P212" s="24" t="str">
        <f>IFERROR(__xludf.DUMMYFUNCTION("""COMPUTED_VALUE"""),"짱구")</f>
        <v>짱구</v>
      </c>
      <c r="Q212" s="24" t="str">
        <f>IFERROR(__xludf.DUMMYFUNCTION("""COMPUTED_VALUE"""),"신형만")</f>
        <v>신형만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9" t="s">
        <v>1009</v>
      </c>
      <c r="B213" s="20" t="s">
        <v>1010</v>
      </c>
      <c r="C213" s="19" t="s">
        <v>1011</v>
      </c>
      <c r="D213" s="19">
        <v>5.0</v>
      </c>
      <c r="E213" s="19" t="s">
        <v>1012</v>
      </c>
      <c r="F213" s="19">
        <v>0.0</v>
      </c>
      <c r="G213" s="21">
        <v>45942.85486111111</v>
      </c>
      <c r="H213" s="19" t="s">
        <v>379</v>
      </c>
      <c r="I213" s="22" t="s">
        <v>1008</v>
      </c>
      <c r="J213" s="23" t="str">
        <f>IFERROR(__xludf.DUMMYFUNCTION("ARRAYFORMULA(REGEXEXTRACT(SPLIT(C213, ""&lt;br&gt;""), ""([가-힣A-Za-z]+)""))"),"ACDC")</f>
        <v>ACDC</v>
      </c>
      <c r="K213" s="24" t="str">
        <f>IFERROR(__xludf.DUMMYFUNCTION("""COMPUTED_VALUE"""),"깡패")</f>
        <v>깡패</v>
      </c>
      <c r="L213" s="24" t="str">
        <f>IFERROR(__xludf.DUMMYFUNCTION("""COMPUTED_VALUE"""),"테리")</f>
        <v>테리</v>
      </c>
      <c r="M213" s="24" t="str">
        <f>IFERROR(__xludf.DUMMYFUNCTION("""COMPUTED_VALUE"""),"원")</f>
        <v>원</v>
      </c>
      <c r="N213" s="24" t="str">
        <f>IFERROR(__xludf.DUMMYFUNCTION("ARRAYFORMULA(REGEXEXTRACT(SPLIT(E213, ""&lt;br&gt;""), ""([가-힣A-Za-z]+)""))"),"신형만")</f>
        <v>신형만</v>
      </c>
      <c r="O213" s="24" t="str">
        <f>IFERROR(__xludf.DUMMYFUNCTION("""COMPUTED_VALUE"""),"짱구")</f>
        <v>짱구</v>
      </c>
      <c r="P213" s="24" t="str">
        <f>IFERROR(__xludf.DUMMYFUNCTION("""COMPUTED_VALUE"""),"규식")</f>
        <v>규식</v>
      </c>
      <c r="Q213" s="24" t="str">
        <f>IFERROR(__xludf.DUMMYFUNCTION("""COMPUTED_VALUE"""),"노픽업")</f>
        <v>노픽업</v>
      </c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9" t="s">
        <v>1013</v>
      </c>
      <c r="B214" s="20" t="s">
        <v>1014</v>
      </c>
      <c r="C214" s="19" t="s">
        <v>1015</v>
      </c>
      <c r="D214" s="19">
        <v>5.0</v>
      </c>
      <c r="E214" s="19" t="s">
        <v>1016</v>
      </c>
      <c r="F214" s="19">
        <v>4.0</v>
      </c>
      <c r="G214" s="21">
        <v>45942.75347222222</v>
      </c>
      <c r="H214" s="19" t="s">
        <v>379</v>
      </c>
      <c r="I214" s="22" t="s">
        <v>1017</v>
      </c>
      <c r="J214" s="23" t="str">
        <f>IFERROR(__xludf.DUMMYFUNCTION("ARRAYFORMULA(REGEXEXTRACT(SPLIT(C214, ""&lt;br&gt;""), ""([가-힣A-Za-z]+)""))"),"테리")</f>
        <v>테리</v>
      </c>
      <c r="K214" s="24" t="str">
        <f>IFERROR(__xludf.DUMMYFUNCTION("""COMPUTED_VALUE"""),"노픽업")</f>
        <v>노픽업</v>
      </c>
      <c r="L214" s="24" t="str">
        <f>IFERROR(__xludf.DUMMYFUNCTION("""COMPUTED_VALUE"""),"규식")</f>
        <v>규식</v>
      </c>
      <c r="M214" s="24" t="str">
        <f>IFERROR(__xludf.DUMMYFUNCTION("""COMPUTED_VALUE"""),"원")</f>
        <v>원</v>
      </c>
      <c r="N214" s="24" t="str">
        <f>IFERROR(__xludf.DUMMYFUNCTION("ARRAYFORMULA(REGEXEXTRACT(SPLIT(E214, ""&lt;br&gt;""), ""([가-힣A-Za-z]+)""))"),"짱구")</f>
        <v>짱구</v>
      </c>
      <c r="O214" s="24" t="str">
        <f>IFERROR(__xludf.DUMMYFUNCTION("""COMPUTED_VALUE"""),"노인")</f>
        <v>노인</v>
      </c>
      <c r="P214" s="24" t="str">
        <f>IFERROR(__xludf.DUMMYFUNCTION("""COMPUTED_VALUE"""),"신형만")</f>
        <v>신형만</v>
      </c>
      <c r="Q214" s="24" t="str">
        <f>IFERROR(__xludf.DUMMYFUNCTION("""COMPUTED_VALUE"""),"기재")</f>
        <v>기재</v>
      </c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9" t="s">
        <v>1018</v>
      </c>
      <c r="B215" s="20" t="s">
        <v>1019</v>
      </c>
      <c r="C215" s="19" t="s">
        <v>1020</v>
      </c>
      <c r="D215" s="19">
        <v>5.0</v>
      </c>
      <c r="E215" s="19" t="s">
        <v>1021</v>
      </c>
      <c r="F215" s="19">
        <v>2.0</v>
      </c>
      <c r="G215" s="21">
        <v>45941.73333333333</v>
      </c>
      <c r="H215" s="19" t="s">
        <v>379</v>
      </c>
      <c r="I215" s="22" t="s">
        <v>1022</v>
      </c>
      <c r="J215" s="23" t="str">
        <f>IFERROR(__xludf.DUMMYFUNCTION("ARRAYFORMULA(REGEXEXTRACT(SPLIT(C215, ""&lt;br&gt;""), ""([가-힣A-Za-z]+)""))"),"신형만")</f>
        <v>신형만</v>
      </c>
      <c r="K215" s="24" t="str">
        <f>IFERROR(__xludf.DUMMYFUNCTION("""COMPUTED_VALUE"""),"오딘")</f>
        <v>오딘</v>
      </c>
      <c r="L215" s="24" t="str">
        <f>IFERROR(__xludf.DUMMYFUNCTION("""COMPUTED_VALUE"""),"원")</f>
        <v>원</v>
      </c>
      <c r="M215" s="24" t="str">
        <f>IFERROR(__xludf.DUMMYFUNCTION("""COMPUTED_VALUE"""),"넘버")</f>
        <v>넘버</v>
      </c>
      <c r="N215" s="24" t="str">
        <f>IFERROR(__xludf.DUMMYFUNCTION("ARRAYFORMULA(REGEXEXTRACT(SPLIT(E215, ""&lt;br&gt;""), ""([가-힣A-Za-z]+)""))"),"필찌")</f>
        <v>필찌</v>
      </c>
      <c r="O215" s="24" t="str">
        <f>IFERROR(__xludf.DUMMYFUNCTION("""COMPUTED_VALUE"""),"GYUL")</f>
        <v>GYUL</v>
      </c>
      <c r="P215" s="24" t="str">
        <f>IFERROR(__xludf.DUMMYFUNCTION("""COMPUTED_VALUE"""),"용이")</f>
        <v>용이</v>
      </c>
      <c r="Q215" s="24" t="str">
        <f>IFERROR(__xludf.DUMMYFUNCTION("""COMPUTED_VALUE"""),"규식")</f>
        <v>규식</v>
      </c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9" t="s">
        <v>1023</v>
      </c>
      <c r="B216" s="20" t="s">
        <v>1024</v>
      </c>
      <c r="C216" s="19" t="s">
        <v>1025</v>
      </c>
      <c r="D216" s="19">
        <v>5.0</v>
      </c>
      <c r="E216" s="19" t="s">
        <v>1026</v>
      </c>
      <c r="F216" s="19">
        <v>1.0</v>
      </c>
      <c r="G216" s="21">
        <v>45941.71875</v>
      </c>
      <c r="H216" s="19" t="s">
        <v>379</v>
      </c>
      <c r="I216" s="22" t="s">
        <v>1022</v>
      </c>
      <c r="J216" s="23" t="str">
        <f>IFERROR(__xludf.DUMMYFUNCTION("ARRAYFORMULA(REGEXEXTRACT(SPLIT(C216, ""&lt;br&gt;""), ""([가-힣A-Za-z]+)""))"),"원")</f>
        <v>원</v>
      </c>
      <c r="K216" s="24" t="str">
        <f>IFERROR(__xludf.DUMMYFUNCTION("""COMPUTED_VALUE"""),"넘버")</f>
        <v>넘버</v>
      </c>
      <c r="L216" s="24" t="str">
        <f>IFERROR(__xludf.DUMMYFUNCTION("""COMPUTED_VALUE"""),"GYUL")</f>
        <v>GYUL</v>
      </c>
      <c r="M216" s="24" t="str">
        <f>IFERROR(__xludf.DUMMYFUNCTION("""COMPUTED_VALUE"""),"용이")</f>
        <v>용이</v>
      </c>
      <c r="N216" s="24" t="str">
        <f>IFERROR(__xludf.DUMMYFUNCTION("ARRAYFORMULA(REGEXEXTRACT(SPLIT(E216, ""&lt;br&gt;""), ""([가-힣A-Za-z]+)""))"),"오딘")</f>
        <v>오딘</v>
      </c>
      <c r="O216" s="24" t="str">
        <f>IFERROR(__xludf.DUMMYFUNCTION("""COMPUTED_VALUE"""),"규식")</f>
        <v>규식</v>
      </c>
      <c r="P216" s="24" t="str">
        <f>IFERROR(__xludf.DUMMYFUNCTION("""COMPUTED_VALUE"""),"필찌")</f>
        <v>필찌</v>
      </c>
      <c r="Q216" s="24" t="str">
        <f>IFERROR(__xludf.DUMMYFUNCTION("""COMPUTED_VALUE"""),"신형만")</f>
        <v>신형만</v>
      </c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9" t="s">
        <v>1027</v>
      </c>
      <c r="B217" s="20" t="s">
        <v>1028</v>
      </c>
      <c r="C217" s="19" t="s">
        <v>1029</v>
      </c>
      <c r="D217" s="19">
        <v>5.0</v>
      </c>
      <c r="E217" s="19" t="s">
        <v>1030</v>
      </c>
      <c r="F217" s="19">
        <v>4.0</v>
      </c>
      <c r="G217" s="21">
        <v>45941.70347222222</v>
      </c>
      <c r="H217" s="19" t="s">
        <v>379</v>
      </c>
      <c r="I217" s="22" t="s">
        <v>1022</v>
      </c>
      <c r="J217" s="23" t="str">
        <f>IFERROR(__xludf.DUMMYFUNCTION("ARRAYFORMULA(REGEXEXTRACT(SPLIT(C217, ""&lt;br&gt;""), ""([가-힣A-Za-z]+)""))"),"필찌")</f>
        <v>필찌</v>
      </c>
      <c r="K217" s="24" t="str">
        <f>IFERROR(__xludf.DUMMYFUNCTION("""COMPUTED_VALUE"""),"노픽업")</f>
        <v>노픽업</v>
      </c>
      <c r="L217" s="24" t="str">
        <f>IFERROR(__xludf.DUMMYFUNCTION("""COMPUTED_VALUE"""),"넘버")</f>
        <v>넘버</v>
      </c>
      <c r="M217" s="24" t="str">
        <f>IFERROR(__xludf.DUMMYFUNCTION("""COMPUTED_VALUE"""),"규식")</f>
        <v>규식</v>
      </c>
      <c r="N217" s="24" t="str">
        <f>IFERROR(__xludf.DUMMYFUNCTION("ARRAYFORMULA(REGEXEXTRACT(SPLIT(E217, ""&lt;br&gt;""), ""([가-힣A-Za-z]+)""))"),"용이")</f>
        <v>용이</v>
      </c>
      <c r="O217" s="24" t="str">
        <f>IFERROR(__xludf.DUMMYFUNCTION("""COMPUTED_VALUE"""),"오딘")</f>
        <v>오딘</v>
      </c>
      <c r="P217" s="24" t="str">
        <f>IFERROR(__xludf.DUMMYFUNCTION("""COMPUTED_VALUE"""),"신형만")</f>
        <v>신형만</v>
      </c>
      <c r="Q217" s="24" t="str">
        <f>IFERROR(__xludf.DUMMYFUNCTION("""COMPUTED_VALUE"""),"원")</f>
        <v>원</v>
      </c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9" t="s">
        <v>1031</v>
      </c>
      <c r="B218" s="20" t="s">
        <v>1032</v>
      </c>
      <c r="C218" s="19" t="s">
        <v>1033</v>
      </c>
      <c r="D218" s="19">
        <v>5.0</v>
      </c>
      <c r="E218" s="19" t="s">
        <v>1034</v>
      </c>
      <c r="F218" s="19">
        <v>3.0</v>
      </c>
      <c r="G218" s="21">
        <v>45941.669444444444</v>
      </c>
      <c r="H218" s="19" t="s">
        <v>379</v>
      </c>
      <c r="I218" s="22" t="s">
        <v>1022</v>
      </c>
      <c r="J218" s="23" t="str">
        <f>IFERROR(__xludf.DUMMYFUNCTION("ARRAYFORMULA(REGEXEXTRACT(SPLIT(C218, ""&lt;br&gt;""), ""([가-힣A-Za-z]+)""))"),"원")</f>
        <v>원</v>
      </c>
      <c r="K218" s="24" t="str">
        <f>IFERROR(__xludf.DUMMYFUNCTION("""COMPUTED_VALUE"""),"규식")</f>
        <v>규식</v>
      </c>
      <c r="L218" s="24" t="str">
        <f>IFERROR(__xludf.DUMMYFUNCTION("""COMPUTED_VALUE"""),"필찌")</f>
        <v>필찌</v>
      </c>
      <c r="M218" s="24" t="str">
        <f>IFERROR(__xludf.DUMMYFUNCTION("""COMPUTED_VALUE"""),"용이")</f>
        <v>용이</v>
      </c>
      <c r="N218" s="24" t="str">
        <f>IFERROR(__xludf.DUMMYFUNCTION("ARRAYFORMULA(REGEXEXTRACT(SPLIT(E218, ""&lt;br&gt;""), ""([가-힣A-Za-z]+)""))"),"신형만")</f>
        <v>신형만</v>
      </c>
      <c r="O218" s="24" t="str">
        <f>IFERROR(__xludf.DUMMYFUNCTION("""COMPUTED_VALUE"""),"넘버")</f>
        <v>넘버</v>
      </c>
      <c r="P218" s="24" t="str">
        <f>IFERROR(__xludf.DUMMYFUNCTION("""COMPUTED_VALUE"""),"오딘")</f>
        <v>오딘</v>
      </c>
      <c r="Q218" s="24" t="str">
        <f>IFERROR(__xludf.DUMMYFUNCTION("""COMPUTED_VALUE"""),"노픽업")</f>
        <v>노픽업</v>
      </c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9" t="s">
        <v>1035</v>
      </c>
      <c r="B219" s="20" t="s">
        <v>1036</v>
      </c>
      <c r="C219" s="19" t="s">
        <v>1037</v>
      </c>
      <c r="D219" s="19">
        <v>5.0</v>
      </c>
      <c r="E219" s="19" t="s">
        <v>1038</v>
      </c>
      <c r="F219" s="19">
        <v>0.0</v>
      </c>
      <c r="G219" s="21">
        <v>45941.65</v>
      </c>
      <c r="H219" s="19" t="s">
        <v>379</v>
      </c>
      <c r="I219" s="22" t="s">
        <v>1022</v>
      </c>
      <c r="J219" s="23" t="str">
        <f>IFERROR(__xludf.DUMMYFUNCTION("ARRAYFORMULA(REGEXEXTRACT(SPLIT(C219, ""&lt;br&gt;""), ""([가-힣A-Za-z]+)""))"),"넘버")</f>
        <v>넘버</v>
      </c>
      <c r="K219" s="24" t="str">
        <f>IFERROR(__xludf.DUMMYFUNCTION("""COMPUTED_VALUE"""),"필찌")</f>
        <v>필찌</v>
      </c>
      <c r="L219" s="24" t="str">
        <f>IFERROR(__xludf.DUMMYFUNCTION("""COMPUTED_VALUE"""),"신형만")</f>
        <v>신형만</v>
      </c>
      <c r="M219" s="24" t="str">
        <f>IFERROR(__xludf.DUMMYFUNCTION("""COMPUTED_VALUE"""),"원")</f>
        <v>원</v>
      </c>
      <c r="N219" s="24" t="str">
        <f>IFERROR(__xludf.DUMMYFUNCTION("ARRAYFORMULA(REGEXEXTRACT(SPLIT(E219, ""&lt;br&gt;""), ""([가-힣A-Za-z]+)""))"),"오딘")</f>
        <v>오딘</v>
      </c>
      <c r="O219" s="24" t="str">
        <f>IFERROR(__xludf.DUMMYFUNCTION("""COMPUTED_VALUE"""),"노픽업")</f>
        <v>노픽업</v>
      </c>
      <c r="P219" s="24" t="str">
        <f>IFERROR(__xludf.DUMMYFUNCTION("""COMPUTED_VALUE"""),"용이")</f>
        <v>용이</v>
      </c>
      <c r="Q219" s="24" t="str">
        <f>IFERROR(__xludf.DUMMYFUNCTION("""COMPUTED_VALUE"""),"규식")</f>
        <v>규식</v>
      </c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9" t="s">
        <v>1039</v>
      </c>
      <c r="B220" s="20" t="s">
        <v>1040</v>
      </c>
      <c r="C220" s="19" t="s">
        <v>1041</v>
      </c>
      <c r="D220" s="19">
        <v>5.0</v>
      </c>
      <c r="E220" s="19" t="s">
        <v>1042</v>
      </c>
      <c r="F220" s="19">
        <v>1.0</v>
      </c>
      <c r="G220" s="21">
        <v>45940.998611111114</v>
      </c>
      <c r="H220" s="19" t="s">
        <v>379</v>
      </c>
      <c r="I220" s="22" t="s">
        <v>341</v>
      </c>
      <c r="J220" s="23" t="str">
        <f>IFERROR(__xludf.DUMMYFUNCTION("ARRAYFORMULA(REGEXEXTRACT(SPLIT(C220, ""&lt;br&gt;""), ""([가-힣A-Za-z]+)""))"),"신형만")</f>
        <v>신형만</v>
      </c>
      <c r="K220" s="24" t="str">
        <f>IFERROR(__xludf.DUMMYFUNCTION("""COMPUTED_VALUE"""),"테리")</f>
        <v>테리</v>
      </c>
      <c r="L220" s="24" t="str">
        <f>IFERROR(__xludf.DUMMYFUNCTION("""COMPUTED_VALUE"""),"학생")</f>
        <v>학생</v>
      </c>
      <c r="M220" s="24" t="str">
        <f>IFERROR(__xludf.DUMMYFUNCTION("""COMPUTED_VALUE"""),"규식")</f>
        <v>규식</v>
      </c>
      <c r="N220" s="24" t="str">
        <f>IFERROR(__xludf.DUMMYFUNCTION("ARRAYFORMULA(REGEXEXTRACT(SPLIT(E220, ""&lt;br&gt;""), ""([가-힣A-Za-z]+)""))"),"깡패")</f>
        <v>깡패</v>
      </c>
      <c r="O220" s="24" t="str">
        <f>IFERROR(__xludf.DUMMYFUNCTION("""COMPUTED_VALUE"""),"짱구")</f>
        <v>짱구</v>
      </c>
      <c r="P220" s="24" t="str">
        <f>IFERROR(__xludf.DUMMYFUNCTION("""COMPUTED_VALUE"""),"한메")</f>
        <v>한메</v>
      </c>
      <c r="Q220" s="24" t="str">
        <f>IFERROR(__xludf.DUMMYFUNCTION("""COMPUTED_VALUE"""),"기재")</f>
        <v>기재</v>
      </c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9" t="s">
        <v>1043</v>
      </c>
      <c r="B221" s="20" t="s">
        <v>1044</v>
      </c>
      <c r="C221" s="19" t="s">
        <v>1045</v>
      </c>
      <c r="D221" s="19">
        <v>5.0</v>
      </c>
      <c r="E221" s="19" t="s">
        <v>1046</v>
      </c>
      <c r="F221" s="19">
        <v>1.0</v>
      </c>
      <c r="G221" s="21">
        <v>45940.97083333333</v>
      </c>
      <c r="H221" s="19" t="s">
        <v>379</v>
      </c>
      <c r="I221" s="22" t="s">
        <v>596</v>
      </c>
      <c r="J221" s="23" t="str">
        <f>IFERROR(__xludf.DUMMYFUNCTION("ARRAYFORMULA(REGEXEXTRACT(SPLIT(C221, ""&lt;br&gt;""), ""([가-힣A-Za-z]+)""))"),"노인")</f>
        <v>노인</v>
      </c>
      <c r="K221" s="24" t="str">
        <f>IFERROR(__xludf.DUMMYFUNCTION("""COMPUTED_VALUE"""),"규식")</f>
        <v>규식</v>
      </c>
      <c r="L221" s="24" t="str">
        <f>IFERROR(__xludf.DUMMYFUNCTION("""COMPUTED_VALUE"""),"기재")</f>
        <v>기재</v>
      </c>
      <c r="M221" s="24" t="str">
        <f>IFERROR(__xludf.DUMMYFUNCTION("""COMPUTED_VALUE"""),"학생")</f>
        <v>학생</v>
      </c>
      <c r="N221" s="24" t="str">
        <f>IFERROR(__xludf.DUMMYFUNCTION("ARRAYFORMULA(REGEXEXTRACT(SPLIT(E221, ""&lt;br&gt;""), ""([가-힣A-Za-z]+)""))"),"솔")</f>
        <v>솔</v>
      </c>
      <c r="O221" s="24" t="str">
        <f>IFERROR(__xludf.DUMMYFUNCTION("""COMPUTED_VALUE"""),"신형만")</f>
        <v>신형만</v>
      </c>
      <c r="P221" s="24" t="str">
        <f>IFERROR(__xludf.DUMMYFUNCTION("""COMPUTED_VALUE"""),"짱구")</f>
        <v>짱구</v>
      </c>
      <c r="Q221" s="24" t="str">
        <f>IFERROR(__xludf.DUMMYFUNCTION("""COMPUTED_VALUE"""),"깡패")</f>
        <v>깡패</v>
      </c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9" t="s">
        <v>1047</v>
      </c>
      <c r="B222" s="20" t="s">
        <v>1048</v>
      </c>
      <c r="C222" s="19" t="s">
        <v>1049</v>
      </c>
      <c r="D222" s="19">
        <v>5.0</v>
      </c>
      <c r="E222" s="19" t="s">
        <v>1050</v>
      </c>
      <c r="F222" s="19">
        <v>4.0</v>
      </c>
      <c r="G222" s="21">
        <v>45940.94930555556</v>
      </c>
      <c r="H222" s="19" t="s">
        <v>379</v>
      </c>
      <c r="I222" s="22" t="s">
        <v>535</v>
      </c>
      <c r="J222" s="23" t="str">
        <f>IFERROR(__xludf.DUMMYFUNCTION("ARRAYFORMULA(REGEXEXTRACT(SPLIT(C222, ""&lt;br&gt;""), ""([가-힣A-Za-z]+)""))"),"깡패")</f>
        <v>깡패</v>
      </c>
      <c r="K222" s="24" t="str">
        <f>IFERROR(__xludf.DUMMYFUNCTION("""COMPUTED_VALUE"""),"솔")</f>
        <v>솔</v>
      </c>
      <c r="L222" s="24" t="str">
        <f>IFERROR(__xludf.DUMMYFUNCTION("""COMPUTED_VALUE"""),"학생")</f>
        <v>학생</v>
      </c>
      <c r="M222" s="24" t="str">
        <f>IFERROR(__xludf.DUMMYFUNCTION("""COMPUTED_VALUE"""),"기재")</f>
        <v>기재</v>
      </c>
      <c r="N222" s="24" t="str">
        <f>IFERROR(__xludf.DUMMYFUNCTION("ARRAYFORMULA(REGEXEXTRACT(SPLIT(E222, ""&lt;br&gt;""), ""([가-힣A-Za-z]+)""))"),"짱구")</f>
        <v>짱구</v>
      </c>
      <c r="O222" s="24" t="str">
        <f>IFERROR(__xludf.DUMMYFUNCTION("""COMPUTED_VALUE"""),"노인")</f>
        <v>노인</v>
      </c>
      <c r="P222" s="24" t="str">
        <f>IFERROR(__xludf.DUMMYFUNCTION("""COMPUTED_VALUE"""),"규식")</f>
        <v>규식</v>
      </c>
      <c r="Q222" s="24" t="str">
        <f>IFERROR(__xludf.DUMMYFUNCTION("""COMPUTED_VALUE"""),"한메")</f>
        <v>한메</v>
      </c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9" t="s">
        <v>1051</v>
      </c>
      <c r="B223" s="20" t="s">
        <v>1052</v>
      </c>
      <c r="C223" s="19" t="s">
        <v>1053</v>
      </c>
      <c r="D223" s="19">
        <v>5.0</v>
      </c>
      <c r="E223" s="19" t="s">
        <v>1054</v>
      </c>
      <c r="F223" s="19">
        <v>1.0</v>
      </c>
      <c r="G223" s="21">
        <v>45940.902083333334</v>
      </c>
      <c r="H223" s="19" t="s">
        <v>379</v>
      </c>
      <c r="I223" s="22" t="s">
        <v>1055</v>
      </c>
      <c r="J223" s="23" t="str">
        <f>IFERROR(__xludf.DUMMYFUNCTION("ARRAYFORMULA(REGEXEXTRACT(SPLIT(C223, ""&lt;br&gt;""), ""([가-힣A-Za-z]+)""))"),"기재")</f>
        <v>기재</v>
      </c>
      <c r="K223" s="24" t="str">
        <f>IFERROR(__xludf.DUMMYFUNCTION("""COMPUTED_VALUE"""),"규식")</f>
        <v>규식</v>
      </c>
      <c r="L223" s="24" t="str">
        <f>IFERROR(__xludf.DUMMYFUNCTION("""COMPUTED_VALUE"""),"짱구")</f>
        <v>짱구</v>
      </c>
      <c r="M223" s="24" t="str">
        <f>IFERROR(__xludf.DUMMYFUNCTION("""COMPUTED_VALUE"""),"솔")</f>
        <v>솔</v>
      </c>
      <c r="N223" s="24" t="str">
        <f>IFERROR(__xludf.DUMMYFUNCTION("ARRAYFORMULA(REGEXEXTRACT(SPLIT(E223, ""&lt;br&gt;""), ""([가-힣A-Za-z]+)""))"),"태식")</f>
        <v>태식</v>
      </c>
      <c r="O223" s="24" t="str">
        <f>IFERROR(__xludf.DUMMYFUNCTION("""COMPUTED_VALUE"""),"깡패")</f>
        <v>깡패</v>
      </c>
      <c r="P223" s="24" t="str">
        <f>IFERROR(__xludf.DUMMYFUNCTION("""COMPUTED_VALUE"""),"한메")</f>
        <v>한메</v>
      </c>
      <c r="Q223" s="24" t="str">
        <f>IFERROR(__xludf.DUMMYFUNCTION("""COMPUTED_VALUE"""),"학생")</f>
        <v>학생</v>
      </c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9" t="s">
        <v>1056</v>
      </c>
      <c r="B224" s="20" t="s">
        <v>1057</v>
      </c>
      <c r="C224" s="19" t="s">
        <v>1058</v>
      </c>
      <c r="D224" s="19">
        <v>5.0</v>
      </c>
      <c r="E224" s="19" t="s">
        <v>1059</v>
      </c>
      <c r="F224" s="19">
        <v>0.0</v>
      </c>
      <c r="G224" s="21">
        <v>45940.88402777778</v>
      </c>
      <c r="H224" s="19" t="s">
        <v>379</v>
      </c>
      <c r="I224" s="22" t="s">
        <v>535</v>
      </c>
      <c r="J224" s="23" t="str">
        <f>IFERROR(__xludf.DUMMYFUNCTION("ARRAYFORMULA(REGEXEXTRACT(SPLIT(C224, ""&lt;br&gt;""), ""([가-힣A-Za-z]+)""))"),"솔")</f>
        <v>솔</v>
      </c>
      <c r="K224" s="24" t="str">
        <f>IFERROR(__xludf.DUMMYFUNCTION("""COMPUTED_VALUE"""),"테리")</f>
        <v>테리</v>
      </c>
      <c r="L224" s="24" t="str">
        <f>IFERROR(__xludf.DUMMYFUNCTION("""COMPUTED_VALUE"""),"필찌")</f>
        <v>필찌</v>
      </c>
      <c r="M224" s="24" t="str">
        <f>IFERROR(__xludf.DUMMYFUNCTION("""COMPUTED_VALUE"""),"규식")</f>
        <v>규식</v>
      </c>
      <c r="N224" s="24" t="str">
        <f>IFERROR(__xludf.DUMMYFUNCTION("ARRAYFORMULA(REGEXEXTRACT(SPLIT(E224, ""&lt;br&gt;""), ""([가-힣A-Za-z]+)""))"),"ACDC")</f>
        <v>ACDC</v>
      </c>
      <c r="O224" s="24" t="str">
        <f>IFERROR(__xludf.DUMMYFUNCTION("""COMPUTED_VALUE"""),"짱구")</f>
        <v>짱구</v>
      </c>
      <c r="P224" s="24" t="str">
        <f>IFERROR(__xludf.DUMMYFUNCTION("""COMPUTED_VALUE"""),"깡패")</f>
        <v>깡패</v>
      </c>
      <c r="Q224" s="24" t="str">
        <f>IFERROR(__xludf.DUMMYFUNCTION("""COMPUTED_VALUE"""),"한메")</f>
        <v>한메</v>
      </c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9" t="s">
        <v>1060</v>
      </c>
      <c r="B225" s="20" t="s">
        <v>1061</v>
      </c>
      <c r="C225" s="19" t="s">
        <v>1062</v>
      </c>
      <c r="D225" s="19">
        <v>5.0</v>
      </c>
      <c r="E225" s="19" t="s">
        <v>1063</v>
      </c>
      <c r="F225" s="19">
        <v>4.0</v>
      </c>
      <c r="G225" s="21">
        <v>45940.861805555556</v>
      </c>
      <c r="H225" s="19" t="s">
        <v>379</v>
      </c>
      <c r="I225" s="22" t="s">
        <v>1064</v>
      </c>
      <c r="J225" s="23" t="str">
        <f>IFERROR(__xludf.DUMMYFUNCTION("ARRAYFORMULA(REGEXEXTRACT(SPLIT(C225, ""&lt;br&gt;""), ""([가-힣A-Za-z]+)""))"),"필찌")</f>
        <v>필찌</v>
      </c>
      <c r="K225" s="24" t="str">
        <f>IFERROR(__xludf.DUMMYFUNCTION("""COMPUTED_VALUE"""),"오딘")</f>
        <v>오딘</v>
      </c>
      <c r="L225" s="24" t="str">
        <f>IFERROR(__xludf.DUMMYFUNCTION("""COMPUTED_VALUE"""),"노인")</f>
        <v>노인</v>
      </c>
      <c r="M225" s="24" t="str">
        <f>IFERROR(__xludf.DUMMYFUNCTION("""COMPUTED_VALUE"""),"솔")</f>
        <v>솔</v>
      </c>
      <c r="N225" s="24" t="str">
        <f>IFERROR(__xludf.DUMMYFUNCTION("ARRAYFORMULA(REGEXEXTRACT(SPLIT(E225, ""&lt;br&gt;""), ""([가-힣A-Za-z]+)""))"),"테리")</f>
        <v>테리</v>
      </c>
      <c r="O225" s="24" t="str">
        <f>IFERROR(__xludf.DUMMYFUNCTION("""COMPUTED_VALUE"""),"ACDC")</f>
        <v>ACDC</v>
      </c>
      <c r="P225" s="24" t="str">
        <f>IFERROR(__xludf.DUMMYFUNCTION("""COMPUTED_VALUE"""),"신형만")</f>
        <v>신형만</v>
      </c>
      <c r="Q225" s="24" t="str">
        <f>IFERROR(__xludf.DUMMYFUNCTION("""COMPUTED_VALUE"""),"깡패")</f>
        <v>깡패</v>
      </c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9" t="s">
        <v>1065</v>
      </c>
      <c r="B226" s="20" t="s">
        <v>1066</v>
      </c>
      <c r="C226" s="19" t="s">
        <v>1067</v>
      </c>
      <c r="D226" s="19">
        <v>5.0</v>
      </c>
      <c r="E226" s="19" t="s">
        <v>1068</v>
      </c>
      <c r="F226" s="19">
        <v>3.0</v>
      </c>
      <c r="G226" s="21">
        <v>45940.822222222225</v>
      </c>
      <c r="H226" s="19" t="s">
        <v>379</v>
      </c>
      <c r="I226" s="22" t="s">
        <v>1064</v>
      </c>
      <c r="J226" s="23" t="str">
        <f>IFERROR(__xludf.DUMMYFUNCTION("ARRAYFORMULA(REGEXEXTRACT(SPLIT(C226, ""&lt;br&gt;""), ""([가-힣A-Za-z]+)""))"),"노인")</f>
        <v>노인</v>
      </c>
      <c r="K226" s="24" t="str">
        <f>IFERROR(__xludf.DUMMYFUNCTION("""COMPUTED_VALUE"""),"필찌")</f>
        <v>필찌</v>
      </c>
      <c r="L226" s="24" t="str">
        <f>IFERROR(__xludf.DUMMYFUNCTION("""COMPUTED_VALUE"""),"테리")</f>
        <v>테리</v>
      </c>
      <c r="M226" s="24" t="str">
        <f>IFERROR(__xludf.DUMMYFUNCTION("""COMPUTED_VALUE"""),"신형만")</f>
        <v>신형만</v>
      </c>
      <c r="N226" s="24" t="str">
        <f>IFERROR(__xludf.DUMMYFUNCTION("ARRAYFORMULA(REGEXEXTRACT(SPLIT(E226, ""&lt;br&gt;""), ""([가-힣A-Za-z]+)""))"),"깡패")</f>
        <v>깡패</v>
      </c>
      <c r="O226" s="24" t="str">
        <f>IFERROR(__xludf.DUMMYFUNCTION("""COMPUTED_VALUE"""),"솔")</f>
        <v>솔</v>
      </c>
      <c r="P226" s="24" t="str">
        <f>IFERROR(__xludf.DUMMYFUNCTION("""COMPUTED_VALUE"""),"ACDC")</f>
        <v>ACDC</v>
      </c>
      <c r="Q226" s="24" t="str">
        <f>IFERROR(__xludf.DUMMYFUNCTION("""COMPUTED_VALUE"""),"오딘")</f>
        <v>오딘</v>
      </c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9" t="s">
        <v>1069</v>
      </c>
      <c r="B227" s="20" t="s">
        <v>1070</v>
      </c>
      <c r="C227" s="19" t="s">
        <v>1071</v>
      </c>
      <c r="D227" s="19">
        <v>5.0</v>
      </c>
      <c r="E227" s="19" t="s">
        <v>1072</v>
      </c>
      <c r="F227" s="19">
        <v>0.0</v>
      </c>
      <c r="G227" s="21">
        <v>45940.029861111114</v>
      </c>
      <c r="H227" s="19" t="s">
        <v>379</v>
      </c>
      <c r="I227" s="22" t="s">
        <v>1073</v>
      </c>
      <c r="J227" s="23" t="str">
        <f>IFERROR(__xludf.DUMMYFUNCTION("ARRAYFORMULA(REGEXEXTRACT(SPLIT(C227, ""&lt;br&gt;""), ""([가-힣A-Za-z]+)""))"),"깡패")</f>
        <v>깡패</v>
      </c>
      <c r="K227" s="24" t="str">
        <f>IFERROR(__xludf.DUMMYFUNCTION("""COMPUTED_VALUE"""),"재우")</f>
        <v>재우</v>
      </c>
      <c r="L227" s="24" t="str">
        <f>IFERROR(__xludf.DUMMYFUNCTION("""COMPUTED_VALUE"""),"노인")</f>
        <v>노인</v>
      </c>
      <c r="M227" s="24" t="str">
        <f>IFERROR(__xludf.DUMMYFUNCTION("""COMPUTED_VALUE"""),"규식")</f>
        <v>규식</v>
      </c>
      <c r="N227" s="24" t="str">
        <f>IFERROR(__xludf.DUMMYFUNCTION("ARRAYFORMULA(REGEXEXTRACT(SPLIT(E227, ""&lt;br&gt;""), ""([가-힣A-Za-z]+)""))"),"짱구")</f>
        <v>짱구</v>
      </c>
      <c r="O227" s="24" t="str">
        <f>IFERROR(__xludf.DUMMYFUNCTION("""COMPUTED_VALUE"""),"ACDC")</f>
        <v>ACDC</v>
      </c>
      <c r="P227" s="24" t="str">
        <f>IFERROR(__xludf.DUMMYFUNCTION("""COMPUTED_VALUE"""),"신형만")</f>
        <v>신형만</v>
      </c>
      <c r="Q227" s="24" t="str">
        <f>IFERROR(__xludf.DUMMYFUNCTION("""COMPUTED_VALUE"""),"노픽업")</f>
        <v>노픽업</v>
      </c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9" t="s">
        <v>1074</v>
      </c>
      <c r="B228" s="20" t="s">
        <v>1075</v>
      </c>
      <c r="C228" s="19" t="s">
        <v>1076</v>
      </c>
      <c r="D228" s="19">
        <v>5.0</v>
      </c>
      <c r="E228" s="19" t="s">
        <v>1077</v>
      </c>
      <c r="F228" s="19">
        <v>2.0</v>
      </c>
      <c r="G228" s="21">
        <v>45940.01527777778</v>
      </c>
      <c r="H228" s="19" t="s">
        <v>379</v>
      </c>
      <c r="I228" s="22" t="s">
        <v>1078</v>
      </c>
      <c r="J228" s="23" t="str">
        <f>IFERROR(__xludf.DUMMYFUNCTION("ARRAYFORMULA(REGEXEXTRACT(SPLIT(C228, ""&lt;br&gt;""), ""([가-힣A-Za-z]+)""))"),"ACDC")</f>
        <v>ACDC</v>
      </c>
      <c r="K228" s="24" t="str">
        <f>IFERROR(__xludf.DUMMYFUNCTION("""COMPUTED_VALUE"""),"노인")</f>
        <v>노인</v>
      </c>
      <c r="L228" s="24" t="str">
        <f>IFERROR(__xludf.DUMMYFUNCTION("""COMPUTED_VALUE"""),"노픽업")</f>
        <v>노픽업</v>
      </c>
      <c r="M228" s="24" t="str">
        <f>IFERROR(__xludf.DUMMYFUNCTION("""COMPUTED_VALUE"""),"원")</f>
        <v>원</v>
      </c>
      <c r="N228" s="24" t="str">
        <f>IFERROR(__xludf.DUMMYFUNCTION("ARRAYFORMULA(REGEXEXTRACT(SPLIT(E228, ""&lt;br&gt;""), ""([가-힣A-Za-z]+)""))"),"신형만")</f>
        <v>신형만</v>
      </c>
      <c r="O228" s="24" t="str">
        <f>IFERROR(__xludf.DUMMYFUNCTION("""COMPUTED_VALUE"""),"깡패")</f>
        <v>깡패</v>
      </c>
      <c r="P228" s="24" t="str">
        <f>IFERROR(__xludf.DUMMYFUNCTION("""COMPUTED_VALUE"""),"짱구")</f>
        <v>짱구</v>
      </c>
      <c r="Q228" s="24" t="str">
        <f>IFERROR(__xludf.DUMMYFUNCTION("""COMPUTED_VALUE"""),"재우")</f>
        <v>재우</v>
      </c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9" t="s">
        <v>1079</v>
      </c>
      <c r="B229" s="20" t="s">
        <v>1080</v>
      </c>
      <c r="C229" s="19" t="s">
        <v>1081</v>
      </c>
      <c r="D229" s="19">
        <v>5.0</v>
      </c>
      <c r="E229" s="19" t="s">
        <v>1082</v>
      </c>
      <c r="F229" s="19">
        <v>0.0</v>
      </c>
      <c r="G229" s="21">
        <v>45939.99097222222</v>
      </c>
      <c r="H229" s="19" t="s">
        <v>379</v>
      </c>
      <c r="I229" s="22" t="s">
        <v>1078</v>
      </c>
      <c r="J229" s="23" t="str">
        <f>IFERROR(__xludf.DUMMYFUNCTION("ARRAYFORMULA(REGEXEXTRACT(SPLIT(C229, ""&lt;br&gt;""), ""([가-힣A-Za-z]+)""))"),"테리")</f>
        <v>테리</v>
      </c>
      <c r="K229" s="24" t="str">
        <f>IFERROR(__xludf.DUMMYFUNCTION("""COMPUTED_VALUE"""),"원")</f>
        <v>원</v>
      </c>
      <c r="L229" s="24" t="str">
        <f>IFERROR(__xludf.DUMMYFUNCTION("""COMPUTED_VALUE"""),"노인")</f>
        <v>노인</v>
      </c>
      <c r="M229" s="24" t="str">
        <f>IFERROR(__xludf.DUMMYFUNCTION("""COMPUTED_VALUE"""),"신형만")</f>
        <v>신형만</v>
      </c>
      <c r="N229" s="24" t="str">
        <f>IFERROR(__xludf.DUMMYFUNCTION("ARRAYFORMULA(REGEXEXTRACT(SPLIT(E229, ""&lt;br&gt;""), ""([가-힣A-Za-z]+)""))"),"한메")</f>
        <v>한메</v>
      </c>
      <c r="O229" s="24" t="str">
        <f>IFERROR(__xludf.DUMMYFUNCTION("""COMPUTED_VALUE"""),"재우")</f>
        <v>재우</v>
      </c>
      <c r="P229" s="24" t="str">
        <f>IFERROR(__xludf.DUMMYFUNCTION("""COMPUTED_VALUE"""),"깡패")</f>
        <v>깡패</v>
      </c>
      <c r="Q229" s="24" t="str">
        <f>IFERROR(__xludf.DUMMYFUNCTION("""COMPUTED_VALUE"""),"노픽업")</f>
        <v>노픽업</v>
      </c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9" t="s">
        <v>1083</v>
      </c>
      <c r="B230" s="20" t="s">
        <v>1084</v>
      </c>
      <c r="C230" s="19" t="s">
        <v>1085</v>
      </c>
      <c r="D230" s="19">
        <v>5.0</v>
      </c>
      <c r="E230" s="19" t="s">
        <v>1086</v>
      </c>
      <c r="F230" s="19">
        <v>0.0</v>
      </c>
      <c r="G230" s="21">
        <v>45939.98055555556</v>
      </c>
      <c r="H230" s="19" t="s">
        <v>379</v>
      </c>
      <c r="I230" s="22" t="s">
        <v>1078</v>
      </c>
      <c r="J230" s="23" t="str">
        <f>IFERROR(__xludf.DUMMYFUNCTION("ARRAYFORMULA(REGEXEXTRACT(SPLIT(C230, ""&lt;br&gt;""), ""([가-힣A-Za-z]+)""))"),"깡패")</f>
        <v>깡패</v>
      </c>
      <c r="K230" s="24" t="str">
        <f>IFERROR(__xludf.DUMMYFUNCTION("""COMPUTED_VALUE"""),"테리")</f>
        <v>테리</v>
      </c>
      <c r="L230" s="24" t="str">
        <f>IFERROR(__xludf.DUMMYFUNCTION("""COMPUTED_VALUE"""),"원")</f>
        <v>원</v>
      </c>
      <c r="M230" s="24" t="str">
        <f>IFERROR(__xludf.DUMMYFUNCTION("""COMPUTED_VALUE"""),"규식")</f>
        <v>규식</v>
      </c>
      <c r="N230" s="24" t="str">
        <f>IFERROR(__xludf.DUMMYFUNCTION("ARRAYFORMULA(REGEXEXTRACT(SPLIT(E230, ""&lt;br&gt;""), ""([가-힣A-Za-z]+)""))"),"재우")</f>
        <v>재우</v>
      </c>
      <c r="O230" s="24" t="str">
        <f>IFERROR(__xludf.DUMMYFUNCTION("""COMPUTED_VALUE"""),"노인")</f>
        <v>노인</v>
      </c>
      <c r="P230" s="24" t="str">
        <f>IFERROR(__xludf.DUMMYFUNCTION("""COMPUTED_VALUE"""),"신형만")</f>
        <v>신형만</v>
      </c>
      <c r="Q230" s="24" t="str">
        <f>IFERROR(__xludf.DUMMYFUNCTION("""COMPUTED_VALUE"""),"한메")</f>
        <v>한메</v>
      </c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9" t="s">
        <v>1087</v>
      </c>
      <c r="B231" s="20" t="s">
        <v>1088</v>
      </c>
      <c r="C231" s="19" t="s">
        <v>1089</v>
      </c>
      <c r="D231" s="19">
        <v>5.0</v>
      </c>
      <c r="E231" s="19" t="s">
        <v>1090</v>
      </c>
      <c r="F231" s="19">
        <v>1.0</v>
      </c>
      <c r="G231" s="21">
        <v>45939.96388888889</v>
      </c>
      <c r="H231" s="19" t="s">
        <v>379</v>
      </c>
      <c r="I231" s="22" t="s">
        <v>1091</v>
      </c>
      <c r="J231" s="23" t="str">
        <f>IFERROR(__xludf.DUMMYFUNCTION("ARRAYFORMULA(REGEXEXTRACT(SPLIT(C231, ""&lt;br&gt;""), ""([가-힣A-Za-z]+)""))"),"원")</f>
        <v>원</v>
      </c>
      <c r="K231" s="24" t="str">
        <f>IFERROR(__xludf.DUMMYFUNCTION("""COMPUTED_VALUE"""),"규식")</f>
        <v>규식</v>
      </c>
      <c r="L231" s="24" t="str">
        <f>IFERROR(__xludf.DUMMYFUNCTION("""COMPUTED_VALUE"""),"한메")</f>
        <v>한메</v>
      </c>
      <c r="M231" s="24" t="str">
        <f>IFERROR(__xludf.DUMMYFUNCTION("""COMPUTED_VALUE"""),"솔")</f>
        <v>솔</v>
      </c>
      <c r="N231" s="24" t="str">
        <f>IFERROR(__xludf.DUMMYFUNCTION("ARRAYFORMULA(REGEXEXTRACT(SPLIT(E231, ""&lt;br&gt;""), ""([가-힣A-Za-z]+)""))"),"유즈")</f>
        <v>유즈</v>
      </c>
      <c r="O231" s="24" t="str">
        <f>IFERROR(__xludf.DUMMYFUNCTION("""COMPUTED_VALUE"""),"신형만")</f>
        <v>신형만</v>
      </c>
      <c r="P231" s="24" t="str">
        <f>IFERROR(__xludf.DUMMYFUNCTION("""COMPUTED_VALUE"""),"노인")</f>
        <v>노인</v>
      </c>
      <c r="Q231" s="24" t="str">
        <f>IFERROR(__xludf.DUMMYFUNCTION("""COMPUTED_VALUE"""),"깡패")</f>
        <v>깡패</v>
      </c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9" t="s">
        <v>1092</v>
      </c>
      <c r="B232" s="20" t="s">
        <v>1093</v>
      </c>
      <c r="C232" s="19" t="s">
        <v>1094</v>
      </c>
      <c r="D232" s="19">
        <v>5.0</v>
      </c>
      <c r="E232" s="19" t="s">
        <v>1095</v>
      </c>
      <c r="F232" s="19">
        <v>3.0</v>
      </c>
      <c r="G232" s="21">
        <v>45939.947222222225</v>
      </c>
      <c r="H232" s="19" t="s">
        <v>379</v>
      </c>
      <c r="I232" s="22" t="s">
        <v>1091</v>
      </c>
      <c r="J232" s="23" t="str">
        <f>IFERROR(__xludf.DUMMYFUNCTION("ARRAYFORMULA(REGEXEXTRACT(SPLIT(C232, ""&lt;br&gt;""), ""([가-힣A-Za-z]+)""))"),"솔")</f>
        <v>솔</v>
      </c>
      <c r="K232" s="24" t="str">
        <f>IFERROR(__xludf.DUMMYFUNCTION("""COMPUTED_VALUE"""),"테리")</f>
        <v>테리</v>
      </c>
      <c r="L232" s="24" t="str">
        <f>IFERROR(__xludf.DUMMYFUNCTION("""COMPUTED_VALUE"""),"원")</f>
        <v>원</v>
      </c>
      <c r="M232" s="24" t="str">
        <f>IFERROR(__xludf.DUMMYFUNCTION("""COMPUTED_VALUE"""),"신형만")</f>
        <v>신형만</v>
      </c>
      <c r="N232" s="24" t="str">
        <f>IFERROR(__xludf.DUMMYFUNCTION("ARRAYFORMULA(REGEXEXTRACT(SPLIT(E232, ""&lt;br&gt;""), ""([가-힣A-Za-z]+)""))"),"한메")</f>
        <v>한메</v>
      </c>
      <c r="O232" s="24" t="str">
        <f>IFERROR(__xludf.DUMMYFUNCTION("""COMPUTED_VALUE"""),"유즈")</f>
        <v>유즈</v>
      </c>
      <c r="P232" s="24" t="str">
        <f>IFERROR(__xludf.DUMMYFUNCTION("""COMPUTED_VALUE"""),"깡패")</f>
        <v>깡패</v>
      </c>
      <c r="Q232" s="24" t="str">
        <f>IFERROR(__xludf.DUMMYFUNCTION("""COMPUTED_VALUE"""),"규식")</f>
        <v>규식</v>
      </c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9" t="s">
        <v>1096</v>
      </c>
      <c r="B233" s="20" t="s">
        <v>1097</v>
      </c>
      <c r="C233" s="19" t="s">
        <v>1098</v>
      </c>
      <c r="D233" s="19">
        <v>5.0</v>
      </c>
      <c r="E233" s="19" t="s">
        <v>1099</v>
      </c>
      <c r="F233" s="19">
        <v>0.0</v>
      </c>
      <c r="G233" s="21">
        <v>45939.92638888889</v>
      </c>
      <c r="H233" s="19" t="s">
        <v>379</v>
      </c>
      <c r="I233" s="22" t="s">
        <v>1091</v>
      </c>
      <c r="J233" s="23" t="str">
        <f>IFERROR(__xludf.DUMMYFUNCTION("ARRAYFORMULA(REGEXEXTRACT(SPLIT(C233, ""&lt;br&gt;""), ""([가-힣A-Za-z]+)""))"),"신형만")</f>
        <v>신형만</v>
      </c>
      <c r="K233" s="24" t="str">
        <f>IFERROR(__xludf.DUMMYFUNCTION("""COMPUTED_VALUE"""),"원")</f>
        <v>원</v>
      </c>
      <c r="L233" s="24" t="str">
        <f>IFERROR(__xludf.DUMMYFUNCTION("""COMPUTED_VALUE"""),"규식")</f>
        <v>규식</v>
      </c>
      <c r="M233" s="24" t="str">
        <f>IFERROR(__xludf.DUMMYFUNCTION("""COMPUTED_VALUE"""),"한메")</f>
        <v>한메</v>
      </c>
      <c r="N233" s="24" t="str">
        <f>IFERROR(__xludf.DUMMYFUNCTION("ARRAYFORMULA(REGEXEXTRACT(SPLIT(E233, ""&lt;br&gt;""), ""([가-힣A-Za-z]+)""))"),"깡패")</f>
        <v>깡패</v>
      </c>
      <c r="O233" s="24" t="str">
        <f>IFERROR(__xludf.DUMMYFUNCTION("""COMPUTED_VALUE"""),"솔")</f>
        <v>솔</v>
      </c>
      <c r="P233" s="24" t="str">
        <f>IFERROR(__xludf.DUMMYFUNCTION("""COMPUTED_VALUE"""),"유즈")</f>
        <v>유즈</v>
      </c>
      <c r="Q233" s="24" t="str">
        <f>IFERROR(__xludf.DUMMYFUNCTION("""COMPUTED_VALUE"""),"기재")</f>
        <v>기재</v>
      </c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9" t="s">
        <v>1100</v>
      </c>
      <c r="B234" s="20" t="s">
        <v>1101</v>
      </c>
      <c r="C234" s="19" t="s">
        <v>1102</v>
      </c>
      <c r="D234" s="19">
        <v>5.0</v>
      </c>
      <c r="E234" s="19" t="s">
        <v>1103</v>
      </c>
      <c r="F234" s="19">
        <v>2.0</v>
      </c>
      <c r="G234" s="21">
        <v>45939.90625</v>
      </c>
      <c r="H234" s="19" t="s">
        <v>379</v>
      </c>
      <c r="I234" s="22" t="s">
        <v>1091</v>
      </c>
      <c r="J234" s="23" t="str">
        <f>IFERROR(__xludf.DUMMYFUNCTION("ARRAYFORMULA(REGEXEXTRACT(SPLIT(C234, ""&lt;br&gt;""), ""([가-힣A-Za-z]+)""))"),"한메")</f>
        <v>한메</v>
      </c>
      <c r="K234" s="24" t="str">
        <f>IFERROR(__xludf.DUMMYFUNCTION("""COMPUTED_VALUE"""),"유즈")</f>
        <v>유즈</v>
      </c>
      <c r="L234" s="24" t="str">
        <f>IFERROR(__xludf.DUMMYFUNCTION("""COMPUTED_VALUE"""),"기재")</f>
        <v>기재</v>
      </c>
      <c r="M234" s="24" t="str">
        <f>IFERROR(__xludf.DUMMYFUNCTION("""COMPUTED_VALUE"""),"원")</f>
        <v>원</v>
      </c>
      <c r="N234" s="24" t="str">
        <f>IFERROR(__xludf.DUMMYFUNCTION("ARRAYFORMULA(REGEXEXTRACT(SPLIT(E234, ""&lt;br&gt;""), ""([가-힣A-Za-z]+)""))"),"솔")</f>
        <v>솔</v>
      </c>
      <c r="O234" s="24" t="str">
        <f>IFERROR(__xludf.DUMMYFUNCTION("""COMPUTED_VALUE"""),"규식")</f>
        <v>규식</v>
      </c>
      <c r="P234" s="24" t="str">
        <f>IFERROR(__xludf.DUMMYFUNCTION("""COMPUTED_VALUE"""),"깡패")</f>
        <v>깡패</v>
      </c>
      <c r="Q234" s="24" t="str">
        <f>IFERROR(__xludf.DUMMYFUNCTION("""COMPUTED_VALUE"""),"신형만")</f>
        <v>신형만</v>
      </c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9" t="s">
        <v>1104</v>
      </c>
      <c r="B235" s="20" t="s">
        <v>1105</v>
      </c>
      <c r="C235" s="19" t="s">
        <v>1106</v>
      </c>
      <c r="D235" s="19">
        <v>5.0</v>
      </c>
      <c r="E235" s="19" t="s">
        <v>1107</v>
      </c>
      <c r="F235" s="19">
        <v>3.0</v>
      </c>
      <c r="G235" s="21">
        <v>45939.88611111111</v>
      </c>
      <c r="H235" s="19" t="s">
        <v>379</v>
      </c>
      <c r="I235" s="22" t="s">
        <v>1091</v>
      </c>
      <c r="J235" s="23" t="str">
        <f>IFERROR(__xludf.DUMMYFUNCTION("ARRAYFORMULA(REGEXEXTRACT(SPLIT(C235, ""&lt;br&gt;""), ""([가-힣A-Za-z]+)""))"),"원")</f>
        <v>원</v>
      </c>
      <c r="K235" s="24" t="str">
        <f>IFERROR(__xludf.DUMMYFUNCTION("""COMPUTED_VALUE"""),"솔")</f>
        <v>솔</v>
      </c>
      <c r="L235" s="24" t="str">
        <f>IFERROR(__xludf.DUMMYFUNCTION("""COMPUTED_VALUE"""),"신형만")</f>
        <v>신형만</v>
      </c>
      <c r="M235" s="24" t="str">
        <f>IFERROR(__xludf.DUMMYFUNCTION("""COMPUTED_VALUE"""),"기재")</f>
        <v>기재</v>
      </c>
      <c r="N235" s="24" t="str">
        <f>IFERROR(__xludf.DUMMYFUNCTION("ARRAYFORMULA(REGEXEXTRACT(SPLIT(E235, ""&lt;br&gt;""), ""([가-힣A-Za-z]+)""))"),"노인")</f>
        <v>노인</v>
      </c>
      <c r="O235" s="24" t="str">
        <f>IFERROR(__xludf.DUMMYFUNCTION("""COMPUTED_VALUE"""),"깡패")</f>
        <v>깡패</v>
      </c>
      <c r="P235" s="24" t="str">
        <f>IFERROR(__xludf.DUMMYFUNCTION("""COMPUTED_VALUE"""),"유즈")</f>
        <v>유즈</v>
      </c>
      <c r="Q235" s="24" t="str">
        <f>IFERROR(__xludf.DUMMYFUNCTION("""COMPUTED_VALUE"""),"한메")</f>
        <v>한메</v>
      </c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9" t="s">
        <v>1108</v>
      </c>
      <c r="B236" s="20" t="s">
        <v>1109</v>
      </c>
      <c r="C236" s="19" t="s">
        <v>1110</v>
      </c>
      <c r="D236" s="19">
        <v>5.0</v>
      </c>
      <c r="E236" s="19" t="s">
        <v>1111</v>
      </c>
      <c r="F236" s="19">
        <v>2.0</v>
      </c>
      <c r="G236" s="21">
        <v>45939.85555555556</v>
      </c>
      <c r="H236" s="19" t="s">
        <v>379</v>
      </c>
      <c r="I236" s="22" t="s">
        <v>1112</v>
      </c>
      <c r="J236" s="23" t="str">
        <f>IFERROR(__xludf.DUMMYFUNCTION("ARRAYFORMULA(REGEXEXTRACT(SPLIT(C236, ""&lt;br&gt;""), ""([가-힣A-Za-z]+)""))"),"기재")</f>
        <v>기재</v>
      </c>
      <c r="K236" s="24" t="str">
        <f>IFERROR(__xludf.DUMMYFUNCTION("""COMPUTED_VALUE"""),"테리")</f>
        <v>테리</v>
      </c>
      <c r="L236" s="24" t="str">
        <f>IFERROR(__xludf.DUMMYFUNCTION("""COMPUTED_VALUE"""),"노인")</f>
        <v>노인</v>
      </c>
      <c r="M236" s="24" t="str">
        <f>IFERROR(__xludf.DUMMYFUNCTION("""COMPUTED_VALUE"""),"한메")</f>
        <v>한메</v>
      </c>
      <c r="N236" s="24" t="str">
        <f>IFERROR(__xludf.DUMMYFUNCTION("ARRAYFORMULA(REGEXEXTRACT(SPLIT(E236, ""&lt;br&gt;""), ""([가-힣A-Za-z]+)""))"),"필찌")</f>
        <v>필찌</v>
      </c>
      <c r="O236" s="24" t="str">
        <f>IFERROR(__xludf.DUMMYFUNCTION("""COMPUTED_VALUE"""),"유즈")</f>
        <v>유즈</v>
      </c>
      <c r="P236" s="24" t="str">
        <f>IFERROR(__xludf.DUMMYFUNCTION("""COMPUTED_VALUE"""),"신형만")</f>
        <v>신형만</v>
      </c>
      <c r="Q236" s="24" t="str">
        <f>IFERROR(__xludf.DUMMYFUNCTION("""COMPUTED_VALUE"""),"솔")</f>
        <v>솔</v>
      </c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9" t="s">
        <v>1113</v>
      </c>
      <c r="B237" s="20" t="s">
        <v>1114</v>
      </c>
      <c r="C237" s="19" t="s">
        <v>1115</v>
      </c>
      <c r="D237" s="19">
        <v>5.0</v>
      </c>
      <c r="E237" s="19" t="s">
        <v>1116</v>
      </c>
      <c r="F237" s="19">
        <v>4.0</v>
      </c>
      <c r="G237" s="21">
        <v>45939.82986111111</v>
      </c>
      <c r="H237" s="19" t="s">
        <v>379</v>
      </c>
      <c r="I237" s="22" t="s">
        <v>1117</v>
      </c>
      <c r="J237" s="23" t="str">
        <f>IFERROR(__xludf.DUMMYFUNCTION("ARRAYFORMULA(REGEXEXTRACT(SPLIT(C237, ""&lt;br&gt;""), ""([가-힣A-Za-z]+)""))"),"노인")</f>
        <v>노인</v>
      </c>
      <c r="K237" s="24" t="str">
        <f>IFERROR(__xludf.DUMMYFUNCTION("""COMPUTED_VALUE"""),"솔")</f>
        <v>솔</v>
      </c>
      <c r="L237" s="24" t="str">
        <f>IFERROR(__xludf.DUMMYFUNCTION("""COMPUTED_VALUE"""),"필찌")</f>
        <v>필찌</v>
      </c>
      <c r="M237" s="24" t="str">
        <f>IFERROR(__xludf.DUMMYFUNCTION("""COMPUTED_VALUE"""),"기재")</f>
        <v>기재</v>
      </c>
      <c r="N237" s="24" t="str">
        <f>IFERROR(__xludf.DUMMYFUNCTION("ARRAYFORMULA(REGEXEXTRACT(SPLIT(E237, ""&lt;br&gt;""), ""([가-힣A-Za-z]+)""))"),"유즈")</f>
        <v>유즈</v>
      </c>
      <c r="O237" s="24" t="str">
        <f>IFERROR(__xludf.DUMMYFUNCTION("""COMPUTED_VALUE"""),"깡패")</f>
        <v>깡패</v>
      </c>
      <c r="P237" s="24" t="str">
        <f>IFERROR(__xludf.DUMMYFUNCTION("""COMPUTED_VALUE"""),"테리")</f>
        <v>테리</v>
      </c>
      <c r="Q237" s="24" t="str">
        <f>IFERROR(__xludf.DUMMYFUNCTION("""COMPUTED_VALUE"""),"신형만")</f>
        <v>신형만</v>
      </c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9" t="s">
        <v>1118</v>
      </c>
      <c r="B238" s="20" t="s">
        <v>1119</v>
      </c>
      <c r="C238" s="19" t="s">
        <v>1120</v>
      </c>
      <c r="D238" s="19">
        <v>5.0</v>
      </c>
      <c r="E238" s="19" t="s">
        <v>1121</v>
      </c>
      <c r="F238" s="19">
        <v>1.0</v>
      </c>
      <c r="G238" s="21">
        <v>45939.15416666667</v>
      </c>
      <c r="H238" s="19" t="s">
        <v>379</v>
      </c>
      <c r="I238" s="22" t="s">
        <v>56</v>
      </c>
      <c r="J238" s="23" t="str">
        <f>IFERROR(__xludf.DUMMYFUNCTION("ARRAYFORMULA(REGEXEXTRACT(SPLIT(C238, ""&lt;br&gt;""), ""([가-힣A-Za-z]+)""))"),"노인")</f>
        <v>노인</v>
      </c>
      <c r="K238" s="24" t="str">
        <f>IFERROR(__xludf.DUMMYFUNCTION("""COMPUTED_VALUE"""),"태식")</f>
        <v>태식</v>
      </c>
      <c r="L238" s="24" t="str">
        <f>IFERROR(__xludf.DUMMYFUNCTION("""COMPUTED_VALUE"""),"민우")</f>
        <v>민우</v>
      </c>
      <c r="M238" s="24" t="str">
        <f>IFERROR(__xludf.DUMMYFUNCTION("""COMPUTED_VALUE"""),"기재")</f>
        <v>기재</v>
      </c>
      <c r="N238" s="24" t="str">
        <f>IFERROR(__xludf.DUMMYFUNCTION("ARRAYFORMULA(REGEXEXTRACT(SPLIT(E238, ""&lt;br&gt;""), ""([가-힣A-Za-z]+)""))"),"필찌")</f>
        <v>필찌</v>
      </c>
      <c r="O238" s="24" t="str">
        <f>IFERROR(__xludf.DUMMYFUNCTION("""COMPUTED_VALUE"""),"테리")</f>
        <v>테리</v>
      </c>
      <c r="P238" s="24" t="str">
        <f>IFERROR(__xludf.DUMMYFUNCTION("""COMPUTED_VALUE"""),"짱구")</f>
        <v>짱구</v>
      </c>
      <c r="Q238" s="24" t="str">
        <f>IFERROR(__xludf.DUMMYFUNCTION("""COMPUTED_VALUE"""),"한메")</f>
        <v>한메</v>
      </c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9" t="s">
        <v>1122</v>
      </c>
      <c r="B239" s="20" t="s">
        <v>1123</v>
      </c>
      <c r="C239" s="19" t="s">
        <v>1124</v>
      </c>
      <c r="D239" s="19">
        <v>5.0</v>
      </c>
      <c r="E239" s="19" t="s">
        <v>1125</v>
      </c>
      <c r="F239" s="19">
        <v>4.0</v>
      </c>
      <c r="G239" s="21">
        <v>45939.13958333333</v>
      </c>
      <c r="H239" s="19" t="s">
        <v>379</v>
      </c>
      <c r="I239" s="22" t="s">
        <v>56</v>
      </c>
      <c r="J239" s="23" t="str">
        <f>IFERROR(__xludf.DUMMYFUNCTION("ARRAYFORMULA(REGEXEXTRACT(SPLIT(C239, ""&lt;br&gt;""), ""([가-힣A-Za-z]+)""))"),"한메")</f>
        <v>한메</v>
      </c>
      <c r="K239" s="24" t="str">
        <f>IFERROR(__xludf.DUMMYFUNCTION("""COMPUTED_VALUE"""),"필찌")</f>
        <v>필찌</v>
      </c>
      <c r="L239" s="24" t="str">
        <f>IFERROR(__xludf.DUMMYFUNCTION("""COMPUTED_VALUE"""),"노인")</f>
        <v>노인</v>
      </c>
      <c r="M239" s="24" t="str">
        <f>IFERROR(__xludf.DUMMYFUNCTION("""COMPUTED_VALUE"""),"민우")</f>
        <v>민우</v>
      </c>
      <c r="N239" s="24" t="str">
        <f>IFERROR(__xludf.DUMMYFUNCTION("ARRAYFORMULA(REGEXEXTRACT(SPLIT(E239, ""&lt;br&gt;""), ""([가-힣A-Za-z]+)""))"),"기재")</f>
        <v>기재</v>
      </c>
      <c r="O239" s="24" t="str">
        <f>IFERROR(__xludf.DUMMYFUNCTION("""COMPUTED_VALUE"""),"짱구")</f>
        <v>짱구</v>
      </c>
      <c r="P239" s="24" t="str">
        <f>IFERROR(__xludf.DUMMYFUNCTION("""COMPUTED_VALUE"""),"테리")</f>
        <v>테리</v>
      </c>
      <c r="Q239" s="24" t="str">
        <f>IFERROR(__xludf.DUMMYFUNCTION("""COMPUTED_VALUE"""),"태식")</f>
        <v>태식</v>
      </c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9" t="s">
        <v>1126</v>
      </c>
      <c r="B240" s="20" t="s">
        <v>1127</v>
      </c>
      <c r="C240" s="19" t="s">
        <v>1128</v>
      </c>
      <c r="D240" s="19">
        <v>5.0</v>
      </c>
      <c r="E240" s="19" t="s">
        <v>1129</v>
      </c>
      <c r="F240" s="19">
        <v>0.0</v>
      </c>
      <c r="G240" s="21">
        <v>45939.10138888889</v>
      </c>
      <c r="H240" s="19" t="s">
        <v>379</v>
      </c>
      <c r="I240" s="22" t="s">
        <v>56</v>
      </c>
      <c r="J240" s="23" t="str">
        <f>IFERROR(__xludf.DUMMYFUNCTION("ARRAYFORMULA(REGEXEXTRACT(SPLIT(C240, ""&lt;br&gt;""), ""([가-힣A-Za-z]+)""))"),"한메")</f>
        <v>한메</v>
      </c>
      <c r="K240" s="24" t="str">
        <f>IFERROR(__xludf.DUMMYFUNCTION("""COMPUTED_VALUE"""),"짱구")</f>
        <v>짱구</v>
      </c>
      <c r="L240" s="24" t="str">
        <f>IFERROR(__xludf.DUMMYFUNCTION("""COMPUTED_VALUE"""),"노인")</f>
        <v>노인</v>
      </c>
      <c r="M240" s="24" t="str">
        <f>IFERROR(__xludf.DUMMYFUNCTION("""COMPUTED_VALUE"""),"기재")</f>
        <v>기재</v>
      </c>
      <c r="N240" s="24" t="str">
        <f>IFERROR(__xludf.DUMMYFUNCTION("ARRAYFORMULA(REGEXEXTRACT(SPLIT(E240, ""&lt;br&gt;""), ""([가-힣A-Za-z]+)""))"),"필찌")</f>
        <v>필찌</v>
      </c>
      <c r="O240" s="24" t="str">
        <f>IFERROR(__xludf.DUMMYFUNCTION("""COMPUTED_VALUE"""),"ACDC")</f>
        <v>ACDC</v>
      </c>
      <c r="P240" s="24" t="str">
        <f>IFERROR(__xludf.DUMMYFUNCTION("""COMPUTED_VALUE"""),"노픽업")</f>
        <v>노픽업</v>
      </c>
      <c r="Q240" s="24" t="str">
        <f>IFERROR(__xludf.DUMMYFUNCTION("""COMPUTED_VALUE"""),"태식")</f>
        <v>태식</v>
      </c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9" t="s">
        <v>1130</v>
      </c>
      <c r="B241" s="20" t="s">
        <v>1131</v>
      </c>
      <c r="C241" s="19" t="s">
        <v>1132</v>
      </c>
      <c r="D241" s="19">
        <v>5.0</v>
      </c>
      <c r="E241" s="19" t="s">
        <v>1133</v>
      </c>
      <c r="F241" s="19">
        <v>1.0</v>
      </c>
      <c r="G241" s="21">
        <v>45939.08611111111</v>
      </c>
      <c r="H241" s="19" t="s">
        <v>379</v>
      </c>
      <c r="I241" s="22" t="s">
        <v>31</v>
      </c>
      <c r="J241" s="23" t="str">
        <f>IFERROR(__xludf.DUMMYFUNCTION("ARRAYFORMULA(REGEXEXTRACT(SPLIT(C241, ""&lt;br&gt;""), ""([가-힣A-Za-z]+)""))"),"한메")</f>
        <v>한메</v>
      </c>
      <c r="K241" s="24" t="str">
        <f>IFERROR(__xludf.DUMMYFUNCTION("""COMPUTED_VALUE"""),"노인")</f>
        <v>노인</v>
      </c>
      <c r="L241" s="24" t="str">
        <f>IFERROR(__xludf.DUMMYFUNCTION("""COMPUTED_VALUE"""),"태식")</f>
        <v>태식</v>
      </c>
      <c r="M241" s="24" t="str">
        <f>IFERROR(__xludf.DUMMYFUNCTION("""COMPUTED_VALUE"""),"노픽업")</f>
        <v>노픽업</v>
      </c>
      <c r="N241" s="24" t="str">
        <f>IFERROR(__xludf.DUMMYFUNCTION("ARRAYFORMULA(REGEXEXTRACT(SPLIT(E241, ""&lt;br&gt;""), ""([가-힣A-Za-z]+)""))"),"필찌")</f>
        <v>필찌</v>
      </c>
      <c r="O241" s="24" t="str">
        <f>IFERROR(__xludf.DUMMYFUNCTION("""COMPUTED_VALUE"""),"ACDC")</f>
        <v>ACDC</v>
      </c>
      <c r="P241" s="24" t="str">
        <f>IFERROR(__xludf.DUMMYFUNCTION("""COMPUTED_VALUE"""),"짱구")</f>
        <v>짱구</v>
      </c>
      <c r="Q241" s="24" t="str">
        <f>IFERROR(__xludf.DUMMYFUNCTION("""COMPUTED_VALUE"""),"넘버")</f>
        <v>넘버</v>
      </c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9" t="s">
        <v>1134</v>
      </c>
      <c r="B242" s="20" t="s">
        <v>1135</v>
      </c>
      <c r="C242" s="19" t="s">
        <v>1136</v>
      </c>
      <c r="D242" s="19">
        <v>5.0</v>
      </c>
      <c r="E242" s="19" t="s">
        <v>1137</v>
      </c>
      <c r="F242" s="19">
        <v>2.0</v>
      </c>
      <c r="G242" s="21">
        <v>45939.07013888889</v>
      </c>
      <c r="H242" s="19" t="s">
        <v>379</v>
      </c>
      <c r="I242" s="22" t="s">
        <v>990</v>
      </c>
      <c r="J242" s="23" t="str">
        <f>IFERROR(__xludf.DUMMYFUNCTION("ARRAYFORMULA(REGEXEXTRACT(SPLIT(C242, ""&lt;br&gt;""), ""([가-힣A-Za-z]+)""))"),"신형만")</f>
        <v>신형만</v>
      </c>
      <c r="K242" s="24" t="str">
        <f>IFERROR(__xludf.DUMMYFUNCTION("""COMPUTED_VALUE"""),"필찌")</f>
        <v>필찌</v>
      </c>
      <c r="L242" s="24" t="str">
        <f>IFERROR(__xludf.DUMMYFUNCTION("""COMPUTED_VALUE"""),"노인")</f>
        <v>노인</v>
      </c>
      <c r="M242" s="24" t="str">
        <f>IFERROR(__xludf.DUMMYFUNCTION("""COMPUTED_VALUE"""),"한메")</f>
        <v>한메</v>
      </c>
      <c r="N242" s="24" t="str">
        <f>IFERROR(__xludf.DUMMYFUNCTION("ARRAYFORMULA(REGEXEXTRACT(SPLIT(E242, ""&lt;br&gt;""), ""([가-힣A-Za-z]+)""))"),"ACDC")</f>
        <v>ACDC</v>
      </c>
      <c r="O242" s="24" t="str">
        <f>IFERROR(__xludf.DUMMYFUNCTION("""COMPUTED_VALUE"""),"노픽업")</f>
        <v>노픽업</v>
      </c>
      <c r="P242" s="24" t="str">
        <f>IFERROR(__xludf.DUMMYFUNCTION("""COMPUTED_VALUE"""),"넘버")</f>
        <v>넘버</v>
      </c>
      <c r="Q242" s="24" t="str">
        <f>IFERROR(__xludf.DUMMYFUNCTION("""COMPUTED_VALUE"""),"태식")</f>
        <v>태식</v>
      </c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9" t="s">
        <v>1138</v>
      </c>
      <c r="B243" s="20" t="s">
        <v>1139</v>
      </c>
      <c r="C243" s="19" t="s">
        <v>1140</v>
      </c>
      <c r="D243" s="19">
        <v>5.0</v>
      </c>
      <c r="E243" s="19" t="s">
        <v>1141</v>
      </c>
      <c r="F243" s="19">
        <v>3.0</v>
      </c>
      <c r="G243" s="21">
        <v>45939.04861111111</v>
      </c>
      <c r="H243" s="19" t="s">
        <v>379</v>
      </c>
      <c r="I243" s="22" t="s">
        <v>990</v>
      </c>
      <c r="J243" s="23" t="str">
        <f>IFERROR(__xludf.DUMMYFUNCTION("ARRAYFORMULA(REGEXEXTRACT(SPLIT(C243, ""&lt;br&gt;""), ""([가-힣A-Za-z]+)""))"),"노인")</f>
        <v>노인</v>
      </c>
      <c r="K243" s="24" t="str">
        <f>IFERROR(__xludf.DUMMYFUNCTION("""COMPUTED_VALUE"""),"신형만")</f>
        <v>신형만</v>
      </c>
      <c r="L243" s="24" t="str">
        <f>IFERROR(__xludf.DUMMYFUNCTION("""COMPUTED_VALUE"""),"태식")</f>
        <v>태식</v>
      </c>
      <c r="M243" s="24" t="str">
        <f>IFERROR(__xludf.DUMMYFUNCTION("""COMPUTED_VALUE"""),"노픽업")</f>
        <v>노픽업</v>
      </c>
      <c r="N243" s="24" t="str">
        <f>IFERROR(__xludf.DUMMYFUNCTION("ARRAYFORMULA(REGEXEXTRACT(SPLIT(E243, ""&lt;br&gt;""), ""([가-힣A-Za-z]+)""))"),"필찌")</f>
        <v>필찌</v>
      </c>
      <c r="O243" s="24" t="str">
        <f>IFERROR(__xludf.DUMMYFUNCTION("""COMPUTED_VALUE"""),"ACDC")</f>
        <v>ACDC</v>
      </c>
      <c r="P243" s="24" t="str">
        <f>IFERROR(__xludf.DUMMYFUNCTION("""COMPUTED_VALUE"""),"한메")</f>
        <v>한메</v>
      </c>
      <c r="Q243" s="24" t="str">
        <f>IFERROR(__xludf.DUMMYFUNCTION("""COMPUTED_VALUE"""),"넘버")</f>
        <v>넘버</v>
      </c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9" t="s">
        <v>1142</v>
      </c>
      <c r="B244" s="20" t="s">
        <v>1143</v>
      </c>
      <c r="C244" s="19" t="s">
        <v>1144</v>
      </c>
      <c r="D244" s="19">
        <v>5.0</v>
      </c>
      <c r="E244" s="19" t="s">
        <v>1145</v>
      </c>
      <c r="F244" s="19">
        <v>3.0</v>
      </c>
      <c r="G244" s="21">
        <v>45939.02361111111</v>
      </c>
      <c r="H244" s="19" t="s">
        <v>379</v>
      </c>
      <c r="I244" s="22" t="s">
        <v>1146</v>
      </c>
      <c r="J244" s="23" t="str">
        <f>IFERROR(__xludf.DUMMYFUNCTION("ARRAYFORMULA(REGEXEXTRACT(SPLIT(C244, ""&lt;br&gt;""), ""([가-힣A-Za-z]+)""))"),"노인")</f>
        <v>노인</v>
      </c>
      <c r="K244" s="24" t="str">
        <f>IFERROR(__xludf.DUMMYFUNCTION("""COMPUTED_VALUE"""),"테리")</f>
        <v>테리</v>
      </c>
      <c r="L244" s="24" t="str">
        <f>IFERROR(__xludf.DUMMYFUNCTION("""COMPUTED_VALUE"""),"오딘")</f>
        <v>오딘</v>
      </c>
      <c r="M244" s="24" t="str">
        <f>IFERROR(__xludf.DUMMYFUNCTION("""COMPUTED_VALUE"""),"노픽업")</f>
        <v>노픽업</v>
      </c>
      <c r="N244" s="24" t="str">
        <f>IFERROR(__xludf.DUMMYFUNCTION("ARRAYFORMULA(REGEXEXTRACT(SPLIT(E244, ""&lt;br&gt;""), ""([가-힣A-Za-z]+)""))"),"ACDC")</f>
        <v>ACDC</v>
      </c>
      <c r="O244" s="24" t="str">
        <f>IFERROR(__xludf.DUMMYFUNCTION("""COMPUTED_VALUE"""),"넘버")</f>
        <v>넘버</v>
      </c>
      <c r="P244" s="24" t="str">
        <f>IFERROR(__xludf.DUMMYFUNCTION("""COMPUTED_VALUE"""),"한메")</f>
        <v>한메</v>
      </c>
      <c r="Q244" s="24" t="str">
        <f>IFERROR(__xludf.DUMMYFUNCTION("""COMPUTED_VALUE"""),"찹쌀")</f>
        <v>찹쌀</v>
      </c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9" t="s">
        <v>1147</v>
      </c>
      <c r="B245" s="20" t="s">
        <v>1148</v>
      </c>
      <c r="C245" s="19" t="s">
        <v>1149</v>
      </c>
      <c r="D245" s="19">
        <v>5.0</v>
      </c>
      <c r="E245" s="19" t="s">
        <v>1150</v>
      </c>
      <c r="F245" s="19">
        <v>0.0</v>
      </c>
      <c r="G245" s="21">
        <v>45939.021527777775</v>
      </c>
      <c r="H245" s="19" t="s">
        <v>379</v>
      </c>
      <c r="I245" s="22" t="s">
        <v>1146</v>
      </c>
      <c r="J245" s="23" t="str">
        <f>IFERROR(__xludf.DUMMYFUNCTION("ARRAYFORMULA(REGEXEXTRACT(SPLIT(C245, ""&lt;br&gt;""), ""([가-힣A-Za-z]+)""))"),"넘버")</f>
        <v>넘버</v>
      </c>
      <c r="K245" s="24" t="str">
        <f>IFERROR(__xludf.DUMMYFUNCTION("""COMPUTED_VALUE"""),"노인")</f>
        <v>노인</v>
      </c>
      <c r="L245" s="24" t="str">
        <f>IFERROR(__xludf.DUMMYFUNCTION("""COMPUTED_VALUE"""),"테리")</f>
        <v>테리</v>
      </c>
      <c r="M245" s="24" t="str">
        <f>IFERROR(__xludf.DUMMYFUNCTION("""COMPUTED_VALUE"""),"한메")</f>
        <v>한메</v>
      </c>
      <c r="N245" s="24" t="str">
        <f>IFERROR(__xludf.DUMMYFUNCTION("ARRAYFORMULA(REGEXEXTRACT(SPLIT(E245, ""&lt;br&gt;""), ""([가-힣A-Za-z]+)""))"),"찹쌀")</f>
        <v>찹쌀</v>
      </c>
      <c r="O245" s="24" t="str">
        <f>IFERROR(__xludf.DUMMYFUNCTION("""COMPUTED_VALUE"""),"ACDC")</f>
        <v>ACDC</v>
      </c>
      <c r="P245" s="24" t="str">
        <f>IFERROR(__xludf.DUMMYFUNCTION("""COMPUTED_VALUE"""),"노픽업")</f>
        <v>노픽업</v>
      </c>
      <c r="Q245" s="24" t="str">
        <f>IFERROR(__xludf.DUMMYFUNCTION("""COMPUTED_VALUE"""),"오딘")</f>
        <v>오딘</v>
      </c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9" t="s">
        <v>1151</v>
      </c>
      <c r="B246" s="20" t="s">
        <v>1152</v>
      </c>
      <c r="C246" s="19" t="s">
        <v>1153</v>
      </c>
      <c r="D246" s="19">
        <v>5.0</v>
      </c>
      <c r="E246" s="19" t="s">
        <v>1154</v>
      </c>
      <c r="F246" s="19">
        <v>4.0</v>
      </c>
      <c r="G246" s="21">
        <v>45938.97777777778</v>
      </c>
      <c r="H246" s="19" t="s">
        <v>379</v>
      </c>
      <c r="I246" s="22" t="s">
        <v>1155</v>
      </c>
      <c r="J246" s="23" t="str">
        <f>IFERROR(__xludf.DUMMYFUNCTION("ARRAYFORMULA(REGEXEXTRACT(SPLIT(C246, ""&lt;br&gt;""), ""([가-힣A-Za-z]+)""))"),"노인")</f>
        <v>노인</v>
      </c>
      <c r="K246" s="24" t="str">
        <f>IFERROR(__xludf.DUMMYFUNCTION("""COMPUTED_VALUE"""),"ACDC")</f>
        <v>ACDC</v>
      </c>
      <c r="L246" s="24" t="str">
        <f>IFERROR(__xludf.DUMMYFUNCTION("""COMPUTED_VALUE"""),"한메")</f>
        <v>한메</v>
      </c>
      <c r="M246" s="24" t="str">
        <f>IFERROR(__xludf.DUMMYFUNCTION("""COMPUTED_VALUE"""),"신형만")</f>
        <v>신형만</v>
      </c>
      <c r="N246" s="24" t="str">
        <f>IFERROR(__xludf.DUMMYFUNCTION("ARRAYFORMULA(REGEXEXTRACT(SPLIT(E246, ""&lt;br&gt;""), ""([가-힣A-Za-z]+)""))"),"찹쌀")</f>
        <v>찹쌀</v>
      </c>
      <c r="O246" s="24" t="str">
        <f>IFERROR(__xludf.DUMMYFUNCTION("""COMPUTED_VALUE"""),"테리")</f>
        <v>테리</v>
      </c>
      <c r="P246" s="24" t="str">
        <f>IFERROR(__xludf.DUMMYFUNCTION("""COMPUTED_VALUE"""),"넘버")</f>
        <v>넘버</v>
      </c>
      <c r="Q246" s="24" t="str">
        <f>IFERROR(__xludf.DUMMYFUNCTION("""COMPUTED_VALUE"""),"오딘")</f>
        <v>오딘</v>
      </c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9" t="s">
        <v>1156</v>
      </c>
      <c r="B247" s="20" t="s">
        <v>1157</v>
      </c>
      <c r="C247" s="19" t="s">
        <v>1158</v>
      </c>
      <c r="D247" s="19">
        <v>5.0</v>
      </c>
      <c r="E247" s="19" t="s">
        <v>1159</v>
      </c>
      <c r="F247" s="19">
        <v>0.0</v>
      </c>
      <c r="G247" s="21">
        <v>45938.95138888889</v>
      </c>
      <c r="H247" s="19" t="s">
        <v>379</v>
      </c>
      <c r="I247" s="22" t="s">
        <v>1155</v>
      </c>
      <c r="J247" s="23" t="str">
        <f>IFERROR(__xludf.DUMMYFUNCTION("ARRAYFORMULA(REGEXEXTRACT(SPLIT(C247, ""&lt;br&gt;""), ""([가-힣A-Za-z]+)""))"),"테리")</f>
        <v>테리</v>
      </c>
      <c r="K247" s="24" t="str">
        <f>IFERROR(__xludf.DUMMYFUNCTION("""COMPUTED_VALUE"""),"넘버")</f>
        <v>넘버</v>
      </c>
      <c r="L247" s="24" t="str">
        <f>IFERROR(__xludf.DUMMYFUNCTION("""COMPUTED_VALUE"""),"ACDC")</f>
        <v>ACDC</v>
      </c>
      <c r="M247" s="24" t="str">
        <f>IFERROR(__xludf.DUMMYFUNCTION("""COMPUTED_VALUE"""),"한메")</f>
        <v>한메</v>
      </c>
      <c r="N247" s="24" t="str">
        <f>IFERROR(__xludf.DUMMYFUNCTION("ARRAYFORMULA(REGEXEXTRACT(SPLIT(E247, ""&lt;br&gt;""), ""([가-힣A-Za-z]+)""))"),"오딘")</f>
        <v>오딘</v>
      </c>
      <c r="O247" s="24" t="str">
        <f>IFERROR(__xludf.DUMMYFUNCTION("""COMPUTED_VALUE"""),"노인")</f>
        <v>노인</v>
      </c>
      <c r="P247" s="24" t="str">
        <f>IFERROR(__xludf.DUMMYFUNCTION("""COMPUTED_VALUE"""),"신형만")</f>
        <v>신형만</v>
      </c>
      <c r="Q247" s="24" t="str">
        <f>IFERROR(__xludf.DUMMYFUNCTION("""COMPUTED_VALUE"""),"찹쌀")</f>
        <v>찹쌀</v>
      </c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9" t="s">
        <v>1160</v>
      </c>
      <c r="B248" s="20" t="s">
        <v>1161</v>
      </c>
      <c r="C248" s="19" t="s">
        <v>1162</v>
      </c>
      <c r="D248" s="19">
        <v>5.0</v>
      </c>
      <c r="E248" s="19" t="s">
        <v>1163</v>
      </c>
      <c r="F248" s="19">
        <v>1.0</v>
      </c>
      <c r="G248" s="21">
        <v>45937.08125</v>
      </c>
      <c r="H248" s="19" t="s">
        <v>379</v>
      </c>
      <c r="I248" s="22" t="s">
        <v>990</v>
      </c>
      <c r="J248" s="23" t="str">
        <f>IFERROR(__xludf.DUMMYFUNCTION("ARRAYFORMULA(REGEXEXTRACT(SPLIT(C248, ""&lt;br&gt;""), ""([가-힣A-Za-z]+)""))"),"유즈")</f>
        <v>유즈</v>
      </c>
      <c r="K248" s="24" t="str">
        <f>IFERROR(__xludf.DUMMYFUNCTION("""COMPUTED_VALUE"""),"테리")</f>
        <v>테리</v>
      </c>
      <c r="L248" s="24" t="str">
        <f>IFERROR(__xludf.DUMMYFUNCTION("""COMPUTED_VALUE"""),"신형만")</f>
        <v>신형만</v>
      </c>
      <c r="M248" s="24" t="str">
        <f>IFERROR(__xludf.DUMMYFUNCTION("""COMPUTED_VALUE"""),"노픽업")</f>
        <v>노픽업</v>
      </c>
      <c r="N248" s="24" t="str">
        <f>IFERROR(__xludf.DUMMYFUNCTION("ARRAYFORMULA(REGEXEXTRACT(SPLIT(E248, ""&lt;br&gt;""), ""([가-힣A-Za-z]+)""))"),"넘버")</f>
        <v>넘버</v>
      </c>
      <c r="O248" s="24" t="str">
        <f>IFERROR(__xludf.DUMMYFUNCTION("""COMPUTED_VALUE"""),"노인")</f>
        <v>노인</v>
      </c>
      <c r="P248" s="24" t="str">
        <f>IFERROR(__xludf.DUMMYFUNCTION("""COMPUTED_VALUE"""),"강화")</f>
        <v>강화</v>
      </c>
      <c r="Q248" s="24" t="str">
        <f>IFERROR(__xludf.DUMMYFUNCTION("""COMPUTED_VALUE"""),"찹쌀")</f>
        <v>찹쌀</v>
      </c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9" t="s">
        <v>1164</v>
      </c>
      <c r="B249" s="20" t="s">
        <v>1165</v>
      </c>
      <c r="C249" s="19" t="s">
        <v>1166</v>
      </c>
      <c r="D249" s="19">
        <v>5.0</v>
      </c>
      <c r="E249" s="19" t="s">
        <v>1167</v>
      </c>
      <c r="F249" s="19">
        <v>3.0</v>
      </c>
      <c r="G249" s="21">
        <v>45937.069444444445</v>
      </c>
      <c r="H249" s="19" t="s">
        <v>379</v>
      </c>
      <c r="I249" s="22" t="s">
        <v>990</v>
      </c>
      <c r="J249" s="23" t="str">
        <f>IFERROR(__xludf.DUMMYFUNCTION("ARRAYFORMULA(REGEXEXTRACT(SPLIT(C249, ""&lt;br&gt;""), ""([가-힣A-Za-z]+)""))"),"테리")</f>
        <v>테리</v>
      </c>
      <c r="K249" s="24" t="str">
        <f>IFERROR(__xludf.DUMMYFUNCTION("""COMPUTED_VALUE"""),"유즈")</f>
        <v>유즈</v>
      </c>
      <c r="L249" s="24" t="str">
        <f>IFERROR(__xludf.DUMMYFUNCTION("""COMPUTED_VALUE"""),"찹쌀")</f>
        <v>찹쌀</v>
      </c>
      <c r="M249" s="24" t="str">
        <f>IFERROR(__xludf.DUMMYFUNCTION("""COMPUTED_VALUE"""),"넘버")</f>
        <v>넘버</v>
      </c>
      <c r="N249" s="24" t="str">
        <f>IFERROR(__xludf.DUMMYFUNCTION("ARRAYFORMULA(REGEXEXTRACT(SPLIT(E249, ""&lt;br&gt;""), ""([가-힣A-Za-z]+)""))"),"신형만")</f>
        <v>신형만</v>
      </c>
      <c r="O249" s="24" t="str">
        <f>IFERROR(__xludf.DUMMYFUNCTION("""COMPUTED_VALUE"""),"노픽업")</f>
        <v>노픽업</v>
      </c>
      <c r="P249" s="24" t="str">
        <f>IFERROR(__xludf.DUMMYFUNCTION("""COMPUTED_VALUE"""),"노인")</f>
        <v>노인</v>
      </c>
      <c r="Q249" s="24" t="str">
        <f>IFERROR(__xludf.DUMMYFUNCTION("""COMPUTED_VALUE"""),"강화")</f>
        <v>강화</v>
      </c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9" t="s">
        <v>1168</v>
      </c>
      <c r="B250" s="20" t="s">
        <v>1169</v>
      </c>
      <c r="C250" s="19" t="s">
        <v>1170</v>
      </c>
      <c r="D250" s="19">
        <v>5.0</v>
      </c>
      <c r="E250" s="19" t="s">
        <v>1171</v>
      </c>
      <c r="F250" s="19">
        <v>0.0</v>
      </c>
      <c r="G250" s="21">
        <v>45937.02916666667</v>
      </c>
      <c r="H250" s="19" t="s">
        <v>379</v>
      </c>
      <c r="I250" s="22" t="s">
        <v>990</v>
      </c>
      <c r="J250" s="23" t="str">
        <f>IFERROR(__xludf.DUMMYFUNCTION("ARRAYFORMULA(REGEXEXTRACT(SPLIT(C250, ""&lt;br&gt;""), ""([가-힣A-Za-z]+)""))"),"넘버")</f>
        <v>넘버</v>
      </c>
      <c r="K250" s="24" t="str">
        <f>IFERROR(__xludf.DUMMYFUNCTION("""COMPUTED_VALUE"""),"노인")</f>
        <v>노인</v>
      </c>
      <c r="L250" s="24" t="str">
        <f>IFERROR(__xludf.DUMMYFUNCTION("""COMPUTED_VALUE"""),"테리")</f>
        <v>테리</v>
      </c>
      <c r="M250" s="24" t="str">
        <f>IFERROR(__xludf.DUMMYFUNCTION("""COMPUTED_VALUE"""),"신형만")</f>
        <v>신형만</v>
      </c>
      <c r="N250" s="24" t="str">
        <f>IFERROR(__xludf.DUMMYFUNCTION("ARRAYFORMULA(REGEXEXTRACT(SPLIT(E250, ""&lt;br&gt;""), ""([가-힣A-Za-z]+)""))"),"유즈")</f>
        <v>유즈</v>
      </c>
      <c r="O250" s="24" t="str">
        <f>IFERROR(__xludf.DUMMYFUNCTION("""COMPUTED_VALUE"""),"ACDC")</f>
        <v>ACDC</v>
      </c>
      <c r="P250" s="24" t="str">
        <f>IFERROR(__xludf.DUMMYFUNCTION("""COMPUTED_VALUE"""),"노픽업")</f>
        <v>노픽업</v>
      </c>
      <c r="Q250" s="24" t="str">
        <f>IFERROR(__xludf.DUMMYFUNCTION("""COMPUTED_VALUE"""),"찹쌀")</f>
        <v>찹쌀</v>
      </c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9" t="s">
        <v>1172</v>
      </c>
      <c r="B251" s="20" t="s">
        <v>1173</v>
      </c>
      <c r="C251" s="19" t="s">
        <v>1174</v>
      </c>
      <c r="D251" s="19">
        <v>5.0</v>
      </c>
      <c r="E251" s="19" t="s">
        <v>1175</v>
      </c>
      <c r="F251" s="19">
        <v>2.0</v>
      </c>
      <c r="G251" s="21">
        <v>45937.01666666667</v>
      </c>
      <c r="H251" s="19" t="s">
        <v>379</v>
      </c>
      <c r="I251" s="22" t="s">
        <v>990</v>
      </c>
      <c r="J251" s="23" t="str">
        <f>IFERROR(__xludf.DUMMYFUNCTION("ARRAYFORMULA(REGEXEXTRACT(SPLIT(C251, ""&lt;br&gt;""), ""([가-힣A-Za-z]+)""))"),"테리")</f>
        <v>테리</v>
      </c>
      <c r="K251" s="24" t="str">
        <f>IFERROR(__xludf.DUMMYFUNCTION("""COMPUTED_VALUE"""),"유즈")</f>
        <v>유즈</v>
      </c>
      <c r="L251" s="24" t="str">
        <f>IFERROR(__xludf.DUMMYFUNCTION("""COMPUTED_VALUE"""),"노인")</f>
        <v>노인</v>
      </c>
      <c r="M251" s="24" t="str">
        <f>IFERROR(__xludf.DUMMYFUNCTION("""COMPUTED_VALUE"""),"노픽업")</f>
        <v>노픽업</v>
      </c>
      <c r="N251" s="24" t="str">
        <f>IFERROR(__xludf.DUMMYFUNCTION("ARRAYFORMULA(REGEXEXTRACT(SPLIT(E251, ""&lt;br&gt;""), ""([가-힣A-Za-z]+)""))"),"찹쌀")</f>
        <v>찹쌀</v>
      </c>
      <c r="O251" s="24" t="str">
        <f>IFERROR(__xludf.DUMMYFUNCTION("""COMPUTED_VALUE"""),"신형만")</f>
        <v>신형만</v>
      </c>
      <c r="P251" s="24" t="str">
        <f>IFERROR(__xludf.DUMMYFUNCTION("""COMPUTED_VALUE"""),"ACDC")</f>
        <v>ACDC</v>
      </c>
      <c r="Q251" s="24" t="str">
        <f>IFERROR(__xludf.DUMMYFUNCTION("""COMPUTED_VALUE"""),"넘버")</f>
        <v>넘버</v>
      </c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9" t="s">
        <v>1176</v>
      </c>
      <c r="B252" s="20" t="s">
        <v>1177</v>
      </c>
      <c r="C252" s="19" t="s">
        <v>1178</v>
      </c>
      <c r="D252" s="19">
        <v>5.0</v>
      </c>
      <c r="E252" s="19" t="s">
        <v>1179</v>
      </c>
      <c r="F252" s="19">
        <v>4.0</v>
      </c>
      <c r="G252" s="21">
        <v>45937.00277777778</v>
      </c>
      <c r="H252" s="19" t="s">
        <v>379</v>
      </c>
      <c r="I252" s="22" t="s">
        <v>990</v>
      </c>
      <c r="J252" s="23" t="str">
        <f>IFERROR(__xludf.DUMMYFUNCTION("ARRAYFORMULA(REGEXEXTRACT(SPLIT(C252, ""&lt;br&gt;""), ""([가-힣A-Za-z]+)""))"),"ACDC")</f>
        <v>ACDC</v>
      </c>
      <c r="K252" s="24" t="str">
        <f>IFERROR(__xludf.DUMMYFUNCTION("""COMPUTED_VALUE"""),"테리")</f>
        <v>테리</v>
      </c>
      <c r="L252" s="24" t="str">
        <f>IFERROR(__xludf.DUMMYFUNCTION("""COMPUTED_VALUE"""),"유즈")</f>
        <v>유즈</v>
      </c>
      <c r="M252" s="24" t="str">
        <f>IFERROR(__xludf.DUMMYFUNCTION("""COMPUTED_VALUE"""),"신형만")</f>
        <v>신형만</v>
      </c>
      <c r="N252" s="24" t="str">
        <f>IFERROR(__xludf.DUMMYFUNCTION("ARRAYFORMULA(REGEXEXTRACT(SPLIT(E252, ""&lt;br&gt;""), ""([가-힣A-Za-z]+)""))"),"노인")</f>
        <v>노인</v>
      </c>
      <c r="O252" s="24" t="str">
        <f>IFERROR(__xludf.DUMMYFUNCTION("""COMPUTED_VALUE"""),"노픽업")</f>
        <v>노픽업</v>
      </c>
      <c r="P252" s="24" t="str">
        <f>IFERROR(__xludf.DUMMYFUNCTION("""COMPUTED_VALUE"""),"넘버")</f>
        <v>넘버</v>
      </c>
      <c r="Q252" s="24" t="str">
        <f>IFERROR(__xludf.DUMMYFUNCTION("""COMPUTED_VALUE"""),"찹쌀")</f>
        <v>찹쌀</v>
      </c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9" t="s">
        <v>1180</v>
      </c>
      <c r="B253" s="20" t="s">
        <v>1181</v>
      </c>
      <c r="C253" s="19" t="s">
        <v>1182</v>
      </c>
      <c r="D253" s="19">
        <v>5.0</v>
      </c>
      <c r="E253" s="19" t="s">
        <v>1183</v>
      </c>
      <c r="F253" s="19">
        <v>1.0</v>
      </c>
      <c r="G253" s="21">
        <v>45933.05416666667</v>
      </c>
      <c r="H253" s="19" t="s">
        <v>379</v>
      </c>
      <c r="I253" s="22" t="s">
        <v>1184</v>
      </c>
      <c r="J253" s="23" t="str">
        <f>IFERROR(__xludf.DUMMYFUNCTION("ARRAYFORMULA(REGEXEXTRACT(SPLIT(C253, ""&lt;br&gt;""), ""([가-힣A-Za-z]+)""))"),"테리")</f>
        <v>테리</v>
      </c>
      <c r="K253" s="24" t="str">
        <f>IFERROR(__xludf.DUMMYFUNCTION("""COMPUTED_VALUE"""),"넘버")</f>
        <v>넘버</v>
      </c>
      <c r="L253" s="24" t="str">
        <f>IFERROR(__xludf.DUMMYFUNCTION("""COMPUTED_VALUE"""),"GYUL")</f>
        <v>GYUL</v>
      </c>
      <c r="M253" s="24" t="str">
        <f>IFERROR(__xludf.DUMMYFUNCTION("""COMPUTED_VALUE"""),"깡패")</f>
        <v>깡패</v>
      </c>
      <c r="N253" s="24" t="str">
        <f>IFERROR(__xludf.DUMMYFUNCTION("ARRAYFORMULA(REGEXEXTRACT(SPLIT(E253, ""&lt;br&gt;""), ""([가-힣A-Za-z]+)""))"),"한메")</f>
        <v>한메</v>
      </c>
      <c r="O253" s="24" t="str">
        <f>IFERROR(__xludf.DUMMYFUNCTION("""COMPUTED_VALUE"""),"ACDC")</f>
        <v>ACDC</v>
      </c>
      <c r="P253" s="24" t="str">
        <f>IFERROR(__xludf.DUMMYFUNCTION("""COMPUTED_VALUE"""),"노픽업")</f>
        <v>노픽업</v>
      </c>
      <c r="Q253" s="24" t="str">
        <f>IFERROR(__xludf.DUMMYFUNCTION("""COMPUTED_VALUE"""),"참치")</f>
        <v>참치</v>
      </c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9" t="s">
        <v>1185</v>
      </c>
      <c r="B254" s="20" t="s">
        <v>1186</v>
      </c>
      <c r="C254" s="19" t="s">
        <v>1187</v>
      </c>
      <c r="D254" s="19">
        <v>5.0</v>
      </c>
      <c r="E254" s="19" t="s">
        <v>1188</v>
      </c>
      <c r="F254" s="19">
        <v>1.0</v>
      </c>
      <c r="G254" s="21">
        <v>45933.032638888886</v>
      </c>
      <c r="H254" s="19" t="s">
        <v>379</v>
      </c>
      <c r="I254" s="22" t="s">
        <v>1189</v>
      </c>
      <c r="J254" s="23" t="str">
        <f>IFERROR(__xludf.DUMMYFUNCTION("ARRAYFORMULA(REGEXEXTRACT(SPLIT(C254, ""&lt;br&gt;""), ""([가-힣A-Za-z]+)""))"),"넘버")</f>
        <v>넘버</v>
      </c>
      <c r="K254" s="24" t="str">
        <f>IFERROR(__xludf.DUMMYFUNCTION("""COMPUTED_VALUE"""),"테리")</f>
        <v>테리</v>
      </c>
      <c r="L254" s="24" t="str">
        <f>IFERROR(__xludf.DUMMYFUNCTION("""COMPUTED_VALUE"""),"참치")</f>
        <v>참치</v>
      </c>
      <c r="M254" s="24" t="str">
        <f>IFERROR(__xludf.DUMMYFUNCTION("""COMPUTED_VALUE"""),"한메")</f>
        <v>한메</v>
      </c>
      <c r="N254" s="24" t="str">
        <f>IFERROR(__xludf.DUMMYFUNCTION("ARRAYFORMULA(REGEXEXTRACT(SPLIT(E254, ""&lt;br&gt;""), ""([가-힣A-Za-z]+)""))"),"ACDC")</f>
        <v>ACDC</v>
      </c>
      <c r="O254" s="24" t="str">
        <f>IFERROR(__xludf.DUMMYFUNCTION("""COMPUTED_VALUE"""),"깡패")</f>
        <v>깡패</v>
      </c>
      <c r="P254" s="24" t="str">
        <f>IFERROR(__xludf.DUMMYFUNCTION("""COMPUTED_VALUE"""),"재우")</f>
        <v>재우</v>
      </c>
      <c r="Q254" s="24" t="str">
        <f>IFERROR(__xludf.DUMMYFUNCTION("""COMPUTED_VALUE"""),"GYUL")</f>
        <v>GYUL</v>
      </c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9" t="s">
        <v>1190</v>
      </c>
      <c r="B255" s="20" t="s">
        <v>1191</v>
      </c>
      <c r="C255" s="19" t="s">
        <v>1192</v>
      </c>
      <c r="D255" s="19">
        <v>5.0</v>
      </c>
      <c r="E255" s="19" t="s">
        <v>1193</v>
      </c>
      <c r="F255" s="19">
        <v>4.0</v>
      </c>
      <c r="G255" s="21">
        <v>45933.01944444444</v>
      </c>
      <c r="H255" s="19" t="s">
        <v>379</v>
      </c>
      <c r="I255" s="22" t="s">
        <v>1189</v>
      </c>
      <c r="J255" s="23" t="str">
        <f>IFERROR(__xludf.DUMMYFUNCTION("ARRAYFORMULA(REGEXEXTRACT(SPLIT(C255, ""&lt;br&gt;""), ""([가-힣A-Za-z]+)""))"),"테리")</f>
        <v>테리</v>
      </c>
      <c r="K255" s="24" t="str">
        <f>IFERROR(__xludf.DUMMYFUNCTION("""COMPUTED_VALUE"""),"참치")</f>
        <v>참치</v>
      </c>
      <c r="L255" s="24" t="str">
        <f>IFERROR(__xludf.DUMMYFUNCTION("""COMPUTED_VALUE"""),"ACDC")</f>
        <v>ACDC</v>
      </c>
      <c r="M255" s="24" t="str">
        <f>IFERROR(__xludf.DUMMYFUNCTION("""COMPUTED_VALUE"""),"깡패")</f>
        <v>깡패</v>
      </c>
      <c r="N255" s="24" t="str">
        <f>IFERROR(__xludf.DUMMYFUNCTION("ARRAYFORMULA(REGEXEXTRACT(SPLIT(E255, ""&lt;br&gt;""), ""([가-힣A-Za-z]+)""))"),"GYUL")</f>
        <v>GYUL</v>
      </c>
      <c r="O255" s="24" t="str">
        <f>IFERROR(__xludf.DUMMYFUNCTION("""COMPUTED_VALUE"""),"재우")</f>
        <v>재우</v>
      </c>
      <c r="P255" s="24" t="str">
        <f>IFERROR(__xludf.DUMMYFUNCTION("""COMPUTED_VALUE"""),"한메")</f>
        <v>한메</v>
      </c>
      <c r="Q255" s="24" t="str">
        <f>IFERROR(__xludf.DUMMYFUNCTION("""COMPUTED_VALUE"""),"넘버")</f>
        <v>넘버</v>
      </c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9" t="s">
        <v>1194</v>
      </c>
      <c r="B256" s="20" t="s">
        <v>1195</v>
      </c>
      <c r="C256" s="19" t="s">
        <v>1196</v>
      </c>
      <c r="D256" s="19">
        <v>5.0</v>
      </c>
      <c r="E256" s="19" t="s">
        <v>1197</v>
      </c>
      <c r="F256" s="19">
        <v>2.0</v>
      </c>
      <c r="G256" s="21">
        <v>45932.024305555555</v>
      </c>
      <c r="H256" s="19" t="s">
        <v>379</v>
      </c>
      <c r="I256" s="22" t="s">
        <v>719</v>
      </c>
      <c r="J256" s="25" t="str">
        <f>IFERROR(__xludf.DUMMYFUNCTION("ARRAYFORMULA(REGEXEXTRACT(SPLIT(C256, ""&lt;br&gt;""), ""([가-힣A-Za-z]+)""))"),"신형만")</f>
        <v>신형만</v>
      </c>
      <c r="K256" s="24" t="str">
        <f>IFERROR(__xludf.DUMMYFUNCTION("""COMPUTED_VALUE"""),"깡패")</f>
        <v>깡패</v>
      </c>
      <c r="L256" s="24" t="str">
        <f>IFERROR(__xludf.DUMMYFUNCTION("""COMPUTED_VALUE"""),"한메")</f>
        <v>한메</v>
      </c>
      <c r="M256" s="24" t="str">
        <f>IFERROR(__xludf.DUMMYFUNCTION("""COMPUTED_VALUE"""),"재우")</f>
        <v>재우</v>
      </c>
      <c r="N256" s="26" t="str">
        <f>IFERROR(__xludf.DUMMYFUNCTION("ARRAYFORMULA(REGEXEXTRACT(SPLIT(E256, ""&lt;br&gt;""), ""([가-힣A-Za-z]+)""))"),"필찌")</f>
        <v>필찌</v>
      </c>
      <c r="O256" s="24" t="str">
        <f>IFERROR(__xludf.DUMMYFUNCTION("""COMPUTED_VALUE"""),"짱구")</f>
        <v>짱구</v>
      </c>
      <c r="P256" s="24" t="str">
        <f>IFERROR(__xludf.DUMMYFUNCTION("""COMPUTED_VALUE"""),"규식")</f>
        <v>규식</v>
      </c>
      <c r="Q256" s="24" t="str">
        <f>IFERROR(__xludf.DUMMYFUNCTION("""COMPUTED_VALUE"""),"뼈해장국")</f>
        <v>뼈해장국</v>
      </c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9" t="s">
        <v>1198</v>
      </c>
      <c r="B257" s="20" t="s">
        <v>1199</v>
      </c>
      <c r="C257" s="19" t="s">
        <v>1200</v>
      </c>
      <c r="D257" s="19">
        <v>5.0</v>
      </c>
      <c r="E257" s="19" t="s">
        <v>1201</v>
      </c>
      <c r="F257" s="19">
        <v>4.0</v>
      </c>
      <c r="G257" s="21">
        <v>45931.99375</v>
      </c>
      <c r="H257" s="19" t="s">
        <v>379</v>
      </c>
      <c r="I257" s="22" t="s">
        <v>719</v>
      </c>
      <c r="J257" s="25" t="str">
        <f>IFERROR(__xludf.DUMMYFUNCTION("ARRAYFORMULA(REGEXEXTRACT(SPLIT(C257, ""&lt;br&gt;""), ""([가-힣A-Za-z]+)""))"),"한메")</f>
        <v>한메</v>
      </c>
      <c r="K257" s="24" t="str">
        <f>IFERROR(__xludf.DUMMYFUNCTION("""COMPUTED_VALUE"""),"신형만")</f>
        <v>신형만</v>
      </c>
      <c r="L257" s="24" t="str">
        <f>IFERROR(__xludf.DUMMYFUNCTION("""COMPUTED_VALUE"""),"짱구")</f>
        <v>짱구</v>
      </c>
      <c r="M257" s="24" t="str">
        <f>IFERROR(__xludf.DUMMYFUNCTION("""COMPUTED_VALUE"""),"규식")</f>
        <v>규식</v>
      </c>
      <c r="N257" s="26" t="str">
        <f>IFERROR(__xludf.DUMMYFUNCTION("ARRAYFORMULA(REGEXEXTRACT(SPLIT(E257, ""&lt;br&gt;""), ""([가-힣A-Za-z]+)""))"),"재우")</f>
        <v>재우</v>
      </c>
      <c r="O257" s="26" t="str">
        <f>IFERROR(__xludf.DUMMYFUNCTION("""COMPUTED_VALUE"""),"필찌")</f>
        <v>필찌</v>
      </c>
      <c r="P257" s="24" t="str">
        <f>IFERROR(__xludf.DUMMYFUNCTION("""COMPUTED_VALUE"""),"뼈해장국")</f>
        <v>뼈해장국</v>
      </c>
      <c r="Q257" s="24" t="str">
        <f>IFERROR(__xludf.DUMMYFUNCTION("""COMPUTED_VALUE"""),"깡패")</f>
        <v>깡패</v>
      </c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9" t="s">
        <v>1202</v>
      </c>
      <c r="B258" s="20" t="s">
        <v>1203</v>
      </c>
      <c r="C258" s="19" t="s">
        <v>1204</v>
      </c>
      <c r="D258" s="19">
        <v>5.0</v>
      </c>
      <c r="E258" s="19" t="s">
        <v>1205</v>
      </c>
      <c r="F258" s="19">
        <v>4.0</v>
      </c>
      <c r="G258" s="21">
        <v>45931.94861111111</v>
      </c>
      <c r="H258" s="19" t="s">
        <v>379</v>
      </c>
      <c r="I258" s="22" t="s">
        <v>1206</v>
      </c>
      <c r="J258" s="25" t="str">
        <f>IFERROR(__xludf.DUMMYFUNCTION("ARRAYFORMULA(REGEXEXTRACT(SPLIT(C258, ""&lt;br&gt;""), ""([가-힣A-Za-z]+)""))"),"오딘")</f>
        <v>오딘</v>
      </c>
      <c r="K258" s="26" t="str">
        <f>IFERROR(__xludf.DUMMYFUNCTION("""COMPUTED_VALUE"""),"테리")</f>
        <v>테리</v>
      </c>
      <c r="L258" s="26" t="str">
        <f>IFERROR(__xludf.DUMMYFUNCTION("""COMPUTED_VALUE"""),"찹쌀")</f>
        <v>찹쌀</v>
      </c>
      <c r="M258" s="26" t="str">
        <f>IFERROR(__xludf.DUMMYFUNCTION("""COMPUTED_VALUE"""),"깡패")</f>
        <v>깡패</v>
      </c>
      <c r="N258" s="26" t="str">
        <f>IFERROR(__xludf.DUMMYFUNCTION("ARRAYFORMULA(REGEXEXTRACT(SPLIT(E258, ""&lt;br&gt;""), ""([가-힣A-Za-z]+)""))"),"한메")</f>
        <v>한메</v>
      </c>
      <c r="O258" s="26" t="str">
        <f>IFERROR(__xludf.DUMMYFUNCTION("""COMPUTED_VALUE"""),"노인")</f>
        <v>노인</v>
      </c>
      <c r="P258" s="26" t="str">
        <f>IFERROR(__xludf.DUMMYFUNCTION("""COMPUTED_VALUE"""),"필찌")</f>
        <v>필찌</v>
      </c>
      <c r="Q258" s="26" t="str">
        <f>IFERROR(__xludf.DUMMYFUNCTION("""COMPUTED_VALUE"""),"신형만")</f>
        <v>신형만</v>
      </c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9" t="s">
        <v>1207</v>
      </c>
      <c r="B259" s="20" t="s">
        <v>1208</v>
      </c>
      <c r="C259" s="19" t="s">
        <v>1209</v>
      </c>
      <c r="D259" s="19">
        <v>5.0</v>
      </c>
      <c r="E259" s="19" t="s">
        <v>1210</v>
      </c>
      <c r="F259" s="19">
        <v>4.0</v>
      </c>
      <c r="G259" s="21">
        <v>45931.919444444444</v>
      </c>
      <c r="H259" s="19" t="s">
        <v>379</v>
      </c>
      <c r="I259" s="22" t="s">
        <v>1206</v>
      </c>
      <c r="J259" s="25" t="str">
        <f>IFERROR(__xludf.DUMMYFUNCTION("ARRAYFORMULA(REGEXEXTRACT(SPLIT(C259, ""&lt;br&gt;""), ""([가-힣A-Za-z]+)""))"),"테리")</f>
        <v>테리</v>
      </c>
      <c r="K259" s="26" t="str">
        <f>IFERROR(__xludf.DUMMYFUNCTION("""COMPUTED_VALUE"""),"신형만")</f>
        <v>신형만</v>
      </c>
      <c r="L259" s="26" t="str">
        <f>IFERROR(__xludf.DUMMYFUNCTION("""COMPUTED_VALUE"""),"노인")</f>
        <v>노인</v>
      </c>
      <c r="M259" s="26" t="str">
        <f>IFERROR(__xludf.DUMMYFUNCTION("""COMPUTED_VALUE"""),"찹쌀")</f>
        <v>찹쌀</v>
      </c>
      <c r="N259" s="26" t="str">
        <f>IFERROR(__xludf.DUMMYFUNCTION("ARRAYFORMULA(REGEXEXTRACT(SPLIT(E259, ""&lt;br&gt;""), ""([가-힣A-Za-z]+)""))"),"깡패")</f>
        <v>깡패</v>
      </c>
      <c r="O259" s="26" t="str">
        <f>IFERROR(__xludf.DUMMYFUNCTION("""COMPUTED_VALUE"""),"필찌")</f>
        <v>필찌</v>
      </c>
      <c r="P259" s="26" t="str">
        <f>IFERROR(__xludf.DUMMYFUNCTION("""COMPUTED_VALUE"""),"한메")</f>
        <v>한메</v>
      </c>
      <c r="Q259" s="26" t="str">
        <f>IFERROR(__xludf.DUMMYFUNCTION("""COMPUTED_VALUE"""),"오딘")</f>
        <v>오딘</v>
      </c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9" t="s">
        <v>1211</v>
      </c>
      <c r="B260" s="20" t="s">
        <v>1212</v>
      </c>
      <c r="C260" s="19" t="s">
        <v>1213</v>
      </c>
      <c r="D260" s="19">
        <v>5.0</v>
      </c>
      <c r="E260" s="19" t="s">
        <v>1214</v>
      </c>
      <c r="F260" s="19">
        <v>4.0</v>
      </c>
      <c r="G260" s="21">
        <v>45931.88611111111</v>
      </c>
      <c r="H260" s="19" t="s">
        <v>379</v>
      </c>
      <c r="I260" s="22" t="s">
        <v>1206</v>
      </c>
      <c r="J260" s="25" t="str">
        <f>IFERROR(__xludf.DUMMYFUNCTION("ARRAYFORMULA(REGEXEXTRACT(SPLIT(C260, ""&lt;br&gt;""), ""([가-힣A-Za-z]+)""))"),"필찌")</f>
        <v>필찌</v>
      </c>
      <c r="K260" s="26" t="str">
        <f>IFERROR(__xludf.DUMMYFUNCTION("""COMPUTED_VALUE"""),"테리")</f>
        <v>테리</v>
      </c>
      <c r="L260" s="26" t="str">
        <f>IFERROR(__xludf.DUMMYFUNCTION("""COMPUTED_VALUE"""),"찹쌀")</f>
        <v>찹쌀</v>
      </c>
      <c r="M260" s="26" t="str">
        <f>IFERROR(__xludf.DUMMYFUNCTION("""COMPUTED_VALUE"""),"깡패")</f>
        <v>깡패</v>
      </c>
      <c r="N260" s="26" t="str">
        <f>IFERROR(__xludf.DUMMYFUNCTION("ARRAYFORMULA(REGEXEXTRACT(SPLIT(E260, ""&lt;br&gt;""), ""([가-힣A-Za-z]+)""))"),"신형만")</f>
        <v>신형만</v>
      </c>
      <c r="O260" s="26" t="str">
        <f>IFERROR(__xludf.DUMMYFUNCTION("""COMPUTED_VALUE"""),"노인")</f>
        <v>노인</v>
      </c>
      <c r="P260" s="26" t="str">
        <f>IFERROR(__xludf.DUMMYFUNCTION("""COMPUTED_VALUE"""),"오딘")</f>
        <v>오딘</v>
      </c>
      <c r="Q260" s="26" t="str">
        <f>IFERROR(__xludf.DUMMYFUNCTION("""COMPUTED_VALUE"""),"한메")</f>
        <v>한메</v>
      </c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9" t="s">
        <v>1215</v>
      </c>
      <c r="B261" s="20" t="s">
        <v>1216</v>
      </c>
      <c r="C261" s="19" t="s">
        <v>1217</v>
      </c>
      <c r="D261" s="19">
        <v>5.0</v>
      </c>
      <c r="E261" s="19" t="s">
        <v>1218</v>
      </c>
      <c r="F261" s="19">
        <v>4.0</v>
      </c>
      <c r="G261" s="21">
        <v>45931.02847222222</v>
      </c>
      <c r="H261" s="19" t="s">
        <v>379</v>
      </c>
      <c r="I261" s="22" t="s">
        <v>1219</v>
      </c>
      <c r="J261" s="25" t="str">
        <f>IFERROR(__xludf.DUMMYFUNCTION("ARRAYFORMULA(REGEXEXTRACT(SPLIT(C261, ""&lt;br&gt;""), ""([가-힣A-Za-z]+)""))"),"솔")</f>
        <v>솔</v>
      </c>
      <c r="K261" s="26" t="str">
        <f>IFERROR(__xludf.DUMMYFUNCTION("""COMPUTED_VALUE"""),"규식")</f>
        <v>규식</v>
      </c>
      <c r="L261" s="26" t="str">
        <f>IFERROR(__xludf.DUMMYFUNCTION("""COMPUTED_VALUE"""),"한메")</f>
        <v>한메</v>
      </c>
      <c r="M261" s="26" t="str">
        <f>IFERROR(__xludf.DUMMYFUNCTION("""COMPUTED_VALUE"""),"깡패")</f>
        <v>깡패</v>
      </c>
      <c r="N261" s="26" t="str">
        <f>IFERROR(__xludf.DUMMYFUNCTION("ARRAYFORMULA(REGEXEXTRACT(SPLIT(E261, ""&lt;br&gt;""), ""([가-힣A-Za-z]+)""))"),"테리")</f>
        <v>테리</v>
      </c>
      <c r="O261" s="26" t="str">
        <f>IFERROR(__xludf.DUMMYFUNCTION("""COMPUTED_VALUE"""),"새출발")</f>
        <v>새출발</v>
      </c>
      <c r="P261" s="26" t="str">
        <f>IFERROR(__xludf.DUMMYFUNCTION("""COMPUTED_VALUE"""),"필찌")</f>
        <v>필찌</v>
      </c>
      <c r="Q261" s="26" t="str">
        <f>IFERROR(__xludf.DUMMYFUNCTION("""COMPUTED_VALUE"""),"넘버")</f>
        <v>넘버</v>
      </c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9" t="s">
        <v>1220</v>
      </c>
      <c r="B262" s="20" t="s">
        <v>1221</v>
      </c>
      <c r="C262" s="19" t="s">
        <v>1222</v>
      </c>
      <c r="D262" s="19">
        <v>5.0</v>
      </c>
      <c r="E262" s="19" t="s">
        <v>1223</v>
      </c>
      <c r="F262" s="19">
        <v>4.0</v>
      </c>
      <c r="G262" s="21">
        <v>45930.99375</v>
      </c>
      <c r="H262" s="19" t="s">
        <v>379</v>
      </c>
      <c r="I262" s="22" t="s">
        <v>1219</v>
      </c>
      <c r="J262" s="25" t="str">
        <f>IFERROR(__xludf.DUMMYFUNCTION("ARRAYFORMULA(REGEXEXTRACT(SPLIT(C262, ""&lt;br&gt;""), ""([가-힣A-Za-z]+)""))"),"넘버")</f>
        <v>넘버</v>
      </c>
      <c r="K262" s="26" t="str">
        <f>IFERROR(__xludf.DUMMYFUNCTION("""COMPUTED_VALUE"""),"테리")</f>
        <v>테리</v>
      </c>
      <c r="L262" s="26" t="str">
        <f>IFERROR(__xludf.DUMMYFUNCTION("""COMPUTED_VALUE"""),"솔")</f>
        <v>솔</v>
      </c>
      <c r="M262" s="26" t="str">
        <f>IFERROR(__xludf.DUMMYFUNCTION("""COMPUTED_VALUE"""),"규식")</f>
        <v>규식</v>
      </c>
      <c r="N262" s="26" t="str">
        <f>IFERROR(__xludf.DUMMYFUNCTION("ARRAYFORMULA(REGEXEXTRACT(SPLIT(E262, ""&lt;br&gt;""), ""([가-힣A-Za-z]+)""))"),"필찌")</f>
        <v>필찌</v>
      </c>
      <c r="O262" s="26" t="str">
        <f>IFERROR(__xludf.DUMMYFUNCTION("""COMPUTED_VALUE"""),"깡패")</f>
        <v>깡패</v>
      </c>
      <c r="P262" s="26" t="str">
        <f>IFERROR(__xludf.DUMMYFUNCTION("""COMPUTED_VALUE"""),"새출발")</f>
        <v>새출발</v>
      </c>
      <c r="Q262" s="26" t="str">
        <f>IFERROR(__xludf.DUMMYFUNCTION("""COMPUTED_VALUE"""),"한메")</f>
        <v>한메</v>
      </c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9" t="s">
        <v>1224</v>
      </c>
      <c r="B263" s="20" t="s">
        <v>1225</v>
      </c>
      <c r="C263" s="19" t="s">
        <v>1226</v>
      </c>
      <c r="D263" s="19">
        <v>5.0</v>
      </c>
      <c r="E263" s="19" t="s">
        <v>1227</v>
      </c>
      <c r="F263" s="19">
        <v>0.0</v>
      </c>
      <c r="G263" s="21">
        <v>45930.944444444445</v>
      </c>
      <c r="H263" s="19" t="s">
        <v>379</v>
      </c>
      <c r="I263" s="22" t="s">
        <v>596</v>
      </c>
      <c r="J263" s="25" t="str">
        <f>IFERROR(__xludf.DUMMYFUNCTION("ARRAYFORMULA(REGEXEXTRACT(SPLIT(C263, ""&lt;br&gt;""), ""([가-힣A-Za-z]+)""))"),"필찌")</f>
        <v>필찌</v>
      </c>
      <c r="K263" s="26" t="str">
        <f>IFERROR(__xludf.DUMMYFUNCTION("""COMPUTED_VALUE"""),"규식")</f>
        <v>규식</v>
      </c>
      <c r="L263" s="26" t="str">
        <f>IFERROR(__xludf.DUMMYFUNCTION("""COMPUTED_VALUE"""),"테리")</f>
        <v>테리</v>
      </c>
      <c r="M263" s="26" t="str">
        <f>IFERROR(__xludf.DUMMYFUNCTION("""COMPUTED_VALUE"""),"신형만")</f>
        <v>신형만</v>
      </c>
      <c r="N263" s="26" t="str">
        <f>IFERROR(__xludf.DUMMYFUNCTION("ARRAYFORMULA(REGEXEXTRACT(SPLIT(E263, ""&lt;br&gt;""), ""([가-힣A-Za-z]+)""))"),"솔")</f>
        <v>솔</v>
      </c>
      <c r="O263" s="26" t="str">
        <f>IFERROR(__xludf.DUMMYFUNCTION("""COMPUTED_VALUE"""),"새출발")</f>
        <v>새출발</v>
      </c>
      <c r="P263" s="26" t="str">
        <f>IFERROR(__xludf.DUMMYFUNCTION("""COMPUTED_VALUE"""),"깡패")</f>
        <v>깡패</v>
      </c>
      <c r="Q263" s="26" t="str">
        <f>IFERROR(__xludf.DUMMYFUNCTION("""COMPUTED_VALUE"""),"한메")</f>
        <v>한메</v>
      </c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9" t="s">
        <v>1228</v>
      </c>
      <c r="B264" s="20" t="s">
        <v>1229</v>
      </c>
      <c r="C264" s="19" t="s">
        <v>1230</v>
      </c>
      <c r="D264" s="19">
        <v>5.0</v>
      </c>
      <c r="E264" s="19" t="s">
        <v>1231</v>
      </c>
      <c r="F264" s="19">
        <v>4.0</v>
      </c>
      <c r="G264" s="21">
        <v>45930.92916666667</v>
      </c>
      <c r="H264" s="19" t="s">
        <v>379</v>
      </c>
      <c r="I264" s="22" t="s">
        <v>1112</v>
      </c>
      <c r="J264" s="25" t="str">
        <f>IFERROR(__xludf.DUMMYFUNCTION("ARRAYFORMULA(REGEXEXTRACT(SPLIT(C264, ""&lt;br&gt;""), ""([가-힣A-Za-z]+)""))"),"민우")</f>
        <v>민우</v>
      </c>
      <c r="K264" s="26" t="str">
        <f>IFERROR(__xludf.DUMMYFUNCTION("""COMPUTED_VALUE"""),"신형만")</f>
        <v>신형만</v>
      </c>
      <c r="L264" s="26" t="str">
        <f>IFERROR(__xludf.DUMMYFUNCTION("""COMPUTED_VALUE"""),"새출발")</f>
        <v>새출발</v>
      </c>
      <c r="M264" s="26" t="str">
        <f>IFERROR(__xludf.DUMMYFUNCTION("""COMPUTED_VALUE"""),"솔")</f>
        <v>솔</v>
      </c>
      <c r="N264" s="26" t="str">
        <f>IFERROR(__xludf.DUMMYFUNCTION("ARRAYFORMULA(REGEXEXTRACT(SPLIT(E264, ""&lt;br&gt;""), ""([가-힣A-Za-z]+)""))"),"테리")</f>
        <v>테리</v>
      </c>
      <c r="O264" s="26" t="str">
        <f>IFERROR(__xludf.DUMMYFUNCTION("""COMPUTED_VALUE"""),"필찌")</f>
        <v>필찌</v>
      </c>
      <c r="P264" s="26" t="str">
        <f>IFERROR(__xludf.DUMMYFUNCTION("""COMPUTED_VALUE"""),"한메")</f>
        <v>한메</v>
      </c>
      <c r="Q264" s="26" t="str">
        <f>IFERROR(__xludf.DUMMYFUNCTION("""COMPUTED_VALUE"""),"기재")</f>
        <v>기재</v>
      </c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9" t="s">
        <v>1232</v>
      </c>
      <c r="B265" s="20" t="s">
        <v>1233</v>
      </c>
      <c r="C265" s="19" t="s">
        <v>1234</v>
      </c>
      <c r="D265" s="19">
        <v>5.0</v>
      </c>
      <c r="E265" s="19" t="s">
        <v>1235</v>
      </c>
      <c r="F265" s="19">
        <v>1.0</v>
      </c>
      <c r="G265" s="21">
        <v>45930.89375</v>
      </c>
      <c r="H265" s="19" t="s">
        <v>379</v>
      </c>
      <c r="I265" s="22" t="s">
        <v>1236</v>
      </c>
      <c r="J265" s="25" t="str">
        <f>IFERROR(__xludf.DUMMYFUNCTION("ARRAYFORMULA(REGEXEXTRACT(SPLIT(C265, ""&lt;br&gt;""), ""([가-힣A-Za-z]+)""))"),"한메")</f>
        <v>한메</v>
      </c>
      <c r="K265" s="26" t="str">
        <f>IFERROR(__xludf.DUMMYFUNCTION("""COMPUTED_VALUE"""),"테리")</f>
        <v>테리</v>
      </c>
      <c r="L265" s="26" t="str">
        <f>IFERROR(__xludf.DUMMYFUNCTION("""COMPUTED_VALUE"""),"솔")</f>
        <v>솔</v>
      </c>
      <c r="M265" s="26" t="str">
        <f>IFERROR(__xludf.DUMMYFUNCTION("""COMPUTED_VALUE"""),"민우")</f>
        <v>민우</v>
      </c>
      <c r="N265" s="26" t="str">
        <f>IFERROR(__xludf.DUMMYFUNCTION("ARRAYFORMULA(REGEXEXTRACT(SPLIT(E265, ""&lt;br&gt;""), ""([가-힣A-Za-z]+)""))"),"새출발")</f>
        <v>새출발</v>
      </c>
      <c r="O265" s="26" t="str">
        <f>IFERROR(__xludf.DUMMYFUNCTION("""COMPUTED_VALUE"""),"넘버")</f>
        <v>넘버</v>
      </c>
      <c r="P265" s="26" t="str">
        <f>IFERROR(__xludf.DUMMYFUNCTION("""COMPUTED_VALUE"""),"기재")</f>
        <v>기재</v>
      </c>
      <c r="Q265" s="26" t="str">
        <f>IFERROR(__xludf.DUMMYFUNCTION("""COMPUTED_VALUE"""),"신형만")</f>
        <v>신형만</v>
      </c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9" t="s">
        <v>1237</v>
      </c>
      <c r="B266" s="20" t="s">
        <v>1238</v>
      </c>
      <c r="C266" s="19" t="s">
        <v>1239</v>
      </c>
      <c r="D266" s="19">
        <v>5.0</v>
      </c>
      <c r="E266" s="19" t="s">
        <v>1240</v>
      </c>
      <c r="F266" s="19">
        <v>1.0</v>
      </c>
      <c r="G266" s="21">
        <v>45930.875</v>
      </c>
      <c r="H266" s="19" t="s">
        <v>379</v>
      </c>
      <c r="I266" s="22" t="s">
        <v>1236</v>
      </c>
      <c r="J266" s="25" t="str">
        <f>IFERROR(__xludf.DUMMYFUNCTION("ARRAYFORMULA(REGEXEXTRACT(SPLIT(C266, ""&lt;br&gt;""), ""([가-힣A-Za-z]+)""))"),"기재")</f>
        <v>기재</v>
      </c>
      <c r="K266" s="26" t="str">
        <f>IFERROR(__xludf.DUMMYFUNCTION("""COMPUTED_VALUE"""),"테리")</f>
        <v>테리</v>
      </c>
      <c r="L266" s="26" t="str">
        <f>IFERROR(__xludf.DUMMYFUNCTION("""COMPUTED_VALUE"""),"신형만")</f>
        <v>신형만</v>
      </c>
      <c r="M266" s="26" t="str">
        <f>IFERROR(__xludf.DUMMYFUNCTION("""COMPUTED_VALUE"""),"규식")</f>
        <v>규식</v>
      </c>
      <c r="N266" s="26" t="str">
        <f>IFERROR(__xludf.DUMMYFUNCTION("ARRAYFORMULA(REGEXEXTRACT(SPLIT(E266, ""&lt;br&gt;""), ""([가-힣A-Za-z]+)""))"),"새출발")</f>
        <v>새출발</v>
      </c>
      <c r="O266" s="26" t="str">
        <f>IFERROR(__xludf.DUMMYFUNCTION("""COMPUTED_VALUE"""),"넘버")</f>
        <v>넘버</v>
      </c>
      <c r="P266" s="26" t="str">
        <f>IFERROR(__xludf.DUMMYFUNCTION("""COMPUTED_VALUE"""),"솔")</f>
        <v>솔</v>
      </c>
      <c r="Q266" s="26" t="str">
        <f>IFERROR(__xludf.DUMMYFUNCTION("""COMPUTED_VALUE"""),"민우")</f>
        <v>민우</v>
      </c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9" t="s">
        <v>1241</v>
      </c>
      <c r="B267" s="20" t="s">
        <v>1242</v>
      </c>
      <c r="C267" s="19" t="s">
        <v>1243</v>
      </c>
      <c r="D267" s="19">
        <v>5.0</v>
      </c>
      <c r="E267" s="19" t="s">
        <v>1244</v>
      </c>
      <c r="F267" s="19">
        <v>1.0</v>
      </c>
      <c r="G267" s="21">
        <v>45930.85555555556</v>
      </c>
      <c r="H267" s="19" t="s">
        <v>379</v>
      </c>
      <c r="I267" s="22" t="s">
        <v>1236</v>
      </c>
      <c r="J267" s="25" t="str">
        <f>IFERROR(__xludf.DUMMYFUNCTION("ARRAYFORMULA(REGEXEXTRACT(SPLIT(C267, ""&lt;br&gt;""), ""([가-힣A-Za-z]+)""))"),"민우")</f>
        <v>민우</v>
      </c>
      <c r="K267" s="26" t="str">
        <f>IFERROR(__xludf.DUMMYFUNCTION("""COMPUTED_VALUE"""),"규식")</f>
        <v>규식</v>
      </c>
      <c r="L267" s="26" t="str">
        <f>IFERROR(__xludf.DUMMYFUNCTION("""COMPUTED_VALUE"""),"넘버")</f>
        <v>넘버</v>
      </c>
      <c r="M267" s="26" t="str">
        <f>IFERROR(__xludf.DUMMYFUNCTION("""COMPUTED_VALUE"""),"신형만")</f>
        <v>신형만</v>
      </c>
      <c r="N267" s="26" t="str">
        <f>IFERROR(__xludf.DUMMYFUNCTION("ARRAYFORMULA(REGEXEXTRACT(SPLIT(E267, ""&lt;br&gt;""), ""([가-힣A-Za-z]+)""))"),"솔")</f>
        <v>솔</v>
      </c>
      <c r="O267" s="26" t="str">
        <f>IFERROR(__xludf.DUMMYFUNCTION("""COMPUTED_VALUE"""),"새출발")</f>
        <v>새출발</v>
      </c>
      <c r="P267" s="26" t="str">
        <f>IFERROR(__xludf.DUMMYFUNCTION("""COMPUTED_VALUE"""),"테리")</f>
        <v>테리</v>
      </c>
      <c r="Q267" s="26" t="str">
        <f>IFERROR(__xludf.DUMMYFUNCTION("""COMPUTED_VALUE"""),"기재")</f>
        <v>기재</v>
      </c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9" t="s">
        <v>1245</v>
      </c>
      <c r="B268" s="20" t="s">
        <v>1246</v>
      </c>
      <c r="C268" s="19" t="s">
        <v>1247</v>
      </c>
      <c r="D268" s="19">
        <v>5.0</v>
      </c>
      <c r="E268" s="19" t="s">
        <v>1248</v>
      </c>
      <c r="F268" s="19">
        <v>2.0</v>
      </c>
      <c r="G268" s="21">
        <v>45930.04652777778</v>
      </c>
      <c r="H268" s="19" t="s">
        <v>379</v>
      </c>
      <c r="I268" s="22" t="s">
        <v>492</v>
      </c>
      <c r="J268" s="25" t="str">
        <f>IFERROR(__xludf.DUMMYFUNCTION("ARRAYFORMULA(REGEXEXTRACT(SPLIT(C268, ""&lt;br&gt;""), ""([가-힣A-Za-z]+)""))"),"깡패")</f>
        <v>깡패</v>
      </c>
      <c r="K268" s="26" t="str">
        <f>IFERROR(__xludf.DUMMYFUNCTION("""COMPUTED_VALUE"""),"넘버")</f>
        <v>넘버</v>
      </c>
      <c r="L268" s="26" t="str">
        <f>IFERROR(__xludf.DUMMYFUNCTION("""COMPUTED_VALUE"""),"유즈")</f>
        <v>유즈</v>
      </c>
      <c r="M268" s="26" t="str">
        <f>IFERROR(__xludf.DUMMYFUNCTION("""COMPUTED_VALUE"""),"신형만")</f>
        <v>신형만</v>
      </c>
      <c r="N268" s="26" t="str">
        <f>IFERROR(__xludf.DUMMYFUNCTION("ARRAYFORMULA(REGEXEXTRACT(SPLIT(E268, ""&lt;br&gt;""), ""([가-힣A-Za-z]+)""))"),"테리")</f>
        <v>테리</v>
      </c>
      <c r="O268" s="26" t="str">
        <f>IFERROR(__xludf.DUMMYFUNCTION("""COMPUTED_VALUE"""),"노픽업")</f>
        <v>노픽업</v>
      </c>
      <c r="P268" s="26" t="str">
        <f>IFERROR(__xludf.DUMMYFUNCTION("""COMPUTED_VALUE"""),"ACDC")</f>
        <v>ACDC</v>
      </c>
      <c r="Q268" s="26" t="str">
        <f>IFERROR(__xludf.DUMMYFUNCTION("""COMPUTED_VALUE"""),"한메")</f>
        <v>한메</v>
      </c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9" t="s">
        <v>1249</v>
      </c>
      <c r="B269" s="20" t="s">
        <v>1250</v>
      </c>
      <c r="C269" s="19" t="s">
        <v>1251</v>
      </c>
      <c r="D269" s="19">
        <v>5.0</v>
      </c>
      <c r="E269" s="19" t="s">
        <v>1252</v>
      </c>
      <c r="F269" s="19">
        <v>2.0</v>
      </c>
      <c r="G269" s="21">
        <v>45930.01944444444</v>
      </c>
      <c r="H269" s="19" t="s">
        <v>379</v>
      </c>
      <c r="I269" s="22" t="s">
        <v>492</v>
      </c>
      <c r="J269" s="25" t="str">
        <f>IFERROR(__xludf.DUMMYFUNCTION("ARRAYFORMULA(REGEXEXTRACT(SPLIT(C269, ""&lt;br&gt;""), ""([가-힣A-Za-z]+)""))"),"신형만")</f>
        <v>신형만</v>
      </c>
      <c r="K269" s="26" t="str">
        <f>IFERROR(__xludf.DUMMYFUNCTION("""COMPUTED_VALUE"""),"테리")</f>
        <v>테리</v>
      </c>
      <c r="L269" s="26" t="str">
        <f>IFERROR(__xludf.DUMMYFUNCTION("""COMPUTED_VALUE"""),"깡패")</f>
        <v>깡패</v>
      </c>
      <c r="M269" s="26" t="str">
        <f>IFERROR(__xludf.DUMMYFUNCTION("""COMPUTED_VALUE"""),"기재")</f>
        <v>기재</v>
      </c>
      <c r="N269" s="26" t="str">
        <f>IFERROR(__xludf.DUMMYFUNCTION("ARRAYFORMULA(REGEXEXTRACT(SPLIT(E269, ""&lt;br&gt;""), ""([가-힣A-Za-z]+)""))"),"ACDC")</f>
        <v>ACDC</v>
      </c>
      <c r="O269" s="26" t="str">
        <f>IFERROR(__xludf.DUMMYFUNCTION("""COMPUTED_VALUE"""),"유즈")</f>
        <v>유즈</v>
      </c>
      <c r="P269" s="26" t="str">
        <f>IFERROR(__xludf.DUMMYFUNCTION("""COMPUTED_VALUE"""),"한메")</f>
        <v>한메</v>
      </c>
      <c r="Q269" s="26" t="str">
        <f>IFERROR(__xludf.DUMMYFUNCTION("""COMPUTED_VALUE"""),"넘버")</f>
        <v>넘버</v>
      </c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9" t="s">
        <v>1253</v>
      </c>
      <c r="B270" s="20" t="s">
        <v>1254</v>
      </c>
      <c r="C270" s="19" t="s">
        <v>1255</v>
      </c>
      <c r="D270" s="19">
        <v>5.0</v>
      </c>
      <c r="E270" s="19" t="s">
        <v>1256</v>
      </c>
      <c r="F270" s="19">
        <v>4.0</v>
      </c>
      <c r="G270" s="21">
        <v>45929.99097222222</v>
      </c>
      <c r="H270" s="19" t="s">
        <v>379</v>
      </c>
      <c r="I270" s="22" t="s">
        <v>341</v>
      </c>
      <c r="J270" s="25" t="str">
        <f>IFERROR(__xludf.DUMMYFUNCTION("ARRAYFORMULA(REGEXEXTRACT(SPLIT(C270, ""&lt;br&gt;""), ""([가-힣A-Za-z]+)""))"),"유즈")</f>
        <v>유즈</v>
      </c>
      <c r="K270" s="26" t="str">
        <f>IFERROR(__xludf.DUMMYFUNCTION("""COMPUTED_VALUE"""),"신형만")</f>
        <v>신형만</v>
      </c>
      <c r="L270" s="26" t="str">
        <f>IFERROR(__xludf.DUMMYFUNCTION("""COMPUTED_VALUE"""),"기재")</f>
        <v>기재</v>
      </c>
      <c r="M270" s="26" t="str">
        <f>IFERROR(__xludf.DUMMYFUNCTION("""COMPUTED_VALUE"""),"한메")</f>
        <v>한메</v>
      </c>
      <c r="N270" s="26" t="str">
        <f>IFERROR(__xludf.DUMMYFUNCTION("ARRAYFORMULA(REGEXEXTRACT(SPLIT(E270, ""&lt;br&gt;""), ""([가-힣A-Za-z]+)""))"),"테리")</f>
        <v>테리</v>
      </c>
      <c r="O270" s="26" t="str">
        <f>IFERROR(__xludf.DUMMYFUNCTION("""COMPUTED_VALUE"""),"필찌")</f>
        <v>필찌</v>
      </c>
      <c r="P270" s="26" t="str">
        <f>IFERROR(__xludf.DUMMYFUNCTION("""COMPUTED_VALUE"""),"ACDC")</f>
        <v>ACDC</v>
      </c>
      <c r="Q270" s="26" t="str">
        <f>IFERROR(__xludf.DUMMYFUNCTION("""COMPUTED_VALUE"""),"깡패")</f>
        <v>깡패</v>
      </c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9" t="s">
        <v>1257</v>
      </c>
      <c r="B271" s="20" t="s">
        <v>1258</v>
      </c>
      <c r="C271" s="19" t="s">
        <v>1259</v>
      </c>
      <c r="D271" s="19">
        <v>5.0</v>
      </c>
      <c r="E271" s="19" t="s">
        <v>1260</v>
      </c>
      <c r="F271" s="19">
        <v>3.0</v>
      </c>
      <c r="G271" s="21">
        <v>45929.95347222222</v>
      </c>
      <c r="H271" s="19" t="s">
        <v>379</v>
      </c>
      <c r="I271" s="22" t="s">
        <v>1206</v>
      </c>
      <c r="J271" s="25" t="str">
        <f>IFERROR(__xludf.DUMMYFUNCTION("ARRAYFORMULA(REGEXEXTRACT(SPLIT(C271, ""&lt;br&gt;""), ""([가-힣A-Za-z]+)""))"),"ACDC")</f>
        <v>ACDC</v>
      </c>
      <c r="K271" s="26" t="str">
        <f>IFERROR(__xludf.DUMMYFUNCTION("""COMPUTED_VALUE"""),"깡패")</f>
        <v>깡패</v>
      </c>
      <c r="L271" s="26" t="str">
        <f>IFERROR(__xludf.DUMMYFUNCTION("""COMPUTED_VALUE"""),"규식")</f>
        <v>규식</v>
      </c>
      <c r="M271" s="26" t="str">
        <f>IFERROR(__xludf.DUMMYFUNCTION("""COMPUTED_VALUE"""),"기재")</f>
        <v>기재</v>
      </c>
      <c r="N271" s="26" t="str">
        <f>IFERROR(__xludf.DUMMYFUNCTION("ARRAYFORMULA(REGEXEXTRACT(SPLIT(E271, ""&lt;br&gt;""), ""([가-힣A-Za-z]+)""))"),"한메")</f>
        <v>한메</v>
      </c>
      <c r="O271" s="26" t="str">
        <f>IFERROR(__xludf.DUMMYFUNCTION("""COMPUTED_VALUE"""),"오딘")</f>
        <v>오딘</v>
      </c>
      <c r="P271" s="26" t="str">
        <f>IFERROR(__xludf.DUMMYFUNCTION("""COMPUTED_VALUE"""),"필찌")</f>
        <v>필찌</v>
      </c>
      <c r="Q271" s="26" t="str">
        <f>IFERROR(__xludf.DUMMYFUNCTION("""COMPUTED_VALUE"""),"신형만")</f>
        <v>신형만</v>
      </c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9" t="s">
        <v>1261</v>
      </c>
      <c r="B272" s="20" t="s">
        <v>1262</v>
      </c>
      <c r="C272" s="19" t="s">
        <v>1263</v>
      </c>
      <c r="D272" s="19">
        <v>5.0</v>
      </c>
      <c r="E272" s="19" t="s">
        <v>1264</v>
      </c>
      <c r="F272" s="19">
        <v>1.0</v>
      </c>
      <c r="G272" s="21">
        <v>45929.92291666667</v>
      </c>
      <c r="H272" s="19" t="s">
        <v>379</v>
      </c>
      <c r="I272" s="22" t="s">
        <v>1206</v>
      </c>
      <c r="J272" s="25" t="str">
        <f>IFERROR(__xludf.DUMMYFUNCTION("ARRAYFORMULA(REGEXEXTRACT(SPLIT(C272, ""&lt;br&gt;""), ""([가-힣A-Za-z]+)""))"),"오딘")</f>
        <v>오딘</v>
      </c>
      <c r="K272" s="26" t="str">
        <f>IFERROR(__xludf.DUMMYFUNCTION("""COMPUTED_VALUE"""),"필찌")</f>
        <v>필찌</v>
      </c>
      <c r="L272" s="26" t="str">
        <f>IFERROR(__xludf.DUMMYFUNCTION("""COMPUTED_VALUE"""),"깡패")</f>
        <v>깡패</v>
      </c>
      <c r="M272" s="26" t="str">
        <f>IFERROR(__xludf.DUMMYFUNCTION("""COMPUTED_VALUE"""),"규식")</f>
        <v>규식</v>
      </c>
      <c r="N272" s="26" t="str">
        <f>IFERROR(__xludf.DUMMYFUNCTION("ARRAYFORMULA(REGEXEXTRACT(SPLIT(E272, ""&lt;br&gt;""), ""([가-힣A-Za-z]+)""))"),"기재")</f>
        <v>기재</v>
      </c>
      <c r="O272" s="26" t="str">
        <f>IFERROR(__xludf.DUMMYFUNCTION("""COMPUTED_VALUE"""),"ACDC")</f>
        <v>ACDC</v>
      </c>
      <c r="P272" s="26" t="str">
        <f>IFERROR(__xludf.DUMMYFUNCTION("""COMPUTED_VALUE"""),"신형만")</f>
        <v>신형만</v>
      </c>
      <c r="Q272" s="26" t="str">
        <f>IFERROR(__xludf.DUMMYFUNCTION("""COMPUTED_VALUE"""),"한메")</f>
        <v>한메</v>
      </c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9" t="s">
        <v>1265</v>
      </c>
      <c r="B273" s="20" t="s">
        <v>1266</v>
      </c>
      <c r="C273" s="19" t="s">
        <v>1267</v>
      </c>
      <c r="D273" s="19">
        <v>5.0</v>
      </c>
      <c r="E273" s="19" t="s">
        <v>1268</v>
      </c>
      <c r="F273" s="19">
        <v>0.0</v>
      </c>
      <c r="G273" s="21">
        <v>45929.9</v>
      </c>
      <c r="H273" s="19" t="s">
        <v>379</v>
      </c>
      <c r="I273" s="22" t="s">
        <v>1206</v>
      </c>
      <c r="J273" s="25" t="str">
        <f>IFERROR(__xludf.DUMMYFUNCTION("ARRAYFORMULA(REGEXEXTRACT(SPLIT(C273, ""&lt;br&gt;""), ""([가-힣A-Za-z]+)""))"),"한메")</f>
        <v>한메</v>
      </c>
      <c r="K273" s="26" t="str">
        <f>IFERROR(__xludf.DUMMYFUNCTION("""COMPUTED_VALUE"""),"규식")</f>
        <v>규식</v>
      </c>
      <c r="L273" s="26" t="str">
        <f>IFERROR(__xludf.DUMMYFUNCTION("""COMPUTED_VALUE"""),"테리")</f>
        <v>테리</v>
      </c>
      <c r="M273" s="26" t="str">
        <f>IFERROR(__xludf.DUMMYFUNCTION("""COMPUTED_VALUE"""),"오딘")</f>
        <v>오딘</v>
      </c>
      <c r="N273" s="26" t="str">
        <f>IFERROR(__xludf.DUMMYFUNCTION("ARRAYFORMULA(REGEXEXTRACT(SPLIT(E273, ""&lt;br&gt;""), ""([가-힣A-Za-z]+)""))"),"필찌")</f>
        <v>필찌</v>
      </c>
      <c r="O273" s="26" t="str">
        <f>IFERROR(__xludf.DUMMYFUNCTION("""COMPUTED_VALUE"""),"신형만")</f>
        <v>신형만</v>
      </c>
      <c r="P273" s="26" t="str">
        <f>IFERROR(__xludf.DUMMYFUNCTION("""COMPUTED_VALUE"""),"ACDC")</f>
        <v>ACDC</v>
      </c>
      <c r="Q273" s="26" t="str">
        <f>IFERROR(__xludf.DUMMYFUNCTION("""COMPUTED_VALUE"""),"깡패")</f>
        <v>깡패</v>
      </c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9" t="s">
        <v>1269</v>
      </c>
      <c r="B274" s="20" t="s">
        <v>1270</v>
      </c>
      <c r="C274" s="19" t="s">
        <v>1271</v>
      </c>
      <c r="D274" s="19">
        <v>5.0</v>
      </c>
      <c r="E274" s="19" t="s">
        <v>1272</v>
      </c>
      <c r="F274" s="19">
        <v>1.0</v>
      </c>
      <c r="G274" s="21">
        <v>45929.88611111111</v>
      </c>
      <c r="H274" s="19" t="s">
        <v>379</v>
      </c>
      <c r="I274" s="22" t="s">
        <v>1273</v>
      </c>
      <c r="J274" s="25" t="str">
        <f>IFERROR(__xludf.DUMMYFUNCTION("ARRAYFORMULA(REGEXEXTRACT(SPLIT(C274, ""&lt;br&gt;""), ""([가-힣A-Za-z]+)""))"),"ACDC")</f>
        <v>ACDC</v>
      </c>
      <c r="K274" s="26" t="str">
        <f>IFERROR(__xludf.DUMMYFUNCTION("""COMPUTED_VALUE"""),"테리")</f>
        <v>테리</v>
      </c>
      <c r="L274" s="26" t="str">
        <f>IFERROR(__xludf.DUMMYFUNCTION("""COMPUTED_VALUE"""),"신형만")</f>
        <v>신형만</v>
      </c>
      <c r="M274" s="26" t="str">
        <f>IFERROR(__xludf.DUMMYFUNCTION("""COMPUTED_VALUE"""),"넘버")</f>
        <v>넘버</v>
      </c>
      <c r="N274" s="26" t="str">
        <f>IFERROR(__xludf.DUMMYFUNCTION("ARRAYFORMULA(REGEXEXTRACT(SPLIT(E274, ""&lt;br&gt;""), ""([가-힣A-Za-z]+)""))"),"깡패")</f>
        <v>깡패</v>
      </c>
      <c r="O274" s="26" t="str">
        <f>IFERROR(__xludf.DUMMYFUNCTION("""COMPUTED_VALUE"""),"필찌")</f>
        <v>필찌</v>
      </c>
      <c r="P274" s="26" t="str">
        <f>IFERROR(__xludf.DUMMYFUNCTION("""COMPUTED_VALUE"""),"오딘")</f>
        <v>오딘</v>
      </c>
      <c r="Q274" s="26" t="str">
        <f>IFERROR(__xludf.DUMMYFUNCTION("""COMPUTED_VALUE"""),"규식")</f>
        <v>규식</v>
      </c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9" t="s">
        <v>1274</v>
      </c>
      <c r="B275" s="20" t="s">
        <v>1275</v>
      </c>
      <c r="C275" s="19" t="s">
        <v>1276</v>
      </c>
      <c r="D275" s="19">
        <v>5.0</v>
      </c>
      <c r="E275" s="19" t="s">
        <v>1277</v>
      </c>
      <c r="F275" s="19">
        <v>0.0</v>
      </c>
      <c r="G275" s="21">
        <v>45929.86736111111</v>
      </c>
      <c r="H275" s="19" t="s">
        <v>379</v>
      </c>
      <c r="I275" s="22" t="s">
        <v>1273</v>
      </c>
      <c r="J275" s="25" t="str">
        <f>IFERROR(__xludf.DUMMYFUNCTION("ARRAYFORMULA(REGEXEXTRACT(SPLIT(C275, ""&lt;br&gt;""), ""([가-힣A-Za-z]+)""))"),"넘버")</f>
        <v>넘버</v>
      </c>
      <c r="K275" s="26" t="str">
        <f>IFERROR(__xludf.DUMMYFUNCTION("""COMPUTED_VALUE"""),"신형만")</f>
        <v>신형만</v>
      </c>
      <c r="L275" s="26" t="str">
        <f>IFERROR(__xludf.DUMMYFUNCTION("""COMPUTED_VALUE"""),"필찌")</f>
        <v>필찌</v>
      </c>
      <c r="M275" s="26" t="str">
        <f>IFERROR(__xludf.DUMMYFUNCTION("""COMPUTED_VALUE"""),"깡패")</f>
        <v>깡패</v>
      </c>
      <c r="N275" s="26" t="str">
        <f>IFERROR(__xludf.DUMMYFUNCTION("ARRAYFORMULA(REGEXEXTRACT(SPLIT(E275, ""&lt;br&gt;""), ""([가-힣A-Za-z]+)""))"),"테리")</f>
        <v>테리</v>
      </c>
      <c r="O275" s="26" t="str">
        <f>IFERROR(__xludf.DUMMYFUNCTION("""COMPUTED_VALUE"""),"ACDC")</f>
        <v>ACDC</v>
      </c>
      <c r="P275" s="26" t="str">
        <f>IFERROR(__xludf.DUMMYFUNCTION("""COMPUTED_VALUE"""),"규식")</f>
        <v>규식</v>
      </c>
      <c r="Q275" s="26" t="str">
        <f>IFERROR(__xludf.DUMMYFUNCTION("""COMPUTED_VALUE"""),"오딘")</f>
        <v>오딘</v>
      </c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9" t="s">
        <v>1278</v>
      </c>
      <c r="B276" s="20" t="s">
        <v>1279</v>
      </c>
      <c r="C276" s="19" t="s">
        <v>1280</v>
      </c>
      <c r="D276" s="19">
        <v>5.0</v>
      </c>
      <c r="E276" s="19" t="s">
        <v>1281</v>
      </c>
      <c r="F276" s="19">
        <v>2.0</v>
      </c>
      <c r="G276" s="21">
        <v>45929.85625</v>
      </c>
      <c r="H276" s="19" t="s">
        <v>379</v>
      </c>
      <c r="I276" s="22" t="s">
        <v>1273</v>
      </c>
      <c r="J276" s="25" t="str">
        <f>IFERROR(__xludf.DUMMYFUNCTION("ARRAYFORMULA(REGEXEXTRACT(SPLIT(C276, ""&lt;br&gt;""), ""([가-힣A-Za-z]+)""))"),"오딘")</f>
        <v>오딘</v>
      </c>
      <c r="K276" s="26" t="str">
        <f>IFERROR(__xludf.DUMMYFUNCTION("""COMPUTED_VALUE"""),"필찌")</f>
        <v>필찌</v>
      </c>
      <c r="L276" s="26" t="str">
        <f>IFERROR(__xludf.DUMMYFUNCTION("""COMPUTED_VALUE"""),"테리")</f>
        <v>테리</v>
      </c>
      <c r="M276" s="26" t="str">
        <f>IFERROR(__xludf.DUMMYFUNCTION("""COMPUTED_VALUE"""),"넘버")</f>
        <v>넘버</v>
      </c>
      <c r="N276" s="26" t="str">
        <f>IFERROR(__xludf.DUMMYFUNCTION("ARRAYFORMULA(REGEXEXTRACT(SPLIT(E276, ""&lt;br&gt;""), ""([가-힣A-Za-z]+)""))"),"깡패")</f>
        <v>깡패</v>
      </c>
      <c r="O276" s="26" t="str">
        <f>IFERROR(__xludf.DUMMYFUNCTION("""COMPUTED_VALUE"""),"규식")</f>
        <v>규식</v>
      </c>
      <c r="P276" s="26" t="str">
        <f>IFERROR(__xludf.DUMMYFUNCTION("""COMPUTED_VALUE"""),"ACDC")</f>
        <v>ACDC</v>
      </c>
      <c r="Q276" s="26" t="str">
        <f>IFERROR(__xludf.DUMMYFUNCTION("""COMPUTED_VALUE"""),"신형만")</f>
        <v>신형만</v>
      </c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9" t="s">
        <v>1282</v>
      </c>
      <c r="B277" s="20" t="s">
        <v>1283</v>
      </c>
      <c r="C277" s="19" t="s">
        <v>1284</v>
      </c>
      <c r="D277" s="19">
        <v>5.0</v>
      </c>
      <c r="E277" s="19" t="s">
        <v>1285</v>
      </c>
      <c r="F277" s="19">
        <v>4.0</v>
      </c>
      <c r="G277" s="21">
        <v>45929.02222222222</v>
      </c>
      <c r="H277" s="19" t="s">
        <v>379</v>
      </c>
      <c r="I277" s="22" t="s">
        <v>1286</v>
      </c>
      <c r="J277" s="25" t="str">
        <f>IFERROR(__xludf.DUMMYFUNCTION("ARRAYFORMULA(REGEXEXTRACT(SPLIT(C277, ""&lt;br&gt;""), ""([가-힣A-Za-z]+)""))"),"넘버")</f>
        <v>넘버</v>
      </c>
      <c r="K277" s="26" t="str">
        <f>IFERROR(__xludf.DUMMYFUNCTION("""COMPUTED_VALUE"""),"솔")</f>
        <v>솔</v>
      </c>
      <c r="L277" s="26" t="str">
        <f>IFERROR(__xludf.DUMMYFUNCTION("""COMPUTED_VALUE"""),"규식")</f>
        <v>규식</v>
      </c>
      <c r="M277" s="26" t="str">
        <f>IFERROR(__xludf.DUMMYFUNCTION("""COMPUTED_VALUE"""),"신형만")</f>
        <v>신형만</v>
      </c>
      <c r="N277" s="26" t="str">
        <f>IFERROR(__xludf.DUMMYFUNCTION("ARRAYFORMULA(REGEXEXTRACT(SPLIT(E277, ""&lt;br&gt;""), ""([가-힣A-Za-z]+)""))"),"깡패")</f>
        <v>깡패</v>
      </c>
      <c r="O277" s="26" t="str">
        <f>IFERROR(__xludf.DUMMYFUNCTION("""COMPUTED_VALUE"""),"테리")</f>
        <v>테리</v>
      </c>
      <c r="P277" s="26" t="str">
        <f>IFERROR(__xludf.DUMMYFUNCTION("""COMPUTED_VALUE"""),"노인")</f>
        <v>노인</v>
      </c>
      <c r="Q277" s="26" t="str">
        <f>IFERROR(__xludf.DUMMYFUNCTION("""COMPUTED_VALUE"""),"한메")</f>
        <v>한메</v>
      </c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9" t="s">
        <v>1287</v>
      </c>
      <c r="B278" s="20" t="s">
        <v>1288</v>
      </c>
      <c r="C278" s="19" t="s">
        <v>1289</v>
      </c>
      <c r="D278" s="19">
        <v>5.0</v>
      </c>
      <c r="E278" s="19" t="s">
        <v>1290</v>
      </c>
      <c r="F278" s="19">
        <v>3.0</v>
      </c>
      <c r="G278" s="21">
        <v>45928.98263888889</v>
      </c>
      <c r="H278" s="19" t="s">
        <v>379</v>
      </c>
      <c r="I278" s="22" t="s">
        <v>1286</v>
      </c>
      <c r="J278" s="25" t="str">
        <f>IFERROR(__xludf.DUMMYFUNCTION("ARRAYFORMULA(REGEXEXTRACT(SPLIT(C278, ""&lt;br&gt;""), ""([가-힣A-Za-z]+)""))"),"한메")</f>
        <v>한메</v>
      </c>
      <c r="K278" s="26" t="str">
        <f>IFERROR(__xludf.DUMMYFUNCTION("""COMPUTED_VALUE"""),"넘버")</f>
        <v>넘버</v>
      </c>
      <c r="L278" s="26" t="str">
        <f>IFERROR(__xludf.DUMMYFUNCTION("""COMPUTED_VALUE"""),"신형만")</f>
        <v>신형만</v>
      </c>
      <c r="M278" s="26" t="str">
        <f>IFERROR(__xludf.DUMMYFUNCTION("""COMPUTED_VALUE"""),"깡패")</f>
        <v>깡패</v>
      </c>
      <c r="N278" s="26" t="str">
        <f>IFERROR(__xludf.DUMMYFUNCTION("ARRAYFORMULA(REGEXEXTRACT(SPLIT(E278, ""&lt;br&gt;""), ""([가-힣A-Za-z]+)""))"),"솔")</f>
        <v>솔</v>
      </c>
      <c r="O278" s="26" t="str">
        <f>IFERROR(__xludf.DUMMYFUNCTION("""COMPUTED_VALUE"""),"노인")</f>
        <v>노인</v>
      </c>
      <c r="P278" s="26" t="str">
        <f>IFERROR(__xludf.DUMMYFUNCTION("""COMPUTED_VALUE"""),"테리")</f>
        <v>테리</v>
      </c>
      <c r="Q278" s="26" t="str">
        <f>IFERROR(__xludf.DUMMYFUNCTION("""COMPUTED_VALUE"""),"규식")</f>
        <v>규식</v>
      </c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9" t="s">
        <v>1291</v>
      </c>
      <c r="B279" s="20" t="s">
        <v>1292</v>
      </c>
      <c r="C279" s="19" t="s">
        <v>1293</v>
      </c>
      <c r="D279" s="19">
        <v>5.0</v>
      </c>
      <c r="E279" s="19" t="s">
        <v>1294</v>
      </c>
      <c r="F279" s="19">
        <v>4.0</v>
      </c>
      <c r="G279" s="21">
        <v>45928.95694444444</v>
      </c>
      <c r="H279" s="19" t="s">
        <v>379</v>
      </c>
      <c r="I279" s="22" t="s">
        <v>596</v>
      </c>
      <c r="J279" s="25" t="str">
        <f>IFERROR(__xludf.DUMMYFUNCTION("ARRAYFORMULA(REGEXEXTRACT(SPLIT(C279, ""&lt;br&gt;""), ""([가-힣A-Za-z]+)""))"),"ACDC")</f>
        <v>ACDC</v>
      </c>
      <c r="K279" s="26" t="str">
        <f>IFERROR(__xludf.DUMMYFUNCTION("""COMPUTED_VALUE"""),"깡패")</f>
        <v>깡패</v>
      </c>
      <c r="L279" s="26" t="str">
        <f>IFERROR(__xludf.DUMMYFUNCTION("""COMPUTED_VALUE"""),"규식")</f>
        <v>규식</v>
      </c>
      <c r="M279" s="26" t="str">
        <f>IFERROR(__xludf.DUMMYFUNCTION("""COMPUTED_VALUE"""),"솔")</f>
        <v>솔</v>
      </c>
      <c r="N279" s="26" t="str">
        <f>IFERROR(__xludf.DUMMYFUNCTION("ARRAYFORMULA(REGEXEXTRACT(SPLIT(E279, ""&lt;br&gt;""), ""([가-힣A-Za-z]+)""))"),"노인")</f>
        <v>노인</v>
      </c>
      <c r="O279" s="26" t="str">
        <f>IFERROR(__xludf.DUMMYFUNCTION("""COMPUTED_VALUE"""),"테리")</f>
        <v>테리</v>
      </c>
      <c r="P279" s="26" t="str">
        <f>IFERROR(__xludf.DUMMYFUNCTION("""COMPUTED_VALUE"""),"한메")</f>
        <v>한메</v>
      </c>
      <c r="Q279" s="26" t="str">
        <f>IFERROR(__xludf.DUMMYFUNCTION("""COMPUTED_VALUE"""),"신형만")</f>
        <v>신형만</v>
      </c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9" t="s">
        <v>1295</v>
      </c>
      <c r="B280" s="20" t="s">
        <v>1296</v>
      </c>
      <c r="C280" s="19" t="s">
        <v>1297</v>
      </c>
      <c r="D280" s="19">
        <v>5.0</v>
      </c>
      <c r="E280" s="19" t="s">
        <v>1298</v>
      </c>
      <c r="F280" s="19">
        <v>4.0</v>
      </c>
      <c r="G280" s="21">
        <v>45928.90625</v>
      </c>
      <c r="H280" s="19" t="s">
        <v>379</v>
      </c>
      <c r="I280" s="22" t="s">
        <v>1299</v>
      </c>
      <c r="J280" s="25" t="str">
        <f>IFERROR(__xludf.DUMMYFUNCTION("ARRAYFORMULA(REGEXEXTRACT(SPLIT(C280, ""&lt;br&gt;""), ""([가-힣A-Za-z]+)""))"),"오딘")</f>
        <v>오딘</v>
      </c>
      <c r="K280" s="26" t="str">
        <f>IFERROR(__xludf.DUMMYFUNCTION("""COMPUTED_VALUE"""),"깡패")</f>
        <v>깡패</v>
      </c>
      <c r="L280" s="26" t="str">
        <f>IFERROR(__xludf.DUMMYFUNCTION("""COMPUTED_VALUE"""),"규식")</f>
        <v>규식</v>
      </c>
      <c r="M280" s="26" t="str">
        <f>IFERROR(__xludf.DUMMYFUNCTION("""COMPUTED_VALUE"""),"신형만")</f>
        <v>신형만</v>
      </c>
      <c r="N280" s="26" t="str">
        <f>IFERROR(__xludf.DUMMYFUNCTION("ARRAYFORMULA(REGEXEXTRACT(SPLIT(E280, ""&lt;br&gt;""), ""([가-힣A-Za-z]+)""))"),"한메")</f>
        <v>한메</v>
      </c>
      <c r="O280" s="26" t="str">
        <f>IFERROR(__xludf.DUMMYFUNCTION("""COMPUTED_VALUE"""),"테리")</f>
        <v>테리</v>
      </c>
      <c r="P280" s="26" t="str">
        <f>IFERROR(__xludf.DUMMYFUNCTION("""COMPUTED_VALUE"""),"ACDC")</f>
        <v>ACDC</v>
      </c>
      <c r="Q280" s="26" t="str">
        <f>IFERROR(__xludf.DUMMYFUNCTION("""COMPUTED_VALUE"""),"솔")</f>
        <v>솔</v>
      </c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9" t="s">
        <v>1300</v>
      </c>
      <c r="B281" s="20" t="s">
        <v>1301</v>
      </c>
      <c r="C281" s="19" t="s">
        <v>1302</v>
      </c>
      <c r="D281" s="19">
        <v>5.0</v>
      </c>
      <c r="E281" s="19" t="s">
        <v>1303</v>
      </c>
      <c r="F281" s="19">
        <v>3.0</v>
      </c>
      <c r="G281" s="21">
        <v>45928.86319444444</v>
      </c>
      <c r="H281" s="19" t="s">
        <v>379</v>
      </c>
      <c r="I281" s="22" t="s">
        <v>1304</v>
      </c>
      <c r="J281" s="25" t="str">
        <f>IFERROR(__xludf.DUMMYFUNCTION("ARRAYFORMULA(REGEXEXTRACT(SPLIT(C281, ""&lt;br&gt;""), ""([가-힣A-Za-z]+)""))"),"깡패")</f>
        <v>깡패</v>
      </c>
      <c r="K281" s="26" t="str">
        <f>IFERROR(__xludf.DUMMYFUNCTION("""COMPUTED_VALUE"""),"솔")</f>
        <v>솔</v>
      </c>
      <c r="L281" s="26" t="str">
        <f>IFERROR(__xludf.DUMMYFUNCTION("""COMPUTED_VALUE"""),"넘버")</f>
        <v>넘버</v>
      </c>
      <c r="M281" s="26" t="str">
        <f>IFERROR(__xludf.DUMMYFUNCTION("""COMPUTED_VALUE"""),"오딘")</f>
        <v>오딘</v>
      </c>
      <c r="N281" s="26" t="str">
        <f>IFERROR(__xludf.DUMMYFUNCTION("ARRAYFORMULA(REGEXEXTRACT(SPLIT(E281, ""&lt;br&gt;""), ""([가-힣A-Za-z]+)""))"),"노인")</f>
        <v>노인</v>
      </c>
      <c r="O281" s="26" t="str">
        <f>IFERROR(__xludf.DUMMYFUNCTION("""COMPUTED_VALUE"""),"ACDC")</f>
        <v>ACDC</v>
      </c>
      <c r="P281" s="26" t="str">
        <f>IFERROR(__xludf.DUMMYFUNCTION("""COMPUTED_VALUE"""),"신형만")</f>
        <v>신형만</v>
      </c>
      <c r="Q281" s="26" t="str">
        <f>IFERROR(__xludf.DUMMYFUNCTION("""COMPUTED_VALUE"""),"한메")</f>
        <v>한메</v>
      </c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9" t="s">
        <v>1305</v>
      </c>
      <c r="B282" s="20" t="s">
        <v>1306</v>
      </c>
      <c r="C282" s="19" t="s">
        <v>1307</v>
      </c>
      <c r="D282" s="19">
        <v>5.0</v>
      </c>
      <c r="E282" s="19" t="s">
        <v>1308</v>
      </c>
      <c r="F282" s="19">
        <v>4.0</v>
      </c>
      <c r="G282" s="21">
        <v>45928.83541666667</v>
      </c>
      <c r="H282" s="19" t="s">
        <v>379</v>
      </c>
      <c r="I282" s="22" t="s">
        <v>1309</v>
      </c>
      <c r="J282" s="25" t="str">
        <f>IFERROR(__xludf.DUMMYFUNCTION("ARRAYFORMULA(REGEXEXTRACT(SPLIT(C282, ""&lt;br&gt;""), ""([가-힣A-Za-z]+)""))"),"오딘")</f>
        <v>오딘</v>
      </c>
      <c r="K282" s="26" t="str">
        <f>IFERROR(__xludf.DUMMYFUNCTION("""COMPUTED_VALUE"""),"테리")</f>
        <v>테리</v>
      </c>
      <c r="L282" s="26" t="str">
        <f>IFERROR(__xludf.DUMMYFUNCTION("""COMPUTED_VALUE"""),"규식")</f>
        <v>규식</v>
      </c>
      <c r="M282" s="26" t="str">
        <f>IFERROR(__xludf.DUMMYFUNCTION("""COMPUTED_VALUE"""),"깡패")</f>
        <v>깡패</v>
      </c>
      <c r="N282" s="26" t="str">
        <f>IFERROR(__xludf.DUMMYFUNCTION("ARRAYFORMULA(REGEXEXTRACT(SPLIT(E282, ""&lt;br&gt;""), ""([가-힣A-Za-z]+)""))"),"넘버")</f>
        <v>넘버</v>
      </c>
      <c r="O282" s="26" t="str">
        <f>IFERROR(__xludf.DUMMYFUNCTION("""COMPUTED_VALUE"""),"노인")</f>
        <v>노인</v>
      </c>
      <c r="P282" s="26" t="str">
        <f>IFERROR(__xludf.DUMMYFUNCTION("""COMPUTED_VALUE"""),"ACDC")</f>
        <v>ACDC</v>
      </c>
      <c r="Q282" s="26" t="str">
        <f>IFERROR(__xludf.DUMMYFUNCTION("""COMPUTED_VALUE"""),"솔")</f>
        <v>솔</v>
      </c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9" t="s">
        <v>1310</v>
      </c>
      <c r="B283" s="20" t="s">
        <v>1311</v>
      </c>
      <c r="C283" s="19" t="s">
        <v>1312</v>
      </c>
      <c r="D283" s="19">
        <v>5.0</v>
      </c>
      <c r="E283" s="19" t="s">
        <v>1313</v>
      </c>
      <c r="F283" s="19">
        <v>1.0</v>
      </c>
      <c r="G283" s="21">
        <v>45928.63333333333</v>
      </c>
      <c r="H283" s="19" t="s">
        <v>379</v>
      </c>
      <c r="I283" s="22" t="s">
        <v>1314</v>
      </c>
      <c r="J283" s="25" t="str">
        <f>IFERROR(__xludf.DUMMYFUNCTION("ARRAYFORMULA(REGEXEXTRACT(SPLIT(C283, ""&lt;br&gt;""), ""([가-힣A-Za-z]+)""))"),"노인")</f>
        <v>노인</v>
      </c>
      <c r="K283" s="26" t="str">
        <f>IFERROR(__xludf.DUMMYFUNCTION("""COMPUTED_VALUE"""),"ACDC")</f>
        <v>ACDC</v>
      </c>
      <c r="L283" s="26" t="str">
        <f>IFERROR(__xludf.DUMMYFUNCTION("""COMPUTED_VALUE"""),"넘버")</f>
        <v>넘버</v>
      </c>
      <c r="M283" s="26" t="str">
        <f>IFERROR(__xludf.DUMMYFUNCTION("""COMPUTED_VALUE"""),"원")</f>
        <v>원</v>
      </c>
      <c r="N283" s="26" t="str">
        <f>IFERROR(__xludf.DUMMYFUNCTION("ARRAYFORMULA(REGEXEXTRACT(SPLIT(E283, ""&lt;br&gt;""), ""([가-힣A-Za-z]+)""))"),"오딘")</f>
        <v>오딘</v>
      </c>
      <c r="O283" s="26" t="str">
        <f>IFERROR(__xludf.DUMMYFUNCTION("""COMPUTED_VALUE"""),"노픽업")</f>
        <v>노픽업</v>
      </c>
      <c r="P283" s="26" t="str">
        <f>IFERROR(__xludf.DUMMYFUNCTION("""COMPUTED_VALUE"""),"규식")</f>
        <v>규식</v>
      </c>
      <c r="Q283" s="26" t="str">
        <f>IFERROR(__xludf.DUMMYFUNCTION("""COMPUTED_VALUE"""),"신형만")</f>
        <v>신형만</v>
      </c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9" t="s">
        <v>1315</v>
      </c>
      <c r="B284" s="20" t="s">
        <v>1316</v>
      </c>
      <c r="C284" s="19" t="s">
        <v>1317</v>
      </c>
      <c r="D284" s="19">
        <v>5.0</v>
      </c>
      <c r="E284" s="19" t="s">
        <v>1318</v>
      </c>
      <c r="F284" s="19">
        <v>2.0</v>
      </c>
      <c r="G284" s="21">
        <v>45928.61388888889</v>
      </c>
      <c r="H284" s="19" t="s">
        <v>379</v>
      </c>
      <c r="I284" s="22" t="s">
        <v>1314</v>
      </c>
      <c r="J284" s="25" t="str">
        <f>IFERROR(__xludf.DUMMYFUNCTION("ARRAYFORMULA(REGEXEXTRACT(SPLIT(C284, ""&lt;br&gt;""), ""([가-힣A-Za-z]+)""))"),"넘버")</f>
        <v>넘버</v>
      </c>
      <c r="K284" s="26" t="str">
        <f>IFERROR(__xludf.DUMMYFUNCTION("""COMPUTED_VALUE"""),"테리")</f>
        <v>테리</v>
      </c>
      <c r="L284" s="26" t="str">
        <f>IFERROR(__xludf.DUMMYFUNCTION("""COMPUTED_VALUE"""),"노픽업")</f>
        <v>노픽업</v>
      </c>
      <c r="M284" s="26" t="str">
        <f>IFERROR(__xludf.DUMMYFUNCTION("""COMPUTED_VALUE"""),"규식")</f>
        <v>규식</v>
      </c>
      <c r="N284" s="26" t="str">
        <f>IFERROR(__xludf.DUMMYFUNCTION("ARRAYFORMULA(REGEXEXTRACT(SPLIT(E284, ""&lt;br&gt;""), ""([가-힣A-Za-z]+)""))"),"오딘")</f>
        <v>오딘</v>
      </c>
      <c r="O284" s="26" t="str">
        <f>IFERROR(__xludf.DUMMYFUNCTION("""COMPUTED_VALUE"""),"원")</f>
        <v>원</v>
      </c>
      <c r="P284" s="26" t="str">
        <f>IFERROR(__xludf.DUMMYFUNCTION("""COMPUTED_VALUE"""),"노인")</f>
        <v>노인</v>
      </c>
      <c r="Q284" s="26" t="str">
        <f>IFERROR(__xludf.DUMMYFUNCTION("""COMPUTED_VALUE"""),"신형만")</f>
        <v>신형만</v>
      </c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9" t="s">
        <v>1319</v>
      </c>
      <c r="B285" s="20" t="s">
        <v>1320</v>
      </c>
      <c r="C285" s="19" t="s">
        <v>1321</v>
      </c>
      <c r="D285" s="19">
        <v>5.0</v>
      </c>
      <c r="E285" s="19" t="s">
        <v>1322</v>
      </c>
      <c r="F285" s="19">
        <v>1.0</v>
      </c>
      <c r="G285" s="21">
        <v>45927.72777777778</v>
      </c>
      <c r="H285" s="19" t="s">
        <v>379</v>
      </c>
      <c r="I285" s="22" t="s">
        <v>1323</v>
      </c>
      <c r="J285" s="25" t="str">
        <f>IFERROR(__xludf.DUMMYFUNCTION("ARRAYFORMULA(REGEXEXTRACT(SPLIT(C285, ""&lt;br&gt;""), ""([가-힣A-Za-z]+)""))"),"원")</f>
        <v>원</v>
      </c>
      <c r="K285" s="26" t="str">
        <f>IFERROR(__xludf.DUMMYFUNCTION("""COMPUTED_VALUE"""),"노인")</f>
        <v>노인</v>
      </c>
      <c r="L285" s="26" t="str">
        <f>IFERROR(__xludf.DUMMYFUNCTION("""COMPUTED_VALUE"""),"미등록")</f>
        <v>미등록</v>
      </c>
      <c r="M285" s="26" t="str">
        <f>IFERROR(__xludf.DUMMYFUNCTION("""COMPUTED_VALUE"""),"기재")</f>
        <v>기재</v>
      </c>
      <c r="N285" s="26" t="str">
        <f>IFERROR(__xludf.DUMMYFUNCTION("ARRAYFORMULA(REGEXEXTRACT(SPLIT(E285, ""&lt;br&gt;""), ""([가-힣A-Za-z]+)""))"),"찹쌀")</f>
        <v>찹쌀</v>
      </c>
      <c r="O285" s="26" t="str">
        <f>IFERROR(__xludf.DUMMYFUNCTION("""COMPUTED_VALUE"""),"유즈")</f>
        <v>유즈</v>
      </c>
      <c r="P285" s="26" t="str">
        <f>IFERROR(__xludf.DUMMYFUNCTION("""COMPUTED_VALUE"""),"규식")</f>
        <v>규식</v>
      </c>
      <c r="Q285" s="26" t="str">
        <f>IFERROR(__xludf.DUMMYFUNCTION("""COMPUTED_VALUE"""),"신형만")</f>
        <v>신형만</v>
      </c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9" t="s">
        <v>1324</v>
      </c>
      <c r="B286" s="20" t="s">
        <v>1325</v>
      </c>
      <c r="C286" s="19" t="s">
        <v>1326</v>
      </c>
      <c r="D286" s="19">
        <v>5.0</v>
      </c>
      <c r="E286" s="19" t="s">
        <v>1327</v>
      </c>
      <c r="F286" s="19">
        <v>1.0</v>
      </c>
      <c r="G286" s="21">
        <v>45927.70972222222</v>
      </c>
      <c r="H286" s="19" t="s">
        <v>379</v>
      </c>
      <c r="I286" s="22" t="s">
        <v>1323</v>
      </c>
      <c r="J286" s="25" t="str">
        <f>IFERROR(__xludf.DUMMYFUNCTION("ARRAYFORMULA(REGEXEXTRACT(SPLIT(C286, ""&lt;br&gt;""), ""([가-힣A-Za-z]+)""))"),"기재")</f>
        <v>기재</v>
      </c>
      <c r="K286" s="26" t="str">
        <f>IFERROR(__xludf.DUMMYFUNCTION("""COMPUTED_VALUE"""),"신형만")</f>
        <v>신형만</v>
      </c>
      <c r="L286" s="26" t="str">
        <f>IFERROR(__xludf.DUMMYFUNCTION("""COMPUTED_VALUE"""),"노인")</f>
        <v>노인</v>
      </c>
      <c r="M286" s="26" t="str">
        <f>IFERROR(__xludf.DUMMYFUNCTION("""COMPUTED_VALUE"""),"규식")</f>
        <v>규식</v>
      </c>
      <c r="N286" s="26" t="str">
        <f>IFERROR(__xludf.DUMMYFUNCTION("ARRAYFORMULA(REGEXEXTRACT(SPLIT(E286, ""&lt;br&gt;""), ""([가-힣A-Za-z]+)""))"),"유즈")</f>
        <v>유즈</v>
      </c>
      <c r="O286" s="26" t="str">
        <f>IFERROR(__xludf.DUMMYFUNCTION("""COMPUTED_VALUE"""),"미등록")</f>
        <v>미등록</v>
      </c>
      <c r="P286" s="26" t="str">
        <f>IFERROR(__xludf.DUMMYFUNCTION("""COMPUTED_VALUE"""),"찹쌀")</f>
        <v>찹쌀</v>
      </c>
      <c r="Q286" s="26" t="str">
        <f>IFERROR(__xludf.DUMMYFUNCTION("""COMPUTED_VALUE"""),"원")</f>
        <v>원</v>
      </c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9" t="s">
        <v>1328</v>
      </c>
      <c r="B287" s="20" t="s">
        <v>1329</v>
      </c>
      <c r="C287" s="19" t="s">
        <v>1330</v>
      </c>
      <c r="D287" s="19">
        <v>5.0</v>
      </c>
      <c r="E287" s="19" t="s">
        <v>1331</v>
      </c>
      <c r="F287" s="19">
        <v>2.0</v>
      </c>
      <c r="G287" s="21">
        <v>45927.69513888889</v>
      </c>
      <c r="H287" s="19" t="s">
        <v>379</v>
      </c>
      <c r="I287" s="22" t="s">
        <v>1323</v>
      </c>
      <c r="J287" s="25" t="str">
        <f>IFERROR(__xludf.DUMMYFUNCTION("ARRAYFORMULA(REGEXEXTRACT(SPLIT(C287, ""&lt;br&gt;""), ""([가-힣A-Za-z]+)""))"),"원")</f>
        <v>원</v>
      </c>
      <c r="K287" s="26" t="str">
        <f>IFERROR(__xludf.DUMMYFUNCTION("""COMPUTED_VALUE"""),"노인")</f>
        <v>노인</v>
      </c>
      <c r="L287" s="26" t="str">
        <f>IFERROR(__xludf.DUMMYFUNCTION("""COMPUTED_VALUE"""),"유즈")</f>
        <v>유즈</v>
      </c>
      <c r="M287" s="26" t="str">
        <f>IFERROR(__xludf.DUMMYFUNCTION("""COMPUTED_VALUE"""),"기재")</f>
        <v>기재</v>
      </c>
      <c r="N287" s="26" t="str">
        <f>IFERROR(__xludf.DUMMYFUNCTION("ARRAYFORMULA(REGEXEXTRACT(SPLIT(E287, ""&lt;br&gt;""), ""([가-힣A-Za-z]+)""))"),"미등록")</f>
        <v>미등록</v>
      </c>
      <c r="O287" s="26" t="str">
        <f>IFERROR(__xludf.DUMMYFUNCTION("""COMPUTED_VALUE"""),"규식")</f>
        <v>규식</v>
      </c>
      <c r="P287" s="26" t="str">
        <f>IFERROR(__xludf.DUMMYFUNCTION("""COMPUTED_VALUE"""),"신형만")</f>
        <v>신형만</v>
      </c>
      <c r="Q287" s="26" t="str">
        <f>IFERROR(__xludf.DUMMYFUNCTION("""COMPUTED_VALUE"""),"찹쌀")</f>
        <v>찹쌀</v>
      </c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9" t="s">
        <v>1332</v>
      </c>
      <c r="B288" s="20" t="s">
        <v>1333</v>
      </c>
      <c r="C288" s="19" t="s">
        <v>1334</v>
      </c>
      <c r="D288" s="19">
        <v>5.0</v>
      </c>
      <c r="E288" s="19" t="s">
        <v>1335</v>
      </c>
      <c r="F288" s="19">
        <v>4.0</v>
      </c>
      <c r="G288" s="21">
        <v>45927.675</v>
      </c>
      <c r="H288" s="19" t="s">
        <v>379</v>
      </c>
      <c r="I288" s="22" t="s">
        <v>1323</v>
      </c>
      <c r="J288" s="25" t="str">
        <f>IFERROR(__xludf.DUMMYFUNCTION("ARRAYFORMULA(REGEXEXTRACT(SPLIT(C288, ""&lt;br&gt;""), ""([가-힣A-Za-z]+)""))"),"노인")</f>
        <v>노인</v>
      </c>
      <c r="K288" s="26" t="str">
        <f>IFERROR(__xludf.DUMMYFUNCTION("""COMPUTED_VALUE"""),"유즈")</f>
        <v>유즈</v>
      </c>
      <c r="L288" s="26" t="str">
        <f>IFERROR(__xludf.DUMMYFUNCTION("""COMPUTED_VALUE"""),"규식")</f>
        <v>규식</v>
      </c>
      <c r="M288" s="26" t="str">
        <f>IFERROR(__xludf.DUMMYFUNCTION("""COMPUTED_VALUE"""),"신형만")</f>
        <v>신형만</v>
      </c>
      <c r="N288" s="26" t="str">
        <f>IFERROR(__xludf.DUMMYFUNCTION("ARRAYFORMULA(REGEXEXTRACT(SPLIT(E288, ""&lt;br&gt;""), ""([가-힣A-Za-z]+)""))"),"기재")</f>
        <v>기재</v>
      </c>
      <c r="O288" s="26" t="str">
        <f>IFERROR(__xludf.DUMMYFUNCTION("""COMPUTED_VALUE"""),"미등록")</f>
        <v>미등록</v>
      </c>
      <c r="P288" s="26" t="str">
        <f>IFERROR(__xludf.DUMMYFUNCTION("""COMPUTED_VALUE"""),"찹쌀")</f>
        <v>찹쌀</v>
      </c>
      <c r="Q288" s="26" t="str">
        <f>IFERROR(__xludf.DUMMYFUNCTION("""COMPUTED_VALUE"""),"원")</f>
        <v>원</v>
      </c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9" t="s">
        <v>1336</v>
      </c>
      <c r="B289" s="20" t="s">
        <v>1337</v>
      </c>
      <c r="C289" s="19" t="s">
        <v>1338</v>
      </c>
      <c r="D289" s="19">
        <v>5.0</v>
      </c>
      <c r="E289" s="19" t="s">
        <v>1339</v>
      </c>
      <c r="F289" s="19">
        <v>0.0</v>
      </c>
      <c r="G289" s="21">
        <v>45927.64861111111</v>
      </c>
      <c r="H289" s="19" t="s">
        <v>379</v>
      </c>
      <c r="I289" s="22" t="s">
        <v>1323</v>
      </c>
      <c r="J289" s="25" t="str">
        <f>IFERROR(__xludf.DUMMYFUNCTION("ARRAYFORMULA(REGEXEXTRACT(SPLIT(C289, ""&lt;br&gt;""), ""([가-힣A-Za-z]+)""))"),"유즈")</f>
        <v>유즈</v>
      </c>
      <c r="K289" s="26" t="str">
        <f>IFERROR(__xludf.DUMMYFUNCTION("""COMPUTED_VALUE"""),"규식")</f>
        <v>규식</v>
      </c>
      <c r="L289" s="26" t="str">
        <f>IFERROR(__xludf.DUMMYFUNCTION("""COMPUTED_VALUE"""),"원")</f>
        <v>원</v>
      </c>
      <c r="M289" s="26" t="str">
        <f>IFERROR(__xludf.DUMMYFUNCTION("""COMPUTED_VALUE"""),"기재")</f>
        <v>기재</v>
      </c>
      <c r="N289" s="26" t="str">
        <f>IFERROR(__xludf.DUMMYFUNCTION("ARRAYFORMULA(REGEXEXTRACT(SPLIT(E289, ""&lt;br&gt;""), ""([가-힣A-Za-z]+)""))"),"미등록")</f>
        <v>미등록</v>
      </c>
      <c r="O289" s="26" t="str">
        <f>IFERROR(__xludf.DUMMYFUNCTION("""COMPUTED_VALUE"""),"노인")</f>
        <v>노인</v>
      </c>
      <c r="P289" s="26" t="str">
        <f>IFERROR(__xludf.DUMMYFUNCTION("""COMPUTED_VALUE"""),"신형만")</f>
        <v>신형만</v>
      </c>
      <c r="Q289" s="26" t="str">
        <f>IFERROR(__xludf.DUMMYFUNCTION("""COMPUTED_VALUE"""),"찹쌀")</f>
        <v>찹쌀</v>
      </c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9" t="s">
        <v>1340</v>
      </c>
      <c r="B290" s="20" t="s">
        <v>1341</v>
      </c>
      <c r="C290" s="19" t="s">
        <v>1342</v>
      </c>
      <c r="D290" s="19">
        <v>5.0</v>
      </c>
      <c r="E290" s="19" t="s">
        <v>1343</v>
      </c>
      <c r="F290" s="19">
        <v>3.0</v>
      </c>
      <c r="G290" s="21">
        <v>45927.625</v>
      </c>
      <c r="H290" s="19" t="s">
        <v>379</v>
      </c>
      <c r="I290" s="22" t="s">
        <v>1323</v>
      </c>
      <c r="J290" s="25" t="str">
        <f>IFERROR(__xludf.DUMMYFUNCTION("ARRAYFORMULA(REGEXEXTRACT(SPLIT(C290, ""&lt;br&gt;""), ""([가-힣A-Za-z]+)""))"),"찹쌀")</f>
        <v>찹쌀</v>
      </c>
      <c r="K290" s="26" t="str">
        <f>IFERROR(__xludf.DUMMYFUNCTION("""COMPUTED_VALUE"""),"원")</f>
        <v>원</v>
      </c>
      <c r="L290" s="26" t="str">
        <f>IFERROR(__xludf.DUMMYFUNCTION("""COMPUTED_VALUE"""),"유즈")</f>
        <v>유즈</v>
      </c>
      <c r="M290" s="26" t="str">
        <f>IFERROR(__xludf.DUMMYFUNCTION("""COMPUTED_VALUE"""),"신형만")</f>
        <v>신형만</v>
      </c>
      <c r="N290" s="26" t="str">
        <f>IFERROR(__xludf.DUMMYFUNCTION("ARRAYFORMULA(REGEXEXTRACT(SPLIT(E290, ""&lt;br&gt;""), ""([가-힣A-Za-z]+)""))"),"조네")</f>
        <v>조네</v>
      </c>
      <c r="O290" s="26" t="str">
        <f>IFERROR(__xludf.DUMMYFUNCTION("""COMPUTED_VALUE"""),"미등록")</f>
        <v>미등록</v>
      </c>
      <c r="P290" s="26" t="str">
        <f>IFERROR(__xludf.DUMMYFUNCTION("""COMPUTED_VALUE"""),"노인")</f>
        <v>노인</v>
      </c>
      <c r="Q290" s="26" t="str">
        <f>IFERROR(__xludf.DUMMYFUNCTION("""COMPUTED_VALUE"""),"규식")</f>
        <v>규식</v>
      </c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9" t="s">
        <v>1344</v>
      </c>
      <c r="B291" s="20" t="s">
        <v>1345</v>
      </c>
      <c r="C291" s="19" t="s">
        <v>1346</v>
      </c>
      <c r="D291" s="19">
        <v>5.0</v>
      </c>
      <c r="E291" s="19" t="s">
        <v>1347</v>
      </c>
      <c r="F291" s="19">
        <v>0.0</v>
      </c>
      <c r="G291" s="21">
        <v>45927.604166666664</v>
      </c>
      <c r="H291" s="19" t="s">
        <v>379</v>
      </c>
      <c r="I291" s="22" t="s">
        <v>1323</v>
      </c>
      <c r="J291" s="25" t="str">
        <f>IFERROR(__xludf.DUMMYFUNCTION("ARRAYFORMULA(REGEXEXTRACT(SPLIT(C291, ""&lt;br&gt;""), ""([가-힣A-Za-z]+)""))"),"노인")</f>
        <v>노인</v>
      </c>
      <c r="K291" s="26" t="str">
        <f>IFERROR(__xludf.DUMMYFUNCTION("""COMPUTED_VALUE"""),"유즈")</f>
        <v>유즈</v>
      </c>
      <c r="L291" s="26" t="str">
        <f>IFERROR(__xludf.DUMMYFUNCTION("""COMPUTED_VALUE"""),"규식")</f>
        <v>규식</v>
      </c>
      <c r="M291" s="26" t="str">
        <f>IFERROR(__xludf.DUMMYFUNCTION("""COMPUTED_VALUE"""),"원")</f>
        <v>원</v>
      </c>
      <c r="N291" s="26" t="str">
        <f>IFERROR(__xludf.DUMMYFUNCTION("ARRAYFORMULA(REGEXEXTRACT(SPLIT(E291, ""&lt;br&gt;""), ""([가-힣A-Za-z]+)""))"),"미등록")</f>
        <v>미등록</v>
      </c>
      <c r="O291" s="26" t="str">
        <f>IFERROR(__xludf.DUMMYFUNCTION("""COMPUTED_VALUE"""),"조네")</f>
        <v>조네</v>
      </c>
      <c r="P291" s="26" t="str">
        <f>IFERROR(__xludf.DUMMYFUNCTION("""COMPUTED_VALUE"""),"신형만")</f>
        <v>신형만</v>
      </c>
      <c r="Q291" s="26" t="str">
        <f>IFERROR(__xludf.DUMMYFUNCTION("""COMPUTED_VALUE"""),"찹쌀")</f>
        <v>찹쌀</v>
      </c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9" t="s">
        <v>1348</v>
      </c>
      <c r="B292" s="20" t="s">
        <v>1349</v>
      </c>
      <c r="C292" s="19" t="s">
        <v>1350</v>
      </c>
      <c r="D292" s="19">
        <v>5.0</v>
      </c>
      <c r="E292" s="19" t="s">
        <v>1351</v>
      </c>
      <c r="F292" s="19">
        <v>3.0</v>
      </c>
      <c r="G292" s="21">
        <v>45926.725694444445</v>
      </c>
      <c r="H292" s="19" t="s">
        <v>1352</v>
      </c>
      <c r="I292" s="22" t="s">
        <v>1353</v>
      </c>
      <c r="J292" s="25" t="str">
        <f>IFERROR(__xludf.DUMMYFUNCTION("ARRAYFORMULA(REGEXEXTRACT(SPLIT(C292, ""&lt;br&gt;""), ""([가-힣A-Za-z]+)""))"),"참치")</f>
        <v>참치</v>
      </c>
      <c r="K292" s="26" t="str">
        <f>IFERROR(__xludf.DUMMYFUNCTION("""COMPUTED_VALUE"""),"ACDC")</f>
        <v>ACDC</v>
      </c>
      <c r="L292" s="26" t="str">
        <f>IFERROR(__xludf.DUMMYFUNCTION("""COMPUTED_VALUE"""),"테리")</f>
        <v>테리</v>
      </c>
      <c r="M292" s="26" t="str">
        <f>IFERROR(__xludf.DUMMYFUNCTION("""COMPUTED_VALUE"""),"신형만")</f>
        <v>신형만</v>
      </c>
      <c r="N292" s="26" t="str">
        <f>IFERROR(__xludf.DUMMYFUNCTION("ARRAYFORMULA(REGEXEXTRACT(SPLIT(E292, ""&lt;br&gt;""), ""([가-힣A-Za-z]+)""))"),"마법거북이")</f>
        <v>마법거북이</v>
      </c>
      <c r="O292" s="26" t="str">
        <f>IFERROR(__xludf.DUMMYFUNCTION("""COMPUTED_VALUE"""),"깡패")</f>
        <v>깡패</v>
      </c>
      <c r="P292" s="26" t="str">
        <f>IFERROR(__xludf.DUMMYFUNCTION("""COMPUTED_VALUE"""),"오딘")</f>
        <v>오딘</v>
      </c>
      <c r="Q292" s="26" t="str">
        <f>IFERROR(__xludf.DUMMYFUNCTION("""COMPUTED_VALUE"""),"찹쌀")</f>
        <v>찹쌀</v>
      </c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9" t="s">
        <v>1354</v>
      </c>
      <c r="B293" s="20" t="s">
        <v>1355</v>
      </c>
      <c r="C293" s="19" t="s">
        <v>1356</v>
      </c>
      <c r="D293" s="19">
        <v>5.0</v>
      </c>
      <c r="E293" s="19" t="s">
        <v>1357</v>
      </c>
      <c r="F293" s="19">
        <v>2.0</v>
      </c>
      <c r="G293" s="21">
        <v>45926.69652777778</v>
      </c>
      <c r="H293" s="19" t="s">
        <v>1352</v>
      </c>
      <c r="I293" s="22" t="s">
        <v>1353</v>
      </c>
      <c r="J293" s="25" t="str">
        <f>IFERROR(__xludf.DUMMYFUNCTION("ARRAYFORMULA(REGEXEXTRACT(SPLIT(C293, ""&lt;br&gt;""), ""([가-힣A-Za-z]+)""))"),"찹쌀")</f>
        <v>찹쌀</v>
      </c>
      <c r="K293" s="26" t="str">
        <f>IFERROR(__xludf.DUMMYFUNCTION("""COMPUTED_VALUE"""),"테리")</f>
        <v>테리</v>
      </c>
      <c r="L293" s="26" t="str">
        <f>IFERROR(__xludf.DUMMYFUNCTION("""COMPUTED_VALUE"""),"참치")</f>
        <v>참치</v>
      </c>
      <c r="M293" s="26" t="str">
        <f>IFERROR(__xludf.DUMMYFUNCTION("""COMPUTED_VALUE"""),"깡패")</f>
        <v>깡패</v>
      </c>
      <c r="N293" s="26" t="str">
        <f>IFERROR(__xludf.DUMMYFUNCTION("ARRAYFORMULA(REGEXEXTRACT(SPLIT(E293, ""&lt;br&gt;""), ""([가-힣A-Za-z]+)""))"),"ACDC")</f>
        <v>ACDC</v>
      </c>
      <c r="O293" s="26" t="str">
        <f>IFERROR(__xludf.DUMMYFUNCTION("""COMPUTED_VALUE"""),"신형만")</f>
        <v>신형만</v>
      </c>
      <c r="P293" s="26" t="str">
        <f>IFERROR(__xludf.DUMMYFUNCTION("""COMPUTED_VALUE"""),"마법거북이")</f>
        <v>마법거북이</v>
      </c>
      <c r="Q293" s="26" t="str">
        <f>IFERROR(__xludf.DUMMYFUNCTION("""COMPUTED_VALUE"""),"오딘")</f>
        <v>오딘</v>
      </c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9" t="s">
        <v>1358</v>
      </c>
      <c r="B294" s="20" t="s">
        <v>1359</v>
      </c>
      <c r="C294" s="19" t="s">
        <v>1360</v>
      </c>
      <c r="D294" s="19">
        <v>5.0</v>
      </c>
      <c r="E294" s="19" t="s">
        <v>1361</v>
      </c>
      <c r="F294" s="19">
        <v>3.0</v>
      </c>
      <c r="G294" s="21">
        <v>45926.66736111111</v>
      </c>
      <c r="H294" s="19" t="s">
        <v>1352</v>
      </c>
      <c r="I294" s="22" t="s">
        <v>888</v>
      </c>
      <c r="J294" s="25" t="str">
        <f>IFERROR(__xludf.DUMMYFUNCTION("ARRAYFORMULA(REGEXEXTRACT(SPLIT(C294, ""&lt;br&gt;""), ""([가-힣A-Za-z]+)""))"),"신형만")</f>
        <v>신형만</v>
      </c>
      <c r="K294" s="26" t="str">
        <f>IFERROR(__xludf.DUMMYFUNCTION("""COMPUTED_VALUE"""),"새출발")</f>
        <v>새출발</v>
      </c>
      <c r="L294" s="26" t="str">
        <f>IFERROR(__xludf.DUMMYFUNCTION("""COMPUTED_VALUE"""),"깡패")</f>
        <v>깡패</v>
      </c>
      <c r="M294" s="26" t="str">
        <f>IFERROR(__xludf.DUMMYFUNCTION("""COMPUTED_VALUE"""),"참치")</f>
        <v>참치</v>
      </c>
      <c r="N294" s="26" t="str">
        <f>IFERROR(__xludf.DUMMYFUNCTION("ARRAYFORMULA(REGEXEXTRACT(SPLIT(E294, ""&lt;br&gt;""), ""([가-힣A-Za-z]+)""))"),"테리")</f>
        <v>테리</v>
      </c>
      <c r="O294" s="26" t="str">
        <f>IFERROR(__xludf.DUMMYFUNCTION("""COMPUTED_VALUE"""),"ACDC")</f>
        <v>ACDC</v>
      </c>
      <c r="P294" s="26" t="str">
        <f>IFERROR(__xludf.DUMMYFUNCTION("""COMPUTED_VALUE"""),"찹쌀")</f>
        <v>찹쌀</v>
      </c>
      <c r="Q294" s="26" t="str">
        <f>IFERROR(__xludf.DUMMYFUNCTION("""COMPUTED_VALUE"""),"마법거북이")</f>
        <v>마법거북이</v>
      </c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9" t="s">
        <v>1362</v>
      </c>
      <c r="B295" s="20" t="s">
        <v>1363</v>
      </c>
      <c r="C295" s="19" t="s">
        <v>1364</v>
      </c>
      <c r="D295" s="19">
        <v>5.0</v>
      </c>
      <c r="E295" s="19" t="s">
        <v>1365</v>
      </c>
      <c r="F295" s="19">
        <v>1.0</v>
      </c>
      <c r="G295" s="21">
        <v>45926.64861111111</v>
      </c>
      <c r="H295" s="19" t="s">
        <v>1352</v>
      </c>
      <c r="I295" s="22" t="s">
        <v>888</v>
      </c>
      <c r="J295" s="25" t="str">
        <f>IFERROR(__xludf.DUMMYFUNCTION("ARRAYFORMULA(REGEXEXTRACT(SPLIT(C295, ""&lt;br&gt;""), ""([가-힣A-Za-z]+)""))"),"마법거북이")</f>
        <v>마법거북이</v>
      </c>
      <c r="K295" s="26" t="str">
        <f>IFERROR(__xludf.DUMMYFUNCTION("""COMPUTED_VALUE"""),"신형만")</f>
        <v>신형만</v>
      </c>
      <c r="L295" s="26" t="str">
        <f>IFERROR(__xludf.DUMMYFUNCTION("""COMPUTED_VALUE"""),"테리")</f>
        <v>테리</v>
      </c>
      <c r="M295" s="26" t="str">
        <f>IFERROR(__xludf.DUMMYFUNCTION("""COMPUTED_VALUE"""),"깡패")</f>
        <v>깡패</v>
      </c>
      <c r="N295" s="26" t="str">
        <f>IFERROR(__xludf.DUMMYFUNCTION("ARRAYFORMULA(REGEXEXTRACT(SPLIT(E295, ""&lt;br&gt;""), ""([가-힣A-Za-z]+)""))"),"한메")</f>
        <v>한메</v>
      </c>
      <c r="O295" s="26" t="str">
        <f>IFERROR(__xludf.DUMMYFUNCTION("""COMPUTED_VALUE"""),"참치")</f>
        <v>참치</v>
      </c>
      <c r="P295" s="26" t="str">
        <f>IFERROR(__xludf.DUMMYFUNCTION("""COMPUTED_VALUE"""),"새출발")</f>
        <v>새출발</v>
      </c>
      <c r="Q295" s="26" t="str">
        <f>IFERROR(__xludf.DUMMYFUNCTION("""COMPUTED_VALUE"""),"찹쌀")</f>
        <v>찹쌀</v>
      </c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9" t="s">
        <v>1366</v>
      </c>
      <c r="B296" s="20" t="s">
        <v>1367</v>
      </c>
      <c r="C296" s="19" t="s">
        <v>1368</v>
      </c>
      <c r="D296" s="19">
        <v>5.0</v>
      </c>
      <c r="E296" s="19" t="s">
        <v>1369</v>
      </c>
      <c r="F296" s="19">
        <v>1.0</v>
      </c>
      <c r="G296" s="21">
        <v>45926.634722222225</v>
      </c>
      <c r="H296" s="19" t="s">
        <v>1352</v>
      </c>
      <c r="I296" s="22" t="s">
        <v>888</v>
      </c>
      <c r="J296" s="25" t="str">
        <f>IFERROR(__xludf.DUMMYFUNCTION("ARRAYFORMULA(REGEXEXTRACT(SPLIT(C296, ""&lt;br&gt;""), ""([가-힣A-Za-z]+)""))"),"신형만")</f>
        <v>신형만</v>
      </c>
      <c r="K296" s="26" t="str">
        <f>IFERROR(__xludf.DUMMYFUNCTION("""COMPUTED_VALUE"""),"테리")</f>
        <v>테리</v>
      </c>
      <c r="L296" s="26" t="str">
        <f>IFERROR(__xludf.DUMMYFUNCTION("""COMPUTED_VALUE"""),"한메")</f>
        <v>한메</v>
      </c>
      <c r="M296" s="26" t="str">
        <f>IFERROR(__xludf.DUMMYFUNCTION("""COMPUTED_VALUE"""),"참치")</f>
        <v>참치</v>
      </c>
      <c r="N296" s="26" t="str">
        <f>IFERROR(__xludf.DUMMYFUNCTION("ARRAYFORMULA(REGEXEXTRACT(SPLIT(E296, ""&lt;br&gt;""), ""([가-힣A-Za-z]+)""))"),"깡패")</f>
        <v>깡패</v>
      </c>
      <c r="O296" s="26" t="str">
        <f>IFERROR(__xludf.DUMMYFUNCTION("""COMPUTED_VALUE"""),"새출발")</f>
        <v>새출발</v>
      </c>
      <c r="P296" s="26" t="str">
        <f>IFERROR(__xludf.DUMMYFUNCTION("""COMPUTED_VALUE"""),"찹쌀")</f>
        <v>찹쌀</v>
      </c>
      <c r="Q296" s="26" t="str">
        <f>IFERROR(__xludf.DUMMYFUNCTION("""COMPUTED_VALUE"""),"마법거북이")</f>
        <v>마법거북이</v>
      </c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9" t="s">
        <v>1370</v>
      </c>
      <c r="B297" s="20" t="s">
        <v>1371</v>
      </c>
      <c r="C297" s="19" t="s">
        <v>1372</v>
      </c>
      <c r="D297" s="19">
        <v>5.0</v>
      </c>
      <c r="E297" s="19" t="s">
        <v>1373</v>
      </c>
      <c r="F297" s="19">
        <v>1.0</v>
      </c>
      <c r="G297" s="21">
        <v>45926.61597222222</v>
      </c>
      <c r="H297" s="19" t="s">
        <v>1352</v>
      </c>
      <c r="I297" s="22" t="s">
        <v>888</v>
      </c>
      <c r="J297" s="25" t="str">
        <f>IFERROR(__xludf.DUMMYFUNCTION("ARRAYFORMULA(REGEXEXTRACT(SPLIT(C297, ""&lt;br&gt;""), ""([가-힣A-Za-z]+)""))"),"참치")</f>
        <v>참치</v>
      </c>
      <c r="K297" s="26" t="str">
        <f>IFERROR(__xludf.DUMMYFUNCTION("""COMPUTED_VALUE"""),"깡패")</f>
        <v>깡패</v>
      </c>
      <c r="L297" s="26" t="str">
        <f>IFERROR(__xludf.DUMMYFUNCTION("""COMPUTED_VALUE"""),"새출발")</f>
        <v>새출발</v>
      </c>
      <c r="M297" s="26" t="str">
        <f>IFERROR(__xludf.DUMMYFUNCTION("""COMPUTED_VALUE"""),"한메")</f>
        <v>한메</v>
      </c>
      <c r="N297" s="26" t="str">
        <f>IFERROR(__xludf.DUMMYFUNCTION("ARRAYFORMULA(REGEXEXTRACT(SPLIT(E297, ""&lt;br&gt;""), ""([가-힣A-Za-z]+)""))"),"테리")</f>
        <v>테리</v>
      </c>
      <c r="O297" s="26" t="str">
        <f>IFERROR(__xludf.DUMMYFUNCTION("""COMPUTED_VALUE"""),"신형만")</f>
        <v>신형만</v>
      </c>
      <c r="P297" s="26" t="str">
        <f>IFERROR(__xludf.DUMMYFUNCTION("""COMPUTED_VALUE"""),"짱구")</f>
        <v>짱구</v>
      </c>
      <c r="Q297" s="26" t="str">
        <f>IFERROR(__xludf.DUMMYFUNCTION("""COMPUTED_VALUE"""),"찹쌀")</f>
        <v>찹쌀</v>
      </c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9" t="s">
        <v>1374</v>
      </c>
      <c r="B298" s="20" t="s">
        <v>1375</v>
      </c>
      <c r="C298" s="19" t="s">
        <v>1376</v>
      </c>
      <c r="D298" s="19">
        <v>5.0</v>
      </c>
      <c r="E298" s="19" t="s">
        <v>1377</v>
      </c>
      <c r="F298" s="19">
        <v>3.0</v>
      </c>
      <c r="G298" s="21">
        <v>45926.600694444445</v>
      </c>
      <c r="H298" s="19" t="s">
        <v>1352</v>
      </c>
      <c r="I298" s="22" t="s">
        <v>888</v>
      </c>
      <c r="J298" s="25" t="str">
        <f>IFERROR(__xludf.DUMMYFUNCTION("ARRAYFORMULA(REGEXEXTRACT(SPLIT(C298, ""&lt;br&gt;""), ""([가-힣A-Za-z]+)""))"),"깡패")</f>
        <v>깡패</v>
      </c>
      <c r="K298" s="26" t="str">
        <f>IFERROR(__xludf.DUMMYFUNCTION("""COMPUTED_VALUE"""),"테리")</f>
        <v>테리</v>
      </c>
      <c r="L298" s="26" t="str">
        <f>IFERROR(__xludf.DUMMYFUNCTION("""COMPUTED_VALUE"""),"한메")</f>
        <v>한메</v>
      </c>
      <c r="M298" s="26" t="str">
        <f>IFERROR(__xludf.DUMMYFUNCTION("""COMPUTED_VALUE"""),"신형만")</f>
        <v>신형만</v>
      </c>
      <c r="N298" s="26" t="str">
        <f>IFERROR(__xludf.DUMMYFUNCTION("ARRAYFORMULA(REGEXEXTRACT(SPLIT(E298, ""&lt;br&gt;""), ""([가-힣A-Za-z]+)""))"),"짱구")</f>
        <v>짱구</v>
      </c>
      <c r="O298" s="26" t="str">
        <f>IFERROR(__xludf.DUMMYFUNCTION("""COMPUTED_VALUE"""),"새출발")</f>
        <v>새출발</v>
      </c>
      <c r="P298" s="26" t="str">
        <f>IFERROR(__xludf.DUMMYFUNCTION("""COMPUTED_VALUE"""),"찹쌀")</f>
        <v>찹쌀</v>
      </c>
      <c r="Q298" s="26" t="str">
        <f>IFERROR(__xludf.DUMMYFUNCTION("""COMPUTED_VALUE"""),"참치")</f>
        <v>참치</v>
      </c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9" t="s">
        <v>1378</v>
      </c>
      <c r="B299" s="20" t="s">
        <v>1379</v>
      </c>
      <c r="C299" s="19" t="s">
        <v>1380</v>
      </c>
      <c r="D299" s="19">
        <v>5.0</v>
      </c>
      <c r="E299" s="19" t="s">
        <v>1381</v>
      </c>
      <c r="F299" s="19">
        <v>4.0</v>
      </c>
      <c r="G299" s="21">
        <v>45926.058333333334</v>
      </c>
      <c r="H299" s="19" t="s">
        <v>1352</v>
      </c>
      <c r="I299" s="22" t="s">
        <v>1382</v>
      </c>
      <c r="J299" s="25" t="str">
        <f>IFERROR(__xludf.DUMMYFUNCTION("ARRAYFORMULA(REGEXEXTRACT(SPLIT(C299, ""&lt;br&gt;""), ""([가-힣A-Za-z]+)""))"),"새출발")</f>
        <v>새출발</v>
      </c>
      <c r="K299" s="26" t="str">
        <f>IFERROR(__xludf.DUMMYFUNCTION("""COMPUTED_VALUE"""),"테리")</f>
        <v>테리</v>
      </c>
      <c r="L299" s="26" t="str">
        <f>IFERROR(__xludf.DUMMYFUNCTION("""COMPUTED_VALUE"""),"필찌")</f>
        <v>필찌</v>
      </c>
      <c r="M299" s="26" t="str">
        <f>IFERROR(__xludf.DUMMYFUNCTION("""COMPUTED_VALUE"""),"넘버")</f>
        <v>넘버</v>
      </c>
      <c r="N299" s="26" t="str">
        <f>IFERROR(__xludf.DUMMYFUNCTION("ARRAYFORMULA(REGEXEXTRACT(SPLIT(E299, ""&lt;br&gt;""), ""([가-힣A-Za-z]+)""))"),"신형만")</f>
        <v>신형만</v>
      </c>
      <c r="O299" s="26" t="str">
        <f>IFERROR(__xludf.DUMMYFUNCTION("""COMPUTED_VALUE"""),"재우")</f>
        <v>재우</v>
      </c>
      <c r="P299" s="26" t="str">
        <f>IFERROR(__xludf.DUMMYFUNCTION("""COMPUTED_VALUE"""),"깡패")</f>
        <v>깡패</v>
      </c>
      <c r="Q299" s="26" t="str">
        <f>IFERROR(__xludf.DUMMYFUNCTION("""COMPUTED_VALUE"""),"한메")</f>
        <v>한메</v>
      </c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9" t="s">
        <v>1383</v>
      </c>
      <c r="B300" s="20" t="s">
        <v>1384</v>
      </c>
      <c r="C300" s="19" t="s">
        <v>1385</v>
      </c>
      <c r="D300" s="19">
        <v>5.0</v>
      </c>
      <c r="E300" s="19" t="s">
        <v>1386</v>
      </c>
      <c r="F300" s="19">
        <v>3.0</v>
      </c>
      <c r="G300" s="21">
        <v>45926.02847222222</v>
      </c>
      <c r="H300" s="19" t="s">
        <v>1352</v>
      </c>
      <c r="I300" s="22" t="s">
        <v>784</v>
      </c>
      <c r="J300" s="25" t="str">
        <f>IFERROR(__xludf.DUMMYFUNCTION("ARRAYFORMULA(REGEXEXTRACT(SPLIT(C300, ""&lt;br&gt;""), ""([가-힣A-Za-z]+)""))"),"강화")</f>
        <v>강화</v>
      </c>
      <c r="K300" s="26" t="str">
        <f>IFERROR(__xludf.DUMMYFUNCTION("""COMPUTED_VALUE"""),"신형만")</f>
        <v>신형만</v>
      </c>
      <c r="L300" s="26" t="str">
        <f>IFERROR(__xludf.DUMMYFUNCTION("""COMPUTED_VALUE"""),"규식")</f>
        <v>규식</v>
      </c>
      <c r="M300" s="26" t="str">
        <f>IFERROR(__xludf.DUMMYFUNCTION("""COMPUTED_VALUE"""),"넘버")</f>
        <v>넘버</v>
      </c>
      <c r="N300" s="26" t="str">
        <f>IFERROR(__xludf.DUMMYFUNCTION("ARRAYFORMULA(REGEXEXTRACT(SPLIT(E300, ""&lt;br&gt;""), ""([가-힣A-Za-z]+)""))"),"재우")</f>
        <v>재우</v>
      </c>
      <c r="O300" s="26" t="str">
        <f>IFERROR(__xludf.DUMMYFUNCTION("""COMPUTED_VALUE"""),"필찌")</f>
        <v>필찌</v>
      </c>
      <c r="P300" s="26" t="str">
        <f>IFERROR(__xludf.DUMMYFUNCTION("""COMPUTED_VALUE"""),"테리")</f>
        <v>테리</v>
      </c>
      <c r="Q300" s="26" t="str">
        <f>IFERROR(__xludf.DUMMYFUNCTION("""COMPUTED_VALUE"""),"한메")</f>
        <v>한메</v>
      </c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9" t="s">
        <v>1387</v>
      </c>
      <c r="B301" s="20" t="s">
        <v>1388</v>
      </c>
      <c r="C301" s="19" t="s">
        <v>1389</v>
      </c>
      <c r="D301" s="19">
        <v>5.0</v>
      </c>
      <c r="E301" s="19" t="s">
        <v>1390</v>
      </c>
      <c r="F301" s="19">
        <v>0.0</v>
      </c>
      <c r="G301" s="21">
        <v>45925.99652777778</v>
      </c>
      <c r="H301" s="19" t="s">
        <v>1352</v>
      </c>
      <c r="I301" s="22" t="s">
        <v>784</v>
      </c>
      <c r="J301" s="25" t="str">
        <f>IFERROR(__xludf.DUMMYFUNCTION("ARRAYFORMULA(REGEXEXTRACT(SPLIT(C301, ""&lt;br&gt;""), ""([가-힣A-Za-z]+)""))"),"테리")</f>
        <v>테리</v>
      </c>
      <c r="K301" s="26" t="str">
        <f>IFERROR(__xludf.DUMMYFUNCTION("""COMPUTED_VALUE"""),"넘버")</f>
        <v>넘버</v>
      </c>
      <c r="L301" s="26" t="str">
        <f>IFERROR(__xludf.DUMMYFUNCTION("""COMPUTED_VALUE"""),"한메")</f>
        <v>한메</v>
      </c>
      <c r="M301" s="26" t="str">
        <f>IFERROR(__xludf.DUMMYFUNCTION("""COMPUTED_VALUE"""),"규식")</f>
        <v>규식</v>
      </c>
      <c r="N301" s="26" t="str">
        <f>IFERROR(__xludf.DUMMYFUNCTION("ARRAYFORMULA(REGEXEXTRACT(SPLIT(E301, ""&lt;br&gt;""), ""([가-힣A-Za-z]+)""))"),"신형만")</f>
        <v>신형만</v>
      </c>
      <c r="O301" s="26" t="str">
        <f>IFERROR(__xludf.DUMMYFUNCTION("""COMPUTED_VALUE"""),"재우")</f>
        <v>재우</v>
      </c>
      <c r="P301" s="26" t="str">
        <f>IFERROR(__xludf.DUMMYFUNCTION("""COMPUTED_VALUE"""),"필찌")</f>
        <v>필찌</v>
      </c>
      <c r="Q301" s="26" t="str">
        <f>IFERROR(__xludf.DUMMYFUNCTION("""COMPUTED_VALUE"""),"강화")</f>
        <v>강화</v>
      </c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9" t="s">
        <v>1391</v>
      </c>
      <c r="B302" s="20" t="s">
        <v>1392</v>
      </c>
      <c r="C302" s="19" t="s">
        <v>1393</v>
      </c>
      <c r="D302" s="19">
        <v>5.0</v>
      </c>
      <c r="E302" s="19" t="s">
        <v>1394</v>
      </c>
      <c r="F302" s="19">
        <v>4.0</v>
      </c>
      <c r="G302" s="21">
        <v>45925.98333333333</v>
      </c>
      <c r="H302" s="19" t="s">
        <v>1352</v>
      </c>
      <c r="I302" s="22" t="s">
        <v>1206</v>
      </c>
      <c r="J302" s="25" t="str">
        <f>IFERROR(__xludf.DUMMYFUNCTION("ARRAYFORMULA(REGEXEXTRACT(SPLIT(C302, ""&lt;br&gt;""), ""([가-힣A-Za-z]+)""))"),"재우")</f>
        <v>재우</v>
      </c>
      <c r="K302" s="26" t="str">
        <f>IFERROR(__xludf.DUMMYFUNCTION("""COMPUTED_VALUE"""),"신형만")</f>
        <v>신형만</v>
      </c>
      <c r="L302" s="26" t="str">
        <f>IFERROR(__xludf.DUMMYFUNCTION("""COMPUTED_VALUE"""),"ACDC")</f>
        <v>ACDC</v>
      </c>
      <c r="M302" s="26" t="str">
        <f>IFERROR(__xludf.DUMMYFUNCTION("""COMPUTED_VALUE"""),"오딘")</f>
        <v>오딘</v>
      </c>
      <c r="N302" s="26" t="str">
        <f>IFERROR(__xludf.DUMMYFUNCTION("ARRAYFORMULA(REGEXEXTRACT(SPLIT(E302, ""&lt;br&gt;""), ""([가-힣A-Za-z]+)""))"),"한메")</f>
        <v>한메</v>
      </c>
      <c r="O302" s="26" t="str">
        <f>IFERROR(__xludf.DUMMYFUNCTION("""COMPUTED_VALUE"""),"규식")</f>
        <v>규식</v>
      </c>
      <c r="P302" s="26" t="str">
        <f>IFERROR(__xludf.DUMMYFUNCTION("""COMPUTED_VALUE"""),"강화")</f>
        <v>강화</v>
      </c>
      <c r="Q302" s="26" t="str">
        <f>IFERROR(__xludf.DUMMYFUNCTION("""COMPUTED_VALUE"""),"깡패")</f>
        <v>깡패</v>
      </c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9" t="s">
        <v>1395</v>
      </c>
      <c r="B303" s="20" t="s">
        <v>1396</v>
      </c>
      <c r="C303" s="19" t="s">
        <v>1397</v>
      </c>
      <c r="D303" s="19">
        <v>5.0</v>
      </c>
      <c r="E303" s="19" t="s">
        <v>1398</v>
      </c>
      <c r="F303" s="19">
        <v>4.0</v>
      </c>
      <c r="G303" s="21">
        <v>45925.95208333333</v>
      </c>
      <c r="H303" s="19" t="s">
        <v>1352</v>
      </c>
      <c r="I303" s="22" t="s">
        <v>1206</v>
      </c>
      <c r="J303" s="25" t="str">
        <f>IFERROR(__xludf.DUMMYFUNCTION("ARRAYFORMULA(REGEXEXTRACT(SPLIT(C303, ""&lt;br&gt;""), ""([가-힣A-Za-z]+)""))"),"강화")</f>
        <v>강화</v>
      </c>
      <c r="K303" s="26" t="str">
        <f>IFERROR(__xludf.DUMMYFUNCTION("""COMPUTED_VALUE"""),"테리")</f>
        <v>테리</v>
      </c>
      <c r="L303" s="26" t="str">
        <f>IFERROR(__xludf.DUMMYFUNCTION("""COMPUTED_VALUE"""),"오딘")</f>
        <v>오딘</v>
      </c>
      <c r="M303" s="26" t="str">
        <f>IFERROR(__xludf.DUMMYFUNCTION("""COMPUTED_VALUE"""),"규식")</f>
        <v>규식</v>
      </c>
      <c r="N303" s="26" t="str">
        <f>IFERROR(__xludf.DUMMYFUNCTION("ARRAYFORMULA(REGEXEXTRACT(SPLIT(E303, ""&lt;br&gt;""), ""([가-힣A-Za-z]+)""))"),"ACDC")</f>
        <v>ACDC</v>
      </c>
      <c r="O303" s="26" t="str">
        <f>IFERROR(__xludf.DUMMYFUNCTION("""COMPUTED_VALUE"""),"필찌")</f>
        <v>필찌</v>
      </c>
      <c r="P303" s="26" t="str">
        <f>IFERROR(__xludf.DUMMYFUNCTION("""COMPUTED_VALUE"""),"깡패")</f>
        <v>깡패</v>
      </c>
      <c r="Q303" s="26" t="str">
        <f>IFERROR(__xludf.DUMMYFUNCTION("""COMPUTED_VALUE"""),"신형만")</f>
        <v>신형만</v>
      </c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9" t="s">
        <v>1399</v>
      </c>
      <c r="B304" s="20" t="s">
        <v>1400</v>
      </c>
      <c r="C304" s="19" t="s">
        <v>1401</v>
      </c>
      <c r="D304" s="19">
        <v>5.0</v>
      </c>
      <c r="E304" s="19" t="s">
        <v>1402</v>
      </c>
      <c r="F304" s="19">
        <v>2.0</v>
      </c>
      <c r="G304" s="21">
        <v>45925.90347222222</v>
      </c>
      <c r="H304" s="19" t="s">
        <v>1352</v>
      </c>
      <c r="I304" s="22" t="s">
        <v>1273</v>
      </c>
      <c r="J304" s="25" t="str">
        <f>IFERROR(__xludf.DUMMYFUNCTION("ARRAYFORMULA(REGEXEXTRACT(SPLIT(C304, ""&lt;br&gt;""), ""([가-힣A-Za-z]+)""))"),"새출발")</f>
        <v>새출발</v>
      </c>
      <c r="K304" s="26" t="str">
        <f>IFERROR(__xludf.DUMMYFUNCTION("""COMPUTED_VALUE"""),"신형만")</f>
        <v>신형만</v>
      </c>
      <c r="L304" s="26" t="str">
        <f>IFERROR(__xludf.DUMMYFUNCTION("""COMPUTED_VALUE"""),"ACDC")</f>
        <v>ACDC</v>
      </c>
      <c r="M304" s="26" t="str">
        <f>IFERROR(__xludf.DUMMYFUNCTION("""COMPUTED_VALUE"""),"넘버")</f>
        <v>넘버</v>
      </c>
      <c r="N304" s="26" t="str">
        <f>IFERROR(__xludf.DUMMYFUNCTION("ARRAYFORMULA(REGEXEXTRACT(SPLIT(E304, ""&lt;br&gt;""), ""([가-힣A-Za-z]+)""))"),"테리")</f>
        <v>테리</v>
      </c>
      <c r="O304" s="26" t="str">
        <f>IFERROR(__xludf.DUMMYFUNCTION("""COMPUTED_VALUE"""),"오딘")</f>
        <v>오딘</v>
      </c>
      <c r="P304" s="26" t="str">
        <f>IFERROR(__xludf.DUMMYFUNCTION("""COMPUTED_VALUE"""),"필찌")</f>
        <v>필찌</v>
      </c>
      <c r="Q304" s="26" t="str">
        <f>IFERROR(__xludf.DUMMYFUNCTION("""COMPUTED_VALUE"""),"깡패")</f>
        <v>깡패</v>
      </c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9" t="s">
        <v>1403</v>
      </c>
      <c r="B305" s="20" t="s">
        <v>1404</v>
      </c>
      <c r="C305" s="19" t="s">
        <v>1405</v>
      </c>
      <c r="D305" s="19">
        <v>5.0</v>
      </c>
      <c r="E305" s="19" t="s">
        <v>1406</v>
      </c>
      <c r="F305" s="19">
        <v>1.0</v>
      </c>
      <c r="G305" s="21">
        <v>45925.876388888886</v>
      </c>
      <c r="H305" s="19" t="s">
        <v>1352</v>
      </c>
      <c r="I305" s="22" t="s">
        <v>1273</v>
      </c>
      <c r="J305" s="25" t="str">
        <f>IFERROR(__xludf.DUMMYFUNCTION("ARRAYFORMULA(REGEXEXTRACT(SPLIT(C305, ""&lt;br&gt;""), ""([가-힣A-Za-z]+)""))"),"ACDC")</f>
        <v>ACDC</v>
      </c>
      <c r="K305" s="26" t="str">
        <f>IFERROR(__xludf.DUMMYFUNCTION("""COMPUTED_VALUE"""),"넘버")</f>
        <v>넘버</v>
      </c>
      <c r="L305" s="26" t="str">
        <f>IFERROR(__xludf.DUMMYFUNCTION("""COMPUTED_VALUE"""),"테리")</f>
        <v>테리</v>
      </c>
      <c r="M305" s="26" t="str">
        <f>IFERROR(__xludf.DUMMYFUNCTION("""COMPUTED_VALUE"""),"오딘")</f>
        <v>오딘</v>
      </c>
      <c r="N305" s="26" t="str">
        <f>IFERROR(__xludf.DUMMYFUNCTION("ARRAYFORMULA(REGEXEXTRACT(SPLIT(E305, ""&lt;br&gt;""), ""([가-힣A-Za-z]+)""))"),"깡패")</f>
        <v>깡패</v>
      </c>
      <c r="O305" s="26" t="str">
        <f>IFERROR(__xludf.DUMMYFUNCTION("""COMPUTED_VALUE"""),"필찌")</f>
        <v>필찌</v>
      </c>
      <c r="P305" s="26" t="str">
        <f>IFERROR(__xludf.DUMMYFUNCTION("""COMPUTED_VALUE"""),"새출발")</f>
        <v>새출발</v>
      </c>
      <c r="Q305" s="26" t="str">
        <f>IFERROR(__xludf.DUMMYFUNCTION("""COMPUTED_VALUE"""),"신형만")</f>
        <v>신형만</v>
      </c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9" t="s">
        <v>1407</v>
      </c>
      <c r="B306" s="20" t="s">
        <v>1408</v>
      </c>
      <c r="C306" s="19" t="s">
        <v>1409</v>
      </c>
      <c r="D306" s="19">
        <v>5.0</v>
      </c>
      <c r="E306" s="19" t="s">
        <v>1410</v>
      </c>
      <c r="F306" s="19">
        <v>3.0</v>
      </c>
      <c r="G306" s="21">
        <v>45925.84930555556</v>
      </c>
      <c r="H306" s="19" t="s">
        <v>1352</v>
      </c>
      <c r="I306" s="22" t="s">
        <v>492</v>
      </c>
      <c r="J306" s="25" t="str">
        <f>IFERROR(__xludf.DUMMYFUNCTION("ARRAYFORMULA(REGEXEXTRACT(SPLIT(C306, ""&lt;br&gt;""), ""([가-힣A-Za-z]+)""))"),"신형만")</f>
        <v>신형만</v>
      </c>
      <c r="K306" s="26" t="str">
        <f>IFERROR(__xludf.DUMMYFUNCTION("""COMPUTED_VALUE"""),"테리")</f>
        <v>테리</v>
      </c>
      <c r="L306" s="26" t="str">
        <f>IFERROR(__xludf.DUMMYFUNCTION("""COMPUTED_VALUE"""),"필찌")</f>
        <v>필찌</v>
      </c>
      <c r="M306" s="26" t="str">
        <f>IFERROR(__xludf.DUMMYFUNCTION("""COMPUTED_VALUE"""),"한메")</f>
        <v>한메</v>
      </c>
      <c r="N306" s="26" t="str">
        <f>IFERROR(__xludf.DUMMYFUNCTION("ARRAYFORMULA(REGEXEXTRACT(SPLIT(E306, ""&lt;br&gt;""), ""([가-힣A-Za-z]+)""))"),"넘버")</f>
        <v>넘버</v>
      </c>
      <c r="O306" s="26" t="str">
        <f>IFERROR(__xludf.DUMMYFUNCTION("""COMPUTED_VALUE"""),"새출발")</f>
        <v>새출발</v>
      </c>
      <c r="P306" s="26" t="str">
        <f>IFERROR(__xludf.DUMMYFUNCTION("""COMPUTED_VALUE"""),"ACDC")</f>
        <v>ACDC</v>
      </c>
      <c r="Q306" s="26" t="str">
        <f>IFERROR(__xludf.DUMMYFUNCTION("""COMPUTED_VALUE"""),"깡패")</f>
        <v>깡패</v>
      </c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9" t="s">
        <v>1411</v>
      </c>
      <c r="B307" s="20" t="s">
        <v>1412</v>
      </c>
      <c r="C307" s="19" t="s">
        <v>1413</v>
      </c>
      <c r="D307" s="19">
        <v>5.0</v>
      </c>
      <c r="E307" s="19" t="s">
        <v>1414</v>
      </c>
      <c r="F307" s="19">
        <v>3.0</v>
      </c>
      <c r="G307" s="21">
        <v>45925.063888888886</v>
      </c>
      <c r="H307" s="19" t="s">
        <v>1352</v>
      </c>
      <c r="I307" s="22" t="s">
        <v>341</v>
      </c>
      <c r="J307" s="25" t="str">
        <f>IFERROR(__xludf.DUMMYFUNCTION("ARRAYFORMULA(REGEXEXTRACT(SPLIT(C307, ""&lt;br&gt;""), ""([가-힣A-Za-z]+)""))"),"테리")</f>
        <v>테리</v>
      </c>
      <c r="K307" s="26" t="str">
        <f>IFERROR(__xludf.DUMMYFUNCTION("""COMPUTED_VALUE"""),"재우")</f>
        <v>재우</v>
      </c>
      <c r="L307" s="26" t="str">
        <f>IFERROR(__xludf.DUMMYFUNCTION("""COMPUTED_VALUE"""),"키키")</f>
        <v>키키</v>
      </c>
      <c r="M307" s="26" t="str">
        <f>IFERROR(__xludf.DUMMYFUNCTION("""COMPUTED_VALUE"""),"규식")</f>
        <v>규식</v>
      </c>
      <c r="N307" s="26" t="str">
        <f>IFERROR(__xludf.DUMMYFUNCTION("ARRAYFORMULA(REGEXEXTRACT(SPLIT(E307, ""&lt;br&gt;""), ""([가-힣A-Za-z]+)""))"),"깡패")</f>
        <v>깡패</v>
      </c>
      <c r="O307" s="26" t="str">
        <f>IFERROR(__xludf.DUMMYFUNCTION("""COMPUTED_VALUE"""),"신형만")</f>
        <v>신형만</v>
      </c>
      <c r="P307" s="26" t="str">
        <f>IFERROR(__xludf.DUMMYFUNCTION("""COMPUTED_VALUE"""),"강화")</f>
        <v>강화</v>
      </c>
      <c r="Q307" s="26" t="str">
        <f>IFERROR(__xludf.DUMMYFUNCTION("""COMPUTED_VALUE"""),"노픽업")</f>
        <v>노픽업</v>
      </c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9" t="s">
        <v>1415</v>
      </c>
      <c r="B308" s="20" t="s">
        <v>1416</v>
      </c>
      <c r="C308" s="19" t="s">
        <v>1417</v>
      </c>
      <c r="D308" s="19">
        <v>5.0</v>
      </c>
      <c r="E308" s="19" t="s">
        <v>1418</v>
      </c>
      <c r="F308" s="19">
        <v>3.0</v>
      </c>
      <c r="G308" s="21">
        <v>45925.040972222225</v>
      </c>
      <c r="H308" s="19" t="s">
        <v>1352</v>
      </c>
      <c r="I308" s="22" t="s">
        <v>492</v>
      </c>
      <c r="J308" s="25" t="str">
        <f>IFERROR(__xludf.DUMMYFUNCTION("ARRAYFORMULA(REGEXEXTRACT(SPLIT(C308, ""&lt;br&gt;""), ""([가-힣A-Za-z]+)""))"),"키키")</f>
        <v>키키</v>
      </c>
      <c r="K308" s="26" t="str">
        <f>IFERROR(__xludf.DUMMYFUNCTION("""COMPUTED_VALUE"""),"깡패")</f>
        <v>깡패</v>
      </c>
      <c r="L308" s="26" t="str">
        <f>IFERROR(__xludf.DUMMYFUNCTION("""COMPUTED_VALUE"""),"테리")</f>
        <v>테리</v>
      </c>
      <c r="M308" s="26" t="str">
        <f>IFERROR(__xludf.DUMMYFUNCTION("""COMPUTED_VALUE"""),"신형만")</f>
        <v>신형만</v>
      </c>
      <c r="N308" s="26" t="str">
        <f>IFERROR(__xludf.DUMMYFUNCTION("ARRAYFORMULA(REGEXEXTRACT(SPLIT(E308, ""&lt;br&gt;""), ""([가-힣A-Za-z]+)""))"),"재우")</f>
        <v>재우</v>
      </c>
      <c r="O308" s="26" t="str">
        <f>IFERROR(__xludf.DUMMYFUNCTION("""COMPUTED_VALUE"""),"넘버")</f>
        <v>넘버</v>
      </c>
      <c r="P308" s="26" t="str">
        <f>IFERROR(__xludf.DUMMYFUNCTION("""COMPUTED_VALUE"""),"규식")</f>
        <v>규식</v>
      </c>
      <c r="Q308" s="26" t="str">
        <f>IFERROR(__xludf.DUMMYFUNCTION("""COMPUTED_VALUE"""),"강화")</f>
        <v>강화</v>
      </c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9" t="s">
        <v>1419</v>
      </c>
      <c r="B309" s="20" t="s">
        <v>1420</v>
      </c>
      <c r="C309" s="19" t="s">
        <v>1421</v>
      </c>
      <c r="D309" s="19">
        <v>5.0</v>
      </c>
      <c r="E309" s="19" t="s">
        <v>1422</v>
      </c>
      <c r="F309" s="19">
        <v>3.0</v>
      </c>
      <c r="G309" s="21">
        <v>45925.02013888889</v>
      </c>
      <c r="H309" s="19" t="s">
        <v>1352</v>
      </c>
      <c r="I309" s="22" t="s">
        <v>492</v>
      </c>
      <c r="J309" s="25" t="str">
        <f>IFERROR(__xludf.DUMMYFUNCTION("ARRAYFORMULA(REGEXEXTRACT(SPLIT(C309, ""&lt;br&gt;""), ""([가-힣A-Za-z]+)""))"),"넘버")</f>
        <v>넘버</v>
      </c>
      <c r="K309" s="26" t="str">
        <f>IFERROR(__xludf.DUMMYFUNCTION("""COMPUTED_VALUE"""),"테리")</f>
        <v>테리</v>
      </c>
      <c r="L309" s="26" t="str">
        <f>IFERROR(__xludf.DUMMYFUNCTION("""COMPUTED_VALUE"""),"노인")</f>
        <v>노인</v>
      </c>
      <c r="M309" s="26" t="str">
        <f>IFERROR(__xludf.DUMMYFUNCTION("""COMPUTED_VALUE"""),"깡패")</f>
        <v>깡패</v>
      </c>
      <c r="N309" s="26" t="str">
        <f>IFERROR(__xludf.DUMMYFUNCTION("ARRAYFORMULA(REGEXEXTRACT(SPLIT(E309, ""&lt;br&gt;""), ""([가-힣A-Za-z]+)""))"),"신형만")</f>
        <v>신형만</v>
      </c>
      <c r="O309" s="26" t="str">
        <f>IFERROR(__xludf.DUMMYFUNCTION("""COMPUTED_VALUE"""),"재우")</f>
        <v>재우</v>
      </c>
      <c r="P309" s="26" t="str">
        <f>IFERROR(__xludf.DUMMYFUNCTION("""COMPUTED_VALUE"""),"키키")</f>
        <v>키키</v>
      </c>
      <c r="Q309" s="26" t="str">
        <f>IFERROR(__xludf.DUMMYFUNCTION("""COMPUTED_VALUE"""),"규식")</f>
        <v>규식</v>
      </c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9" t="s">
        <v>1423</v>
      </c>
      <c r="B310" s="20" t="s">
        <v>1424</v>
      </c>
      <c r="C310" s="19" t="s">
        <v>1425</v>
      </c>
      <c r="D310" s="19">
        <v>5.0</v>
      </c>
      <c r="E310" s="19" t="s">
        <v>1426</v>
      </c>
      <c r="F310" s="19">
        <v>3.0</v>
      </c>
      <c r="G310" s="21">
        <v>45924.993055555555</v>
      </c>
      <c r="H310" s="19" t="s">
        <v>1352</v>
      </c>
      <c r="I310" s="22" t="s">
        <v>1427</v>
      </c>
      <c r="J310" s="25" t="str">
        <f>IFERROR(__xludf.DUMMYFUNCTION("ARRAYFORMULA(REGEXEXTRACT(SPLIT(C310, ""&lt;br&gt;""), ""([가-힣A-Za-z]+)""))"),"테리")</f>
        <v>테리</v>
      </c>
      <c r="K310" s="26" t="str">
        <f>IFERROR(__xludf.DUMMYFUNCTION("""COMPUTED_VALUE"""),"신형만")</f>
        <v>신형만</v>
      </c>
      <c r="L310" s="26" t="str">
        <f>IFERROR(__xludf.DUMMYFUNCTION("""COMPUTED_VALUE"""),"넘버")</f>
        <v>넘버</v>
      </c>
      <c r="M310" s="26" t="str">
        <f>IFERROR(__xludf.DUMMYFUNCTION("""COMPUTED_VALUE"""),"재우")</f>
        <v>재우</v>
      </c>
      <c r="N310" s="26" t="str">
        <f>IFERROR(__xludf.DUMMYFUNCTION("ARRAYFORMULA(REGEXEXTRACT(SPLIT(E310, ""&lt;br&gt;""), ""([가-힣A-Za-z]+)""))"),"깡패")</f>
        <v>깡패</v>
      </c>
      <c r="O310" s="26" t="str">
        <f>IFERROR(__xludf.DUMMYFUNCTION("""COMPUTED_VALUE"""),"노인")</f>
        <v>노인</v>
      </c>
      <c r="P310" s="26" t="str">
        <f>IFERROR(__xludf.DUMMYFUNCTION("""COMPUTED_VALUE"""),"규식")</f>
        <v>규식</v>
      </c>
      <c r="Q310" s="26" t="str">
        <f>IFERROR(__xludf.DUMMYFUNCTION("""COMPUTED_VALUE"""),"키키")</f>
        <v>키키</v>
      </c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9" t="s">
        <v>1428</v>
      </c>
      <c r="B311" s="20" t="s">
        <v>1429</v>
      </c>
      <c r="C311" s="19" t="s">
        <v>1430</v>
      </c>
      <c r="D311" s="19">
        <v>5.0</v>
      </c>
      <c r="E311" s="19" t="s">
        <v>1431</v>
      </c>
      <c r="F311" s="19">
        <v>4.0</v>
      </c>
      <c r="G311" s="21">
        <v>45924.96944444445</v>
      </c>
      <c r="H311" s="19" t="s">
        <v>1352</v>
      </c>
      <c r="I311" s="22" t="s">
        <v>341</v>
      </c>
      <c r="J311" s="25" t="str">
        <f>IFERROR(__xludf.DUMMYFUNCTION("ARRAYFORMULA(REGEXEXTRACT(SPLIT(C311, ""&lt;br&gt;""), ""([가-힣A-Za-z]+)""))"),"키키")</f>
        <v>키키</v>
      </c>
      <c r="K311" s="26" t="str">
        <f>IFERROR(__xludf.DUMMYFUNCTION("""COMPUTED_VALUE"""),"깡패")</f>
        <v>깡패</v>
      </c>
      <c r="L311" s="26" t="str">
        <f>IFERROR(__xludf.DUMMYFUNCTION("""COMPUTED_VALUE"""),"테리")</f>
        <v>테리</v>
      </c>
      <c r="M311" s="26" t="str">
        <f>IFERROR(__xludf.DUMMYFUNCTION("""COMPUTED_VALUE"""),"한메")</f>
        <v>한메</v>
      </c>
      <c r="N311" s="26" t="str">
        <f>IFERROR(__xludf.DUMMYFUNCTION("ARRAYFORMULA(REGEXEXTRACT(SPLIT(E311, ""&lt;br&gt;""), ""([가-힣A-Za-z]+)""))"),"필찌")</f>
        <v>필찌</v>
      </c>
      <c r="O311" s="26" t="str">
        <f>IFERROR(__xludf.DUMMYFUNCTION("""COMPUTED_VALUE"""),"재우")</f>
        <v>재우</v>
      </c>
      <c r="P311" s="26" t="str">
        <f>IFERROR(__xludf.DUMMYFUNCTION("""COMPUTED_VALUE"""),"노인")</f>
        <v>노인</v>
      </c>
      <c r="Q311" s="26" t="str">
        <f>IFERROR(__xludf.DUMMYFUNCTION("""COMPUTED_VALUE"""),"신형만")</f>
        <v>신형만</v>
      </c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9" t="s">
        <v>1432</v>
      </c>
      <c r="B312" s="20" t="s">
        <v>1433</v>
      </c>
      <c r="C312" s="19" t="s">
        <v>1434</v>
      </c>
      <c r="D312" s="19">
        <v>5.0</v>
      </c>
      <c r="E312" s="19" t="s">
        <v>1435</v>
      </c>
      <c r="F312" s="19">
        <v>2.0</v>
      </c>
      <c r="G312" s="21">
        <v>45924.94027777778</v>
      </c>
      <c r="H312" s="19" t="s">
        <v>1352</v>
      </c>
      <c r="I312" s="22" t="s">
        <v>341</v>
      </c>
      <c r="J312" s="25" t="str">
        <f>IFERROR(__xludf.DUMMYFUNCTION("ARRAYFORMULA(REGEXEXTRACT(SPLIT(C312, ""&lt;br&gt;""), ""([가-힣A-Za-z]+)""))"),"한메")</f>
        <v>한메</v>
      </c>
      <c r="K312" s="26" t="str">
        <f>IFERROR(__xludf.DUMMYFUNCTION("""COMPUTED_VALUE"""),"노인")</f>
        <v>노인</v>
      </c>
      <c r="L312" s="26" t="str">
        <f>IFERROR(__xludf.DUMMYFUNCTION("""COMPUTED_VALUE"""),"필찌")</f>
        <v>필찌</v>
      </c>
      <c r="M312" s="26" t="str">
        <f>IFERROR(__xludf.DUMMYFUNCTION("""COMPUTED_VALUE"""),"깡패")</f>
        <v>깡패</v>
      </c>
      <c r="N312" s="26" t="str">
        <f>IFERROR(__xludf.DUMMYFUNCTION("ARRAYFORMULA(REGEXEXTRACT(SPLIT(E312, ""&lt;br&gt;""), ""([가-힣A-Za-z]+)""))"),"신형만")</f>
        <v>신형만</v>
      </c>
      <c r="O312" s="26" t="str">
        <f>IFERROR(__xludf.DUMMYFUNCTION("""COMPUTED_VALUE"""),"테리")</f>
        <v>테리</v>
      </c>
      <c r="P312" s="26" t="str">
        <f>IFERROR(__xludf.DUMMYFUNCTION("""COMPUTED_VALUE"""),"찹쌀")</f>
        <v>찹쌀</v>
      </c>
      <c r="Q312" s="26" t="str">
        <f>IFERROR(__xludf.DUMMYFUNCTION("""COMPUTED_VALUE"""),"키키")</f>
        <v>키키</v>
      </c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9" t="s">
        <v>1436</v>
      </c>
      <c r="B313" s="20" t="s">
        <v>1437</v>
      </c>
      <c r="C313" s="19" t="s">
        <v>1438</v>
      </c>
      <c r="D313" s="19">
        <v>5.0</v>
      </c>
      <c r="E313" s="19" t="s">
        <v>1439</v>
      </c>
      <c r="F313" s="19">
        <v>1.0</v>
      </c>
      <c r="G313" s="21">
        <v>45924.90833333333</v>
      </c>
      <c r="H313" s="19" t="s">
        <v>1352</v>
      </c>
      <c r="I313" s="22" t="s">
        <v>341</v>
      </c>
      <c r="J313" s="25" t="str">
        <f>IFERROR(__xludf.DUMMYFUNCTION("ARRAYFORMULA(REGEXEXTRACT(SPLIT(C313, ""&lt;br&gt;""), ""([가-힣A-Za-z]+)""))"),"깡패")</f>
        <v>깡패</v>
      </c>
      <c r="K313" s="26" t="str">
        <f>IFERROR(__xludf.DUMMYFUNCTION("""COMPUTED_VALUE"""),"신형만")</f>
        <v>신형만</v>
      </c>
      <c r="L313" s="26" t="str">
        <f>IFERROR(__xludf.DUMMYFUNCTION("""COMPUTED_VALUE"""),"테리")</f>
        <v>테리</v>
      </c>
      <c r="M313" s="26" t="str">
        <f>IFERROR(__xludf.DUMMYFUNCTION("""COMPUTED_VALUE"""),"찹쌀")</f>
        <v>찹쌀</v>
      </c>
      <c r="N313" s="26" t="str">
        <f>IFERROR(__xludf.DUMMYFUNCTION("ARRAYFORMULA(REGEXEXTRACT(SPLIT(E313, ""&lt;br&gt;""), ""([가-힣A-Za-z]+)""))"),"유즈")</f>
        <v>유즈</v>
      </c>
      <c r="O313" s="26" t="str">
        <f>IFERROR(__xludf.DUMMYFUNCTION("""COMPUTED_VALUE"""),"필찌")</f>
        <v>필찌</v>
      </c>
      <c r="P313" s="26" t="str">
        <f>IFERROR(__xludf.DUMMYFUNCTION("""COMPUTED_VALUE"""),"규식")</f>
        <v>규식</v>
      </c>
      <c r="Q313" s="26" t="str">
        <f>IFERROR(__xludf.DUMMYFUNCTION("""COMPUTED_VALUE"""),"한메")</f>
        <v>한메</v>
      </c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9" t="s">
        <v>1440</v>
      </c>
      <c r="B314" s="20" t="s">
        <v>1441</v>
      </c>
      <c r="C314" s="19" t="s">
        <v>1442</v>
      </c>
      <c r="D314" s="19">
        <v>5.0</v>
      </c>
      <c r="E314" s="19" t="s">
        <v>1443</v>
      </c>
      <c r="F314" s="19">
        <v>1.0</v>
      </c>
      <c r="G314" s="21">
        <v>45924.88611111111</v>
      </c>
      <c r="H314" s="19" t="s">
        <v>1352</v>
      </c>
      <c r="I314" s="22" t="s">
        <v>492</v>
      </c>
      <c r="J314" s="25" t="str">
        <f>IFERROR(__xludf.DUMMYFUNCTION("ARRAYFORMULA(REGEXEXTRACT(SPLIT(C314, ""&lt;br&gt;""), ""([가-힣A-Za-z]+)""))"),"넘버")</f>
        <v>넘버</v>
      </c>
      <c r="K314" s="26" t="str">
        <f>IFERROR(__xludf.DUMMYFUNCTION("""COMPUTED_VALUE"""),"규식")</f>
        <v>규식</v>
      </c>
      <c r="L314" s="26" t="str">
        <f>IFERROR(__xludf.DUMMYFUNCTION("""COMPUTED_VALUE"""),"필찌")</f>
        <v>필찌</v>
      </c>
      <c r="M314" s="26" t="str">
        <f>IFERROR(__xludf.DUMMYFUNCTION("""COMPUTED_VALUE"""),"깡패")</f>
        <v>깡패</v>
      </c>
      <c r="N314" s="26" t="str">
        <f>IFERROR(__xludf.DUMMYFUNCTION("ARRAYFORMULA(REGEXEXTRACT(SPLIT(E314, ""&lt;br&gt;""), ""([가-힣A-Za-z]+)""))"),"한메")</f>
        <v>한메</v>
      </c>
      <c r="O314" s="26" t="str">
        <f>IFERROR(__xludf.DUMMYFUNCTION("""COMPUTED_VALUE"""),"테리")</f>
        <v>테리</v>
      </c>
      <c r="P314" s="26" t="str">
        <f>IFERROR(__xludf.DUMMYFUNCTION("""COMPUTED_VALUE"""),"유즈")</f>
        <v>유즈</v>
      </c>
      <c r="Q314" s="26" t="str">
        <f>IFERROR(__xludf.DUMMYFUNCTION("""COMPUTED_VALUE"""),"신형만")</f>
        <v>신형만</v>
      </c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9" t="s">
        <v>1444</v>
      </c>
      <c r="B315" s="20" t="s">
        <v>1445</v>
      </c>
      <c r="C315" s="19" t="s">
        <v>1446</v>
      </c>
      <c r="D315" s="19">
        <v>5.0</v>
      </c>
      <c r="E315" s="19" t="s">
        <v>1447</v>
      </c>
      <c r="F315" s="19">
        <v>2.0</v>
      </c>
      <c r="G315" s="21">
        <v>45924.86597222222</v>
      </c>
      <c r="H315" s="19" t="s">
        <v>1352</v>
      </c>
      <c r="I315" s="22" t="s">
        <v>492</v>
      </c>
      <c r="J315" s="25" t="str">
        <f>IFERROR(__xludf.DUMMYFUNCTION("ARRAYFORMULA(REGEXEXTRACT(SPLIT(C315, ""&lt;br&gt;""), ""([가-힣A-Za-z]+)""))"),"깡패")</f>
        <v>깡패</v>
      </c>
      <c r="K315" s="26" t="str">
        <f>IFERROR(__xludf.DUMMYFUNCTION("""COMPUTED_VALUE"""),"유즈")</f>
        <v>유즈</v>
      </c>
      <c r="L315" s="26" t="str">
        <f>IFERROR(__xludf.DUMMYFUNCTION("""COMPUTED_VALUE"""),"넘버")</f>
        <v>넘버</v>
      </c>
      <c r="M315" s="26" t="str">
        <f>IFERROR(__xludf.DUMMYFUNCTION("""COMPUTED_VALUE"""),"한메")</f>
        <v>한메</v>
      </c>
      <c r="N315" s="26" t="str">
        <f>IFERROR(__xludf.DUMMYFUNCTION("ARRAYFORMULA(REGEXEXTRACT(SPLIT(E315, ""&lt;br&gt;""), ""([가-힣A-Za-z]+)""))"),"신형만")</f>
        <v>신형만</v>
      </c>
      <c r="O315" s="26" t="str">
        <f>IFERROR(__xludf.DUMMYFUNCTION("""COMPUTED_VALUE"""),"ACDC")</f>
        <v>ACDC</v>
      </c>
      <c r="P315" s="26" t="str">
        <f>IFERROR(__xludf.DUMMYFUNCTION("""COMPUTED_VALUE"""),"테리")</f>
        <v>테리</v>
      </c>
      <c r="Q315" s="26" t="str">
        <f>IFERROR(__xludf.DUMMYFUNCTION("""COMPUTED_VALUE"""),"규식")</f>
        <v>규식</v>
      </c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9" t="s">
        <v>1448</v>
      </c>
      <c r="B316" s="20" t="s">
        <v>1449</v>
      </c>
      <c r="C316" s="19" t="s">
        <v>1450</v>
      </c>
      <c r="D316" s="19">
        <v>5.0</v>
      </c>
      <c r="E316" s="19" t="s">
        <v>1451</v>
      </c>
      <c r="F316" s="19">
        <v>4.0</v>
      </c>
      <c r="G316" s="21">
        <v>45924.041666666664</v>
      </c>
      <c r="H316" s="19" t="s">
        <v>1352</v>
      </c>
      <c r="I316" s="22" t="s">
        <v>26</v>
      </c>
      <c r="J316" s="25" t="str">
        <f>IFERROR(__xludf.DUMMYFUNCTION("ARRAYFORMULA(REGEXEXTRACT(SPLIT(C316, ""&lt;br&gt;""), ""([가-힣A-Za-z]+)""))"),"필찌")</f>
        <v>필찌</v>
      </c>
      <c r="K316" s="26" t="str">
        <f>IFERROR(__xludf.DUMMYFUNCTION("""COMPUTED_VALUE"""),"깡패")</f>
        <v>깡패</v>
      </c>
      <c r="L316" s="26" t="str">
        <f>IFERROR(__xludf.DUMMYFUNCTION("""COMPUTED_VALUE"""),"한메")</f>
        <v>한메</v>
      </c>
      <c r="M316" s="26" t="str">
        <f>IFERROR(__xludf.DUMMYFUNCTION("""COMPUTED_VALUE"""),"조드")</f>
        <v>조드</v>
      </c>
      <c r="N316" s="26" t="str">
        <f>IFERROR(__xludf.DUMMYFUNCTION("ARRAYFORMULA(REGEXEXTRACT(SPLIT(E316, ""&lt;br&gt;""), ""([가-힣A-Za-z]+)""))"),"유즈")</f>
        <v>유즈</v>
      </c>
      <c r="O316" s="26" t="str">
        <f>IFERROR(__xludf.DUMMYFUNCTION("""COMPUTED_VALUE"""),"테리")</f>
        <v>테리</v>
      </c>
      <c r="P316" s="26" t="str">
        <f>IFERROR(__xludf.DUMMYFUNCTION("""COMPUTED_VALUE"""),"ACDC")</f>
        <v>ACDC</v>
      </c>
      <c r="Q316" s="26" t="str">
        <f>IFERROR(__xludf.DUMMYFUNCTION("""COMPUTED_VALUE"""),"재우")</f>
        <v>재우</v>
      </c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9" t="s">
        <v>1452</v>
      </c>
      <c r="B317" s="20" t="s">
        <v>1453</v>
      </c>
      <c r="C317" s="19" t="s">
        <v>1454</v>
      </c>
      <c r="D317" s="19">
        <v>5.0</v>
      </c>
      <c r="E317" s="19" t="s">
        <v>1455</v>
      </c>
      <c r="F317" s="19">
        <v>2.0</v>
      </c>
      <c r="G317" s="21">
        <v>45923.998611111114</v>
      </c>
      <c r="H317" s="19" t="s">
        <v>1352</v>
      </c>
      <c r="I317" s="22" t="s">
        <v>26</v>
      </c>
      <c r="J317" s="25" t="str">
        <f>IFERROR(__xludf.DUMMYFUNCTION("ARRAYFORMULA(REGEXEXTRACT(SPLIT(C317, ""&lt;br&gt;""), ""([가-힣A-Za-z]+)""))"),"테리")</f>
        <v>테리</v>
      </c>
      <c r="K317" s="26" t="str">
        <f>IFERROR(__xludf.DUMMYFUNCTION("""COMPUTED_VALUE"""),"재우")</f>
        <v>재우</v>
      </c>
      <c r="L317" s="26" t="str">
        <f>IFERROR(__xludf.DUMMYFUNCTION("""COMPUTED_VALUE"""),"규식")</f>
        <v>규식</v>
      </c>
      <c r="M317" s="26" t="str">
        <f>IFERROR(__xludf.DUMMYFUNCTION("""COMPUTED_VALUE"""),"깡패")</f>
        <v>깡패</v>
      </c>
      <c r="N317" s="26" t="str">
        <f>IFERROR(__xludf.DUMMYFUNCTION("ARRAYFORMULA(REGEXEXTRACT(SPLIT(E317, ""&lt;br&gt;""), ""([가-힣A-Za-z]+)""))"),"ACDC")</f>
        <v>ACDC</v>
      </c>
      <c r="O317" s="26" t="str">
        <f>IFERROR(__xludf.DUMMYFUNCTION("""COMPUTED_VALUE"""),"필찌")</f>
        <v>필찌</v>
      </c>
      <c r="P317" s="26" t="str">
        <f>IFERROR(__xludf.DUMMYFUNCTION("""COMPUTED_VALUE"""),"유즈")</f>
        <v>유즈</v>
      </c>
      <c r="Q317" s="26" t="str">
        <f>IFERROR(__xludf.DUMMYFUNCTION("""COMPUTED_VALUE"""),"한메")</f>
        <v>한메</v>
      </c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9" t="s">
        <v>1456</v>
      </c>
      <c r="B318" s="20" t="s">
        <v>1457</v>
      </c>
      <c r="C318" s="19" t="s">
        <v>1458</v>
      </c>
      <c r="D318" s="19">
        <v>5.0</v>
      </c>
      <c r="E318" s="19" t="s">
        <v>1459</v>
      </c>
      <c r="F318" s="19">
        <v>3.0</v>
      </c>
      <c r="G318" s="21">
        <v>45923.96875</v>
      </c>
      <c r="H318" s="19" t="s">
        <v>1352</v>
      </c>
      <c r="I318" s="22" t="s">
        <v>1460</v>
      </c>
      <c r="J318" s="25" t="str">
        <f>IFERROR(__xludf.DUMMYFUNCTION("ARRAYFORMULA(REGEXEXTRACT(SPLIT(C318, ""&lt;br&gt;""), ""([가-힣A-Za-z]+)""))"),"필찌")</f>
        <v>필찌</v>
      </c>
      <c r="K318" s="26" t="str">
        <f>IFERROR(__xludf.DUMMYFUNCTION("""COMPUTED_VALUE"""),"깡패")</f>
        <v>깡패</v>
      </c>
      <c r="L318" s="26" t="str">
        <f>IFERROR(__xludf.DUMMYFUNCTION("""COMPUTED_VALUE"""),"한메")</f>
        <v>한메</v>
      </c>
      <c r="M318" s="26" t="str">
        <f>IFERROR(__xludf.DUMMYFUNCTION("""COMPUTED_VALUE"""),"규식")</f>
        <v>규식</v>
      </c>
      <c r="N318" s="26" t="str">
        <f>IFERROR(__xludf.DUMMYFUNCTION("ARRAYFORMULA(REGEXEXTRACT(SPLIT(E318, ""&lt;br&gt;""), ""([가-힣A-Za-z]+)""))"),"재우")</f>
        <v>재우</v>
      </c>
      <c r="O318" s="26" t="str">
        <f>IFERROR(__xludf.DUMMYFUNCTION("""COMPUTED_VALUE"""),"유즈")</f>
        <v>유즈</v>
      </c>
      <c r="P318" s="26" t="str">
        <f>IFERROR(__xludf.DUMMYFUNCTION("""COMPUTED_VALUE"""),"ACDC")</f>
        <v>ACDC</v>
      </c>
      <c r="Q318" s="26" t="str">
        <f>IFERROR(__xludf.DUMMYFUNCTION("""COMPUTED_VALUE"""),"오딘")</f>
        <v>오딘</v>
      </c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9" t="s">
        <v>1461</v>
      </c>
      <c r="B319" s="20" t="s">
        <v>1462</v>
      </c>
      <c r="C319" s="19" t="s">
        <v>1463</v>
      </c>
      <c r="D319" s="19">
        <v>5.0</v>
      </c>
      <c r="E319" s="19" t="s">
        <v>1464</v>
      </c>
      <c r="F319" s="19">
        <v>1.0</v>
      </c>
      <c r="G319" s="21">
        <v>45923.93680555555</v>
      </c>
      <c r="H319" s="19" t="s">
        <v>1352</v>
      </c>
      <c r="I319" s="22" t="s">
        <v>1460</v>
      </c>
      <c r="J319" s="25" t="str">
        <f>IFERROR(__xludf.DUMMYFUNCTION("ARRAYFORMULA(REGEXEXTRACT(SPLIT(C319, ""&lt;br&gt;""), ""([가-힣A-Za-z]+)""))"),"한메")</f>
        <v>한메</v>
      </c>
      <c r="K319" s="26" t="str">
        <f>IFERROR(__xludf.DUMMYFUNCTION("""COMPUTED_VALUE"""),"규식")</f>
        <v>규식</v>
      </c>
      <c r="L319" s="26" t="str">
        <f>IFERROR(__xludf.DUMMYFUNCTION("""COMPUTED_VALUE"""),"테리")</f>
        <v>테리</v>
      </c>
      <c r="M319" s="26" t="str">
        <f>IFERROR(__xludf.DUMMYFUNCTION("""COMPUTED_VALUE"""),"찹쌀")</f>
        <v>찹쌀</v>
      </c>
      <c r="N319" s="26" t="str">
        <f>IFERROR(__xludf.DUMMYFUNCTION("ARRAYFORMULA(REGEXEXTRACT(SPLIT(E319, ""&lt;br&gt;""), ""([가-힣A-Za-z]+)""))"),"ACDC")</f>
        <v>ACDC</v>
      </c>
      <c r="O319" s="26" t="str">
        <f>IFERROR(__xludf.DUMMYFUNCTION("""COMPUTED_VALUE"""),"오딘")</f>
        <v>오딘</v>
      </c>
      <c r="P319" s="26" t="str">
        <f>IFERROR(__xludf.DUMMYFUNCTION("""COMPUTED_VALUE"""),"필찌")</f>
        <v>필찌</v>
      </c>
      <c r="Q319" s="26" t="str">
        <f>IFERROR(__xludf.DUMMYFUNCTION("""COMPUTED_VALUE"""),"깡패")</f>
        <v>깡패</v>
      </c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9" t="s">
        <v>1465</v>
      </c>
      <c r="B320" s="20" t="s">
        <v>1466</v>
      </c>
      <c r="C320" s="19" t="s">
        <v>1467</v>
      </c>
      <c r="D320" s="19">
        <v>5.0</v>
      </c>
      <c r="E320" s="19" t="s">
        <v>1468</v>
      </c>
      <c r="F320" s="19">
        <v>0.0</v>
      </c>
      <c r="G320" s="21">
        <v>45923.91458333333</v>
      </c>
      <c r="H320" s="19" t="s">
        <v>1352</v>
      </c>
      <c r="I320" s="22" t="s">
        <v>1460</v>
      </c>
      <c r="J320" s="25" t="str">
        <f>IFERROR(__xludf.DUMMYFUNCTION("ARRAYFORMULA(REGEXEXTRACT(SPLIT(C320, ""&lt;br&gt;""), ""([가-힣A-Za-z]+)""))"),"찹쌀")</f>
        <v>찹쌀</v>
      </c>
      <c r="K320" s="26" t="str">
        <f>IFERROR(__xludf.DUMMYFUNCTION("""COMPUTED_VALUE"""),"ACDC")</f>
        <v>ACDC</v>
      </c>
      <c r="L320" s="26" t="str">
        <f>IFERROR(__xludf.DUMMYFUNCTION("""COMPUTED_VALUE"""),"깡패")</f>
        <v>깡패</v>
      </c>
      <c r="M320" s="26" t="str">
        <f>IFERROR(__xludf.DUMMYFUNCTION("""COMPUTED_VALUE"""),"규식")</f>
        <v>규식</v>
      </c>
      <c r="N320" s="26" t="str">
        <f>IFERROR(__xludf.DUMMYFUNCTION("ARRAYFORMULA(REGEXEXTRACT(SPLIT(E320, ""&lt;br&gt;""), ""([가-힣A-Za-z]+)""))"),"필찌")</f>
        <v>필찌</v>
      </c>
      <c r="O320" s="26" t="str">
        <f>IFERROR(__xludf.DUMMYFUNCTION("""COMPUTED_VALUE"""),"테리")</f>
        <v>테리</v>
      </c>
      <c r="P320" s="26" t="str">
        <f>IFERROR(__xludf.DUMMYFUNCTION("""COMPUTED_VALUE"""),"오딘")</f>
        <v>오딘</v>
      </c>
      <c r="Q320" s="26" t="str">
        <f>IFERROR(__xludf.DUMMYFUNCTION("""COMPUTED_VALUE"""),"한메")</f>
        <v>한메</v>
      </c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9" t="s">
        <v>1469</v>
      </c>
      <c r="B321" s="20" t="s">
        <v>1470</v>
      </c>
      <c r="C321" s="19" t="s">
        <v>1471</v>
      </c>
      <c r="D321" s="19">
        <v>5.0</v>
      </c>
      <c r="E321" s="19" t="s">
        <v>1472</v>
      </c>
      <c r="F321" s="19">
        <v>4.0</v>
      </c>
      <c r="G321" s="21">
        <v>45923.029861111114</v>
      </c>
      <c r="H321" s="19" t="s">
        <v>1352</v>
      </c>
      <c r="I321" s="22" t="s">
        <v>341</v>
      </c>
      <c r="J321" s="25" t="str">
        <f>IFERROR(__xludf.DUMMYFUNCTION("ARRAYFORMULA(REGEXEXTRACT(SPLIT(C321, ""&lt;br&gt;""), ""([가-힣A-Za-z]+)""))"),"깡패")</f>
        <v>깡패</v>
      </c>
      <c r="K321" s="26" t="str">
        <f>IFERROR(__xludf.DUMMYFUNCTION("""COMPUTED_VALUE"""),"재우")</f>
        <v>재우</v>
      </c>
      <c r="L321" s="26" t="str">
        <f>IFERROR(__xludf.DUMMYFUNCTION("""COMPUTED_VALUE"""),"한메")</f>
        <v>한메</v>
      </c>
      <c r="M321" s="26" t="str">
        <f>IFERROR(__xludf.DUMMYFUNCTION("""COMPUTED_VALUE"""),"신형만")</f>
        <v>신형만</v>
      </c>
      <c r="N321" s="26" t="str">
        <f>IFERROR(__xludf.DUMMYFUNCTION("ARRAYFORMULA(REGEXEXTRACT(SPLIT(E321, ""&lt;br&gt;""), ""([가-힣A-Za-z]+)""))"),"노인")</f>
        <v>노인</v>
      </c>
      <c r="O321" s="26" t="str">
        <f>IFERROR(__xludf.DUMMYFUNCTION("""COMPUTED_VALUE"""),"ACDC")</f>
        <v>ACDC</v>
      </c>
      <c r="P321" s="26" t="str">
        <f>IFERROR(__xludf.DUMMYFUNCTION("""COMPUTED_VALUE"""),"규식")</f>
        <v>규식</v>
      </c>
      <c r="Q321" s="26" t="str">
        <f>IFERROR(__xludf.DUMMYFUNCTION("""COMPUTED_VALUE"""),"키키")</f>
        <v>키키</v>
      </c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9" t="s">
        <v>1473</v>
      </c>
      <c r="B322" s="20" t="s">
        <v>1474</v>
      </c>
      <c r="C322" s="19" t="s">
        <v>1475</v>
      </c>
      <c r="D322" s="19">
        <v>5.0</v>
      </c>
      <c r="E322" s="19" t="s">
        <v>1476</v>
      </c>
      <c r="F322" s="19">
        <v>3.0</v>
      </c>
      <c r="G322" s="21">
        <v>45923.00208333333</v>
      </c>
      <c r="H322" s="19" t="s">
        <v>1352</v>
      </c>
      <c r="I322" s="22" t="s">
        <v>341</v>
      </c>
      <c r="J322" s="25" t="str">
        <f>IFERROR(__xludf.DUMMYFUNCTION("ARRAYFORMULA(REGEXEXTRACT(SPLIT(C322, ""&lt;br&gt;""), ""([가-힣A-Za-z]+)""))"),"신형만")</f>
        <v>신형만</v>
      </c>
      <c r="K322" s="26" t="str">
        <f>IFERROR(__xludf.DUMMYFUNCTION("""COMPUTED_VALUE"""),"노인")</f>
        <v>노인</v>
      </c>
      <c r="L322" s="26" t="str">
        <f>IFERROR(__xludf.DUMMYFUNCTION("""COMPUTED_VALUE"""),"키키")</f>
        <v>키키</v>
      </c>
      <c r="M322" s="26" t="str">
        <f>IFERROR(__xludf.DUMMYFUNCTION("""COMPUTED_VALUE"""),"한메")</f>
        <v>한메</v>
      </c>
      <c r="N322" s="26" t="str">
        <f>IFERROR(__xludf.DUMMYFUNCTION("ARRAYFORMULA(REGEXEXTRACT(SPLIT(E322, ""&lt;br&gt;""), ""([가-힣A-Za-z]+)""))"),"재우")</f>
        <v>재우</v>
      </c>
      <c r="O322" s="26" t="str">
        <f>IFERROR(__xludf.DUMMYFUNCTION("""COMPUTED_VALUE"""),"규식")</f>
        <v>규식</v>
      </c>
      <c r="P322" s="26" t="str">
        <f>IFERROR(__xludf.DUMMYFUNCTION("""COMPUTED_VALUE"""),"ACDC")</f>
        <v>ACDC</v>
      </c>
      <c r="Q322" s="26" t="str">
        <f>IFERROR(__xludf.DUMMYFUNCTION("""COMPUTED_VALUE"""),"깡패")</f>
        <v>깡패</v>
      </c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9" t="s">
        <v>1477</v>
      </c>
      <c r="B323" s="20" t="s">
        <v>1478</v>
      </c>
      <c r="C323" s="19" t="s">
        <v>1479</v>
      </c>
      <c r="D323" s="19">
        <v>5.0</v>
      </c>
      <c r="E323" s="19" t="s">
        <v>1480</v>
      </c>
      <c r="F323" s="19">
        <v>0.0</v>
      </c>
      <c r="G323" s="21">
        <v>45922.96111111111</v>
      </c>
      <c r="H323" s="19" t="s">
        <v>1352</v>
      </c>
      <c r="I323" s="22" t="s">
        <v>1206</v>
      </c>
      <c r="J323" s="25" t="str">
        <f>IFERROR(__xludf.DUMMYFUNCTION("ARRAYFORMULA(REGEXEXTRACT(SPLIT(C323, ""&lt;br&gt;""), ""([가-힣A-Za-z]+)""))"),"키키")</f>
        <v>키키</v>
      </c>
      <c r="K323" s="26" t="str">
        <f>IFERROR(__xludf.DUMMYFUNCTION("""COMPUTED_VALUE"""),"깡패")</f>
        <v>깡패</v>
      </c>
      <c r="L323" s="26" t="str">
        <f>IFERROR(__xludf.DUMMYFUNCTION("""COMPUTED_VALUE"""),"테리")</f>
        <v>테리</v>
      </c>
      <c r="M323" s="26" t="str">
        <f>IFERROR(__xludf.DUMMYFUNCTION("""COMPUTED_VALUE"""),"규식")</f>
        <v>규식</v>
      </c>
      <c r="N323" s="26" t="str">
        <f>IFERROR(__xludf.DUMMYFUNCTION("ARRAYFORMULA(REGEXEXTRACT(SPLIT(E323, ""&lt;br&gt;""), ""([가-힣A-Za-z]+)""))"),"ACDC")</f>
        <v>ACDC</v>
      </c>
      <c r="O323" s="26" t="str">
        <f>IFERROR(__xludf.DUMMYFUNCTION("""COMPUTED_VALUE"""),"오딘")</f>
        <v>오딘</v>
      </c>
      <c r="P323" s="26" t="str">
        <f>IFERROR(__xludf.DUMMYFUNCTION("""COMPUTED_VALUE"""),"한메")</f>
        <v>한메</v>
      </c>
      <c r="Q323" s="26" t="str">
        <f>IFERROR(__xludf.DUMMYFUNCTION("""COMPUTED_VALUE"""),"신형만")</f>
        <v>신형만</v>
      </c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9" t="s">
        <v>1481</v>
      </c>
      <c r="B324" s="20" t="s">
        <v>1482</v>
      </c>
      <c r="C324" s="19" t="s">
        <v>1483</v>
      </c>
      <c r="D324" s="19">
        <v>5.0</v>
      </c>
      <c r="E324" s="19" t="s">
        <v>1484</v>
      </c>
      <c r="F324" s="19">
        <v>1.0</v>
      </c>
      <c r="G324" s="21">
        <v>45922.94652777778</v>
      </c>
      <c r="H324" s="19" t="s">
        <v>1352</v>
      </c>
      <c r="I324" s="22" t="s">
        <v>1206</v>
      </c>
      <c r="J324" s="25" t="str">
        <f>IFERROR(__xludf.DUMMYFUNCTION("ARRAYFORMULA(REGEXEXTRACT(SPLIT(C324, ""&lt;br&gt;""), ""([가-힣A-Za-z]+)""))"),"한메")</f>
        <v>한메</v>
      </c>
      <c r="K324" s="26" t="str">
        <f>IFERROR(__xludf.DUMMYFUNCTION("""COMPUTED_VALUE"""),"신형만")</f>
        <v>신형만</v>
      </c>
      <c r="L324" s="26" t="str">
        <f>IFERROR(__xludf.DUMMYFUNCTION("""COMPUTED_VALUE"""),"키키")</f>
        <v>키키</v>
      </c>
      <c r="M324" s="26" t="str">
        <f>IFERROR(__xludf.DUMMYFUNCTION("""COMPUTED_VALUE"""),"깡패")</f>
        <v>깡패</v>
      </c>
      <c r="N324" s="26" t="str">
        <f>IFERROR(__xludf.DUMMYFUNCTION("ARRAYFORMULA(REGEXEXTRACT(SPLIT(E324, ""&lt;br&gt;""), ""([가-힣A-Za-z]+)""))"),"테리")</f>
        <v>테리</v>
      </c>
      <c r="O324" s="26" t="str">
        <f>IFERROR(__xludf.DUMMYFUNCTION("""COMPUTED_VALUE"""),"규식")</f>
        <v>규식</v>
      </c>
      <c r="P324" s="26" t="str">
        <f>IFERROR(__xludf.DUMMYFUNCTION("""COMPUTED_VALUE"""),"오딘")</f>
        <v>오딘</v>
      </c>
      <c r="Q324" s="26" t="str">
        <f>IFERROR(__xludf.DUMMYFUNCTION("""COMPUTED_VALUE"""),"찹쌀")</f>
        <v>찹쌀</v>
      </c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9" t="s">
        <v>1485</v>
      </c>
      <c r="B325" s="20" t="s">
        <v>1486</v>
      </c>
      <c r="C325" s="19" t="s">
        <v>1487</v>
      </c>
      <c r="D325" s="19">
        <v>5.0</v>
      </c>
      <c r="E325" s="19" t="s">
        <v>1488</v>
      </c>
      <c r="F325" s="19">
        <v>4.0</v>
      </c>
      <c r="G325" s="21">
        <v>45922.924305555556</v>
      </c>
      <c r="H325" s="19" t="s">
        <v>1352</v>
      </c>
      <c r="I325" s="22" t="s">
        <v>1206</v>
      </c>
      <c r="J325" s="25" t="str">
        <f>IFERROR(__xludf.DUMMYFUNCTION("ARRAYFORMULA(REGEXEXTRACT(SPLIT(C325, ""&lt;br&gt;""), ""([가-힣A-Za-z]+)""))"),"신형만")</f>
        <v>신형만</v>
      </c>
      <c r="K325" s="26" t="str">
        <f>IFERROR(__xludf.DUMMYFUNCTION("""COMPUTED_VALUE"""),"오딘")</f>
        <v>오딘</v>
      </c>
      <c r="L325" s="26" t="str">
        <f>IFERROR(__xludf.DUMMYFUNCTION("""COMPUTED_VALUE"""),"테리")</f>
        <v>테리</v>
      </c>
      <c r="M325" s="26" t="str">
        <f>IFERROR(__xludf.DUMMYFUNCTION("""COMPUTED_VALUE"""),"한메")</f>
        <v>한메</v>
      </c>
      <c r="N325" s="26" t="str">
        <f>IFERROR(__xludf.DUMMYFUNCTION("ARRAYFORMULA(REGEXEXTRACT(SPLIT(E325, ""&lt;br&gt;""), ""([가-힣A-Za-z]+)""))"),"찹쌀")</f>
        <v>찹쌀</v>
      </c>
      <c r="O325" s="26" t="str">
        <f>IFERROR(__xludf.DUMMYFUNCTION("""COMPUTED_VALUE"""),"깡패")</f>
        <v>깡패</v>
      </c>
      <c r="P325" s="26" t="str">
        <f>IFERROR(__xludf.DUMMYFUNCTION("""COMPUTED_VALUE"""),"짱구")</f>
        <v>짱구</v>
      </c>
      <c r="Q325" s="26" t="str">
        <f>IFERROR(__xludf.DUMMYFUNCTION("""COMPUTED_VALUE"""),"키키")</f>
        <v>키키</v>
      </c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9" t="s">
        <v>1489</v>
      </c>
      <c r="B326" s="20" t="s">
        <v>1490</v>
      </c>
      <c r="C326" s="19" t="s">
        <v>1491</v>
      </c>
      <c r="D326" s="19">
        <v>5.0</v>
      </c>
      <c r="E326" s="19" t="s">
        <v>1492</v>
      </c>
      <c r="F326" s="19">
        <v>2.0</v>
      </c>
      <c r="G326" s="21">
        <v>45922.893055555556</v>
      </c>
      <c r="H326" s="19" t="s">
        <v>1352</v>
      </c>
      <c r="I326" s="22" t="s">
        <v>341</v>
      </c>
      <c r="J326" s="25" t="str">
        <f>IFERROR(__xludf.DUMMYFUNCTION("ARRAYFORMULA(REGEXEXTRACT(SPLIT(C326, ""&lt;br&gt;""), ""([가-힣A-Za-z]+)""))"),"테리")</f>
        <v>테리</v>
      </c>
      <c r="K326" s="26" t="str">
        <f>IFERROR(__xludf.DUMMYFUNCTION("""COMPUTED_VALUE"""),"신형만")</f>
        <v>신형만</v>
      </c>
      <c r="L326" s="26" t="str">
        <f>IFERROR(__xludf.DUMMYFUNCTION("""COMPUTED_VALUE"""),"유즈")</f>
        <v>유즈</v>
      </c>
      <c r="M326" s="26" t="str">
        <f>IFERROR(__xludf.DUMMYFUNCTION("""COMPUTED_VALUE"""),"찹쌀")</f>
        <v>찹쌀</v>
      </c>
      <c r="N326" s="26" t="str">
        <f>IFERROR(__xludf.DUMMYFUNCTION("ARRAYFORMULA(REGEXEXTRACT(SPLIT(E326, ""&lt;br&gt;""), ""([가-힣A-Za-z]+)""))"),"노인")</f>
        <v>노인</v>
      </c>
      <c r="O326" s="26" t="str">
        <f>IFERROR(__xludf.DUMMYFUNCTION("""COMPUTED_VALUE"""),"짱구")</f>
        <v>짱구</v>
      </c>
      <c r="P326" s="26" t="str">
        <f>IFERROR(__xludf.DUMMYFUNCTION("""COMPUTED_VALUE"""),"새출발")</f>
        <v>새출발</v>
      </c>
      <c r="Q326" s="26" t="str">
        <f>IFERROR(__xludf.DUMMYFUNCTION("""COMPUTED_VALUE"""),"깡패")</f>
        <v>깡패</v>
      </c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9" t="s">
        <v>1493</v>
      </c>
      <c r="B327" s="20" t="s">
        <v>1494</v>
      </c>
      <c r="C327" s="19" t="s">
        <v>1495</v>
      </c>
      <c r="D327" s="19">
        <v>5.0</v>
      </c>
      <c r="E327" s="19" t="s">
        <v>1496</v>
      </c>
      <c r="F327" s="19">
        <v>4.0</v>
      </c>
      <c r="G327" s="21">
        <v>45922.87013888889</v>
      </c>
      <c r="H327" s="19" t="s">
        <v>1352</v>
      </c>
      <c r="I327" s="22" t="s">
        <v>341</v>
      </c>
      <c r="J327" s="25" t="str">
        <f>IFERROR(__xludf.DUMMYFUNCTION("ARRAYFORMULA(REGEXEXTRACT(SPLIT(C327, ""&lt;br&gt;""), ""([가-힣A-Za-z]+)""))"),"새출발")</f>
        <v>새출발</v>
      </c>
      <c r="K327" s="26" t="str">
        <f>IFERROR(__xludf.DUMMYFUNCTION("""COMPUTED_VALUE"""),"유즈")</f>
        <v>유즈</v>
      </c>
      <c r="L327" s="26" t="str">
        <f>IFERROR(__xludf.DUMMYFUNCTION("""COMPUTED_VALUE"""),"짱구")</f>
        <v>짱구</v>
      </c>
      <c r="M327" s="26" t="str">
        <f>IFERROR(__xludf.DUMMYFUNCTION("""COMPUTED_VALUE"""),"찹쌀")</f>
        <v>찹쌀</v>
      </c>
      <c r="N327" s="26" t="str">
        <f>IFERROR(__xludf.DUMMYFUNCTION("ARRAYFORMULA(REGEXEXTRACT(SPLIT(E327, ""&lt;br&gt;""), ""([가-힣A-Za-z]+)""))"),"테리")</f>
        <v>테리</v>
      </c>
      <c r="O327" s="26" t="str">
        <f>IFERROR(__xludf.DUMMYFUNCTION("""COMPUTED_VALUE"""),"노인")</f>
        <v>노인</v>
      </c>
      <c r="P327" s="26" t="str">
        <f>IFERROR(__xludf.DUMMYFUNCTION("""COMPUTED_VALUE"""),"신형만")</f>
        <v>신형만</v>
      </c>
      <c r="Q327" s="26" t="str">
        <f>IFERROR(__xludf.DUMMYFUNCTION("""COMPUTED_VALUE"""),"깡패")</f>
        <v>깡패</v>
      </c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9" t="s">
        <v>1497</v>
      </c>
      <c r="B328" s="20" t="s">
        <v>1498</v>
      </c>
      <c r="C328" s="19" t="s">
        <v>1499</v>
      </c>
      <c r="D328" s="19">
        <v>5.0</v>
      </c>
      <c r="E328" s="19" t="s">
        <v>1500</v>
      </c>
      <c r="F328" s="19">
        <v>4.0</v>
      </c>
      <c r="G328" s="21">
        <v>45922.04791666667</v>
      </c>
      <c r="H328" s="19" t="s">
        <v>1352</v>
      </c>
      <c r="I328" s="22" t="s">
        <v>1501</v>
      </c>
      <c r="J328" s="25" t="str">
        <f>IFERROR(__xludf.DUMMYFUNCTION("ARRAYFORMULA(REGEXEXTRACT(SPLIT(C328, ""&lt;br&gt;""), ""([가-힣A-Za-z]+)""))"),"깡패")</f>
        <v>깡패</v>
      </c>
      <c r="K328" s="26" t="str">
        <f>IFERROR(__xludf.DUMMYFUNCTION("""COMPUTED_VALUE"""),"재우")</f>
        <v>재우</v>
      </c>
      <c r="L328" s="26" t="str">
        <f>IFERROR(__xludf.DUMMYFUNCTION("""COMPUTED_VALUE"""),"테리")</f>
        <v>테리</v>
      </c>
      <c r="M328" s="26" t="str">
        <f>IFERROR(__xludf.DUMMYFUNCTION("""COMPUTED_VALUE"""),"노픽업")</f>
        <v>노픽업</v>
      </c>
      <c r="N328" s="26" t="str">
        <f>IFERROR(__xludf.DUMMYFUNCTION("ARRAYFORMULA(REGEXEXTRACT(SPLIT(E328, ""&lt;br&gt;""), ""([가-힣A-Za-z]+)""))"),"신형만")</f>
        <v>신형만</v>
      </c>
      <c r="O328" s="26" t="str">
        <f>IFERROR(__xludf.DUMMYFUNCTION("""COMPUTED_VALUE"""),"참치")</f>
        <v>참치</v>
      </c>
      <c r="P328" s="26" t="str">
        <f>IFERROR(__xludf.DUMMYFUNCTION("""COMPUTED_VALUE"""),"ACDC")</f>
        <v>ACDC</v>
      </c>
      <c r="Q328" s="26" t="str">
        <f>IFERROR(__xludf.DUMMYFUNCTION("""COMPUTED_VALUE"""),"넘버")</f>
        <v>넘버</v>
      </c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9" t="s">
        <v>1502</v>
      </c>
      <c r="B329" s="20" t="s">
        <v>1503</v>
      </c>
      <c r="C329" s="19" t="s">
        <v>1504</v>
      </c>
      <c r="D329" s="19">
        <v>5.0</v>
      </c>
      <c r="E329" s="19" t="s">
        <v>1505</v>
      </c>
      <c r="F329" s="19">
        <v>4.0</v>
      </c>
      <c r="G329" s="21">
        <v>45922.00277777778</v>
      </c>
      <c r="H329" s="19" t="s">
        <v>1352</v>
      </c>
      <c r="I329" s="22" t="s">
        <v>1506</v>
      </c>
      <c r="J329" s="25" t="str">
        <f>IFERROR(__xludf.DUMMYFUNCTION("ARRAYFORMULA(REGEXEXTRACT(SPLIT(C329, ""&lt;br&gt;""), ""([가-힣A-Za-z]+)""))"),"ACDC")</f>
        <v>ACDC</v>
      </c>
      <c r="K329" s="26" t="str">
        <f>IFERROR(__xludf.DUMMYFUNCTION("""COMPUTED_VALUE"""),"넘버")</f>
        <v>넘버</v>
      </c>
      <c r="L329" s="26" t="str">
        <f>IFERROR(__xludf.DUMMYFUNCTION("""COMPUTED_VALUE"""),"새출발")</f>
        <v>새출발</v>
      </c>
      <c r="M329" s="26" t="str">
        <f>IFERROR(__xludf.DUMMYFUNCTION("""COMPUTED_VALUE"""),"규식")</f>
        <v>규식</v>
      </c>
      <c r="N329" s="26" t="str">
        <f>IFERROR(__xludf.DUMMYFUNCTION("ARRAYFORMULA(REGEXEXTRACT(SPLIT(E329, ""&lt;br&gt;""), ""([가-힣A-Za-z]+)""))"),"참치")</f>
        <v>참치</v>
      </c>
      <c r="O329" s="26" t="str">
        <f>IFERROR(__xludf.DUMMYFUNCTION("""COMPUTED_VALUE"""),"테리")</f>
        <v>테리</v>
      </c>
      <c r="P329" s="26" t="str">
        <f>IFERROR(__xludf.DUMMYFUNCTION("""COMPUTED_VALUE"""),"신형만")</f>
        <v>신형만</v>
      </c>
      <c r="Q329" s="26" t="str">
        <f>IFERROR(__xludf.DUMMYFUNCTION("""COMPUTED_VALUE"""),"재우")</f>
        <v>재우</v>
      </c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9" t="s">
        <v>1507</v>
      </c>
      <c r="B330" s="20" t="s">
        <v>1508</v>
      </c>
      <c r="C330" s="19" t="s">
        <v>1509</v>
      </c>
      <c r="D330" s="19">
        <v>5.0</v>
      </c>
      <c r="E330" s="19" t="s">
        <v>1510</v>
      </c>
      <c r="F330" s="19">
        <v>0.0</v>
      </c>
      <c r="G330" s="21">
        <v>45921.95694444444</v>
      </c>
      <c r="H330" s="19" t="s">
        <v>1352</v>
      </c>
      <c r="I330" s="22" t="s">
        <v>1511</v>
      </c>
      <c r="J330" s="25" t="str">
        <f>IFERROR(__xludf.DUMMYFUNCTION("ARRAYFORMULA(REGEXEXTRACT(SPLIT(C330, ""&lt;br&gt;""), ""([가-힣A-Za-z]+)""))"),"깡패")</f>
        <v>깡패</v>
      </c>
      <c r="K330" s="26" t="str">
        <f>IFERROR(__xludf.DUMMYFUNCTION("""COMPUTED_VALUE"""),"참치")</f>
        <v>참치</v>
      </c>
      <c r="L330" s="26" t="str">
        <f>IFERROR(__xludf.DUMMYFUNCTION("""COMPUTED_VALUE"""),"규식")</f>
        <v>규식</v>
      </c>
      <c r="M330" s="26" t="str">
        <f>IFERROR(__xludf.DUMMYFUNCTION("""COMPUTED_VALUE"""),"신형만")</f>
        <v>신형만</v>
      </c>
      <c r="N330" s="26" t="str">
        <f>IFERROR(__xludf.DUMMYFUNCTION("ARRAYFORMULA(REGEXEXTRACT(SPLIT(E330, ""&lt;br&gt;""), ""([가-힣A-Za-z]+)""))"),"원")</f>
        <v>원</v>
      </c>
      <c r="O330" s="26" t="str">
        <f>IFERROR(__xludf.DUMMYFUNCTION("""COMPUTED_VALUE"""),"노인")</f>
        <v>노인</v>
      </c>
      <c r="P330" s="26" t="str">
        <f>IFERROR(__xludf.DUMMYFUNCTION("""COMPUTED_VALUE"""),"ACDC")</f>
        <v>ACDC</v>
      </c>
      <c r="Q330" s="26" t="str">
        <f>IFERROR(__xludf.DUMMYFUNCTION("""COMPUTED_VALUE"""),"넘버")</f>
        <v>넘버</v>
      </c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9" t="s">
        <v>1512</v>
      </c>
      <c r="B331" s="20" t="s">
        <v>1513</v>
      </c>
      <c r="C331" s="19" t="s">
        <v>1514</v>
      </c>
      <c r="D331" s="19">
        <v>5.0</v>
      </c>
      <c r="E331" s="19" t="s">
        <v>1515</v>
      </c>
      <c r="F331" s="19">
        <v>2.0</v>
      </c>
      <c r="G331" s="21">
        <v>45921.93958333333</v>
      </c>
      <c r="H331" s="19" t="s">
        <v>1352</v>
      </c>
      <c r="I331" s="22" t="s">
        <v>1516</v>
      </c>
      <c r="J331" s="25" t="str">
        <f>IFERROR(__xludf.DUMMYFUNCTION("ARRAYFORMULA(REGEXEXTRACT(SPLIT(C331, ""&lt;br&gt;""), ""([가-힣A-Za-z]+)""))"),"노인")</f>
        <v>노인</v>
      </c>
      <c r="K331" s="26" t="str">
        <f>IFERROR(__xludf.DUMMYFUNCTION("""COMPUTED_VALUE"""),"깡패")</f>
        <v>깡패</v>
      </c>
      <c r="L331" s="26" t="str">
        <f>IFERROR(__xludf.DUMMYFUNCTION("""COMPUTED_VALUE"""),"원")</f>
        <v>원</v>
      </c>
      <c r="M331" s="26" t="str">
        <f>IFERROR(__xludf.DUMMYFUNCTION("""COMPUTED_VALUE"""),"한메")</f>
        <v>한메</v>
      </c>
      <c r="N331" s="26" t="str">
        <f>IFERROR(__xludf.DUMMYFUNCTION("ARRAYFORMULA(REGEXEXTRACT(SPLIT(E331, ""&lt;br&gt;""), ""([가-힣A-Za-z]+)""))"),"테리")</f>
        <v>테리</v>
      </c>
      <c r="O331" s="26" t="str">
        <f>IFERROR(__xludf.DUMMYFUNCTION("""COMPUTED_VALUE"""),"신형만")</f>
        <v>신형만</v>
      </c>
      <c r="P331" s="26" t="str">
        <f>IFERROR(__xludf.DUMMYFUNCTION("""COMPUTED_VALUE"""),"새출발")</f>
        <v>새출발</v>
      </c>
      <c r="Q331" s="26" t="str">
        <f>IFERROR(__xludf.DUMMYFUNCTION("""COMPUTED_VALUE"""),"규식")</f>
        <v>규식</v>
      </c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9" t="s">
        <v>1517</v>
      </c>
      <c r="B332" s="20" t="s">
        <v>1518</v>
      </c>
      <c r="C332" s="19" t="s">
        <v>1519</v>
      </c>
      <c r="D332" s="19">
        <v>5.0</v>
      </c>
      <c r="E332" s="19" t="s">
        <v>1520</v>
      </c>
      <c r="F332" s="19">
        <v>4.0</v>
      </c>
      <c r="G332" s="21">
        <v>45921.89513888889</v>
      </c>
      <c r="H332" s="19" t="s">
        <v>1352</v>
      </c>
      <c r="I332" s="22" t="s">
        <v>1516</v>
      </c>
      <c r="J332" s="25" t="str">
        <f>IFERROR(__xludf.DUMMYFUNCTION("ARRAYFORMULA(REGEXEXTRACT(SPLIT(C332, ""&lt;br&gt;""), ""([가-힣A-Za-z]+)""))"),"한메")</f>
        <v>한메</v>
      </c>
      <c r="K332" s="26" t="str">
        <f>IFERROR(__xludf.DUMMYFUNCTION("""COMPUTED_VALUE"""),"테리")</f>
        <v>테리</v>
      </c>
      <c r="L332" s="26" t="str">
        <f>IFERROR(__xludf.DUMMYFUNCTION("""COMPUTED_VALUE"""),"깡패")</f>
        <v>깡패</v>
      </c>
      <c r="M332" s="26" t="str">
        <f>IFERROR(__xludf.DUMMYFUNCTION("""COMPUTED_VALUE"""),"신형만")</f>
        <v>신형만</v>
      </c>
      <c r="N332" s="26" t="str">
        <f>IFERROR(__xludf.DUMMYFUNCTION("ARRAYFORMULA(REGEXEXTRACT(SPLIT(E332, ""&lt;br&gt;""), ""([가-힣A-Za-z]+)""))"),"새출발")</f>
        <v>새출발</v>
      </c>
      <c r="O332" s="26" t="str">
        <f>IFERROR(__xludf.DUMMYFUNCTION("""COMPUTED_VALUE"""),"노인")</f>
        <v>노인</v>
      </c>
      <c r="P332" s="26" t="str">
        <f>IFERROR(__xludf.DUMMYFUNCTION("""COMPUTED_VALUE"""),"규식")</f>
        <v>규식</v>
      </c>
      <c r="Q332" s="26" t="str">
        <f>IFERROR(__xludf.DUMMYFUNCTION("""COMPUTED_VALUE"""),"원")</f>
        <v>원</v>
      </c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9" t="s">
        <v>1521</v>
      </c>
      <c r="B333" s="20" t="s">
        <v>1522</v>
      </c>
      <c r="C333" s="19" t="s">
        <v>1523</v>
      </c>
      <c r="D333" s="19">
        <v>5.0</v>
      </c>
      <c r="E333" s="19" t="s">
        <v>1524</v>
      </c>
      <c r="F333" s="19">
        <v>4.0</v>
      </c>
      <c r="G333" s="21">
        <v>45921.88125</v>
      </c>
      <c r="H333" s="19" t="s">
        <v>1352</v>
      </c>
      <c r="I333" s="22" t="s">
        <v>1516</v>
      </c>
      <c r="J333" s="25" t="str">
        <f>IFERROR(__xludf.DUMMYFUNCTION("ARRAYFORMULA(REGEXEXTRACT(SPLIT(C333, ""&lt;br&gt;""), ""([가-힣A-Za-z]+)""))"),"테리")</f>
        <v>테리</v>
      </c>
      <c r="K333" s="26" t="str">
        <f>IFERROR(__xludf.DUMMYFUNCTION("""COMPUTED_VALUE"""),"원")</f>
        <v>원</v>
      </c>
      <c r="L333" s="26" t="str">
        <f>IFERROR(__xludf.DUMMYFUNCTION("""COMPUTED_VALUE"""),"노인")</f>
        <v>노인</v>
      </c>
      <c r="M333" s="26" t="str">
        <f>IFERROR(__xludf.DUMMYFUNCTION("""COMPUTED_VALUE"""),"깡패")</f>
        <v>깡패</v>
      </c>
      <c r="N333" s="26" t="str">
        <f>IFERROR(__xludf.DUMMYFUNCTION("ARRAYFORMULA(REGEXEXTRACT(SPLIT(E333, ""&lt;br&gt;""), ""([가-힣A-Za-z]+)""))"),"신형만")</f>
        <v>신형만</v>
      </c>
      <c r="O333" s="26" t="str">
        <f>IFERROR(__xludf.DUMMYFUNCTION("""COMPUTED_VALUE"""),"규식")</f>
        <v>규식</v>
      </c>
      <c r="P333" s="26" t="str">
        <f>IFERROR(__xludf.DUMMYFUNCTION("""COMPUTED_VALUE"""),"새출발")</f>
        <v>새출발</v>
      </c>
      <c r="Q333" s="26" t="str">
        <f>IFERROR(__xludf.DUMMYFUNCTION("""COMPUTED_VALUE"""),"한메")</f>
        <v>한메</v>
      </c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9" t="s">
        <v>1525</v>
      </c>
      <c r="B334" s="20" t="s">
        <v>1526</v>
      </c>
      <c r="C334" s="19" t="s">
        <v>1527</v>
      </c>
      <c r="D334" s="19">
        <v>5.0</v>
      </c>
      <c r="E334" s="19" t="s">
        <v>1528</v>
      </c>
      <c r="F334" s="19">
        <v>4.0</v>
      </c>
      <c r="G334" s="21">
        <v>45921.85208333333</v>
      </c>
      <c r="H334" s="19" t="s">
        <v>1352</v>
      </c>
      <c r="I334" s="22" t="s">
        <v>1516</v>
      </c>
      <c r="J334" s="25" t="str">
        <f>IFERROR(__xludf.DUMMYFUNCTION("ARRAYFORMULA(REGEXEXTRACT(SPLIT(C334, ""&lt;br&gt;""), ""([가-힣A-Za-z]+)""))"),"노인")</f>
        <v>노인</v>
      </c>
      <c r="K334" s="26" t="str">
        <f>IFERROR(__xludf.DUMMYFUNCTION("""COMPUTED_VALUE"""),"새출발")</f>
        <v>새출발</v>
      </c>
      <c r="L334" s="26" t="str">
        <f>IFERROR(__xludf.DUMMYFUNCTION("""COMPUTED_VALUE"""),"원")</f>
        <v>원</v>
      </c>
      <c r="M334" s="26" t="str">
        <f>IFERROR(__xludf.DUMMYFUNCTION("""COMPUTED_VALUE"""),"신형만")</f>
        <v>신형만</v>
      </c>
      <c r="N334" s="26" t="str">
        <f>IFERROR(__xludf.DUMMYFUNCTION("ARRAYFORMULA(REGEXEXTRACT(SPLIT(E334, ""&lt;br&gt;""), ""([가-힣A-Za-z]+)""))"),"한메")</f>
        <v>한메</v>
      </c>
      <c r="O334" s="26" t="str">
        <f>IFERROR(__xludf.DUMMYFUNCTION("""COMPUTED_VALUE"""),"테리")</f>
        <v>테리</v>
      </c>
      <c r="P334" s="26" t="str">
        <f>IFERROR(__xludf.DUMMYFUNCTION("""COMPUTED_VALUE"""),"깡패")</f>
        <v>깡패</v>
      </c>
      <c r="Q334" s="26" t="str">
        <f>IFERROR(__xludf.DUMMYFUNCTION("""COMPUTED_VALUE"""),"규식")</f>
        <v>규식</v>
      </c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9" t="s">
        <v>1529</v>
      </c>
      <c r="B335" s="20" t="s">
        <v>1530</v>
      </c>
      <c r="C335" s="19" t="s">
        <v>1531</v>
      </c>
      <c r="D335" s="19">
        <v>5.0</v>
      </c>
      <c r="E335" s="19" t="s">
        <v>1532</v>
      </c>
      <c r="F335" s="19">
        <v>2.0</v>
      </c>
      <c r="G335" s="21">
        <v>45921.62222222222</v>
      </c>
      <c r="H335" s="19" t="s">
        <v>1352</v>
      </c>
      <c r="I335" s="22" t="s">
        <v>1533</v>
      </c>
      <c r="J335" s="25" t="str">
        <f>IFERROR(__xludf.DUMMYFUNCTION("ARRAYFORMULA(REGEXEXTRACT(SPLIT(C335, ""&lt;br&gt;""), ""([가-힣A-Za-z]+)""))"),"노인")</f>
        <v>노인</v>
      </c>
      <c r="K335" s="26" t="str">
        <f>IFERROR(__xludf.DUMMYFUNCTION("""COMPUTED_VALUE"""),"테리")</f>
        <v>테리</v>
      </c>
      <c r="L335" s="26" t="str">
        <f>IFERROR(__xludf.DUMMYFUNCTION("""COMPUTED_VALUE"""),"규식")</f>
        <v>규식</v>
      </c>
      <c r="M335" s="26" t="str">
        <f>IFERROR(__xludf.DUMMYFUNCTION("""COMPUTED_VALUE"""),"노픽업")</f>
        <v>노픽업</v>
      </c>
      <c r="N335" s="26" t="str">
        <f>IFERROR(__xludf.DUMMYFUNCTION("ARRAYFORMULA(REGEXEXTRACT(SPLIT(E335, ""&lt;br&gt;""), ""([가-힣A-Za-z]+)""))"),"새출발")</f>
        <v>새출발</v>
      </c>
      <c r="O335" s="26" t="str">
        <f>IFERROR(__xludf.DUMMYFUNCTION("""COMPUTED_VALUE"""),"넘버")</f>
        <v>넘버</v>
      </c>
      <c r="P335" s="26" t="str">
        <f>IFERROR(__xludf.DUMMYFUNCTION("""COMPUTED_VALUE"""),"원")</f>
        <v>원</v>
      </c>
      <c r="Q335" s="26" t="str">
        <f>IFERROR(__xludf.DUMMYFUNCTION("""COMPUTED_VALUE"""),"신형만")</f>
        <v>신형만</v>
      </c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9" t="s">
        <v>1534</v>
      </c>
      <c r="B336" s="20" t="s">
        <v>1535</v>
      </c>
      <c r="C336" s="19" t="s">
        <v>1536</v>
      </c>
      <c r="D336" s="19">
        <v>5.0</v>
      </c>
      <c r="E336" s="19" t="s">
        <v>1537</v>
      </c>
      <c r="F336" s="19">
        <v>0.0</v>
      </c>
      <c r="G336" s="21">
        <v>45921.60208333333</v>
      </c>
      <c r="H336" s="19" t="s">
        <v>1352</v>
      </c>
      <c r="I336" s="22" t="s">
        <v>1533</v>
      </c>
      <c r="J336" s="25" t="str">
        <f>IFERROR(__xludf.DUMMYFUNCTION("ARRAYFORMULA(REGEXEXTRACT(SPLIT(C336, ""&lt;br&gt;""), ""([가-힣A-Za-z]+)""))"),"테리")</f>
        <v>테리</v>
      </c>
      <c r="K336" s="26" t="str">
        <f>IFERROR(__xludf.DUMMYFUNCTION("""COMPUTED_VALUE"""),"노인")</f>
        <v>노인</v>
      </c>
      <c r="L336" s="26" t="str">
        <f>IFERROR(__xludf.DUMMYFUNCTION("""COMPUTED_VALUE"""),"새출발")</f>
        <v>새출발</v>
      </c>
      <c r="M336" s="26" t="str">
        <f>IFERROR(__xludf.DUMMYFUNCTION("""COMPUTED_VALUE"""),"원")</f>
        <v>원</v>
      </c>
      <c r="N336" s="26" t="str">
        <f>IFERROR(__xludf.DUMMYFUNCTION("ARRAYFORMULA(REGEXEXTRACT(SPLIT(E336, ""&lt;br&gt;""), ""([가-힣A-Za-z]+)""))"),"신형만")</f>
        <v>신형만</v>
      </c>
      <c r="O336" s="26" t="str">
        <f>IFERROR(__xludf.DUMMYFUNCTION("""COMPUTED_VALUE"""),"규식")</f>
        <v>규식</v>
      </c>
      <c r="P336" s="26" t="str">
        <f>IFERROR(__xludf.DUMMYFUNCTION("""COMPUTED_VALUE"""),"노픽업")</f>
        <v>노픽업</v>
      </c>
      <c r="Q336" s="26" t="str">
        <f>IFERROR(__xludf.DUMMYFUNCTION("""COMPUTED_VALUE"""),"넘버")</f>
        <v>넘버</v>
      </c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9" t="s">
        <v>1538</v>
      </c>
      <c r="B337" s="20" t="s">
        <v>1539</v>
      </c>
      <c r="C337" s="19" t="s">
        <v>1540</v>
      </c>
      <c r="D337" s="19">
        <v>5.0</v>
      </c>
      <c r="E337" s="19" t="s">
        <v>1541</v>
      </c>
      <c r="F337" s="19">
        <v>4.0</v>
      </c>
      <c r="G337" s="21">
        <v>45921.59166666667</v>
      </c>
      <c r="H337" s="19" t="s">
        <v>1352</v>
      </c>
      <c r="I337" s="22" t="s">
        <v>1533</v>
      </c>
      <c r="J337" s="25" t="str">
        <f>IFERROR(__xludf.DUMMYFUNCTION("ARRAYFORMULA(REGEXEXTRACT(SPLIT(C337, ""&lt;br&gt;""), ""([가-힣A-Za-z]+)""))"),"노인")</f>
        <v>노인</v>
      </c>
      <c r="K337" s="26" t="str">
        <f>IFERROR(__xludf.DUMMYFUNCTION("""COMPUTED_VALUE"""),"넘버")</f>
        <v>넘버</v>
      </c>
      <c r="L337" s="26" t="str">
        <f>IFERROR(__xludf.DUMMYFUNCTION("""COMPUTED_VALUE"""),"테리")</f>
        <v>테리</v>
      </c>
      <c r="M337" s="26" t="str">
        <f>IFERROR(__xludf.DUMMYFUNCTION("""COMPUTED_VALUE"""),"노픽업")</f>
        <v>노픽업</v>
      </c>
      <c r="N337" s="26" t="str">
        <f>IFERROR(__xludf.DUMMYFUNCTION("ARRAYFORMULA(REGEXEXTRACT(SPLIT(E337, ""&lt;br&gt;""), ""([가-힣A-Za-z]+)""))"),"원")</f>
        <v>원</v>
      </c>
      <c r="O337" s="26" t="str">
        <f>IFERROR(__xludf.DUMMYFUNCTION("""COMPUTED_VALUE"""),"새출발")</f>
        <v>새출발</v>
      </c>
      <c r="P337" s="26" t="str">
        <f>IFERROR(__xludf.DUMMYFUNCTION("""COMPUTED_VALUE"""),"신형만")</f>
        <v>신형만</v>
      </c>
      <c r="Q337" s="26" t="str">
        <f>IFERROR(__xludf.DUMMYFUNCTION("""COMPUTED_VALUE"""),"규식")</f>
        <v>규식</v>
      </c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9" t="s">
        <v>1542</v>
      </c>
      <c r="B338" s="20" t="s">
        <v>1543</v>
      </c>
      <c r="C338" s="19" t="s">
        <v>1544</v>
      </c>
      <c r="D338" s="19">
        <v>5.0</v>
      </c>
      <c r="E338" s="19" t="s">
        <v>1545</v>
      </c>
      <c r="F338" s="19">
        <v>2.0</v>
      </c>
      <c r="G338" s="21">
        <v>45919.728472222225</v>
      </c>
      <c r="H338" s="19" t="s">
        <v>1352</v>
      </c>
      <c r="I338" s="22" t="s">
        <v>1546</v>
      </c>
      <c r="J338" s="25" t="str">
        <f>IFERROR(__xludf.DUMMYFUNCTION("ARRAYFORMULA(REGEXEXTRACT(SPLIT(C338, ""&lt;br&gt;""), ""([가-힣A-Za-z]+)""))"),"키키")</f>
        <v>키키</v>
      </c>
      <c r="K338" s="26" t="str">
        <f>IFERROR(__xludf.DUMMYFUNCTION("""COMPUTED_VALUE"""),"깡패")</f>
        <v>깡패</v>
      </c>
      <c r="L338" s="26" t="str">
        <f>IFERROR(__xludf.DUMMYFUNCTION("""COMPUTED_VALUE"""),"유즈")</f>
        <v>유즈</v>
      </c>
      <c r="M338" s="26" t="str">
        <f>IFERROR(__xludf.DUMMYFUNCTION("""COMPUTED_VALUE"""),"찹쌀")</f>
        <v>찹쌀</v>
      </c>
      <c r="N338" s="26" t="str">
        <f>IFERROR(__xludf.DUMMYFUNCTION("ARRAYFORMULA(REGEXEXTRACT(SPLIT(E338, ""&lt;br&gt;""), ""([가-힣A-Za-z]+)""))"),"신형만")</f>
        <v>신형만</v>
      </c>
      <c r="O338" s="26" t="str">
        <f>IFERROR(__xludf.DUMMYFUNCTION("""COMPUTED_VALUE"""),"테리")</f>
        <v>테리</v>
      </c>
      <c r="P338" s="26" t="str">
        <f>IFERROR(__xludf.DUMMYFUNCTION("""COMPUTED_VALUE"""),"강화")</f>
        <v>강화</v>
      </c>
      <c r="Q338" s="26" t="str">
        <f>IFERROR(__xludf.DUMMYFUNCTION("""COMPUTED_VALUE"""),"ACDC")</f>
        <v>ACDC</v>
      </c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9" t="s">
        <v>1547</v>
      </c>
      <c r="B339" s="20" t="s">
        <v>1548</v>
      </c>
      <c r="C339" s="19" t="s">
        <v>1549</v>
      </c>
      <c r="D339" s="19">
        <v>5.0</v>
      </c>
      <c r="E339" s="19" t="s">
        <v>1550</v>
      </c>
      <c r="F339" s="19">
        <v>2.0</v>
      </c>
      <c r="G339" s="21">
        <v>45919.71805555555</v>
      </c>
      <c r="H339" s="19" t="s">
        <v>1352</v>
      </c>
      <c r="I339" s="22" t="s">
        <v>1546</v>
      </c>
      <c r="J339" s="25" t="str">
        <f>IFERROR(__xludf.DUMMYFUNCTION("ARRAYFORMULA(REGEXEXTRACT(SPLIT(C339, ""&lt;br&gt;""), ""([가-힣A-Za-z]+)""))"),"깡패")</f>
        <v>깡패</v>
      </c>
      <c r="K339" s="26" t="str">
        <f>IFERROR(__xludf.DUMMYFUNCTION("""COMPUTED_VALUE"""),"ACDC")</f>
        <v>ACDC</v>
      </c>
      <c r="L339" s="26" t="str">
        <f>IFERROR(__xludf.DUMMYFUNCTION("""COMPUTED_VALUE"""),"신형만")</f>
        <v>신형만</v>
      </c>
      <c r="M339" s="26" t="str">
        <f>IFERROR(__xludf.DUMMYFUNCTION("""COMPUTED_VALUE"""),"키키")</f>
        <v>키키</v>
      </c>
      <c r="N339" s="26" t="str">
        <f>IFERROR(__xludf.DUMMYFUNCTION("ARRAYFORMULA(REGEXEXTRACT(SPLIT(E339, ""&lt;br&gt;""), ""([가-힣A-Za-z]+)""))"),"찹쌀")</f>
        <v>찹쌀</v>
      </c>
      <c r="O339" s="26" t="str">
        <f>IFERROR(__xludf.DUMMYFUNCTION("""COMPUTED_VALUE"""),"유즈")</f>
        <v>유즈</v>
      </c>
      <c r="P339" s="26" t="str">
        <f>IFERROR(__xludf.DUMMYFUNCTION("""COMPUTED_VALUE"""),"테리")</f>
        <v>테리</v>
      </c>
      <c r="Q339" s="26" t="str">
        <f>IFERROR(__xludf.DUMMYFUNCTION("""COMPUTED_VALUE"""),"강화")</f>
        <v>강화</v>
      </c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9" t="s">
        <v>1551</v>
      </c>
      <c r="B340" s="20" t="s">
        <v>1552</v>
      </c>
      <c r="C340" s="19" t="s">
        <v>1553</v>
      </c>
      <c r="D340" s="19">
        <v>5.0</v>
      </c>
      <c r="E340" s="19" t="s">
        <v>1554</v>
      </c>
      <c r="F340" s="19">
        <v>4.0</v>
      </c>
      <c r="G340" s="21">
        <v>45919.67986111111</v>
      </c>
      <c r="H340" s="19" t="s">
        <v>1352</v>
      </c>
      <c r="I340" s="22" t="s">
        <v>1555</v>
      </c>
      <c r="J340" s="25" t="str">
        <f>IFERROR(__xludf.DUMMYFUNCTION("ARRAYFORMULA(REGEXEXTRACT(SPLIT(C340, ""&lt;br&gt;""), ""([가-힣A-Za-z]+)""))"),"신형만")</f>
        <v>신형만</v>
      </c>
      <c r="K340" s="26" t="str">
        <f>IFERROR(__xludf.DUMMYFUNCTION("""COMPUTED_VALUE"""),"깡패")</f>
        <v>깡패</v>
      </c>
      <c r="L340" s="26" t="str">
        <f>IFERROR(__xludf.DUMMYFUNCTION("""COMPUTED_VALUE"""),"유즈")</f>
        <v>유즈</v>
      </c>
      <c r="M340" s="26" t="str">
        <f>IFERROR(__xludf.DUMMYFUNCTION("""COMPUTED_VALUE"""),"찹쌀")</f>
        <v>찹쌀</v>
      </c>
      <c r="N340" s="26" t="str">
        <f>IFERROR(__xludf.DUMMYFUNCTION("ARRAYFORMULA(REGEXEXTRACT(SPLIT(E340, ""&lt;br&gt;""), ""([가-힣A-Za-z]+)""))"),"테리")</f>
        <v>테리</v>
      </c>
      <c r="O340" s="26" t="str">
        <f>IFERROR(__xludf.DUMMYFUNCTION("""COMPUTED_VALUE"""),"오딘")</f>
        <v>오딘</v>
      </c>
      <c r="P340" s="26" t="str">
        <f>IFERROR(__xludf.DUMMYFUNCTION("""COMPUTED_VALUE"""),"강화")</f>
        <v>강화</v>
      </c>
      <c r="Q340" s="26" t="str">
        <f>IFERROR(__xludf.DUMMYFUNCTION("""COMPUTED_VALUE"""),"ACDC")</f>
        <v>ACDC</v>
      </c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9" t="s">
        <v>1556</v>
      </c>
      <c r="B341" s="20" t="s">
        <v>1557</v>
      </c>
      <c r="C341" s="19" t="s">
        <v>1558</v>
      </c>
      <c r="D341" s="19">
        <v>5.0</v>
      </c>
      <c r="E341" s="19" t="s">
        <v>1559</v>
      </c>
      <c r="F341" s="19">
        <v>0.0</v>
      </c>
      <c r="G341" s="21">
        <v>45919.65555555555</v>
      </c>
      <c r="H341" s="19" t="s">
        <v>1352</v>
      </c>
      <c r="I341" s="22" t="s">
        <v>1555</v>
      </c>
      <c r="J341" s="25" t="str">
        <f>IFERROR(__xludf.DUMMYFUNCTION("ARRAYFORMULA(REGEXEXTRACT(SPLIT(C341, ""&lt;br&gt;""), ""([가-힣A-Za-z]+)""))"),"찹쌀")</f>
        <v>찹쌀</v>
      </c>
      <c r="K341" s="26" t="str">
        <f>IFERROR(__xludf.DUMMYFUNCTION("""COMPUTED_VALUE"""),"유즈")</f>
        <v>유즈</v>
      </c>
      <c r="L341" s="26" t="str">
        <f>IFERROR(__xludf.DUMMYFUNCTION("""COMPUTED_VALUE"""),"테리")</f>
        <v>테리</v>
      </c>
      <c r="M341" s="26" t="str">
        <f>IFERROR(__xludf.DUMMYFUNCTION("""COMPUTED_VALUE"""),"오딘")</f>
        <v>오딘</v>
      </c>
      <c r="N341" s="26" t="str">
        <f>IFERROR(__xludf.DUMMYFUNCTION("ARRAYFORMULA(REGEXEXTRACT(SPLIT(E341, ""&lt;br&gt;""), ""([가-힣A-Za-z]+)""))"),"깡패")</f>
        <v>깡패</v>
      </c>
      <c r="O341" s="26" t="str">
        <f>IFERROR(__xludf.DUMMYFUNCTION("""COMPUTED_VALUE"""),"ACDC")</f>
        <v>ACDC</v>
      </c>
      <c r="P341" s="26" t="str">
        <f>IFERROR(__xludf.DUMMYFUNCTION("""COMPUTED_VALUE"""),"신형만")</f>
        <v>신형만</v>
      </c>
      <c r="Q341" s="26" t="str">
        <f>IFERROR(__xludf.DUMMYFUNCTION("""COMPUTED_VALUE"""),"강화")</f>
        <v>강화</v>
      </c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9" t="s">
        <v>1560</v>
      </c>
      <c r="B342" s="20" t="s">
        <v>1561</v>
      </c>
      <c r="C342" s="19" t="s">
        <v>1562</v>
      </c>
      <c r="D342" s="19">
        <v>5.0</v>
      </c>
      <c r="E342" s="19" t="s">
        <v>1563</v>
      </c>
      <c r="F342" s="19">
        <v>4.0</v>
      </c>
      <c r="G342" s="21">
        <v>45919.63125</v>
      </c>
      <c r="H342" s="19" t="s">
        <v>1352</v>
      </c>
      <c r="I342" s="22" t="s">
        <v>1564</v>
      </c>
      <c r="J342" s="25" t="str">
        <f>IFERROR(__xludf.DUMMYFUNCTION("ARRAYFORMULA(REGEXEXTRACT(SPLIT(C342, ""&lt;br&gt;""), ""([가-힣A-Za-z]+)""))"),"신형만")</f>
        <v>신형만</v>
      </c>
      <c r="K342" s="26" t="str">
        <f>IFERROR(__xludf.DUMMYFUNCTION("""COMPUTED_VALUE"""),"재우")</f>
        <v>재우</v>
      </c>
      <c r="L342" s="26" t="str">
        <f>IFERROR(__xludf.DUMMYFUNCTION("""COMPUTED_VALUE"""),"유즈")</f>
        <v>유즈</v>
      </c>
      <c r="M342" s="26" t="str">
        <f>IFERROR(__xludf.DUMMYFUNCTION("""COMPUTED_VALUE"""),"깡패")</f>
        <v>깡패</v>
      </c>
      <c r="N342" s="26" t="str">
        <f>IFERROR(__xludf.DUMMYFUNCTION("ARRAYFORMULA(REGEXEXTRACT(SPLIT(E342, ""&lt;br&gt;""), ""([가-힣A-Za-z]+)""))"),"강화")</f>
        <v>강화</v>
      </c>
      <c r="O342" s="26" t="str">
        <f>IFERROR(__xludf.DUMMYFUNCTION("""COMPUTED_VALUE"""),"테리")</f>
        <v>테리</v>
      </c>
      <c r="P342" s="26" t="str">
        <f>IFERROR(__xludf.DUMMYFUNCTION("""COMPUTED_VALUE"""),"ACDC")</f>
        <v>ACDC</v>
      </c>
      <c r="Q342" s="26" t="str">
        <f>IFERROR(__xludf.DUMMYFUNCTION("""COMPUTED_VALUE"""),"찹쌀")</f>
        <v>찹쌀</v>
      </c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9" t="s">
        <v>1565</v>
      </c>
      <c r="B343" s="20" t="s">
        <v>1566</v>
      </c>
      <c r="C343" s="19" t="s">
        <v>1567</v>
      </c>
      <c r="D343" s="19">
        <v>5.0</v>
      </c>
      <c r="E343" s="19" t="s">
        <v>1568</v>
      </c>
      <c r="F343" s="19">
        <v>4.0</v>
      </c>
      <c r="G343" s="21">
        <v>45919.038194444445</v>
      </c>
      <c r="H343" s="19" t="s">
        <v>1352</v>
      </c>
      <c r="I343" s="22" t="s">
        <v>1569</v>
      </c>
      <c r="J343" s="25" t="str">
        <f>IFERROR(__xludf.DUMMYFUNCTION("ARRAYFORMULA(REGEXEXTRACT(SPLIT(C343, ""&lt;br&gt;""), ""([가-힣A-Za-z]+)""))"),"키키")</f>
        <v>키키</v>
      </c>
      <c r="K343" s="26" t="str">
        <f>IFERROR(__xludf.DUMMYFUNCTION("""COMPUTED_VALUE"""),"노인")</f>
        <v>노인</v>
      </c>
      <c r="L343" s="26" t="str">
        <f>IFERROR(__xludf.DUMMYFUNCTION("""COMPUTED_VALUE"""),"넘버")</f>
        <v>넘버</v>
      </c>
      <c r="M343" s="26" t="str">
        <f>IFERROR(__xludf.DUMMYFUNCTION("""COMPUTED_VALUE"""),"재우")</f>
        <v>재우</v>
      </c>
      <c r="N343" s="26" t="str">
        <f>IFERROR(__xludf.DUMMYFUNCTION("ARRAYFORMULA(REGEXEXTRACT(SPLIT(E343, ""&lt;br&gt;""), ""([가-힣A-Za-z]+)""))"),"깡패")</f>
        <v>깡패</v>
      </c>
      <c r="O343" s="26" t="str">
        <f>IFERROR(__xludf.DUMMYFUNCTION("""COMPUTED_VALUE"""),"신형만")</f>
        <v>신형만</v>
      </c>
      <c r="P343" s="26" t="str">
        <f>IFERROR(__xludf.DUMMYFUNCTION("""COMPUTED_VALUE"""),"한메")</f>
        <v>한메</v>
      </c>
      <c r="Q343" s="26" t="str">
        <f>IFERROR(__xludf.DUMMYFUNCTION("""COMPUTED_VALUE"""),"강화")</f>
        <v>강화</v>
      </c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9" t="s">
        <v>1570</v>
      </c>
      <c r="B344" s="20" t="s">
        <v>1571</v>
      </c>
      <c r="C344" s="19" t="s">
        <v>1572</v>
      </c>
      <c r="D344" s="19">
        <v>5.0</v>
      </c>
      <c r="E344" s="19" t="s">
        <v>1573</v>
      </c>
      <c r="F344" s="19">
        <v>2.0</v>
      </c>
      <c r="G344" s="21">
        <v>45918.99722222222</v>
      </c>
      <c r="H344" s="19" t="s">
        <v>1352</v>
      </c>
      <c r="I344" s="22" t="s">
        <v>1569</v>
      </c>
      <c r="J344" s="25" t="str">
        <f>IFERROR(__xludf.DUMMYFUNCTION("ARRAYFORMULA(REGEXEXTRACT(SPLIT(C344, ""&lt;br&gt;""), ""([가-힣A-Za-z]+)""))"),"신형만")</f>
        <v>신형만</v>
      </c>
      <c r="K344" s="26" t="str">
        <f>IFERROR(__xludf.DUMMYFUNCTION("""COMPUTED_VALUE"""),"깡패")</f>
        <v>깡패</v>
      </c>
      <c r="L344" s="26" t="str">
        <f>IFERROR(__xludf.DUMMYFUNCTION("""COMPUTED_VALUE"""),"키키")</f>
        <v>키키</v>
      </c>
      <c r="M344" s="26" t="str">
        <f>IFERROR(__xludf.DUMMYFUNCTION("""COMPUTED_VALUE"""),"넘버")</f>
        <v>넘버</v>
      </c>
      <c r="N344" s="26" t="str">
        <f>IFERROR(__xludf.DUMMYFUNCTION("ARRAYFORMULA(REGEXEXTRACT(SPLIT(E344, ""&lt;br&gt;""), ""([가-힣A-Za-z]+)""))"),"한메")</f>
        <v>한메</v>
      </c>
      <c r="O344" s="26" t="str">
        <f>IFERROR(__xludf.DUMMYFUNCTION("""COMPUTED_VALUE"""),"재우")</f>
        <v>재우</v>
      </c>
      <c r="P344" s="26" t="str">
        <f>IFERROR(__xludf.DUMMYFUNCTION("""COMPUTED_VALUE"""),"강화")</f>
        <v>강화</v>
      </c>
      <c r="Q344" s="26" t="str">
        <f>IFERROR(__xludf.DUMMYFUNCTION("""COMPUTED_VALUE"""),"노인")</f>
        <v>노인</v>
      </c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9" t="s">
        <v>1574</v>
      </c>
      <c r="B345" s="20" t="s">
        <v>1575</v>
      </c>
      <c r="C345" s="19" t="s">
        <v>1576</v>
      </c>
      <c r="D345" s="19">
        <v>5.0</v>
      </c>
      <c r="E345" s="19" t="s">
        <v>1577</v>
      </c>
      <c r="F345" s="19">
        <v>4.0</v>
      </c>
      <c r="G345" s="21">
        <v>45918.975694444445</v>
      </c>
      <c r="H345" s="19" t="s">
        <v>1352</v>
      </c>
      <c r="I345" s="22" t="s">
        <v>1569</v>
      </c>
      <c r="J345" s="25" t="str">
        <f>IFERROR(__xludf.DUMMYFUNCTION("ARRAYFORMULA(REGEXEXTRACT(SPLIT(C345, ""&lt;br&gt;""), ""([가-힣A-Za-z]+)""))"),"강화")</f>
        <v>강화</v>
      </c>
      <c r="K345" s="26" t="str">
        <f>IFERROR(__xludf.DUMMYFUNCTION("""COMPUTED_VALUE"""),"신형만")</f>
        <v>신형만</v>
      </c>
      <c r="L345" s="26" t="str">
        <f>IFERROR(__xludf.DUMMYFUNCTION("""COMPUTED_VALUE"""),"한메")</f>
        <v>한메</v>
      </c>
      <c r="M345" s="26" t="str">
        <f>IFERROR(__xludf.DUMMYFUNCTION("""COMPUTED_VALUE"""),"키키")</f>
        <v>키키</v>
      </c>
      <c r="N345" s="26" t="str">
        <f>IFERROR(__xludf.DUMMYFUNCTION("ARRAYFORMULA(REGEXEXTRACT(SPLIT(E345, ""&lt;br&gt;""), ""([가-힣A-Za-z]+)""))"),"넘버")</f>
        <v>넘버</v>
      </c>
      <c r="O345" s="26" t="str">
        <f>IFERROR(__xludf.DUMMYFUNCTION("""COMPUTED_VALUE"""),"노인")</f>
        <v>노인</v>
      </c>
      <c r="P345" s="26" t="str">
        <f>IFERROR(__xludf.DUMMYFUNCTION("""COMPUTED_VALUE"""),"깡패")</f>
        <v>깡패</v>
      </c>
      <c r="Q345" s="26" t="str">
        <f>IFERROR(__xludf.DUMMYFUNCTION("""COMPUTED_VALUE"""),"재우")</f>
        <v>재우</v>
      </c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9" t="s">
        <v>1578</v>
      </c>
      <c r="B346" s="20" t="s">
        <v>1579</v>
      </c>
      <c r="C346" s="19" t="s">
        <v>1580</v>
      </c>
      <c r="D346" s="19">
        <v>5.0</v>
      </c>
      <c r="E346" s="19" t="s">
        <v>1581</v>
      </c>
      <c r="F346" s="19">
        <v>3.0</v>
      </c>
      <c r="G346" s="21">
        <v>45918.941666666666</v>
      </c>
      <c r="H346" s="19" t="s">
        <v>1352</v>
      </c>
      <c r="I346" s="22" t="s">
        <v>1569</v>
      </c>
      <c r="J346" s="25" t="str">
        <f>IFERROR(__xludf.DUMMYFUNCTION("ARRAYFORMULA(REGEXEXTRACT(SPLIT(C346, ""&lt;br&gt;""), ""([가-힣A-Za-z]+)""))"),"한메")</f>
        <v>한메</v>
      </c>
      <c r="K346" s="26" t="str">
        <f>IFERROR(__xludf.DUMMYFUNCTION("""COMPUTED_VALUE"""),"넘버")</f>
        <v>넘버</v>
      </c>
      <c r="L346" s="26" t="str">
        <f>IFERROR(__xludf.DUMMYFUNCTION("""COMPUTED_VALUE"""),"키키")</f>
        <v>키키</v>
      </c>
      <c r="M346" s="26" t="str">
        <f>IFERROR(__xludf.DUMMYFUNCTION("""COMPUTED_VALUE"""),"깡패")</f>
        <v>깡패</v>
      </c>
      <c r="N346" s="26" t="str">
        <f>IFERROR(__xludf.DUMMYFUNCTION("ARRAYFORMULA(REGEXEXTRACT(SPLIT(E346, ""&lt;br&gt;""), ""([가-힣A-Za-z]+)""))"),"신형만")</f>
        <v>신형만</v>
      </c>
      <c r="O346" s="26" t="str">
        <f>IFERROR(__xludf.DUMMYFUNCTION("""COMPUTED_VALUE"""),"테리")</f>
        <v>테리</v>
      </c>
      <c r="P346" s="26" t="str">
        <f>IFERROR(__xludf.DUMMYFUNCTION("""COMPUTED_VALUE"""),"노인")</f>
        <v>노인</v>
      </c>
      <c r="Q346" s="26" t="str">
        <f>IFERROR(__xludf.DUMMYFUNCTION("""COMPUTED_VALUE"""),"강화")</f>
        <v>강화</v>
      </c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9" t="s">
        <v>1582</v>
      </c>
      <c r="B347" s="20" t="s">
        <v>1583</v>
      </c>
      <c r="C347" s="19" t="s">
        <v>1584</v>
      </c>
      <c r="D347" s="19">
        <v>5.0</v>
      </c>
      <c r="E347" s="19" t="s">
        <v>1585</v>
      </c>
      <c r="F347" s="19">
        <v>2.0</v>
      </c>
      <c r="G347" s="21">
        <v>45918.91875</v>
      </c>
      <c r="H347" s="19" t="s">
        <v>1352</v>
      </c>
      <c r="I347" s="22" t="s">
        <v>1586</v>
      </c>
      <c r="J347" s="25" t="str">
        <f>IFERROR(__xludf.DUMMYFUNCTION("ARRAYFORMULA(REGEXEXTRACT(SPLIT(C347, ""&lt;br&gt;""), ""([가-힣A-Za-z]+)""))"),"테리")</f>
        <v>테리</v>
      </c>
      <c r="K347" s="26" t="str">
        <f>IFERROR(__xludf.DUMMYFUNCTION("""COMPUTED_VALUE"""),"신형만")</f>
        <v>신형만</v>
      </c>
      <c r="L347" s="26" t="str">
        <f>IFERROR(__xludf.DUMMYFUNCTION("""COMPUTED_VALUE"""),"깡패")</f>
        <v>깡패</v>
      </c>
      <c r="M347" s="26" t="str">
        <f>IFERROR(__xludf.DUMMYFUNCTION("""COMPUTED_VALUE"""),"한메")</f>
        <v>한메</v>
      </c>
      <c r="N347" s="26" t="str">
        <f>IFERROR(__xludf.DUMMYFUNCTION("ARRAYFORMULA(REGEXEXTRACT(SPLIT(E347, ""&lt;br&gt;""), ""([가-힣A-Za-z]+)""))"),"ACDC")</f>
        <v>ACDC</v>
      </c>
      <c r="O347" s="26" t="str">
        <f>IFERROR(__xludf.DUMMYFUNCTION("""COMPUTED_VALUE"""),"노인")</f>
        <v>노인</v>
      </c>
      <c r="P347" s="26" t="str">
        <f>IFERROR(__xludf.DUMMYFUNCTION("""COMPUTED_VALUE"""),"강화")</f>
        <v>강화</v>
      </c>
      <c r="Q347" s="26" t="str">
        <f>IFERROR(__xludf.DUMMYFUNCTION("""COMPUTED_VALUE"""),"키키")</f>
        <v>키키</v>
      </c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9" t="s">
        <v>1587</v>
      </c>
      <c r="B348" s="20" t="s">
        <v>1588</v>
      </c>
      <c r="C348" s="19" t="s">
        <v>1589</v>
      </c>
      <c r="D348" s="19">
        <v>5.0</v>
      </c>
      <c r="E348" s="19" t="s">
        <v>1590</v>
      </c>
      <c r="F348" s="19">
        <v>2.0</v>
      </c>
      <c r="G348" s="21">
        <v>45918.895833333336</v>
      </c>
      <c r="H348" s="19" t="s">
        <v>1352</v>
      </c>
      <c r="I348" s="22" t="s">
        <v>341</v>
      </c>
      <c r="J348" s="25" t="str">
        <f>IFERROR(__xludf.DUMMYFUNCTION("ARRAYFORMULA(REGEXEXTRACT(SPLIT(C348, ""&lt;br&gt;""), ""([가-힣A-Za-z]+)""))"),"강화")</f>
        <v>강화</v>
      </c>
      <c r="K348" s="26" t="str">
        <f>IFERROR(__xludf.DUMMYFUNCTION("""COMPUTED_VALUE"""),"테리")</f>
        <v>테리</v>
      </c>
      <c r="L348" s="26" t="str">
        <f>IFERROR(__xludf.DUMMYFUNCTION("""COMPUTED_VALUE"""),"필찌")</f>
        <v>필찌</v>
      </c>
      <c r="M348" s="26" t="str">
        <f>IFERROR(__xludf.DUMMYFUNCTION("""COMPUTED_VALUE"""),"깡패")</f>
        <v>깡패</v>
      </c>
      <c r="N348" s="26" t="str">
        <f>IFERROR(__xludf.DUMMYFUNCTION("ARRAYFORMULA(REGEXEXTRACT(SPLIT(E348, ""&lt;br&gt;""), ""([가-힣A-Za-z]+)""))"),"키키")</f>
        <v>키키</v>
      </c>
      <c r="O348" s="26" t="str">
        <f>IFERROR(__xludf.DUMMYFUNCTION("""COMPUTED_VALUE"""),"ACDC")</f>
        <v>ACDC</v>
      </c>
      <c r="P348" s="26" t="str">
        <f>IFERROR(__xludf.DUMMYFUNCTION("""COMPUTED_VALUE"""),"신형만")</f>
        <v>신형만</v>
      </c>
      <c r="Q348" s="26" t="str">
        <f>IFERROR(__xludf.DUMMYFUNCTION("""COMPUTED_VALUE"""),"기재")</f>
        <v>기재</v>
      </c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9" t="s">
        <v>1591</v>
      </c>
      <c r="B349" s="20" t="s">
        <v>1592</v>
      </c>
      <c r="C349" s="19" t="s">
        <v>1593</v>
      </c>
      <c r="D349" s="19">
        <v>5.0</v>
      </c>
      <c r="E349" s="19" t="s">
        <v>1594</v>
      </c>
      <c r="F349" s="19">
        <v>1.0</v>
      </c>
      <c r="G349" s="21">
        <v>45918.864583333336</v>
      </c>
      <c r="H349" s="19" t="s">
        <v>1352</v>
      </c>
      <c r="I349" s="22" t="s">
        <v>341</v>
      </c>
      <c r="J349" s="25" t="str">
        <f>IFERROR(__xludf.DUMMYFUNCTION("ARRAYFORMULA(REGEXEXTRACT(SPLIT(C349, ""&lt;br&gt;""), ""([가-힣A-Za-z]+)""))"),"테리")</f>
        <v>테리</v>
      </c>
      <c r="K349" s="26" t="str">
        <f>IFERROR(__xludf.DUMMYFUNCTION("""COMPUTED_VALUE"""),"깡패")</f>
        <v>깡패</v>
      </c>
      <c r="L349" s="26" t="str">
        <f>IFERROR(__xludf.DUMMYFUNCTION("""COMPUTED_VALUE"""),"기재")</f>
        <v>기재</v>
      </c>
      <c r="M349" s="26" t="str">
        <f>IFERROR(__xludf.DUMMYFUNCTION("""COMPUTED_VALUE"""),"신형만")</f>
        <v>신형만</v>
      </c>
      <c r="N349" s="26" t="str">
        <f>IFERROR(__xludf.DUMMYFUNCTION("ARRAYFORMULA(REGEXEXTRACT(SPLIT(E349, ""&lt;br&gt;""), ""([가-힣A-Za-z]+)""))"),"ACDC")</f>
        <v>ACDC</v>
      </c>
      <c r="O349" s="26" t="str">
        <f>IFERROR(__xludf.DUMMYFUNCTION("""COMPUTED_VALUE"""),"필찌")</f>
        <v>필찌</v>
      </c>
      <c r="P349" s="26" t="str">
        <f>IFERROR(__xludf.DUMMYFUNCTION("""COMPUTED_VALUE"""),"키키")</f>
        <v>키키</v>
      </c>
      <c r="Q349" s="26" t="str">
        <f>IFERROR(__xludf.DUMMYFUNCTION("""COMPUTED_VALUE"""),"강화")</f>
        <v>강화</v>
      </c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9" t="s">
        <v>1595</v>
      </c>
      <c r="B350" s="20" t="s">
        <v>1596</v>
      </c>
      <c r="C350" s="19" t="s">
        <v>1597</v>
      </c>
      <c r="D350" s="19">
        <v>5.0</v>
      </c>
      <c r="E350" s="19" t="s">
        <v>1598</v>
      </c>
      <c r="F350" s="19">
        <v>0.0</v>
      </c>
      <c r="G350" s="21">
        <v>45918.850694444445</v>
      </c>
      <c r="H350" s="19" t="s">
        <v>1352</v>
      </c>
      <c r="I350" s="22" t="s">
        <v>341</v>
      </c>
      <c r="J350" s="25" t="str">
        <f>IFERROR(__xludf.DUMMYFUNCTION("ARRAYFORMULA(REGEXEXTRACT(SPLIT(C350, ""&lt;br&gt;""), ""([가-힣A-Za-z]+)""))"),"키키")</f>
        <v>키키</v>
      </c>
      <c r="K350" s="26" t="str">
        <f>IFERROR(__xludf.DUMMYFUNCTION("""COMPUTED_VALUE"""),"ACDC")</f>
        <v>ACDC</v>
      </c>
      <c r="L350" s="26" t="str">
        <f>IFERROR(__xludf.DUMMYFUNCTION("""COMPUTED_VALUE"""),"테리")</f>
        <v>테리</v>
      </c>
      <c r="M350" s="26" t="str">
        <f>IFERROR(__xludf.DUMMYFUNCTION("""COMPUTED_VALUE"""),"기재")</f>
        <v>기재</v>
      </c>
      <c r="N350" s="26" t="str">
        <f>IFERROR(__xludf.DUMMYFUNCTION("ARRAYFORMULA(REGEXEXTRACT(SPLIT(E350, ""&lt;br&gt;""), ""([가-힣A-Za-z]+)""))"),"필찌")</f>
        <v>필찌</v>
      </c>
      <c r="O350" s="26" t="str">
        <f>IFERROR(__xludf.DUMMYFUNCTION("""COMPUTED_VALUE"""),"신형만")</f>
        <v>신형만</v>
      </c>
      <c r="P350" s="26" t="str">
        <f>IFERROR(__xludf.DUMMYFUNCTION("""COMPUTED_VALUE"""),"강화")</f>
        <v>강화</v>
      </c>
      <c r="Q350" s="26" t="str">
        <f>IFERROR(__xludf.DUMMYFUNCTION("""COMPUTED_VALUE"""),"깡패")</f>
        <v>깡패</v>
      </c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9" t="s">
        <v>1599</v>
      </c>
      <c r="B351" s="20" t="s">
        <v>1600</v>
      </c>
      <c r="C351" s="19" t="s">
        <v>1601</v>
      </c>
      <c r="D351" s="19">
        <v>5.0</v>
      </c>
      <c r="E351" s="19" t="s">
        <v>1602</v>
      </c>
      <c r="F351" s="19">
        <v>1.0</v>
      </c>
      <c r="G351" s="21">
        <v>45918.04375</v>
      </c>
      <c r="H351" s="19" t="s">
        <v>1352</v>
      </c>
      <c r="I351" s="22" t="s">
        <v>1603</v>
      </c>
      <c r="J351" s="25" t="str">
        <f>IFERROR(__xludf.DUMMYFUNCTION("ARRAYFORMULA(REGEXEXTRACT(SPLIT(C351, ""&lt;br&gt;""), ""([가-힣A-Za-z]+)""))"),"깡패")</f>
        <v>깡패</v>
      </c>
      <c r="K351" s="26" t="str">
        <f>IFERROR(__xludf.DUMMYFUNCTION("""COMPUTED_VALUE"""),"신형만")</f>
        <v>신형만</v>
      </c>
      <c r="L351" s="26" t="str">
        <f>IFERROR(__xludf.DUMMYFUNCTION("""COMPUTED_VALUE"""),"유즈")</f>
        <v>유즈</v>
      </c>
      <c r="M351" s="26" t="str">
        <f>IFERROR(__xludf.DUMMYFUNCTION("""COMPUTED_VALUE"""),"원")</f>
        <v>원</v>
      </c>
      <c r="N351" s="26" t="str">
        <f>IFERROR(__xludf.DUMMYFUNCTION("ARRAYFORMULA(REGEXEXTRACT(SPLIT(E351, ""&lt;br&gt;""), ""([가-힣A-Za-z]+)""))"),"찹쌀")</f>
        <v>찹쌀</v>
      </c>
      <c r="O351" s="26" t="str">
        <f>IFERROR(__xludf.DUMMYFUNCTION("""COMPUTED_VALUE"""),"테리")</f>
        <v>테리</v>
      </c>
      <c r="P351" s="26" t="str">
        <f>IFERROR(__xludf.DUMMYFUNCTION("""COMPUTED_VALUE"""),"짱구")</f>
        <v>짱구</v>
      </c>
      <c r="Q351" s="26" t="str">
        <f>IFERROR(__xludf.DUMMYFUNCTION("""COMPUTED_VALUE"""),"한메")</f>
        <v>한메</v>
      </c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9" t="s">
        <v>1604</v>
      </c>
      <c r="B352" s="20" t="s">
        <v>1605</v>
      </c>
      <c r="C352" s="19" t="s">
        <v>1606</v>
      </c>
      <c r="D352" s="19">
        <v>5.0</v>
      </c>
      <c r="E352" s="19" t="s">
        <v>1607</v>
      </c>
      <c r="F352" s="19">
        <v>3.0</v>
      </c>
      <c r="G352" s="21">
        <v>45918.03055555555</v>
      </c>
      <c r="H352" s="19" t="s">
        <v>1352</v>
      </c>
      <c r="I352" s="22" t="s">
        <v>1603</v>
      </c>
      <c r="J352" s="25" t="str">
        <f>IFERROR(__xludf.DUMMYFUNCTION("ARRAYFORMULA(REGEXEXTRACT(SPLIT(C352, ""&lt;br&gt;""), ""([가-힣A-Za-z]+)""))"),"한메")</f>
        <v>한메</v>
      </c>
      <c r="K352" s="26" t="str">
        <f>IFERROR(__xludf.DUMMYFUNCTION("""COMPUTED_VALUE"""),"짱구")</f>
        <v>짱구</v>
      </c>
      <c r="L352" s="26" t="str">
        <f>IFERROR(__xludf.DUMMYFUNCTION("""COMPUTED_VALUE"""),"원")</f>
        <v>원</v>
      </c>
      <c r="M352" s="26" t="str">
        <f>IFERROR(__xludf.DUMMYFUNCTION("""COMPUTED_VALUE"""),"신형만")</f>
        <v>신형만</v>
      </c>
      <c r="N352" s="26" t="str">
        <f>IFERROR(__xludf.DUMMYFUNCTION("ARRAYFORMULA(REGEXEXTRACT(SPLIT(E352, ""&lt;br&gt;""), ""([가-힣A-Za-z]+)""))"),"테리")</f>
        <v>테리</v>
      </c>
      <c r="O352" s="26" t="str">
        <f>IFERROR(__xludf.DUMMYFUNCTION("""COMPUTED_VALUE"""),"유즈")</f>
        <v>유즈</v>
      </c>
      <c r="P352" s="26" t="str">
        <f>IFERROR(__xludf.DUMMYFUNCTION("""COMPUTED_VALUE"""),"깡패")</f>
        <v>깡패</v>
      </c>
      <c r="Q352" s="26" t="str">
        <f>IFERROR(__xludf.DUMMYFUNCTION("""COMPUTED_VALUE"""),"찹쌀")</f>
        <v>찹쌀</v>
      </c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9" t="s">
        <v>1608</v>
      </c>
      <c r="B353" s="20" t="s">
        <v>1609</v>
      </c>
      <c r="C353" s="19" t="s">
        <v>1610</v>
      </c>
      <c r="D353" s="19">
        <v>5.0</v>
      </c>
      <c r="E353" s="19" t="s">
        <v>1611</v>
      </c>
      <c r="F353" s="19">
        <v>3.0</v>
      </c>
      <c r="G353" s="21">
        <v>45918.010416666664</v>
      </c>
      <c r="H353" s="19" t="s">
        <v>1352</v>
      </c>
      <c r="I353" s="22" t="s">
        <v>1612</v>
      </c>
      <c r="J353" s="25" t="str">
        <f>IFERROR(__xludf.DUMMYFUNCTION("ARRAYFORMULA(REGEXEXTRACT(SPLIT(C353, ""&lt;br&gt;""), ""([가-힣A-Za-z]+)""))"),"신형만")</f>
        <v>신형만</v>
      </c>
      <c r="K353" s="26" t="str">
        <f>IFERROR(__xludf.DUMMYFUNCTION("""COMPUTED_VALUE"""),"원")</f>
        <v>원</v>
      </c>
      <c r="L353" s="26" t="str">
        <f>IFERROR(__xludf.DUMMYFUNCTION("""COMPUTED_VALUE"""),"노인")</f>
        <v>노인</v>
      </c>
      <c r="M353" s="26" t="str">
        <f>IFERROR(__xludf.DUMMYFUNCTION("""COMPUTED_VALUE"""),"깡패")</f>
        <v>깡패</v>
      </c>
      <c r="N353" s="26" t="str">
        <f>IFERROR(__xludf.DUMMYFUNCTION("ARRAYFORMULA(REGEXEXTRACT(SPLIT(E353, ""&lt;br&gt;""), ""([가-힣A-Za-z]+)""))"),"찹쌀")</f>
        <v>찹쌀</v>
      </c>
      <c r="O353" s="26" t="str">
        <f>IFERROR(__xludf.DUMMYFUNCTION("""COMPUTED_VALUE"""),"재우")</f>
        <v>재우</v>
      </c>
      <c r="P353" s="26" t="str">
        <f>IFERROR(__xludf.DUMMYFUNCTION("""COMPUTED_VALUE"""),"유즈")</f>
        <v>유즈</v>
      </c>
      <c r="Q353" s="26" t="str">
        <f>IFERROR(__xludf.DUMMYFUNCTION("""COMPUTED_VALUE"""),"한메")</f>
        <v>한메</v>
      </c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9" t="s">
        <v>1613</v>
      </c>
      <c r="B354" s="20" t="s">
        <v>1614</v>
      </c>
      <c r="C354" s="19" t="s">
        <v>1615</v>
      </c>
      <c r="D354" s="19">
        <v>5.0</v>
      </c>
      <c r="E354" s="19" t="s">
        <v>1616</v>
      </c>
      <c r="F354" s="19">
        <v>2.0</v>
      </c>
      <c r="G354" s="21">
        <v>45917.98888888889</v>
      </c>
      <c r="H354" s="19" t="s">
        <v>1352</v>
      </c>
      <c r="I354" s="22" t="s">
        <v>1612</v>
      </c>
      <c r="J354" s="25" t="str">
        <f>IFERROR(__xludf.DUMMYFUNCTION("ARRAYFORMULA(REGEXEXTRACT(SPLIT(C354, ""&lt;br&gt;""), ""([가-힣A-Za-z]+)""))"),"노인")</f>
        <v>노인</v>
      </c>
      <c r="K354" s="26" t="str">
        <f>IFERROR(__xludf.DUMMYFUNCTION("""COMPUTED_VALUE"""),"유즈")</f>
        <v>유즈</v>
      </c>
      <c r="L354" s="26" t="str">
        <f>IFERROR(__xludf.DUMMYFUNCTION("""COMPUTED_VALUE"""),"신형만")</f>
        <v>신형만</v>
      </c>
      <c r="M354" s="26" t="str">
        <f>IFERROR(__xludf.DUMMYFUNCTION("""COMPUTED_VALUE"""),"재우")</f>
        <v>재우</v>
      </c>
      <c r="N354" s="26" t="str">
        <f>IFERROR(__xludf.DUMMYFUNCTION("ARRAYFORMULA(REGEXEXTRACT(SPLIT(E354, ""&lt;br&gt;""), ""([가-힣A-Za-z]+)""))"),"원")</f>
        <v>원</v>
      </c>
      <c r="O354" s="26" t="str">
        <f>IFERROR(__xludf.DUMMYFUNCTION("""COMPUTED_VALUE"""),"깡패")</f>
        <v>깡패</v>
      </c>
      <c r="P354" s="26" t="str">
        <f>IFERROR(__xludf.DUMMYFUNCTION("""COMPUTED_VALUE"""),"한메")</f>
        <v>한메</v>
      </c>
      <c r="Q354" s="26" t="str">
        <f>IFERROR(__xludf.DUMMYFUNCTION("""COMPUTED_VALUE"""),"찹쌀")</f>
        <v>찹쌀</v>
      </c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9" t="s">
        <v>1617</v>
      </c>
      <c r="B355" s="20" t="s">
        <v>1618</v>
      </c>
      <c r="C355" s="19" t="s">
        <v>1619</v>
      </c>
      <c r="D355" s="19">
        <v>5.0</v>
      </c>
      <c r="E355" s="19" t="s">
        <v>1620</v>
      </c>
      <c r="F355" s="19">
        <v>2.0</v>
      </c>
      <c r="G355" s="21">
        <v>45917.96944444445</v>
      </c>
      <c r="H355" s="19" t="s">
        <v>1352</v>
      </c>
      <c r="I355" s="22" t="s">
        <v>1612</v>
      </c>
      <c r="J355" s="25" t="str">
        <f>IFERROR(__xludf.DUMMYFUNCTION("ARRAYFORMULA(REGEXEXTRACT(SPLIT(C355, ""&lt;br&gt;""), ""([가-힣A-Za-z]+)""))"),"한메")</f>
        <v>한메</v>
      </c>
      <c r="K355" s="26" t="str">
        <f>IFERROR(__xludf.DUMMYFUNCTION("""COMPUTED_VALUE"""),"재우")</f>
        <v>재우</v>
      </c>
      <c r="L355" s="26" t="str">
        <f>IFERROR(__xludf.DUMMYFUNCTION("""COMPUTED_VALUE"""),"유즈")</f>
        <v>유즈</v>
      </c>
      <c r="M355" s="26" t="str">
        <f>IFERROR(__xludf.DUMMYFUNCTION("""COMPUTED_VALUE"""),"원")</f>
        <v>원</v>
      </c>
      <c r="N355" s="26" t="str">
        <f>IFERROR(__xludf.DUMMYFUNCTION("ARRAYFORMULA(REGEXEXTRACT(SPLIT(E355, ""&lt;br&gt;""), ""([가-힣A-Za-z]+)""))"),"깡패")</f>
        <v>깡패</v>
      </c>
      <c r="O355" s="26" t="str">
        <f>IFERROR(__xludf.DUMMYFUNCTION("""COMPUTED_VALUE"""),"신형만")</f>
        <v>신형만</v>
      </c>
      <c r="P355" s="26" t="str">
        <f>IFERROR(__xludf.DUMMYFUNCTION("""COMPUTED_VALUE"""),"찹쌀")</f>
        <v>찹쌀</v>
      </c>
      <c r="Q355" s="26" t="str">
        <f>IFERROR(__xludf.DUMMYFUNCTION("""COMPUTED_VALUE"""),"노인")</f>
        <v>노인</v>
      </c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9" t="s">
        <v>1621</v>
      </c>
      <c r="B356" s="20" t="s">
        <v>1622</v>
      </c>
      <c r="C356" s="19" t="s">
        <v>1623</v>
      </c>
      <c r="D356" s="19">
        <v>5.0</v>
      </c>
      <c r="E356" s="19" t="s">
        <v>1624</v>
      </c>
      <c r="F356" s="19">
        <v>1.0</v>
      </c>
      <c r="G356" s="21">
        <v>45917.94861111111</v>
      </c>
      <c r="H356" s="19" t="s">
        <v>1352</v>
      </c>
      <c r="I356" s="22" t="s">
        <v>1625</v>
      </c>
      <c r="J356" s="25" t="str">
        <f>IFERROR(__xludf.DUMMYFUNCTION("ARRAYFORMULA(REGEXEXTRACT(SPLIT(C356, ""&lt;br&gt;""), ""([가-힣A-Za-z]+)""))"),"테리")</f>
        <v>테리</v>
      </c>
      <c r="K356" s="26" t="str">
        <f>IFERROR(__xludf.DUMMYFUNCTION("""COMPUTED_VALUE"""),"오딘")</f>
        <v>오딘</v>
      </c>
      <c r="L356" s="26" t="str">
        <f>IFERROR(__xludf.DUMMYFUNCTION("""COMPUTED_VALUE"""),"신형만")</f>
        <v>신형만</v>
      </c>
      <c r="M356" s="26" t="str">
        <f>IFERROR(__xludf.DUMMYFUNCTION("""COMPUTED_VALUE"""),"찹쌀")</f>
        <v>찹쌀</v>
      </c>
      <c r="N356" s="26" t="str">
        <f>IFERROR(__xludf.DUMMYFUNCTION("ARRAYFORMULA(REGEXEXTRACT(SPLIT(E356, ""&lt;br&gt;""), ""([가-힣A-Za-z]+)""))"),"유즈")</f>
        <v>유즈</v>
      </c>
      <c r="O356" s="26" t="str">
        <f>IFERROR(__xludf.DUMMYFUNCTION("""COMPUTED_VALUE"""),"노인")</f>
        <v>노인</v>
      </c>
      <c r="P356" s="26" t="str">
        <f>IFERROR(__xludf.DUMMYFUNCTION("""COMPUTED_VALUE"""),"한메")</f>
        <v>한메</v>
      </c>
      <c r="Q356" s="26" t="str">
        <f>IFERROR(__xludf.DUMMYFUNCTION("""COMPUTED_VALUE"""),"깡패")</f>
        <v>깡패</v>
      </c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9" t="s">
        <v>1626</v>
      </c>
      <c r="B357" s="20" t="s">
        <v>1627</v>
      </c>
      <c r="C357" s="19" t="s">
        <v>1628</v>
      </c>
      <c r="D357" s="19">
        <v>5.0</v>
      </c>
      <c r="E357" s="19" t="s">
        <v>1629</v>
      </c>
      <c r="F357" s="19">
        <v>2.0</v>
      </c>
      <c r="G357" s="21">
        <v>45917.947916666664</v>
      </c>
      <c r="H357" s="19" t="s">
        <v>1352</v>
      </c>
      <c r="I357" s="22" t="s">
        <v>1625</v>
      </c>
      <c r="J357" s="25" t="str">
        <f>IFERROR(__xludf.DUMMYFUNCTION("ARRAYFORMULA(REGEXEXTRACT(SPLIT(C357, ""&lt;br&gt;""), ""([가-힣A-Za-z]+)""))"),"오딘")</f>
        <v>오딘</v>
      </c>
      <c r="K357" s="26" t="str">
        <f>IFERROR(__xludf.DUMMYFUNCTION("""COMPUTED_VALUE"""),"유즈")</f>
        <v>유즈</v>
      </c>
      <c r="L357" s="26" t="str">
        <f>IFERROR(__xludf.DUMMYFUNCTION("""COMPUTED_VALUE"""),"노인")</f>
        <v>노인</v>
      </c>
      <c r="M357" s="26" t="str">
        <f>IFERROR(__xludf.DUMMYFUNCTION("""COMPUTED_VALUE"""),"신형만")</f>
        <v>신형만</v>
      </c>
      <c r="N357" s="26" t="str">
        <f>IFERROR(__xludf.DUMMYFUNCTION("ARRAYFORMULA(REGEXEXTRACT(SPLIT(E357, ""&lt;br&gt;""), ""([가-힣A-Za-z]+)""))"),"깡패")</f>
        <v>깡패</v>
      </c>
      <c r="O357" s="26" t="str">
        <f>IFERROR(__xludf.DUMMYFUNCTION("""COMPUTED_VALUE"""),"테리")</f>
        <v>테리</v>
      </c>
      <c r="P357" s="26" t="str">
        <f>IFERROR(__xludf.DUMMYFUNCTION("""COMPUTED_VALUE"""),"찹쌀")</f>
        <v>찹쌀</v>
      </c>
      <c r="Q357" s="26" t="str">
        <f>IFERROR(__xludf.DUMMYFUNCTION("""COMPUTED_VALUE"""),"한메")</f>
        <v>한메</v>
      </c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9" t="s">
        <v>1630</v>
      </c>
      <c r="B358" s="20" t="s">
        <v>1631</v>
      </c>
      <c r="C358" s="19" t="s">
        <v>1632</v>
      </c>
      <c r="D358" s="19">
        <v>5.0</v>
      </c>
      <c r="E358" s="19" t="s">
        <v>1633</v>
      </c>
      <c r="F358" s="19">
        <v>0.0</v>
      </c>
      <c r="G358" s="21">
        <v>45917.89513888889</v>
      </c>
      <c r="H358" s="19" t="s">
        <v>1352</v>
      </c>
      <c r="I358" s="22" t="s">
        <v>1625</v>
      </c>
      <c r="J358" s="25" t="str">
        <f>IFERROR(__xludf.DUMMYFUNCTION("ARRAYFORMULA(REGEXEXTRACT(SPLIT(C358, ""&lt;br&gt;""), ""([가-힣A-Za-z]+)""))"),"신형만")</f>
        <v>신형만</v>
      </c>
      <c r="K358" s="26" t="str">
        <f>IFERROR(__xludf.DUMMYFUNCTION("""COMPUTED_VALUE"""),"오딘")</f>
        <v>오딘</v>
      </c>
      <c r="L358" s="26" t="str">
        <f>IFERROR(__xludf.DUMMYFUNCTION("""COMPUTED_VALUE"""),"테리")</f>
        <v>테리</v>
      </c>
      <c r="M358" s="26" t="str">
        <f>IFERROR(__xludf.DUMMYFUNCTION("""COMPUTED_VALUE"""),"깡패")</f>
        <v>깡패</v>
      </c>
      <c r="N358" s="26" t="str">
        <f>IFERROR(__xludf.DUMMYFUNCTION("ARRAYFORMULA(REGEXEXTRACT(SPLIT(E358, ""&lt;br&gt;""), ""([가-힣A-Za-z]+)""))"),"유즈")</f>
        <v>유즈</v>
      </c>
      <c r="O358" s="26" t="str">
        <f>IFERROR(__xludf.DUMMYFUNCTION("""COMPUTED_VALUE"""),"노인")</f>
        <v>노인</v>
      </c>
      <c r="P358" s="26" t="str">
        <f>IFERROR(__xludf.DUMMYFUNCTION("""COMPUTED_VALUE"""),"한메")</f>
        <v>한메</v>
      </c>
      <c r="Q358" s="26" t="str">
        <f>IFERROR(__xludf.DUMMYFUNCTION("""COMPUTED_VALUE"""),"찹쌀")</f>
        <v>찹쌀</v>
      </c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9" t="s">
        <v>1634</v>
      </c>
      <c r="B359" s="20" t="s">
        <v>1635</v>
      </c>
      <c r="C359" s="19" t="s">
        <v>1636</v>
      </c>
      <c r="D359" s="19">
        <v>5.0</v>
      </c>
      <c r="E359" s="19" t="s">
        <v>1637</v>
      </c>
      <c r="F359" s="19">
        <v>3.0</v>
      </c>
      <c r="G359" s="21">
        <v>45916.95972222222</v>
      </c>
      <c r="H359" s="19" t="s">
        <v>1352</v>
      </c>
      <c r="I359" s="22" t="s">
        <v>268</v>
      </c>
      <c r="J359" s="25" t="str">
        <f>IFERROR(__xludf.DUMMYFUNCTION("ARRAYFORMULA(REGEXEXTRACT(SPLIT(C359, ""&lt;br&gt;""), ""([가-힣A-Za-z]+)""))"),"강화")</f>
        <v>강화</v>
      </c>
      <c r="K359" s="26" t="str">
        <f>IFERROR(__xludf.DUMMYFUNCTION("""COMPUTED_VALUE"""),"노인")</f>
        <v>노인</v>
      </c>
      <c r="L359" s="26" t="str">
        <f>IFERROR(__xludf.DUMMYFUNCTION("""COMPUTED_VALUE"""),"한메")</f>
        <v>한메</v>
      </c>
      <c r="M359" s="26" t="str">
        <f>IFERROR(__xludf.DUMMYFUNCTION("""COMPUTED_VALUE"""),"참치")</f>
        <v>참치</v>
      </c>
      <c r="N359" s="26" t="str">
        <f>IFERROR(__xludf.DUMMYFUNCTION("ARRAYFORMULA(REGEXEXTRACT(SPLIT(E359, ""&lt;br&gt;""), ""([가-힣A-Za-z]+)""))"),"랄")</f>
        <v>랄</v>
      </c>
      <c r="O359" s="26" t="str">
        <f>IFERROR(__xludf.DUMMYFUNCTION("""COMPUTED_VALUE"""),"신형만")</f>
        <v>신형만</v>
      </c>
      <c r="P359" s="26" t="str">
        <f>IFERROR(__xludf.DUMMYFUNCTION("""COMPUTED_VALUE"""),"깡패")</f>
        <v>깡패</v>
      </c>
      <c r="Q359" s="26" t="str">
        <f>IFERROR(__xludf.DUMMYFUNCTION("""COMPUTED_VALUE"""),"키키")</f>
        <v>키키</v>
      </c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9" t="s">
        <v>1638</v>
      </c>
      <c r="B360" s="20" t="s">
        <v>1639</v>
      </c>
      <c r="C360" s="19" t="s">
        <v>1640</v>
      </c>
      <c r="D360" s="19">
        <v>5.0</v>
      </c>
      <c r="E360" s="19" t="s">
        <v>1641</v>
      </c>
      <c r="F360" s="19">
        <v>2.0</v>
      </c>
      <c r="G360" s="21">
        <v>45916.93263888889</v>
      </c>
      <c r="H360" s="19" t="s">
        <v>1352</v>
      </c>
      <c r="I360" s="22" t="s">
        <v>492</v>
      </c>
      <c r="J360" s="25" t="str">
        <f>IFERROR(__xludf.DUMMYFUNCTION("ARRAYFORMULA(REGEXEXTRACT(SPLIT(C360, ""&lt;br&gt;""), ""([가-힣A-Za-z]+)""))"),"신형만")</f>
        <v>신형만</v>
      </c>
      <c r="K360" s="26" t="str">
        <f>IFERROR(__xludf.DUMMYFUNCTION("""COMPUTED_VALUE"""),"깡패")</f>
        <v>깡패</v>
      </c>
      <c r="L360" s="26" t="str">
        <f>IFERROR(__xludf.DUMMYFUNCTION("""COMPUTED_VALUE"""),"노인")</f>
        <v>노인</v>
      </c>
      <c r="M360" s="26" t="str">
        <f>IFERROR(__xludf.DUMMYFUNCTION("""COMPUTED_VALUE"""),"강화")</f>
        <v>강화</v>
      </c>
      <c r="N360" s="26" t="str">
        <f>IFERROR(__xludf.DUMMYFUNCTION("ARRAYFORMULA(REGEXEXTRACT(SPLIT(E360, ""&lt;br&gt;""), ""([가-힣A-Za-z]+)""))"),"키키")</f>
        <v>키키</v>
      </c>
      <c r="O360" s="26" t="str">
        <f>IFERROR(__xludf.DUMMYFUNCTION("""COMPUTED_VALUE"""),"넘버")</f>
        <v>넘버</v>
      </c>
      <c r="P360" s="26" t="str">
        <f>IFERROR(__xludf.DUMMYFUNCTION("""COMPUTED_VALUE"""),"랄")</f>
        <v>랄</v>
      </c>
      <c r="Q360" s="26" t="str">
        <f>IFERROR(__xludf.DUMMYFUNCTION("""COMPUTED_VALUE"""),"한메")</f>
        <v>한메</v>
      </c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9" t="s">
        <v>1642</v>
      </c>
      <c r="B361" s="20" t="s">
        <v>1643</v>
      </c>
      <c r="C361" s="19" t="s">
        <v>1644</v>
      </c>
      <c r="D361" s="19">
        <v>5.0</v>
      </c>
      <c r="E361" s="19" t="s">
        <v>1645</v>
      </c>
      <c r="F361" s="19">
        <v>3.0</v>
      </c>
      <c r="G361" s="21">
        <v>45916.90347222222</v>
      </c>
      <c r="H361" s="19" t="s">
        <v>1352</v>
      </c>
      <c r="I361" s="22" t="s">
        <v>492</v>
      </c>
      <c r="J361" s="25" t="str">
        <f>IFERROR(__xludf.DUMMYFUNCTION("ARRAYFORMULA(REGEXEXTRACT(SPLIT(C361, ""&lt;br&gt;""), ""([가-힣A-Za-z]+)""))"),"강화")</f>
        <v>강화</v>
      </c>
      <c r="K361" s="26" t="str">
        <f>IFERROR(__xludf.DUMMYFUNCTION("""COMPUTED_VALUE"""),"테리")</f>
        <v>테리</v>
      </c>
      <c r="L361" s="26" t="str">
        <f>IFERROR(__xludf.DUMMYFUNCTION("""COMPUTED_VALUE"""),"깡패")</f>
        <v>깡패</v>
      </c>
      <c r="M361" s="26" t="str">
        <f>IFERROR(__xludf.DUMMYFUNCTION("""COMPUTED_VALUE"""),"넘버")</f>
        <v>넘버</v>
      </c>
      <c r="N361" s="26" t="str">
        <f>IFERROR(__xludf.DUMMYFUNCTION("ARRAYFORMULA(REGEXEXTRACT(SPLIT(E361, ""&lt;br&gt;""), ""([가-힣A-Za-z]+)""))"),"랄")</f>
        <v>랄</v>
      </c>
      <c r="O361" s="26" t="str">
        <f>IFERROR(__xludf.DUMMYFUNCTION("""COMPUTED_VALUE"""),"노인")</f>
        <v>노인</v>
      </c>
      <c r="P361" s="26" t="str">
        <f>IFERROR(__xludf.DUMMYFUNCTION("""COMPUTED_VALUE"""),"한메")</f>
        <v>한메</v>
      </c>
      <c r="Q361" s="26" t="str">
        <f>IFERROR(__xludf.DUMMYFUNCTION("""COMPUTED_VALUE"""),"신형만")</f>
        <v>신형만</v>
      </c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9" t="s">
        <v>1646</v>
      </c>
      <c r="B362" s="20" t="s">
        <v>1647</v>
      </c>
      <c r="C362" s="19" t="s">
        <v>1648</v>
      </c>
      <c r="D362" s="19">
        <v>5.0</v>
      </c>
      <c r="E362" s="19" t="s">
        <v>1649</v>
      </c>
      <c r="F362" s="19">
        <v>2.0</v>
      </c>
      <c r="G362" s="21">
        <v>45916.87847222222</v>
      </c>
      <c r="H362" s="19" t="s">
        <v>1352</v>
      </c>
      <c r="I362" s="22" t="s">
        <v>1206</v>
      </c>
      <c r="J362" s="25" t="str">
        <f>IFERROR(__xludf.DUMMYFUNCTION("ARRAYFORMULA(REGEXEXTRACT(SPLIT(C362, ""&lt;br&gt;""), ""([가-힣A-Za-z]+)""))"),"노인")</f>
        <v>노인</v>
      </c>
      <c r="K362" s="26" t="str">
        <f>IFERROR(__xludf.DUMMYFUNCTION("""COMPUTED_VALUE"""),"오딘")</f>
        <v>오딘</v>
      </c>
      <c r="L362" s="26" t="str">
        <f>IFERROR(__xludf.DUMMYFUNCTION("""COMPUTED_VALUE"""),"테리")</f>
        <v>테리</v>
      </c>
      <c r="M362" s="26" t="str">
        <f>IFERROR(__xludf.DUMMYFUNCTION("""COMPUTED_VALUE"""),"한메")</f>
        <v>한메</v>
      </c>
      <c r="N362" s="26" t="str">
        <f>IFERROR(__xludf.DUMMYFUNCTION("ARRAYFORMULA(REGEXEXTRACT(SPLIT(E362, ""&lt;br&gt;""), ""([가-힣A-Za-z]+)""))"),"신형만")</f>
        <v>신형만</v>
      </c>
      <c r="O362" s="26" t="str">
        <f>IFERROR(__xludf.DUMMYFUNCTION("""COMPUTED_VALUE"""),"깡패")</f>
        <v>깡패</v>
      </c>
      <c r="P362" s="26" t="str">
        <f>IFERROR(__xludf.DUMMYFUNCTION("""COMPUTED_VALUE"""),"랄")</f>
        <v>랄</v>
      </c>
      <c r="Q362" s="26" t="str">
        <f>IFERROR(__xludf.DUMMYFUNCTION("""COMPUTED_VALUE"""),"강화")</f>
        <v>강화</v>
      </c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9" t="s">
        <v>1650</v>
      </c>
      <c r="B363" s="20" t="s">
        <v>1651</v>
      </c>
      <c r="C363" s="19" t="s">
        <v>1652</v>
      </c>
      <c r="D363" s="19">
        <v>5.0</v>
      </c>
      <c r="E363" s="19" t="s">
        <v>1653</v>
      </c>
      <c r="F363" s="19">
        <v>4.0</v>
      </c>
      <c r="G363" s="21">
        <v>45916.05</v>
      </c>
      <c r="H363" s="19" t="s">
        <v>1352</v>
      </c>
      <c r="I363" s="22" t="s">
        <v>492</v>
      </c>
      <c r="J363" s="25" t="str">
        <f>IFERROR(__xludf.DUMMYFUNCTION("ARRAYFORMULA(REGEXEXTRACT(SPLIT(C363, ""&lt;br&gt;""), ""([가-힣A-Za-z]+)""))"),"노인")</f>
        <v>노인</v>
      </c>
      <c r="K363" s="26" t="str">
        <f>IFERROR(__xludf.DUMMYFUNCTION("""COMPUTED_VALUE"""),"유즈")</f>
        <v>유즈</v>
      </c>
      <c r="L363" s="26" t="str">
        <f>IFERROR(__xludf.DUMMYFUNCTION("""COMPUTED_VALUE"""),"깡패")</f>
        <v>깡패</v>
      </c>
      <c r="M363" s="26" t="str">
        <f>IFERROR(__xludf.DUMMYFUNCTION("""COMPUTED_VALUE"""),"넘버")</f>
        <v>넘버</v>
      </c>
      <c r="N363" s="26" t="str">
        <f>IFERROR(__xludf.DUMMYFUNCTION("ARRAYFORMULA(REGEXEXTRACT(SPLIT(E363, ""&lt;br&gt;""), ""([가-힣A-Za-z]+)""))"),"테리")</f>
        <v>테리</v>
      </c>
      <c r="O363" s="26" t="str">
        <f>IFERROR(__xludf.DUMMYFUNCTION("""COMPUTED_VALUE"""),"신형만")</f>
        <v>신형만</v>
      </c>
      <c r="P363" s="26" t="str">
        <f>IFERROR(__xludf.DUMMYFUNCTION("""COMPUTED_VALUE"""),"ACDC")</f>
        <v>ACDC</v>
      </c>
      <c r="Q363" s="26" t="str">
        <f>IFERROR(__xludf.DUMMYFUNCTION("""COMPUTED_VALUE"""),"키키")</f>
        <v>키키</v>
      </c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9" t="s">
        <v>1654</v>
      </c>
      <c r="B364" s="20" t="s">
        <v>1655</v>
      </c>
      <c r="C364" s="19" t="s">
        <v>1656</v>
      </c>
      <c r="D364" s="19">
        <v>5.0</v>
      </c>
      <c r="E364" s="19" t="s">
        <v>1657</v>
      </c>
      <c r="F364" s="19">
        <v>3.0</v>
      </c>
      <c r="G364" s="21">
        <v>45916.01527777778</v>
      </c>
      <c r="H364" s="19" t="s">
        <v>1352</v>
      </c>
      <c r="I364" s="22" t="s">
        <v>492</v>
      </c>
      <c r="J364" s="25" t="str">
        <f>IFERROR(__xludf.DUMMYFUNCTION("ARRAYFORMULA(REGEXEXTRACT(SPLIT(C364, ""&lt;br&gt;""), ""([가-힣A-Za-z]+)""))"),"유즈")</f>
        <v>유즈</v>
      </c>
      <c r="K364" s="26" t="str">
        <f>IFERROR(__xludf.DUMMYFUNCTION("""COMPUTED_VALUE"""),"넘버")</f>
        <v>넘버</v>
      </c>
      <c r="L364" s="26" t="str">
        <f>IFERROR(__xludf.DUMMYFUNCTION("""COMPUTED_VALUE"""),"한메")</f>
        <v>한메</v>
      </c>
      <c r="M364" s="26" t="str">
        <f>IFERROR(__xludf.DUMMYFUNCTION("""COMPUTED_VALUE"""),"재우")</f>
        <v>재우</v>
      </c>
      <c r="N364" s="26" t="str">
        <f>IFERROR(__xludf.DUMMYFUNCTION("ARRAYFORMULA(REGEXEXTRACT(SPLIT(E364, ""&lt;br&gt;""), ""([가-힣A-Za-z]+)""))"),"깡패")</f>
        <v>깡패</v>
      </c>
      <c r="O364" s="26" t="str">
        <f>IFERROR(__xludf.DUMMYFUNCTION("""COMPUTED_VALUE"""),"노인")</f>
        <v>노인</v>
      </c>
      <c r="P364" s="26" t="str">
        <f>IFERROR(__xludf.DUMMYFUNCTION("""COMPUTED_VALUE"""),"키키")</f>
        <v>키키</v>
      </c>
      <c r="Q364" s="26" t="str">
        <f>IFERROR(__xludf.DUMMYFUNCTION("""COMPUTED_VALUE"""),"신형만")</f>
        <v>신형만</v>
      </c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9" t="s">
        <v>1658</v>
      </c>
      <c r="B365" s="20" t="s">
        <v>1659</v>
      </c>
      <c r="C365" s="19" t="s">
        <v>1660</v>
      </c>
      <c r="D365" s="19">
        <v>5.0</v>
      </c>
      <c r="E365" s="19" t="s">
        <v>1661</v>
      </c>
      <c r="F365" s="19">
        <v>4.0</v>
      </c>
      <c r="G365" s="21">
        <v>45915.978472222225</v>
      </c>
      <c r="H365" s="19" t="s">
        <v>1352</v>
      </c>
      <c r="I365" s="22" t="s">
        <v>341</v>
      </c>
      <c r="J365" s="25" t="str">
        <f>IFERROR(__xludf.DUMMYFUNCTION("ARRAYFORMULA(REGEXEXTRACT(SPLIT(C365, ""&lt;br&gt;""), ""([가-힣A-Za-z]+)""))"),"신형만")</f>
        <v>신형만</v>
      </c>
      <c r="K365" s="26" t="str">
        <f>IFERROR(__xludf.DUMMYFUNCTION("""COMPUTED_VALUE"""),"재우")</f>
        <v>재우</v>
      </c>
      <c r="L365" s="26" t="str">
        <f>IFERROR(__xludf.DUMMYFUNCTION("""COMPUTED_VALUE"""),"테리")</f>
        <v>테리</v>
      </c>
      <c r="M365" s="26" t="str">
        <f>IFERROR(__xludf.DUMMYFUNCTION("""COMPUTED_VALUE"""),"깡패")</f>
        <v>깡패</v>
      </c>
      <c r="N365" s="26" t="str">
        <f>IFERROR(__xludf.DUMMYFUNCTION("ARRAYFORMULA(REGEXEXTRACT(SPLIT(E365, ""&lt;br&gt;""), ""([가-힣A-Za-z]+)""))"),"노인")</f>
        <v>노인</v>
      </c>
      <c r="O365" s="26" t="str">
        <f>IFERROR(__xludf.DUMMYFUNCTION("""COMPUTED_VALUE"""),"ACDC")</f>
        <v>ACDC</v>
      </c>
      <c r="P365" s="26" t="str">
        <f>IFERROR(__xludf.DUMMYFUNCTION("""COMPUTED_VALUE"""),"유즈")</f>
        <v>유즈</v>
      </c>
      <c r="Q365" s="26" t="str">
        <f>IFERROR(__xludf.DUMMYFUNCTION("""COMPUTED_VALUE"""),"한메")</f>
        <v>한메</v>
      </c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9" t="s">
        <v>1662</v>
      </c>
      <c r="B366" s="20" t="s">
        <v>1663</v>
      </c>
      <c r="C366" s="19" t="s">
        <v>1664</v>
      </c>
      <c r="D366" s="19">
        <v>5.0</v>
      </c>
      <c r="E366" s="19" t="s">
        <v>1665</v>
      </c>
      <c r="F366" s="19">
        <v>2.0</v>
      </c>
      <c r="G366" s="21">
        <v>45915.94305555556</v>
      </c>
      <c r="H366" s="19" t="s">
        <v>1352</v>
      </c>
      <c r="I366" s="22" t="s">
        <v>273</v>
      </c>
      <c r="J366" s="25" t="str">
        <f>IFERROR(__xludf.DUMMYFUNCTION("ARRAYFORMULA(REGEXEXTRACT(SPLIT(C366, ""&lt;br&gt;""), ""([가-힣A-Za-z]+)""))"),"테리")</f>
        <v>테리</v>
      </c>
      <c r="K366" s="26" t="str">
        <f>IFERROR(__xludf.DUMMYFUNCTION("""COMPUTED_VALUE"""),"유즈")</f>
        <v>유즈</v>
      </c>
      <c r="L366" s="26" t="str">
        <f>IFERROR(__xludf.DUMMYFUNCTION("""COMPUTED_VALUE"""),"강화")</f>
        <v>강화</v>
      </c>
      <c r="M366" s="26" t="str">
        <f>IFERROR(__xludf.DUMMYFUNCTION("""COMPUTED_VALUE"""),"재우")</f>
        <v>재우</v>
      </c>
      <c r="N366" s="26" t="str">
        <f>IFERROR(__xludf.DUMMYFUNCTION("ARRAYFORMULA(REGEXEXTRACT(SPLIT(E366, ""&lt;br&gt;""), ""([가-힣A-Za-z]+)""))"),"깡패")</f>
        <v>깡패</v>
      </c>
      <c r="O366" s="26" t="str">
        <f>IFERROR(__xludf.DUMMYFUNCTION("""COMPUTED_VALUE"""),"신형만")</f>
        <v>신형만</v>
      </c>
      <c r="P366" s="26" t="str">
        <f>IFERROR(__xludf.DUMMYFUNCTION("""COMPUTED_VALUE"""),"한메")</f>
        <v>한메</v>
      </c>
      <c r="Q366" s="26" t="str">
        <f>IFERROR(__xludf.DUMMYFUNCTION("""COMPUTED_VALUE"""),"ACDC")</f>
        <v>ACDC</v>
      </c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9" t="s">
        <v>1666</v>
      </c>
      <c r="B367" s="20" t="s">
        <v>1667</v>
      </c>
      <c r="C367" s="19" t="s">
        <v>1668</v>
      </c>
      <c r="D367" s="19">
        <v>5.0</v>
      </c>
      <c r="E367" s="19" t="s">
        <v>1669</v>
      </c>
      <c r="F367" s="19">
        <v>3.0</v>
      </c>
      <c r="G367" s="21">
        <v>45915.92222222222</v>
      </c>
      <c r="H367" s="19" t="s">
        <v>1352</v>
      </c>
      <c r="I367" s="22" t="s">
        <v>300</v>
      </c>
      <c r="J367" s="25" t="str">
        <f>IFERROR(__xludf.DUMMYFUNCTION("ARRAYFORMULA(REGEXEXTRACT(SPLIT(C367, ""&lt;br&gt;""), ""([가-힣A-Za-z]+)""))"),"강화")</f>
        <v>강화</v>
      </c>
      <c r="K367" s="26" t="str">
        <f>IFERROR(__xludf.DUMMYFUNCTION("""COMPUTED_VALUE"""),"깡패")</f>
        <v>깡패</v>
      </c>
      <c r="L367" s="26" t="str">
        <f>IFERROR(__xludf.DUMMYFUNCTION("""COMPUTED_VALUE"""),"ACDC")</f>
        <v>ACDC</v>
      </c>
      <c r="M367" s="26" t="str">
        <f>IFERROR(__xludf.DUMMYFUNCTION("""COMPUTED_VALUE"""),"넘버")</f>
        <v>넘버</v>
      </c>
      <c r="N367" s="26" t="str">
        <f>IFERROR(__xludf.DUMMYFUNCTION("ARRAYFORMULA(REGEXEXTRACT(SPLIT(E367, ""&lt;br&gt;""), ""([가-힣A-Za-z]+)""))"),"유즈")</f>
        <v>유즈</v>
      </c>
      <c r="O367" s="26" t="str">
        <f>IFERROR(__xludf.DUMMYFUNCTION("""COMPUTED_VALUE"""),"테리")</f>
        <v>테리</v>
      </c>
      <c r="P367" s="26" t="str">
        <f>IFERROR(__xludf.DUMMYFUNCTION("""COMPUTED_VALUE"""),"신형만")</f>
        <v>신형만</v>
      </c>
      <c r="Q367" s="26" t="str">
        <f>IFERROR(__xludf.DUMMYFUNCTION("""COMPUTED_VALUE"""),"한메")</f>
        <v>한메</v>
      </c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9" t="s">
        <v>1670</v>
      </c>
      <c r="B368" s="20" t="s">
        <v>1671</v>
      </c>
      <c r="C368" s="19" t="s">
        <v>1672</v>
      </c>
      <c r="D368" s="19">
        <v>5.0</v>
      </c>
      <c r="E368" s="19" t="s">
        <v>1673</v>
      </c>
      <c r="F368" s="19">
        <v>3.0</v>
      </c>
      <c r="G368" s="21">
        <v>45912.98055555556</v>
      </c>
      <c r="H368" s="19" t="s">
        <v>1352</v>
      </c>
      <c r="I368" s="22" t="s">
        <v>1674</v>
      </c>
      <c r="J368" s="25" t="str">
        <f>IFERROR(__xludf.DUMMYFUNCTION("ARRAYFORMULA(REGEXEXTRACT(SPLIT(C368, ""&lt;br&gt;""), ""([가-힣A-Za-z]+)""))"),"신형만")</f>
        <v>신형만</v>
      </c>
      <c r="K368" s="26" t="str">
        <f>IFERROR(__xludf.DUMMYFUNCTION("""COMPUTED_VALUE"""),"솔")</f>
        <v>솔</v>
      </c>
      <c r="L368" s="26" t="str">
        <f>IFERROR(__xludf.DUMMYFUNCTION("""COMPUTED_VALUE"""),"짱구")</f>
        <v>짱구</v>
      </c>
      <c r="M368" s="26" t="str">
        <f>IFERROR(__xludf.DUMMYFUNCTION("""COMPUTED_VALUE"""),"한메")</f>
        <v>한메</v>
      </c>
      <c r="N368" s="26" t="str">
        <f>IFERROR(__xludf.DUMMYFUNCTION("ARRAYFORMULA(REGEXEXTRACT(SPLIT(E368, ""&lt;br&gt;""), ""([가-힣A-Za-z]+)""))"),"깡패")</f>
        <v>깡패</v>
      </c>
      <c r="O368" s="26" t="str">
        <f>IFERROR(__xludf.DUMMYFUNCTION("""COMPUTED_VALUE"""),"ACDC")</f>
        <v>ACDC</v>
      </c>
      <c r="P368" s="26" t="str">
        <f>IFERROR(__xludf.DUMMYFUNCTION("""COMPUTED_VALUE"""),"노인")</f>
        <v>노인</v>
      </c>
      <c r="Q368" s="26" t="str">
        <f>IFERROR(__xludf.DUMMYFUNCTION("""COMPUTED_VALUE"""),"원")</f>
        <v>원</v>
      </c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9" t="s">
        <v>1675</v>
      </c>
      <c r="B369" s="20" t="s">
        <v>1676</v>
      </c>
      <c r="C369" s="19" t="s">
        <v>1677</v>
      </c>
      <c r="D369" s="19">
        <v>5.0</v>
      </c>
      <c r="E369" s="19" t="s">
        <v>1678</v>
      </c>
      <c r="F369" s="19">
        <v>3.0</v>
      </c>
      <c r="G369" s="21">
        <v>45910.04236111111</v>
      </c>
      <c r="H369" s="19" t="s">
        <v>1352</v>
      </c>
      <c r="I369" s="22" t="s">
        <v>1679</v>
      </c>
      <c r="J369" s="25" t="str">
        <f>IFERROR(__xludf.DUMMYFUNCTION("ARRAYFORMULA(REGEXEXTRACT(SPLIT(C369, ""&lt;br&gt;""), ""([가-힣A-Za-z]+)""))"),"넘버")</f>
        <v>넘버</v>
      </c>
      <c r="K369" s="26" t="str">
        <f>IFERROR(__xludf.DUMMYFUNCTION("""COMPUTED_VALUE"""),"깡패")</f>
        <v>깡패</v>
      </c>
      <c r="L369" s="26" t="str">
        <f>IFERROR(__xludf.DUMMYFUNCTION("""COMPUTED_VALUE"""),"테리")</f>
        <v>테리</v>
      </c>
      <c r="M369" s="26" t="str">
        <f>IFERROR(__xludf.DUMMYFUNCTION("""COMPUTED_VALUE"""),"참치")</f>
        <v>참치</v>
      </c>
      <c r="N369" s="26" t="str">
        <f>IFERROR(__xludf.DUMMYFUNCTION("ARRAYFORMULA(REGEXEXTRACT(SPLIT(E369, ""&lt;br&gt;""), ""([가-힣A-Za-z]+)""))"),"노인")</f>
        <v>노인</v>
      </c>
      <c r="O369" s="26" t="str">
        <f>IFERROR(__xludf.DUMMYFUNCTION("""COMPUTED_VALUE"""),"원")</f>
        <v>원</v>
      </c>
      <c r="P369" s="26" t="str">
        <f>IFERROR(__xludf.DUMMYFUNCTION("""COMPUTED_VALUE"""),"신형만")</f>
        <v>신형만</v>
      </c>
      <c r="Q369" s="26" t="str">
        <f>IFERROR(__xludf.DUMMYFUNCTION("""COMPUTED_VALUE"""),"한메")</f>
        <v>한메</v>
      </c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9" t="s">
        <v>1680</v>
      </c>
      <c r="B370" s="20" t="s">
        <v>1681</v>
      </c>
      <c r="C370" s="19" t="s">
        <v>1682</v>
      </c>
      <c r="D370" s="19">
        <v>5.0</v>
      </c>
      <c r="E370" s="19" t="s">
        <v>1683</v>
      </c>
      <c r="F370" s="19">
        <v>2.0</v>
      </c>
      <c r="G370" s="21">
        <v>45909.99166666667</v>
      </c>
      <c r="H370" s="19" t="s">
        <v>1352</v>
      </c>
      <c r="I370" s="22" t="s">
        <v>1679</v>
      </c>
      <c r="J370" s="25" t="str">
        <f>IFERROR(__xludf.DUMMYFUNCTION("ARRAYFORMULA(REGEXEXTRACT(SPLIT(C370, ""&lt;br&gt;""), ""([가-힣A-Za-z]+)""))"),"넘버")</f>
        <v>넘버</v>
      </c>
      <c r="K370" s="26" t="str">
        <f>IFERROR(__xludf.DUMMYFUNCTION("""COMPUTED_VALUE"""),"테리")</f>
        <v>테리</v>
      </c>
      <c r="L370" s="26" t="str">
        <f>IFERROR(__xludf.DUMMYFUNCTION("""COMPUTED_VALUE"""),"신형만")</f>
        <v>신형만</v>
      </c>
      <c r="M370" s="26" t="str">
        <f>IFERROR(__xludf.DUMMYFUNCTION("""COMPUTED_VALUE"""),"참치")</f>
        <v>참치</v>
      </c>
      <c r="N370" s="26" t="str">
        <f>IFERROR(__xludf.DUMMYFUNCTION("ARRAYFORMULA(REGEXEXTRACT(SPLIT(E370, ""&lt;br&gt;""), ""([가-힣A-Za-z]+)""))"),"한메")</f>
        <v>한메</v>
      </c>
      <c r="O370" s="26" t="str">
        <f>IFERROR(__xludf.DUMMYFUNCTION("""COMPUTED_VALUE"""),"깡패")</f>
        <v>깡패</v>
      </c>
      <c r="P370" s="26" t="str">
        <f>IFERROR(__xludf.DUMMYFUNCTION("""COMPUTED_VALUE"""),"노인")</f>
        <v>노인</v>
      </c>
      <c r="Q370" s="26" t="str">
        <f>IFERROR(__xludf.DUMMYFUNCTION("""COMPUTED_VALUE"""),"원")</f>
        <v>원</v>
      </c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9" t="s">
        <v>1684</v>
      </c>
      <c r="B371" s="20" t="s">
        <v>1685</v>
      </c>
      <c r="C371" s="19" t="s">
        <v>1686</v>
      </c>
      <c r="D371" s="19">
        <v>5.0</v>
      </c>
      <c r="E371" s="19" t="s">
        <v>1687</v>
      </c>
      <c r="F371" s="19">
        <v>4.0</v>
      </c>
      <c r="G371" s="21">
        <v>45909.967361111114</v>
      </c>
      <c r="H371" s="19" t="s">
        <v>1352</v>
      </c>
      <c r="I371" s="22" t="s">
        <v>1679</v>
      </c>
      <c r="J371" s="25" t="str">
        <f>IFERROR(__xludf.DUMMYFUNCTION("ARRAYFORMULA(REGEXEXTRACT(SPLIT(C371, ""&lt;br&gt;""), ""([가-힣A-Za-z]+)""))"),"넘버")</f>
        <v>넘버</v>
      </c>
      <c r="K371" s="26" t="str">
        <f>IFERROR(__xludf.DUMMYFUNCTION("""COMPUTED_VALUE"""),"신형만")</f>
        <v>신형만</v>
      </c>
      <c r="L371" s="26" t="str">
        <f>IFERROR(__xludf.DUMMYFUNCTION("""COMPUTED_VALUE"""),"테리")</f>
        <v>테리</v>
      </c>
      <c r="M371" s="26" t="str">
        <f>IFERROR(__xludf.DUMMYFUNCTION("""COMPUTED_VALUE"""),"참치")</f>
        <v>참치</v>
      </c>
      <c r="N371" s="26" t="str">
        <f>IFERROR(__xludf.DUMMYFUNCTION("ARRAYFORMULA(REGEXEXTRACT(SPLIT(E371, ""&lt;br&gt;""), ""([가-힣A-Za-z]+)""))"),"깡패")</f>
        <v>깡패</v>
      </c>
      <c r="O371" s="26" t="str">
        <f>IFERROR(__xludf.DUMMYFUNCTION("""COMPUTED_VALUE"""),"노인")</f>
        <v>노인</v>
      </c>
      <c r="P371" s="26" t="str">
        <f>IFERROR(__xludf.DUMMYFUNCTION("""COMPUTED_VALUE"""),"원")</f>
        <v>원</v>
      </c>
      <c r="Q371" s="26" t="str">
        <f>IFERROR(__xludf.DUMMYFUNCTION("""COMPUTED_VALUE"""),"한메")</f>
        <v>한메</v>
      </c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9" t="s">
        <v>1688</v>
      </c>
      <c r="B372" s="20" t="s">
        <v>1689</v>
      </c>
      <c r="C372" s="19" t="s">
        <v>1690</v>
      </c>
      <c r="D372" s="19">
        <v>5.0</v>
      </c>
      <c r="E372" s="19" t="s">
        <v>1691</v>
      </c>
      <c r="F372" s="19">
        <v>3.0</v>
      </c>
      <c r="G372" s="21">
        <v>45909.91458333333</v>
      </c>
      <c r="H372" s="19" t="s">
        <v>1352</v>
      </c>
      <c r="I372" s="22" t="s">
        <v>1679</v>
      </c>
      <c r="J372" s="25" t="str">
        <f>IFERROR(__xludf.DUMMYFUNCTION("ARRAYFORMULA(REGEXEXTRACT(SPLIT(C372, ""&lt;br&gt;""), ""([가-힣A-Za-z]+)""))"),"노인")</f>
        <v>노인</v>
      </c>
      <c r="K372" s="26" t="str">
        <f>IFERROR(__xludf.DUMMYFUNCTION("""COMPUTED_VALUE"""),"깡패")</f>
        <v>깡패</v>
      </c>
      <c r="L372" s="26" t="str">
        <f>IFERROR(__xludf.DUMMYFUNCTION("""COMPUTED_VALUE"""),"원")</f>
        <v>원</v>
      </c>
      <c r="M372" s="26" t="str">
        <f>IFERROR(__xludf.DUMMYFUNCTION("""COMPUTED_VALUE"""),"한메")</f>
        <v>한메</v>
      </c>
      <c r="N372" s="26" t="str">
        <f>IFERROR(__xludf.DUMMYFUNCTION("ARRAYFORMULA(REGEXEXTRACT(SPLIT(E372, ""&lt;br&gt;""), ""([가-힣A-Za-z]+)""))"),"신형만")</f>
        <v>신형만</v>
      </c>
      <c r="O372" s="26" t="str">
        <f>IFERROR(__xludf.DUMMYFUNCTION("""COMPUTED_VALUE"""),"테리")</f>
        <v>테리</v>
      </c>
      <c r="P372" s="26" t="str">
        <f>IFERROR(__xludf.DUMMYFUNCTION("""COMPUTED_VALUE"""),"넘버")</f>
        <v>넘버</v>
      </c>
      <c r="Q372" s="26" t="str">
        <f>IFERROR(__xludf.DUMMYFUNCTION("""COMPUTED_VALUE"""),"참치")</f>
        <v>참치</v>
      </c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9" t="s">
        <v>1692</v>
      </c>
      <c r="B373" s="20" t="s">
        <v>1693</v>
      </c>
      <c r="C373" s="19" t="s">
        <v>1694</v>
      </c>
      <c r="D373" s="19">
        <v>5.0</v>
      </c>
      <c r="E373" s="19" t="s">
        <v>1695</v>
      </c>
      <c r="F373" s="19">
        <v>2.0</v>
      </c>
      <c r="G373" s="21">
        <v>45909.01458333333</v>
      </c>
      <c r="H373" s="19" t="s">
        <v>1352</v>
      </c>
      <c r="I373" s="22" t="s">
        <v>492</v>
      </c>
      <c r="J373" s="25" t="str">
        <f>IFERROR(__xludf.DUMMYFUNCTION("ARRAYFORMULA(REGEXEXTRACT(SPLIT(C373, ""&lt;br&gt;""), ""([가-힣A-Za-z]+)""))"),"ACDC")</f>
        <v>ACDC</v>
      </c>
      <c r="K373" s="26" t="str">
        <f>IFERROR(__xludf.DUMMYFUNCTION("""COMPUTED_VALUE"""),"테리")</f>
        <v>테리</v>
      </c>
      <c r="L373" s="26" t="str">
        <f>IFERROR(__xludf.DUMMYFUNCTION("""COMPUTED_VALUE"""),"넘버")</f>
        <v>넘버</v>
      </c>
      <c r="M373" s="26" t="str">
        <f>IFERROR(__xludf.DUMMYFUNCTION("""COMPUTED_VALUE"""),"신형만")</f>
        <v>신형만</v>
      </c>
      <c r="N373" s="26" t="str">
        <f>IFERROR(__xludf.DUMMYFUNCTION("ARRAYFORMULA(REGEXEXTRACT(SPLIT(E373, ""&lt;br&gt;""), ""([가-힣A-Za-z]+)""))"),"강화")</f>
        <v>강화</v>
      </c>
      <c r="O373" s="26" t="str">
        <f>IFERROR(__xludf.DUMMYFUNCTION("""COMPUTED_VALUE"""),"깡패")</f>
        <v>깡패</v>
      </c>
      <c r="P373" s="26" t="str">
        <f>IFERROR(__xludf.DUMMYFUNCTION("""COMPUTED_VALUE"""),"노인")</f>
        <v>노인</v>
      </c>
      <c r="Q373" s="26" t="str">
        <f>IFERROR(__xludf.DUMMYFUNCTION("""COMPUTED_VALUE"""),"한메")</f>
        <v>한메</v>
      </c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9" t="s">
        <v>1696</v>
      </c>
      <c r="B374" s="20" t="s">
        <v>1697</v>
      </c>
      <c r="C374" s="19" t="s">
        <v>1698</v>
      </c>
      <c r="D374" s="19">
        <v>5.0</v>
      </c>
      <c r="E374" s="19" t="s">
        <v>1699</v>
      </c>
      <c r="F374" s="19">
        <v>2.0</v>
      </c>
      <c r="G374" s="21">
        <v>45908.97708333333</v>
      </c>
      <c r="H374" s="19" t="s">
        <v>1352</v>
      </c>
      <c r="I374" s="22" t="s">
        <v>1700</v>
      </c>
      <c r="J374" s="25" t="str">
        <f>IFERROR(__xludf.DUMMYFUNCTION("ARRAYFORMULA(REGEXEXTRACT(SPLIT(C374, ""&lt;br&gt;""), ""([가-힣A-Za-z]+)""))"),"강화")</f>
        <v>강화</v>
      </c>
      <c r="K374" s="26" t="str">
        <f>IFERROR(__xludf.DUMMYFUNCTION("""COMPUTED_VALUE"""),"넘버")</f>
        <v>넘버</v>
      </c>
      <c r="L374" s="26" t="str">
        <f>IFERROR(__xludf.DUMMYFUNCTION("""COMPUTED_VALUE"""),"한메")</f>
        <v>한메</v>
      </c>
      <c r="M374" s="26" t="str">
        <f>IFERROR(__xludf.DUMMYFUNCTION("""COMPUTED_VALUE"""),"신형만")</f>
        <v>신형만</v>
      </c>
      <c r="N374" s="26" t="str">
        <f>IFERROR(__xludf.DUMMYFUNCTION("ARRAYFORMULA(REGEXEXTRACT(SPLIT(E374, ""&lt;br&gt;""), ""([가-힣A-Za-z]+)""))"),"테리")</f>
        <v>테리</v>
      </c>
      <c r="O374" s="26" t="str">
        <f>IFERROR(__xludf.DUMMYFUNCTION("""COMPUTED_VALUE"""),"노인")</f>
        <v>노인</v>
      </c>
      <c r="P374" s="26" t="str">
        <f>IFERROR(__xludf.DUMMYFUNCTION("""COMPUTED_VALUE"""),"ACDC")</f>
        <v>ACDC</v>
      </c>
      <c r="Q374" s="26" t="str">
        <f>IFERROR(__xludf.DUMMYFUNCTION("""COMPUTED_VALUE"""),"깡패")</f>
        <v>깡패</v>
      </c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9" t="s">
        <v>1701</v>
      </c>
      <c r="B375" s="20" t="s">
        <v>1702</v>
      </c>
      <c r="C375" s="19" t="s">
        <v>1703</v>
      </c>
      <c r="D375" s="19">
        <v>5.0</v>
      </c>
      <c r="E375" s="19" t="s">
        <v>1704</v>
      </c>
      <c r="F375" s="19">
        <v>4.0</v>
      </c>
      <c r="G375" s="21">
        <v>45908.959027777775</v>
      </c>
      <c r="H375" s="19" t="s">
        <v>1352</v>
      </c>
      <c r="I375" s="22" t="s">
        <v>1700</v>
      </c>
      <c r="J375" s="25" t="str">
        <f>IFERROR(__xludf.DUMMYFUNCTION("ARRAYFORMULA(REGEXEXTRACT(SPLIT(C375, ""&lt;br&gt;""), ""([가-힣A-Za-z]+)""))"),"테리")</f>
        <v>테리</v>
      </c>
      <c r="K375" s="26" t="str">
        <f>IFERROR(__xludf.DUMMYFUNCTION("""COMPUTED_VALUE"""),"노인")</f>
        <v>노인</v>
      </c>
      <c r="L375" s="26" t="str">
        <f>IFERROR(__xludf.DUMMYFUNCTION("""COMPUTED_VALUE"""),"강화")</f>
        <v>강화</v>
      </c>
      <c r="M375" s="26" t="str">
        <f>IFERROR(__xludf.DUMMYFUNCTION("""COMPUTED_VALUE"""),"한메")</f>
        <v>한메</v>
      </c>
      <c r="N375" s="26" t="str">
        <f>IFERROR(__xludf.DUMMYFUNCTION("ARRAYFORMULA(REGEXEXTRACT(SPLIT(E375, ""&lt;br&gt;""), ""([가-힣A-Za-z]+)""))"),"깡패")</f>
        <v>깡패</v>
      </c>
      <c r="O375" s="26" t="str">
        <f>IFERROR(__xludf.DUMMYFUNCTION("""COMPUTED_VALUE"""),"ACDC")</f>
        <v>ACDC</v>
      </c>
      <c r="P375" s="26" t="str">
        <f>IFERROR(__xludf.DUMMYFUNCTION("""COMPUTED_VALUE"""),"넘버")</f>
        <v>넘버</v>
      </c>
      <c r="Q375" s="26" t="str">
        <f>IFERROR(__xludf.DUMMYFUNCTION("""COMPUTED_VALUE"""),"신형만")</f>
        <v>신형만</v>
      </c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9" t="s">
        <v>1705</v>
      </c>
      <c r="B376" s="20" t="s">
        <v>1706</v>
      </c>
      <c r="C376" s="19" t="s">
        <v>1707</v>
      </c>
      <c r="D376" s="19">
        <v>5.0</v>
      </c>
      <c r="E376" s="19" t="s">
        <v>1708</v>
      </c>
      <c r="F376" s="19">
        <v>2.0</v>
      </c>
      <c r="G376" s="21">
        <v>45908.029861111114</v>
      </c>
      <c r="H376" s="19" t="s">
        <v>1352</v>
      </c>
      <c r="I376" s="22" t="s">
        <v>1709</v>
      </c>
      <c r="J376" s="25" t="str">
        <f>IFERROR(__xludf.DUMMYFUNCTION("ARRAYFORMULA(REGEXEXTRACT(SPLIT(C376, ""&lt;br&gt;""), ""([가-힣A-Za-z]+)""))"),"ACDC")</f>
        <v>ACDC</v>
      </c>
      <c r="K376" s="26" t="str">
        <f>IFERROR(__xludf.DUMMYFUNCTION("""COMPUTED_VALUE"""),"깡패")</f>
        <v>깡패</v>
      </c>
      <c r="L376" s="26" t="str">
        <f>IFERROR(__xludf.DUMMYFUNCTION("""COMPUTED_VALUE"""),"참치")</f>
        <v>참치</v>
      </c>
      <c r="M376" s="26" t="str">
        <f>IFERROR(__xludf.DUMMYFUNCTION("""COMPUTED_VALUE"""),"한메")</f>
        <v>한메</v>
      </c>
      <c r="N376" s="26" t="str">
        <f>IFERROR(__xludf.DUMMYFUNCTION("ARRAYFORMULA(REGEXEXTRACT(SPLIT(E376, ""&lt;br&gt;""), ""([가-힣A-Za-z]+)""))"),"신형만")</f>
        <v>신형만</v>
      </c>
      <c r="O376" s="26" t="str">
        <f>IFERROR(__xludf.DUMMYFUNCTION("""COMPUTED_VALUE"""),"원")</f>
        <v>원</v>
      </c>
      <c r="P376" s="26" t="str">
        <f>IFERROR(__xludf.DUMMYFUNCTION("""COMPUTED_VALUE"""),"노인")</f>
        <v>노인</v>
      </c>
      <c r="Q376" s="26" t="str">
        <f>IFERROR(__xludf.DUMMYFUNCTION("""COMPUTED_VALUE"""),"넘버")</f>
        <v>넘버</v>
      </c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9" t="s">
        <v>1710</v>
      </c>
      <c r="B377" s="20" t="s">
        <v>1711</v>
      </c>
      <c r="C377" s="19" t="s">
        <v>1712</v>
      </c>
      <c r="D377" s="19">
        <v>5.0</v>
      </c>
      <c r="E377" s="19" t="s">
        <v>1713</v>
      </c>
      <c r="F377" s="19">
        <v>2.0</v>
      </c>
      <c r="G377" s="21">
        <v>45908.006944444445</v>
      </c>
      <c r="H377" s="19" t="s">
        <v>1352</v>
      </c>
      <c r="I377" s="22" t="s">
        <v>1709</v>
      </c>
      <c r="J377" s="25" t="str">
        <f>IFERROR(__xludf.DUMMYFUNCTION("ARRAYFORMULA(REGEXEXTRACT(SPLIT(C377, ""&lt;br&gt;""), ""([가-힣A-Za-z]+)""))"),"깡패")</f>
        <v>깡패</v>
      </c>
      <c r="K377" s="26" t="str">
        <f>IFERROR(__xludf.DUMMYFUNCTION("""COMPUTED_VALUE"""),"노인")</f>
        <v>노인</v>
      </c>
      <c r="L377" s="26" t="str">
        <f>IFERROR(__xludf.DUMMYFUNCTION("""COMPUTED_VALUE"""),"한메")</f>
        <v>한메</v>
      </c>
      <c r="M377" s="26" t="str">
        <f>IFERROR(__xludf.DUMMYFUNCTION("""COMPUTED_VALUE"""),"원")</f>
        <v>원</v>
      </c>
      <c r="N377" s="26" t="str">
        <f>IFERROR(__xludf.DUMMYFUNCTION("ARRAYFORMULA(REGEXEXTRACT(SPLIT(E377, ""&lt;br&gt;""), ""([가-힣A-Za-z]+)""))"),"넘버")</f>
        <v>넘버</v>
      </c>
      <c r="O377" s="26" t="str">
        <f>IFERROR(__xludf.DUMMYFUNCTION("""COMPUTED_VALUE"""),"신형만")</f>
        <v>신형만</v>
      </c>
      <c r="P377" s="26" t="str">
        <f>IFERROR(__xludf.DUMMYFUNCTION("""COMPUTED_VALUE"""),"ACDC")</f>
        <v>ACDC</v>
      </c>
      <c r="Q377" s="26" t="str">
        <f>IFERROR(__xludf.DUMMYFUNCTION("""COMPUTED_VALUE"""),"참치")</f>
        <v>참치</v>
      </c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9" t="s">
        <v>1714</v>
      </c>
      <c r="B378" s="20" t="s">
        <v>1715</v>
      </c>
      <c r="C378" s="19" t="s">
        <v>1716</v>
      </c>
      <c r="D378" s="19">
        <v>5.0</v>
      </c>
      <c r="E378" s="19" t="s">
        <v>1717</v>
      </c>
      <c r="F378" s="19">
        <v>2.0</v>
      </c>
      <c r="G378" s="21">
        <v>45907.98125</v>
      </c>
      <c r="H378" s="19" t="s">
        <v>1352</v>
      </c>
      <c r="I378" s="22" t="s">
        <v>1709</v>
      </c>
      <c r="J378" s="25" t="str">
        <f>IFERROR(__xludf.DUMMYFUNCTION("ARRAYFORMULA(REGEXEXTRACT(SPLIT(C378, ""&lt;br&gt;""), ""([가-힣A-Za-z]+)""))"),"원")</f>
        <v>원</v>
      </c>
      <c r="K378" s="26" t="str">
        <f>IFERROR(__xludf.DUMMYFUNCTION("""COMPUTED_VALUE"""),"참치")</f>
        <v>참치</v>
      </c>
      <c r="L378" s="26" t="str">
        <f>IFERROR(__xludf.DUMMYFUNCTION("""COMPUTED_VALUE"""),"신형만")</f>
        <v>신형만</v>
      </c>
      <c r="M378" s="26" t="str">
        <f>IFERROR(__xludf.DUMMYFUNCTION("""COMPUTED_VALUE"""),"깡패")</f>
        <v>깡패</v>
      </c>
      <c r="N378" s="26" t="str">
        <f>IFERROR(__xludf.DUMMYFUNCTION("ARRAYFORMULA(REGEXEXTRACT(SPLIT(E378, ""&lt;br&gt;""), ""([가-힣A-Za-z]+)""))"),"노인")</f>
        <v>노인</v>
      </c>
      <c r="O378" s="26" t="str">
        <f>IFERROR(__xludf.DUMMYFUNCTION("""COMPUTED_VALUE"""),"ACDC")</f>
        <v>ACDC</v>
      </c>
      <c r="P378" s="26" t="str">
        <f>IFERROR(__xludf.DUMMYFUNCTION("""COMPUTED_VALUE"""),"넘버")</f>
        <v>넘버</v>
      </c>
      <c r="Q378" s="26" t="str">
        <f>IFERROR(__xludf.DUMMYFUNCTION("""COMPUTED_VALUE"""),"한메")</f>
        <v>한메</v>
      </c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9" t="s">
        <v>1718</v>
      </c>
      <c r="B379" s="20" t="s">
        <v>1719</v>
      </c>
      <c r="C379" s="19" t="s">
        <v>1720</v>
      </c>
      <c r="D379" s="19">
        <v>5.0</v>
      </c>
      <c r="E379" s="19" t="s">
        <v>1721</v>
      </c>
      <c r="F379" s="19">
        <v>2.0</v>
      </c>
      <c r="G379" s="21">
        <v>45907.70972222222</v>
      </c>
      <c r="H379" s="19" t="s">
        <v>1352</v>
      </c>
      <c r="I379" s="22" t="s">
        <v>1722</v>
      </c>
      <c r="J379" s="25" t="str">
        <f>IFERROR(__xludf.DUMMYFUNCTION("ARRAYFORMULA(REGEXEXTRACT(SPLIT(C379, ""&lt;br&gt;""), ""([가-힣A-Za-z]+)""))"),"넘버")</f>
        <v>넘버</v>
      </c>
      <c r="K379" s="26" t="str">
        <f>IFERROR(__xludf.DUMMYFUNCTION("""COMPUTED_VALUE"""),"유즈")</f>
        <v>유즈</v>
      </c>
      <c r="L379" s="26" t="str">
        <f>IFERROR(__xludf.DUMMYFUNCTION("""COMPUTED_VALUE"""),"테리")</f>
        <v>테리</v>
      </c>
      <c r="M379" s="26" t="str">
        <f>IFERROR(__xludf.DUMMYFUNCTION("""COMPUTED_VALUE"""),"신형만")</f>
        <v>신형만</v>
      </c>
      <c r="N379" s="26" t="str">
        <f>IFERROR(__xludf.DUMMYFUNCTION("ARRAYFORMULA(REGEXEXTRACT(SPLIT(E379, ""&lt;br&gt;""), ""([가-힣A-Za-z]+)""))"),"반짝")</f>
        <v>반짝</v>
      </c>
      <c r="O379" s="26" t="str">
        <f>IFERROR(__xludf.DUMMYFUNCTION("""COMPUTED_VALUE"""),"노픽업")</f>
        <v>노픽업</v>
      </c>
      <c r="P379" s="26" t="str">
        <f>IFERROR(__xludf.DUMMYFUNCTION("""COMPUTED_VALUE"""),"규식")</f>
        <v>규식</v>
      </c>
      <c r="Q379" s="26" t="str">
        <f>IFERROR(__xludf.DUMMYFUNCTION("""COMPUTED_VALUE"""),"오딘")</f>
        <v>오딘</v>
      </c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9" t="s">
        <v>1723</v>
      </c>
      <c r="B380" s="20" t="s">
        <v>1724</v>
      </c>
      <c r="C380" s="19" t="s">
        <v>1725</v>
      </c>
      <c r="D380" s="19">
        <v>5.0</v>
      </c>
      <c r="E380" s="19" t="s">
        <v>1726</v>
      </c>
      <c r="F380" s="19">
        <v>0.0</v>
      </c>
      <c r="G380" s="21">
        <v>45907.68194444444</v>
      </c>
      <c r="H380" s="19" t="s">
        <v>1352</v>
      </c>
      <c r="I380" s="22" t="s">
        <v>1722</v>
      </c>
      <c r="J380" s="25" t="str">
        <f>IFERROR(__xludf.DUMMYFUNCTION("ARRAYFORMULA(REGEXEXTRACT(SPLIT(C380, ""&lt;br&gt;""), ""([가-힣A-Za-z]+)""))"),"테리")</f>
        <v>테리</v>
      </c>
      <c r="K380" s="26" t="str">
        <f>IFERROR(__xludf.DUMMYFUNCTION("""COMPUTED_VALUE"""),"규식")</f>
        <v>규식</v>
      </c>
      <c r="L380" s="26" t="str">
        <f>IFERROR(__xludf.DUMMYFUNCTION("""COMPUTED_VALUE"""),"넘버")</f>
        <v>넘버</v>
      </c>
      <c r="M380" s="26" t="str">
        <f>IFERROR(__xludf.DUMMYFUNCTION("""COMPUTED_VALUE"""),"반짝")</f>
        <v>반짝</v>
      </c>
      <c r="N380" s="26" t="str">
        <f>IFERROR(__xludf.DUMMYFUNCTION("ARRAYFORMULA(REGEXEXTRACT(SPLIT(E380, ""&lt;br&gt;""), ""([가-힣A-Za-z]+)""))"),"유즈")</f>
        <v>유즈</v>
      </c>
      <c r="O380" s="26" t="str">
        <f>IFERROR(__xludf.DUMMYFUNCTION("""COMPUTED_VALUE"""),"신형만")</f>
        <v>신형만</v>
      </c>
      <c r="P380" s="26" t="str">
        <f>IFERROR(__xludf.DUMMYFUNCTION("""COMPUTED_VALUE"""),"오딘")</f>
        <v>오딘</v>
      </c>
      <c r="Q380" s="26" t="str">
        <f>IFERROR(__xludf.DUMMYFUNCTION("""COMPUTED_VALUE"""),"노픽업")</f>
        <v>노픽업</v>
      </c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9" t="s">
        <v>1727</v>
      </c>
      <c r="B381" s="20" t="s">
        <v>1728</v>
      </c>
      <c r="C381" s="19" t="s">
        <v>1729</v>
      </c>
      <c r="D381" s="19">
        <v>5.0</v>
      </c>
      <c r="E381" s="19" t="s">
        <v>1730</v>
      </c>
      <c r="F381" s="19">
        <v>4.0</v>
      </c>
      <c r="G381" s="21">
        <v>45904.90138888889</v>
      </c>
      <c r="H381" s="19" t="s">
        <v>1352</v>
      </c>
      <c r="I381" s="22" t="s">
        <v>273</v>
      </c>
      <c r="J381" s="25" t="str">
        <f>IFERROR(__xludf.DUMMYFUNCTION("ARRAYFORMULA(REGEXEXTRACT(SPLIT(C381, ""&lt;br&gt;""), ""([가-힣A-Za-z]+)""))"),"깡패")</f>
        <v>깡패</v>
      </c>
      <c r="K381" s="26" t="str">
        <f>IFERROR(__xludf.DUMMYFUNCTION("""COMPUTED_VALUE"""),"유즈")</f>
        <v>유즈</v>
      </c>
      <c r="L381" s="26" t="str">
        <f>IFERROR(__xludf.DUMMYFUNCTION("""COMPUTED_VALUE"""),"테리")</f>
        <v>테리</v>
      </c>
      <c r="M381" s="26" t="str">
        <f>IFERROR(__xludf.DUMMYFUNCTION("""COMPUTED_VALUE"""),"신형만")</f>
        <v>신형만</v>
      </c>
      <c r="N381" s="26" t="str">
        <f>IFERROR(__xludf.DUMMYFUNCTION("ARRAYFORMULA(REGEXEXTRACT(SPLIT(E381, ""&lt;br&gt;""), ""([가-힣A-Za-z]+)""))"),"노인")</f>
        <v>노인</v>
      </c>
      <c r="O381" s="26" t="str">
        <f>IFERROR(__xludf.DUMMYFUNCTION("""COMPUTED_VALUE"""),"ACDC")</f>
        <v>ACDC</v>
      </c>
      <c r="P381" s="26" t="str">
        <f>IFERROR(__xludf.DUMMYFUNCTION("""COMPUTED_VALUE"""),"한메")</f>
        <v>한메</v>
      </c>
      <c r="Q381" s="26" t="str">
        <f>IFERROR(__xludf.DUMMYFUNCTION("""COMPUTED_VALUE"""),"따")</f>
        <v>따</v>
      </c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9" t="s">
        <v>1731</v>
      </c>
      <c r="B382" s="20" t="s">
        <v>1732</v>
      </c>
      <c r="C382" s="19" t="s">
        <v>1733</v>
      </c>
      <c r="D382" s="19">
        <v>5.0</v>
      </c>
      <c r="E382" s="19" t="s">
        <v>1734</v>
      </c>
      <c r="F382" s="19">
        <v>3.0</v>
      </c>
      <c r="G382" s="21">
        <v>45904.85833333333</v>
      </c>
      <c r="H382" s="19" t="s">
        <v>1352</v>
      </c>
      <c r="I382" s="22" t="s">
        <v>273</v>
      </c>
      <c r="J382" s="25" t="str">
        <f>IFERROR(__xludf.DUMMYFUNCTION("ARRAYFORMULA(REGEXEXTRACT(SPLIT(C382, ""&lt;br&gt;""), ""([가-힣A-Za-z]+)""))"),"한메")</f>
        <v>한메</v>
      </c>
      <c r="K382" s="26" t="str">
        <f>IFERROR(__xludf.DUMMYFUNCTION("""COMPUTED_VALUE"""),"테리")</f>
        <v>테리</v>
      </c>
      <c r="L382" s="26" t="str">
        <f>IFERROR(__xludf.DUMMYFUNCTION("""COMPUTED_VALUE"""),"따")</f>
        <v>따</v>
      </c>
      <c r="M382" s="26" t="str">
        <f>IFERROR(__xludf.DUMMYFUNCTION("""COMPUTED_VALUE"""),"깡패")</f>
        <v>깡패</v>
      </c>
      <c r="N382" s="26" t="str">
        <f>IFERROR(__xludf.DUMMYFUNCTION("ARRAYFORMULA(REGEXEXTRACT(SPLIT(E382, ""&lt;br&gt;""), ""([가-힣A-Za-z]+)""))"),"유즈")</f>
        <v>유즈</v>
      </c>
      <c r="O382" s="26" t="str">
        <f>IFERROR(__xludf.DUMMYFUNCTION("""COMPUTED_VALUE"""),"신형만")</f>
        <v>신형만</v>
      </c>
      <c r="P382" s="26" t="str">
        <f>IFERROR(__xludf.DUMMYFUNCTION("""COMPUTED_VALUE"""),"노인")</f>
        <v>노인</v>
      </c>
      <c r="Q382" s="26" t="str">
        <f>IFERROR(__xludf.DUMMYFUNCTION("""COMPUTED_VALUE"""),"ACDC")</f>
        <v>ACDC</v>
      </c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27" t="s">
        <v>1735</v>
      </c>
      <c r="B383" s="28" t="s">
        <v>1736</v>
      </c>
      <c r="C383" s="27" t="s">
        <v>1737</v>
      </c>
      <c r="D383" s="27">
        <v>5.0</v>
      </c>
      <c r="E383" s="27" t="s">
        <v>1738</v>
      </c>
      <c r="F383" s="27">
        <v>1.0</v>
      </c>
      <c r="G383" s="29">
        <v>45904.01527777778</v>
      </c>
      <c r="H383" s="27" t="s">
        <v>1352</v>
      </c>
      <c r="I383" s="30" t="s">
        <v>1739</v>
      </c>
      <c r="J383" s="25" t="str">
        <f>IFERROR(__xludf.DUMMYFUNCTION("ARRAYFORMULA(REGEXEXTRACT(SPLIT(C383, ""&lt;br&gt;""), ""([가-힣A-Za-z]+)""))"),"노인")</f>
        <v>노인</v>
      </c>
      <c r="K383" s="26" t="str">
        <f>IFERROR(__xludf.DUMMYFUNCTION("""COMPUTED_VALUE"""),"넘버")</f>
        <v>넘버</v>
      </c>
      <c r="L383" s="26" t="str">
        <f>IFERROR(__xludf.DUMMYFUNCTION("""COMPUTED_VALUE"""),"원")</f>
        <v>원</v>
      </c>
      <c r="M383" s="26" t="str">
        <f>IFERROR(__xludf.DUMMYFUNCTION("""COMPUTED_VALUE"""),"솔")</f>
        <v>솔</v>
      </c>
      <c r="N383" s="26" t="str">
        <f>IFERROR(__xludf.DUMMYFUNCTION("ARRAYFORMULA(REGEXEXTRACT(SPLIT(E383, ""&lt;br&gt;""), ""([가-힣A-Za-z]+)""))"),"테리")</f>
        <v>테리</v>
      </c>
      <c r="O383" s="26" t="str">
        <f>IFERROR(__xludf.DUMMYFUNCTION("""COMPUTED_VALUE"""),"깡패")</f>
        <v>깡패</v>
      </c>
      <c r="P383" s="26" t="str">
        <f>IFERROR(__xludf.DUMMYFUNCTION("""COMPUTED_VALUE"""),"신형만")</f>
        <v>신형만</v>
      </c>
      <c r="Q383" s="26" t="str">
        <f>IFERROR(__xludf.DUMMYFUNCTION("""COMPUTED_VALUE"""),"참치")</f>
        <v>참치</v>
      </c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27" t="s">
        <v>1740</v>
      </c>
      <c r="B384" s="28" t="s">
        <v>1741</v>
      </c>
      <c r="C384" s="27" t="s">
        <v>1742</v>
      </c>
      <c r="D384" s="27">
        <v>5.0</v>
      </c>
      <c r="E384" s="27" t="s">
        <v>1743</v>
      </c>
      <c r="F384" s="27">
        <v>4.0</v>
      </c>
      <c r="G384" s="29">
        <v>45903.99444444444</v>
      </c>
      <c r="H384" s="27" t="s">
        <v>1352</v>
      </c>
      <c r="I384" s="30" t="s">
        <v>1744</v>
      </c>
      <c r="J384" s="25" t="str">
        <f>IFERROR(__xludf.DUMMYFUNCTION("ARRAYFORMULA(REGEXEXTRACT(SPLIT(C384, ""&lt;br&gt;""), ""([가-힣A-Za-z]+)""))"),"참치")</f>
        <v>참치</v>
      </c>
      <c r="K384" s="26" t="str">
        <f>IFERROR(__xludf.DUMMYFUNCTION("""COMPUTED_VALUE"""),"새출발")</f>
        <v>새출발</v>
      </c>
      <c r="L384" s="26" t="str">
        <f>IFERROR(__xludf.DUMMYFUNCTION("""COMPUTED_VALUE"""),"넘버")</f>
        <v>넘버</v>
      </c>
      <c r="M384" s="26" t="str">
        <f>IFERROR(__xludf.DUMMYFUNCTION("""COMPUTED_VALUE"""),"신형만")</f>
        <v>신형만</v>
      </c>
      <c r="N384" s="26" t="str">
        <f>IFERROR(__xludf.DUMMYFUNCTION("ARRAYFORMULA(REGEXEXTRACT(SPLIT(E384, ""&lt;br&gt;""), ""([가-힣A-Za-z]+)""))"),"깡패")</f>
        <v>깡패</v>
      </c>
      <c r="O384" s="26" t="str">
        <f>IFERROR(__xludf.DUMMYFUNCTION("""COMPUTED_VALUE"""),"테리")</f>
        <v>테리</v>
      </c>
      <c r="P384" s="26" t="str">
        <f>IFERROR(__xludf.DUMMYFUNCTION("""COMPUTED_VALUE"""),"노인")</f>
        <v>노인</v>
      </c>
      <c r="Q384" s="26" t="str">
        <f>IFERROR(__xludf.DUMMYFUNCTION("""COMPUTED_VALUE"""),"원")</f>
        <v>원</v>
      </c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27" t="s">
        <v>1745</v>
      </c>
      <c r="B385" s="28" t="s">
        <v>1746</v>
      </c>
      <c r="C385" s="27" t="s">
        <v>1747</v>
      </c>
      <c r="D385" s="27">
        <v>5.0</v>
      </c>
      <c r="E385" s="27" t="s">
        <v>1748</v>
      </c>
      <c r="F385" s="27">
        <v>1.0</v>
      </c>
      <c r="G385" s="29">
        <v>45903.96805555555</v>
      </c>
      <c r="H385" s="27" t="s">
        <v>1352</v>
      </c>
      <c r="I385" s="30" t="s">
        <v>1749</v>
      </c>
      <c r="J385" s="25" t="str">
        <f>IFERROR(__xludf.DUMMYFUNCTION("ARRAYFORMULA(REGEXEXTRACT(SPLIT(C385, ""&lt;br&gt;""), ""([가-힣A-Za-z]+)""))"),"신형만")</f>
        <v>신형만</v>
      </c>
      <c r="K385" s="26" t="str">
        <f>IFERROR(__xludf.DUMMYFUNCTION("""COMPUTED_VALUE"""),"원")</f>
        <v>원</v>
      </c>
      <c r="L385" s="26" t="str">
        <f>IFERROR(__xludf.DUMMYFUNCTION("""COMPUTED_VALUE"""),"참치")</f>
        <v>참치</v>
      </c>
      <c r="M385" s="26" t="str">
        <f>IFERROR(__xludf.DUMMYFUNCTION("""COMPUTED_VALUE"""),"깡패")</f>
        <v>깡패</v>
      </c>
      <c r="N385" s="26" t="str">
        <f>IFERROR(__xludf.DUMMYFUNCTION("ARRAYFORMULA(REGEXEXTRACT(SPLIT(E385, ""&lt;br&gt;""), ""([가-힣A-Za-z]+)""))"),"단수")</f>
        <v>단수</v>
      </c>
      <c r="O385" s="26" t="str">
        <f>IFERROR(__xludf.DUMMYFUNCTION("""COMPUTED_VALUE"""),"노인")</f>
        <v>노인</v>
      </c>
      <c r="P385" s="26" t="str">
        <f>IFERROR(__xludf.DUMMYFUNCTION("""COMPUTED_VALUE"""),"새출발")</f>
        <v>새출발</v>
      </c>
      <c r="Q385" s="26" t="str">
        <f>IFERROR(__xludf.DUMMYFUNCTION("""COMPUTED_VALUE"""),"넘버")</f>
        <v>넘버</v>
      </c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27" t="s">
        <v>1750</v>
      </c>
      <c r="B386" s="28" t="s">
        <v>1751</v>
      </c>
      <c r="C386" s="27" t="s">
        <v>1752</v>
      </c>
      <c r="D386" s="27">
        <v>5.0</v>
      </c>
      <c r="E386" s="27" t="s">
        <v>1753</v>
      </c>
      <c r="F386" s="27">
        <v>1.0</v>
      </c>
      <c r="G386" s="29">
        <v>45903.95</v>
      </c>
      <c r="H386" s="27" t="s">
        <v>1352</v>
      </c>
      <c r="I386" s="30" t="s">
        <v>1754</v>
      </c>
      <c r="J386" s="25" t="str">
        <f>IFERROR(__xludf.DUMMYFUNCTION("ARRAYFORMULA(REGEXEXTRACT(SPLIT(C386, ""&lt;br&gt;""), ""([가-힣A-Za-z]+)""))"),"솔")</f>
        <v>솔</v>
      </c>
      <c r="K386" s="26" t="str">
        <f>IFERROR(__xludf.DUMMYFUNCTION("""COMPUTED_VALUE"""),"참치")</f>
        <v>참치</v>
      </c>
      <c r="L386" s="26" t="str">
        <f>IFERROR(__xludf.DUMMYFUNCTION("""COMPUTED_VALUE"""),"테리")</f>
        <v>테리</v>
      </c>
      <c r="M386" s="26" t="str">
        <f>IFERROR(__xludf.DUMMYFUNCTION("""COMPUTED_VALUE"""),"신형만")</f>
        <v>신형만</v>
      </c>
      <c r="N386" s="26" t="str">
        <f>IFERROR(__xludf.DUMMYFUNCTION("ARRAYFORMULA(REGEXEXTRACT(SPLIT(E386, ""&lt;br&gt;""), ""([가-힣A-Za-z]+)""))"),"깡패")</f>
        <v>깡패</v>
      </c>
      <c r="O386" s="26" t="str">
        <f>IFERROR(__xludf.DUMMYFUNCTION("""COMPUTED_VALUE"""),"새출발")</f>
        <v>새출발</v>
      </c>
      <c r="P386" s="26" t="str">
        <f>IFERROR(__xludf.DUMMYFUNCTION("""COMPUTED_VALUE"""),"단수")</f>
        <v>단수</v>
      </c>
      <c r="Q386" s="26" t="str">
        <f>IFERROR(__xludf.DUMMYFUNCTION("""COMPUTED_VALUE"""),"원")</f>
        <v>원</v>
      </c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27" t="s">
        <v>1755</v>
      </c>
      <c r="B387" s="28" t="s">
        <v>1756</v>
      </c>
      <c r="C387" s="27" t="s">
        <v>1757</v>
      </c>
      <c r="D387" s="27">
        <v>5.0</v>
      </c>
      <c r="E387" s="27" t="s">
        <v>1758</v>
      </c>
      <c r="F387" s="27">
        <v>3.0</v>
      </c>
      <c r="G387" s="29">
        <v>45903.92361111111</v>
      </c>
      <c r="H387" s="27" t="s">
        <v>1352</v>
      </c>
      <c r="I387" s="30" t="s">
        <v>1759</v>
      </c>
      <c r="J387" s="25" t="str">
        <f>IFERROR(__xludf.DUMMYFUNCTION("ARRAYFORMULA(REGEXEXTRACT(SPLIT(C387, ""&lt;br&gt;""), ""([가-힣A-Za-z]+)""))"),"신형만")</f>
        <v>신형만</v>
      </c>
      <c r="K387" s="26" t="str">
        <f>IFERROR(__xludf.DUMMYFUNCTION("""COMPUTED_VALUE"""),"넘버")</f>
        <v>넘버</v>
      </c>
      <c r="L387" s="26" t="str">
        <f>IFERROR(__xludf.DUMMYFUNCTION("""COMPUTED_VALUE"""),"깡패")</f>
        <v>깡패</v>
      </c>
      <c r="M387" s="26" t="str">
        <f>IFERROR(__xludf.DUMMYFUNCTION("""COMPUTED_VALUE"""),"참치")</f>
        <v>참치</v>
      </c>
      <c r="N387" s="26" t="str">
        <f>IFERROR(__xludf.DUMMYFUNCTION("ARRAYFORMULA(REGEXEXTRACT(SPLIT(E387, ""&lt;br&gt;""), ""([가-힣A-Za-z]+)""))"),"테리")</f>
        <v>테리</v>
      </c>
      <c r="O387" s="26" t="str">
        <f>IFERROR(__xludf.DUMMYFUNCTION("""COMPUTED_VALUE"""),"단수")</f>
        <v>단수</v>
      </c>
      <c r="P387" s="26" t="str">
        <f>IFERROR(__xludf.DUMMYFUNCTION("""COMPUTED_VALUE"""),"새출발")</f>
        <v>새출발</v>
      </c>
      <c r="Q387" s="26" t="str">
        <f>IFERROR(__xludf.DUMMYFUNCTION("""COMPUTED_VALUE"""),"솔")</f>
        <v>솔</v>
      </c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27" t="s">
        <v>1760</v>
      </c>
      <c r="B388" s="28" t="s">
        <v>1761</v>
      </c>
      <c r="C388" s="27" t="s">
        <v>1762</v>
      </c>
      <c r="D388" s="27">
        <v>5.0</v>
      </c>
      <c r="E388" s="27" t="s">
        <v>1763</v>
      </c>
      <c r="F388" s="27">
        <v>3.0</v>
      </c>
      <c r="G388" s="29">
        <v>45903.90416666667</v>
      </c>
      <c r="H388" s="27" t="s">
        <v>1352</v>
      </c>
      <c r="I388" s="30" t="s">
        <v>1764</v>
      </c>
      <c r="J388" s="25" t="str">
        <f>IFERROR(__xludf.DUMMYFUNCTION("ARRAYFORMULA(REGEXEXTRACT(SPLIT(C388, ""&lt;br&gt;""), ""([가-힣A-Za-z]+)""))"),"솔")</f>
        <v>솔</v>
      </c>
      <c r="K388" s="26" t="str">
        <f>IFERROR(__xludf.DUMMYFUNCTION("""COMPUTED_VALUE"""),"신형만")</f>
        <v>신형만</v>
      </c>
      <c r="L388" s="26" t="str">
        <f>IFERROR(__xludf.DUMMYFUNCTION("""COMPUTED_VALUE"""),"테리")</f>
        <v>테리</v>
      </c>
      <c r="M388" s="26" t="str">
        <f>IFERROR(__xludf.DUMMYFUNCTION("""COMPUTED_VALUE"""),"넘버")</f>
        <v>넘버</v>
      </c>
      <c r="N388" s="26" t="str">
        <f>IFERROR(__xludf.DUMMYFUNCTION("ARRAYFORMULA(REGEXEXTRACT(SPLIT(E388, ""&lt;br&gt;""), ""([가-힣A-Za-z]+)""))"),"새출발")</f>
        <v>새출발</v>
      </c>
      <c r="O388" s="26" t="str">
        <f>IFERROR(__xludf.DUMMYFUNCTION("""COMPUTED_VALUE"""),"깡패")</f>
        <v>깡패</v>
      </c>
      <c r="P388" s="26" t="str">
        <f>IFERROR(__xludf.DUMMYFUNCTION("""COMPUTED_VALUE"""),"노인")</f>
        <v>노인</v>
      </c>
      <c r="Q388" s="26" t="str">
        <f>IFERROR(__xludf.DUMMYFUNCTION("""COMPUTED_VALUE"""),"단수")</f>
        <v>단수</v>
      </c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27" t="s">
        <v>1765</v>
      </c>
      <c r="B389" s="28" t="s">
        <v>1766</v>
      </c>
      <c r="C389" s="27" t="s">
        <v>1767</v>
      </c>
      <c r="D389" s="27">
        <v>5.0</v>
      </c>
      <c r="E389" s="27" t="s">
        <v>1768</v>
      </c>
      <c r="F389" s="27">
        <v>1.0</v>
      </c>
      <c r="G389" s="29">
        <v>45903.88263888889</v>
      </c>
      <c r="H389" s="27" t="s">
        <v>1352</v>
      </c>
      <c r="I389" s="30" t="s">
        <v>1764</v>
      </c>
      <c r="J389" s="25" t="str">
        <f>IFERROR(__xludf.DUMMYFUNCTION("ARRAYFORMULA(REGEXEXTRACT(SPLIT(C389, ""&lt;br&gt;""), ""([가-힣A-Za-z]+)""))"),"테리")</f>
        <v>테리</v>
      </c>
      <c r="K389" s="26" t="str">
        <f>IFERROR(__xludf.DUMMYFUNCTION("""COMPUTED_VALUE"""),"넘버")</f>
        <v>넘버</v>
      </c>
      <c r="L389" s="26" t="str">
        <f>IFERROR(__xludf.DUMMYFUNCTION("""COMPUTED_VALUE"""),"단수")</f>
        <v>단수</v>
      </c>
      <c r="M389" s="26" t="str">
        <f>IFERROR(__xludf.DUMMYFUNCTION("""COMPUTED_VALUE"""),"깡패")</f>
        <v>깡패</v>
      </c>
      <c r="N389" s="26" t="str">
        <f>IFERROR(__xludf.DUMMYFUNCTION("ARRAYFORMULA(REGEXEXTRACT(SPLIT(E389, ""&lt;br&gt;""), ""([가-힣A-Za-z]+)""))"),"노인")</f>
        <v>노인</v>
      </c>
      <c r="O389" s="26" t="str">
        <f>IFERROR(__xludf.DUMMYFUNCTION("""COMPUTED_VALUE"""),"새출발")</f>
        <v>새출발</v>
      </c>
      <c r="P389" s="26" t="str">
        <f>IFERROR(__xludf.DUMMYFUNCTION("""COMPUTED_VALUE"""),"솔")</f>
        <v>솔</v>
      </c>
      <c r="Q389" s="26" t="str">
        <f>IFERROR(__xludf.DUMMYFUNCTION("""COMPUTED_VALUE"""),"신형만")</f>
        <v>신형만</v>
      </c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27" t="s">
        <v>1769</v>
      </c>
      <c r="B390" s="28" t="s">
        <v>1770</v>
      </c>
      <c r="C390" s="27" t="s">
        <v>1771</v>
      </c>
      <c r="D390" s="27">
        <v>5.0</v>
      </c>
      <c r="E390" s="27" t="s">
        <v>1772</v>
      </c>
      <c r="F390" s="27">
        <v>4.0</v>
      </c>
      <c r="G390" s="29">
        <v>45903.86388888889</v>
      </c>
      <c r="H390" s="27" t="s">
        <v>1352</v>
      </c>
      <c r="I390" s="30" t="s">
        <v>415</v>
      </c>
      <c r="J390" s="25" t="str">
        <f>IFERROR(__xludf.DUMMYFUNCTION("ARRAYFORMULA(REGEXEXTRACT(SPLIT(C390, ""&lt;br&gt;""), ""([가-힣A-Za-z]+)""))"),"신형만")</f>
        <v>신형만</v>
      </c>
      <c r="K390" s="26" t="str">
        <f>IFERROR(__xludf.DUMMYFUNCTION("""COMPUTED_VALUE"""),"노인")</f>
        <v>노인</v>
      </c>
      <c r="L390" s="26" t="str">
        <f>IFERROR(__xludf.DUMMYFUNCTION("""COMPUTED_VALUE"""),"테리")</f>
        <v>테리</v>
      </c>
      <c r="M390" s="26" t="str">
        <f>IFERROR(__xludf.DUMMYFUNCTION("""COMPUTED_VALUE"""),"따")</f>
        <v>따</v>
      </c>
      <c r="N390" s="26" t="str">
        <f>IFERROR(__xludf.DUMMYFUNCTION("ARRAYFORMULA(REGEXEXTRACT(SPLIT(E390, ""&lt;br&gt;""), ""([가-힣A-Za-z]+)""))"),"키키")</f>
        <v>키키</v>
      </c>
      <c r="O390" s="26" t="str">
        <f>IFERROR(__xludf.DUMMYFUNCTION("""COMPUTED_VALUE"""),"솔")</f>
        <v>솔</v>
      </c>
      <c r="P390" s="26" t="str">
        <f>IFERROR(__xludf.DUMMYFUNCTION("""COMPUTED_VALUE"""),"깡패")</f>
        <v>깡패</v>
      </c>
      <c r="Q390" s="26" t="str">
        <f>IFERROR(__xludf.DUMMYFUNCTION("""COMPUTED_VALUE"""),"넘버")</f>
        <v>넘버</v>
      </c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27" t="s">
        <v>1773</v>
      </c>
      <c r="B391" s="28" t="s">
        <v>1774</v>
      </c>
      <c r="C391" s="27" t="s">
        <v>1775</v>
      </c>
      <c r="D391" s="27">
        <v>5.0</v>
      </c>
      <c r="E391" s="27" t="s">
        <v>1776</v>
      </c>
      <c r="F391" s="27">
        <v>3.0</v>
      </c>
      <c r="G391" s="29">
        <v>45902.91875</v>
      </c>
      <c r="H391" s="27" t="s">
        <v>1352</v>
      </c>
      <c r="I391" s="30" t="s">
        <v>1777</v>
      </c>
      <c r="J391" s="25" t="str">
        <f>IFERROR(__xludf.DUMMYFUNCTION("ARRAYFORMULA(REGEXEXTRACT(SPLIT(C391, ""&lt;br&gt;""), ""([가-힣A-Za-z]+)""))"),"노인")</f>
        <v>노인</v>
      </c>
      <c r="K391" s="26" t="str">
        <f>IFERROR(__xludf.DUMMYFUNCTION("""COMPUTED_VALUE"""),"깡패")</f>
        <v>깡패</v>
      </c>
      <c r="L391" s="26" t="str">
        <f>IFERROR(__xludf.DUMMYFUNCTION("""COMPUTED_VALUE"""),"넘버")</f>
        <v>넘버</v>
      </c>
      <c r="M391" s="26" t="str">
        <f>IFERROR(__xludf.DUMMYFUNCTION("""COMPUTED_VALUE"""),"단수")</f>
        <v>단수</v>
      </c>
      <c r="N391" s="26" t="str">
        <f>IFERROR(__xludf.DUMMYFUNCTION("ARRAYFORMULA(REGEXEXTRACT(SPLIT(E391, ""&lt;br&gt;""), ""([가-힣A-Za-z]+)""))"),"한메")</f>
        <v>한메</v>
      </c>
      <c r="O391" s="26" t="str">
        <f>IFERROR(__xludf.DUMMYFUNCTION("""COMPUTED_VALUE"""),"테리")</f>
        <v>테리</v>
      </c>
      <c r="P391" s="26" t="str">
        <f>IFERROR(__xludf.DUMMYFUNCTION("""COMPUTED_VALUE"""),"ACDC")</f>
        <v>ACDC</v>
      </c>
      <c r="Q391" s="26" t="str">
        <f>IFERROR(__xludf.DUMMYFUNCTION("""COMPUTED_VALUE"""),"신형만")</f>
        <v>신형만</v>
      </c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27" t="s">
        <v>1778</v>
      </c>
      <c r="B392" s="28" t="s">
        <v>1779</v>
      </c>
      <c r="C392" s="27" t="s">
        <v>1780</v>
      </c>
      <c r="D392" s="27">
        <v>5.0</v>
      </c>
      <c r="E392" s="27" t="s">
        <v>1781</v>
      </c>
      <c r="F392" s="27">
        <v>3.0</v>
      </c>
      <c r="G392" s="29">
        <v>45902.88958333333</v>
      </c>
      <c r="H392" s="27" t="s">
        <v>1352</v>
      </c>
      <c r="I392" s="30" t="s">
        <v>1777</v>
      </c>
      <c r="J392" s="25" t="str">
        <f>IFERROR(__xludf.DUMMYFUNCTION("ARRAYFORMULA(REGEXEXTRACT(SPLIT(C392, ""&lt;br&gt;""), ""([가-힣A-Za-z]+)""))"),"ACDC")</f>
        <v>ACDC</v>
      </c>
      <c r="K392" s="26" t="str">
        <f>IFERROR(__xludf.DUMMYFUNCTION("""COMPUTED_VALUE"""),"신형만")</f>
        <v>신형만</v>
      </c>
      <c r="L392" s="26" t="str">
        <f>IFERROR(__xludf.DUMMYFUNCTION("""COMPUTED_VALUE"""),"노인")</f>
        <v>노인</v>
      </c>
      <c r="M392" s="26" t="str">
        <f>IFERROR(__xludf.DUMMYFUNCTION("""COMPUTED_VALUE"""),"넘버")</f>
        <v>넘버</v>
      </c>
      <c r="N392" s="26" t="str">
        <f>IFERROR(__xludf.DUMMYFUNCTION("ARRAYFORMULA(REGEXEXTRACT(SPLIT(E392, ""&lt;br&gt;""), ""([가-힣A-Za-z]+)""))"),"테리")</f>
        <v>테리</v>
      </c>
      <c r="O392" s="26" t="str">
        <f>IFERROR(__xludf.DUMMYFUNCTION("""COMPUTED_VALUE"""),"단수")</f>
        <v>단수</v>
      </c>
      <c r="P392" s="26" t="str">
        <f>IFERROR(__xludf.DUMMYFUNCTION("""COMPUTED_VALUE"""),"한메")</f>
        <v>한메</v>
      </c>
      <c r="Q392" s="26" t="str">
        <f>IFERROR(__xludf.DUMMYFUNCTION("""COMPUTED_VALUE"""),"깡패")</f>
        <v>깡패</v>
      </c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27" t="s">
        <v>1782</v>
      </c>
      <c r="B393" s="28" t="s">
        <v>1783</v>
      </c>
      <c r="C393" s="27" t="s">
        <v>1784</v>
      </c>
      <c r="D393" s="27">
        <v>5.0</v>
      </c>
      <c r="E393" s="27" t="s">
        <v>1785</v>
      </c>
      <c r="F393" s="27">
        <v>4.0</v>
      </c>
      <c r="G393" s="29">
        <v>45902.86875</v>
      </c>
      <c r="H393" s="27" t="s">
        <v>1352</v>
      </c>
      <c r="I393" s="30" t="s">
        <v>669</v>
      </c>
      <c r="J393" s="25" t="str">
        <f>IFERROR(__xludf.DUMMYFUNCTION("ARRAYFORMULA(REGEXEXTRACT(SPLIT(C393, ""&lt;br&gt;""), ""([가-힣A-Za-z]+)""))"),"깡패")</f>
        <v>깡패</v>
      </c>
      <c r="K393" s="26" t="str">
        <f>IFERROR(__xludf.DUMMYFUNCTION("""COMPUTED_VALUE"""),"노인")</f>
        <v>노인</v>
      </c>
      <c r="L393" s="26" t="str">
        <f>IFERROR(__xludf.DUMMYFUNCTION("""COMPUTED_VALUE"""),"참치")</f>
        <v>참치</v>
      </c>
      <c r="M393" s="26" t="str">
        <f>IFERROR(__xludf.DUMMYFUNCTION("""COMPUTED_VALUE"""),"신형만")</f>
        <v>신형만</v>
      </c>
      <c r="N393" s="26" t="str">
        <f>IFERROR(__xludf.DUMMYFUNCTION("ARRAYFORMULA(REGEXEXTRACT(SPLIT(E393, ""&lt;br&gt;""), ""([가-힣A-Za-z]+)""))"),"넘버")</f>
        <v>넘버</v>
      </c>
      <c r="O393" s="26" t="str">
        <f>IFERROR(__xludf.DUMMYFUNCTION("""COMPUTED_VALUE"""),"테리")</f>
        <v>테리</v>
      </c>
      <c r="P393" s="26" t="str">
        <f>IFERROR(__xludf.DUMMYFUNCTION("""COMPUTED_VALUE"""),"ACDC")</f>
        <v>ACDC</v>
      </c>
      <c r="Q393" s="26" t="str">
        <f>IFERROR(__xludf.DUMMYFUNCTION("""COMPUTED_VALUE"""),"한메")</f>
        <v>한메</v>
      </c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27" t="s">
        <v>1786</v>
      </c>
      <c r="B394" s="28" t="s">
        <v>1787</v>
      </c>
      <c r="C394" s="27" t="s">
        <v>1788</v>
      </c>
      <c r="D394" s="27">
        <v>5.0</v>
      </c>
      <c r="E394" s="27" t="s">
        <v>1789</v>
      </c>
      <c r="F394" s="27">
        <v>2.0</v>
      </c>
      <c r="G394" s="29">
        <v>45901.038194444445</v>
      </c>
      <c r="H394" s="27" t="s">
        <v>1352</v>
      </c>
      <c r="I394" s="30" t="s">
        <v>1790</v>
      </c>
      <c r="J394" s="25" t="str">
        <f>IFERROR(__xludf.DUMMYFUNCTION("ARRAYFORMULA(REGEXEXTRACT(SPLIT(C394, ""&lt;br&gt;""), ""([가-힣A-Za-z]+)""))"),"노인")</f>
        <v>노인</v>
      </c>
      <c r="K394" s="26" t="str">
        <f>IFERROR(__xludf.DUMMYFUNCTION("""COMPUTED_VALUE"""),"깡패")</f>
        <v>깡패</v>
      </c>
      <c r="L394" s="26" t="str">
        <f>IFERROR(__xludf.DUMMYFUNCTION("""COMPUTED_VALUE"""),"테리")</f>
        <v>테리</v>
      </c>
      <c r="M394" s="26" t="str">
        <f>IFERROR(__xludf.DUMMYFUNCTION("""COMPUTED_VALUE"""),"한메")</f>
        <v>한메</v>
      </c>
      <c r="N394" s="26" t="str">
        <f>IFERROR(__xludf.DUMMYFUNCTION("ARRAYFORMULA(REGEXEXTRACT(SPLIT(E394, ""&lt;br&gt;""), ""([가-힣A-Za-z]+)""))"),"원")</f>
        <v>원</v>
      </c>
      <c r="O394" s="26" t="str">
        <f>IFERROR(__xludf.DUMMYFUNCTION("""COMPUTED_VALUE"""),"신형만")</f>
        <v>신형만</v>
      </c>
      <c r="P394" s="26" t="str">
        <f>IFERROR(__xludf.DUMMYFUNCTION("""COMPUTED_VALUE"""),"넘버")</f>
        <v>넘버</v>
      </c>
      <c r="Q394" s="26" t="str">
        <f>IFERROR(__xludf.DUMMYFUNCTION("""COMPUTED_VALUE"""),"참치")</f>
        <v>참치</v>
      </c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27" t="s">
        <v>1791</v>
      </c>
      <c r="B395" s="28" t="s">
        <v>1792</v>
      </c>
      <c r="C395" s="27" t="s">
        <v>1793</v>
      </c>
      <c r="D395" s="27">
        <v>5.0</v>
      </c>
      <c r="E395" s="27" t="s">
        <v>1794</v>
      </c>
      <c r="F395" s="27">
        <v>2.0</v>
      </c>
      <c r="G395" s="29">
        <v>45901.018055555556</v>
      </c>
      <c r="H395" s="27" t="s">
        <v>1352</v>
      </c>
      <c r="I395" s="30" t="s">
        <v>1790</v>
      </c>
      <c r="J395" s="25" t="str">
        <f>IFERROR(__xludf.DUMMYFUNCTION("ARRAYFORMULA(REGEXEXTRACT(SPLIT(C395, ""&lt;br&gt;""), ""([가-힣A-Za-z]+)""))"),"넘버")</f>
        <v>넘버</v>
      </c>
      <c r="K395" s="26" t="str">
        <f>IFERROR(__xludf.DUMMYFUNCTION("""COMPUTED_VALUE"""),"노인")</f>
        <v>노인</v>
      </c>
      <c r="L395" s="26" t="str">
        <f>IFERROR(__xludf.DUMMYFUNCTION("""COMPUTED_VALUE"""),"깡패")</f>
        <v>깡패</v>
      </c>
      <c r="M395" s="26" t="str">
        <f>IFERROR(__xludf.DUMMYFUNCTION("""COMPUTED_VALUE"""),"원")</f>
        <v>원</v>
      </c>
      <c r="N395" s="26" t="str">
        <f>IFERROR(__xludf.DUMMYFUNCTION("ARRAYFORMULA(REGEXEXTRACT(SPLIT(E395, ""&lt;br&gt;""), ""([가-힣A-Za-z]+)""))"),"참치")</f>
        <v>참치</v>
      </c>
      <c r="O395" s="26" t="str">
        <f>IFERROR(__xludf.DUMMYFUNCTION("""COMPUTED_VALUE"""),"테리")</f>
        <v>테리</v>
      </c>
      <c r="P395" s="26" t="str">
        <f>IFERROR(__xludf.DUMMYFUNCTION("""COMPUTED_VALUE"""),"한메")</f>
        <v>한메</v>
      </c>
      <c r="Q395" s="26" t="str">
        <f>IFERROR(__xludf.DUMMYFUNCTION("""COMPUTED_VALUE"""),"신형만")</f>
        <v>신형만</v>
      </c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27" t="s">
        <v>1795</v>
      </c>
      <c r="B396" s="28" t="s">
        <v>1796</v>
      </c>
      <c r="C396" s="27" t="s">
        <v>1797</v>
      </c>
      <c r="D396" s="27">
        <v>5.0</v>
      </c>
      <c r="E396" s="27" t="s">
        <v>1798</v>
      </c>
      <c r="F396" s="27">
        <v>4.0</v>
      </c>
      <c r="G396" s="29">
        <v>45900.99930555555</v>
      </c>
      <c r="H396" s="27" t="s">
        <v>1352</v>
      </c>
      <c r="I396" s="30" t="s">
        <v>1790</v>
      </c>
      <c r="J396" s="25" t="str">
        <f>IFERROR(__xludf.DUMMYFUNCTION("ARRAYFORMULA(REGEXEXTRACT(SPLIT(C396, ""&lt;br&gt;""), ""([가-힣A-Za-z]+)""))"),"원")</f>
        <v>원</v>
      </c>
      <c r="K396" s="26" t="str">
        <f>IFERROR(__xludf.DUMMYFUNCTION("""COMPUTED_VALUE"""),"신형만")</f>
        <v>신형만</v>
      </c>
      <c r="L396" s="26" t="str">
        <f>IFERROR(__xludf.DUMMYFUNCTION("""COMPUTED_VALUE"""),"테리")</f>
        <v>테리</v>
      </c>
      <c r="M396" s="26" t="str">
        <f>IFERROR(__xludf.DUMMYFUNCTION("""COMPUTED_VALUE"""),"깡패")</f>
        <v>깡패</v>
      </c>
      <c r="N396" s="26" t="str">
        <f>IFERROR(__xludf.DUMMYFUNCTION("ARRAYFORMULA(REGEXEXTRACT(SPLIT(E396, ""&lt;br&gt;""), ""([가-힣A-Za-z]+)""))"),"노인")</f>
        <v>노인</v>
      </c>
      <c r="O396" s="26" t="str">
        <f>IFERROR(__xludf.DUMMYFUNCTION("""COMPUTED_VALUE"""),"넘버")</f>
        <v>넘버</v>
      </c>
      <c r="P396" s="26" t="str">
        <f>IFERROR(__xludf.DUMMYFUNCTION("""COMPUTED_VALUE"""),"참치")</f>
        <v>참치</v>
      </c>
      <c r="Q396" s="26" t="str">
        <f>IFERROR(__xludf.DUMMYFUNCTION("""COMPUTED_VALUE"""),"한메")</f>
        <v>한메</v>
      </c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27" t="s">
        <v>1799</v>
      </c>
      <c r="B397" s="28" t="s">
        <v>1800</v>
      </c>
      <c r="C397" s="27" t="s">
        <v>1801</v>
      </c>
      <c r="D397" s="27">
        <v>5.0</v>
      </c>
      <c r="E397" s="27" t="s">
        <v>1802</v>
      </c>
      <c r="F397" s="27">
        <v>0.0</v>
      </c>
      <c r="G397" s="29">
        <v>45900.92013888889</v>
      </c>
      <c r="H397" s="27" t="s">
        <v>1352</v>
      </c>
      <c r="I397" s="30" t="s">
        <v>1803</v>
      </c>
      <c r="J397" s="25" t="str">
        <f>IFERROR(__xludf.DUMMYFUNCTION("ARRAYFORMULA(REGEXEXTRACT(SPLIT(C397, ""&lt;br&gt;""), ""([가-힣A-Za-z]+)""))"),"한메")</f>
        <v>한메</v>
      </c>
      <c r="K397" s="26" t="str">
        <f>IFERROR(__xludf.DUMMYFUNCTION("""COMPUTED_VALUE"""),"깡패")</f>
        <v>깡패</v>
      </c>
      <c r="L397" s="26" t="str">
        <f>IFERROR(__xludf.DUMMYFUNCTION("""COMPUTED_VALUE"""),"노인")</f>
        <v>노인</v>
      </c>
      <c r="M397" s="26" t="str">
        <f>IFERROR(__xludf.DUMMYFUNCTION("""COMPUTED_VALUE"""),"신형만")</f>
        <v>신형만</v>
      </c>
      <c r="N397" s="26" t="str">
        <f>IFERROR(__xludf.DUMMYFUNCTION("ARRAYFORMULA(REGEXEXTRACT(SPLIT(E397, ""&lt;br&gt;""), ""([가-힣A-Za-z]+)""))"),"테리")</f>
        <v>테리</v>
      </c>
      <c r="O397" s="26" t="str">
        <f>IFERROR(__xludf.DUMMYFUNCTION("""COMPUTED_VALUE"""),"단수")</f>
        <v>단수</v>
      </c>
      <c r="P397" s="26" t="str">
        <f>IFERROR(__xludf.DUMMYFUNCTION("""COMPUTED_VALUE"""),"ACDC")</f>
        <v>ACDC</v>
      </c>
      <c r="Q397" s="26" t="str">
        <f>IFERROR(__xludf.DUMMYFUNCTION("""COMPUTED_VALUE"""),"원")</f>
        <v>원</v>
      </c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27" t="s">
        <v>1804</v>
      </c>
      <c r="B398" s="28" t="s">
        <v>1805</v>
      </c>
      <c r="C398" s="27" t="s">
        <v>1806</v>
      </c>
      <c r="D398" s="27">
        <v>5.0</v>
      </c>
      <c r="E398" s="27" t="s">
        <v>1807</v>
      </c>
      <c r="F398" s="27">
        <v>1.0</v>
      </c>
      <c r="G398" s="29">
        <v>45900.90694444445</v>
      </c>
      <c r="H398" s="27" t="s">
        <v>1352</v>
      </c>
      <c r="I398" s="30" t="s">
        <v>1808</v>
      </c>
      <c r="J398" s="25" t="str">
        <f>IFERROR(__xludf.DUMMYFUNCTION("ARRAYFORMULA(REGEXEXTRACT(SPLIT(C398, ""&lt;br&gt;""), ""([가-힣A-Za-z]+)""))"),"깡패")</f>
        <v>깡패</v>
      </c>
      <c r="K398" s="26" t="str">
        <f>IFERROR(__xludf.DUMMYFUNCTION("""COMPUTED_VALUE"""),"원")</f>
        <v>원</v>
      </c>
      <c r="L398" s="26" t="str">
        <f>IFERROR(__xludf.DUMMYFUNCTION("""COMPUTED_VALUE"""),"테리")</f>
        <v>테리</v>
      </c>
      <c r="M398" s="26" t="str">
        <f>IFERROR(__xludf.DUMMYFUNCTION("""COMPUTED_VALUE"""),"한메")</f>
        <v>한메</v>
      </c>
      <c r="N398" s="26" t="str">
        <f>IFERROR(__xludf.DUMMYFUNCTION("ARRAYFORMULA(REGEXEXTRACT(SPLIT(E398, ""&lt;br&gt;""), ""([가-힣A-Za-z]+)""))"),"ACDC")</f>
        <v>ACDC</v>
      </c>
      <c r="O398" s="26" t="str">
        <f>IFERROR(__xludf.DUMMYFUNCTION("""COMPUTED_VALUE"""),"노인")</f>
        <v>노인</v>
      </c>
      <c r="P398" s="26" t="str">
        <f>IFERROR(__xludf.DUMMYFUNCTION("""COMPUTED_VALUE"""),"규식")</f>
        <v>규식</v>
      </c>
      <c r="Q398" s="26" t="str">
        <f>IFERROR(__xludf.DUMMYFUNCTION("""COMPUTED_VALUE"""),"단수")</f>
        <v>단수</v>
      </c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27" t="s">
        <v>1809</v>
      </c>
      <c r="B399" s="28" t="s">
        <v>1810</v>
      </c>
      <c r="C399" s="27" t="s">
        <v>1811</v>
      </c>
      <c r="D399" s="27">
        <v>5.0</v>
      </c>
      <c r="E399" s="27" t="s">
        <v>1812</v>
      </c>
      <c r="F399" s="27">
        <v>3.0</v>
      </c>
      <c r="G399" s="29">
        <v>45900.88402777778</v>
      </c>
      <c r="H399" s="27" t="s">
        <v>1352</v>
      </c>
      <c r="I399" s="30" t="s">
        <v>1813</v>
      </c>
      <c r="J399" s="25" t="str">
        <f>IFERROR(__xludf.DUMMYFUNCTION("ARRAYFORMULA(REGEXEXTRACT(SPLIT(C399, ""&lt;br&gt;""), ""([가-힣A-Za-z]+)""))"),"테리")</f>
        <v>테리</v>
      </c>
      <c r="K399" s="26" t="str">
        <f>IFERROR(__xludf.DUMMYFUNCTION("""COMPUTED_VALUE"""),"원")</f>
        <v>원</v>
      </c>
      <c r="L399" s="26" t="str">
        <f>IFERROR(__xludf.DUMMYFUNCTION("""COMPUTED_VALUE"""),"단수")</f>
        <v>단수</v>
      </c>
      <c r="M399" s="26" t="str">
        <f>IFERROR(__xludf.DUMMYFUNCTION("""COMPUTED_VALUE"""),"규식")</f>
        <v>규식</v>
      </c>
      <c r="N399" s="26" t="str">
        <f>IFERROR(__xludf.DUMMYFUNCTION("ARRAYFORMULA(REGEXEXTRACT(SPLIT(E399, ""&lt;br&gt;""), ""([가-힣A-Za-z]+)""))"),"한메")</f>
        <v>한메</v>
      </c>
      <c r="O399" s="26" t="str">
        <f>IFERROR(__xludf.DUMMYFUNCTION("""COMPUTED_VALUE"""),"노인")</f>
        <v>노인</v>
      </c>
      <c r="P399" s="26" t="str">
        <f>IFERROR(__xludf.DUMMYFUNCTION("""COMPUTED_VALUE"""),"ACDC")</f>
        <v>ACDC</v>
      </c>
      <c r="Q399" s="26" t="str">
        <f>IFERROR(__xludf.DUMMYFUNCTION("""COMPUTED_VALUE"""),"넘버")</f>
        <v>넘버</v>
      </c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27" t="s">
        <v>1814</v>
      </c>
      <c r="B400" s="28" t="s">
        <v>1815</v>
      </c>
      <c r="C400" s="27" t="s">
        <v>1816</v>
      </c>
      <c r="D400" s="27">
        <v>5.0</v>
      </c>
      <c r="E400" s="27" t="s">
        <v>1817</v>
      </c>
      <c r="F400" s="27">
        <v>1.0</v>
      </c>
      <c r="G400" s="29">
        <v>45900.861805555556</v>
      </c>
      <c r="H400" s="27" t="s">
        <v>1352</v>
      </c>
      <c r="I400" s="30" t="s">
        <v>1818</v>
      </c>
      <c r="J400" s="25" t="str">
        <f>IFERROR(__xludf.DUMMYFUNCTION("ARRAYFORMULA(REGEXEXTRACT(SPLIT(C400, ""&lt;br&gt;""), ""([가-힣A-Za-z]+)""))"),"노인")</f>
        <v>노인</v>
      </c>
      <c r="K400" s="26" t="str">
        <f>IFERROR(__xludf.DUMMYFUNCTION("""COMPUTED_VALUE"""),"넘버")</f>
        <v>넘버</v>
      </c>
      <c r="L400" s="26" t="str">
        <f>IFERROR(__xludf.DUMMYFUNCTION("""COMPUTED_VALUE"""),"원")</f>
        <v>원</v>
      </c>
      <c r="M400" s="26" t="str">
        <f>IFERROR(__xludf.DUMMYFUNCTION("""COMPUTED_VALUE"""),"규식")</f>
        <v>규식</v>
      </c>
      <c r="N400" s="26" t="str">
        <f>IFERROR(__xludf.DUMMYFUNCTION("ARRAYFORMULA(REGEXEXTRACT(SPLIT(E400, ""&lt;br&gt;""), ""([가-힣A-Za-z]+)""))"),"한메")</f>
        <v>한메</v>
      </c>
      <c r="O400" s="26" t="str">
        <f>IFERROR(__xludf.DUMMYFUNCTION("""COMPUTED_VALUE"""),"테리")</f>
        <v>테리</v>
      </c>
      <c r="P400" s="26" t="str">
        <f>IFERROR(__xludf.DUMMYFUNCTION("""COMPUTED_VALUE"""),"ACDC")</f>
        <v>ACDC</v>
      </c>
      <c r="Q400" s="26" t="str">
        <f>IFERROR(__xludf.DUMMYFUNCTION("""COMPUTED_VALUE"""),"단수")</f>
        <v>단수</v>
      </c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27" t="s">
        <v>1819</v>
      </c>
      <c r="B401" s="28" t="s">
        <v>1820</v>
      </c>
      <c r="C401" s="27" t="s">
        <v>1821</v>
      </c>
      <c r="D401" s="27">
        <v>5.0</v>
      </c>
      <c r="E401" s="27" t="s">
        <v>1822</v>
      </c>
      <c r="F401" s="27">
        <v>0.0</v>
      </c>
      <c r="G401" s="29">
        <v>45900.85</v>
      </c>
      <c r="H401" s="27" t="s">
        <v>1352</v>
      </c>
      <c r="I401" s="30" t="s">
        <v>1818</v>
      </c>
      <c r="J401" s="25" t="str">
        <f>IFERROR(__xludf.DUMMYFUNCTION("ARRAYFORMULA(REGEXEXTRACT(SPLIT(C401, ""&lt;br&gt;""), ""([가-힣A-Za-z]+)""))"),"원")</f>
        <v>원</v>
      </c>
      <c r="K401" s="26" t="str">
        <f>IFERROR(__xludf.DUMMYFUNCTION("""COMPUTED_VALUE"""),"규식")</f>
        <v>규식</v>
      </c>
      <c r="L401" s="26" t="str">
        <f>IFERROR(__xludf.DUMMYFUNCTION("""COMPUTED_VALUE"""),"테리")</f>
        <v>테리</v>
      </c>
      <c r="M401" s="26" t="str">
        <f>IFERROR(__xludf.DUMMYFUNCTION("""COMPUTED_VALUE"""),"한메")</f>
        <v>한메</v>
      </c>
      <c r="N401" s="26" t="str">
        <f>IFERROR(__xludf.DUMMYFUNCTION("ARRAYFORMULA(REGEXEXTRACT(SPLIT(E401, ""&lt;br&gt;""), ""([가-힣A-Za-z]+)""))"),"ACDC")</f>
        <v>ACDC</v>
      </c>
      <c r="O401" s="26" t="str">
        <f>IFERROR(__xludf.DUMMYFUNCTION("""COMPUTED_VALUE"""),"노인")</f>
        <v>노인</v>
      </c>
      <c r="P401" s="26" t="str">
        <f>IFERROR(__xludf.DUMMYFUNCTION("""COMPUTED_VALUE"""),"단수")</f>
        <v>단수</v>
      </c>
      <c r="Q401" s="26" t="str">
        <f>IFERROR(__xludf.DUMMYFUNCTION("""COMPUTED_VALUE"""),"넘버")</f>
        <v>넘버</v>
      </c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27" t="s">
        <v>1823</v>
      </c>
      <c r="B402" s="28" t="s">
        <v>1824</v>
      </c>
      <c r="C402" s="27" t="s">
        <v>1825</v>
      </c>
      <c r="D402" s="27">
        <v>5.0</v>
      </c>
      <c r="E402" s="27" t="s">
        <v>1826</v>
      </c>
      <c r="F402" s="27">
        <v>4.0</v>
      </c>
      <c r="G402" s="29">
        <v>45900.69583333333</v>
      </c>
      <c r="H402" s="27" t="s">
        <v>1352</v>
      </c>
      <c r="I402" s="30" t="s">
        <v>30</v>
      </c>
      <c r="J402" s="25" t="str">
        <f>IFERROR(__xludf.DUMMYFUNCTION("ARRAYFORMULA(REGEXEXTRACT(SPLIT(C402, ""&lt;br&gt;""), ""([가-힣A-Za-z]+)""))"),"신형만")</f>
        <v>신형만</v>
      </c>
      <c r="K402" s="26" t="str">
        <f>IFERROR(__xludf.DUMMYFUNCTION("""COMPUTED_VALUE"""),"유즈")</f>
        <v>유즈</v>
      </c>
      <c r="L402" s="26" t="str">
        <f>IFERROR(__xludf.DUMMYFUNCTION("""COMPUTED_VALUE"""),"따")</f>
        <v>따</v>
      </c>
      <c r="M402" s="26" t="str">
        <f>IFERROR(__xludf.DUMMYFUNCTION("""COMPUTED_VALUE"""),"한메")</f>
        <v>한메</v>
      </c>
      <c r="N402" s="26" t="str">
        <f>IFERROR(__xludf.DUMMYFUNCTION("ARRAYFORMULA(REGEXEXTRACT(SPLIT(E402, ""&lt;br&gt;""), ""([가-힣A-Za-z]+)""))"),"노인")</f>
        <v>노인</v>
      </c>
      <c r="O402" s="26" t="str">
        <f>IFERROR(__xludf.DUMMYFUNCTION("""COMPUTED_VALUE"""),"ACDC")</f>
        <v>ACDC</v>
      </c>
      <c r="P402" s="26" t="str">
        <f>IFERROR(__xludf.DUMMYFUNCTION("""COMPUTED_VALUE"""),"테리")</f>
        <v>테리</v>
      </c>
      <c r="Q402" s="26" t="str">
        <f>IFERROR(__xludf.DUMMYFUNCTION("""COMPUTED_VALUE"""),"규식")</f>
        <v>규식</v>
      </c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27" t="s">
        <v>1827</v>
      </c>
      <c r="B403" s="28" t="s">
        <v>1828</v>
      </c>
      <c r="C403" s="27" t="s">
        <v>1829</v>
      </c>
      <c r="D403" s="27">
        <v>5.0</v>
      </c>
      <c r="E403" s="27" t="s">
        <v>1830</v>
      </c>
      <c r="F403" s="27">
        <v>0.0</v>
      </c>
      <c r="G403" s="29">
        <v>45900.66805555556</v>
      </c>
      <c r="H403" s="27" t="s">
        <v>1352</v>
      </c>
      <c r="I403" s="30" t="s">
        <v>30</v>
      </c>
      <c r="J403" s="25" t="str">
        <f>IFERROR(__xludf.DUMMYFUNCTION("ARRAYFORMULA(REGEXEXTRACT(SPLIT(C403, ""&lt;br&gt;""), ""([가-힣A-Za-z]+)""))"),"테리")</f>
        <v>테리</v>
      </c>
      <c r="K403" s="26" t="str">
        <f>IFERROR(__xludf.DUMMYFUNCTION("""COMPUTED_VALUE"""),"노인")</f>
        <v>노인</v>
      </c>
      <c r="L403" s="26" t="str">
        <f>IFERROR(__xludf.DUMMYFUNCTION("""COMPUTED_VALUE"""),"한메")</f>
        <v>한메</v>
      </c>
      <c r="M403" s="26" t="str">
        <f>IFERROR(__xludf.DUMMYFUNCTION("""COMPUTED_VALUE"""),"따")</f>
        <v>따</v>
      </c>
      <c r="N403" s="26" t="str">
        <f>IFERROR(__xludf.DUMMYFUNCTION("ARRAYFORMULA(REGEXEXTRACT(SPLIT(E403, ""&lt;br&gt;""), ""([가-힣A-Za-z]+)""))"),"유즈")</f>
        <v>유즈</v>
      </c>
      <c r="O403" s="26" t="str">
        <f>IFERROR(__xludf.DUMMYFUNCTION("""COMPUTED_VALUE"""),"규식")</f>
        <v>규식</v>
      </c>
      <c r="P403" s="26" t="str">
        <f>IFERROR(__xludf.DUMMYFUNCTION("""COMPUTED_VALUE"""),"ACDC")</f>
        <v>ACDC</v>
      </c>
      <c r="Q403" s="26" t="str">
        <f>IFERROR(__xludf.DUMMYFUNCTION("""COMPUTED_VALUE"""),"신형만")</f>
        <v>신형만</v>
      </c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27" t="s">
        <v>1831</v>
      </c>
      <c r="B404" s="28" t="s">
        <v>1832</v>
      </c>
      <c r="C404" s="27" t="s">
        <v>1833</v>
      </c>
      <c r="D404" s="27">
        <v>5.0</v>
      </c>
      <c r="E404" s="27" t="s">
        <v>1834</v>
      </c>
      <c r="F404" s="27">
        <v>4.0</v>
      </c>
      <c r="G404" s="29">
        <v>45900.65138888889</v>
      </c>
      <c r="H404" s="27" t="s">
        <v>1352</v>
      </c>
      <c r="I404" s="30" t="s">
        <v>30</v>
      </c>
      <c r="J404" s="25" t="str">
        <f>IFERROR(__xludf.DUMMYFUNCTION("ARRAYFORMULA(REGEXEXTRACT(SPLIT(C404, ""&lt;br&gt;""), ""([가-힣A-Za-z]+)""))"),"ACDC")</f>
        <v>ACDC</v>
      </c>
      <c r="K404" s="26" t="str">
        <f>IFERROR(__xludf.DUMMYFUNCTION("""COMPUTED_VALUE"""),"테리")</f>
        <v>테리</v>
      </c>
      <c r="L404" s="26" t="str">
        <f>IFERROR(__xludf.DUMMYFUNCTION("""COMPUTED_VALUE"""),"따")</f>
        <v>따</v>
      </c>
      <c r="M404" s="26" t="str">
        <f>IFERROR(__xludf.DUMMYFUNCTION("""COMPUTED_VALUE"""),"규식")</f>
        <v>규식</v>
      </c>
      <c r="N404" s="26" t="str">
        <f>IFERROR(__xludf.DUMMYFUNCTION("ARRAYFORMULA(REGEXEXTRACT(SPLIT(E404, ""&lt;br&gt;""), ""([가-힣A-Za-z]+)""))"),"노인")</f>
        <v>노인</v>
      </c>
      <c r="O404" s="26" t="str">
        <f>IFERROR(__xludf.DUMMYFUNCTION("""COMPUTED_VALUE"""),"유즈")</f>
        <v>유즈</v>
      </c>
      <c r="P404" s="26" t="str">
        <f>IFERROR(__xludf.DUMMYFUNCTION("""COMPUTED_VALUE"""),"신형만")</f>
        <v>신형만</v>
      </c>
      <c r="Q404" s="26" t="str">
        <f>IFERROR(__xludf.DUMMYFUNCTION("""COMPUTED_VALUE"""),"한메")</f>
        <v>한메</v>
      </c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27" t="s">
        <v>1835</v>
      </c>
      <c r="B405" s="28" t="s">
        <v>1836</v>
      </c>
      <c r="C405" s="27" t="s">
        <v>1837</v>
      </c>
      <c r="D405" s="27">
        <v>5.0</v>
      </c>
      <c r="E405" s="27" t="s">
        <v>1838</v>
      </c>
      <c r="F405" s="27">
        <v>1.0</v>
      </c>
      <c r="G405" s="29">
        <v>45900.618055555555</v>
      </c>
      <c r="H405" s="27" t="s">
        <v>1352</v>
      </c>
      <c r="I405" s="30" t="s">
        <v>30</v>
      </c>
      <c r="J405" s="25" t="str">
        <f>IFERROR(__xludf.DUMMYFUNCTION("ARRAYFORMULA(REGEXEXTRACT(SPLIT(C405, ""&lt;br&gt;""), ""([가-힣A-Za-z]+)""))"),"한메")</f>
        <v>한메</v>
      </c>
      <c r="K405" s="26" t="str">
        <f>IFERROR(__xludf.DUMMYFUNCTION("""COMPUTED_VALUE"""),"규식")</f>
        <v>규식</v>
      </c>
      <c r="L405" s="26" t="str">
        <f>IFERROR(__xludf.DUMMYFUNCTION("""COMPUTED_VALUE"""),"유즈")</f>
        <v>유즈</v>
      </c>
      <c r="M405" s="26" t="str">
        <f>IFERROR(__xludf.DUMMYFUNCTION("""COMPUTED_VALUE"""),"따")</f>
        <v>따</v>
      </c>
      <c r="N405" s="26" t="str">
        <f>IFERROR(__xludf.DUMMYFUNCTION("ARRAYFORMULA(REGEXEXTRACT(SPLIT(E405, ""&lt;br&gt;""), ""([가-힣A-Za-z]+)""))"),"테리")</f>
        <v>테리</v>
      </c>
      <c r="O405" s="26" t="str">
        <f>IFERROR(__xludf.DUMMYFUNCTION("""COMPUTED_VALUE"""),"ACDC")</f>
        <v>ACDC</v>
      </c>
      <c r="P405" s="26" t="str">
        <f>IFERROR(__xludf.DUMMYFUNCTION("""COMPUTED_VALUE"""),"노인")</f>
        <v>노인</v>
      </c>
      <c r="Q405" s="26" t="str">
        <f>IFERROR(__xludf.DUMMYFUNCTION("""COMPUTED_VALUE"""),"신형만")</f>
        <v>신형만</v>
      </c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27" t="s">
        <v>1839</v>
      </c>
      <c r="B406" s="28" t="s">
        <v>1840</v>
      </c>
      <c r="C406" s="27" t="s">
        <v>1841</v>
      </c>
      <c r="D406" s="27">
        <v>5.0</v>
      </c>
      <c r="E406" s="27" t="s">
        <v>1842</v>
      </c>
      <c r="F406" s="27">
        <v>2.0</v>
      </c>
      <c r="G406" s="29">
        <v>45899.67986111111</v>
      </c>
      <c r="H406" s="27" t="s">
        <v>1352</v>
      </c>
      <c r="I406" s="30" t="s">
        <v>1843</v>
      </c>
      <c r="J406" s="25" t="str">
        <f>IFERROR(__xludf.DUMMYFUNCTION("ARRAYFORMULA(REGEXEXTRACT(SPLIT(C406, ""&lt;br&gt;""), ""([가-힣A-Za-z]+)""))"),"테리")</f>
        <v>테리</v>
      </c>
      <c r="K406" s="26" t="str">
        <f>IFERROR(__xludf.DUMMYFUNCTION("""COMPUTED_VALUE"""),"새출발")</f>
        <v>새출발</v>
      </c>
      <c r="L406" s="26" t="str">
        <f>IFERROR(__xludf.DUMMYFUNCTION("""COMPUTED_VALUE"""),"오딘")</f>
        <v>오딘</v>
      </c>
      <c r="M406" s="26" t="str">
        <f>IFERROR(__xludf.DUMMYFUNCTION("""COMPUTED_VALUE"""),"원")</f>
        <v>원</v>
      </c>
      <c r="N406" s="26" t="str">
        <f>IFERROR(__xludf.DUMMYFUNCTION("ARRAYFORMULA(REGEXEXTRACT(SPLIT(E406, ""&lt;br&gt;""), ""([가-힣A-Za-z]+)""))"),"신형만")</f>
        <v>신형만</v>
      </c>
      <c r="O406" s="26" t="str">
        <f>IFERROR(__xludf.DUMMYFUNCTION("""COMPUTED_VALUE"""),"노인")</f>
        <v>노인</v>
      </c>
      <c r="P406" s="26" t="str">
        <f>IFERROR(__xludf.DUMMYFUNCTION("""COMPUTED_VALUE"""),"한메")</f>
        <v>한메</v>
      </c>
      <c r="Q406" s="26" t="str">
        <f>IFERROR(__xludf.DUMMYFUNCTION("""COMPUTED_VALUE"""),"단수")</f>
        <v>단수</v>
      </c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27" t="s">
        <v>1844</v>
      </c>
      <c r="B407" s="28" t="s">
        <v>1845</v>
      </c>
      <c r="C407" s="27" t="s">
        <v>1846</v>
      </c>
      <c r="D407" s="27">
        <v>5.0</v>
      </c>
      <c r="E407" s="27" t="s">
        <v>1847</v>
      </c>
      <c r="F407" s="27">
        <v>1.0</v>
      </c>
      <c r="G407" s="29">
        <v>45899.67222222222</v>
      </c>
      <c r="H407" s="27" t="s">
        <v>1352</v>
      </c>
      <c r="I407" s="30" t="s">
        <v>1843</v>
      </c>
      <c r="J407" s="25" t="str">
        <f>IFERROR(__xludf.DUMMYFUNCTION("ARRAYFORMULA(REGEXEXTRACT(SPLIT(C407, ""&lt;br&gt;""), ""([가-힣A-Za-z]+)""))"),"노인")</f>
        <v>노인</v>
      </c>
      <c r="K407" s="26" t="str">
        <f>IFERROR(__xludf.DUMMYFUNCTION("""COMPUTED_VALUE"""),"테리")</f>
        <v>테리</v>
      </c>
      <c r="L407" s="26" t="str">
        <f>IFERROR(__xludf.DUMMYFUNCTION("""COMPUTED_VALUE"""),"원")</f>
        <v>원</v>
      </c>
      <c r="M407" s="26" t="str">
        <f>IFERROR(__xludf.DUMMYFUNCTION("""COMPUTED_VALUE"""),"신형만")</f>
        <v>신형만</v>
      </c>
      <c r="N407" s="26" t="str">
        <f>IFERROR(__xludf.DUMMYFUNCTION("ARRAYFORMULA(REGEXEXTRACT(SPLIT(E407, ""&lt;br&gt;""), ""([가-힣A-Za-z]+)""))"),"새출발")</f>
        <v>새출발</v>
      </c>
      <c r="O407" s="26" t="str">
        <f>IFERROR(__xludf.DUMMYFUNCTION("""COMPUTED_VALUE"""),"단수")</f>
        <v>단수</v>
      </c>
      <c r="P407" s="26" t="str">
        <f>IFERROR(__xludf.DUMMYFUNCTION("""COMPUTED_VALUE"""),"ACDC")</f>
        <v>ACDC</v>
      </c>
      <c r="Q407" s="26" t="str">
        <f>IFERROR(__xludf.DUMMYFUNCTION("""COMPUTED_VALUE"""),"한메")</f>
        <v>한메</v>
      </c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27" t="s">
        <v>1848</v>
      </c>
      <c r="B408" s="28" t="s">
        <v>1849</v>
      </c>
      <c r="C408" s="27" t="s">
        <v>1850</v>
      </c>
      <c r="D408" s="27">
        <v>5.0</v>
      </c>
      <c r="E408" s="27" t="s">
        <v>1851</v>
      </c>
      <c r="F408" s="27">
        <v>2.0</v>
      </c>
      <c r="G408" s="29">
        <v>45899.60555555556</v>
      </c>
      <c r="H408" s="27" t="s">
        <v>1352</v>
      </c>
      <c r="I408" s="30" t="s">
        <v>1843</v>
      </c>
      <c r="J408" s="25" t="str">
        <f>IFERROR(__xludf.DUMMYFUNCTION("ARRAYFORMULA(REGEXEXTRACT(SPLIT(C408, ""&lt;br&gt;""), ""([가-힣A-Za-z]+)""))"),"새출발")</f>
        <v>새출발</v>
      </c>
      <c r="K408" s="26" t="str">
        <f>IFERROR(__xludf.DUMMYFUNCTION("""COMPUTED_VALUE"""),"원")</f>
        <v>원</v>
      </c>
      <c r="L408" s="26" t="str">
        <f>IFERROR(__xludf.DUMMYFUNCTION("""COMPUTED_VALUE"""),"노인")</f>
        <v>노인</v>
      </c>
      <c r="M408" s="26" t="str">
        <f>IFERROR(__xludf.DUMMYFUNCTION("""COMPUTED_VALUE"""),"한메")</f>
        <v>한메</v>
      </c>
      <c r="N408" s="26" t="str">
        <f>IFERROR(__xludf.DUMMYFUNCTION("ARRAYFORMULA(REGEXEXTRACT(SPLIT(E408, ""&lt;br&gt;""), ""([가-힣A-Za-z]+)""))"),"오딘")</f>
        <v>오딘</v>
      </c>
      <c r="O408" s="26" t="str">
        <f>IFERROR(__xludf.DUMMYFUNCTION("""COMPUTED_VALUE"""),"테리")</f>
        <v>테리</v>
      </c>
      <c r="P408" s="26" t="str">
        <f>IFERROR(__xludf.DUMMYFUNCTION("""COMPUTED_VALUE"""),"단수")</f>
        <v>단수</v>
      </c>
      <c r="Q408" s="26" t="str">
        <f>IFERROR(__xludf.DUMMYFUNCTION("""COMPUTED_VALUE"""),"신형만")</f>
        <v>신형만</v>
      </c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27" t="s">
        <v>1852</v>
      </c>
      <c r="B409" s="28" t="s">
        <v>1853</v>
      </c>
      <c r="C409" s="27" t="s">
        <v>1854</v>
      </c>
      <c r="D409" s="27">
        <v>5.0</v>
      </c>
      <c r="E409" s="27" t="s">
        <v>1855</v>
      </c>
      <c r="F409" s="27">
        <v>1.0</v>
      </c>
      <c r="G409" s="29">
        <v>45897.964583333334</v>
      </c>
      <c r="H409" s="27" t="s">
        <v>1352</v>
      </c>
      <c r="I409" s="30" t="s">
        <v>1856</v>
      </c>
      <c r="J409" s="25" t="str">
        <f>IFERROR(__xludf.DUMMYFUNCTION("ARRAYFORMULA(REGEXEXTRACT(SPLIT(C409, ""&lt;br&gt;""), ""([가-힣A-Za-z]+)""))"),"테리")</f>
        <v>테리</v>
      </c>
      <c r="K409" s="26" t="str">
        <f>IFERROR(__xludf.DUMMYFUNCTION("""COMPUTED_VALUE"""),"유즈")</f>
        <v>유즈</v>
      </c>
      <c r="L409" s="26" t="str">
        <f>IFERROR(__xludf.DUMMYFUNCTION("""COMPUTED_VALUE"""),"깡패")</f>
        <v>깡패</v>
      </c>
      <c r="M409" s="26" t="str">
        <f>IFERROR(__xludf.DUMMYFUNCTION("""COMPUTED_VALUE"""),"신형만")</f>
        <v>신형만</v>
      </c>
      <c r="N409" s="26" t="str">
        <f>IFERROR(__xludf.DUMMYFUNCTION("ARRAYFORMULA(REGEXEXTRACT(SPLIT(E409, ""&lt;br&gt;""), ""([가-힣A-Za-z]+)""))"),"한메")</f>
        <v>한메</v>
      </c>
      <c r="O409" s="26" t="str">
        <f>IFERROR(__xludf.DUMMYFUNCTION("""COMPUTED_VALUE"""),"ACDC")</f>
        <v>ACDC</v>
      </c>
      <c r="P409" s="26" t="str">
        <f>IFERROR(__xludf.DUMMYFUNCTION("""COMPUTED_VALUE"""),"노인")</f>
        <v>노인</v>
      </c>
      <c r="Q409" s="26" t="str">
        <f>IFERROR(__xludf.DUMMYFUNCTION("""COMPUTED_VALUE"""),"찹쌀")</f>
        <v>찹쌀</v>
      </c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27" t="s">
        <v>1857</v>
      </c>
      <c r="B410" s="28" t="s">
        <v>1858</v>
      </c>
      <c r="C410" s="27" t="s">
        <v>1859</v>
      </c>
      <c r="D410" s="27">
        <v>5.0</v>
      </c>
      <c r="E410" s="27" t="s">
        <v>1860</v>
      </c>
      <c r="F410" s="27">
        <v>1.0</v>
      </c>
      <c r="G410" s="29">
        <v>45897.95138888889</v>
      </c>
      <c r="H410" s="27" t="s">
        <v>1352</v>
      </c>
      <c r="I410" s="30" t="s">
        <v>1856</v>
      </c>
      <c r="J410" s="25" t="str">
        <f>IFERROR(__xludf.DUMMYFUNCTION("ARRAYFORMULA(REGEXEXTRACT(SPLIT(C410, ""&lt;br&gt;""), ""([가-힣A-Za-z]+)""))"),"노인")</f>
        <v>노인</v>
      </c>
      <c r="K410" s="26" t="str">
        <f>IFERROR(__xludf.DUMMYFUNCTION("""COMPUTED_VALUE"""),"신형만")</f>
        <v>신형만</v>
      </c>
      <c r="L410" s="26" t="str">
        <f>IFERROR(__xludf.DUMMYFUNCTION("""COMPUTED_VALUE"""),"테리")</f>
        <v>테리</v>
      </c>
      <c r="M410" s="26" t="str">
        <f>IFERROR(__xludf.DUMMYFUNCTION("""COMPUTED_VALUE"""),"한메")</f>
        <v>한메</v>
      </c>
      <c r="N410" s="26" t="str">
        <f>IFERROR(__xludf.DUMMYFUNCTION("ARRAYFORMULA(REGEXEXTRACT(SPLIT(E410, ""&lt;br&gt;""), ""([가-힣A-Za-z]+)""))"),"ACDC")</f>
        <v>ACDC</v>
      </c>
      <c r="O410" s="26" t="str">
        <f>IFERROR(__xludf.DUMMYFUNCTION("""COMPUTED_VALUE"""),"찹쌀")</f>
        <v>찹쌀</v>
      </c>
      <c r="P410" s="26" t="str">
        <f>IFERROR(__xludf.DUMMYFUNCTION("""COMPUTED_VALUE"""),"유즈")</f>
        <v>유즈</v>
      </c>
      <c r="Q410" s="26" t="str">
        <f>IFERROR(__xludf.DUMMYFUNCTION("""COMPUTED_VALUE"""),"깡패")</f>
        <v>깡패</v>
      </c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27" t="s">
        <v>1861</v>
      </c>
      <c r="B411" s="28" t="s">
        <v>1862</v>
      </c>
      <c r="C411" s="27" t="s">
        <v>1863</v>
      </c>
      <c r="D411" s="27">
        <v>5.0</v>
      </c>
      <c r="E411" s="27" t="s">
        <v>1864</v>
      </c>
      <c r="F411" s="27">
        <v>3.0</v>
      </c>
      <c r="G411" s="29">
        <v>45897.93680555555</v>
      </c>
      <c r="H411" s="27" t="s">
        <v>1352</v>
      </c>
      <c r="I411" s="30" t="s">
        <v>1856</v>
      </c>
      <c r="J411" s="25" t="str">
        <f>IFERROR(__xludf.DUMMYFUNCTION("ARRAYFORMULA(REGEXEXTRACT(SPLIT(C411, ""&lt;br&gt;""), ""([가-힣A-Za-z]+)""))"),"테리")</f>
        <v>테리</v>
      </c>
      <c r="K411" s="26" t="str">
        <f>IFERROR(__xludf.DUMMYFUNCTION("""COMPUTED_VALUE"""),"깡패")</f>
        <v>깡패</v>
      </c>
      <c r="L411" s="26" t="str">
        <f>IFERROR(__xludf.DUMMYFUNCTION("""COMPUTED_VALUE"""),"한메")</f>
        <v>한메</v>
      </c>
      <c r="M411" s="26" t="str">
        <f>IFERROR(__xludf.DUMMYFUNCTION("""COMPUTED_VALUE"""),"찹쌀")</f>
        <v>찹쌀</v>
      </c>
      <c r="N411" s="26" t="str">
        <f>IFERROR(__xludf.DUMMYFUNCTION("ARRAYFORMULA(REGEXEXTRACT(SPLIT(E411, ""&lt;br&gt;""), ""([가-힣A-Za-z]+)""))"),"유즈")</f>
        <v>유즈</v>
      </c>
      <c r="O411" s="26" t="str">
        <f>IFERROR(__xludf.DUMMYFUNCTION("""COMPUTED_VALUE"""),"ACDC")</f>
        <v>ACDC</v>
      </c>
      <c r="P411" s="26" t="str">
        <f>IFERROR(__xludf.DUMMYFUNCTION("""COMPUTED_VALUE"""),"노인")</f>
        <v>노인</v>
      </c>
      <c r="Q411" s="26" t="str">
        <f>IFERROR(__xludf.DUMMYFUNCTION("""COMPUTED_VALUE"""),"신형만")</f>
        <v>신형만</v>
      </c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27" t="s">
        <v>1865</v>
      </c>
      <c r="B412" s="28" t="s">
        <v>1866</v>
      </c>
      <c r="C412" s="27" t="s">
        <v>1867</v>
      </c>
      <c r="D412" s="27">
        <v>5.0</v>
      </c>
      <c r="E412" s="27" t="s">
        <v>1868</v>
      </c>
      <c r="F412" s="27">
        <v>3.0</v>
      </c>
      <c r="G412" s="29">
        <v>45897.885416666664</v>
      </c>
      <c r="H412" s="27" t="s">
        <v>1352</v>
      </c>
      <c r="I412" s="30" t="s">
        <v>1869</v>
      </c>
      <c r="J412" s="25" t="str">
        <f>IFERROR(__xludf.DUMMYFUNCTION("ARRAYFORMULA(REGEXEXTRACT(SPLIT(C412, ""&lt;br&gt;""), ""([가-힣A-Za-z]+)""))"),"한메")</f>
        <v>한메</v>
      </c>
      <c r="K412" s="26" t="str">
        <f>IFERROR(__xludf.DUMMYFUNCTION("""COMPUTED_VALUE"""),"테리")</f>
        <v>테리</v>
      </c>
      <c r="L412" s="26" t="str">
        <f>IFERROR(__xludf.DUMMYFUNCTION("""COMPUTED_VALUE"""),"ACDC")</f>
        <v>ACDC</v>
      </c>
      <c r="M412" s="26" t="str">
        <f>IFERROR(__xludf.DUMMYFUNCTION("""COMPUTED_VALUE"""),"따")</f>
        <v>따</v>
      </c>
      <c r="N412" s="26" t="str">
        <f>IFERROR(__xludf.DUMMYFUNCTION("ARRAYFORMULA(REGEXEXTRACT(SPLIT(E412, ""&lt;br&gt;""), ""([가-힣A-Za-z]+)""))"),"넘버")</f>
        <v>넘버</v>
      </c>
      <c r="O412" s="26" t="str">
        <f>IFERROR(__xludf.DUMMYFUNCTION("""COMPUTED_VALUE"""),"노인")</f>
        <v>노인</v>
      </c>
      <c r="P412" s="26" t="str">
        <f>IFERROR(__xludf.DUMMYFUNCTION("""COMPUTED_VALUE"""),"신형만")</f>
        <v>신형만</v>
      </c>
      <c r="Q412" s="26" t="str">
        <f>IFERROR(__xludf.DUMMYFUNCTION("""COMPUTED_VALUE"""),"깡패")</f>
        <v>깡패</v>
      </c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27" t="s">
        <v>1870</v>
      </c>
      <c r="B413" s="28" t="s">
        <v>1871</v>
      </c>
      <c r="C413" s="27" t="s">
        <v>1872</v>
      </c>
      <c r="D413" s="27">
        <v>5.0</v>
      </c>
      <c r="E413" s="27" t="s">
        <v>1873</v>
      </c>
      <c r="F413" s="27">
        <v>4.0</v>
      </c>
      <c r="G413" s="29">
        <v>45896.02638888889</v>
      </c>
      <c r="H413" s="27" t="s">
        <v>1352</v>
      </c>
      <c r="I413" s="30" t="s">
        <v>1874</v>
      </c>
      <c r="J413" s="25" t="str">
        <f>IFERROR(__xludf.DUMMYFUNCTION("ARRAYFORMULA(REGEXEXTRACT(SPLIT(C413, ""&lt;br&gt;""), ""([가-힣A-Za-z]+)""))"),"노인")</f>
        <v>노인</v>
      </c>
      <c r="K413" s="26" t="str">
        <f>IFERROR(__xludf.DUMMYFUNCTION("""COMPUTED_VALUE"""),"신형만")</f>
        <v>신형만</v>
      </c>
      <c r="L413" s="26" t="str">
        <f>IFERROR(__xludf.DUMMYFUNCTION("""COMPUTED_VALUE"""),"테리")</f>
        <v>테리</v>
      </c>
      <c r="M413" s="26" t="str">
        <f>IFERROR(__xludf.DUMMYFUNCTION("""COMPUTED_VALUE"""),"한메")</f>
        <v>한메</v>
      </c>
      <c r="N413" s="26" t="str">
        <f>IFERROR(__xludf.DUMMYFUNCTION("ARRAYFORMULA(REGEXEXTRACT(SPLIT(E413, ""&lt;br&gt;""), ""([가-힣A-Za-z]+)""))"),"깡패")</f>
        <v>깡패</v>
      </c>
      <c r="O413" s="26" t="str">
        <f>IFERROR(__xludf.DUMMYFUNCTION("""COMPUTED_VALUE"""),"원")</f>
        <v>원</v>
      </c>
      <c r="P413" s="26" t="str">
        <f>IFERROR(__xludf.DUMMYFUNCTION("""COMPUTED_VALUE"""),"ACDC")</f>
        <v>ACDC</v>
      </c>
      <c r="Q413" s="26" t="str">
        <f>IFERROR(__xludf.DUMMYFUNCTION("""COMPUTED_VALUE"""),"따")</f>
        <v>따</v>
      </c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27" t="s">
        <v>1875</v>
      </c>
      <c r="B414" s="28" t="s">
        <v>1876</v>
      </c>
      <c r="C414" s="27" t="s">
        <v>1877</v>
      </c>
      <c r="D414" s="27">
        <v>5.0</v>
      </c>
      <c r="E414" s="27" t="s">
        <v>1878</v>
      </c>
      <c r="F414" s="27">
        <v>0.0</v>
      </c>
      <c r="G414" s="29">
        <v>45895.96319444444</v>
      </c>
      <c r="H414" s="27" t="s">
        <v>1352</v>
      </c>
      <c r="I414" s="30" t="s">
        <v>1879</v>
      </c>
      <c r="J414" s="25" t="str">
        <f>IFERROR(__xludf.DUMMYFUNCTION("ARRAYFORMULA(REGEXEXTRACT(SPLIT(C414, ""&lt;br&gt;""), ""([가-힣A-Za-z]+)""))"),"테리")</f>
        <v>테리</v>
      </c>
      <c r="K414" s="26" t="str">
        <f>IFERROR(__xludf.DUMMYFUNCTION("""COMPUTED_VALUE"""),"깡패")</f>
        <v>깡패</v>
      </c>
      <c r="L414" s="26" t="str">
        <f>IFERROR(__xludf.DUMMYFUNCTION("""COMPUTED_VALUE"""),"원")</f>
        <v>원</v>
      </c>
      <c r="M414" s="26" t="str">
        <f>IFERROR(__xludf.DUMMYFUNCTION("""COMPUTED_VALUE"""),"한메")</f>
        <v>한메</v>
      </c>
      <c r="N414" s="26" t="str">
        <f>IFERROR(__xludf.DUMMYFUNCTION("ARRAYFORMULA(REGEXEXTRACT(SPLIT(E414, ""&lt;br&gt;""), ""([가-힣A-Za-z]+)""))"),"넘버")</f>
        <v>넘버</v>
      </c>
      <c r="O414" s="26" t="str">
        <f>IFERROR(__xludf.DUMMYFUNCTION("""COMPUTED_VALUE"""),"노인")</f>
        <v>노인</v>
      </c>
      <c r="P414" s="26" t="str">
        <f>IFERROR(__xludf.DUMMYFUNCTION("""COMPUTED_VALUE"""),"ACDC")</f>
        <v>ACDC</v>
      </c>
      <c r="Q414" s="26" t="str">
        <f>IFERROR(__xludf.DUMMYFUNCTION("""COMPUTED_VALUE"""),"신형만")</f>
        <v>신형만</v>
      </c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27" t="s">
        <v>1880</v>
      </c>
      <c r="B415" s="28" t="s">
        <v>1881</v>
      </c>
      <c r="C415" s="27" t="s">
        <v>1882</v>
      </c>
      <c r="D415" s="27">
        <v>5.0</v>
      </c>
      <c r="E415" s="27" t="s">
        <v>1883</v>
      </c>
      <c r="F415" s="27">
        <v>0.0</v>
      </c>
      <c r="G415" s="29">
        <v>45895.955555555556</v>
      </c>
      <c r="H415" s="27" t="s">
        <v>1352</v>
      </c>
      <c r="I415" s="30" t="s">
        <v>1879</v>
      </c>
      <c r="J415" s="25" t="str">
        <f>IFERROR(__xludf.DUMMYFUNCTION("ARRAYFORMULA(REGEXEXTRACT(SPLIT(C415, ""&lt;br&gt;""), ""([가-힣A-Za-z]+)""))"),"노인")</f>
        <v>노인</v>
      </c>
      <c r="K415" s="26" t="str">
        <f>IFERROR(__xludf.DUMMYFUNCTION("""COMPUTED_VALUE"""),"신형만")</f>
        <v>신형만</v>
      </c>
      <c r="L415" s="26" t="str">
        <f>IFERROR(__xludf.DUMMYFUNCTION("""COMPUTED_VALUE"""),"테리")</f>
        <v>테리</v>
      </c>
      <c r="M415" s="26" t="str">
        <f>IFERROR(__xludf.DUMMYFUNCTION("""COMPUTED_VALUE"""),"원")</f>
        <v>원</v>
      </c>
      <c r="N415" s="26" t="str">
        <f>IFERROR(__xludf.DUMMYFUNCTION("ARRAYFORMULA(REGEXEXTRACT(SPLIT(E415, ""&lt;br&gt;""), ""([가-힣A-Za-z]+)""))"),"한메")</f>
        <v>한메</v>
      </c>
      <c r="O415" s="26" t="str">
        <f>IFERROR(__xludf.DUMMYFUNCTION("""COMPUTED_VALUE"""),"ACDC")</f>
        <v>ACDC</v>
      </c>
      <c r="P415" s="26" t="str">
        <f>IFERROR(__xludf.DUMMYFUNCTION("""COMPUTED_VALUE"""),"넘버")</f>
        <v>넘버</v>
      </c>
      <c r="Q415" s="26" t="str">
        <f>IFERROR(__xludf.DUMMYFUNCTION("""COMPUTED_VALUE"""),"깡패")</f>
        <v>깡패</v>
      </c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27" t="s">
        <v>1884</v>
      </c>
      <c r="B416" s="28" t="s">
        <v>1885</v>
      </c>
      <c r="C416" s="27" t="s">
        <v>1886</v>
      </c>
      <c r="D416" s="27">
        <v>5.0</v>
      </c>
      <c r="E416" s="27" t="s">
        <v>1887</v>
      </c>
      <c r="F416" s="27">
        <v>4.0</v>
      </c>
      <c r="G416" s="29">
        <v>45895.94375</v>
      </c>
      <c r="H416" s="27" t="s">
        <v>1352</v>
      </c>
      <c r="I416" s="30" t="s">
        <v>1879</v>
      </c>
      <c r="J416" s="25" t="str">
        <f>IFERROR(__xludf.DUMMYFUNCTION("ARRAYFORMULA(REGEXEXTRACT(SPLIT(C416, ""&lt;br&gt;""), ""([가-힣A-Za-z]+)""))"),"신형만")</f>
        <v>신형만</v>
      </c>
      <c r="K416" s="26" t="str">
        <f>IFERROR(__xludf.DUMMYFUNCTION("""COMPUTED_VALUE"""),"원")</f>
        <v>원</v>
      </c>
      <c r="L416" s="26" t="str">
        <f>IFERROR(__xludf.DUMMYFUNCTION("""COMPUTED_VALUE"""),"ACDC")</f>
        <v>ACDC</v>
      </c>
      <c r="M416" s="26" t="str">
        <f>IFERROR(__xludf.DUMMYFUNCTION("""COMPUTED_VALUE"""),"한메")</f>
        <v>한메</v>
      </c>
      <c r="N416" s="26" t="str">
        <f>IFERROR(__xludf.DUMMYFUNCTION("ARRAYFORMULA(REGEXEXTRACT(SPLIT(E416, ""&lt;br&gt;""), ""([가-힣A-Za-z]+)""))"),"테리")</f>
        <v>테리</v>
      </c>
      <c r="O416" s="26" t="str">
        <f>IFERROR(__xludf.DUMMYFUNCTION("""COMPUTED_VALUE"""),"깡패")</f>
        <v>깡패</v>
      </c>
      <c r="P416" s="26" t="str">
        <f>IFERROR(__xludf.DUMMYFUNCTION("""COMPUTED_VALUE"""),"노인")</f>
        <v>노인</v>
      </c>
      <c r="Q416" s="26" t="str">
        <f>IFERROR(__xludf.DUMMYFUNCTION("""COMPUTED_VALUE"""),"넘버")</f>
        <v>넘버</v>
      </c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27" t="s">
        <v>1888</v>
      </c>
      <c r="B417" s="28" t="s">
        <v>1889</v>
      </c>
      <c r="C417" s="27" t="s">
        <v>1890</v>
      </c>
      <c r="D417" s="27">
        <v>5.0</v>
      </c>
      <c r="E417" s="27" t="s">
        <v>1891</v>
      </c>
      <c r="F417" s="27">
        <v>3.0</v>
      </c>
      <c r="G417" s="29">
        <v>45895.91875</v>
      </c>
      <c r="H417" s="27" t="s">
        <v>1352</v>
      </c>
      <c r="I417" s="30" t="s">
        <v>1603</v>
      </c>
      <c r="J417" s="25" t="str">
        <f>IFERROR(__xludf.DUMMYFUNCTION("ARRAYFORMULA(REGEXEXTRACT(SPLIT(C417, ""&lt;br&gt;""), ""([가-힣A-Za-z]+)""))"),"ACDC")</f>
        <v>ACDC</v>
      </c>
      <c r="K417" s="26" t="str">
        <f>IFERROR(__xludf.DUMMYFUNCTION("""COMPUTED_VALUE"""),"신형만")</f>
        <v>신형만</v>
      </c>
      <c r="L417" s="26" t="str">
        <f>IFERROR(__xludf.DUMMYFUNCTION("""COMPUTED_VALUE"""),"테리")</f>
        <v>테리</v>
      </c>
      <c r="M417" s="26" t="str">
        <f>IFERROR(__xludf.DUMMYFUNCTION("""COMPUTED_VALUE"""),"깡패")</f>
        <v>깡패</v>
      </c>
      <c r="N417" s="26" t="str">
        <f>IFERROR(__xludf.DUMMYFUNCTION("ARRAYFORMULA(REGEXEXTRACT(SPLIT(E417, ""&lt;br&gt;""), ""([가-힣A-Za-z]+)""))"),"한메")</f>
        <v>한메</v>
      </c>
      <c r="O417" s="26" t="str">
        <f>IFERROR(__xludf.DUMMYFUNCTION("""COMPUTED_VALUE"""),"노인")</f>
        <v>노인</v>
      </c>
      <c r="P417" s="26" t="str">
        <f>IFERROR(__xludf.DUMMYFUNCTION("""COMPUTED_VALUE"""),"짱구")</f>
        <v>짱구</v>
      </c>
      <c r="Q417" s="26" t="str">
        <f>IFERROR(__xludf.DUMMYFUNCTION("""COMPUTED_VALUE"""),"원")</f>
        <v>원</v>
      </c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27" t="s">
        <v>1892</v>
      </c>
      <c r="B418" s="28" t="s">
        <v>1893</v>
      </c>
      <c r="C418" s="27" t="s">
        <v>1894</v>
      </c>
      <c r="D418" s="27">
        <v>5.0</v>
      </c>
      <c r="E418" s="27" t="s">
        <v>1895</v>
      </c>
      <c r="F418" s="27">
        <v>0.0</v>
      </c>
      <c r="G418" s="29">
        <v>45895.89444444444</v>
      </c>
      <c r="H418" s="27" t="s">
        <v>1352</v>
      </c>
      <c r="I418" s="30" t="s">
        <v>1603</v>
      </c>
      <c r="J418" s="25" t="str">
        <f>IFERROR(__xludf.DUMMYFUNCTION("ARRAYFORMULA(REGEXEXTRACT(SPLIT(C418, ""&lt;br&gt;""), ""([가-힣A-Za-z]+)""))"),"깡패")</f>
        <v>깡패</v>
      </c>
      <c r="K418" s="26" t="str">
        <f>IFERROR(__xludf.DUMMYFUNCTION("""COMPUTED_VALUE"""),"테리")</f>
        <v>테리</v>
      </c>
      <c r="L418" s="26" t="str">
        <f>IFERROR(__xludf.DUMMYFUNCTION("""COMPUTED_VALUE"""),"원")</f>
        <v>원</v>
      </c>
      <c r="M418" s="26" t="str">
        <f>IFERROR(__xludf.DUMMYFUNCTION("""COMPUTED_VALUE"""),"한메")</f>
        <v>한메</v>
      </c>
      <c r="N418" s="26" t="str">
        <f>IFERROR(__xludf.DUMMYFUNCTION("ARRAYFORMULA(REGEXEXTRACT(SPLIT(E418, ""&lt;br&gt;""), ""([가-힣A-Za-z]+)""))"),"노인")</f>
        <v>노인</v>
      </c>
      <c r="O418" s="26" t="str">
        <f>IFERROR(__xludf.DUMMYFUNCTION("""COMPUTED_VALUE"""),"짱구")</f>
        <v>짱구</v>
      </c>
      <c r="P418" s="26" t="str">
        <f>IFERROR(__xludf.DUMMYFUNCTION("""COMPUTED_VALUE"""),"ACDC")</f>
        <v>ACDC</v>
      </c>
      <c r="Q418" s="26" t="str">
        <f>IFERROR(__xludf.DUMMYFUNCTION("""COMPUTED_VALUE"""),"신형만")</f>
        <v>신형만</v>
      </c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27" t="s">
        <v>1896</v>
      </c>
      <c r="B419" s="28" t="s">
        <v>1897</v>
      </c>
      <c r="C419" s="27" t="s">
        <v>1898</v>
      </c>
      <c r="D419" s="27">
        <v>5.0</v>
      </c>
      <c r="E419" s="27" t="s">
        <v>1899</v>
      </c>
      <c r="F419" s="27">
        <v>4.0</v>
      </c>
      <c r="G419" s="29">
        <v>45894.975</v>
      </c>
      <c r="H419" s="27" t="s">
        <v>1352</v>
      </c>
      <c r="I419" s="30" t="s">
        <v>1900</v>
      </c>
      <c r="J419" s="25" t="str">
        <f>IFERROR(__xludf.DUMMYFUNCTION("ARRAYFORMULA(REGEXEXTRACT(SPLIT(C419, ""&lt;br&gt;""), ""([가-힣A-Za-z]+)""))"),"새출발")</f>
        <v>새출발</v>
      </c>
      <c r="K419" s="26" t="str">
        <f>IFERROR(__xludf.DUMMYFUNCTION("""COMPUTED_VALUE"""),"노인")</f>
        <v>노인</v>
      </c>
      <c r="L419" s="26" t="str">
        <f>IFERROR(__xludf.DUMMYFUNCTION("""COMPUTED_VALUE"""),"신형만")</f>
        <v>신형만</v>
      </c>
      <c r="M419" s="26" t="str">
        <f>IFERROR(__xludf.DUMMYFUNCTION("""COMPUTED_VALUE"""),"참치")</f>
        <v>참치</v>
      </c>
      <c r="N419" s="26" t="str">
        <f>IFERROR(__xludf.DUMMYFUNCTION("ARRAYFORMULA(REGEXEXTRACT(SPLIT(E419, ""&lt;br&gt;""), ""([가-힣A-Za-z]+)""))"),"단수")</f>
        <v>단수</v>
      </c>
      <c r="O419" s="26" t="str">
        <f>IFERROR(__xludf.DUMMYFUNCTION("""COMPUTED_VALUE"""),"랄")</f>
        <v>랄</v>
      </c>
      <c r="P419" s="26" t="str">
        <f>IFERROR(__xludf.DUMMYFUNCTION("""COMPUTED_VALUE"""),"깡패")</f>
        <v>깡패</v>
      </c>
      <c r="Q419" s="26" t="str">
        <f>IFERROR(__xludf.DUMMYFUNCTION("""COMPUTED_VALUE"""),"넘버")</f>
        <v>넘버</v>
      </c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27" t="s">
        <v>1901</v>
      </c>
      <c r="B420" s="28" t="s">
        <v>1902</v>
      </c>
      <c r="C420" s="27" t="s">
        <v>1903</v>
      </c>
      <c r="D420" s="27">
        <v>5.0</v>
      </c>
      <c r="E420" s="27" t="s">
        <v>1904</v>
      </c>
      <c r="F420" s="27">
        <v>2.0</v>
      </c>
      <c r="G420" s="29">
        <v>45894.95138888889</v>
      </c>
      <c r="H420" s="27" t="s">
        <v>1352</v>
      </c>
      <c r="I420" s="30" t="s">
        <v>1905</v>
      </c>
      <c r="J420" s="25" t="str">
        <f>IFERROR(__xludf.DUMMYFUNCTION("ARRAYFORMULA(REGEXEXTRACT(SPLIT(C420, ""&lt;br&gt;""), ""([가-힣A-Za-z]+)""))"),"깡패")</f>
        <v>깡패</v>
      </c>
      <c r="K420" s="26" t="str">
        <f>IFERROR(__xludf.DUMMYFUNCTION("""COMPUTED_VALUE"""),"단수")</f>
        <v>단수</v>
      </c>
      <c r="L420" s="26" t="str">
        <f>IFERROR(__xludf.DUMMYFUNCTION("""COMPUTED_VALUE"""),"참치")</f>
        <v>참치</v>
      </c>
      <c r="M420" s="26" t="str">
        <f>IFERROR(__xludf.DUMMYFUNCTION("""COMPUTED_VALUE"""),"신형만")</f>
        <v>신형만</v>
      </c>
      <c r="N420" s="26" t="str">
        <f>IFERROR(__xludf.DUMMYFUNCTION("ARRAYFORMULA(REGEXEXTRACT(SPLIT(E420, ""&lt;br&gt;""), ""([가-힣A-Za-z]+)""))"),"원")</f>
        <v>원</v>
      </c>
      <c r="O420" s="26" t="str">
        <f>IFERROR(__xludf.DUMMYFUNCTION("""COMPUTED_VALUE"""),"새출발")</f>
        <v>새출발</v>
      </c>
      <c r="P420" s="26" t="str">
        <f>IFERROR(__xludf.DUMMYFUNCTION("""COMPUTED_VALUE"""),"노인")</f>
        <v>노인</v>
      </c>
      <c r="Q420" s="26" t="str">
        <f>IFERROR(__xludf.DUMMYFUNCTION("""COMPUTED_VALUE"""),"랄")</f>
        <v>랄</v>
      </c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27" t="s">
        <v>1906</v>
      </c>
      <c r="B421" s="28" t="s">
        <v>1907</v>
      </c>
      <c r="C421" s="27" t="s">
        <v>1908</v>
      </c>
      <c r="D421" s="27">
        <v>5.0</v>
      </c>
      <c r="E421" s="27" t="s">
        <v>1909</v>
      </c>
      <c r="F421" s="27">
        <v>0.0</v>
      </c>
      <c r="G421" s="29">
        <v>45894.933333333334</v>
      </c>
      <c r="H421" s="27" t="s">
        <v>1352</v>
      </c>
      <c r="I421" s="30" t="s">
        <v>1905</v>
      </c>
      <c r="J421" s="25" t="str">
        <f>IFERROR(__xludf.DUMMYFUNCTION("ARRAYFORMULA(REGEXEXTRACT(SPLIT(C421, ""&lt;br&gt;""), ""([가-힣A-Za-z]+)""))"),"참치")</f>
        <v>참치</v>
      </c>
      <c r="K421" s="26" t="str">
        <f>IFERROR(__xludf.DUMMYFUNCTION("""COMPUTED_VALUE"""),"신형만")</f>
        <v>신형만</v>
      </c>
      <c r="L421" s="26" t="str">
        <f>IFERROR(__xludf.DUMMYFUNCTION("""COMPUTED_VALUE"""),"노인")</f>
        <v>노인</v>
      </c>
      <c r="M421" s="26" t="str">
        <f>IFERROR(__xludf.DUMMYFUNCTION("""COMPUTED_VALUE"""),"원")</f>
        <v>원</v>
      </c>
      <c r="N421" s="26" t="str">
        <f>IFERROR(__xludf.DUMMYFUNCTION("ARRAYFORMULA(REGEXEXTRACT(SPLIT(E421, ""&lt;br&gt;""), ""([가-힣A-Za-z]+)""))"),"새출발")</f>
        <v>새출발</v>
      </c>
      <c r="O421" s="26" t="str">
        <f>IFERROR(__xludf.DUMMYFUNCTION("""COMPUTED_VALUE"""),"랄")</f>
        <v>랄</v>
      </c>
      <c r="P421" s="26" t="str">
        <f>IFERROR(__xludf.DUMMYFUNCTION("""COMPUTED_VALUE"""),"단수")</f>
        <v>단수</v>
      </c>
      <c r="Q421" s="26" t="str">
        <f>IFERROR(__xludf.DUMMYFUNCTION("""COMPUTED_VALUE"""),"깡패")</f>
        <v>깡패</v>
      </c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27" t="s">
        <v>1910</v>
      </c>
      <c r="B422" s="28" t="s">
        <v>1911</v>
      </c>
      <c r="C422" s="27" t="s">
        <v>1912</v>
      </c>
      <c r="D422" s="27">
        <v>5.0</v>
      </c>
      <c r="E422" s="27" t="s">
        <v>1913</v>
      </c>
      <c r="F422" s="27">
        <v>2.0</v>
      </c>
      <c r="G422" s="29">
        <v>45894.92222222222</v>
      </c>
      <c r="H422" s="27" t="s">
        <v>1352</v>
      </c>
      <c r="I422" s="30" t="s">
        <v>1914</v>
      </c>
      <c r="J422" s="25" t="str">
        <f>IFERROR(__xludf.DUMMYFUNCTION("ARRAYFORMULA(REGEXEXTRACT(SPLIT(C422, ""&lt;br&gt;""), ""([가-힣A-Za-z]+)""))"),"넘버")</f>
        <v>넘버</v>
      </c>
      <c r="K422" s="26" t="str">
        <f>IFERROR(__xludf.DUMMYFUNCTION("""COMPUTED_VALUE"""),"새출발")</f>
        <v>새출발</v>
      </c>
      <c r="L422" s="26" t="str">
        <f>IFERROR(__xludf.DUMMYFUNCTION("""COMPUTED_VALUE"""),"원")</f>
        <v>원</v>
      </c>
      <c r="M422" s="26" t="str">
        <f>IFERROR(__xludf.DUMMYFUNCTION("""COMPUTED_VALUE"""),"단수")</f>
        <v>단수</v>
      </c>
      <c r="N422" s="26" t="str">
        <f>IFERROR(__xludf.DUMMYFUNCTION("ARRAYFORMULA(REGEXEXTRACT(SPLIT(E422, ""&lt;br&gt;""), ""([가-힣A-Za-z]+)""))"),"깡패")</f>
        <v>깡패</v>
      </c>
      <c r="O422" s="26" t="str">
        <f>IFERROR(__xludf.DUMMYFUNCTION("""COMPUTED_VALUE"""),"참치")</f>
        <v>참치</v>
      </c>
      <c r="P422" s="26" t="str">
        <f>IFERROR(__xludf.DUMMYFUNCTION("""COMPUTED_VALUE"""),"랄")</f>
        <v>랄</v>
      </c>
      <c r="Q422" s="26" t="str">
        <f>IFERROR(__xludf.DUMMYFUNCTION("""COMPUTED_VALUE"""),"신형만")</f>
        <v>신형만</v>
      </c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27" t="s">
        <v>1915</v>
      </c>
      <c r="B423" s="28" t="s">
        <v>1916</v>
      </c>
      <c r="C423" s="27" t="s">
        <v>1917</v>
      </c>
      <c r="D423" s="27">
        <v>5.0</v>
      </c>
      <c r="E423" s="27" t="s">
        <v>1918</v>
      </c>
      <c r="F423" s="27">
        <v>3.0</v>
      </c>
      <c r="G423" s="29">
        <v>45894.89791666667</v>
      </c>
      <c r="H423" s="27" t="s">
        <v>1352</v>
      </c>
      <c r="I423" s="30" t="s">
        <v>1914</v>
      </c>
      <c r="J423" s="25" t="str">
        <f>IFERROR(__xludf.DUMMYFUNCTION("ARRAYFORMULA(REGEXEXTRACT(SPLIT(C423, ""&lt;br&gt;""), ""([가-힣A-Za-z]+)""))"),"신형만")</f>
        <v>신형만</v>
      </c>
      <c r="K423" s="26" t="str">
        <f>IFERROR(__xludf.DUMMYFUNCTION("""COMPUTED_VALUE"""),"깡패")</f>
        <v>깡패</v>
      </c>
      <c r="L423" s="26" t="str">
        <f>IFERROR(__xludf.DUMMYFUNCTION("""COMPUTED_VALUE"""),"새출발")</f>
        <v>새출발</v>
      </c>
      <c r="M423" s="26" t="str">
        <f>IFERROR(__xludf.DUMMYFUNCTION("""COMPUTED_VALUE"""),"원")</f>
        <v>원</v>
      </c>
      <c r="N423" s="26" t="str">
        <f>IFERROR(__xludf.DUMMYFUNCTION("ARRAYFORMULA(REGEXEXTRACT(SPLIT(E423, ""&lt;br&gt;""), ""([가-힣A-Za-z]+)""))"),"랄")</f>
        <v>랄</v>
      </c>
      <c r="O423" s="26" t="str">
        <f>IFERROR(__xludf.DUMMYFUNCTION("""COMPUTED_VALUE"""),"넘버")</f>
        <v>넘버</v>
      </c>
      <c r="P423" s="26" t="str">
        <f>IFERROR(__xludf.DUMMYFUNCTION("""COMPUTED_VALUE"""),"단수")</f>
        <v>단수</v>
      </c>
      <c r="Q423" s="26" t="str">
        <f>IFERROR(__xludf.DUMMYFUNCTION("""COMPUTED_VALUE"""),"참치")</f>
        <v>참치</v>
      </c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27" t="s">
        <v>1919</v>
      </c>
      <c r="B424" s="28" t="s">
        <v>1920</v>
      </c>
      <c r="C424" s="27" t="s">
        <v>1921</v>
      </c>
      <c r="D424" s="27">
        <v>5.0</v>
      </c>
      <c r="E424" s="27" t="s">
        <v>1922</v>
      </c>
      <c r="F424" s="27">
        <v>1.0</v>
      </c>
      <c r="G424" s="29">
        <v>45893.98263888889</v>
      </c>
      <c r="H424" s="27" t="s">
        <v>1352</v>
      </c>
      <c r="I424" s="30" t="s">
        <v>1679</v>
      </c>
      <c r="J424" s="25" t="str">
        <f>IFERROR(__xludf.DUMMYFUNCTION("ARRAYFORMULA(REGEXEXTRACT(SPLIT(C424, ""&lt;br&gt;""), ""([가-힣A-Za-z]+)""))"),"참치")</f>
        <v>참치</v>
      </c>
      <c r="K424" s="26" t="str">
        <f>IFERROR(__xludf.DUMMYFUNCTION("""COMPUTED_VALUE"""),"노인")</f>
        <v>노인</v>
      </c>
      <c r="L424" s="26" t="str">
        <f>IFERROR(__xludf.DUMMYFUNCTION("""COMPUTED_VALUE"""),"원")</f>
        <v>원</v>
      </c>
      <c r="M424" s="26" t="str">
        <f>IFERROR(__xludf.DUMMYFUNCTION("""COMPUTED_VALUE"""),"키키")</f>
        <v>키키</v>
      </c>
      <c r="N424" s="26" t="str">
        <f>IFERROR(__xludf.DUMMYFUNCTION("ARRAYFORMULA(REGEXEXTRACT(SPLIT(E424, ""&lt;br&gt;""), ""([가-힣A-Za-z]+)""))"),"신형만")</f>
        <v>신형만</v>
      </c>
      <c r="O424" s="26" t="str">
        <f>IFERROR(__xludf.DUMMYFUNCTION("""COMPUTED_VALUE"""),"깡패")</f>
        <v>깡패</v>
      </c>
      <c r="P424" s="26" t="str">
        <f>IFERROR(__xludf.DUMMYFUNCTION("""COMPUTED_VALUE"""),"ACDC")</f>
        <v>ACDC</v>
      </c>
      <c r="Q424" s="26" t="str">
        <f>IFERROR(__xludf.DUMMYFUNCTION("""COMPUTED_VALUE"""),"넘버")</f>
        <v>넘버</v>
      </c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27" t="s">
        <v>1923</v>
      </c>
      <c r="B425" s="28" t="s">
        <v>1924</v>
      </c>
      <c r="C425" s="27" t="s">
        <v>1925</v>
      </c>
      <c r="D425" s="27">
        <v>5.0</v>
      </c>
      <c r="E425" s="27" t="s">
        <v>1926</v>
      </c>
      <c r="F425" s="27">
        <v>1.0</v>
      </c>
      <c r="G425" s="29">
        <v>45893.96805555555</v>
      </c>
      <c r="H425" s="27" t="s">
        <v>1352</v>
      </c>
      <c r="I425" s="30" t="s">
        <v>1679</v>
      </c>
      <c r="J425" s="25" t="str">
        <f>IFERROR(__xludf.DUMMYFUNCTION("ARRAYFORMULA(REGEXEXTRACT(SPLIT(C425, ""&lt;br&gt;""), ""([가-힣A-Za-z]+)""))"),"깡패")</f>
        <v>깡패</v>
      </c>
      <c r="K425" s="26" t="str">
        <f>IFERROR(__xludf.DUMMYFUNCTION("""COMPUTED_VALUE"""),"넘버")</f>
        <v>넘버</v>
      </c>
      <c r="L425" s="26" t="str">
        <f>IFERROR(__xludf.DUMMYFUNCTION("""COMPUTED_VALUE"""),"노인")</f>
        <v>노인</v>
      </c>
      <c r="M425" s="26" t="str">
        <f>IFERROR(__xludf.DUMMYFUNCTION("""COMPUTED_VALUE"""),"원")</f>
        <v>원</v>
      </c>
      <c r="N425" s="26" t="str">
        <f>IFERROR(__xludf.DUMMYFUNCTION("ARRAYFORMULA(REGEXEXTRACT(SPLIT(E425, ""&lt;br&gt;""), ""([가-힣A-Za-z]+)""))"),"ACDC")</f>
        <v>ACDC</v>
      </c>
      <c r="O425" s="26" t="str">
        <f>IFERROR(__xludf.DUMMYFUNCTION("""COMPUTED_VALUE"""),"참치")</f>
        <v>참치</v>
      </c>
      <c r="P425" s="26" t="str">
        <f>IFERROR(__xludf.DUMMYFUNCTION("""COMPUTED_VALUE"""),"키키")</f>
        <v>키키</v>
      </c>
      <c r="Q425" s="26" t="str">
        <f>IFERROR(__xludf.DUMMYFUNCTION("""COMPUTED_VALUE"""),"신형만")</f>
        <v>신형만</v>
      </c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27" t="s">
        <v>1927</v>
      </c>
      <c r="B426" s="28" t="s">
        <v>1928</v>
      </c>
      <c r="C426" s="27" t="s">
        <v>1929</v>
      </c>
      <c r="D426" s="27">
        <v>5.0</v>
      </c>
      <c r="E426" s="27" t="s">
        <v>1930</v>
      </c>
      <c r="F426" s="27">
        <v>1.0</v>
      </c>
      <c r="G426" s="29">
        <v>45893.955555555556</v>
      </c>
      <c r="H426" s="27" t="s">
        <v>1352</v>
      </c>
      <c r="I426" s="30" t="s">
        <v>1679</v>
      </c>
      <c r="J426" s="25" t="str">
        <f>IFERROR(__xludf.DUMMYFUNCTION("ARRAYFORMULA(REGEXEXTRACT(SPLIT(C426, ""&lt;br&gt;""), ""([가-힣A-Za-z]+)""))"),"넘버")</f>
        <v>넘버</v>
      </c>
      <c r="K426" s="26" t="str">
        <f>IFERROR(__xludf.DUMMYFUNCTION("""COMPUTED_VALUE"""),"깡패")</f>
        <v>깡패</v>
      </c>
      <c r="L426" s="26" t="str">
        <f>IFERROR(__xludf.DUMMYFUNCTION("""COMPUTED_VALUE"""),"신형만")</f>
        <v>신형만</v>
      </c>
      <c r="M426" s="26" t="str">
        <f>IFERROR(__xludf.DUMMYFUNCTION("""COMPUTED_VALUE"""),"참치")</f>
        <v>참치</v>
      </c>
      <c r="N426" s="26" t="str">
        <f>IFERROR(__xludf.DUMMYFUNCTION("ARRAYFORMULA(REGEXEXTRACT(SPLIT(E426, ""&lt;br&gt;""), ""([가-힣A-Za-z]+)""))"),"원")</f>
        <v>원</v>
      </c>
      <c r="O426" s="26" t="str">
        <f>IFERROR(__xludf.DUMMYFUNCTION("""COMPUTED_VALUE"""),"노인")</f>
        <v>노인</v>
      </c>
      <c r="P426" s="26" t="str">
        <f>IFERROR(__xludf.DUMMYFUNCTION("""COMPUTED_VALUE"""),"ACDC")</f>
        <v>ACDC</v>
      </c>
      <c r="Q426" s="26" t="str">
        <f>IFERROR(__xludf.DUMMYFUNCTION("""COMPUTED_VALUE"""),"키키")</f>
        <v>키키</v>
      </c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27" t="s">
        <v>1931</v>
      </c>
      <c r="B427" s="28" t="s">
        <v>1932</v>
      </c>
      <c r="C427" s="27" t="s">
        <v>1933</v>
      </c>
      <c r="D427" s="27">
        <v>5.0</v>
      </c>
      <c r="E427" s="27" t="s">
        <v>1934</v>
      </c>
      <c r="F427" s="27">
        <v>2.0</v>
      </c>
      <c r="G427" s="29">
        <v>45893.89027777778</v>
      </c>
      <c r="H427" s="27" t="s">
        <v>1352</v>
      </c>
      <c r="I427" s="30" t="s">
        <v>1935</v>
      </c>
      <c r="J427" s="25" t="str">
        <f>IFERROR(__xludf.DUMMYFUNCTION("ARRAYFORMULA(REGEXEXTRACT(SPLIT(C427, ""&lt;br&gt;""), ""([가-힣A-Za-z]+)""))"),"ACDC")</f>
        <v>ACDC</v>
      </c>
      <c r="K427" s="26" t="str">
        <f>IFERROR(__xludf.DUMMYFUNCTION("""COMPUTED_VALUE"""),"새출발")</f>
        <v>새출발</v>
      </c>
      <c r="L427" s="26" t="str">
        <f>IFERROR(__xludf.DUMMYFUNCTION("""COMPUTED_VALUE"""),"원")</f>
        <v>원</v>
      </c>
      <c r="M427" s="26" t="str">
        <f>IFERROR(__xludf.DUMMYFUNCTION("""COMPUTED_VALUE"""),"넘버")</f>
        <v>넘버</v>
      </c>
      <c r="N427" s="26" t="str">
        <f>IFERROR(__xludf.DUMMYFUNCTION("ARRAYFORMULA(REGEXEXTRACT(SPLIT(E427, ""&lt;br&gt;""), ""([가-힣A-Za-z]+)""))"),"깡패")</f>
        <v>깡패</v>
      </c>
      <c r="O427" s="26" t="str">
        <f>IFERROR(__xludf.DUMMYFUNCTION("""COMPUTED_VALUE"""),"노픽업")</f>
        <v>노픽업</v>
      </c>
      <c r="P427" s="26" t="str">
        <f>IFERROR(__xludf.DUMMYFUNCTION("""COMPUTED_VALUE"""),"규식")</f>
        <v>규식</v>
      </c>
      <c r="Q427" s="26" t="str">
        <f>IFERROR(__xludf.DUMMYFUNCTION("""COMPUTED_VALUE"""),"신형만")</f>
        <v>신형만</v>
      </c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27" t="s">
        <v>1936</v>
      </c>
      <c r="B428" s="28" t="s">
        <v>1937</v>
      </c>
      <c r="C428" s="27" t="s">
        <v>1938</v>
      </c>
      <c r="D428" s="27">
        <v>5.0</v>
      </c>
      <c r="E428" s="27" t="s">
        <v>1939</v>
      </c>
      <c r="F428" s="27">
        <v>1.0</v>
      </c>
      <c r="G428" s="29">
        <v>45893.85486111111</v>
      </c>
      <c r="H428" s="27" t="s">
        <v>1352</v>
      </c>
      <c r="I428" s="30" t="s">
        <v>492</v>
      </c>
      <c r="J428" s="25" t="str">
        <f>IFERROR(__xludf.DUMMYFUNCTION("ARRAYFORMULA(REGEXEXTRACT(SPLIT(C428, ""&lt;br&gt;""), ""([가-힣A-Za-z]+)""))"),"한메")</f>
        <v>한메</v>
      </c>
      <c r="K428" s="26" t="str">
        <f>IFERROR(__xludf.DUMMYFUNCTION("""COMPUTED_VALUE"""),"넘버")</f>
        <v>넘버</v>
      </c>
      <c r="L428" s="26" t="str">
        <f>IFERROR(__xludf.DUMMYFUNCTION("""COMPUTED_VALUE"""),"노픽업")</f>
        <v>노픽업</v>
      </c>
      <c r="M428" s="26" t="str">
        <f>IFERROR(__xludf.DUMMYFUNCTION("""COMPUTED_VALUE"""),"깡패")</f>
        <v>깡패</v>
      </c>
      <c r="N428" s="26" t="str">
        <f>IFERROR(__xludf.DUMMYFUNCTION("ARRAYFORMULA(REGEXEXTRACT(SPLIT(E428, ""&lt;br&gt;""), ""([가-힣A-Za-z]+)""))"),"새출발")</f>
        <v>새출발</v>
      </c>
      <c r="O428" s="26" t="str">
        <f>IFERROR(__xludf.DUMMYFUNCTION("""COMPUTED_VALUE"""),"신형만")</f>
        <v>신형만</v>
      </c>
      <c r="P428" s="26" t="str">
        <f>IFERROR(__xludf.DUMMYFUNCTION("""COMPUTED_VALUE"""),"ACDC")</f>
        <v>ACDC</v>
      </c>
      <c r="Q428" s="26" t="str">
        <f>IFERROR(__xludf.DUMMYFUNCTION("""COMPUTED_VALUE"""),"오딘")</f>
        <v>오딘</v>
      </c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27" t="s">
        <v>1940</v>
      </c>
      <c r="B429" s="28" t="s">
        <v>1941</v>
      </c>
      <c r="C429" s="27" t="s">
        <v>1942</v>
      </c>
      <c r="D429" s="27">
        <v>5.0</v>
      </c>
      <c r="E429" s="27" t="s">
        <v>1943</v>
      </c>
      <c r="F429" s="27">
        <v>0.0</v>
      </c>
      <c r="G429" s="29">
        <v>45893.84375</v>
      </c>
      <c r="H429" s="27" t="s">
        <v>1352</v>
      </c>
      <c r="I429" s="30" t="s">
        <v>492</v>
      </c>
      <c r="J429" s="25" t="str">
        <f>IFERROR(__xludf.DUMMYFUNCTION("ARRAYFORMULA(REGEXEXTRACT(SPLIT(C429, ""&lt;br&gt;""), ""([가-힣A-Za-z]+)""))"),"깡패")</f>
        <v>깡패</v>
      </c>
      <c r="K429" s="26" t="str">
        <f>IFERROR(__xludf.DUMMYFUNCTION("""COMPUTED_VALUE"""),"새출발")</f>
        <v>새출발</v>
      </c>
      <c r="L429" s="26" t="str">
        <f>IFERROR(__xludf.DUMMYFUNCTION("""COMPUTED_VALUE"""),"한메")</f>
        <v>한메</v>
      </c>
      <c r="M429" s="26" t="str">
        <f>IFERROR(__xludf.DUMMYFUNCTION("""COMPUTED_VALUE"""),"신형만")</f>
        <v>신형만</v>
      </c>
      <c r="N429" s="26" t="str">
        <f>IFERROR(__xludf.DUMMYFUNCTION("ARRAYFORMULA(REGEXEXTRACT(SPLIT(E429, ""&lt;br&gt;""), ""([가-힣A-Za-z]+)""))"),"ACDC")</f>
        <v>ACDC</v>
      </c>
      <c r="O429" s="26" t="str">
        <f>IFERROR(__xludf.DUMMYFUNCTION("""COMPUTED_VALUE"""),"노픽업")</f>
        <v>노픽업</v>
      </c>
      <c r="P429" s="26" t="str">
        <f>IFERROR(__xludf.DUMMYFUNCTION("""COMPUTED_VALUE"""),"오딘")</f>
        <v>오딘</v>
      </c>
      <c r="Q429" s="26" t="str">
        <f>IFERROR(__xludf.DUMMYFUNCTION("""COMPUTED_VALUE"""),"넘버")</f>
        <v>넘버</v>
      </c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27" t="s">
        <v>1944</v>
      </c>
      <c r="B430" s="28" t="s">
        <v>1945</v>
      </c>
      <c r="C430" s="27" t="s">
        <v>1946</v>
      </c>
      <c r="D430" s="27">
        <v>5.0</v>
      </c>
      <c r="E430" s="27" t="s">
        <v>1947</v>
      </c>
      <c r="F430" s="27">
        <v>1.0</v>
      </c>
      <c r="G430" s="29">
        <v>45893.830555555556</v>
      </c>
      <c r="H430" s="27" t="s">
        <v>1352</v>
      </c>
      <c r="I430" s="30" t="s">
        <v>492</v>
      </c>
      <c r="J430" s="25" t="str">
        <f>IFERROR(__xludf.DUMMYFUNCTION("ARRAYFORMULA(REGEXEXTRACT(SPLIT(C430, ""&lt;br&gt;""), ""([가-힣A-Za-z]+)""))"),"넘버")</f>
        <v>넘버</v>
      </c>
      <c r="K430" s="26" t="str">
        <f>IFERROR(__xludf.DUMMYFUNCTION("""COMPUTED_VALUE"""),"깡패")</f>
        <v>깡패</v>
      </c>
      <c r="L430" s="26" t="str">
        <f>IFERROR(__xludf.DUMMYFUNCTION("""COMPUTED_VALUE"""),"새출발")</f>
        <v>새출발</v>
      </c>
      <c r="M430" s="26" t="str">
        <f>IFERROR(__xludf.DUMMYFUNCTION("""COMPUTED_VALUE"""),"노픽업")</f>
        <v>노픽업</v>
      </c>
      <c r="N430" s="26" t="str">
        <f>IFERROR(__xludf.DUMMYFUNCTION("ARRAYFORMULA(REGEXEXTRACT(SPLIT(E430, ""&lt;br&gt;""), ""([가-힣A-Za-z]+)""))"),"한메")</f>
        <v>한메</v>
      </c>
      <c r="O430" s="26" t="str">
        <f>IFERROR(__xludf.DUMMYFUNCTION("""COMPUTED_VALUE"""),"신형만")</f>
        <v>신형만</v>
      </c>
      <c r="P430" s="26" t="str">
        <f>IFERROR(__xludf.DUMMYFUNCTION("""COMPUTED_VALUE"""),"ACDC")</f>
        <v>ACDC</v>
      </c>
      <c r="Q430" s="26" t="str">
        <f>IFERROR(__xludf.DUMMYFUNCTION("""COMPUTED_VALUE"""),"오딘")</f>
        <v>오딘</v>
      </c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27" t="s">
        <v>1948</v>
      </c>
      <c r="B431" s="28" t="s">
        <v>1949</v>
      </c>
      <c r="C431" s="27" t="s">
        <v>1950</v>
      </c>
      <c r="D431" s="27">
        <v>5.0</v>
      </c>
      <c r="E431" s="27" t="s">
        <v>1951</v>
      </c>
      <c r="F431" s="27">
        <v>4.0</v>
      </c>
      <c r="G431" s="29">
        <v>45893.81597222222</v>
      </c>
      <c r="H431" s="27" t="s">
        <v>1352</v>
      </c>
      <c r="I431" s="30" t="s">
        <v>1952</v>
      </c>
      <c r="J431" s="25" t="str">
        <f>IFERROR(__xludf.DUMMYFUNCTION("ARRAYFORMULA(REGEXEXTRACT(SPLIT(C431, ""&lt;br&gt;""), ""([가-힣A-Za-z]+)""))"),"깡패")</f>
        <v>깡패</v>
      </c>
      <c r="K431" s="26" t="str">
        <f>IFERROR(__xludf.DUMMYFUNCTION("""COMPUTED_VALUE"""),"넘버")</f>
        <v>넘버</v>
      </c>
      <c r="L431" s="26" t="str">
        <f>IFERROR(__xludf.DUMMYFUNCTION("""COMPUTED_VALUE"""),"신형만")</f>
        <v>신형만</v>
      </c>
      <c r="M431" s="26" t="str">
        <f>IFERROR(__xludf.DUMMYFUNCTION("""COMPUTED_VALUE"""),"한메")</f>
        <v>한메</v>
      </c>
      <c r="N431" s="26" t="str">
        <f>IFERROR(__xludf.DUMMYFUNCTION("ARRAYFORMULA(REGEXEXTRACT(SPLIT(E431, ""&lt;br&gt;""), ""([가-힣A-Za-z]+)""))"),"새출발")</f>
        <v>새출발</v>
      </c>
      <c r="O431" s="26" t="str">
        <f>IFERROR(__xludf.DUMMYFUNCTION("""COMPUTED_VALUE"""),"노픽업")</f>
        <v>노픽업</v>
      </c>
      <c r="P431" s="26" t="str">
        <f>IFERROR(__xludf.DUMMYFUNCTION("""COMPUTED_VALUE"""),"노인")</f>
        <v>노인</v>
      </c>
      <c r="Q431" s="26" t="str">
        <f>IFERROR(__xludf.DUMMYFUNCTION("""COMPUTED_VALUE"""),"원")</f>
        <v>원</v>
      </c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27" t="s">
        <v>1953</v>
      </c>
      <c r="B432" s="28" t="s">
        <v>1954</v>
      </c>
      <c r="C432" s="27" t="s">
        <v>1955</v>
      </c>
      <c r="D432" s="27">
        <v>5.0</v>
      </c>
      <c r="E432" s="27" t="s">
        <v>1956</v>
      </c>
      <c r="F432" s="27">
        <v>3.0</v>
      </c>
      <c r="G432" s="29">
        <v>45891.08125</v>
      </c>
      <c r="H432" s="27" t="s">
        <v>1352</v>
      </c>
      <c r="I432" s="30" t="s">
        <v>1957</v>
      </c>
      <c r="J432" s="25" t="str">
        <f>IFERROR(__xludf.DUMMYFUNCTION("ARRAYFORMULA(REGEXEXTRACT(SPLIT(C432, ""&lt;br&gt;""), ""([가-힣A-Za-z]+)""))"),"넘버")</f>
        <v>넘버</v>
      </c>
      <c r="K432" s="26" t="str">
        <f>IFERROR(__xludf.DUMMYFUNCTION("""COMPUTED_VALUE"""),"깡패")</f>
        <v>깡패</v>
      </c>
      <c r="L432" s="26" t="str">
        <f>IFERROR(__xludf.DUMMYFUNCTION("""COMPUTED_VALUE"""),"테리")</f>
        <v>테리</v>
      </c>
      <c r="M432" s="26" t="str">
        <f>IFERROR(__xludf.DUMMYFUNCTION("""COMPUTED_VALUE"""),"따")</f>
        <v>따</v>
      </c>
      <c r="N432" s="26" t="str">
        <f>IFERROR(__xludf.DUMMYFUNCTION("ARRAYFORMULA(REGEXEXTRACT(SPLIT(E432, ""&lt;br&gt;""), ""([가-힣A-Za-z]+)""))"),"ACDC")</f>
        <v>ACDC</v>
      </c>
      <c r="O432" s="26" t="str">
        <f>IFERROR(__xludf.DUMMYFUNCTION("""COMPUTED_VALUE"""),"ovo")</f>
        <v>ovo</v>
      </c>
      <c r="P432" s="26" t="str">
        <f>IFERROR(__xludf.DUMMYFUNCTION("""COMPUTED_VALUE"""),"참치")</f>
        <v>참치</v>
      </c>
      <c r="Q432" s="26" t="str">
        <f>IFERROR(__xludf.DUMMYFUNCTION("""COMPUTED_VALUE"""),"신형만")</f>
        <v>신형만</v>
      </c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27" t="s">
        <v>1958</v>
      </c>
      <c r="B433" s="28" t="s">
        <v>1959</v>
      </c>
      <c r="C433" s="27" t="s">
        <v>1960</v>
      </c>
      <c r="D433" s="27">
        <v>5.0</v>
      </c>
      <c r="E433" s="27" t="s">
        <v>1961</v>
      </c>
      <c r="F433" s="27">
        <v>4.0</v>
      </c>
      <c r="G433" s="29">
        <v>45891.040972222225</v>
      </c>
      <c r="H433" s="27" t="s">
        <v>1352</v>
      </c>
      <c r="I433" s="30" t="s">
        <v>1957</v>
      </c>
      <c r="J433" s="25" t="str">
        <f>IFERROR(__xludf.DUMMYFUNCTION("ARRAYFORMULA(REGEXEXTRACT(SPLIT(C433, ""&lt;br&gt;""), ""([가-힣A-Za-z]+)""))"),"테리")</f>
        <v>테리</v>
      </c>
      <c r="K433" s="26" t="str">
        <f>IFERROR(__xludf.DUMMYFUNCTION("""COMPUTED_VALUE"""),"넘버")</f>
        <v>넘버</v>
      </c>
      <c r="L433" s="26" t="str">
        <f>IFERROR(__xludf.DUMMYFUNCTION("""COMPUTED_VALUE"""),"ovo")</f>
        <v>ovo</v>
      </c>
      <c r="M433" s="26" t="str">
        <f>IFERROR(__xludf.DUMMYFUNCTION("""COMPUTED_VALUE"""),"참치")</f>
        <v>참치</v>
      </c>
      <c r="N433" s="26" t="str">
        <f>IFERROR(__xludf.DUMMYFUNCTION("ARRAYFORMULA(REGEXEXTRACT(SPLIT(E433, ""&lt;br&gt;""), ""([가-힣A-Za-z]+)""))"),"솔")</f>
        <v>솔</v>
      </c>
      <c r="O433" s="26" t="str">
        <f>IFERROR(__xludf.DUMMYFUNCTION("""COMPUTED_VALUE"""),"신형만")</f>
        <v>신형만</v>
      </c>
      <c r="P433" s="26" t="str">
        <f>IFERROR(__xludf.DUMMYFUNCTION("""COMPUTED_VALUE"""),"ACDC")</f>
        <v>ACDC</v>
      </c>
      <c r="Q433" s="26" t="str">
        <f>IFERROR(__xludf.DUMMYFUNCTION("""COMPUTED_VALUE"""),"깡패")</f>
        <v>깡패</v>
      </c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27" t="s">
        <v>1962</v>
      </c>
      <c r="B434" s="28" t="s">
        <v>1963</v>
      </c>
      <c r="C434" s="27" t="s">
        <v>1964</v>
      </c>
      <c r="D434" s="27">
        <v>5.0</v>
      </c>
      <c r="E434" s="27" t="s">
        <v>1965</v>
      </c>
      <c r="F434" s="27">
        <v>3.0</v>
      </c>
      <c r="G434" s="29">
        <v>45891.00833333333</v>
      </c>
      <c r="H434" s="27" t="s">
        <v>1352</v>
      </c>
      <c r="I434" s="30" t="s">
        <v>1957</v>
      </c>
      <c r="J434" s="25" t="str">
        <f>IFERROR(__xludf.DUMMYFUNCTION("ARRAYFORMULA(REGEXEXTRACT(SPLIT(C434, ""&lt;br&gt;""), ""([가-힣A-Za-z]+)""))"),"신형만")</f>
        <v>신형만</v>
      </c>
      <c r="K434" s="26" t="str">
        <f>IFERROR(__xludf.DUMMYFUNCTION("""COMPUTED_VALUE"""),"테리")</f>
        <v>테리</v>
      </c>
      <c r="L434" s="26" t="str">
        <f>IFERROR(__xludf.DUMMYFUNCTION("""COMPUTED_VALUE"""),"넘버")</f>
        <v>넘버</v>
      </c>
      <c r="M434" s="26" t="str">
        <f>IFERROR(__xludf.DUMMYFUNCTION("""COMPUTED_VALUE"""),"솔")</f>
        <v>솔</v>
      </c>
      <c r="N434" s="26" t="str">
        <f>IFERROR(__xludf.DUMMYFUNCTION("ARRAYFORMULA(REGEXEXTRACT(SPLIT(E434, ""&lt;br&gt;""), ""([가-힣A-Za-z]+)""))"),"ACDC")</f>
        <v>ACDC</v>
      </c>
      <c r="O434" s="26" t="str">
        <f>IFERROR(__xludf.DUMMYFUNCTION("""COMPUTED_VALUE"""),"깡패")</f>
        <v>깡패</v>
      </c>
      <c r="P434" s="26" t="str">
        <f>IFERROR(__xludf.DUMMYFUNCTION("""COMPUTED_VALUE"""),"참치")</f>
        <v>참치</v>
      </c>
      <c r="Q434" s="26" t="str">
        <f>IFERROR(__xludf.DUMMYFUNCTION("""COMPUTED_VALUE"""),"한메")</f>
        <v>한메</v>
      </c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27" t="s">
        <v>1966</v>
      </c>
      <c r="B435" s="28" t="s">
        <v>1967</v>
      </c>
      <c r="C435" s="27" t="s">
        <v>1968</v>
      </c>
      <c r="D435" s="27">
        <v>5.0</v>
      </c>
      <c r="E435" s="27" t="s">
        <v>1969</v>
      </c>
      <c r="F435" s="27">
        <v>0.0</v>
      </c>
      <c r="G435" s="29">
        <v>45890.98263888889</v>
      </c>
      <c r="H435" s="27" t="s">
        <v>1352</v>
      </c>
      <c r="I435" s="30" t="s">
        <v>1957</v>
      </c>
      <c r="J435" s="25" t="str">
        <f>IFERROR(__xludf.DUMMYFUNCTION("ARRAYFORMULA(REGEXEXTRACT(SPLIT(C435, ""&lt;br&gt;""), ""([가-힣A-Za-z]+)""))"),"솔")</f>
        <v>솔</v>
      </c>
      <c r="K435" s="26" t="str">
        <f>IFERROR(__xludf.DUMMYFUNCTION("""COMPUTED_VALUE"""),"참치")</f>
        <v>참치</v>
      </c>
      <c r="L435" s="26" t="str">
        <f>IFERROR(__xludf.DUMMYFUNCTION("""COMPUTED_VALUE"""),"테리")</f>
        <v>테리</v>
      </c>
      <c r="M435" s="26" t="str">
        <f>IFERROR(__xludf.DUMMYFUNCTION("""COMPUTED_VALUE"""),"깡패")</f>
        <v>깡패</v>
      </c>
      <c r="N435" s="26" t="str">
        <f>IFERROR(__xludf.DUMMYFUNCTION("ARRAYFORMULA(REGEXEXTRACT(SPLIT(E435, ""&lt;br&gt;""), ""([가-힣A-Za-z]+)""))"),"한메")</f>
        <v>한메</v>
      </c>
      <c r="O435" s="26" t="str">
        <f>IFERROR(__xludf.DUMMYFUNCTION("""COMPUTED_VALUE"""),"넘버")</f>
        <v>넘버</v>
      </c>
      <c r="P435" s="26" t="str">
        <f>IFERROR(__xludf.DUMMYFUNCTION("""COMPUTED_VALUE"""),"ACDC")</f>
        <v>ACDC</v>
      </c>
      <c r="Q435" s="26" t="str">
        <f>IFERROR(__xludf.DUMMYFUNCTION("""COMPUTED_VALUE"""),"신형만")</f>
        <v>신형만</v>
      </c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27" t="s">
        <v>1970</v>
      </c>
      <c r="B436" s="28" t="s">
        <v>1971</v>
      </c>
      <c r="C436" s="27" t="s">
        <v>1972</v>
      </c>
      <c r="D436" s="27">
        <v>5.0</v>
      </c>
      <c r="E436" s="27" t="s">
        <v>1973</v>
      </c>
      <c r="F436" s="27">
        <v>3.0</v>
      </c>
      <c r="G436" s="29">
        <v>45889.99236111111</v>
      </c>
      <c r="H436" s="27" t="s">
        <v>1352</v>
      </c>
      <c r="I436" s="30" t="s">
        <v>669</v>
      </c>
      <c r="J436" s="25" t="str">
        <f>IFERROR(__xludf.DUMMYFUNCTION("ARRAYFORMULA(REGEXEXTRACT(SPLIT(C436, ""&lt;br&gt;""), ""([가-힣A-Za-z]+)""))"),"테리")</f>
        <v>테리</v>
      </c>
      <c r="K436" s="26" t="str">
        <f>IFERROR(__xludf.DUMMYFUNCTION("""COMPUTED_VALUE"""),"참치")</f>
        <v>참치</v>
      </c>
      <c r="L436" s="26" t="str">
        <f>IFERROR(__xludf.DUMMYFUNCTION("""COMPUTED_VALUE"""),"한메")</f>
        <v>한메</v>
      </c>
      <c r="M436" s="26" t="str">
        <f>IFERROR(__xludf.DUMMYFUNCTION("""COMPUTED_VALUE"""),"깡패")</f>
        <v>깡패</v>
      </c>
      <c r="N436" s="26" t="str">
        <f>IFERROR(__xludf.DUMMYFUNCTION("ARRAYFORMULA(REGEXEXTRACT(SPLIT(E436, ""&lt;br&gt;""), ""([가-힣A-Za-z]+)""))"),"ACDC")</f>
        <v>ACDC</v>
      </c>
      <c r="O436" s="26" t="str">
        <f>IFERROR(__xludf.DUMMYFUNCTION("""COMPUTED_VALUE"""),"노인")</f>
        <v>노인</v>
      </c>
      <c r="P436" s="26" t="str">
        <f>IFERROR(__xludf.DUMMYFUNCTION("""COMPUTED_VALUE"""),"넘버")</f>
        <v>넘버</v>
      </c>
      <c r="Q436" s="26" t="str">
        <f>IFERROR(__xludf.DUMMYFUNCTION("""COMPUTED_VALUE"""),"신형만")</f>
        <v>신형만</v>
      </c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27" t="s">
        <v>1974</v>
      </c>
      <c r="B437" s="28" t="s">
        <v>1975</v>
      </c>
      <c r="C437" s="27" t="s">
        <v>1976</v>
      </c>
      <c r="D437" s="27">
        <v>5.0</v>
      </c>
      <c r="E437" s="27" t="s">
        <v>1977</v>
      </c>
      <c r="F437" s="27">
        <v>3.0</v>
      </c>
      <c r="G437" s="29">
        <v>45889.97152777778</v>
      </c>
      <c r="H437" s="27" t="s">
        <v>1352</v>
      </c>
      <c r="I437" s="30" t="s">
        <v>664</v>
      </c>
      <c r="J437" s="25" t="str">
        <f>IFERROR(__xludf.DUMMYFUNCTION("ARRAYFORMULA(REGEXEXTRACT(SPLIT(C437, ""&lt;br&gt;""), ""([가-힣A-Za-z]+)""))"),"참치")</f>
        <v>참치</v>
      </c>
      <c r="K437" s="26" t="str">
        <f>IFERROR(__xludf.DUMMYFUNCTION("""COMPUTED_VALUE"""),"넘버")</f>
        <v>넘버</v>
      </c>
      <c r="L437" s="26" t="str">
        <f>IFERROR(__xludf.DUMMYFUNCTION("""COMPUTED_VALUE"""),"신형만")</f>
        <v>신형만</v>
      </c>
      <c r="M437" s="26" t="str">
        <f>IFERROR(__xludf.DUMMYFUNCTION("""COMPUTED_VALUE"""),"한메")</f>
        <v>한메</v>
      </c>
      <c r="N437" s="26" t="str">
        <f>IFERROR(__xludf.DUMMYFUNCTION("ARRAYFORMULA(REGEXEXTRACT(SPLIT(E437, ""&lt;br&gt;""), ""([가-힣A-Za-z]+)""))"),"노인")</f>
        <v>노인</v>
      </c>
      <c r="O437" s="26" t="str">
        <f>IFERROR(__xludf.DUMMYFUNCTION("""COMPUTED_VALUE"""),"깡패")</f>
        <v>깡패</v>
      </c>
      <c r="P437" s="26" t="str">
        <f>IFERROR(__xludf.DUMMYFUNCTION("""COMPUTED_VALUE"""),"ACDC")</f>
        <v>ACDC</v>
      </c>
      <c r="Q437" s="26" t="str">
        <f>IFERROR(__xludf.DUMMYFUNCTION("""COMPUTED_VALUE"""),"원")</f>
        <v>원</v>
      </c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27" t="s">
        <v>1978</v>
      </c>
      <c r="B438" s="28" t="s">
        <v>1979</v>
      </c>
      <c r="C438" s="27" t="s">
        <v>1980</v>
      </c>
      <c r="D438" s="27">
        <v>5.0</v>
      </c>
      <c r="E438" s="27" t="s">
        <v>1981</v>
      </c>
      <c r="F438" s="27">
        <v>2.0</v>
      </c>
      <c r="G438" s="29">
        <v>45889.94513888889</v>
      </c>
      <c r="H438" s="27" t="s">
        <v>1352</v>
      </c>
      <c r="I438" s="30" t="s">
        <v>268</v>
      </c>
      <c r="J438" s="25" t="str">
        <f>IFERROR(__xludf.DUMMYFUNCTION("ARRAYFORMULA(REGEXEXTRACT(SPLIT(C438, ""&lt;br&gt;""), ""([가-힣A-Za-z]+)""))"),"한메")</f>
        <v>한메</v>
      </c>
      <c r="K438" s="26" t="str">
        <f>IFERROR(__xludf.DUMMYFUNCTION("""COMPUTED_VALUE"""),"노인")</f>
        <v>노인</v>
      </c>
      <c r="L438" s="26" t="str">
        <f>IFERROR(__xludf.DUMMYFUNCTION("""COMPUTED_VALUE"""),"테리")</f>
        <v>테리</v>
      </c>
      <c r="M438" s="26" t="str">
        <f>IFERROR(__xludf.DUMMYFUNCTION("""COMPUTED_VALUE"""),"신형만")</f>
        <v>신형만</v>
      </c>
      <c r="N438" s="26" t="str">
        <f>IFERROR(__xludf.DUMMYFUNCTION("ARRAYFORMULA(REGEXEXTRACT(SPLIT(E438, ""&lt;br&gt;""), ""([가-힣A-Za-z]+)""))"),"ACDC")</f>
        <v>ACDC</v>
      </c>
      <c r="O438" s="26" t="str">
        <f>IFERROR(__xludf.DUMMYFUNCTION("""COMPUTED_VALUE"""),"참치")</f>
        <v>참치</v>
      </c>
      <c r="P438" s="26" t="str">
        <f>IFERROR(__xludf.DUMMYFUNCTION("""COMPUTED_VALUE"""),"짱구")</f>
        <v>짱구</v>
      </c>
      <c r="Q438" s="26" t="str">
        <f>IFERROR(__xludf.DUMMYFUNCTION("""COMPUTED_VALUE"""),"깡패")</f>
        <v>깡패</v>
      </c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27" t="s">
        <v>1982</v>
      </c>
      <c r="B439" s="28" t="s">
        <v>1983</v>
      </c>
      <c r="C439" s="27" t="s">
        <v>1984</v>
      </c>
      <c r="D439" s="27">
        <v>5.0</v>
      </c>
      <c r="E439" s="27" t="s">
        <v>1985</v>
      </c>
      <c r="F439" s="27">
        <v>1.0</v>
      </c>
      <c r="G439" s="29">
        <v>45889.92013888889</v>
      </c>
      <c r="H439" s="27" t="s">
        <v>1352</v>
      </c>
      <c r="I439" s="30" t="s">
        <v>268</v>
      </c>
      <c r="J439" s="25" t="str">
        <f>IFERROR(__xludf.DUMMYFUNCTION("ARRAYFORMULA(REGEXEXTRACT(SPLIT(C439, ""&lt;br&gt;""), ""([가-힣A-Za-z]+)""))"),"깡패")</f>
        <v>깡패</v>
      </c>
      <c r="K439" s="26" t="str">
        <f>IFERROR(__xludf.DUMMYFUNCTION("""COMPUTED_VALUE"""),"테리")</f>
        <v>테리</v>
      </c>
      <c r="L439" s="26" t="str">
        <f>IFERROR(__xludf.DUMMYFUNCTION("""COMPUTED_VALUE"""),"신형만")</f>
        <v>신형만</v>
      </c>
      <c r="M439" s="26" t="str">
        <f>IFERROR(__xludf.DUMMYFUNCTION("""COMPUTED_VALUE"""),"참치")</f>
        <v>참치</v>
      </c>
      <c r="N439" s="26" t="str">
        <f>IFERROR(__xludf.DUMMYFUNCTION("ARRAYFORMULA(REGEXEXTRACT(SPLIT(E439, ""&lt;br&gt;""), ""([가-힣A-Za-z]+)""))"),"노인")</f>
        <v>노인</v>
      </c>
      <c r="O439" s="26" t="str">
        <f>IFERROR(__xludf.DUMMYFUNCTION("""COMPUTED_VALUE"""),"짱구")</f>
        <v>짱구</v>
      </c>
      <c r="P439" s="26" t="str">
        <f>IFERROR(__xludf.DUMMYFUNCTION("""COMPUTED_VALUE"""),"ACDC")</f>
        <v>ACDC</v>
      </c>
      <c r="Q439" s="26" t="str">
        <f>IFERROR(__xludf.DUMMYFUNCTION("""COMPUTED_VALUE"""),"한메")</f>
        <v>한메</v>
      </c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27" t="s">
        <v>1986</v>
      </c>
      <c r="B440" s="28" t="s">
        <v>1987</v>
      </c>
      <c r="C440" s="27" t="s">
        <v>1988</v>
      </c>
      <c r="D440" s="27">
        <v>5.0</v>
      </c>
      <c r="E440" s="27" t="s">
        <v>1989</v>
      </c>
      <c r="F440" s="27">
        <v>3.0</v>
      </c>
      <c r="G440" s="29">
        <v>45888.02361111111</v>
      </c>
      <c r="H440" s="27" t="s">
        <v>1352</v>
      </c>
      <c r="I440" s="30" t="s">
        <v>1516</v>
      </c>
      <c r="J440" s="25" t="str">
        <f>IFERROR(__xludf.DUMMYFUNCTION("ARRAYFORMULA(REGEXEXTRACT(SPLIT(C440, ""&lt;br&gt;""), ""([가-힣A-Za-z]+)""))"),"신형만")</f>
        <v>신형만</v>
      </c>
      <c r="K440" s="26" t="str">
        <f>IFERROR(__xludf.DUMMYFUNCTION("""COMPUTED_VALUE"""),"깡패")</f>
        <v>깡패</v>
      </c>
      <c r="L440" s="26" t="str">
        <f>IFERROR(__xludf.DUMMYFUNCTION("""COMPUTED_VALUE"""),"노인")</f>
        <v>노인</v>
      </c>
      <c r="M440" s="26" t="str">
        <f>IFERROR(__xludf.DUMMYFUNCTION("""COMPUTED_VALUE"""),"한메")</f>
        <v>한메</v>
      </c>
      <c r="N440" s="26" t="str">
        <f>IFERROR(__xludf.DUMMYFUNCTION("ARRAYFORMULA(REGEXEXTRACT(SPLIT(E440, ""&lt;br&gt;""), ""([가-힣A-Za-z]+)""))"),"ACDC")</f>
        <v>ACDC</v>
      </c>
      <c r="O440" s="26" t="str">
        <f>IFERROR(__xludf.DUMMYFUNCTION("""COMPUTED_VALUE"""),"테리")</f>
        <v>테리</v>
      </c>
      <c r="P440" s="26" t="str">
        <f>IFERROR(__xludf.DUMMYFUNCTION("""COMPUTED_VALUE"""),"ovo")</f>
        <v>ovo</v>
      </c>
      <c r="Q440" s="26" t="str">
        <f>IFERROR(__xludf.DUMMYFUNCTION("""COMPUTED_VALUE"""),"원")</f>
        <v>원</v>
      </c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27" t="s">
        <v>1990</v>
      </c>
      <c r="B441" s="28" t="s">
        <v>1991</v>
      </c>
      <c r="C441" s="27" t="s">
        <v>1992</v>
      </c>
      <c r="D441" s="27">
        <v>5.0</v>
      </c>
      <c r="E441" s="27" t="s">
        <v>1993</v>
      </c>
      <c r="F441" s="27">
        <v>0.0</v>
      </c>
      <c r="G441" s="29">
        <v>45888.00486111111</v>
      </c>
      <c r="H441" s="27" t="s">
        <v>1352</v>
      </c>
      <c r="I441" s="30" t="s">
        <v>1516</v>
      </c>
      <c r="J441" s="25" t="str">
        <f>IFERROR(__xludf.DUMMYFUNCTION("ARRAYFORMULA(REGEXEXTRACT(SPLIT(C441, ""&lt;br&gt;""), ""([가-힣A-Za-z]+)""))"),"노인")</f>
        <v>노인</v>
      </c>
      <c r="K441" s="26" t="str">
        <f>IFERROR(__xludf.DUMMYFUNCTION("""COMPUTED_VALUE"""),"원")</f>
        <v>원</v>
      </c>
      <c r="L441" s="26" t="str">
        <f>IFERROR(__xludf.DUMMYFUNCTION("""COMPUTED_VALUE"""),"ACDC")</f>
        <v>ACDC</v>
      </c>
      <c r="M441" s="26" t="str">
        <f>IFERROR(__xludf.DUMMYFUNCTION("""COMPUTED_VALUE"""),"깡패")</f>
        <v>깡패</v>
      </c>
      <c r="N441" s="26" t="str">
        <f>IFERROR(__xludf.DUMMYFUNCTION("ARRAYFORMULA(REGEXEXTRACT(SPLIT(E441, ""&lt;br&gt;""), ""([가-힣A-Za-z]+)""))"),"테리")</f>
        <v>테리</v>
      </c>
      <c r="O441" s="26" t="str">
        <f>IFERROR(__xludf.DUMMYFUNCTION("""COMPUTED_VALUE"""),"ovo")</f>
        <v>ovo</v>
      </c>
      <c r="P441" s="26" t="str">
        <f>IFERROR(__xludf.DUMMYFUNCTION("""COMPUTED_VALUE"""),"한메")</f>
        <v>한메</v>
      </c>
      <c r="Q441" s="26" t="str">
        <f>IFERROR(__xludf.DUMMYFUNCTION("""COMPUTED_VALUE"""),"신형만")</f>
        <v>신형만</v>
      </c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27" t="s">
        <v>1994</v>
      </c>
      <c r="B442" s="28" t="s">
        <v>1995</v>
      </c>
      <c r="C442" s="27" t="s">
        <v>1996</v>
      </c>
      <c r="D442" s="27">
        <v>5.0</v>
      </c>
      <c r="E442" s="27" t="s">
        <v>1997</v>
      </c>
      <c r="F442" s="27">
        <v>3.0</v>
      </c>
      <c r="G442" s="29">
        <v>45887.99166666667</v>
      </c>
      <c r="H442" s="27" t="s">
        <v>1352</v>
      </c>
      <c r="I442" s="30" t="s">
        <v>1516</v>
      </c>
      <c r="J442" s="25" t="str">
        <f>IFERROR(__xludf.DUMMYFUNCTION("ARRAYFORMULA(REGEXEXTRACT(SPLIT(C442, ""&lt;br&gt;""), ""([가-힣A-Za-z]+)""))"),"ovo")</f>
        <v>ovo</v>
      </c>
      <c r="K442" s="26" t="str">
        <f>IFERROR(__xludf.DUMMYFUNCTION("""COMPUTED_VALUE"""),"노인")</f>
        <v>노인</v>
      </c>
      <c r="L442" s="26" t="str">
        <f>IFERROR(__xludf.DUMMYFUNCTION("""COMPUTED_VALUE"""),"신형만")</f>
        <v>신형만</v>
      </c>
      <c r="M442" s="26" t="str">
        <f>IFERROR(__xludf.DUMMYFUNCTION("""COMPUTED_VALUE"""),"원")</f>
        <v>원</v>
      </c>
      <c r="N442" s="26" t="str">
        <f>IFERROR(__xludf.DUMMYFUNCTION("ARRAYFORMULA(REGEXEXTRACT(SPLIT(E442, ""&lt;br&gt;""), ""([가-힣A-Za-z]+)""))"),"ACDC")</f>
        <v>ACDC</v>
      </c>
      <c r="O442" s="26" t="str">
        <f>IFERROR(__xludf.DUMMYFUNCTION("""COMPUTED_VALUE"""),"깡패")</f>
        <v>깡패</v>
      </c>
      <c r="P442" s="26" t="str">
        <f>IFERROR(__xludf.DUMMYFUNCTION("""COMPUTED_VALUE"""),"테리")</f>
        <v>테리</v>
      </c>
      <c r="Q442" s="26" t="str">
        <f>IFERROR(__xludf.DUMMYFUNCTION("""COMPUTED_VALUE"""),"한메")</f>
        <v>한메</v>
      </c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27" t="s">
        <v>1998</v>
      </c>
      <c r="B443" s="28" t="s">
        <v>1999</v>
      </c>
      <c r="C443" s="27" t="s">
        <v>2000</v>
      </c>
      <c r="D443" s="27">
        <v>5.0</v>
      </c>
      <c r="E443" s="27" t="s">
        <v>2001</v>
      </c>
      <c r="F443" s="27">
        <v>0.0</v>
      </c>
      <c r="G443" s="29">
        <v>45887.95972222222</v>
      </c>
      <c r="H443" s="27" t="s">
        <v>1352</v>
      </c>
      <c r="I443" s="30" t="s">
        <v>1516</v>
      </c>
      <c r="J443" s="25" t="str">
        <f>IFERROR(__xludf.DUMMYFUNCTION("ARRAYFORMULA(REGEXEXTRACT(SPLIT(C443, ""&lt;br&gt;""), ""([가-힣A-Za-z]+)""))"),"테리")</f>
        <v>테리</v>
      </c>
      <c r="K443" s="26" t="str">
        <f>IFERROR(__xludf.DUMMYFUNCTION("""COMPUTED_VALUE"""),"원")</f>
        <v>원</v>
      </c>
      <c r="L443" s="26" t="str">
        <f>IFERROR(__xludf.DUMMYFUNCTION("""COMPUTED_VALUE"""),"ACDC")</f>
        <v>ACDC</v>
      </c>
      <c r="M443" s="26" t="str">
        <f>IFERROR(__xludf.DUMMYFUNCTION("""COMPUTED_VALUE"""),"신형만")</f>
        <v>신형만</v>
      </c>
      <c r="N443" s="26" t="str">
        <f>IFERROR(__xludf.DUMMYFUNCTION("ARRAYFORMULA(REGEXEXTRACT(SPLIT(E443, ""&lt;br&gt;""), ""([가-힣A-Za-z]+)""))"),"한메")</f>
        <v>한메</v>
      </c>
      <c r="O443" s="26" t="str">
        <f>IFERROR(__xludf.DUMMYFUNCTION("""COMPUTED_VALUE"""),"ovo")</f>
        <v>ovo</v>
      </c>
      <c r="P443" s="26" t="str">
        <f>IFERROR(__xludf.DUMMYFUNCTION("""COMPUTED_VALUE"""),"노인")</f>
        <v>노인</v>
      </c>
      <c r="Q443" s="26" t="str">
        <f>IFERROR(__xludf.DUMMYFUNCTION("""COMPUTED_VALUE"""),"깡패")</f>
        <v>깡패</v>
      </c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27" t="s">
        <v>2002</v>
      </c>
      <c r="B444" s="28" t="s">
        <v>2003</v>
      </c>
      <c r="C444" s="27" t="s">
        <v>2004</v>
      </c>
      <c r="D444" s="27">
        <v>5.0</v>
      </c>
      <c r="E444" s="27" t="s">
        <v>2005</v>
      </c>
      <c r="F444" s="27">
        <v>2.0</v>
      </c>
      <c r="G444" s="29">
        <v>45887.94861111111</v>
      </c>
      <c r="H444" s="27" t="s">
        <v>1352</v>
      </c>
      <c r="I444" s="30" t="s">
        <v>1516</v>
      </c>
      <c r="J444" s="25" t="str">
        <f>IFERROR(__xludf.DUMMYFUNCTION("ARRAYFORMULA(REGEXEXTRACT(SPLIT(C444, ""&lt;br&gt;""), ""([가-힣A-Za-z]+)""))"),"ovo")</f>
        <v>ovo</v>
      </c>
      <c r="K444" s="26" t="str">
        <f>IFERROR(__xludf.DUMMYFUNCTION("""COMPUTED_VALUE"""),"신형만")</f>
        <v>신형만</v>
      </c>
      <c r="L444" s="26" t="str">
        <f>IFERROR(__xludf.DUMMYFUNCTION("""COMPUTED_VALUE"""),"깡패")</f>
        <v>깡패</v>
      </c>
      <c r="M444" s="26" t="str">
        <f>IFERROR(__xludf.DUMMYFUNCTION("""COMPUTED_VALUE"""),"원")</f>
        <v>원</v>
      </c>
      <c r="N444" s="26" t="str">
        <f>IFERROR(__xludf.DUMMYFUNCTION("ARRAYFORMULA(REGEXEXTRACT(SPLIT(E444, ""&lt;br&gt;""), ""([가-힣A-Za-z]+)""))"),"ACDC")</f>
        <v>ACDC</v>
      </c>
      <c r="O444" s="26" t="str">
        <f>IFERROR(__xludf.DUMMYFUNCTION("""COMPUTED_VALUE"""),"노인")</f>
        <v>노인</v>
      </c>
      <c r="P444" s="26" t="str">
        <f>IFERROR(__xludf.DUMMYFUNCTION("""COMPUTED_VALUE"""),"테리")</f>
        <v>테리</v>
      </c>
      <c r="Q444" s="26" t="str">
        <f>IFERROR(__xludf.DUMMYFUNCTION("""COMPUTED_VALUE"""),"한메")</f>
        <v>한메</v>
      </c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27" t="s">
        <v>2006</v>
      </c>
      <c r="B445" s="28" t="s">
        <v>2007</v>
      </c>
      <c r="C445" s="27" t="s">
        <v>1992</v>
      </c>
      <c r="D445" s="27">
        <v>5.0</v>
      </c>
      <c r="E445" s="27" t="s">
        <v>2008</v>
      </c>
      <c r="F445" s="27">
        <v>2.0</v>
      </c>
      <c r="G445" s="29">
        <v>45887.924305555556</v>
      </c>
      <c r="H445" s="27" t="s">
        <v>1352</v>
      </c>
      <c r="I445" s="30" t="s">
        <v>380</v>
      </c>
      <c r="J445" s="25" t="str">
        <f>IFERROR(__xludf.DUMMYFUNCTION("ARRAYFORMULA(REGEXEXTRACT(SPLIT(C445, ""&lt;br&gt;""), ""([가-힣A-Za-z]+)""))"),"노인")</f>
        <v>노인</v>
      </c>
      <c r="K445" s="26" t="str">
        <f>IFERROR(__xludf.DUMMYFUNCTION("""COMPUTED_VALUE"""),"원")</f>
        <v>원</v>
      </c>
      <c r="L445" s="26" t="str">
        <f>IFERROR(__xludf.DUMMYFUNCTION("""COMPUTED_VALUE"""),"ACDC")</f>
        <v>ACDC</v>
      </c>
      <c r="M445" s="26" t="str">
        <f>IFERROR(__xludf.DUMMYFUNCTION("""COMPUTED_VALUE"""),"깡패")</f>
        <v>깡패</v>
      </c>
      <c r="N445" s="26" t="str">
        <f>IFERROR(__xludf.DUMMYFUNCTION("ARRAYFORMULA(REGEXEXTRACT(SPLIT(E445, ""&lt;br&gt;""), ""([가-힣A-Za-z]+)""))"),"테리")</f>
        <v>테리</v>
      </c>
      <c r="O445" s="26" t="str">
        <f>IFERROR(__xludf.DUMMYFUNCTION("""COMPUTED_VALUE"""),"ovo")</f>
        <v>ovo</v>
      </c>
      <c r="P445" s="26" t="str">
        <f>IFERROR(__xludf.DUMMYFUNCTION("""COMPUTED_VALUE"""),"신형만")</f>
        <v>신형만</v>
      </c>
      <c r="Q445" s="26" t="str">
        <f>IFERROR(__xludf.DUMMYFUNCTION("""COMPUTED_VALUE"""),"넘버")</f>
        <v>넘버</v>
      </c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27" t="s">
        <v>2009</v>
      </c>
      <c r="B446" s="28" t="s">
        <v>2010</v>
      </c>
      <c r="C446" s="27" t="s">
        <v>2011</v>
      </c>
      <c r="D446" s="27">
        <v>5.0</v>
      </c>
      <c r="E446" s="27" t="s">
        <v>2012</v>
      </c>
      <c r="F446" s="27">
        <v>2.0</v>
      </c>
      <c r="G446" s="29">
        <v>45887.90138888889</v>
      </c>
      <c r="H446" s="27" t="s">
        <v>1352</v>
      </c>
      <c r="I446" s="30" t="s">
        <v>380</v>
      </c>
      <c r="J446" s="25" t="str">
        <f>IFERROR(__xludf.DUMMYFUNCTION("ARRAYFORMULA(REGEXEXTRACT(SPLIT(C446, ""&lt;br&gt;""), ""([가-힣A-Za-z]+)""))"),"ovo")</f>
        <v>ovo</v>
      </c>
      <c r="K446" s="26" t="str">
        <f>IFERROR(__xludf.DUMMYFUNCTION("""COMPUTED_VALUE"""),"테리")</f>
        <v>테리</v>
      </c>
      <c r="L446" s="26" t="str">
        <f>IFERROR(__xludf.DUMMYFUNCTION("""COMPUTED_VALUE"""),"깡패")</f>
        <v>깡패</v>
      </c>
      <c r="M446" s="26" t="str">
        <f>IFERROR(__xludf.DUMMYFUNCTION("""COMPUTED_VALUE"""),"원")</f>
        <v>원</v>
      </c>
      <c r="N446" s="26" t="str">
        <f>IFERROR(__xludf.DUMMYFUNCTION("ARRAYFORMULA(REGEXEXTRACT(SPLIT(E446, ""&lt;br&gt;""), ""([가-힣A-Za-z]+)""))"),"ACDC")</f>
        <v>ACDC</v>
      </c>
      <c r="O446" s="26" t="str">
        <f>IFERROR(__xludf.DUMMYFUNCTION("""COMPUTED_VALUE"""),"넘버")</f>
        <v>넘버</v>
      </c>
      <c r="P446" s="26" t="str">
        <f>IFERROR(__xludf.DUMMYFUNCTION("""COMPUTED_VALUE"""),"노인")</f>
        <v>노인</v>
      </c>
      <c r="Q446" s="26" t="str">
        <f>IFERROR(__xludf.DUMMYFUNCTION("""COMPUTED_VALUE"""),"신형만")</f>
        <v>신형만</v>
      </c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27" t="s">
        <v>2013</v>
      </c>
      <c r="B447" s="28" t="s">
        <v>2014</v>
      </c>
      <c r="C447" s="27" t="s">
        <v>2015</v>
      </c>
      <c r="D447" s="27">
        <v>5.0</v>
      </c>
      <c r="E447" s="27" t="s">
        <v>2016</v>
      </c>
      <c r="F447" s="27">
        <v>3.0</v>
      </c>
      <c r="G447" s="29">
        <v>45887.01180555556</v>
      </c>
      <c r="H447" s="27" t="s">
        <v>2017</v>
      </c>
      <c r="I447" s="30" t="s">
        <v>2018</v>
      </c>
      <c r="J447" s="25" t="str">
        <f>IFERROR(__xludf.DUMMYFUNCTION("ARRAYFORMULA(REGEXEXTRACT(SPLIT(C447, ""&lt;br&gt;""), ""([가-힣A-Za-z]+)""))"),"ACDC")</f>
        <v>ACDC</v>
      </c>
      <c r="K447" s="26" t="str">
        <f>IFERROR(__xludf.DUMMYFUNCTION("""COMPUTED_VALUE"""),"깡패")</f>
        <v>깡패</v>
      </c>
      <c r="L447" s="26" t="str">
        <f>IFERROR(__xludf.DUMMYFUNCTION("""COMPUTED_VALUE"""),"테리")</f>
        <v>테리</v>
      </c>
      <c r="M447" s="26" t="str">
        <f>IFERROR(__xludf.DUMMYFUNCTION("""COMPUTED_VALUE"""),"참치")</f>
        <v>참치</v>
      </c>
      <c r="N447" s="26" t="str">
        <f>IFERROR(__xludf.DUMMYFUNCTION("ARRAYFORMULA(REGEXEXTRACT(SPLIT(E447, ""&lt;br&gt;""), ""([가-힣A-Za-z]+)""))"),"신형만")</f>
        <v>신형만</v>
      </c>
      <c r="O447" s="26" t="str">
        <f>IFERROR(__xludf.DUMMYFUNCTION("""COMPUTED_VALUE"""),"넘버")</f>
        <v>넘버</v>
      </c>
      <c r="P447" s="26" t="str">
        <f>IFERROR(__xludf.DUMMYFUNCTION("""COMPUTED_VALUE"""),"노인")</f>
        <v>노인</v>
      </c>
      <c r="Q447" s="26" t="str">
        <f>IFERROR(__xludf.DUMMYFUNCTION("""COMPUTED_VALUE"""),"원")</f>
        <v>원</v>
      </c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27" t="s">
        <v>2019</v>
      </c>
      <c r="B448" s="28" t="s">
        <v>2020</v>
      </c>
      <c r="C448" s="27" t="s">
        <v>2021</v>
      </c>
      <c r="D448" s="27">
        <v>5.0</v>
      </c>
      <c r="E448" s="27" t="s">
        <v>2022</v>
      </c>
      <c r="F448" s="27">
        <v>1.0</v>
      </c>
      <c r="G448" s="29">
        <v>45886.989583333336</v>
      </c>
      <c r="H448" s="27" t="s">
        <v>2017</v>
      </c>
      <c r="I448" s="30" t="s">
        <v>2018</v>
      </c>
      <c r="J448" s="25" t="str">
        <f>IFERROR(__xludf.DUMMYFUNCTION("ARRAYFORMULA(REGEXEXTRACT(SPLIT(C448, ""&lt;br&gt;""), ""([가-힣A-Za-z]+)""))"),"깡패")</f>
        <v>깡패</v>
      </c>
      <c r="K448" s="26" t="str">
        <f>IFERROR(__xludf.DUMMYFUNCTION("""COMPUTED_VALUE"""),"원")</f>
        <v>원</v>
      </c>
      <c r="L448" s="26" t="str">
        <f>IFERROR(__xludf.DUMMYFUNCTION("""COMPUTED_VALUE"""),"ACDC")</f>
        <v>ACDC</v>
      </c>
      <c r="M448" s="26" t="str">
        <f>IFERROR(__xludf.DUMMYFUNCTION("""COMPUTED_VALUE"""),"넘버")</f>
        <v>넘버</v>
      </c>
      <c r="N448" s="26" t="str">
        <f>IFERROR(__xludf.DUMMYFUNCTION("ARRAYFORMULA(REGEXEXTRACT(SPLIT(E448, ""&lt;br&gt;""), ""([가-힣A-Za-z]+)""))"),"테리")</f>
        <v>테리</v>
      </c>
      <c r="O448" s="26" t="str">
        <f>IFERROR(__xludf.DUMMYFUNCTION("""COMPUTED_VALUE"""),"노인")</f>
        <v>노인</v>
      </c>
      <c r="P448" s="26" t="str">
        <f>IFERROR(__xludf.DUMMYFUNCTION("""COMPUTED_VALUE"""),"참치")</f>
        <v>참치</v>
      </c>
      <c r="Q448" s="26" t="str">
        <f>IFERROR(__xludf.DUMMYFUNCTION("""COMPUTED_VALUE"""),"신형만")</f>
        <v>신형만</v>
      </c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27" t="s">
        <v>2023</v>
      </c>
      <c r="B449" s="28" t="s">
        <v>2024</v>
      </c>
      <c r="C449" s="27" t="s">
        <v>2025</v>
      </c>
      <c r="D449" s="27">
        <v>5.0</v>
      </c>
      <c r="E449" s="27" t="s">
        <v>2026</v>
      </c>
      <c r="F449" s="27">
        <v>3.0</v>
      </c>
      <c r="G449" s="29">
        <v>45886.961805555555</v>
      </c>
      <c r="H449" s="27" t="s">
        <v>2017</v>
      </c>
      <c r="I449" s="30" t="s">
        <v>2027</v>
      </c>
      <c r="J449" s="25" t="str">
        <f>IFERROR(__xludf.DUMMYFUNCTION("ARRAYFORMULA(REGEXEXTRACT(SPLIT(C449, ""&lt;br&gt;""), ""([가-힣A-Za-z]+)""))"),"ACDC")</f>
        <v>ACDC</v>
      </c>
      <c r="K449" s="26" t="str">
        <f>IFERROR(__xludf.DUMMYFUNCTION("""COMPUTED_VALUE"""),"깡패")</f>
        <v>깡패</v>
      </c>
      <c r="L449" s="26" t="str">
        <f>IFERROR(__xludf.DUMMYFUNCTION("""COMPUTED_VALUE"""),"테리")</f>
        <v>테리</v>
      </c>
      <c r="M449" s="26" t="str">
        <f>IFERROR(__xludf.DUMMYFUNCTION("""COMPUTED_VALUE"""),"참치")</f>
        <v>참치</v>
      </c>
      <c r="N449" s="26" t="str">
        <f>IFERROR(__xludf.DUMMYFUNCTION("ARRAYFORMULA(REGEXEXTRACT(SPLIT(E449, ""&lt;br&gt;""), ""([가-힣A-Za-z]+)""))"),"노인")</f>
        <v>노인</v>
      </c>
      <c r="O449" s="26" t="str">
        <f>IFERROR(__xludf.DUMMYFUNCTION("""COMPUTED_VALUE"""),"신형만")</f>
        <v>신형만</v>
      </c>
      <c r="P449" s="26" t="str">
        <f>IFERROR(__xludf.DUMMYFUNCTION("""COMPUTED_VALUE"""),"한메")</f>
        <v>한메</v>
      </c>
      <c r="Q449" s="26" t="str">
        <f>IFERROR(__xludf.DUMMYFUNCTION("""COMPUTED_VALUE"""),"원")</f>
        <v>원</v>
      </c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27" t="s">
        <v>2028</v>
      </c>
      <c r="B450" s="28" t="s">
        <v>2029</v>
      </c>
      <c r="C450" s="27" t="s">
        <v>2030</v>
      </c>
      <c r="D450" s="27">
        <v>5.0</v>
      </c>
      <c r="E450" s="27" t="s">
        <v>2031</v>
      </c>
      <c r="F450" s="27">
        <v>1.0</v>
      </c>
      <c r="G450" s="29">
        <v>45886.94305555556</v>
      </c>
      <c r="H450" s="27" t="s">
        <v>2017</v>
      </c>
      <c r="I450" s="30" t="s">
        <v>2027</v>
      </c>
      <c r="J450" s="25" t="str">
        <f>IFERROR(__xludf.DUMMYFUNCTION("ARRAYFORMULA(REGEXEXTRACT(SPLIT(C450, ""&lt;br&gt;""), ""([가-힣A-Za-z]+)""))"),"원")</f>
        <v>원</v>
      </c>
      <c r="K450" s="26" t="str">
        <f>IFERROR(__xludf.DUMMYFUNCTION("""COMPUTED_VALUE"""),"참치")</f>
        <v>참치</v>
      </c>
      <c r="L450" s="26" t="str">
        <f>IFERROR(__xludf.DUMMYFUNCTION("""COMPUTED_VALUE"""),"신형만")</f>
        <v>신형만</v>
      </c>
      <c r="M450" s="26" t="str">
        <f>IFERROR(__xludf.DUMMYFUNCTION("""COMPUTED_VALUE"""),"깡패")</f>
        <v>깡패</v>
      </c>
      <c r="N450" s="26" t="str">
        <f>IFERROR(__xludf.DUMMYFUNCTION("ARRAYFORMULA(REGEXEXTRACT(SPLIT(E450, ""&lt;br&gt;""), ""([가-힣A-Za-z]+)""))"),"테리")</f>
        <v>테리</v>
      </c>
      <c r="O450" s="26" t="str">
        <f>IFERROR(__xludf.DUMMYFUNCTION("""COMPUTED_VALUE"""),"노인")</f>
        <v>노인</v>
      </c>
      <c r="P450" s="26" t="str">
        <f>IFERROR(__xludf.DUMMYFUNCTION("""COMPUTED_VALUE"""),"ACDC")</f>
        <v>ACDC</v>
      </c>
      <c r="Q450" s="26" t="str">
        <f>IFERROR(__xludf.DUMMYFUNCTION("""COMPUTED_VALUE"""),"한메")</f>
        <v>한메</v>
      </c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27" t="s">
        <v>2032</v>
      </c>
      <c r="B451" s="28" t="s">
        <v>2033</v>
      </c>
      <c r="C451" s="27" t="s">
        <v>2034</v>
      </c>
      <c r="D451" s="27">
        <v>5.0</v>
      </c>
      <c r="E451" s="27" t="s">
        <v>2035</v>
      </c>
      <c r="F451" s="27">
        <v>4.0</v>
      </c>
      <c r="G451" s="29">
        <v>45886.91458333333</v>
      </c>
      <c r="H451" s="27" t="s">
        <v>2017</v>
      </c>
      <c r="I451" s="30" t="s">
        <v>2027</v>
      </c>
      <c r="J451" s="25" t="str">
        <f>IFERROR(__xludf.DUMMYFUNCTION("ARRAYFORMULA(REGEXEXTRACT(SPLIT(C451, ""&lt;br&gt;""), ""([가-힣A-Za-z]+)""))"),"한메")</f>
        <v>한메</v>
      </c>
      <c r="K451" s="26" t="str">
        <f>IFERROR(__xludf.DUMMYFUNCTION("""COMPUTED_VALUE"""),"신형만")</f>
        <v>신형만</v>
      </c>
      <c r="L451" s="26" t="str">
        <f>IFERROR(__xludf.DUMMYFUNCTION("""COMPUTED_VALUE"""),"노인")</f>
        <v>노인</v>
      </c>
      <c r="M451" s="26" t="str">
        <f>IFERROR(__xludf.DUMMYFUNCTION("""COMPUTED_VALUE"""),"원")</f>
        <v>원</v>
      </c>
      <c r="N451" s="26" t="str">
        <f>IFERROR(__xludf.DUMMYFUNCTION("ARRAYFORMULA(REGEXEXTRACT(SPLIT(E451, ""&lt;br&gt;""), ""([가-힣A-Za-z]+)""))"),"유즈")</f>
        <v>유즈</v>
      </c>
      <c r="O451" s="26" t="str">
        <f>IFERROR(__xludf.DUMMYFUNCTION("""COMPUTED_VALUE"""),"깡패")</f>
        <v>깡패</v>
      </c>
      <c r="P451" s="26" t="str">
        <f>IFERROR(__xludf.DUMMYFUNCTION("""COMPUTED_VALUE"""),"테리")</f>
        <v>테리</v>
      </c>
      <c r="Q451" s="26" t="str">
        <f>IFERROR(__xludf.DUMMYFUNCTION("""COMPUTED_VALUE"""),"참치")</f>
        <v>참치</v>
      </c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27" t="s">
        <v>2036</v>
      </c>
      <c r="B452" s="28" t="s">
        <v>2037</v>
      </c>
      <c r="C452" s="27" t="s">
        <v>2038</v>
      </c>
      <c r="D452" s="27">
        <v>5.0</v>
      </c>
      <c r="E452" s="27" t="s">
        <v>2039</v>
      </c>
      <c r="F452" s="27">
        <v>0.0</v>
      </c>
      <c r="G452" s="29">
        <v>45886.88958333333</v>
      </c>
      <c r="H452" s="27" t="s">
        <v>2017</v>
      </c>
      <c r="I452" s="30" t="s">
        <v>2027</v>
      </c>
      <c r="J452" s="25" t="str">
        <f>IFERROR(__xludf.DUMMYFUNCTION("ARRAYFORMULA(REGEXEXTRACT(SPLIT(C452, ""&lt;br&gt;""), ""([가-힣A-Za-z]+)""))"),"노인")</f>
        <v>노인</v>
      </c>
      <c r="K452" s="26" t="str">
        <f>IFERROR(__xludf.DUMMYFUNCTION("""COMPUTED_VALUE"""),"테리")</f>
        <v>테리</v>
      </c>
      <c r="L452" s="26" t="str">
        <f>IFERROR(__xludf.DUMMYFUNCTION("""COMPUTED_VALUE"""),"참치")</f>
        <v>참치</v>
      </c>
      <c r="M452" s="26" t="str">
        <f>IFERROR(__xludf.DUMMYFUNCTION("""COMPUTED_VALUE"""),"한메")</f>
        <v>한메</v>
      </c>
      <c r="N452" s="26" t="str">
        <f>IFERROR(__xludf.DUMMYFUNCTION("ARRAYFORMULA(REGEXEXTRACT(SPLIT(E452, ""&lt;br&gt;""), ""([가-힣A-Za-z]+)""))"),"깡패")</f>
        <v>깡패</v>
      </c>
      <c r="O452" s="26" t="str">
        <f>IFERROR(__xludf.DUMMYFUNCTION("""COMPUTED_VALUE"""),"유즈")</f>
        <v>유즈</v>
      </c>
      <c r="P452" s="26" t="str">
        <f>IFERROR(__xludf.DUMMYFUNCTION("""COMPUTED_VALUE"""),"원")</f>
        <v>원</v>
      </c>
      <c r="Q452" s="26" t="str">
        <f>IFERROR(__xludf.DUMMYFUNCTION("""COMPUTED_VALUE"""),"신형만")</f>
        <v>신형만</v>
      </c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27" t="s">
        <v>2040</v>
      </c>
      <c r="B453" s="28" t="s">
        <v>2041</v>
      </c>
      <c r="C453" s="27" t="s">
        <v>2042</v>
      </c>
      <c r="D453" s="27">
        <v>5.0</v>
      </c>
      <c r="E453" s="27" t="s">
        <v>2043</v>
      </c>
      <c r="F453" s="27">
        <v>3.0</v>
      </c>
      <c r="G453" s="29">
        <v>45886.868055555555</v>
      </c>
      <c r="H453" s="27" t="s">
        <v>2017</v>
      </c>
      <c r="I453" s="30" t="s">
        <v>2044</v>
      </c>
      <c r="J453" s="25" t="str">
        <f>IFERROR(__xludf.DUMMYFUNCTION("ARRAYFORMULA(REGEXEXTRACT(SPLIT(C453, ""&lt;br&gt;""), ""([가-힣A-Za-z]+)""))"),"신형만")</f>
        <v>신형만</v>
      </c>
      <c r="K453" s="26" t="str">
        <f>IFERROR(__xludf.DUMMYFUNCTION("""COMPUTED_VALUE"""),"넘버")</f>
        <v>넘버</v>
      </c>
      <c r="L453" s="26" t="str">
        <f>IFERROR(__xludf.DUMMYFUNCTION("""COMPUTED_VALUE"""),"테리")</f>
        <v>테리</v>
      </c>
      <c r="M453" s="26" t="str">
        <f>IFERROR(__xludf.DUMMYFUNCTION("""COMPUTED_VALUE"""),"깡패")</f>
        <v>깡패</v>
      </c>
      <c r="N453" s="26" t="str">
        <f>IFERROR(__xludf.DUMMYFUNCTION("ARRAYFORMULA(REGEXEXTRACT(SPLIT(E453, ""&lt;br&gt;""), ""([가-힣A-Za-z]+)""))"),"한메")</f>
        <v>한메</v>
      </c>
      <c r="O453" s="26" t="str">
        <f>IFERROR(__xludf.DUMMYFUNCTION("""COMPUTED_VALUE"""),"노인")</f>
        <v>노인</v>
      </c>
      <c r="P453" s="26" t="str">
        <f>IFERROR(__xludf.DUMMYFUNCTION("""COMPUTED_VALUE"""),"오딘")</f>
        <v>오딘</v>
      </c>
      <c r="Q453" s="26" t="str">
        <f>IFERROR(__xludf.DUMMYFUNCTION("""COMPUTED_VALUE"""),"원")</f>
        <v>원</v>
      </c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27" t="s">
        <v>2045</v>
      </c>
      <c r="B454" s="28" t="s">
        <v>2046</v>
      </c>
      <c r="C454" s="27" t="s">
        <v>2047</v>
      </c>
      <c r="D454" s="27">
        <v>5.0</v>
      </c>
      <c r="E454" s="27" t="s">
        <v>2048</v>
      </c>
      <c r="F454" s="27">
        <v>3.0</v>
      </c>
      <c r="G454" s="29">
        <v>45886.83541666667</v>
      </c>
      <c r="H454" s="27" t="s">
        <v>2017</v>
      </c>
      <c r="I454" s="30" t="s">
        <v>2044</v>
      </c>
      <c r="J454" s="25" t="str">
        <f>IFERROR(__xludf.DUMMYFUNCTION("ARRAYFORMULA(REGEXEXTRACT(SPLIT(C454, ""&lt;br&gt;""), ""([가-힣A-Za-z]+)""))"),"노인")</f>
        <v>노인</v>
      </c>
      <c r="K454" s="26" t="str">
        <f>IFERROR(__xludf.DUMMYFUNCTION("""COMPUTED_VALUE"""),"신형만")</f>
        <v>신형만</v>
      </c>
      <c r="L454" s="26" t="str">
        <f>IFERROR(__xludf.DUMMYFUNCTION("""COMPUTED_VALUE"""),"넘버")</f>
        <v>넘버</v>
      </c>
      <c r="M454" s="26" t="str">
        <f>IFERROR(__xludf.DUMMYFUNCTION("""COMPUTED_VALUE"""),"한메")</f>
        <v>한메</v>
      </c>
      <c r="N454" s="26" t="str">
        <f>IFERROR(__xludf.DUMMYFUNCTION("ARRAYFORMULA(REGEXEXTRACT(SPLIT(E454, ""&lt;br&gt;""), ""([가-힣A-Za-z]+)""))"),"테리")</f>
        <v>테리</v>
      </c>
      <c r="O454" s="26" t="str">
        <f>IFERROR(__xludf.DUMMYFUNCTION("""COMPUTED_VALUE"""),"원")</f>
        <v>원</v>
      </c>
      <c r="P454" s="26" t="str">
        <f>IFERROR(__xludf.DUMMYFUNCTION("""COMPUTED_VALUE"""),"깡패")</f>
        <v>깡패</v>
      </c>
      <c r="Q454" s="26" t="str">
        <f>IFERROR(__xludf.DUMMYFUNCTION("""COMPUTED_VALUE"""),"오딘")</f>
        <v>오딘</v>
      </c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27" t="s">
        <v>2049</v>
      </c>
      <c r="B455" s="28" t="s">
        <v>2050</v>
      </c>
      <c r="C455" s="27" t="s">
        <v>2051</v>
      </c>
      <c r="D455" s="27">
        <v>5.0</v>
      </c>
      <c r="E455" s="27" t="s">
        <v>2052</v>
      </c>
      <c r="F455" s="27">
        <v>2.0</v>
      </c>
      <c r="G455" s="29">
        <v>45882.979166666664</v>
      </c>
      <c r="H455" s="27" t="s">
        <v>2017</v>
      </c>
      <c r="I455" s="30" t="s">
        <v>1382</v>
      </c>
      <c r="J455" s="25" t="str">
        <f>IFERROR(__xludf.DUMMYFUNCTION("ARRAYFORMULA(REGEXEXTRACT(SPLIT(C455, ""&lt;br&gt;""), ""([가-힣A-Za-z]+)""))"),"깡패")</f>
        <v>깡패</v>
      </c>
      <c r="K455" s="26" t="str">
        <f>IFERROR(__xludf.DUMMYFUNCTION("""COMPUTED_VALUE"""),"신형만")</f>
        <v>신형만</v>
      </c>
      <c r="L455" s="26" t="str">
        <f>IFERROR(__xludf.DUMMYFUNCTION("""COMPUTED_VALUE"""),"노인")</f>
        <v>노인</v>
      </c>
      <c r="M455" s="26" t="str">
        <f>IFERROR(__xludf.DUMMYFUNCTION("""COMPUTED_VALUE"""),"넘버")</f>
        <v>넘버</v>
      </c>
      <c r="N455" s="26" t="str">
        <f>IFERROR(__xludf.DUMMYFUNCTION("ARRAYFORMULA(REGEXEXTRACT(SPLIT(E455, ""&lt;br&gt;""), ""([가-힣A-Za-z]+)""))"),"웅")</f>
        <v>웅</v>
      </c>
      <c r="O455" s="26" t="str">
        <f>IFERROR(__xludf.DUMMYFUNCTION("""COMPUTED_VALUE"""),"테리")</f>
        <v>테리</v>
      </c>
      <c r="P455" s="26" t="str">
        <f>IFERROR(__xludf.DUMMYFUNCTION("""COMPUTED_VALUE"""),"ACDC")</f>
        <v>ACDC</v>
      </c>
      <c r="Q455" s="26" t="str">
        <f>IFERROR(__xludf.DUMMYFUNCTION("""COMPUTED_VALUE"""),"한메")</f>
        <v>한메</v>
      </c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27" t="s">
        <v>2053</v>
      </c>
      <c r="B456" s="28" t="s">
        <v>2054</v>
      </c>
      <c r="C456" s="27" t="s">
        <v>2055</v>
      </c>
      <c r="D456" s="27">
        <v>5.0</v>
      </c>
      <c r="E456" s="27" t="s">
        <v>2056</v>
      </c>
      <c r="F456" s="27">
        <v>2.0</v>
      </c>
      <c r="G456" s="29">
        <v>45882.96527777778</v>
      </c>
      <c r="H456" s="27" t="s">
        <v>2017</v>
      </c>
      <c r="I456" s="30" t="s">
        <v>1382</v>
      </c>
      <c r="J456" s="25" t="str">
        <f>IFERROR(__xludf.DUMMYFUNCTION("ARRAYFORMULA(REGEXEXTRACT(SPLIT(C456, ""&lt;br&gt;""), ""([가-힣A-Za-z]+)""))"),"한메")</f>
        <v>한메</v>
      </c>
      <c r="K456" s="26" t="str">
        <f>IFERROR(__xludf.DUMMYFUNCTION("""COMPUTED_VALUE"""),"넘버")</f>
        <v>넘버</v>
      </c>
      <c r="L456" s="26" t="str">
        <f>IFERROR(__xludf.DUMMYFUNCTION("""COMPUTED_VALUE"""),"테리")</f>
        <v>테리</v>
      </c>
      <c r="M456" s="26" t="str">
        <f>IFERROR(__xludf.DUMMYFUNCTION("""COMPUTED_VALUE"""),"신형만")</f>
        <v>신형만</v>
      </c>
      <c r="N456" s="26" t="str">
        <f>IFERROR(__xludf.DUMMYFUNCTION("ARRAYFORMULA(REGEXEXTRACT(SPLIT(E456, ""&lt;br&gt;""), ""([가-힣A-Za-z]+)""))"),"ACDC")</f>
        <v>ACDC</v>
      </c>
      <c r="O456" s="26" t="str">
        <f>IFERROR(__xludf.DUMMYFUNCTION("""COMPUTED_VALUE"""),"노인")</f>
        <v>노인</v>
      </c>
      <c r="P456" s="26" t="str">
        <f>IFERROR(__xludf.DUMMYFUNCTION("""COMPUTED_VALUE"""),"웅")</f>
        <v>웅</v>
      </c>
      <c r="Q456" s="26" t="str">
        <f>IFERROR(__xludf.DUMMYFUNCTION("""COMPUTED_VALUE"""),"깡패")</f>
        <v>깡패</v>
      </c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27" t="s">
        <v>2057</v>
      </c>
      <c r="B457" s="28" t="s">
        <v>2058</v>
      </c>
      <c r="C457" s="27" t="s">
        <v>2059</v>
      </c>
      <c r="D457" s="27">
        <v>5.0</v>
      </c>
      <c r="E457" s="27" t="s">
        <v>2060</v>
      </c>
      <c r="F457" s="27">
        <v>2.0</v>
      </c>
      <c r="G457" s="29">
        <v>45882.91805555556</v>
      </c>
      <c r="H457" s="27" t="s">
        <v>2017</v>
      </c>
      <c r="I457" s="30" t="s">
        <v>1382</v>
      </c>
      <c r="J457" s="25" t="str">
        <f>IFERROR(__xludf.DUMMYFUNCTION("ARRAYFORMULA(REGEXEXTRACT(SPLIT(C457, ""&lt;br&gt;""), ""([가-힣A-Za-z]+)""))"),"노인")</f>
        <v>노인</v>
      </c>
      <c r="K457" s="26" t="str">
        <f>IFERROR(__xludf.DUMMYFUNCTION("""COMPUTED_VALUE"""),"테리")</f>
        <v>테리</v>
      </c>
      <c r="L457" s="26" t="str">
        <f>IFERROR(__xludf.DUMMYFUNCTION("""COMPUTED_VALUE"""),"깡패")</f>
        <v>깡패</v>
      </c>
      <c r="M457" s="26" t="str">
        <f>IFERROR(__xludf.DUMMYFUNCTION("""COMPUTED_VALUE"""),"한메")</f>
        <v>한메</v>
      </c>
      <c r="N457" s="26" t="str">
        <f>IFERROR(__xludf.DUMMYFUNCTION("ARRAYFORMULA(REGEXEXTRACT(SPLIT(E457, ""&lt;br&gt;""), ""([가-힣A-Za-z]+)""))"),"웅")</f>
        <v>웅</v>
      </c>
      <c r="O457" s="26" t="str">
        <f>IFERROR(__xludf.DUMMYFUNCTION("""COMPUTED_VALUE"""),"신형만")</f>
        <v>신형만</v>
      </c>
      <c r="P457" s="26" t="str">
        <f>IFERROR(__xludf.DUMMYFUNCTION("""COMPUTED_VALUE"""),"ACDC")</f>
        <v>ACDC</v>
      </c>
      <c r="Q457" s="26" t="str">
        <f>IFERROR(__xludf.DUMMYFUNCTION("""COMPUTED_VALUE"""),"넘버")</f>
        <v>넘버</v>
      </c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27" t="s">
        <v>2061</v>
      </c>
      <c r="B458" s="28" t="s">
        <v>2062</v>
      </c>
      <c r="C458" s="27" t="s">
        <v>2063</v>
      </c>
      <c r="D458" s="27">
        <v>5.0</v>
      </c>
      <c r="E458" s="27" t="s">
        <v>2064</v>
      </c>
      <c r="F458" s="27">
        <v>1.0</v>
      </c>
      <c r="G458" s="29">
        <v>45882.89791666667</v>
      </c>
      <c r="H458" s="27" t="s">
        <v>2017</v>
      </c>
      <c r="I458" s="30" t="s">
        <v>1382</v>
      </c>
      <c r="J458" s="25" t="str">
        <f>IFERROR(__xludf.DUMMYFUNCTION("ARRAYFORMULA(REGEXEXTRACT(SPLIT(C458, ""&lt;br&gt;""), ""([가-힣A-Za-z]+)""))"),"테리")</f>
        <v>테리</v>
      </c>
      <c r="K458" s="26" t="str">
        <f>IFERROR(__xludf.DUMMYFUNCTION("""COMPUTED_VALUE"""),"넘버")</f>
        <v>넘버</v>
      </c>
      <c r="L458" s="26" t="str">
        <f>IFERROR(__xludf.DUMMYFUNCTION("""COMPUTED_VALUE"""),"한메")</f>
        <v>한메</v>
      </c>
      <c r="M458" s="26" t="str">
        <f>IFERROR(__xludf.DUMMYFUNCTION("""COMPUTED_VALUE"""),"신형만")</f>
        <v>신형만</v>
      </c>
      <c r="N458" s="26" t="str">
        <f>IFERROR(__xludf.DUMMYFUNCTION("ARRAYFORMULA(REGEXEXTRACT(SPLIT(E458, ""&lt;br&gt;""), ""([가-힣A-Za-z]+)""))"),"ACDC")</f>
        <v>ACDC</v>
      </c>
      <c r="O458" s="26" t="str">
        <f>IFERROR(__xludf.DUMMYFUNCTION("""COMPUTED_VALUE"""),"웅")</f>
        <v>웅</v>
      </c>
      <c r="P458" s="26" t="str">
        <f>IFERROR(__xludf.DUMMYFUNCTION("""COMPUTED_VALUE"""),"노인")</f>
        <v>노인</v>
      </c>
      <c r="Q458" s="26" t="str">
        <f>IFERROR(__xludf.DUMMYFUNCTION("""COMPUTED_VALUE"""),"깡패")</f>
        <v>깡패</v>
      </c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27" t="s">
        <v>2065</v>
      </c>
      <c r="B459" s="28" t="s">
        <v>2066</v>
      </c>
      <c r="C459" s="27" t="s">
        <v>2067</v>
      </c>
      <c r="D459" s="27">
        <v>5.0</v>
      </c>
      <c r="E459" s="27" t="s">
        <v>2068</v>
      </c>
      <c r="F459" s="27">
        <v>2.0</v>
      </c>
      <c r="G459" s="29">
        <v>45880.029861111114</v>
      </c>
      <c r="H459" s="27" t="s">
        <v>2017</v>
      </c>
      <c r="I459" s="30" t="s">
        <v>2069</v>
      </c>
      <c r="J459" s="25" t="str">
        <f>IFERROR(__xludf.DUMMYFUNCTION("ARRAYFORMULA(REGEXEXTRACT(SPLIT(C459, ""&lt;br&gt;""), ""([가-힣A-Za-z]+)""))"),"솔")</f>
        <v>솔</v>
      </c>
      <c r="K459" s="26" t="str">
        <f>IFERROR(__xludf.DUMMYFUNCTION("""COMPUTED_VALUE"""),"테리")</f>
        <v>테리</v>
      </c>
      <c r="L459" s="26" t="str">
        <f>IFERROR(__xludf.DUMMYFUNCTION("""COMPUTED_VALUE"""),"신형만")</f>
        <v>신형만</v>
      </c>
      <c r="M459" s="26" t="str">
        <f>IFERROR(__xludf.DUMMYFUNCTION("""COMPUTED_VALUE"""),"원")</f>
        <v>원</v>
      </c>
      <c r="N459" s="26" t="str">
        <f>IFERROR(__xludf.DUMMYFUNCTION("ARRAYFORMULA(REGEXEXTRACT(SPLIT(E459, ""&lt;br&gt;""), ""([가-힣A-Za-z]+)""))"),"ACDC")</f>
        <v>ACDC</v>
      </c>
      <c r="O459" s="26" t="str">
        <f>IFERROR(__xludf.DUMMYFUNCTION("""COMPUTED_VALUE"""),"넘버")</f>
        <v>넘버</v>
      </c>
      <c r="P459" s="26" t="str">
        <f>IFERROR(__xludf.DUMMYFUNCTION("""COMPUTED_VALUE"""),"한메")</f>
        <v>한메</v>
      </c>
      <c r="Q459" s="26" t="str">
        <f>IFERROR(__xludf.DUMMYFUNCTION("""COMPUTED_VALUE"""),"깡패")</f>
        <v>깡패</v>
      </c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27" t="s">
        <v>2070</v>
      </c>
      <c r="B460" s="28" t="s">
        <v>2071</v>
      </c>
      <c r="C460" s="27" t="s">
        <v>2072</v>
      </c>
      <c r="D460" s="27">
        <v>5.0</v>
      </c>
      <c r="E460" s="27" t="s">
        <v>2073</v>
      </c>
      <c r="F460" s="27">
        <v>4.0</v>
      </c>
      <c r="G460" s="29">
        <v>45880.006944444445</v>
      </c>
      <c r="H460" s="27" t="s">
        <v>2017</v>
      </c>
      <c r="I460" s="30" t="s">
        <v>2069</v>
      </c>
      <c r="J460" s="25" t="str">
        <f>IFERROR(__xludf.DUMMYFUNCTION("ARRAYFORMULA(REGEXEXTRACT(SPLIT(C460, ""&lt;br&gt;""), ""([가-힣A-Za-z]+)""))"),"신형만")</f>
        <v>신형만</v>
      </c>
      <c r="K460" s="26" t="str">
        <f>IFERROR(__xludf.DUMMYFUNCTION("""COMPUTED_VALUE"""),"원")</f>
        <v>원</v>
      </c>
      <c r="L460" s="26" t="str">
        <f>IFERROR(__xludf.DUMMYFUNCTION("""COMPUTED_VALUE"""),"ACDC")</f>
        <v>ACDC</v>
      </c>
      <c r="M460" s="26" t="str">
        <f>IFERROR(__xludf.DUMMYFUNCTION("""COMPUTED_VALUE"""),"한메")</f>
        <v>한메</v>
      </c>
      <c r="N460" s="26" t="str">
        <f>IFERROR(__xludf.DUMMYFUNCTION("ARRAYFORMULA(REGEXEXTRACT(SPLIT(E460, ""&lt;br&gt;""), ""([가-힣A-Za-z]+)""))"),"깡패")</f>
        <v>깡패</v>
      </c>
      <c r="O460" s="26" t="str">
        <f>IFERROR(__xludf.DUMMYFUNCTION("""COMPUTED_VALUE"""),"솔")</f>
        <v>솔</v>
      </c>
      <c r="P460" s="26" t="str">
        <f>IFERROR(__xludf.DUMMYFUNCTION("""COMPUTED_VALUE"""),"테리")</f>
        <v>테리</v>
      </c>
      <c r="Q460" s="26" t="str">
        <f>IFERROR(__xludf.DUMMYFUNCTION("""COMPUTED_VALUE"""),"넘버")</f>
        <v>넘버</v>
      </c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27" t="s">
        <v>2074</v>
      </c>
      <c r="B461" s="28" t="s">
        <v>2075</v>
      </c>
      <c r="C461" s="27" t="s">
        <v>2076</v>
      </c>
      <c r="D461" s="27">
        <v>5.0</v>
      </c>
      <c r="E461" s="27" t="s">
        <v>2077</v>
      </c>
      <c r="F461" s="27">
        <v>1.0</v>
      </c>
      <c r="G461" s="29">
        <v>45879.97777777778</v>
      </c>
      <c r="H461" s="27" t="s">
        <v>2017</v>
      </c>
      <c r="I461" s="30" t="s">
        <v>2069</v>
      </c>
      <c r="J461" s="25" t="str">
        <f>IFERROR(__xludf.DUMMYFUNCTION("ARRAYFORMULA(REGEXEXTRACT(SPLIT(C461, ""&lt;br&gt;""), ""([가-힣A-Za-z]+)""))"),"ACDC")</f>
        <v>ACDC</v>
      </c>
      <c r="K461" s="26" t="str">
        <f>IFERROR(__xludf.DUMMYFUNCTION("""COMPUTED_VALUE"""),"테리")</f>
        <v>테리</v>
      </c>
      <c r="L461" s="26" t="str">
        <f>IFERROR(__xludf.DUMMYFUNCTION("""COMPUTED_VALUE"""),"깡패")</f>
        <v>깡패</v>
      </c>
      <c r="M461" s="26" t="str">
        <f>IFERROR(__xludf.DUMMYFUNCTION("""COMPUTED_VALUE"""),"원")</f>
        <v>원</v>
      </c>
      <c r="N461" s="26" t="str">
        <f>IFERROR(__xludf.DUMMYFUNCTION("ARRAYFORMULA(REGEXEXTRACT(SPLIT(E461, ""&lt;br&gt;""), ""([가-힣A-Za-z]+)""))"),"넘버")</f>
        <v>넘버</v>
      </c>
      <c r="O461" s="26" t="str">
        <f>IFERROR(__xludf.DUMMYFUNCTION("""COMPUTED_VALUE"""),"신형만")</f>
        <v>신형만</v>
      </c>
      <c r="P461" s="26" t="str">
        <f>IFERROR(__xludf.DUMMYFUNCTION("""COMPUTED_VALUE"""),"한메")</f>
        <v>한메</v>
      </c>
      <c r="Q461" s="26" t="str">
        <f>IFERROR(__xludf.DUMMYFUNCTION("""COMPUTED_VALUE"""),"솔")</f>
        <v>솔</v>
      </c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27" t="s">
        <v>2078</v>
      </c>
      <c r="B462" s="28" t="s">
        <v>2079</v>
      </c>
      <c r="C462" s="27" t="s">
        <v>2080</v>
      </c>
      <c r="D462" s="27">
        <v>5.0</v>
      </c>
      <c r="E462" s="27" t="s">
        <v>2081</v>
      </c>
      <c r="F462" s="27">
        <v>0.0</v>
      </c>
      <c r="G462" s="29">
        <v>45879.9375</v>
      </c>
      <c r="H462" s="27" t="s">
        <v>2017</v>
      </c>
      <c r="I462" s="30" t="s">
        <v>1874</v>
      </c>
      <c r="J462" s="25" t="str">
        <f>IFERROR(__xludf.DUMMYFUNCTION("ARRAYFORMULA(REGEXEXTRACT(SPLIT(C462, ""&lt;br&gt;""), ""([가-힣A-Za-z]+)""))"),"한메")</f>
        <v>한메</v>
      </c>
      <c r="K462" s="26" t="str">
        <f>IFERROR(__xludf.DUMMYFUNCTION("""COMPUTED_VALUE"""),"원")</f>
        <v>원</v>
      </c>
      <c r="L462" s="26" t="str">
        <f>IFERROR(__xludf.DUMMYFUNCTION("""COMPUTED_VALUE"""),"테리")</f>
        <v>테리</v>
      </c>
      <c r="M462" s="26" t="str">
        <f>IFERROR(__xludf.DUMMYFUNCTION("""COMPUTED_VALUE"""),"신형만")</f>
        <v>신형만</v>
      </c>
      <c r="N462" s="26" t="str">
        <f>IFERROR(__xludf.DUMMYFUNCTION("ARRAYFORMULA(REGEXEXTRACT(SPLIT(E462, ""&lt;br&gt;""), ""([가-힣A-Za-z]+)""))"),"터미")</f>
        <v>터미</v>
      </c>
      <c r="O462" s="26" t="str">
        <f>IFERROR(__xludf.DUMMYFUNCTION("""COMPUTED_VALUE"""),"짱구")</f>
        <v>짱구</v>
      </c>
      <c r="P462" s="26" t="str">
        <f>IFERROR(__xludf.DUMMYFUNCTION("""COMPUTED_VALUE"""),"ACDC")</f>
        <v>ACDC</v>
      </c>
      <c r="Q462" s="26" t="str">
        <f>IFERROR(__xludf.DUMMYFUNCTION("""COMPUTED_VALUE"""),"깡패")</f>
        <v>깡패</v>
      </c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27" t="s">
        <v>2082</v>
      </c>
      <c r="B463" s="28" t="s">
        <v>2083</v>
      </c>
      <c r="C463" s="27" t="s">
        <v>2084</v>
      </c>
      <c r="D463" s="27">
        <v>5.0</v>
      </c>
      <c r="E463" s="27" t="s">
        <v>2085</v>
      </c>
      <c r="F463" s="27">
        <v>4.0</v>
      </c>
      <c r="G463" s="29">
        <v>45876.01388888889</v>
      </c>
      <c r="H463" s="27" t="s">
        <v>2017</v>
      </c>
      <c r="I463" s="30" t="s">
        <v>1382</v>
      </c>
      <c r="J463" s="25" t="str">
        <f>IFERROR(__xludf.DUMMYFUNCTION("ARRAYFORMULA(REGEXEXTRACT(SPLIT(C463, ""&lt;br&gt;""), ""([가-힣A-Za-z]+)""))"),"기재")</f>
        <v>기재</v>
      </c>
      <c r="K463" s="26" t="str">
        <f>IFERROR(__xludf.DUMMYFUNCTION("""COMPUTED_VALUE"""),"짱구")</f>
        <v>짱구</v>
      </c>
      <c r="L463" s="26" t="str">
        <f>IFERROR(__xludf.DUMMYFUNCTION("""COMPUTED_VALUE"""),"테리")</f>
        <v>테리</v>
      </c>
      <c r="M463" s="26" t="str">
        <f>IFERROR(__xludf.DUMMYFUNCTION("""COMPUTED_VALUE"""),"한메")</f>
        <v>한메</v>
      </c>
      <c r="N463" s="26" t="str">
        <f>IFERROR(__xludf.DUMMYFUNCTION("ARRAYFORMULA(REGEXEXTRACT(SPLIT(E463, ""&lt;br&gt;""), ""([가-힣A-Za-z]+)""))"),"ACDC")</f>
        <v>ACDC</v>
      </c>
      <c r="O463" s="26" t="str">
        <f>IFERROR(__xludf.DUMMYFUNCTION("""COMPUTED_VALUE"""),"노인")</f>
        <v>노인</v>
      </c>
      <c r="P463" s="26" t="str">
        <f>IFERROR(__xludf.DUMMYFUNCTION("""COMPUTED_VALUE"""),"깡패")</f>
        <v>깡패</v>
      </c>
      <c r="Q463" s="26" t="str">
        <f>IFERROR(__xludf.DUMMYFUNCTION("""COMPUTED_VALUE"""),"신형만")</f>
        <v>신형만</v>
      </c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27" t="s">
        <v>2086</v>
      </c>
      <c r="B464" s="28" t="s">
        <v>2087</v>
      </c>
      <c r="C464" s="27" t="s">
        <v>2088</v>
      </c>
      <c r="D464" s="27">
        <v>5.0</v>
      </c>
      <c r="E464" s="27" t="s">
        <v>2089</v>
      </c>
      <c r="F464" s="27">
        <v>4.0</v>
      </c>
      <c r="G464" s="29">
        <v>45876.01388888889</v>
      </c>
      <c r="H464" s="27" t="s">
        <v>2017</v>
      </c>
      <c r="I464" s="30" t="s">
        <v>1382</v>
      </c>
      <c r="J464" s="25" t="str">
        <f>IFERROR(__xludf.DUMMYFUNCTION("ARRAYFORMULA(REGEXEXTRACT(SPLIT(C464, ""&lt;br&gt;""), ""([가-힣A-Za-z]+)""))"),"넘버")</f>
        <v>넘버</v>
      </c>
      <c r="K464" s="26" t="str">
        <f>IFERROR(__xludf.DUMMYFUNCTION("""COMPUTED_VALUE"""),"테리")</f>
        <v>테리</v>
      </c>
      <c r="L464" s="26" t="str">
        <f>IFERROR(__xludf.DUMMYFUNCTION("""COMPUTED_VALUE"""),"ACDC")</f>
        <v>ACDC</v>
      </c>
      <c r="M464" s="26" t="str">
        <f>IFERROR(__xludf.DUMMYFUNCTION("""COMPUTED_VALUE"""),"기재")</f>
        <v>기재</v>
      </c>
      <c r="N464" s="26" t="str">
        <f>IFERROR(__xludf.DUMMYFUNCTION("ARRAYFORMULA(REGEXEXTRACT(SPLIT(E464, ""&lt;br&gt;""), ""([가-힣A-Za-z]+)""))"),"짱구")</f>
        <v>짱구</v>
      </c>
      <c r="O464" s="26" t="str">
        <f>IFERROR(__xludf.DUMMYFUNCTION("""COMPUTED_VALUE"""),"신형만")</f>
        <v>신형만</v>
      </c>
      <c r="P464" s="26" t="str">
        <f>IFERROR(__xludf.DUMMYFUNCTION("""COMPUTED_VALUE"""),"한메")</f>
        <v>한메</v>
      </c>
      <c r="Q464" s="26" t="str">
        <f>IFERROR(__xludf.DUMMYFUNCTION("""COMPUTED_VALUE"""),"깡패")</f>
        <v>깡패</v>
      </c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27" t="s">
        <v>2090</v>
      </c>
      <c r="B465" s="28" t="s">
        <v>2091</v>
      </c>
      <c r="C465" s="27" t="s">
        <v>2092</v>
      </c>
      <c r="D465" s="27">
        <v>5.0</v>
      </c>
      <c r="E465" s="27" t="s">
        <v>2093</v>
      </c>
      <c r="F465" s="27">
        <v>3.0</v>
      </c>
      <c r="G465" s="29">
        <v>45875.91875</v>
      </c>
      <c r="H465" s="27" t="s">
        <v>2017</v>
      </c>
      <c r="I465" s="30" t="s">
        <v>2094</v>
      </c>
      <c r="J465" s="25" t="str">
        <f>IFERROR(__xludf.DUMMYFUNCTION("ARRAYFORMULA(REGEXEXTRACT(SPLIT(C465, ""&lt;br&gt;""), ""([가-힣A-Za-z]+)""))"),"깡패")</f>
        <v>깡패</v>
      </c>
      <c r="K465" s="26" t="str">
        <f>IFERROR(__xludf.DUMMYFUNCTION("""COMPUTED_VALUE"""),"노인")</f>
        <v>노인</v>
      </c>
      <c r="L465" s="26" t="str">
        <f>IFERROR(__xludf.DUMMYFUNCTION("""COMPUTED_VALUE"""),"테리")</f>
        <v>테리</v>
      </c>
      <c r="M465" s="26" t="str">
        <f>IFERROR(__xludf.DUMMYFUNCTION("""COMPUTED_VALUE"""),"한메")</f>
        <v>한메</v>
      </c>
      <c r="N465" s="26" t="str">
        <f>IFERROR(__xludf.DUMMYFUNCTION("ARRAYFORMULA(REGEXEXTRACT(SPLIT(E465, ""&lt;br&gt;""), ""([가-힣A-Za-z]+)""))"),"ACDC")</f>
        <v>ACDC</v>
      </c>
      <c r="O465" s="26" t="str">
        <f>IFERROR(__xludf.DUMMYFUNCTION("""COMPUTED_VALUE"""),"참치")</f>
        <v>참치</v>
      </c>
      <c r="P465" s="26" t="str">
        <f>IFERROR(__xludf.DUMMYFUNCTION("""COMPUTED_VALUE"""),"넘버")</f>
        <v>넘버</v>
      </c>
      <c r="Q465" s="26" t="str">
        <f>IFERROR(__xludf.DUMMYFUNCTION("""COMPUTED_VALUE"""),"신형만")</f>
        <v>신형만</v>
      </c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27" t="s">
        <v>2095</v>
      </c>
      <c r="B466" s="28" t="s">
        <v>2096</v>
      </c>
      <c r="C466" s="27" t="s">
        <v>2097</v>
      </c>
      <c r="D466" s="27">
        <v>5.0</v>
      </c>
      <c r="E466" s="27" t="s">
        <v>2098</v>
      </c>
      <c r="F466" s="27">
        <v>4.0</v>
      </c>
      <c r="G466" s="29">
        <v>45875.87569444445</v>
      </c>
      <c r="H466" s="27" t="s">
        <v>2017</v>
      </c>
      <c r="I466" s="30" t="s">
        <v>2094</v>
      </c>
      <c r="J466" s="25" t="str">
        <f>IFERROR(__xludf.DUMMYFUNCTION("ARRAYFORMULA(REGEXEXTRACT(SPLIT(C466, ""&lt;br&gt;""), ""([가-힣A-Za-z]+)""))"),"노인")</f>
        <v>노인</v>
      </c>
      <c r="K466" s="26" t="str">
        <f>IFERROR(__xludf.DUMMYFUNCTION("""COMPUTED_VALUE"""),"테리")</f>
        <v>테리</v>
      </c>
      <c r="L466" s="26" t="str">
        <f>IFERROR(__xludf.DUMMYFUNCTION("""COMPUTED_VALUE"""),"ACDC")</f>
        <v>ACDC</v>
      </c>
      <c r="M466" s="26" t="str">
        <f>IFERROR(__xludf.DUMMYFUNCTION("""COMPUTED_VALUE"""),"참치")</f>
        <v>참치</v>
      </c>
      <c r="N466" s="26" t="str">
        <f>IFERROR(__xludf.DUMMYFUNCTION("ARRAYFORMULA(REGEXEXTRACT(SPLIT(E466, ""&lt;br&gt;""), ""([가-힣A-Za-z]+)""))"),"한메")</f>
        <v>한메</v>
      </c>
      <c r="O466" s="26" t="str">
        <f>IFERROR(__xludf.DUMMYFUNCTION("""COMPUTED_VALUE"""),"넘버")</f>
        <v>넘버</v>
      </c>
      <c r="P466" s="26" t="str">
        <f>IFERROR(__xludf.DUMMYFUNCTION("""COMPUTED_VALUE"""),"신형만")</f>
        <v>신형만</v>
      </c>
      <c r="Q466" s="26" t="str">
        <f>IFERROR(__xludf.DUMMYFUNCTION("""COMPUTED_VALUE"""),"깡패")</f>
        <v>깡패</v>
      </c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27" t="s">
        <v>2099</v>
      </c>
      <c r="B467" s="28" t="s">
        <v>2100</v>
      </c>
      <c r="C467" s="27" t="s">
        <v>2101</v>
      </c>
      <c r="D467" s="27">
        <v>5.0</v>
      </c>
      <c r="E467" s="27" t="s">
        <v>2102</v>
      </c>
      <c r="F467" s="27">
        <v>4.0</v>
      </c>
      <c r="G467" s="29">
        <v>45875.027083333334</v>
      </c>
      <c r="H467" s="27" t="s">
        <v>2017</v>
      </c>
      <c r="I467" s="30" t="s">
        <v>2103</v>
      </c>
      <c r="J467" s="25" t="str">
        <f>IFERROR(__xludf.DUMMYFUNCTION("ARRAYFORMULA(REGEXEXTRACT(SPLIT(C467, ""&lt;br&gt;""), ""([가-힣A-Za-z]+)""))"),"박서")</f>
        <v>박서</v>
      </c>
      <c r="K467" s="26" t="str">
        <f>IFERROR(__xludf.DUMMYFUNCTION("""COMPUTED_VALUE"""),"짱구")</f>
        <v>짱구</v>
      </c>
      <c r="L467" s="26" t="str">
        <f>IFERROR(__xludf.DUMMYFUNCTION("""COMPUTED_VALUE"""),"넘버")</f>
        <v>넘버</v>
      </c>
      <c r="M467" s="26" t="str">
        <f>IFERROR(__xludf.DUMMYFUNCTION("""COMPUTED_VALUE"""),"한메")</f>
        <v>한메</v>
      </c>
      <c r="N467" s="26" t="str">
        <f>IFERROR(__xludf.DUMMYFUNCTION("ARRAYFORMULA(REGEXEXTRACT(SPLIT(E467, ""&lt;br&gt;""), ""([가-힣A-Za-z]+)""))"),"테리")</f>
        <v>테리</v>
      </c>
      <c r="O467" s="26" t="str">
        <f>IFERROR(__xludf.DUMMYFUNCTION("""COMPUTED_VALUE"""),"깡패")</f>
        <v>깡패</v>
      </c>
      <c r="P467" s="26" t="str">
        <f>IFERROR(__xludf.DUMMYFUNCTION("""COMPUTED_VALUE"""),"ACDC")</f>
        <v>ACDC</v>
      </c>
      <c r="Q467" s="26" t="str">
        <f>IFERROR(__xludf.DUMMYFUNCTION("""COMPUTED_VALUE"""),"원")</f>
        <v>원</v>
      </c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27" t="s">
        <v>2104</v>
      </c>
      <c r="B468" s="28" t="s">
        <v>2105</v>
      </c>
      <c r="C468" s="27" t="s">
        <v>2106</v>
      </c>
      <c r="D468" s="27">
        <v>5.0</v>
      </c>
      <c r="E468" s="27" t="s">
        <v>2107</v>
      </c>
      <c r="F468" s="27">
        <v>3.0</v>
      </c>
      <c r="G468" s="29">
        <v>45874.99236111111</v>
      </c>
      <c r="H468" s="27" t="s">
        <v>2017</v>
      </c>
      <c r="I468" s="30" t="s">
        <v>2108</v>
      </c>
      <c r="J468" s="25" t="str">
        <f>IFERROR(__xludf.DUMMYFUNCTION("ARRAYFORMULA(REGEXEXTRACT(SPLIT(C468, ""&lt;br&gt;""), ""([가-힣A-Za-z]+)""))"),"박서")</f>
        <v>박서</v>
      </c>
      <c r="K468" s="26" t="str">
        <f>IFERROR(__xludf.DUMMYFUNCTION("""COMPUTED_VALUE"""),"원")</f>
        <v>원</v>
      </c>
      <c r="L468" s="26" t="str">
        <f>IFERROR(__xludf.DUMMYFUNCTION("""COMPUTED_VALUE"""),"신형만")</f>
        <v>신형만</v>
      </c>
      <c r="M468" s="26" t="str">
        <f>IFERROR(__xludf.DUMMYFUNCTION("""COMPUTED_VALUE"""),"터미")</f>
        <v>터미</v>
      </c>
      <c r="N468" s="26" t="str">
        <f>IFERROR(__xludf.DUMMYFUNCTION("ARRAYFORMULA(REGEXEXTRACT(SPLIT(E468, ""&lt;br&gt;""), ""([가-힣A-Za-z]+)""))"),"ACDC")</f>
        <v>ACDC</v>
      </c>
      <c r="O468" s="26" t="str">
        <f>IFERROR(__xludf.DUMMYFUNCTION("""COMPUTED_VALUE"""),"넘버")</f>
        <v>넘버</v>
      </c>
      <c r="P468" s="26" t="str">
        <f>IFERROR(__xludf.DUMMYFUNCTION("""COMPUTED_VALUE"""),"짱구")</f>
        <v>짱구</v>
      </c>
      <c r="Q468" s="26" t="str">
        <f>IFERROR(__xludf.DUMMYFUNCTION("""COMPUTED_VALUE"""),"한메")</f>
        <v>한메</v>
      </c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27" t="s">
        <v>2109</v>
      </c>
      <c r="B469" s="28" t="s">
        <v>2110</v>
      </c>
      <c r="C469" s="27" t="s">
        <v>2111</v>
      </c>
      <c r="D469" s="27">
        <v>5.0</v>
      </c>
      <c r="E469" s="27" t="s">
        <v>2112</v>
      </c>
      <c r="F469" s="27">
        <v>0.0</v>
      </c>
      <c r="G469" s="29">
        <v>45874.97361111111</v>
      </c>
      <c r="H469" s="27" t="s">
        <v>2017</v>
      </c>
      <c r="I469" s="30" t="s">
        <v>2108</v>
      </c>
      <c r="J469" s="25" t="str">
        <f>IFERROR(__xludf.DUMMYFUNCTION("ARRAYFORMULA(REGEXEXTRACT(SPLIT(C469, ""&lt;br&gt;""), ""([가-힣A-Za-z]+)""))"),"넘버")</f>
        <v>넘버</v>
      </c>
      <c r="K469" s="26" t="str">
        <f>IFERROR(__xludf.DUMMYFUNCTION("""COMPUTED_VALUE"""),"짱구")</f>
        <v>짱구</v>
      </c>
      <c r="L469" s="26" t="str">
        <f>IFERROR(__xludf.DUMMYFUNCTION("""COMPUTED_VALUE"""),"터미")</f>
        <v>터미</v>
      </c>
      <c r="M469" s="26" t="str">
        <f>IFERROR(__xludf.DUMMYFUNCTION("""COMPUTED_VALUE"""),"원")</f>
        <v>원</v>
      </c>
      <c r="N469" s="26" t="str">
        <f>IFERROR(__xludf.DUMMYFUNCTION("ARRAYFORMULA(REGEXEXTRACT(SPLIT(E469, ""&lt;br&gt;""), ""([가-힣A-Za-z]+)""))"),"한메")</f>
        <v>한메</v>
      </c>
      <c r="O469" s="26" t="str">
        <f>IFERROR(__xludf.DUMMYFUNCTION("""COMPUTED_VALUE"""),"박서")</f>
        <v>박서</v>
      </c>
      <c r="P469" s="26" t="str">
        <f>IFERROR(__xludf.DUMMYFUNCTION("""COMPUTED_VALUE"""),"ACDC")</f>
        <v>ACDC</v>
      </c>
      <c r="Q469" s="26" t="str">
        <f>IFERROR(__xludf.DUMMYFUNCTION("""COMPUTED_VALUE"""),"신형만")</f>
        <v>신형만</v>
      </c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27" t="s">
        <v>2113</v>
      </c>
      <c r="B470" s="28" t="s">
        <v>2114</v>
      </c>
      <c r="C470" s="27" t="s">
        <v>2115</v>
      </c>
      <c r="D470" s="27">
        <v>5.0</v>
      </c>
      <c r="E470" s="27" t="s">
        <v>2116</v>
      </c>
      <c r="F470" s="27">
        <v>0.0</v>
      </c>
      <c r="G470" s="29">
        <v>45874.96319444444</v>
      </c>
      <c r="H470" s="27" t="s">
        <v>2017</v>
      </c>
      <c r="I470" s="30" t="s">
        <v>2117</v>
      </c>
      <c r="J470" s="25" t="str">
        <f>IFERROR(__xludf.DUMMYFUNCTION("ARRAYFORMULA(REGEXEXTRACT(SPLIT(C470, ""&lt;br&gt;""), ""([가-힣A-Za-z]+)""))"),"원")</f>
        <v>원</v>
      </c>
      <c r="K470" s="26" t="str">
        <f>IFERROR(__xludf.DUMMYFUNCTION("""COMPUTED_VALUE"""),"깡패")</f>
        <v>깡패</v>
      </c>
      <c r="L470" s="26" t="str">
        <f>IFERROR(__xludf.DUMMYFUNCTION("""COMPUTED_VALUE"""),"신형만")</f>
        <v>신형만</v>
      </c>
      <c r="M470" s="26" t="str">
        <f>IFERROR(__xludf.DUMMYFUNCTION("""COMPUTED_VALUE"""),"박서")</f>
        <v>박서</v>
      </c>
      <c r="N470" s="26" t="str">
        <f>IFERROR(__xludf.DUMMYFUNCTION("ARRAYFORMULA(REGEXEXTRACT(SPLIT(E470, ""&lt;br&gt;""), ""([가-힣A-Za-z]+)""))"),"ACDC")</f>
        <v>ACDC</v>
      </c>
      <c r="O470" s="26" t="str">
        <f>IFERROR(__xludf.DUMMYFUNCTION("""COMPUTED_VALUE"""),"넘버")</f>
        <v>넘버</v>
      </c>
      <c r="P470" s="26" t="str">
        <f>IFERROR(__xludf.DUMMYFUNCTION("""COMPUTED_VALUE"""),"한메")</f>
        <v>한메</v>
      </c>
      <c r="Q470" s="26" t="str">
        <f>IFERROR(__xludf.DUMMYFUNCTION("""COMPUTED_VALUE"""),"터미")</f>
        <v>터미</v>
      </c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27" t="s">
        <v>2118</v>
      </c>
      <c r="B471" s="28" t="s">
        <v>2119</v>
      </c>
      <c r="C471" s="27" t="s">
        <v>2120</v>
      </c>
      <c r="D471" s="27">
        <v>5.0</v>
      </c>
      <c r="E471" s="27" t="s">
        <v>2121</v>
      </c>
      <c r="F471" s="27">
        <v>3.0</v>
      </c>
      <c r="G471" s="29">
        <v>45874.950694444444</v>
      </c>
      <c r="H471" s="27" t="s">
        <v>2017</v>
      </c>
      <c r="I471" s="30" t="s">
        <v>614</v>
      </c>
      <c r="J471" s="25" t="str">
        <f>IFERROR(__xludf.DUMMYFUNCTION("ARRAYFORMULA(REGEXEXTRACT(SPLIT(C471, ""&lt;br&gt;""), ""([가-힣A-Za-z]+)""))"),"신형만")</f>
        <v>신형만</v>
      </c>
      <c r="K471" s="26" t="str">
        <f>IFERROR(__xludf.DUMMYFUNCTION("""COMPUTED_VALUE"""),"박서")</f>
        <v>박서</v>
      </c>
      <c r="L471" s="26" t="str">
        <f>IFERROR(__xludf.DUMMYFUNCTION("""COMPUTED_VALUE"""),"터미")</f>
        <v>터미</v>
      </c>
      <c r="M471" s="26" t="str">
        <f>IFERROR(__xludf.DUMMYFUNCTION("""COMPUTED_VALUE"""),"한메")</f>
        <v>한메</v>
      </c>
      <c r="N471" s="26" t="str">
        <f>IFERROR(__xludf.DUMMYFUNCTION("ARRAYFORMULA(REGEXEXTRACT(SPLIT(E471, ""&lt;br&gt;""), ""([가-힣A-Za-z]+)""))"),"웅")</f>
        <v>웅</v>
      </c>
      <c r="O471" s="26" t="str">
        <f>IFERROR(__xludf.DUMMYFUNCTION("""COMPUTED_VALUE"""),"원")</f>
        <v>원</v>
      </c>
      <c r="P471" s="26" t="str">
        <f>IFERROR(__xludf.DUMMYFUNCTION("""COMPUTED_VALUE"""),"ACDC")</f>
        <v>ACDC</v>
      </c>
      <c r="Q471" s="26" t="str">
        <f>IFERROR(__xludf.DUMMYFUNCTION("""COMPUTED_VALUE"""),"깡패")</f>
        <v>깡패</v>
      </c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27" t="s">
        <v>2122</v>
      </c>
      <c r="B472" s="28" t="s">
        <v>2123</v>
      </c>
      <c r="C472" s="27" t="s">
        <v>2124</v>
      </c>
      <c r="D472" s="27">
        <v>5.0</v>
      </c>
      <c r="E472" s="27" t="s">
        <v>2125</v>
      </c>
      <c r="F472" s="27">
        <v>1.0</v>
      </c>
      <c r="G472" s="29">
        <v>45874.91875</v>
      </c>
      <c r="H472" s="27" t="s">
        <v>2017</v>
      </c>
      <c r="I472" s="30" t="s">
        <v>517</v>
      </c>
      <c r="J472" s="25" t="str">
        <f>IFERROR(__xludf.DUMMYFUNCTION("ARRAYFORMULA(REGEXEXTRACT(SPLIT(C472, ""&lt;br&gt;""), ""([가-힣A-Za-z]+)""))"),"ACDC")</f>
        <v>ACDC</v>
      </c>
      <c r="K472" s="26" t="str">
        <f>IFERROR(__xludf.DUMMYFUNCTION("""COMPUTED_VALUE"""),"깡패")</f>
        <v>깡패</v>
      </c>
      <c r="L472" s="26" t="str">
        <f>IFERROR(__xludf.DUMMYFUNCTION("""COMPUTED_VALUE"""),"테리")</f>
        <v>테리</v>
      </c>
      <c r="M472" s="26" t="str">
        <f>IFERROR(__xludf.DUMMYFUNCTION("""COMPUTED_VALUE"""),"터미")</f>
        <v>터미</v>
      </c>
      <c r="N472" s="26" t="str">
        <f>IFERROR(__xludf.DUMMYFUNCTION("ARRAYFORMULA(REGEXEXTRACT(SPLIT(E472, ""&lt;br&gt;""), ""([가-힣A-Za-z]+)""))"),"넘버")</f>
        <v>넘버</v>
      </c>
      <c r="O472" s="26" t="str">
        <f>IFERROR(__xludf.DUMMYFUNCTION("""COMPUTED_VALUE"""),"노인")</f>
        <v>노인</v>
      </c>
      <c r="P472" s="26" t="str">
        <f>IFERROR(__xludf.DUMMYFUNCTION("""COMPUTED_VALUE"""),"한메")</f>
        <v>한메</v>
      </c>
      <c r="Q472" s="26" t="str">
        <f>IFERROR(__xludf.DUMMYFUNCTION("""COMPUTED_VALUE"""),"신형만")</f>
        <v>신형만</v>
      </c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27" t="s">
        <v>2126</v>
      </c>
      <c r="B473" s="28" t="s">
        <v>2127</v>
      </c>
      <c r="C473" s="27" t="s">
        <v>2128</v>
      </c>
      <c r="D473" s="27">
        <v>5.0</v>
      </c>
      <c r="E473" s="27" t="s">
        <v>2129</v>
      </c>
      <c r="F473" s="27">
        <v>3.0</v>
      </c>
      <c r="G473" s="29">
        <v>45874.89861111111</v>
      </c>
      <c r="H473" s="27" t="s">
        <v>2017</v>
      </c>
      <c r="I473" s="30" t="s">
        <v>517</v>
      </c>
      <c r="J473" s="25" t="str">
        <f>IFERROR(__xludf.DUMMYFUNCTION("ARRAYFORMULA(REGEXEXTRACT(SPLIT(C473, ""&lt;br&gt;""), ""([가-힣A-Za-z]+)""))"),"노인")</f>
        <v>노인</v>
      </c>
      <c r="K473" s="26" t="str">
        <f>IFERROR(__xludf.DUMMYFUNCTION("""COMPUTED_VALUE"""),"넘버")</f>
        <v>넘버</v>
      </c>
      <c r="L473" s="26" t="str">
        <f>IFERROR(__xludf.DUMMYFUNCTION("""COMPUTED_VALUE"""),"터미")</f>
        <v>터미</v>
      </c>
      <c r="M473" s="26" t="str">
        <f>IFERROR(__xludf.DUMMYFUNCTION("""COMPUTED_VALUE"""),"깡패")</f>
        <v>깡패</v>
      </c>
      <c r="N473" s="26" t="str">
        <f>IFERROR(__xludf.DUMMYFUNCTION("ARRAYFORMULA(REGEXEXTRACT(SPLIT(E473, ""&lt;br&gt;""), ""([가-힣A-Za-z]+)""))"),"신형만")</f>
        <v>신형만</v>
      </c>
      <c r="O473" s="26" t="str">
        <f>IFERROR(__xludf.DUMMYFUNCTION("""COMPUTED_VALUE"""),"테리")</f>
        <v>테리</v>
      </c>
      <c r="P473" s="26" t="str">
        <f>IFERROR(__xludf.DUMMYFUNCTION("""COMPUTED_VALUE"""),"ACDC")</f>
        <v>ACDC</v>
      </c>
      <c r="Q473" s="26" t="str">
        <f>IFERROR(__xludf.DUMMYFUNCTION("""COMPUTED_VALUE"""),"한메")</f>
        <v>한메</v>
      </c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27" t="s">
        <v>2130</v>
      </c>
      <c r="B474" s="28" t="s">
        <v>2131</v>
      </c>
      <c r="C474" s="27" t="s">
        <v>2132</v>
      </c>
      <c r="D474" s="27">
        <v>5.0</v>
      </c>
      <c r="E474" s="27" t="s">
        <v>2133</v>
      </c>
      <c r="F474" s="27">
        <v>1.0</v>
      </c>
      <c r="G474" s="29">
        <v>45874.870833333334</v>
      </c>
      <c r="H474" s="27" t="s">
        <v>2017</v>
      </c>
      <c r="I474" s="30" t="s">
        <v>517</v>
      </c>
      <c r="J474" s="25" t="str">
        <f>IFERROR(__xludf.DUMMYFUNCTION("ARRAYFORMULA(REGEXEXTRACT(SPLIT(C474, ""&lt;br&gt;""), ""([가-힣A-Za-z]+)""))"),"한메")</f>
        <v>한메</v>
      </c>
      <c r="K474" s="26" t="str">
        <f>IFERROR(__xludf.DUMMYFUNCTION("""COMPUTED_VALUE"""),"깡패")</f>
        <v>깡패</v>
      </c>
      <c r="L474" s="26" t="str">
        <f>IFERROR(__xludf.DUMMYFUNCTION("""COMPUTED_VALUE"""),"테리")</f>
        <v>테리</v>
      </c>
      <c r="M474" s="26" t="str">
        <f>IFERROR(__xludf.DUMMYFUNCTION("""COMPUTED_VALUE"""),"넘버")</f>
        <v>넘버</v>
      </c>
      <c r="N474" s="26" t="str">
        <f>IFERROR(__xludf.DUMMYFUNCTION("ARRAYFORMULA(REGEXEXTRACT(SPLIT(E474, ""&lt;br&gt;""), ""([가-힣A-Za-z]+)""))"),"ACDC")</f>
        <v>ACDC</v>
      </c>
      <c r="O474" s="26" t="str">
        <f>IFERROR(__xludf.DUMMYFUNCTION("""COMPUTED_VALUE"""),"노인")</f>
        <v>노인</v>
      </c>
      <c r="P474" s="26" t="str">
        <f>IFERROR(__xludf.DUMMYFUNCTION("""COMPUTED_VALUE"""),"신형만")</f>
        <v>신형만</v>
      </c>
      <c r="Q474" s="26" t="str">
        <f>IFERROR(__xludf.DUMMYFUNCTION("""COMPUTED_VALUE"""),"터미")</f>
        <v>터미</v>
      </c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27" t="s">
        <v>2134</v>
      </c>
      <c r="B475" s="28" t="s">
        <v>2135</v>
      </c>
      <c r="C475" s="27" t="s">
        <v>2136</v>
      </c>
      <c r="D475" s="27">
        <v>5.0</v>
      </c>
      <c r="E475" s="27" t="s">
        <v>2137</v>
      </c>
      <c r="F475" s="27">
        <v>1.0</v>
      </c>
      <c r="G475" s="29">
        <v>45874.853472222225</v>
      </c>
      <c r="H475" s="27" t="s">
        <v>2017</v>
      </c>
      <c r="I475" s="30" t="s">
        <v>517</v>
      </c>
      <c r="J475" s="25" t="str">
        <f>IFERROR(__xludf.DUMMYFUNCTION("ARRAYFORMULA(REGEXEXTRACT(SPLIT(C475, ""&lt;br&gt;""), ""([가-힣A-Za-z]+)""))"),"노인")</f>
        <v>노인</v>
      </c>
      <c r="K475" s="26" t="str">
        <f>IFERROR(__xludf.DUMMYFUNCTION("""COMPUTED_VALUE"""),"테리")</f>
        <v>테리</v>
      </c>
      <c r="L475" s="26" t="str">
        <f>IFERROR(__xludf.DUMMYFUNCTION("""COMPUTED_VALUE"""),"ACDC")</f>
        <v>ACDC</v>
      </c>
      <c r="M475" s="26" t="str">
        <f>IFERROR(__xludf.DUMMYFUNCTION("""COMPUTED_VALUE"""),"한메")</f>
        <v>한메</v>
      </c>
      <c r="N475" s="26" t="str">
        <f>IFERROR(__xludf.DUMMYFUNCTION("ARRAYFORMULA(REGEXEXTRACT(SPLIT(E475, ""&lt;br&gt;""), ""([가-힣A-Za-z]+)""))"),"깡패")</f>
        <v>깡패</v>
      </c>
      <c r="O475" s="26" t="str">
        <f>IFERROR(__xludf.DUMMYFUNCTION("""COMPUTED_VALUE"""),"넘버")</f>
        <v>넘버</v>
      </c>
      <c r="P475" s="26" t="str">
        <f>IFERROR(__xludf.DUMMYFUNCTION("""COMPUTED_VALUE"""),"터미")</f>
        <v>터미</v>
      </c>
      <c r="Q475" s="26" t="str">
        <f>IFERROR(__xludf.DUMMYFUNCTION("""COMPUTED_VALUE"""),"신형만")</f>
        <v>신형만</v>
      </c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27" t="s">
        <v>2138</v>
      </c>
      <c r="B476" s="28" t="s">
        <v>2139</v>
      </c>
      <c r="C476" s="27" t="s">
        <v>2140</v>
      </c>
      <c r="D476" s="27">
        <v>5.0</v>
      </c>
      <c r="E476" s="27" t="s">
        <v>2141</v>
      </c>
      <c r="F476" s="27">
        <v>1.0</v>
      </c>
      <c r="G476" s="29">
        <v>45873.99652777778</v>
      </c>
      <c r="H476" s="27" t="s">
        <v>2017</v>
      </c>
      <c r="I476" s="30" t="s">
        <v>2142</v>
      </c>
      <c r="J476" s="25" t="str">
        <f>IFERROR(__xludf.DUMMYFUNCTION("ARRAYFORMULA(REGEXEXTRACT(SPLIT(C476, ""&lt;br&gt;""), ""([가-힣A-Za-z]+)""))"),"원")</f>
        <v>원</v>
      </c>
      <c r="K476" s="26" t="str">
        <f>IFERROR(__xludf.DUMMYFUNCTION("""COMPUTED_VALUE"""),"넘버")</f>
        <v>넘버</v>
      </c>
      <c r="L476" s="26" t="str">
        <f>IFERROR(__xludf.DUMMYFUNCTION("""COMPUTED_VALUE"""),"깡패")</f>
        <v>깡패</v>
      </c>
      <c r="M476" s="26" t="str">
        <f>IFERROR(__xludf.DUMMYFUNCTION("""COMPUTED_VALUE"""),"한메")</f>
        <v>한메</v>
      </c>
      <c r="N476" s="26" t="str">
        <f>IFERROR(__xludf.DUMMYFUNCTION("ARRAYFORMULA(REGEXEXTRACT(SPLIT(E476, ""&lt;br&gt;""), ""([가-힣A-Za-z]+)""))"),"테리")</f>
        <v>테리</v>
      </c>
      <c r="O476" s="26" t="str">
        <f>IFERROR(__xludf.DUMMYFUNCTION("""COMPUTED_VALUE"""),"노인")</f>
        <v>노인</v>
      </c>
      <c r="P476" s="26" t="str">
        <f>IFERROR(__xludf.DUMMYFUNCTION("""COMPUTED_VALUE"""),"신형만")</f>
        <v>신형만</v>
      </c>
      <c r="Q476" s="26" t="str">
        <f>IFERROR(__xludf.DUMMYFUNCTION("""COMPUTED_VALUE"""),"터미")</f>
        <v>터미</v>
      </c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27" t="s">
        <v>2143</v>
      </c>
      <c r="B477" s="28" t="s">
        <v>2144</v>
      </c>
      <c r="C477" s="27" t="s">
        <v>2145</v>
      </c>
      <c r="D477" s="27">
        <v>5.0</v>
      </c>
      <c r="E477" s="27" t="s">
        <v>2146</v>
      </c>
      <c r="F477" s="27">
        <v>3.0</v>
      </c>
      <c r="G477" s="29">
        <v>45873.979166666664</v>
      </c>
      <c r="H477" s="27" t="s">
        <v>2017</v>
      </c>
      <c r="I477" s="30" t="s">
        <v>2142</v>
      </c>
      <c r="J477" s="25" t="str">
        <f>IFERROR(__xludf.DUMMYFUNCTION("ARRAYFORMULA(REGEXEXTRACT(SPLIT(C477, ""&lt;br&gt;""), ""([가-힣A-Za-z]+)""))"),"노인")</f>
        <v>노인</v>
      </c>
      <c r="K477" s="26" t="str">
        <f>IFERROR(__xludf.DUMMYFUNCTION("""COMPUTED_VALUE"""),"원")</f>
        <v>원</v>
      </c>
      <c r="L477" s="26" t="str">
        <f>IFERROR(__xludf.DUMMYFUNCTION("""COMPUTED_VALUE"""),"ACDC")</f>
        <v>ACDC</v>
      </c>
      <c r="M477" s="26" t="str">
        <f>IFERROR(__xludf.DUMMYFUNCTION("""COMPUTED_VALUE"""),"넘버")</f>
        <v>넘버</v>
      </c>
      <c r="N477" s="26" t="str">
        <f>IFERROR(__xludf.DUMMYFUNCTION("ARRAYFORMULA(REGEXEXTRACT(SPLIT(E477, ""&lt;br&gt;""), ""([가-힣A-Za-z]+)""))"),"한메")</f>
        <v>한메</v>
      </c>
      <c r="O477" s="26" t="str">
        <f>IFERROR(__xludf.DUMMYFUNCTION("""COMPUTED_VALUE"""),"깡패")</f>
        <v>깡패</v>
      </c>
      <c r="P477" s="26" t="str">
        <f>IFERROR(__xludf.DUMMYFUNCTION("""COMPUTED_VALUE"""),"터미")</f>
        <v>터미</v>
      </c>
      <c r="Q477" s="26" t="str">
        <f>IFERROR(__xludf.DUMMYFUNCTION("""COMPUTED_VALUE"""),"신형만")</f>
        <v>신형만</v>
      </c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27" t="s">
        <v>2147</v>
      </c>
      <c r="B478" s="28" t="s">
        <v>2148</v>
      </c>
      <c r="C478" s="27" t="s">
        <v>2149</v>
      </c>
      <c r="D478" s="27">
        <v>5.0</v>
      </c>
      <c r="E478" s="27" t="s">
        <v>2150</v>
      </c>
      <c r="F478" s="27">
        <v>2.0</v>
      </c>
      <c r="G478" s="29">
        <v>45873.955555555556</v>
      </c>
      <c r="H478" s="27" t="s">
        <v>2017</v>
      </c>
      <c r="I478" s="30" t="s">
        <v>2142</v>
      </c>
      <c r="J478" s="25" t="str">
        <f>IFERROR(__xludf.DUMMYFUNCTION("ARRAYFORMULA(REGEXEXTRACT(SPLIT(C478, ""&lt;br&gt;""), ""([가-힣A-Za-z]+)""))"),"원")</f>
        <v>원</v>
      </c>
      <c r="K478" s="26" t="str">
        <f>IFERROR(__xludf.DUMMYFUNCTION("""COMPUTED_VALUE"""),"노인")</f>
        <v>노인</v>
      </c>
      <c r="L478" s="26" t="str">
        <f>IFERROR(__xludf.DUMMYFUNCTION("""COMPUTED_VALUE"""),"깡패")</f>
        <v>깡패</v>
      </c>
      <c r="M478" s="26" t="str">
        <f>IFERROR(__xludf.DUMMYFUNCTION("""COMPUTED_VALUE"""),"터미")</f>
        <v>터미</v>
      </c>
      <c r="N478" s="26" t="str">
        <f>IFERROR(__xludf.DUMMYFUNCTION("ARRAYFORMULA(REGEXEXTRACT(SPLIT(E478, ""&lt;br&gt;""), ""([가-힣A-Za-z]+)""))"),"한메")</f>
        <v>한메</v>
      </c>
      <c r="O478" s="26" t="str">
        <f>IFERROR(__xludf.DUMMYFUNCTION("""COMPUTED_VALUE"""),"넘버")</f>
        <v>넘버</v>
      </c>
      <c r="P478" s="26" t="str">
        <f>IFERROR(__xludf.DUMMYFUNCTION("""COMPUTED_VALUE"""),"ACDC")</f>
        <v>ACDC</v>
      </c>
      <c r="Q478" s="26" t="str">
        <f>IFERROR(__xludf.DUMMYFUNCTION("""COMPUTED_VALUE"""),"신형만")</f>
        <v>신형만</v>
      </c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27" t="s">
        <v>2151</v>
      </c>
      <c r="B479" s="28" t="s">
        <v>2152</v>
      </c>
      <c r="C479" s="27" t="s">
        <v>2153</v>
      </c>
      <c r="D479" s="27">
        <v>5.0</v>
      </c>
      <c r="E479" s="27" t="s">
        <v>2154</v>
      </c>
      <c r="F479" s="27">
        <v>4.0</v>
      </c>
      <c r="G479" s="29">
        <v>45873.933333333334</v>
      </c>
      <c r="H479" s="27" t="s">
        <v>2017</v>
      </c>
      <c r="I479" s="30" t="s">
        <v>614</v>
      </c>
      <c r="J479" s="25" t="str">
        <f>IFERROR(__xludf.DUMMYFUNCTION("ARRAYFORMULA(REGEXEXTRACT(SPLIT(C479, ""&lt;br&gt;""), ""([가-힣A-Za-z]+)""))"),"ACDC")</f>
        <v>ACDC</v>
      </c>
      <c r="K479" s="26" t="str">
        <f>IFERROR(__xludf.DUMMYFUNCTION("""COMPUTED_VALUE"""),"테리")</f>
        <v>테리</v>
      </c>
      <c r="L479" s="26" t="str">
        <f>IFERROR(__xludf.DUMMYFUNCTION("""COMPUTED_VALUE"""),"터미")</f>
        <v>터미</v>
      </c>
      <c r="M479" s="26" t="str">
        <f>IFERROR(__xludf.DUMMYFUNCTION("""COMPUTED_VALUE"""),"깡패")</f>
        <v>깡패</v>
      </c>
      <c r="N479" s="26" t="str">
        <f>IFERROR(__xludf.DUMMYFUNCTION("ARRAYFORMULA(REGEXEXTRACT(SPLIT(E479, ""&lt;br&gt;""), ""([가-힣A-Za-z]+)""))"),"노인")</f>
        <v>노인</v>
      </c>
      <c r="O479" s="26" t="str">
        <f>IFERROR(__xludf.DUMMYFUNCTION("""COMPUTED_VALUE"""),"원")</f>
        <v>원</v>
      </c>
      <c r="P479" s="26" t="str">
        <f>IFERROR(__xludf.DUMMYFUNCTION("""COMPUTED_VALUE"""),"신형만")</f>
        <v>신형만</v>
      </c>
      <c r="Q479" s="26" t="str">
        <f>IFERROR(__xludf.DUMMYFUNCTION("""COMPUTED_VALUE"""),"한메")</f>
        <v>한메</v>
      </c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27" t="s">
        <v>2155</v>
      </c>
      <c r="B480" s="28" t="s">
        <v>2156</v>
      </c>
      <c r="C480" s="27" t="s">
        <v>2157</v>
      </c>
      <c r="D480" s="27">
        <v>5.0</v>
      </c>
      <c r="E480" s="27" t="s">
        <v>2158</v>
      </c>
      <c r="F480" s="27">
        <v>0.0</v>
      </c>
      <c r="G480" s="29">
        <v>45873.9</v>
      </c>
      <c r="H480" s="27" t="s">
        <v>2017</v>
      </c>
      <c r="I480" s="30" t="s">
        <v>614</v>
      </c>
      <c r="J480" s="25" t="str">
        <f>IFERROR(__xludf.DUMMYFUNCTION("ARRAYFORMULA(REGEXEXTRACT(SPLIT(C480, ""&lt;br&gt;""), ""([가-힣A-Za-z]+)""))"),"테리")</f>
        <v>테리</v>
      </c>
      <c r="K480" s="26" t="str">
        <f>IFERROR(__xludf.DUMMYFUNCTION("""COMPUTED_VALUE"""),"깡패")</f>
        <v>깡패</v>
      </c>
      <c r="L480" s="26" t="str">
        <f>IFERROR(__xludf.DUMMYFUNCTION("""COMPUTED_VALUE"""),"한메")</f>
        <v>한메</v>
      </c>
      <c r="M480" s="26" t="str">
        <f>IFERROR(__xludf.DUMMYFUNCTION("""COMPUTED_VALUE"""),"원")</f>
        <v>원</v>
      </c>
      <c r="N480" s="26" t="str">
        <f>IFERROR(__xludf.DUMMYFUNCTION("ARRAYFORMULA(REGEXEXTRACT(SPLIT(E480, ""&lt;br&gt;""), ""([가-힣A-Za-z]+)""))"),"신형만")</f>
        <v>신형만</v>
      </c>
      <c r="O480" s="26" t="str">
        <f>IFERROR(__xludf.DUMMYFUNCTION("""COMPUTED_VALUE"""),"노인")</f>
        <v>노인</v>
      </c>
      <c r="P480" s="26" t="str">
        <f>IFERROR(__xludf.DUMMYFUNCTION("""COMPUTED_VALUE"""),"ACDC")</f>
        <v>ACDC</v>
      </c>
      <c r="Q480" s="26" t="str">
        <f>IFERROR(__xludf.DUMMYFUNCTION("""COMPUTED_VALUE"""),"터미")</f>
        <v>터미</v>
      </c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27" t="s">
        <v>2159</v>
      </c>
      <c r="B481" s="28" t="s">
        <v>2160</v>
      </c>
      <c r="C481" s="27" t="s">
        <v>2161</v>
      </c>
      <c r="D481" s="27">
        <v>5.0</v>
      </c>
      <c r="E481" s="27" t="s">
        <v>2162</v>
      </c>
      <c r="F481" s="27">
        <v>0.0</v>
      </c>
      <c r="G481" s="29">
        <v>45873.88680555556</v>
      </c>
      <c r="H481" s="27" t="s">
        <v>2017</v>
      </c>
      <c r="I481" s="30" t="s">
        <v>614</v>
      </c>
      <c r="J481" s="25" t="str">
        <f>IFERROR(__xludf.DUMMYFUNCTION("ARRAYFORMULA(REGEXEXTRACT(SPLIT(C481, ""&lt;br&gt;""), ""([가-힣A-Za-z]+)""))"),"ACDC")</f>
        <v>ACDC</v>
      </c>
      <c r="K481" s="26" t="str">
        <f>IFERROR(__xludf.DUMMYFUNCTION("""COMPUTED_VALUE"""),"테리")</f>
        <v>테리</v>
      </c>
      <c r="L481" s="26" t="str">
        <f>IFERROR(__xludf.DUMMYFUNCTION("""COMPUTED_VALUE"""),"노인")</f>
        <v>노인</v>
      </c>
      <c r="M481" s="26" t="str">
        <f>IFERROR(__xludf.DUMMYFUNCTION("""COMPUTED_VALUE"""),"한메")</f>
        <v>한메</v>
      </c>
      <c r="N481" s="26" t="str">
        <f>IFERROR(__xludf.DUMMYFUNCTION("ARRAYFORMULA(REGEXEXTRACT(SPLIT(E481, ""&lt;br&gt;""), ""([가-힣A-Za-z]+)""))"),"깡패")</f>
        <v>깡패</v>
      </c>
      <c r="O481" s="26" t="str">
        <f>IFERROR(__xludf.DUMMYFUNCTION("""COMPUTED_VALUE"""),"원")</f>
        <v>원</v>
      </c>
      <c r="P481" s="26" t="str">
        <f>IFERROR(__xludf.DUMMYFUNCTION("""COMPUTED_VALUE"""),"터미")</f>
        <v>터미</v>
      </c>
      <c r="Q481" s="26" t="str">
        <f>IFERROR(__xludf.DUMMYFUNCTION("""COMPUTED_VALUE"""),"신형만")</f>
        <v>신형만</v>
      </c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27" t="s">
        <v>2163</v>
      </c>
      <c r="B482" s="28" t="s">
        <v>2164</v>
      </c>
      <c r="C482" s="27" t="s">
        <v>2165</v>
      </c>
      <c r="D482" s="27">
        <v>5.0</v>
      </c>
      <c r="E482" s="27" t="s">
        <v>2166</v>
      </c>
      <c r="F482" s="27">
        <v>0.0</v>
      </c>
      <c r="G482" s="29">
        <v>45873.875</v>
      </c>
      <c r="H482" s="27" t="s">
        <v>2017</v>
      </c>
      <c r="I482" s="30" t="s">
        <v>614</v>
      </c>
      <c r="J482" s="25" t="str">
        <f>IFERROR(__xludf.DUMMYFUNCTION("ARRAYFORMULA(REGEXEXTRACT(SPLIT(C482, ""&lt;br&gt;""), ""([가-힣A-Za-z]+)""))"),"테리")</f>
        <v>테리</v>
      </c>
      <c r="K482" s="26" t="str">
        <f>IFERROR(__xludf.DUMMYFUNCTION("""COMPUTED_VALUE"""),"깡패")</f>
        <v>깡패</v>
      </c>
      <c r="L482" s="26" t="str">
        <f>IFERROR(__xludf.DUMMYFUNCTION("""COMPUTED_VALUE"""),"ACDC")</f>
        <v>ACDC</v>
      </c>
      <c r="M482" s="26" t="str">
        <f>IFERROR(__xludf.DUMMYFUNCTION("""COMPUTED_VALUE"""),"원")</f>
        <v>원</v>
      </c>
      <c r="N482" s="26" t="str">
        <f>IFERROR(__xludf.DUMMYFUNCTION("ARRAYFORMULA(REGEXEXTRACT(SPLIT(E482, ""&lt;br&gt;""), ""([가-힣A-Za-z]+)""))"),"한메")</f>
        <v>한메</v>
      </c>
      <c r="O482" s="26" t="str">
        <f>IFERROR(__xludf.DUMMYFUNCTION("""COMPUTED_VALUE"""),"노인")</f>
        <v>노인</v>
      </c>
      <c r="P482" s="26" t="str">
        <f>IFERROR(__xludf.DUMMYFUNCTION("""COMPUTED_VALUE"""),"신형만")</f>
        <v>신형만</v>
      </c>
      <c r="Q482" s="26" t="str">
        <f>IFERROR(__xludf.DUMMYFUNCTION("""COMPUTED_VALUE"""),"터미")</f>
        <v>터미</v>
      </c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27" t="s">
        <v>2167</v>
      </c>
      <c r="B483" s="28" t="s">
        <v>2168</v>
      </c>
      <c r="C483" s="27" t="s">
        <v>2169</v>
      </c>
      <c r="D483" s="27">
        <v>5.0</v>
      </c>
      <c r="E483" s="27" t="s">
        <v>2170</v>
      </c>
      <c r="F483" s="27">
        <v>1.0</v>
      </c>
      <c r="G483" s="29">
        <v>45873.0125</v>
      </c>
      <c r="H483" s="27" t="s">
        <v>2017</v>
      </c>
      <c r="I483" s="30" t="s">
        <v>2171</v>
      </c>
      <c r="J483" s="25" t="str">
        <f>IFERROR(__xludf.DUMMYFUNCTION("ARRAYFORMULA(REGEXEXTRACT(SPLIT(C483, ""&lt;br&gt;""), ""([가-힣A-Za-z]+)""))"),"원")</f>
        <v>원</v>
      </c>
      <c r="K483" s="26" t="str">
        <f>IFERROR(__xludf.DUMMYFUNCTION("""COMPUTED_VALUE"""),"참치")</f>
        <v>참치</v>
      </c>
      <c r="L483" s="26" t="str">
        <f>IFERROR(__xludf.DUMMYFUNCTION("""COMPUTED_VALUE"""),"넘버")</f>
        <v>넘버</v>
      </c>
      <c r="M483" s="26" t="str">
        <f>IFERROR(__xludf.DUMMYFUNCTION("""COMPUTED_VALUE"""),"솔")</f>
        <v>솔</v>
      </c>
      <c r="N483" s="26" t="str">
        <f>IFERROR(__xludf.DUMMYFUNCTION("ARRAYFORMULA(REGEXEXTRACT(SPLIT(E483, ""&lt;br&gt;""), ""([가-힣A-Za-z]+)""))"),"ACDC")</f>
        <v>ACDC</v>
      </c>
      <c r="O483" s="26" t="str">
        <f>IFERROR(__xludf.DUMMYFUNCTION("""COMPUTED_VALUE"""),"노인")</f>
        <v>노인</v>
      </c>
      <c r="P483" s="26" t="str">
        <f>IFERROR(__xludf.DUMMYFUNCTION("""COMPUTED_VALUE"""),"신형만")</f>
        <v>신형만</v>
      </c>
      <c r="Q483" s="26" t="str">
        <f>IFERROR(__xludf.DUMMYFUNCTION("""COMPUTED_VALUE"""),"한메")</f>
        <v>한메</v>
      </c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27" t="s">
        <v>2172</v>
      </c>
      <c r="B484" s="28" t="s">
        <v>2173</v>
      </c>
      <c r="C484" s="27" t="s">
        <v>2174</v>
      </c>
      <c r="D484" s="27">
        <v>5.0</v>
      </c>
      <c r="E484" s="27" t="s">
        <v>2175</v>
      </c>
      <c r="F484" s="27">
        <v>1.0</v>
      </c>
      <c r="G484" s="29">
        <v>45872.993055555555</v>
      </c>
      <c r="H484" s="27" t="s">
        <v>2017</v>
      </c>
      <c r="I484" s="30" t="s">
        <v>2171</v>
      </c>
      <c r="J484" s="25" t="str">
        <f>IFERROR(__xludf.DUMMYFUNCTION("ARRAYFORMULA(REGEXEXTRACT(SPLIT(C484, ""&lt;br&gt;""), ""([가-힣A-Za-z]+)""))"),"신형만")</f>
        <v>신형만</v>
      </c>
      <c r="K484" s="26" t="str">
        <f>IFERROR(__xludf.DUMMYFUNCTION("""COMPUTED_VALUE"""),"원")</f>
        <v>원</v>
      </c>
      <c r="L484" s="26" t="str">
        <f>IFERROR(__xludf.DUMMYFUNCTION("""COMPUTED_VALUE"""),"노인")</f>
        <v>노인</v>
      </c>
      <c r="M484" s="26" t="str">
        <f>IFERROR(__xludf.DUMMYFUNCTION("""COMPUTED_VALUE"""),"참치")</f>
        <v>참치</v>
      </c>
      <c r="N484" s="26" t="str">
        <f>IFERROR(__xludf.DUMMYFUNCTION("ARRAYFORMULA(REGEXEXTRACT(SPLIT(E484, ""&lt;br&gt;""), ""([가-힣A-Za-z]+)""))"),"한메")</f>
        <v>한메</v>
      </c>
      <c r="O484" s="26" t="str">
        <f>IFERROR(__xludf.DUMMYFUNCTION("""COMPUTED_VALUE"""),"솔")</f>
        <v>솔</v>
      </c>
      <c r="P484" s="26" t="str">
        <f>IFERROR(__xludf.DUMMYFUNCTION("""COMPUTED_VALUE"""),"ACDC")</f>
        <v>ACDC</v>
      </c>
      <c r="Q484" s="26" t="str">
        <f>IFERROR(__xludf.DUMMYFUNCTION("""COMPUTED_VALUE"""),"넘버")</f>
        <v>넘버</v>
      </c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27" t="s">
        <v>2176</v>
      </c>
      <c r="B485" s="28" t="s">
        <v>2177</v>
      </c>
      <c r="C485" s="27" t="s">
        <v>2178</v>
      </c>
      <c r="D485" s="27">
        <v>5.0</v>
      </c>
      <c r="E485" s="27" t="s">
        <v>2179</v>
      </c>
      <c r="F485" s="27">
        <v>3.0</v>
      </c>
      <c r="G485" s="29">
        <v>45872.981944444444</v>
      </c>
      <c r="H485" s="27" t="s">
        <v>2017</v>
      </c>
      <c r="I485" s="30" t="s">
        <v>2171</v>
      </c>
      <c r="J485" s="25" t="str">
        <f>IFERROR(__xludf.DUMMYFUNCTION("ARRAYFORMULA(REGEXEXTRACT(SPLIT(C485, ""&lt;br&gt;""), ""([가-힣A-Za-z]+)""))"),"ACDC")</f>
        <v>ACDC</v>
      </c>
      <c r="K485" s="26" t="str">
        <f>IFERROR(__xludf.DUMMYFUNCTION("""COMPUTED_VALUE"""),"노인")</f>
        <v>노인</v>
      </c>
      <c r="L485" s="26" t="str">
        <f>IFERROR(__xludf.DUMMYFUNCTION("""COMPUTED_VALUE"""),"넘버")</f>
        <v>넘버</v>
      </c>
      <c r="M485" s="26" t="str">
        <f>IFERROR(__xludf.DUMMYFUNCTION("""COMPUTED_VALUE"""),"원")</f>
        <v>원</v>
      </c>
      <c r="N485" s="26" t="str">
        <f>IFERROR(__xludf.DUMMYFUNCTION("ARRAYFORMULA(REGEXEXTRACT(SPLIT(E485, ""&lt;br&gt;""), ""([가-힣A-Za-z]+)""))"),"솔")</f>
        <v>솔</v>
      </c>
      <c r="O485" s="26" t="str">
        <f>IFERROR(__xludf.DUMMYFUNCTION("""COMPUTED_VALUE"""),"참치")</f>
        <v>참치</v>
      </c>
      <c r="P485" s="26" t="str">
        <f>IFERROR(__xludf.DUMMYFUNCTION("""COMPUTED_VALUE"""),"한메")</f>
        <v>한메</v>
      </c>
      <c r="Q485" s="26" t="str">
        <f>IFERROR(__xludf.DUMMYFUNCTION("""COMPUTED_VALUE"""),"신형만")</f>
        <v>신형만</v>
      </c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27" t="s">
        <v>2180</v>
      </c>
      <c r="B486" s="28" t="s">
        <v>2181</v>
      </c>
      <c r="C486" s="27" t="s">
        <v>2182</v>
      </c>
      <c r="D486" s="27">
        <v>5.0</v>
      </c>
      <c r="E486" s="27" t="s">
        <v>2183</v>
      </c>
      <c r="F486" s="27">
        <v>1.0</v>
      </c>
      <c r="G486" s="29">
        <v>45872.961805555555</v>
      </c>
      <c r="H486" s="27" t="s">
        <v>2017</v>
      </c>
      <c r="I486" s="30" t="s">
        <v>2171</v>
      </c>
      <c r="J486" s="25" t="str">
        <f>IFERROR(__xludf.DUMMYFUNCTION("ARRAYFORMULA(REGEXEXTRACT(SPLIT(C486, ""&lt;br&gt;""), ""([가-힣A-Za-z]+)""))"),"원")</f>
        <v>원</v>
      </c>
      <c r="K486" s="26" t="str">
        <f>IFERROR(__xludf.DUMMYFUNCTION("""COMPUTED_VALUE"""),"솔")</f>
        <v>솔</v>
      </c>
      <c r="L486" s="26" t="str">
        <f>IFERROR(__xludf.DUMMYFUNCTION("""COMPUTED_VALUE"""),"ACDC")</f>
        <v>ACDC</v>
      </c>
      <c r="M486" s="26" t="str">
        <f>IFERROR(__xludf.DUMMYFUNCTION("""COMPUTED_VALUE"""),"참치")</f>
        <v>참치</v>
      </c>
      <c r="N486" s="26" t="str">
        <f>IFERROR(__xludf.DUMMYFUNCTION("ARRAYFORMULA(REGEXEXTRACT(SPLIT(E486, ""&lt;br&gt;""), ""([가-힣A-Za-z]+)""))"),"신형만")</f>
        <v>신형만</v>
      </c>
      <c r="O486" s="26" t="str">
        <f>IFERROR(__xludf.DUMMYFUNCTION("""COMPUTED_VALUE"""),"노인")</f>
        <v>노인</v>
      </c>
      <c r="P486" s="26" t="str">
        <f>IFERROR(__xludf.DUMMYFUNCTION("""COMPUTED_VALUE"""),"한메")</f>
        <v>한메</v>
      </c>
      <c r="Q486" s="26" t="str">
        <f>IFERROR(__xludf.DUMMYFUNCTION("""COMPUTED_VALUE"""),"넘버")</f>
        <v>넘버</v>
      </c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27" t="s">
        <v>2184</v>
      </c>
      <c r="B487" s="28" t="s">
        <v>2185</v>
      </c>
      <c r="C487" s="27" t="s">
        <v>2186</v>
      </c>
      <c r="D487" s="27">
        <v>5.0</v>
      </c>
      <c r="E487" s="27" t="s">
        <v>2187</v>
      </c>
      <c r="F487" s="27">
        <v>3.0</v>
      </c>
      <c r="G487" s="29">
        <v>45872.94583333333</v>
      </c>
      <c r="H487" s="27" t="s">
        <v>2017</v>
      </c>
      <c r="I487" s="30" t="s">
        <v>2188</v>
      </c>
      <c r="J487" s="25" t="str">
        <f>IFERROR(__xludf.DUMMYFUNCTION("ARRAYFORMULA(REGEXEXTRACT(SPLIT(C487, ""&lt;br&gt;""), ""([가-힣A-Za-z]+)""))"),"솔")</f>
        <v>솔</v>
      </c>
      <c r="K487" s="26" t="str">
        <f>IFERROR(__xludf.DUMMYFUNCTION("""COMPUTED_VALUE"""),"참치")</f>
        <v>참치</v>
      </c>
      <c r="L487" s="26" t="str">
        <f>IFERROR(__xludf.DUMMYFUNCTION("""COMPUTED_VALUE"""),"테리")</f>
        <v>테리</v>
      </c>
      <c r="M487" s="26" t="str">
        <f>IFERROR(__xludf.DUMMYFUNCTION("""COMPUTED_VALUE"""),"한메")</f>
        <v>한메</v>
      </c>
      <c r="N487" s="26" t="str">
        <f>IFERROR(__xludf.DUMMYFUNCTION("ARRAYFORMULA(REGEXEXTRACT(SPLIT(E487, ""&lt;br&gt;""), ""([가-힣A-Za-z]+)""))"),"ACDC")</f>
        <v>ACDC</v>
      </c>
      <c r="O487" s="26" t="str">
        <f>IFERROR(__xludf.DUMMYFUNCTION("""COMPUTED_VALUE"""),"원")</f>
        <v>원</v>
      </c>
      <c r="P487" s="26" t="str">
        <f>IFERROR(__xludf.DUMMYFUNCTION("""COMPUTED_VALUE"""),"노인")</f>
        <v>노인</v>
      </c>
      <c r="Q487" s="26" t="str">
        <f>IFERROR(__xludf.DUMMYFUNCTION("""COMPUTED_VALUE"""),"신형만")</f>
        <v>신형만</v>
      </c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27" t="s">
        <v>2189</v>
      </c>
      <c r="B488" s="28" t="s">
        <v>2190</v>
      </c>
      <c r="C488" s="27" t="s">
        <v>2191</v>
      </c>
      <c r="D488" s="27">
        <v>5.0</v>
      </c>
      <c r="E488" s="27" t="s">
        <v>2192</v>
      </c>
      <c r="F488" s="27">
        <v>3.0</v>
      </c>
      <c r="G488" s="29">
        <v>45871.14027777778</v>
      </c>
      <c r="H488" s="27" t="s">
        <v>2017</v>
      </c>
      <c r="I488" s="30" t="s">
        <v>2193</v>
      </c>
      <c r="J488" s="25" t="str">
        <f>IFERROR(__xludf.DUMMYFUNCTION("ARRAYFORMULA(REGEXEXTRACT(SPLIT(C488, ""&lt;br&gt;""), ""([가-힣A-Za-z]+)""))"),"참치")</f>
        <v>참치</v>
      </c>
      <c r="K488" s="26" t="str">
        <f>IFERROR(__xludf.DUMMYFUNCTION("""COMPUTED_VALUE"""),"테리")</f>
        <v>테리</v>
      </c>
      <c r="L488" s="26" t="str">
        <f>IFERROR(__xludf.DUMMYFUNCTION("""COMPUTED_VALUE"""),"ACDC")</f>
        <v>ACDC</v>
      </c>
      <c r="M488" s="26" t="str">
        <f>IFERROR(__xludf.DUMMYFUNCTION("""COMPUTED_VALUE"""),"신형만")</f>
        <v>신형만</v>
      </c>
      <c r="N488" s="26" t="str">
        <f>IFERROR(__xludf.DUMMYFUNCTION("ARRAYFORMULA(REGEXEXTRACT(SPLIT(E488, ""&lt;br&gt;""), ""([가-힣A-Za-z]+)""))"),"넘버")</f>
        <v>넘버</v>
      </c>
      <c r="O488" s="26" t="str">
        <f>IFERROR(__xludf.DUMMYFUNCTION("""COMPUTED_VALUE"""),"노인")</f>
        <v>노인</v>
      </c>
      <c r="P488" s="26" t="str">
        <f>IFERROR(__xludf.DUMMYFUNCTION("""COMPUTED_VALUE"""),"원")</f>
        <v>원</v>
      </c>
      <c r="Q488" s="26" t="str">
        <f>IFERROR(__xludf.DUMMYFUNCTION("""COMPUTED_VALUE"""),"솔")</f>
        <v>솔</v>
      </c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27" t="s">
        <v>2194</v>
      </c>
      <c r="B489" s="28" t="s">
        <v>2195</v>
      </c>
      <c r="C489" s="27" t="s">
        <v>2196</v>
      </c>
      <c r="D489" s="27">
        <v>5.0</v>
      </c>
      <c r="E489" s="27" t="s">
        <v>2197</v>
      </c>
      <c r="F489" s="27">
        <v>4.0</v>
      </c>
      <c r="G489" s="29">
        <v>45871.09166666667</v>
      </c>
      <c r="H489" s="27" t="s">
        <v>2017</v>
      </c>
      <c r="I489" s="30" t="s">
        <v>2193</v>
      </c>
      <c r="J489" s="25" t="str">
        <f>IFERROR(__xludf.DUMMYFUNCTION("ARRAYFORMULA(REGEXEXTRACT(SPLIT(C489, ""&lt;br&gt;""), ""([가-힣A-Za-z]+)""))"),"테리")</f>
        <v>테리</v>
      </c>
      <c r="K489" s="26" t="str">
        <f>IFERROR(__xludf.DUMMYFUNCTION("""COMPUTED_VALUE"""),"솔")</f>
        <v>솔</v>
      </c>
      <c r="L489" s="26" t="str">
        <f>IFERROR(__xludf.DUMMYFUNCTION("""COMPUTED_VALUE"""),"신형만")</f>
        <v>신형만</v>
      </c>
      <c r="M489" s="26" t="str">
        <f>IFERROR(__xludf.DUMMYFUNCTION("""COMPUTED_VALUE"""),"원")</f>
        <v>원</v>
      </c>
      <c r="N489" s="26" t="str">
        <f>IFERROR(__xludf.DUMMYFUNCTION("ARRAYFORMULA(REGEXEXTRACT(SPLIT(E489, ""&lt;br&gt;""), ""([가-힣A-Za-z]+)""))"),"ACDC")</f>
        <v>ACDC</v>
      </c>
      <c r="O489" s="26" t="str">
        <f>IFERROR(__xludf.DUMMYFUNCTION("""COMPUTED_VALUE"""),"참치")</f>
        <v>참치</v>
      </c>
      <c r="P489" s="26" t="str">
        <f>IFERROR(__xludf.DUMMYFUNCTION("""COMPUTED_VALUE"""),"노인")</f>
        <v>노인</v>
      </c>
      <c r="Q489" s="26" t="str">
        <f>IFERROR(__xludf.DUMMYFUNCTION("""COMPUTED_VALUE"""),"넘버")</f>
        <v>넘버</v>
      </c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27" t="s">
        <v>2198</v>
      </c>
      <c r="B490" s="28" t="s">
        <v>2199</v>
      </c>
      <c r="C490" s="27" t="s">
        <v>2200</v>
      </c>
      <c r="D490" s="27">
        <v>5.0</v>
      </c>
      <c r="E490" s="27" t="s">
        <v>2201</v>
      </c>
      <c r="F490" s="27">
        <v>3.0</v>
      </c>
      <c r="G490" s="29">
        <v>45871.05694444444</v>
      </c>
      <c r="H490" s="27" t="s">
        <v>2017</v>
      </c>
      <c r="I490" s="30" t="s">
        <v>2193</v>
      </c>
      <c r="J490" s="25" t="str">
        <f>IFERROR(__xludf.DUMMYFUNCTION("ARRAYFORMULA(REGEXEXTRACT(SPLIT(C490, ""&lt;br&gt;""), ""([가-힣A-Za-z]+)""))"),"노인")</f>
        <v>노인</v>
      </c>
      <c r="K490" s="26" t="str">
        <f>IFERROR(__xludf.DUMMYFUNCTION("""COMPUTED_VALUE"""),"원")</f>
        <v>원</v>
      </c>
      <c r="L490" s="26" t="str">
        <f>IFERROR(__xludf.DUMMYFUNCTION("""COMPUTED_VALUE"""),"참치")</f>
        <v>참치</v>
      </c>
      <c r="M490" s="26" t="str">
        <f>IFERROR(__xludf.DUMMYFUNCTION("""COMPUTED_VALUE"""),"신형만")</f>
        <v>신형만</v>
      </c>
      <c r="N490" s="26" t="str">
        <f>IFERROR(__xludf.DUMMYFUNCTION("ARRAYFORMULA(REGEXEXTRACT(SPLIT(E490, ""&lt;br&gt;""), ""([가-힣A-Za-z]+)""))"),"넘버")</f>
        <v>넘버</v>
      </c>
      <c r="O490" s="26" t="str">
        <f>IFERROR(__xludf.DUMMYFUNCTION("""COMPUTED_VALUE"""),"테리")</f>
        <v>테리</v>
      </c>
      <c r="P490" s="26" t="str">
        <f>IFERROR(__xludf.DUMMYFUNCTION("""COMPUTED_VALUE"""),"ACDC")</f>
        <v>ACDC</v>
      </c>
      <c r="Q490" s="26" t="str">
        <f>IFERROR(__xludf.DUMMYFUNCTION("""COMPUTED_VALUE"""),"솔")</f>
        <v>솔</v>
      </c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27" t="s">
        <v>2202</v>
      </c>
      <c r="B491" s="28" t="s">
        <v>2203</v>
      </c>
      <c r="C491" s="27" t="s">
        <v>2204</v>
      </c>
      <c r="D491" s="27">
        <v>5.0</v>
      </c>
      <c r="E491" s="27" t="s">
        <v>2205</v>
      </c>
      <c r="F491" s="27">
        <v>2.0</v>
      </c>
      <c r="G491" s="29">
        <v>45871.03333333333</v>
      </c>
      <c r="H491" s="27" t="s">
        <v>2017</v>
      </c>
      <c r="I491" s="30" t="s">
        <v>2193</v>
      </c>
      <c r="J491" s="25" t="str">
        <f>IFERROR(__xludf.DUMMYFUNCTION("ARRAYFORMULA(REGEXEXTRACT(SPLIT(C491, ""&lt;br&gt;""), ""([가-힣A-Za-z]+)""))"),"ACDC")</f>
        <v>ACDC</v>
      </c>
      <c r="K491" s="26" t="str">
        <f>IFERROR(__xludf.DUMMYFUNCTION("""COMPUTED_VALUE"""),"노인")</f>
        <v>노인</v>
      </c>
      <c r="L491" s="26" t="str">
        <f>IFERROR(__xludf.DUMMYFUNCTION("""COMPUTED_VALUE"""),"테리")</f>
        <v>테리</v>
      </c>
      <c r="M491" s="26" t="str">
        <f>IFERROR(__xludf.DUMMYFUNCTION("""COMPUTED_VALUE"""),"원")</f>
        <v>원</v>
      </c>
      <c r="N491" s="26" t="str">
        <f>IFERROR(__xludf.DUMMYFUNCTION("ARRAYFORMULA(REGEXEXTRACT(SPLIT(E491, ""&lt;br&gt;""), ""([가-힣A-Za-z]+)""))"),"참치")</f>
        <v>참치</v>
      </c>
      <c r="O491" s="26" t="str">
        <f>IFERROR(__xludf.DUMMYFUNCTION("""COMPUTED_VALUE"""),"솔")</f>
        <v>솔</v>
      </c>
      <c r="P491" s="26" t="str">
        <f>IFERROR(__xludf.DUMMYFUNCTION("""COMPUTED_VALUE"""),"신형만")</f>
        <v>신형만</v>
      </c>
      <c r="Q491" s="26" t="str">
        <f>IFERROR(__xludf.DUMMYFUNCTION("""COMPUTED_VALUE"""),"넘버")</f>
        <v>넘버</v>
      </c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27" t="s">
        <v>2206</v>
      </c>
      <c r="B492" s="28" t="s">
        <v>2207</v>
      </c>
      <c r="C492" s="27" t="s">
        <v>2208</v>
      </c>
      <c r="D492" s="27">
        <v>5.0</v>
      </c>
      <c r="E492" s="27" t="s">
        <v>2209</v>
      </c>
      <c r="F492" s="27">
        <v>2.0</v>
      </c>
      <c r="G492" s="29">
        <v>45871.01458333333</v>
      </c>
      <c r="H492" s="27" t="s">
        <v>2017</v>
      </c>
      <c r="I492" s="30" t="s">
        <v>2193</v>
      </c>
      <c r="J492" s="25" t="str">
        <f>IFERROR(__xludf.DUMMYFUNCTION("ARRAYFORMULA(REGEXEXTRACT(SPLIT(C492, ""&lt;br&gt;""), ""([가-힣A-Za-z]+)""))"),"노인")</f>
        <v>노인</v>
      </c>
      <c r="K492" s="26" t="str">
        <f>IFERROR(__xludf.DUMMYFUNCTION("""COMPUTED_VALUE"""),"넘버")</f>
        <v>넘버</v>
      </c>
      <c r="L492" s="26" t="str">
        <f>IFERROR(__xludf.DUMMYFUNCTION("""COMPUTED_VALUE"""),"원")</f>
        <v>원</v>
      </c>
      <c r="M492" s="26" t="str">
        <f>IFERROR(__xludf.DUMMYFUNCTION("""COMPUTED_VALUE"""),"신형만")</f>
        <v>신형만</v>
      </c>
      <c r="N492" s="26" t="str">
        <f>IFERROR(__xludf.DUMMYFUNCTION("ARRAYFORMULA(REGEXEXTRACT(SPLIT(E492, ""&lt;br&gt;""), ""([가-힣A-Za-z]+)""))"),"솔")</f>
        <v>솔</v>
      </c>
      <c r="O492" s="26" t="str">
        <f>IFERROR(__xludf.DUMMYFUNCTION("""COMPUTED_VALUE"""),"테리")</f>
        <v>테리</v>
      </c>
      <c r="P492" s="26" t="str">
        <f>IFERROR(__xludf.DUMMYFUNCTION("""COMPUTED_VALUE"""),"ACDC")</f>
        <v>ACDC</v>
      </c>
      <c r="Q492" s="26" t="str">
        <f>IFERROR(__xludf.DUMMYFUNCTION("""COMPUTED_VALUE"""),"참치")</f>
        <v>참치</v>
      </c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27" t="s">
        <v>2210</v>
      </c>
      <c r="B493" s="28" t="s">
        <v>2211</v>
      </c>
      <c r="C493" s="27" t="s">
        <v>2212</v>
      </c>
      <c r="D493" s="27">
        <v>5.0</v>
      </c>
      <c r="E493" s="27" t="s">
        <v>2213</v>
      </c>
      <c r="F493" s="27">
        <v>4.0</v>
      </c>
      <c r="G493" s="29">
        <v>45870.993055555555</v>
      </c>
      <c r="H493" s="27" t="s">
        <v>2017</v>
      </c>
      <c r="I493" s="30" t="s">
        <v>2214</v>
      </c>
      <c r="J493" s="25" t="str">
        <f>IFERROR(__xludf.DUMMYFUNCTION("ARRAYFORMULA(REGEXEXTRACT(SPLIT(C493, ""&lt;br&gt;""), ""([가-힣A-Za-z]+)""))"),"ACDC")</f>
        <v>ACDC</v>
      </c>
      <c r="K493" s="26" t="str">
        <f>IFERROR(__xludf.DUMMYFUNCTION("""COMPUTED_VALUE"""),"원")</f>
        <v>원</v>
      </c>
      <c r="L493" s="26" t="str">
        <f>IFERROR(__xludf.DUMMYFUNCTION("""COMPUTED_VALUE"""),"터미")</f>
        <v>터미</v>
      </c>
      <c r="M493" s="26" t="str">
        <f>IFERROR(__xludf.DUMMYFUNCTION("""COMPUTED_VALUE"""),"참치")</f>
        <v>참치</v>
      </c>
      <c r="N493" s="26" t="str">
        <f>IFERROR(__xludf.DUMMYFUNCTION("ARRAYFORMULA(REGEXEXTRACT(SPLIT(E493, ""&lt;br&gt;""), ""([가-힣A-Za-z]+)""))"),"테리")</f>
        <v>테리</v>
      </c>
      <c r="O493" s="26" t="str">
        <f>IFERROR(__xludf.DUMMYFUNCTION("""COMPUTED_VALUE"""),"솔")</f>
        <v>솔</v>
      </c>
      <c r="P493" s="26" t="str">
        <f>IFERROR(__xludf.DUMMYFUNCTION("""COMPUTED_VALUE"""),"노인")</f>
        <v>노인</v>
      </c>
      <c r="Q493" s="26" t="str">
        <f>IFERROR(__xludf.DUMMYFUNCTION("""COMPUTED_VALUE"""),"신형만")</f>
        <v>신형만</v>
      </c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27" t="s">
        <v>2215</v>
      </c>
      <c r="B494" s="28" t="s">
        <v>2216</v>
      </c>
      <c r="C494" s="27" t="s">
        <v>2217</v>
      </c>
      <c r="D494" s="27">
        <v>5.0</v>
      </c>
      <c r="E494" s="27" t="s">
        <v>2218</v>
      </c>
      <c r="F494" s="27">
        <v>3.0</v>
      </c>
      <c r="G494" s="29">
        <v>45870.95972222222</v>
      </c>
      <c r="H494" s="27" t="s">
        <v>2017</v>
      </c>
      <c r="I494" s="30" t="s">
        <v>2214</v>
      </c>
      <c r="J494" s="25" t="str">
        <f>IFERROR(__xludf.DUMMYFUNCTION("ARRAYFORMULA(REGEXEXTRACT(SPLIT(C494, ""&lt;br&gt;""), ""([가-힣A-Za-z]+)""))"),"테리")</f>
        <v>테리</v>
      </c>
      <c r="K494" s="26" t="str">
        <f>IFERROR(__xludf.DUMMYFUNCTION("""COMPUTED_VALUE"""),"노인")</f>
        <v>노인</v>
      </c>
      <c r="L494" s="26" t="str">
        <f>IFERROR(__xludf.DUMMYFUNCTION("""COMPUTED_VALUE"""),"원")</f>
        <v>원</v>
      </c>
      <c r="M494" s="26" t="str">
        <f>IFERROR(__xludf.DUMMYFUNCTION("""COMPUTED_VALUE"""),"터미")</f>
        <v>터미</v>
      </c>
      <c r="N494" s="26" t="str">
        <f>IFERROR(__xludf.DUMMYFUNCTION("ARRAYFORMULA(REGEXEXTRACT(SPLIT(E494, ""&lt;br&gt;""), ""([가-힣A-Za-z]+)""))"),"ACDC")</f>
        <v>ACDC</v>
      </c>
      <c r="O494" s="26" t="str">
        <f>IFERROR(__xludf.DUMMYFUNCTION("""COMPUTED_VALUE"""),"참치")</f>
        <v>참치</v>
      </c>
      <c r="P494" s="26" t="str">
        <f>IFERROR(__xludf.DUMMYFUNCTION("""COMPUTED_VALUE"""),"솔")</f>
        <v>솔</v>
      </c>
      <c r="Q494" s="26" t="str">
        <f>IFERROR(__xludf.DUMMYFUNCTION("""COMPUTED_VALUE"""),"신형만")</f>
        <v>신형만</v>
      </c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27" t="s">
        <v>2219</v>
      </c>
      <c r="B495" s="28" t="s">
        <v>2220</v>
      </c>
      <c r="C495" s="27" t="s">
        <v>2221</v>
      </c>
      <c r="D495" s="27">
        <v>5.0</v>
      </c>
      <c r="E495" s="27" t="s">
        <v>2222</v>
      </c>
      <c r="F495" s="27">
        <v>0.0</v>
      </c>
      <c r="G495" s="29">
        <v>45869.96527777778</v>
      </c>
      <c r="H495" s="27" t="s">
        <v>2017</v>
      </c>
      <c r="I495" s="30" t="s">
        <v>2223</v>
      </c>
      <c r="J495" s="25" t="str">
        <f>IFERROR(__xludf.DUMMYFUNCTION("ARRAYFORMULA(REGEXEXTRACT(SPLIT(C495, ""&lt;br&gt;""), ""([가-힣A-Za-z]+)""))"),"원")</f>
        <v>원</v>
      </c>
      <c r="K495" s="26" t="str">
        <f>IFERROR(__xludf.DUMMYFUNCTION("""COMPUTED_VALUE"""),"참치")</f>
        <v>참치</v>
      </c>
      <c r="L495" s="26" t="str">
        <f>IFERROR(__xludf.DUMMYFUNCTION("""COMPUTED_VALUE"""),"테리")</f>
        <v>테리</v>
      </c>
      <c r="M495" s="26" t="str">
        <f>IFERROR(__xludf.DUMMYFUNCTION("""COMPUTED_VALUE"""),"넘버")</f>
        <v>넘버</v>
      </c>
      <c r="N495" s="26" t="str">
        <f>IFERROR(__xludf.DUMMYFUNCTION("ARRAYFORMULA(REGEXEXTRACT(SPLIT(E495, ""&lt;br&gt;""), ""([가-힣A-Za-z]+)""))"),"깡패")</f>
        <v>깡패</v>
      </c>
      <c r="O495" s="26" t="str">
        <f>IFERROR(__xludf.DUMMYFUNCTION("""COMPUTED_VALUE"""),"ACDC")</f>
        <v>ACDC</v>
      </c>
      <c r="P495" s="26" t="str">
        <f>IFERROR(__xludf.DUMMYFUNCTION("""COMPUTED_VALUE"""),"한메")</f>
        <v>한메</v>
      </c>
      <c r="Q495" s="26" t="str">
        <f>IFERROR(__xludf.DUMMYFUNCTION("""COMPUTED_VALUE"""),"신형만")</f>
        <v>신형만</v>
      </c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27" t="s">
        <v>2224</v>
      </c>
      <c r="B496" s="28" t="s">
        <v>2225</v>
      </c>
      <c r="C496" s="27" t="s">
        <v>2226</v>
      </c>
      <c r="D496" s="27">
        <v>5.0</v>
      </c>
      <c r="E496" s="27" t="s">
        <v>2227</v>
      </c>
      <c r="F496" s="27">
        <v>3.0</v>
      </c>
      <c r="G496" s="29">
        <v>45869.96111111111</v>
      </c>
      <c r="H496" s="27" t="s">
        <v>2017</v>
      </c>
      <c r="I496" s="30" t="s">
        <v>2223</v>
      </c>
      <c r="J496" s="25" t="str">
        <f>IFERROR(__xludf.DUMMYFUNCTION("ARRAYFORMULA(REGEXEXTRACT(SPLIT(C496, ""&lt;br&gt;""), ""([가-힣A-Za-z]+)""))"),"넘버")</f>
        <v>넘버</v>
      </c>
      <c r="K496" s="26" t="str">
        <f>IFERROR(__xludf.DUMMYFUNCTION("""COMPUTED_VALUE"""),"깡패")</f>
        <v>깡패</v>
      </c>
      <c r="L496" s="26" t="str">
        <f>IFERROR(__xludf.DUMMYFUNCTION("""COMPUTED_VALUE"""),"참치")</f>
        <v>참치</v>
      </c>
      <c r="M496" s="26" t="str">
        <f>IFERROR(__xludf.DUMMYFUNCTION("""COMPUTED_VALUE"""),"신형만")</f>
        <v>신형만</v>
      </c>
      <c r="N496" s="26" t="str">
        <f>IFERROR(__xludf.DUMMYFUNCTION("ARRAYFORMULA(REGEXEXTRACT(SPLIT(E496, ""&lt;br&gt;""), ""([가-힣A-Za-z]+)""))"),"한메")</f>
        <v>한메</v>
      </c>
      <c r="O496" s="26" t="str">
        <f>IFERROR(__xludf.DUMMYFUNCTION("""COMPUTED_VALUE"""),"테리")</f>
        <v>테리</v>
      </c>
      <c r="P496" s="26" t="str">
        <f>IFERROR(__xludf.DUMMYFUNCTION("""COMPUTED_VALUE"""),"원")</f>
        <v>원</v>
      </c>
      <c r="Q496" s="26" t="str">
        <f>IFERROR(__xludf.DUMMYFUNCTION("""COMPUTED_VALUE"""),"ACDC")</f>
        <v>ACDC</v>
      </c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27" t="s">
        <v>2228</v>
      </c>
      <c r="B497" s="28" t="s">
        <v>2229</v>
      </c>
      <c r="C497" s="27" t="s">
        <v>2230</v>
      </c>
      <c r="D497" s="27">
        <v>5.0</v>
      </c>
      <c r="E497" s="27" t="s">
        <v>2231</v>
      </c>
      <c r="F497" s="27">
        <v>1.0</v>
      </c>
      <c r="G497" s="29">
        <v>45869.92013888889</v>
      </c>
      <c r="H497" s="27" t="s">
        <v>2017</v>
      </c>
      <c r="I497" s="30" t="s">
        <v>2223</v>
      </c>
      <c r="J497" s="25" t="str">
        <f>IFERROR(__xludf.DUMMYFUNCTION("ARRAYFORMULA(REGEXEXTRACT(SPLIT(C497, ""&lt;br&gt;""), ""([가-힣A-Za-z]+)""))"),"참치")</f>
        <v>참치</v>
      </c>
      <c r="K497" s="26" t="str">
        <f>IFERROR(__xludf.DUMMYFUNCTION("""COMPUTED_VALUE"""),"원")</f>
        <v>원</v>
      </c>
      <c r="L497" s="26" t="str">
        <f>IFERROR(__xludf.DUMMYFUNCTION("""COMPUTED_VALUE"""),"신형만")</f>
        <v>신형만</v>
      </c>
      <c r="M497" s="26" t="str">
        <f>IFERROR(__xludf.DUMMYFUNCTION("""COMPUTED_VALUE"""),"한메")</f>
        <v>한메</v>
      </c>
      <c r="N497" s="26" t="str">
        <f>IFERROR(__xludf.DUMMYFUNCTION("ARRAYFORMULA(REGEXEXTRACT(SPLIT(E497, ""&lt;br&gt;""), ""([가-힣A-Za-z]+)""))"),"테리")</f>
        <v>테리</v>
      </c>
      <c r="O497" s="26" t="str">
        <f>IFERROR(__xludf.DUMMYFUNCTION("""COMPUTED_VALUE"""),"ACDC")</f>
        <v>ACDC</v>
      </c>
      <c r="P497" s="26" t="str">
        <f>IFERROR(__xludf.DUMMYFUNCTION("""COMPUTED_VALUE"""),"깡패")</f>
        <v>깡패</v>
      </c>
      <c r="Q497" s="26" t="str">
        <f>IFERROR(__xludf.DUMMYFUNCTION("""COMPUTED_VALUE"""),"넘버")</f>
        <v>넘버</v>
      </c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27" t="s">
        <v>2232</v>
      </c>
      <c r="B498" s="28" t="s">
        <v>2233</v>
      </c>
      <c r="C498" s="27" t="s">
        <v>2234</v>
      </c>
      <c r="D498" s="27">
        <v>5.0</v>
      </c>
      <c r="E498" s="27" t="s">
        <v>2235</v>
      </c>
      <c r="F498" s="27">
        <v>2.0</v>
      </c>
      <c r="G498" s="29">
        <v>45869.89236111111</v>
      </c>
      <c r="H498" s="27" t="s">
        <v>2017</v>
      </c>
      <c r="I498" s="30" t="s">
        <v>2236</v>
      </c>
      <c r="J498" s="25" t="str">
        <f>IFERROR(__xludf.DUMMYFUNCTION("ARRAYFORMULA(REGEXEXTRACT(SPLIT(C498, ""&lt;br&gt;""), ""([가-힣A-Za-z]+)""))"),"ACDC")</f>
        <v>ACDC</v>
      </c>
      <c r="K498" s="26" t="str">
        <f>IFERROR(__xludf.DUMMYFUNCTION("""COMPUTED_VALUE"""),"넘버")</f>
        <v>넘버</v>
      </c>
      <c r="L498" s="26" t="str">
        <f>IFERROR(__xludf.DUMMYFUNCTION("""COMPUTED_VALUE"""),"참치")</f>
        <v>참치</v>
      </c>
      <c r="M498" s="26" t="str">
        <f>IFERROR(__xludf.DUMMYFUNCTION("""COMPUTED_VALUE"""),"깡패")</f>
        <v>깡패</v>
      </c>
      <c r="N498" s="26" t="str">
        <f>IFERROR(__xludf.DUMMYFUNCTION("ARRAYFORMULA(REGEXEXTRACT(SPLIT(E498, ""&lt;br&gt;""), ""([가-힣A-Za-z]+)""))"),"유즈")</f>
        <v>유즈</v>
      </c>
      <c r="O498" s="26" t="str">
        <f>IFERROR(__xludf.DUMMYFUNCTION("""COMPUTED_VALUE"""),"테리")</f>
        <v>테리</v>
      </c>
      <c r="P498" s="26" t="str">
        <f>IFERROR(__xludf.DUMMYFUNCTION("""COMPUTED_VALUE"""),"신형만")</f>
        <v>신형만</v>
      </c>
      <c r="Q498" s="26" t="str">
        <f>IFERROR(__xludf.DUMMYFUNCTION("""COMPUTED_VALUE"""),"규식")</f>
        <v>규식</v>
      </c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27" t="s">
        <v>2237</v>
      </c>
      <c r="B499" s="28" t="s">
        <v>2238</v>
      </c>
      <c r="C499" s="27" t="s">
        <v>2239</v>
      </c>
      <c r="D499" s="27">
        <v>5.0</v>
      </c>
      <c r="E499" s="27" t="s">
        <v>2240</v>
      </c>
      <c r="F499" s="27">
        <v>0.0</v>
      </c>
      <c r="G499" s="29">
        <v>45869.86597222222</v>
      </c>
      <c r="H499" s="27" t="s">
        <v>2017</v>
      </c>
      <c r="I499" s="30" t="s">
        <v>2236</v>
      </c>
      <c r="J499" s="25" t="str">
        <f>IFERROR(__xludf.DUMMYFUNCTION("ARRAYFORMULA(REGEXEXTRACT(SPLIT(C499, ""&lt;br&gt;""), ""([가-힣A-Za-z]+)""))"),"깡패")</f>
        <v>깡패</v>
      </c>
      <c r="K499" s="26" t="str">
        <f>IFERROR(__xludf.DUMMYFUNCTION("""COMPUTED_VALUE"""),"참치")</f>
        <v>참치</v>
      </c>
      <c r="L499" s="26" t="str">
        <f>IFERROR(__xludf.DUMMYFUNCTION("""COMPUTED_VALUE"""),"테리")</f>
        <v>테리</v>
      </c>
      <c r="M499" s="26" t="str">
        <f>IFERROR(__xludf.DUMMYFUNCTION("""COMPUTED_VALUE"""),"규식")</f>
        <v>규식</v>
      </c>
      <c r="N499" s="26" t="str">
        <f>IFERROR(__xludf.DUMMYFUNCTION("ARRAYFORMULA(REGEXEXTRACT(SPLIT(E499, ""&lt;br&gt;""), ""([가-힣A-Za-z]+)""))"),"신형만")</f>
        <v>신형만</v>
      </c>
      <c r="O499" s="26" t="str">
        <f>IFERROR(__xludf.DUMMYFUNCTION("""COMPUTED_VALUE"""),"유즈")</f>
        <v>유즈</v>
      </c>
      <c r="P499" s="26" t="str">
        <f>IFERROR(__xludf.DUMMYFUNCTION("""COMPUTED_VALUE"""),"ACDC")</f>
        <v>ACDC</v>
      </c>
      <c r="Q499" s="26" t="str">
        <f>IFERROR(__xludf.DUMMYFUNCTION("""COMPUTED_VALUE"""),"넘버")</f>
        <v>넘버</v>
      </c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27" t="s">
        <v>2241</v>
      </c>
      <c r="B500" s="28" t="s">
        <v>2242</v>
      </c>
      <c r="C500" s="27" t="s">
        <v>2243</v>
      </c>
      <c r="D500" s="27">
        <v>5.0</v>
      </c>
      <c r="E500" s="27" t="s">
        <v>2244</v>
      </c>
      <c r="F500" s="27">
        <v>0.0</v>
      </c>
      <c r="G500" s="29">
        <v>45869.85486111111</v>
      </c>
      <c r="H500" s="27" t="s">
        <v>2017</v>
      </c>
      <c r="I500" s="30" t="s">
        <v>2236</v>
      </c>
      <c r="J500" s="25" t="str">
        <f>IFERROR(__xludf.DUMMYFUNCTION("ARRAYFORMULA(REGEXEXTRACT(SPLIT(C500, ""&lt;br&gt;""), ""([가-힣A-Za-z]+)""))"),"유즈")</f>
        <v>유즈</v>
      </c>
      <c r="K500" s="26" t="str">
        <f>IFERROR(__xludf.DUMMYFUNCTION("""COMPUTED_VALUE"""),"참치")</f>
        <v>참치</v>
      </c>
      <c r="L500" s="26" t="str">
        <f>IFERROR(__xludf.DUMMYFUNCTION("""COMPUTED_VALUE"""),"넘버")</f>
        <v>넘버</v>
      </c>
      <c r="M500" s="26" t="str">
        <f>IFERROR(__xludf.DUMMYFUNCTION("""COMPUTED_VALUE"""),"규식")</f>
        <v>규식</v>
      </c>
      <c r="N500" s="26" t="str">
        <f>IFERROR(__xludf.DUMMYFUNCTION("ARRAYFORMULA(REGEXEXTRACT(SPLIT(E500, ""&lt;br&gt;""), ""([가-힣A-Za-z]+)""))"),"테리")</f>
        <v>테리</v>
      </c>
      <c r="O500" s="26" t="str">
        <f>IFERROR(__xludf.DUMMYFUNCTION("""COMPUTED_VALUE"""),"깡패")</f>
        <v>깡패</v>
      </c>
      <c r="P500" s="26" t="str">
        <f>IFERROR(__xludf.DUMMYFUNCTION("""COMPUTED_VALUE"""),"ACDC")</f>
        <v>ACDC</v>
      </c>
      <c r="Q500" s="26" t="str">
        <f>IFERROR(__xludf.DUMMYFUNCTION("""COMPUTED_VALUE"""),"신형만")</f>
        <v>신형만</v>
      </c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27" t="s">
        <v>2245</v>
      </c>
      <c r="B501" s="28" t="s">
        <v>2246</v>
      </c>
      <c r="C501" s="27" t="s">
        <v>2247</v>
      </c>
      <c r="D501" s="27">
        <v>5.0</v>
      </c>
      <c r="E501" s="27" t="s">
        <v>2248</v>
      </c>
      <c r="F501" s="27">
        <v>2.0</v>
      </c>
      <c r="G501" s="29">
        <v>45868.925</v>
      </c>
      <c r="H501" s="27" t="s">
        <v>2017</v>
      </c>
      <c r="I501" s="30" t="s">
        <v>2249</v>
      </c>
      <c r="J501" s="25" t="str">
        <f>IFERROR(__xludf.DUMMYFUNCTION("ARRAYFORMULA(REGEXEXTRACT(SPLIT(C501, ""&lt;br&gt;""), ""([가-힣A-Za-z]+)""))"),"신형만")</f>
        <v>신형만</v>
      </c>
      <c r="K501" s="26" t="str">
        <f>IFERROR(__xludf.DUMMYFUNCTION("""COMPUTED_VALUE"""),"테리")</f>
        <v>테리</v>
      </c>
      <c r="L501" s="26" t="str">
        <f>IFERROR(__xludf.DUMMYFUNCTION("""COMPUTED_VALUE"""),"터미")</f>
        <v>터미</v>
      </c>
      <c r="M501" s="26" t="str">
        <f>IFERROR(__xludf.DUMMYFUNCTION("""COMPUTED_VALUE"""),"한메")</f>
        <v>한메</v>
      </c>
      <c r="N501" s="26" t="str">
        <f>IFERROR(__xludf.DUMMYFUNCTION("ARRAYFORMULA(REGEXEXTRACT(SPLIT(E501, ""&lt;br&gt;""), ""([가-힣A-Za-z]+)""))"),"노인")</f>
        <v>노인</v>
      </c>
      <c r="O501" s="26" t="str">
        <f>IFERROR(__xludf.DUMMYFUNCTION("""COMPUTED_VALUE"""),"깡패")</f>
        <v>깡패</v>
      </c>
      <c r="P501" s="26" t="str">
        <f>IFERROR(__xludf.DUMMYFUNCTION("""COMPUTED_VALUE"""),"ACDC")</f>
        <v>ACDC</v>
      </c>
      <c r="Q501" s="26" t="str">
        <f>IFERROR(__xludf.DUMMYFUNCTION("""COMPUTED_VALUE"""),"넘버")</f>
        <v>넘버</v>
      </c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27" t="s">
        <v>2250</v>
      </c>
      <c r="B502" s="28" t="s">
        <v>2251</v>
      </c>
      <c r="C502" s="27" t="s">
        <v>2252</v>
      </c>
      <c r="D502" s="27">
        <v>5.0</v>
      </c>
      <c r="E502" s="27" t="s">
        <v>2253</v>
      </c>
      <c r="F502" s="27">
        <v>0.0</v>
      </c>
      <c r="G502" s="29">
        <v>45868.90347222222</v>
      </c>
      <c r="H502" s="27" t="s">
        <v>2017</v>
      </c>
      <c r="I502" s="30" t="s">
        <v>2249</v>
      </c>
      <c r="J502" s="25" t="str">
        <f>IFERROR(__xludf.DUMMYFUNCTION("ARRAYFORMULA(REGEXEXTRACT(SPLIT(C502, ""&lt;br&gt;""), ""([가-힣A-Za-z]+)""))"),"넘버")</f>
        <v>넘버</v>
      </c>
      <c r="K502" s="26" t="str">
        <f>IFERROR(__xludf.DUMMYFUNCTION("""COMPUTED_VALUE"""),"노인")</f>
        <v>노인</v>
      </c>
      <c r="L502" s="26" t="str">
        <f>IFERROR(__xludf.DUMMYFUNCTION("""COMPUTED_VALUE"""),"터미")</f>
        <v>터미</v>
      </c>
      <c r="M502" s="26" t="str">
        <f>IFERROR(__xludf.DUMMYFUNCTION("""COMPUTED_VALUE"""),"한메")</f>
        <v>한메</v>
      </c>
      <c r="N502" s="26" t="str">
        <f>IFERROR(__xludf.DUMMYFUNCTION("ARRAYFORMULA(REGEXEXTRACT(SPLIT(E502, ""&lt;br&gt;""), ""([가-힣A-Za-z]+)""))"),"ACDC")</f>
        <v>ACDC</v>
      </c>
      <c r="O502" s="26" t="str">
        <f>IFERROR(__xludf.DUMMYFUNCTION("""COMPUTED_VALUE"""),"테리")</f>
        <v>테리</v>
      </c>
      <c r="P502" s="26" t="str">
        <f>IFERROR(__xludf.DUMMYFUNCTION("""COMPUTED_VALUE"""),"신형만")</f>
        <v>신형만</v>
      </c>
      <c r="Q502" s="26" t="str">
        <f>IFERROR(__xludf.DUMMYFUNCTION("""COMPUTED_VALUE"""),"깡패")</f>
        <v>깡패</v>
      </c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27" t="s">
        <v>2254</v>
      </c>
      <c r="B503" s="28" t="s">
        <v>2255</v>
      </c>
      <c r="C503" s="27" t="s">
        <v>2256</v>
      </c>
      <c r="D503" s="27">
        <v>5.0</v>
      </c>
      <c r="E503" s="27" t="s">
        <v>2257</v>
      </c>
      <c r="F503" s="27">
        <v>3.0</v>
      </c>
      <c r="G503" s="29">
        <v>45868.888194444444</v>
      </c>
      <c r="H503" s="27" t="s">
        <v>2017</v>
      </c>
      <c r="I503" s="30" t="s">
        <v>2249</v>
      </c>
      <c r="J503" s="25" t="str">
        <f>IFERROR(__xludf.DUMMYFUNCTION("ARRAYFORMULA(REGEXEXTRACT(SPLIT(C503, ""&lt;br&gt;""), ""([가-힣A-Za-z]+)""))"),"넘버")</f>
        <v>넘버</v>
      </c>
      <c r="K503" s="26" t="str">
        <f>IFERROR(__xludf.DUMMYFUNCTION("""COMPUTED_VALUE"""),"깡패")</f>
        <v>깡패</v>
      </c>
      <c r="L503" s="26" t="str">
        <f>IFERROR(__xludf.DUMMYFUNCTION("""COMPUTED_VALUE"""),"ACDC")</f>
        <v>ACDC</v>
      </c>
      <c r="M503" s="26" t="str">
        <f>IFERROR(__xludf.DUMMYFUNCTION("""COMPUTED_VALUE"""),"터미")</f>
        <v>터미</v>
      </c>
      <c r="N503" s="26" t="str">
        <f>IFERROR(__xludf.DUMMYFUNCTION("ARRAYFORMULA(REGEXEXTRACT(SPLIT(E503, ""&lt;br&gt;""), ""([가-힣A-Za-z]+)""))"),"노인")</f>
        <v>노인</v>
      </c>
      <c r="O503" s="26" t="str">
        <f>IFERROR(__xludf.DUMMYFUNCTION("""COMPUTED_VALUE"""),"테리")</f>
        <v>테리</v>
      </c>
      <c r="P503" s="26" t="str">
        <f>IFERROR(__xludf.DUMMYFUNCTION("""COMPUTED_VALUE"""),"신형만")</f>
        <v>신형만</v>
      </c>
      <c r="Q503" s="26" t="str">
        <f>IFERROR(__xludf.DUMMYFUNCTION("""COMPUTED_VALUE"""),"한메")</f>
        <v>한메</v>
      </c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27" t="s">
        <v>2258</v>
      </c>
      <c r="B504" s="28" t="s">
        <v>2259</v>
      </c>
      <c r="C504" s="27" t="s">
        <v>2260</v>
      </c>
      <c r="D504" s="27">
        <v>5.0</v>
      </c>
      <c r="E504" s="27" t="s">
        <v>2261</v>
      </c>
      <c r="F504" s="27">
        <v>4.0</v>
      </c>
      <c r="G504" s="29">
        <v>45868.86736111111</v>
      </c>
      <c r="H504" s="27" t="s">
        <v>2017</v>
      </c>
      <c r="I504" s="30" t="s">
        <v>2249</v>
      </c>
      <c r="J504" s="25" t="str">
        <f>IFERROR(__xludf.DUMMYFUNCTION("ARRAYFORMULA(REGEXEXTRACT(SPLIT(C504, ""&lt;br&gt;""), ""([가-힣A-Za-z]+)""))"),"ACDC")</f>
        <v>ACDC</v>
      </c>
      <c r="K504" s="26" t="str">
        <f>IFERROR(__xludf.DUMMYFUNCTION("""COMPUTED_VALUE"""),"노인")</f>
        <v>노인</v>
      </c>
      <c r="L504" s="26" t="str">
        <f>IFERROR(__xludf.DUMMYFUNCTION("""COMPUTED_VALUE"""),"한메")</f>
        <v>한메</v>
      </c>
      <c r="M504" s="26" t="str">
        <f>IFERROR(__xludf.DUMMYFUNCTION("""COMPUTED_VALUE"""),"넘버")</f>
        <v>넘버</v>
      </c>
      <c r="N504" s="26" t="str">
        <f>IFERROR(__xludf.DUMMYFUNCTION("ARRAYFORMULA(REGEXEXTRACT(SPLIT(E504, ""&lt;br&gt;""), ""([가-힣A-Za-z]+)""))"),"터미")</f>
        <v>터미</v>
      </c>
      <c r="O504" s="26" t="str">
        <f>IFERROR(__xludf.DUMMYFUNCTION("""COMPUTED_VALUE"""),"깡패")</f>
        <v>깡패</v>
      </c>
      <c r="P504" s="26" t="str">
        <f>IFERROR(__xludf.DUMMYFUNCTION("""COMPUTED_VALUE"""),"테리")</f>
        <v>테리</v>
      </c>
      <c r="Q504" s="26" t="str">
        <f>IFERROR(__xludf.DUMMYFUNCTION("""COMPUTED_VALUE"""),"신형만")</f>
        <v>신형만</v>
      </c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27" t="s">
        <v>2262</v>
      </c>
      <c r="B505" s="28" t="s">
        <v>2263</v>
      </c>
      <c r="C505" s="27" t="s">
        <v>2264</v>
      </c>
      <c r="D505" s="27">
        <v>5.0</v>
      </c>
      <c r="E505" s="27" t="s">
        <v>2265</v>
      </c>
      <c r="F505" s="27">
        <v>0.0</v>
      </c>
      <c r="G505" s="29">
        <v>45868.006944444445</v>
      </c>
      <c r="H505" s="27" t="s">
        <v>2017</v>
      </c>
      <c r="I505" s="30" t="s">
        <v>2266</v>
      </c>
      <c r="J505" s="25" t="str">
        <f>IFERROR(__xludf.DUMMYFUNCTION("ARRAYFORMULA(REGEXEXTRACT(SPLIT(C505, ""&lt;br&gt;""), ""([가-힣A-Za-z]+)""))"),"참치")</f>
        <v>참치</v>
      </c>
      <c r="K505" s="26" t="str">
        <f>IFERROR(__xludf.DUMMYFUNCTION("""COMPUTED_VALUE"""),"넘버")</f>
        <v>넘버</v>
      </c>
      <c r="L505" s="26" t="str">
        <f>IFERROR(__xludf.DUMMYFUNCTION("""COMPUTED_VALUE"""),"짱구")</f>
        <v>짱구</v>
      </c>
      <c r="M505" s="26" t="str">
        <f>IFERROR(__xludf.DUMMYFUNCTION("""COMPUTED_VALUE"""),"신형만")</f>
        <v>신형만</v>
      </c>
      <c r="N505" s="26" t="str">
        <f>IFERROR(__xludf.DUMMYFUNCTION("ARRAYFORMULA(REGEXEXTRACT(SPLIT(E505, ""&lt;br&gt;""), ""([가-힣A-Za-z]+)""))"),"깡패")</f>
        <v>깡패</v>
      </c>
      <c r="O505" s="26" t="str">
        <f>IFERROR(__xludf.DUMMYFUNCTION("""COMPUTED_VALUE"""),"테리")</f>
        <v>테리</v>
      </c>
      <c r="P505" s="26" t="str">
        <f>IFERROR(__xludf.DUMMYFUNCTION("""COMPUTED_VALUE"""),"터미")</f>
        <v>터미</v>
      </c>
      <c r="Q505" s="26" t="str">
        <f>IFERROR(__xludf.DUMMYFUNCTION("""COMPUTED_VALUE"""),"ACDC")</f>
        <v>ACDC</v>
      </c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27" t="s">
        <v>2267</v>
      </c>
      <c r="B506" s="28" t="s">
        <v>2268</v>
      </c>
      <c r="C506" s="27" t="s">
        <v>2269</v>
      </c>
      <c r="D506" s="27">
        <v>5.0</v>
      </c>
      <c r="E506" s="27" t="s">
        <v>2270</v>
      </c>
      <c r="F506" s="27">
        <v>3.0</v>
      </c>
      <c r="G506" s="29">
        <v>45867.993055555555</v>
      </c>
      <c r="H506" s="27" t="s">
        <v>2017</v>
      </c>
      <c r="I506" s="30" t="s">
        <v>2266</v>
      </c>
      <c r="J506" s="25" t="str">
        <f>IFERROR(__xludf.DUMMYFUNCTION("ARRAYFORMULA(REGEXEXTRACT(SPLIT(C506, ""&lt;br&gt;""), ""([가-힣A-Za-z]+)""))"),"넘버")</f>
        <v>넘버</v>
      </c>
      <c r="K506" s="26" t="str">
        <f>IFERROR(__xludf.DUMMYFUNCTION("""COMPUTED_VALUE"""),"테리")</f>
        <v>테리</v>
      </c>
      <c r="L506" s="26" t="str">
        <f>IFERROR(__xludf.DUMMYFUNCTION("""COMPUTED_VALUE"""),"짱구")</f>
        <v>짱구</v>
      </c>
      <c r="M506" s="26" t="str">
        <f>IFERROR(__xludf.DUMMYFUNCTION("""COMPUTED_VALUE"""),"ACDC")</f>
        <v>ACDC</v>
      </c>
      <c r="N506" s="26" t="str">
        <f>IFERROR(__xludf.DUMMYFUNCTION("ARRAYFORMULA(REGEXEXTRACT(SPLIT(E506, ""&lt;br&gt;""), ""([가-힣A-Za-z]+)""))"),"터미")</f>
        <v>터미</v>
      </c>
      <c r="O506" s="26" t="str">
        <f>IFERROR(__xludf.DUMMYFUNCTION("""COMPUTED_VALUE"""),"깡패")</f>
        <v>깡패</v>
      </c>
      <c r="P506" s="26" t="str">
        <f>IFERROR(__xludf.DUMMYFUNCTION("""COMPUTED_VALUE"""),"참치")</f>
        <v>참치</v>
      </c>
      <c r="Q506" s="26" t="str">
        <f>IFERROR(__xludf.DUMMYFUNCTION("""COMPUTED_VALUE"""),"신형만")</f>
        <v>신형만</v>
      </c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27" t="s">
        <v>2271</v>
      </c>
      <c r="B507" s="28" t="s">
        <v>2272</v>
      </c>
      <c r="C507" s="27" t="s">
        <v>2273</v>
      </c>
      <c r="D507" s="27">
        <v>5.0</v>
      </c>
      <c r="E507" s="27" t="s">
        <v>2274</v>
      </c>
      <c r="F507" s="27">
        <v>4.0</v>
      </c>
      <c r="G507" s="29">
        <v>45866.97152777778</v>
      </c>
      <c r="H507" s="27" t="s">
        <v>2017</v>
      </c>
      <c r="I507" s="30" t="s">
        <v>26</v>
      </c>
      <c r="J507" s="25" t="str">
        <f>IFERROR(__xludf.DUMMYFUNCTION("ARRAYFORMULA(REGEXEXTRACT(SPLIT(C507, ""&lt;br&gt;""), ""([가-힣A-Za-z]+)""))"),"ACDC")</f>
        <v>ACDC</v>
      </c>
      <c r="K507" s="26" t="str">
        <f>IFERROR(__xludf.DUMMYFUNCTION("""COMPUTED_VALUE"""),"노인")</f>
        <v>노인</v>
      </c>
      <c r="L507" s="26" t="str">
        <f>IFERROR(__xludf.DUMMYFUNCTION("""COMPUTED_VALUE"""),"터미")</f>
        <v>터미</v>
      </c>
      <c r="M507" s="26" t="str">
        <f>IFERROR(__xludf.DUMMYFUNCTION("""COMPUTED_VALUE"""),"신형만")</f>
        <v>신형만</v>
      </c>
      <c r="N507" s="26" t="str">
        <f>IFERROR(__xludf.DUMMYFUNCTION("ARRAYFORMULA(REGEXEXTRACT(SPLIT(E507, ""&lt;br&gt;""), ""([가-힣A-Za-z]+)""))"),"테리")</f>
        <v>테리</v>
      </c>
      <c r="O507" s="26" t="str">
        <f>IFERROR(__xludf.DUMMYFUNCTION("""COMPUTED_VALUE"""),"깡패")</f>
        <v>깡패</v>
      </c>
      <c r="P507" s="26" t="str">
        <f>IFERROR(__xludf.DUMMYFUNCTION("""COMPUTED_VALUE"""),"짱구")</f>
        <v>짱구</v>
      </c>
      <c r="Q507" s="26" t="str">
        <f>IFERROR(__xludf.DUMMYFUNCTION("""COMPUTED_VALUE"""),"한메")</f>
        <v>한메</v>
      </c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27" t="s">
        <v>2275</v>
      </c>
      <c r="B508" s="28" t="s">
        <v>2276</v>
      </c>
      <c r="C508" s="27" t="s">
        <v>2277</v>
      </c>
      <c r="D508" s="27">
        <v>5.0</v>
      </c>
      <c r="E508" s="27" t="s">
        <v>2278</v>
      </c>
      <c r="F508" s="27">
        <v>4.0</v>
      </c>
      <c r="G508" s="29">
        <v>45866.93263888889</v>
      </c>
      <c r="H508" s="27" t="s">
        <v>2017</v>
      </c>
      <c r="I508" s="30" t="s">
        <v>2249</v>
      </c>
      <c r="J508" s="25" t="str">
        <f>IFERROR(__xludf.DUMMYFUNCTION("ARRAYFORMULA(REGEXEXTRACT(SPLIT(C508, ""&lt;br&gt;""), ""([가-힣A-Za-z]+)""))"),"노인")</f>
        <v>노인</v>
      </c>
      <c r="K508" s="26" t="str">
        <f>IFERROR(__xludf.DUMMYFUNCTION("""COMPUTED_VALUE"""),"깡패")</f>
        <v>깡패</v>
      </c>
      <c r="L508" s="26" t="str">
        <f>IFERROR(__xludf.DUMMYFUNCTION("""COMPUTED_VALUE"""),"넘버")</f>
        <v>넘버</v>
      </c>
      <c r="M508" s="26" t="str">
        <f>IFERROR(__xludf.DUMMYFUNCTION("""COMPUTED_VALUE"""),"신형만")</f>
        <v>신형만</v>
      </c>
      <c r="N508" s="26" t="str">
        <f>IFERROR(__xludf.DUMMYFUNCTION("ARRAYFORMULA(REGEXEXTRACT(SPLIT(E508, ""&lt;br&gt;""), ""([가-힣A-Za-z]+)""))"),"ACDC")</f>
        <v>ACDC</v>
      </c>
      <c r="O508" s="26" t="str">
        <f>IFERROR(__xludf.DUMMYFUNCTION("""COMPUTED_VALUE"""),"테리")</f>
        <v>테리</v>
      </c>
      <c r="P508" s="26" t="str">
        <f>IFERROR(__xludf.DUMMYFUNCTION("""COMPUTED_VALUE"""),"터미")</f>
        <v>터미</v>
      </c>
      <c r="Q508" s="26" t="str">
        <f>IFERROR(__xludf.DUMMYFUNCTION("""COMPUTED_VALUE"""),"한메")</f>
        <v>한메</v>
      </c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27" t="s">
        <v>2279</v>
      </c>
      <c r="B509" s="28" t="s">
        <v>2280</v>
      </c>
      <c r="C509" s="27" t="s">
        <v>2281</v>
      </c>
      <c r="D509" s="27">
        <v>5.0</v>
      </c>
      <c r="E509" s="27" t="s">
        <v>2282</v>
      </c>
      <c r="F509" s="27">
        <v>3.0</v>
      </c>
      <c r="G509" s="29">
        <v>45866.9</v>
      </c>
      <c r="H509" s="27" t="s">
        <v>2017</v>
      </c>
      <c r="I509" s="30" t="s">
        <v>2249</v>
      </c>
      <c r="J509" s="25" t="str">
        <f>IFERROR(__xludf.DUMMYFUNCTION("ARRAYFORMULA(REGEXEXTRACT(SPLIT(C509, ""&lt;br&gt;""), ""([가-힣A-Za-z]+)""))"),"노인")</f>
        <v>노인</v>
      </c>
      <c r="K509" s="26" t="str">
        <f>IFERROR(__xludf.DUMMYFUNCTION("""COMPUTED_VALUE"""),"테리")</f>
        <v>테리</v>
      </c>
      <c r="L509" s="26" t="str">
        <f>IFERROR(__xludf.DUMMYFUNCTION("""COMPUTED_VALUE"""),"넘버")</f>
        <v>넘버</v>
      </c>
      <c r="M509" s="26" t="str">
        <f>IFERROR(__xludf.DUMMYFUNCTION("""COMPUTED_VALUE"""),"터미")</f>
        <v>터미</v>
      </c>
      <c r="N509" s="26" t="str">
        <f>IFERROR(__xludf.DUMMYFUNCTION("ARRAYFORMULA(REGEXEXTRACT(SPLIT(E509, ""&lt;br&gt;""), ""([가-힣A-Za-z]+)""))"),"한메")</f>
        <v>한메</v>
      </c>
      <c r="O509" s="26" t="str">
        <f>IFERROR(__xludf.DUMMYFUNCTION("""COMPUTED_VALUE"""),"ACDC")</f>
        <v>ACDC</v>
      </c>
      <c r="P509" s="26" t="str">
        <f>IFERROR(__xludf.DUMMYFUNCTION("""COMPUTED_VALUE"""),"신형만")</f>
        <v>신형만</v>
      </c>
      <c r="Q509" s="26" t="str">
        <f>IFERROR(__xludf.DUMMYFUNCTION("""COMPUTED_VALUE"""),"깡패")</f>
        <v>깡패</v>
      </c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27" t="s">
        <v>2283</v>
      </c>
      <c r="B510" s="28" t="s">
        <v>2284</v>
      </c>
      <c r="C510" s="27" t="s">
        <v>2285</v>
      </c>
      <c r="D510" s="27">
        <v>5.0</v>
      </c>
      <c r="E510" s="27" t="s">
        <v>2286</v>
      </c>
      <c r="F510" s="27">
        <v>2.0</v>
      </c>
      <c r="G510" s="29">
        <v>45866.87152777778</v>
      </c>
      <c r="H510" s="27" t="s">
        <v>2017</v>
      </c>
      <c r="I510" s="30" t="s">
        <v>2249</v>
      </c>
      <c r="J510" s="25" t="str">
        <f>IFERROR(__xludf.DUMMYFUNCTION("ARRAYFORMULA(REGEXEXTRACT(SPLIT(C510, ""&lt;br&gt;""), ""([가-힣A-Za-z]+)""))"),"깡패")</f>
        <v>깡패</v>
      </c>
      <c r="K510" s="26" t="str">
        <f>IFERROR(__xludf.DUMMYFUNCTION("""COMPUTED_VALUE"""),"노인")</f>
        <v>노인</v>
      </c>
      <c r="L510" s="26" t="str">
        <f>IFERROR(__xludf.DUMMYFUNCTION("""COMPUTED_VALUE"""),"ACDC")</f>
        <v>ACDC</v>
      </c>
      <c r="M510" s="26" t="str">
        <f>IFERROR(__xludf.DUMMYFUNCTION("""COMPUTED_VALUE"""),"터미")</f>
        <v>터미</v>
      </c>
      <c r="N510" s="26" t="str">
        <f>IFERROR(__xludf.DUMMYFUNCTION("ARRAYFORMULA(REGEXEXTRACT(SPLIT(E510, ""&lt;br&gt;""), ""([가-힣A-Za-z]+)""))"),"한메")</f>
        <v>한메</v>
      </c>
      <c r="O510" s="26" t="str">
        <f>IFERROR(__xludf.DUMMYFUNCTION("""COMPUTED_VALUE"""),"넘버")</f>
        <v>넘버</v>
      </c>
      <c r="P510" s="26" t="str">
        <f>IFERROR(__xludf.DUMMYFUNCTION("""COMPUTED_VALUE"""),"테리")</f>
        <v>테리</v>
      </c>
      <c r="Q510" s="26" t="str">
        <f>IFERROR(__xludf.DUMMYFUNCTION("""COMPUTED_VALUE"""),"신형만")</f>
        <v>신형만</v>
      </c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27" t="s">
        <v>2287</v>
      </c>
      <c r="B511" s="28" t="s">
        <v>2288</v>
      </c>
      <c r="C511" s="27" t="s">
        <v>2289</v>
      </c>
      <c r="D511" s="27">
        <v>5.0</v>
      </c>
      <c r="E511" s="27" t="s">
        <v>2290</v>
      </c>
      <c r="F511" s="27">
        <v>0.0</v>
      </c>
      <c r="G511" s="29">
        <v>45866.84861111111</v>
      </c>
      <c r="H511" s="27" t="s">
        <v>2017</v>
      </c>
      <c r="I511" s="30" t="s">
        <v>2249</v>
      </c>
      <c r="J511" s="25" t="str">
        <f>IFERROR(__xludf.DUMMYFUNCTION("ARRAYFORMULA(REGEXEXTRACT(SPLIT(C511, ""&lt;br&gt;""), ""([가-힣A-Za-z]+)""))"),"깡패")</f>
        <v>깡패</v>
      </c>
      <c r="K511" s="26" t="str">
        <f>IFERROR(__xludf.DUMMYFUNCTION("""COMPUTED_VALUE"""),"노인")</f>
        <v>노인</v>
      </c>
      <c r="L511" s="26" t="str">
        <f>IFERROR(__xludf.DUMMYFUNCTION("""COMPUTED_VALUE"""),"테리")</f>
        <v>테리</v>
      </c>
      <c r="M511" s="26" t="str">
        <f>IFERROR(__xludf.DUMMYFUNCTION("""COMPUTED_VALUE"""),"한메")</f>
        <v>한메</v>
      </c>
      <c r="N511" s="26" t="str">
        <f>IFERROR(__xludf.DUMMYFUNCTION("ARRAYFORMULA(REGEXEXTRACT(SPLIT(E511, ""&lt;br&gt;""), ""([가-힣A-Za-z]+)""))"),"터미")</f>
        <v>터미</v>
      </c>
      <c r="O511" s="26" t="str">
        <f>IFERROR(__xludf.DUMMYFUNCTION("""COMPUTED_VALUE"""),"ACDC")</f>
        <v>ACDC</v>
      </c>
      <c r="P511" s="26" t="str">
        <f>IFERROR(__xludf.DUMMYFUNCTION("""COMPUTED_VALUE"""),"신형만")</f>
        <v>신형만</v>
      </c>
      <c r="Q511" s="26" t="str">
        <f>IFERROR(__xludf.DUMMYFUNCTION("""COMPUTED_VALUE"""),"넘버")</f>
        <v>넘버</v>
      </c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27" t="s">
        <v>2291</v>
      </c>
      <c r="B512" s="28" t="s">
        <v>2292</v>
      </c>
      <c r="C512" s="27" t="s">
        <v>2293</v>
      </c>
      <c r="D512" s="27">
        <v>5.0</v>
      </c>
      <c r="E512" s="27" t="s">
        <v>2294</v>
      </c>
      <c r="F512" s="27">
        <v>3.0</v>
      </c>
      <c r="G512" s="29">
        <v>45866.009722222225</v>
      </c>
      <c r="H512" s="27" t="s">
        <v>2017</v>
      </c>
      <c r="I512" s="30" t="s">
        <v>2171</v>
      </c>
      <c r="J512" s="25" t="str">
        <f>IFERROR(__xludf.DUMMYFUNCTION("ARRAYFORMULA(REGEXEXTRACT(SPLIT(C512, ""&lt;br&gt;""), ""([가-힣A-Za-z]+)""))"),"짱구")</f>
        <v>짱구</v>
      </c>
      <c r="K512" s="26" t="str">
        <f>IFERROR(__xludf.DUMMYFUNCTION("""COMPUTED_VALUE"""),"원")</f>
        <v>원</v>
      </c>
      <c r="L512" s="26" t="str">
        <f>IFERROR(__xludf.DUMMYFUNCTION("""COMPUTED_VALUE"""),"테리")</f>
        <v>테리</v>
      </c>
      <c r="M512" s="26" t="str">
        <f>IFERROR(__xludf.DUMMYFUNCTION("""COMPUTED_VALUE"""),"넘버")</f>
        <v>넘버</v>
      </c>
      <c r="N512" s="26" t="str">
        <f>IFERROR(__xludf.DUMMYFUNCTION("ARRAYFORMULA(REGEXEXTRACT(SPLIT(E512, ""&lt;br&gt;""), ""([가-힣A-Za-z]+)""))"),"솔")</f>
        <v>솔</v>
      </c>
      <c r="O512" s="26" t="str">
        <f>IFERROR(__xludf.DUMMYFUNCTION("""COMPUTED_VALUE"""),"노인")</f>
        <v>노인</v>
      </c>
      <c r="P512" s="26" t="str">
        <f>IFERROR(__xludf.DUMMYFUNCTION("""COMPUTED_VALUE"""),"참치")</f>
        <v>참치</v>
      </c>
      <c r="Q512" s="26" t="str">
        <f>IFERROR(__xludf.DUMMYFUNCTION("""COMPUTED_VALUE"""),"신형만")</f>
        <v>신형만</v>
      </c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27" t="s">
        <v>2295</v>
      </c>
      <c r="B513" s="28" t="s">
        <v>2296</v>
      </c>
      <c r="C513" s="27" t="s">
        <v>2297</v>
      </c>
      <c r="D513" s="27">
        <v>5.0</v>
      </c>
      <c r="E513" s="27" t="s">
        <v>2298</v>
      </c>
      <c r="F513" s="27">
        <v>1.0</v>
      </c>
      <c r="G513" s="29">
        <v>45865.98819444444</v>
      </c>
      <c r="H513" s="27" t="s">
        <v>2017</v>
      </c>
      <c r="I513" s="30" t="s">
        <v>2171</v>
      </c>
      <c r="J513" s="25" t="str">
        <f>IFERROR(__xludf.DUMMYFUNCTION("ARRAYFORMULA(REGEXEXTRACT(SPLIT(C513, ""&lt;br&gt;""), ""([가-힣A-Za-z]+)""))"),"테리")</f>
        <v>테리</v>
      </c>
      <c r="K513" s="26" t="str">
        <f>IFERROR(__xludf.DUMMYFUNCTION("""COMPUTED_VALUE"""),"노인")</f>
        <v>노인</v>
      </c>
      <c r="L513" s="26" t="str">
        <f>IFERROR(__xludf.DUMMYFUNCTION("""COMPUTED_VALUE"""),"신형만")</f>
        <v>신형만</v>
      </c>
      <c r="M513" s="26" t="str">
        <f>IFERROR(__xludf.DUMMYFUNCTION("""COMPUTED_VALUE"""),"원")</f>
        <v>원</v>
      </c>
      <c r="N513" s="26" t="str">
        <f>IFERROR(__xludf.DUMMYFUNCTION("ARRAYFORMULA(REGEXEXTRACT(SPLIT(E513, ""&lt;br&gt;""), ""([가-힣A-Za-z]+)""))"),"솔")</f>
        <v>솔</v>
      </c>
      <c r="O513" s="26" t="str">
        <f>IFERROR(__xludf.DUMMYFUNCTION("""COMPUTED_VALUE"""),"짱구")</f>
        <v>짱구</v>
      </c>
      <c r="P513" s="26" t="str">
        <f>IFERROR(__xludf.DUMMYFUNCTION("""COMPUTED_VALUE"""),"넘버")</f>
        <v>넘버</v>
      </c>
      <c r="Q513" s="26" t="str">
        <f>IFERROR(__xludf.DUMMYFUNCTION("""COMPUTED_VALUE"""),"참치")</f>
        <v>참치</v>
      </c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27" t="s">
        <v>2299</v>
      </c>
      <c r="B514" s="28" t="s">
        <v>2300</v>
      </c>
      <c r="C514" s="27" t="s">
        <v>2301</v>
      </c>
      <c r="D514" s="27">
        <v>5.0</v>
      </c>
      <c r="E514" s="27" t="s">
        <v>2302</v>
      </c>
      <c r="F514" s="27">
        <v>3.0</v>
      </c>
      <c r="G514" s="29">
        <v>45865.967361111114</v>
      </c>
      <c r="H514" s="27" t="s">
        <v>2017</v>
      </c>
      <c r="I514" s="30" t="s">
        <v>2171</v>
      </c>
      <c r="J514" s="25" t="str">
        <f>IFERROR(__xludf.DUMMYFUNCTION("ARRAYFORMULA(REGEXEXTRACT(SPLIT(C514, ""&lt;br&gt;""), ""([가-힣A-Za-z]+)""))"),"노인")</f>
        <v>노인</v>
      </c>
      <c r="K514" s="26" t="str">
        <f>IFERROR(__xludf.DUMMYFUNCTION("""COMPUTED_VALUE"""),"짱구")</f>
        <v>짱구</v>
      </c>
      <c r="L514" s="26" t="str">
        <f>IFERROR(__xludf.DUMMYFUNCTION("""COMPUTED_VALUE"""),"넘버")</f>
        <v>넘버</v>
      </c>
      <c r="M514" s="26" t="str">
        <f>IFERROR(__xludf.DUMMYFUNCTION("""COMPUTED_VALUE"""),"신형만")</f>
        <v>신형만</v>
      </c>
      <c r="N514" s="26" t="str">
        <f>IFERROR(__xludf.DUMMYFUNCTION("ARRAYFORMULA(REGEXEXTRACT(SPLIT(E514, ""&lt;br&gt;""), ""([가-힣A-Za-z]+)""))"),"한메")</f>
        <v>한메</v>
      </c>
      <c r="O514" s="26" t="str">
        <f>IFERROR(__xludf.DUMMYFUNCTION("""COMPUTED_VALUE"""),"솔")</f>
        <v>솔</v>
      </c>
      <c r="P514" s="26" t="str">
        <f>IFERROR(__xludf.DUMMYFUNCTION("""COMPUTED_VALUE"""),"원")</f>
        <v>원</v>
      </c>
      <c r="Q514" s="26" t="str">
        <f>IFERROR(__xludf.DUMMYFUNCTION("""COMPUTED_VALUE"""),"참치")</f>
        <v>참치</v>
      </c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27" t="s">
        <v>2303</v>
      </c>
      <c r="B515" s="28" t="s">
        <v>2304</v>
      </c>
      <c r="C515" s="27" t="s">
        <v>2305</v>
      </c>
      <c r="D515" s="27">
        <v>5.0</v>
      </c>
      <c r="E515" s="27" t="s">
        <v>2306</v>
      </c>
      <c r="F515" s="27">
        <v>3.0</v>
      </c>
      <c r="G515" s="29">
        <v>45865.94513888889</v>
      </c>
      <c r="H515" s="27" t="s">
        <v>2017</v>
      </c>
      <c r="I515" s="30" t="s">
        <v>2307</v>
      </c>
      <c r="J515" s="25" t="str">
        <f>IFERROR(__xludf.DUMMYFUNCTION("ARRAYFORMULA(REGEXEXTRACT(SPLIT(C515, ""&lt;br&gt;""), ""([가-힣A-Za-z]+)""))"),"테리")</f>
        <v>테리</v>
      </c>
      <c r="K515" s="26" t="str">
        <f>IFERROR(__xludf.DUMMYFUNCTION("""COMPUTED_VALUE"""),"노인")</f>
        <v>노인</v>
      </c>
      <c r="L515" s="26" t="str">
        <f>IFERROR(__xludf.DUMMYFUNCTION("""COMPUTED_VALUE"""),"원")</f>
        <v>원</v>
      </c>
      <c r="M515" s="26" t="str">
        <f>IFERROR(__xludf.DUMMYFUNCTION("""COMPUTED_VALUE"""),"솔")</f>
        <v>솔</v>
      </c>
      <c r="N515" s="26" t="str">
        <f>IFERROR(__xludf.DUMMYFUNCTION("ARRAYFORMULA(REGEXEXTRACT(SPLIT(E515, ""&lt;br&gt;""), ""([가-힣A-Za-z]+)""))"),"신형만")</f>
        <v>신형만</v>
      </c>
      <c r="O515" s="26" t="str">
        <f>IFERROR(__xludf.DUMMYFUNCTION("""COMPUTED_VALUE"""),"참치")</f>
        <v>참치</v>
      </c>
      <c r="P515" s="26" t="str">
        <f>IFERROR(__xludf.DUMMYFUNCTION("""COMPUTED_VALUE"""),"한메")</f>
        <v>한메</v>
      </c>
      <c r="Q515" s="26" t="str">
        <f>IFERROR(__xludf.DUMMYFUNCTION("""COMPUTED_VALUE"""),"넘버")</f>
        <v>넘버</v>
      </c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27" t="s">
        <v>2308</v>
      </c>
      <c r="B516" s="28" t="s">
        <v>2309</v>
      </c>
      <c r="C516" s="27" t="s">
        <v>2310</v>
      </c>
      <c r="D516" s="27">
        <v>5.0</v>
      </c>
      <c r="E516" s="27" t="s">
        <v>1303</v>
      </c>
      <c r="F516" s="27">
        <v>3.0</v>
      </c>
      <c r="G516" s="29">
        <v>45861.95694444444</v>
      </c>
      <c r="H516" s="27" t="s">
        <v>2017</v>
      </c>
      <c r="I516" s="30" t="s">
        <v>2311</v>
      </c>
      <c r="J516" s="25" t="str">
        <f>IFERROR(__xludf.DUMMYFUNCTION("ARRAYFORMULA(REGEXEXTRACT(SPLIT(C516, ""&lt;br&gt;""), ""([가-힣A-Za-z]+)""))"),"테리")</f>
        <v>테리</v>
      </c>
      <c r="K516" s="26" t="str">
        <f>IFERROR(__xludf.DUMMYFUNCTION("""COMPUTED_VALUE"""),"짱구")</f>
        <v>짱구</v>
      </c>
      <c r="L516" s="26" t="str">
        <f>IFERROR(__xludf.DUMMYFUNCTION("""COMPUTED_VALUE"""),"참치")</f>
        <v>참치</v>
      </c>
      <c r="M516" s="26" t="str">
        <f>IFERROR(__xludf.DUMMYFUNCTION("""COMPUTED_VALUE"""),"오크")</f>
        <v>오크</v>
      </c>
      <c r="N516" s="26" t="str">
        <f>IFERROR(__xludf.DUMMYFUNCTION("ARRAYFORMULA(REGEXEXTRACT(SPLIT(E516, ""&lt;br&gt;""), ""([가-힣A-Za-z]+)""))"),"노인")</f>
        <v>노인</v>
      </c>
      <c r="O516" s="26" t="str">
        <f>IFERROR(__xludf.DUMMYFUNCTION("""COMPUTED_VALUE"""),"ACDC")</f>
        <v>ACDC</v>
      </c>
      <c r="P516" s="26" t="str">
        <f>IFERROR(__xludf.DUMMYFUNCTION("""COMPUTED_VALUE"""),"신형만")</f>
        <v>신형만</v>
      </c>
      <c r="Q516" s="26" t="str">
        <f>IFERROR(__xludf.DUMMYFUNCTION("""COMPUTED_VALUE"""),"한메")</f>
        <v>한메</v>
      </c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27" t="s">
        <v>2312</v>
      </c>
      <c r="B517" s="28" t="s">
        <v>2313</v>
      </c>
      <c r="C517" s="27" t="s">
        <v>2314</v>
      </c>
      <c r="D517" s="27">
        <v>5.0</v>
      </c>
      <c r="E517" s="27" t="s">
        <v>2315</v>
      </c>
      <c r="F517" s="27">
        <v>3.0</v>
      </c>
      <c r="G517" s="29">
        <v>45861.92361111111</v>
      </c>
      <c r="H517" s="27" t="s">
        <v>2017</v>
      </c>
      <c r="I517" s="30" t="s">
        <v>2316</v>
      </c>
      <c r="J517" s="25" t="str">
        <f>IFERROR(__xludf.DUMMYFUNCTION("ARRAYFORMULA(REGEXEXTRACT(SPLIT(C517, ""&lt;br&gt;""), ""([가-힣A-Za-z]+)""))"),"테리")</f>
        <v>테리</v>
      </c>
      <c r="K517" s="26" t="str">
        <f>IFERROR(__xludf.DUMMYFUNCTION("""COMPUTED_VALUE"""),"넘버")</f>
        <v>넘버</v>
      </c>
      <c r="L517" s="26" t="str">
        <f>IFERROR(__xludf.DUMMYFUNCTION("""COMPUTED_VALUE"""),"한메")</f>
        <v>한메</v>
      </c>
      <c r="M517" s="26" t="str">
        <f>IFERROR(__xludf.DUMMYFUNCTION("""COMPUTED_VALUE"""),"신형만")</f>
        <v>신형만</v>
      </c>
      <c r="N517" s="26" t="str">
        <f>IFERROR(__xludf.DUMMYFUNCTION("ARRAYFORMULA(REGEXEXTRACT(SPLIT(E517, ""&lt;br&gt;""), ""([가-힣A-Za-z]+)""))"),"참치")</f>
        <v>참치</v>
      </c>
      <c r="O517" s="26" t="str">
        <f>IFERROR(__xludf.DUMMYFUNCTION("""COMPUTED_VALUE"""),"ACDC")</f>
        <v>ACDC</v>
      </c>
      <c r="P517" s="26" t="str">
        <f>IFERROR(__xludf.DUMMYFUNCTION("""COMPUTED_VALUE"""),"짱구")</f>
        <v>짱구</v>
      </c>
      <c r="Q517" s="26" t="str">
        <f>IFERROR(__xludf.DUMMYFUNCTION("""COMPUTED_VALUE"""),"노인")</f>
        <v>노인</v>
      </c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27" t="s">
        <v>2317</v>
      </c>
      <c r="B518" s="28" t="s">
        <v>2318</v>
      </c>
      <c r="C518" s="27" t="s">
        <v>2319</v>
      </c>
      <c r="D518" s="27">
        <v>5.0</v>
      </c>
      <c r="E518" s="27" t="s">
        <v>2320</v>
      </c>
      <c r="F518" s="27">
        <v>1.0</v>
      </c>
      <c r="G518" s="29">
        <v>45861.92083333333</v>
      </c>
      <c r="H518" s="27" t="s">
        <v>2017</v>
      </c>
      <c r="I518" s="30" t="s">
        <v>2316</v>
      </c>
      <c r="J518" s="25" t="str">
        <f>IFERROR(__xludf.DUMMYFUNCTION("ARRAYFORMULA(REGEXEXTRACT(SPLIT(C518, ""&lt;br&gt;""), ""([가-힣A-Za-z]+)""))"),"테리")</f>
        <v>테리</v>
      </c>
      <c r="K518" s="26" t="str">
        <f>IFERROR(__xludf.DUMMYFUNCTION("""COMPUTED_VALUE"""),"짱구")</f>
        <v>짱구</v>
      </c>
      <c r="L518" s="26" t="str">
        <f>IFERROR(__xludf.DUMMYFUNCTION("""COMPUTED_VALUE"""),"참치")</f>
        <v>참치</v>
      </c>
      <c r="M518" s="26" t="str">
        <f>IFERROR(__xludf.DUMMYFUNCTION("""COMPUTED_VALUE"""),"한메")</f>
        <v>한메</v>
      </c>
      <c r="N518" s="26" t="str">
        <f>IFERROR(__xludf.DUMMYFUNCTION("ARRAYFORMULA(REGEXEXTRACT(SPLIT(E518, ""&lt;br&gt;""), ""([가-힣A-Za-z]+)""))"),"신형만")</f>
        <v>신형만</v>
      </c>
      <c r="O518" s="26" t="str">
        <f>IFERROR(__xludf.DUMMYFUNCTION("""COMPUTED_VALUE"""),"ACDC")</f>
        <v>ACDC</v>
      </c>
      <c r="P518" s="26" t="str">
        <f>IFERROR(__xludf.DUMMYFUNCTION("""COMPUTED_VALUE"""),"넘버")</f>
        <v>넘버</v>
      </c>
      <c r="Q518" s="26" t="str">
        <f>IFERROR(__xludf.DUMMYFUNCTION("""COMPUTED_VALUE"""),"노인")</f>
        <v>노인</v>
      </c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27" t="s">
        <v>2321</v>
      </c>
      <c r="B519" s="28" t="s">
        <v>2322</v>
      </c>
      <c r="C519" s="27" t="s">
        <v>2323</v>
      </c>
      <c r="D519" s="27">
        <v>5.0</v>
      </c>
      <c r="E519" s="27" t="s">
        <v>2324</v>
      </c>
      <c r="F519" s="27">
        <v>4.0</v>
      </c>
      <c r="G519" s="29">
        <v>45858.87291666667</v>
      </c>
      <c r="H519" s="27" t="s">
        <v>2017</v>
      </c>
      <c r="I519" s="30" t="s">
        <v>2325</v>
      </c>
      <c r="J519" s="25" t="str">
        <f>IFERROR(__xludf.DUMMYFUNCTION("ARRAYFORMULA(REGEXEXTRACT(SPLIT(C519, ""&lt;br&gt;""), ""([가-힣A-Za-z]+)""))"),"오크")</f>
        <v>오크</v>
      </c>
      <c r="K519" s="26" t="str">
        <f>IFERROR(__xludf.DUMMYFUNCTION("""COMPUTED_VALUE"""),"테리")</f>
        <v>테리</v>
      </c>
      <c r="L519" s="26" t="str">
        <f>IFERROR(__xludf.DUMMYFUNCTION("""COMPUTED_VALUE"""),"참치")</f>
        <v>참치</v>
      </c>
      <c r="M519" s="26" t="str">
        <f>IFERROR(__xludf.DUMMYFUNCTION("""COMPUTED_VALUE"""),"신형만")</f>
        <v>신형만</v>
      </c>
      <c r="N519" s="26" t="str">
        <f>IFERROR(__xludf.DUMMYFUNCTION("ARRAYFORMULA(REGEXEXTRACT(SPLIT(E519, ""&lt;br&gt;""), ""([가-힣A-Za-z]+)""))"),"ACDC")</f>
        <v>ACDC</v>
      </c>
      <c r="O519" s="26" t="str">
        <f>IFERROR(__xludf.DUMMYFUNCTION("""COMPUTED_VALUE"""),"노인")</f>
        <v>노인</v>
      </c>
      <c r="P519" s="26" t="str">
        <f>IFERROR(__xludf.DUMMYFUNCTION("""COMPUTED_VALUE"""),"한메")</f>
        <v>한메</v>
      </c>
      <c r="Q519" s="26" t="str">
        <f>IFERROR(__xludf.DUMMYFUNCTION("""COMPUTED_VALUE"""),"원")</f>
        <v>원</v>
      </c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27" t="s">
        <v>2326</v>
      </c>
      <c r="B520" s="28" t="s">
        <v>2327</v>
      </c>
      <c r="C520" s="27" t="s">
        <v>2328</v>
      </c>
      <c r="D520" s="27">
        <v>5.0</v>
      </c>
      <c r="E520" s="27" t="s">
        <v>2329</v>
      </c>
      <c r="F520" s="27">
        <v>2.0</v>
      </c>
      <c r="G520" s="29">
        <v>45856.04652777778</v>
      </c>
      <c r="H520" s="27" t="s">
        <v>2017</v>
      </c>
      <c r="I520" s="30" t="s">
        <v>2330</v>
      </c>
      <c r="J520" s="25" t="str">
        <f>IFERROR(__xludf.DUMMYFUNCTION("ARRAYFORMULA(REGEXEXTRACT(SPLIT(C520, ""&lt;br&gt;""), ""([가-힣A-Za-z]+)""))"),"테리")</f>
        <v>테리</v>
      </c>
      <c r="K520" s="26" t="str">
        <f>IFERROR(__xludf.DUMMYFUNCTION("""COMPUTED_VALUE"""),"넘버")</f>
        <v>넘버</v>
      </c>
      <c r="L520" s="26" t="str">
        <f>IFERROR(__xludf.DUMMYFUNCTION("""COMPUTED_VALUE"""),"한메")</f>
        <v>한메</v>
      </c>
      <c r="M520" s="26" t="str">
        <f>IFERROR(__xludf.DUMMYFUNCTION("""COMPUTED_VALUE"""),"깡패")</f>
        <v>깡패</v>
      </c>
      <c r="N520" s="26" t="str">
        <f>IFERROR(__xludf.DUMMYFUNCTION("ARRAYFORMULA(REGEXEXTRACT(SPLIT(E520, ""&lt;br&gt;""), ""([가-힣A-Za-z]+)""))"),"터미")</f>
        <v>터미</v>
      </c>
      <c r="O520" s="26" t="str">
        <f>IFERROR(__xludf.DUMMYFUNCTION("""COMPUTED_VALUE"""),"박서")</f>
        <v>박서</v>
      </c>
      <c r="P520" s="26" t="str">
        <f>IFERROR(__xludf.DUMMYFUNCTION("""COMPUTED_VALUE"""),"ACDC")</f>
        <v>ACDC</v>
      </c>
      <c r="Q520" s="26" t="str">
        <f>IFERROR(__xludf.DUMMYFUNCTION("""COMPUTED_VALUE"""),"신형만")</f>
        <v>신형만</v>
      </c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27" t="s">
        <v>2331</v>
      </c>
      <c r="B521" s="28" t="s">
        <v>2332</v>
      </c>
      <c r="C521" s="27" t="s">
        <v>2333</v>
      </c>
      <c r="D521" s="27">
        <v>5.0</v>
      </c>
      <c r="E521" s="27" t="s">
        <v>2334</v>
      </c>
      <c r="F521" s="27">
        <v>2.0</v>
      </c>
      <c r="G521" s="29">
        <v>45856.01944444444</v>
      </c>
      <c r="H521" s="27" t="s">
        <v>2017</v>
      </c>
      <c r="I521" s="30" t="s">
        <v>965</v>
      </c>
      <c r="J521" s="25" t="str">
        <f>IFERROR(__xludf.DUMMYFUNCTION("ARRAYFORMULA(REGEXEXTRACT(SPLIT(C521, ""&lt;br&gt;""), ""([가-힣A-Za-z]+)""))"),"터미")</f>
        <v>터미</v>
      </c>
      <c r="K521" s="26" t="str">
        <f>IFERROR(__xludf.DUMMYFUNCTION("""COMPUTED_VALUE"""),"테리")</f>
        <v>테리</v>
      </c>
      <c r="L521" s="26" t="str">
        <f>IFERROR(__xludf.DUMMYFUNCTION("""COMPUTED_VALUE"""),"넘버")</f>
        <v>넘버</v>
      </c>
      <c r="M521" s="26" t="str">
        <f>IFERROR(__xludf.DUMMYFUNCTION("""COMPUTED_VALUE"""),"박서")</f>
        <v>박서</v>
      </c>
      <c r="N521" s="26" t="str">
        <f>IFERROR(__xludf.DUMMYFUNCTION("ARRAYFORMULA(REGEXEXTRACT(SPLIT(E521, ""&lt;br&gt;""), ""([가-힣A-Za-z]+)""))"),"한메")</f>
        <v>한메</v>
      </c>
      <c r="O521" s="26" t="str">
        <f>IFERROR(__xludf.DUMMYFUNCTION("""COMPUTED_VALUE"""),"신형만")</f>
        <v>신형만</v>
      </c>
      <c r="P521" s="26" t="str">
        <f>IFERROR(__xludf.DUMMYFUNCTION("""COMPUTED_VALUE"""),"깡패")</f>
        <v>깡패</v>
      </c>
      <c r="Q521" s="26" t="str">
        <f>IFERROR(__xludf.DUMMYFUNCTION("""COMPUTED_VALUE"""),"만두")</f>
        <v>만두</v>
      </c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27" t="s">
        <v>2335</v>
      </c>
      <c r="B522" s="28" t="s">
        <v>2336</v>
      </c>
      <c r="C522" s="27" t="s">
        <v>2337</v>
      </c>
      <c r="D522" s="27">
        <v>5.0</v>
      </c>
      <c r="E522" s="27" t="s">
        <v>2338</v>
      </c>
      <c r="F522" s="27">
        <v>1.0</v>
      </c>
      <c r="G522" s="29">
        <v>45856.00208333333</v>
      </c>
      <c r="H522" s="27" t="s">
        <v>2017</v>
      </c>
      <c r="I522" s="30" t="s">
        <v>965</v>
      </c>
      <c r="J522" s="25" t="str">
        <f>IFERROR(__xludf.DUMMYFUNCTION("ARRAYFORMULA(REGEXEXTRACT(SPLIT(C522, ""&lt;br&gt;""), ""([가-힣A-Za-z]+)""))"),"터미")</f>
        <v>터미</v>
      </c>
      <c r="K522" s="26" t="str">
        <f>IFERROR(__xludf.DUMMYFUNCTION("""COMPUTED_VALUE"""),"박서")</f>
        <v>박서</v>
      </c>
      <c r="L522" s="26" t="str">
        <f>IFERROR(__xludf.DUMMYFUNCTION("""COMPUTED_VALUE"""),"깡패")</f>
        <v>깡패</v>
      </c>
      <c r="M522" s="26" t="str">
        <f>IFERROR(__xludf.DUMMYFUNCTION("""COMPUTED_VALUE"""),"한메")</f>
        <v>한메</v>
      </c>
      <c r="N522" s="26" t="str">
        <f>IFERROR(__xludf.DUMMYFUNCTION("ARRAYFORMULA(REGEXEXTRACT(SPLIT(E522, ""&lt;br&gt;""), ""([가-힣A-Za-z]+)""))"),"만두")</f>
        <v>만두</v>
      </c>
      <c r="O522" s="26" t="str">
        <f>IFERROR(__xludf.DUMMYFUNCTION("""COMPUTED_VALUE"""),"테리")</f>
        <v>테리</v>
      </c>
      <c r="P522" s="26" t="str">
        <f>IFERROR(__xludf.DUMMYFUNCTION("""COMPUTED_VALUE"""),"신형만")</f>
        <v>신형만</v>
      </c>
      <c r="Q522" s="26" t="str">
        <f>IFERROR(__xludf.DUMMYFUNCTION("""COMPUTED_VALUE"""),"넘버")</f>
        <v>넘버</v>
      </c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27" t="s">
        <v>2339</v>
      </c>
      <c r="B523" s="28" t="s">
        <v>2340</v>
      </c>
      <c r="C523" s="27" t="s">
        <v>2341</v>
      </c>
      <c r="D523" s="27">
        <v>5.0</v>
      </c>
      <c r="E523" s="27" t="s">
        <v>2342</v>
      </c>
      <c r="F523" s="27">
        <v>2.0</v>
      </c>
      <c r="G523" s="29">
        <v>45855.98055555556</v>
      </c>
      <c r="H523" s="27" t="s">
        <v>2017</v>
      </c>
      <c r="I523" s="30" t="s">
        <v>965</v>
      </c>
      <c r="J523" s="25" t="str">
        <f>IFERROR(__xludf.DUMMYFUNCTION("ARRAYFORMULA(REGEXEXTRACT(SPLIT(C523, ""&lt;br&gt;""), ""([가-힣A-Za-z]+)""))"),"한메")</f>
        <v>한메</v>
      </c>
      <c r="K523" s="26" t="str">
        <f>IFERROR(__xludf.DUMMYFUNCTION("""COMPUTED_VALUE"""),"넘버")</f>
        <v>넘버</v>
      </c>
      <c r="L523" s="26" t="str">
        <f>IFERROR(__xludf.DUMMYFUNCTION("""COMPUTED_VALUE"""),"테리")</f>
        <v>테리</v>
      </c>
      <c r="M523" s="26" t="str">
        <f>IFERROR(__xludf.DUMMYFUNCTION("""COMPUTED_VALUE"""),"박서")</f>
        <v>박서</v>
      </c>
      <c r="N523" s="26" t="str">
        <f>IFERROR(__xludf.DUMMYFUNCTION("ARRAYFORMULA(REGEXEXTRACT(SPLIT(E523, ""&lt;br&gt;""), ""([가-힣A-Za-z]+)""))"),"터미")</f>
        <v>터미</v>
      </c>
      <c r="O523" s="26" t="str">
        <f>IFERROR(__xludf.DUMMYFUNCTION("""COMPUTED_VALUE"""),"깡패")</f>
        <v>깡패</v>
      </c>
      <c r="P523" s="26" t="str">
        <f>IFERROR(__xludf.DUMMYFUNCTION("""COMPUTED_VALUE"""),"만두")</f>
        <v>만두</v>
      </c>
      <c r="Q523" s="26" t="str">
        <f>IFERROR(__xludf.DUMMYFUNCTION("""COMPUTED_VALUE"""),"신형만")</f>
        <v>신형만</v>
      </c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27" t="s">
        <v>2343</v>
      </c>
      <c r="B524" s="28" t="s">
        <v>2344</v>
      </c>
      <c r="C524" s="27" t="s">
        <v>2345</v>
      </c>
      <c r="D524" s="27">
        <v>5.0</v>
      </c>
      <c r="E524" s="27" t="s">
        <v>2346</v>
      </c>
      <c r="F524" s="27">
        <v>1.0</v>
      </c>
      <c r="G524" s="29">
        <v>45855.95138888889</v>
      </c>
      <c r="H524" s="27" t="s">
        <v>2017</v>
      </c>
      <c r="I524" s="30" t="s">
        <v>2347</v>
      </c>
      <c r="J524" s="25" t="str">
        <f>IFERROR(__xludf.DUMMYFUNCTION("ARRAYFORMULA(REGEXEXTRACT(SPLIT(C524, ""&lt;br&gt;""), ""([가-힣A-Za-z]+)""))"),"깡패")</f>
        <v>깡패</v>
      </c>
      <c r="K524" s="26" t="str">
        <f>IFERROR(__xludf.DUMMYFUNCTION("""COMPUTED_VALUE"""),"테리")</f>
        <v>테리</v>
      </c>
      <c r="L524" s="26" t="str">
        <f>IFERROR(__xludf.DUMMYFUNCTION("""COMPUTED_VALUE"""),"만두")</f>
        <v>만두</v>
      </c>
      <c r="M524" s="26" t="str">
        <f>IFERROR(__xludf.DUMMYFUNCTION("""COMPUTED_VALUE"""),"노인")</f>
        <v>노인</v>
      </c>
      <c r="N524" s="26" t="str">
        <f>IFERROR(__xludf.DUMMYFUNCTION("ARRAYFORMULA(REGEXEXTRACT(SPLIT(E524, ""&lt;br&gt;""), ""([가-힣A-Za-z]+)""))"),"한메")</f>
        <v>한메</v>
      </c>
      <c r="O524" s="26" t="str">
        <f>IFERROR(__xludf.DUMMYFUNCTION("""COMPUTED_VALUE"""),"박서")</f>
        <v>박서</v>
      </c>
      <c r="P524" s="26" t="str">
        <f>IFERROR(__xludf.DUMMYFUNCTION("""COMPUTED_VALUE"""),"터미")</f>
        <v>터미</v>
      </c>
      <c r="Q524" s="26" t="str">
        <f>IFERROR(__xludf.DUMMYFUNCTION("""COMPUTED_VALUE"""),"신형만")</f>
        <v>신형만</v>
      </c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27" t="s">
        <v>2348</v>
      </c>
      <c r="B525" s="28" t="s">
        <v>2349</v>
      </c>
      <c r="C525" s="27" t="s">
        <v>2350</v>
      </c>
      <c r="D525" s="27">
        <v>5.0</v>
      </c>
      <c r="E525" s="27" t="s">
        <v>2351</v>
      </c>
      <c r="F525" s="27">
        <v>4.0</v>
      </c>
      <c r="G525" s="29">
        <v>45855.92152777778</v>
      </c>
      <c r="H525" s="27" t="s">
        <v>2017</v>
      </c>
      <c r="I525" s="30" t="s">
        <v>2352</v>
      </c>
      <c r="J525" s="25" t="str">
        <f>IFERROR(__xludf.DUMMYFUNCTION("ARRAYFORMULA(REGEXEXTRACT(SPLIT(C525, ""&lt;br&gt;""), ""([가-힣A-Za-z]+)""))"),"한메")</f>
        <v>한메</v>
      </c>
      <c r="K525" s="26" t="str">
        <f>IFERROR(__xludf.DUMMYFUNCTION("""COMPUTED_VALUE"""),"노인")</f>
        <v>노인</v>
      </c>
      <c r="L525" s="26" t="str">
        <f>IFERROR(__xludf.DUMMYFUNCTION("""COMPUTED_VALUE"""),"신형만")</f>
        <v>신형만</v>
      </c>
      <c r="M525" s="26" t="str">
        <f>IFERROR(__xludf.DUMMYFUNCTION("""COMPUTED_VALUE"""),"넘버")</f>
        <v>넘버</v>
      </c>
      <c r="N525" s="26" t="str">
        <f>IFERROR(__xludf.DUMMYFUNCTION("ARRAYFORMULA(REGEXEXTRACT(SPLIT(E525, ""&lt;br&gt;""), ""([가-힣A-Za-z]+)""))"),"깡패")</f>
        <v>깡패</v>
      </c>
      <c r="O525" s="26" t="str">
        <f>IFERROR(__xludf.DUMMYFUNCTION("""COMPUTED_VALUE"""),"테리")</f>
        <v>테리</v>
      </c>
      <c r="P525" s="26" t="str">
        <f>IFERROR(__xludf.DUMMYFUNCTION("""COMPUTED_VALUE"""),"터미")</f>
        <v>터미</v>
      </c>
      <c r="Q525" s="26" t="str">
        <f>IFERROR(__xludf.DUMMYFUNCTION("""COMPUTED_VALUE"""),"원")</f>
        <v>원</v>
      </c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27" t="s">
        <v>2353</v>
      </c>
      <c r="B526" s="28" t="s">
        <v>2354</v>
      </c>
      <c r="C526" s="27" t="s">
        <v>2355</v>
      </c>
      <c r="D526" s="27">
        <v>5.0</v>
      </c>
      <c r="E526" s="27" t="s">
        <v>2356</v>
      </c>
      <c r="F526" s="27">
        <v>1.0</v>
      </c>
      <c r="G526" s="29">
        <v>45855.8875</v>
      </c>
      <c r="H526" s="27" t="s">
        <v>2017</v>
      </c>
      <c r="I526" s="30" t="s">
        <v>2357</v>
      </c>
      <c r="J526" s="25" t="str">
        <f>IFERROR(__xludf.DUMMYFUNCTION("ARRAYFORMULA(REGEXEXTRACT(SPLIT(C526, ""&lt;br&gt;""), ""([가-힣A-Za-z]+)""))"),"깡패")</f>
        <v>깡패</v>
      </c>
      <c r="K526" s="26" t="str">
        <f>IFERROR(__xludf.DUMMYFUNCTION("""COMPUTED_VALUE"""),"넘버")</f>
        <v>넘버</v>
      </c>
      <c r="L526" s="26" t="str">
        <f>IFERROR(__xludf.DUMMYFUNCTION("""COMPUTED_VALUE"""),"원")</f>
        <v>원</v>
      </c>
      <c r="M526" s="26" t="str">
        <f>IFERROR(__xludf.DUMMYFUNCTION("""COMPUTED_VALUE"""),"한메")</f>
        <v>한메</v>
      </c>
      <c r="N526" s="26" t="str">
        <f>IFERROR(__xludf.DUMMYFUNCTION("ARRAYFORMULA(REGEXEXTRACT(SPLIT(E526, ""&lt;br&gt;""), ""([가-힣A-Za-z]+)""))"),"유즈")</f>
        <v>유즈</v>
      </c>
      <c r="O526" s="26" t="str">
        <f>IFERROR(__xludf.DUMMYFUNCTION("""COMPUTED_VALUE"""),"테리")</f>
        <v>테리</v>
      </c>
      <c r="P526" s="26" t="str">
        <f>IFERROR(__xludf.DUMMYFUNCTION("""COMPUTED_VALUE"""),"노인")</f>
        <v>노인</v>
      </c>
      <c r="Q526" s="26" t="str">
        <f>IFERROR(__xludf.DUMMYFUNCTION("""COMPUTED_VALUE"""),"터미")</f>
        <v>터미</v>
      </c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27" t="s">
        <v>2358</v>
      </c>
      <c r="B527" s="28" t="s">
        <v>2359</v>
      </c>
      <c r="C527" s="27" t="s">
        <v>2360</v>
      </c>
      <c r="D527" s="27">
        <v>5.0</v>
      </c>
      <c r="E527" s="27" t="s">
        <v>2361</v>
      </c>
      <c r="F527" s="27">
        <v>1.0</v>
      </c>
      <c r="G527" s="29">
        <v>45855.86597222222</v>
      </c>
      <c r="H527" s="27" t="s">
        <v>2017</v>
      </c>
      <c r="I527" s="30" t="s">
        <v>2357</v>
      </c>
      <c r="J527" s="25" t="str">
        <f>IFERROR(__xludf.DUMMYFUNCTION("ARRAYFORMULA(REGEXEXTRACT(SPLIT(C527, ""&lt;br&gt;""), ""([가-힣A-Za-z]+)""))"),"원")</f>
        <v>원</v>
      </c>
      <c r="K527" s="26" t="str">
        <f>IFERROR(__xludf.DUMMYFUNCTION("""COMPUTED_VALUE"""),"넘버")</f>
        <v>넘버</v>
      </c>
      <c r="L527" s="26" t="str">
        <f>IFERROR(__xludf.DUMMYFUNCTION("""COMPUTED_VALUE"""),"노인")</f>
        <v>노인</v>
      </c>
      <c r="M527" s="26" t="str">
        <f>IFERROR(__xludf.DUMMYFUNCTION("""COMPUTED_VALUE"""),"터미")</f>
        <v>터미</v>
      </c>
      <c r="N527" s="26" t="str">
        <f>IFERROR(__xludf.DUMMYFUNCTION("ARRAYFORMULA(REGEXEXTRACT(SPLIT(E527, ""&lt;br&gt;""), ""([가-힣A-Za-z]+)""))"),"테리")</f>
        <v>테리</v>
      </c>
      <c r="O527" s="26" t="str">
        <f>IFERROR(__xludf.DUMMYFUNCTION("""COMPUTED_VALUE"""),"유즈")</f>
        <v>유즈</v>
      </c>
      <c r="P527" s="26" t="str">
        <f>IFERROR(__xludf.DUMMYFUNCTION("""COMPUTED_VALUE"""),"한메")</f>
        <v>한메</v>
      </c>
      <c r="Q527" s="26" t="str">
        <f>IFERROR(__xludf.DUMMYFUNCTION("""COMPUTED_VALUE"""),"깡패")</f>
        <v>깡패</v>
      </c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27" t="s">
        <v>2362</v>
      </c>
      <c r="B528" s="28" t="s">
        <v>2363</v>
      </c>
      <c r="C528" s="27" t="s">
        <v>2364</v>
      </c>
      <c r="D528" s="27">
        <v>5.0</v>
      </c>
      <c r="E528" s="27" t="s">
        <v>2365</v>
      </c>
      <c r="F528" s="27">
        <v>1.0</v>
      </c>
      <c r="G528" s="29">
        <v>45855.00833333333</v>
      </c>
      <c r="H528" s="27" t="s">
        <v>2017</v>
      </c>
      <c r="I528" s="30" t="s">
        <v>2366</v>
      </c>
      <c r="J528" s="25" t="str">
        <f>IFERROR(__xludf.DUMMYFUNCTION("ARRAYFORMULA(REGEXEXTRACT(SPLIT(C528, ""&lt;br&gt;""), ""([가-힣A-Za-z]+)""))"),"노인")</f>
        <v>노인</v>
      </c>
      <c r="K528" s="26" t="str">
        <f>IFERROR(__xludf.DUMMYFUNCTION("""COMPUTED_VALUE"""),"테리")</f>
        <v>테리</v>
      </c>
      <c r="L528" s="26" t="str">
        <f>IFERROR(__xludf.DUMMYFUNCTION("""COMPUTED_VALUE"""),"유즈")</f>
        <v>유즈</v>
      </c>
      <c r="M528" s="26" t="str">
        <f>IFERROR(__xludf.DUMMYFUNCTION("""COMPUTED_VALUE"""),"깡패")</f>
        <v>깡패</v>
      </c>
      <c r="N528" s="26" t="str">
        <f>IFERROR(__xludf.DUMMYFUNCTION("ARRAYFORMULA(REGEXEXTRACT(SPLIT(E528, ""&lt;br&gt;""), ""([가-힣A-Za-z]+)""))"),"한메")</f>
        <v>한메</v>
      </c>
      <c r="O528" s="26" t="str">
        <f>IFERROR(__xludf.DUMMYFUNCTION("""COMPUTED_VALUE"""),"신형만")</f>
        <v>신형만</v>
      </c>
      <c r="P528" s="26" t="str">
        <f>IFERROR(__xludf.DUMMYFUNCTION("""COMPUTED_VALUE"""),"ACDC")</f>
        <v>ACDC</v>
      </c>
      <c r="Q528" s="26" t="str">
        <f>IFERROR(__xludf.DUMMYFUNCTION("""COMPUTED_VALUE"""),"박서")</f>
        <v>박서</v>
      </c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27" t="s">
        <v>2367</v>
      </c>
      <c r="B529" s="28" t="s">
        <v>2368</v>
      </c>
      <c r="C529" s="27" t="s">
        <v>2369</v>
      </c>
      <c r="D529" s="27">
        <v>5.0</v>
      </c>
      <c r="E529" s="27" t="s">
        <v>2370</v>
      </c>
      <c r="F529" s="27">
        <v>3.0</v>
      </c>
      <c r="G529" s="29">
        <v>45854.97777777778</v>
      </c>
      <c r="H529" s="27" t="s">
        <v>2017</v>
      </c>
      <c r="I529" s="30" t="s">
        <v>2371</v>
      </c>
      <c r="J529" s="25" t="str">
        <f>IFERROR(__xludf.DUMMYFUNCTION("ARRAYFORMULA(REGEXEXTRACT(SPLIT(C529, ""&lt;br&gt;""), ""([가-힣A-Za-z]+)""))"),"재우")</f>
        <v>재우</v>
      </c>
      <c r="K529" s="26" t="str">
        <f>IFERROR(__xludf.DUMMYFUNCTION("""COMPUTED_VALUE"""),"유즈")</f>
        <v>유즈</v>
      </c>
      <c r="L529" s="26" t="str">
        <f>IFERROR(__xludf.DUMMYFUNCTION("""COMPUTED_VALUE"""),"깡패")</f>
        <v>깡패</v>
      </c>
      <c r="M529" s="26" t="str">
        <f>IFERROR(__xludf.DUMMYFUNCTION("""COMPUTED_VALUE"""),"신형만")</f>
        <v>신형만</v>
      </c>
      <c r="N529" s="26" t="str">
        <f>IFERROR(__xludf.DUMMYFUNCTION("ARRAYFORMULA(REGEXEXTRACT(SPLIT(E529, ""&lt;br&gt;""), ""([가-힣A-Za-z]+)""))"),"한메")</f>
        <v>한메</v>
      </c>
      <c r="O529" s="26" t="str">
        <f>IFERROR(__xludf.DUMMYFUNCTION("""COMPUTED_VALUE"""),"ACDC")</f>
        <v>ACDC</v>
      </c>
      <c r="P529" s="26" t="str">
        <f>IFERROR(__xludf.DUMMYFUNCTION("""COMPUTED_VALUE"""),"테리")</f>
        <v>테리</v>
      </c>
      <c r="Q529" s="26" t="str">
        <f>IFERROR(__xludf.DUMMYFUNCTION("""COMPUTED_VALUE"""),"노인")</f>
        <v>노인</v>
      </c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27" t="s">
        <v>2372</v>
      </c>
      <c r="B530" s="28" t="s">
        <v>2373</v>
      </c>
      <c r="C530" s="27" t="s">
        <v>2374</v>
      </c>
      <c r="D530" s="27">
        <v>5.0</v>
      </c>
      <c r="E530" s="27" t="s">
        <v>2375</v>
      </c>
      <c r="F530" s="27">
        <v>3.0</v>
      </c>
      <c r="G530" s="29">
        <v>45854.95208333333</v>
      </c>
      <c r="H530" s="27" t="s">
        <v>2017</v>
      </c>
      <c r="I530" s="30" t="s">
        <v>2371</v>
      </c>
      <c r="J530" s="25" t="str">
        <f>IFERROR(__xludf.DUMMYFUNCTION("ARRAYFORMULA(REGEXEXTRACT(SPLIT(C530, ""&lt;br&gt;""), ""([가-힣A-Za-z]+)""))"),"재우")</f>
        <v>재우</v>
      </c>
      <c r="K530" s="26" t="str">
        <f>IFERROR(__xludf.DUMMYFUNCTION("""COMPUTED_VALUE"""),"노인")</f>
        <v>노인</v>
      </c>
      <c r="L530" s="26" t="str">
        <f>IFERROR(__xludf.DUMMYFUNCTION("""COMPUTED_VALUE"""),"테리")</f>
        <v>테리</v>
      </c>
      <c r="M530" s="26" t="str">
        <f>IFERROR(__xludf.DUMMYFUNCTION("""COMPUTED_VALUE"""),"신형만")</f>
        <v>신형만</v>
      </c>
      <c r="N530" s="26" t="str">
        <f>IFERROR(__xludf.DUMMYFUNCTION("ARRAYFORMULA(REGEXEXTRACT(SPLIT(E530, ""&lt;br&gt;""), ""([가-힣A-Za-z]+)""))"),"ACDC")</f>
        <v>ACDC</v>
      </c>
      <c r="O530" s="26" t="str">
        <f>IFERROR(__xludf.DUMMYFUNCTION("""COMPUTED_VALUE"""),"유즈")</f>
        <v>유즈</v>
      </c>
      <c r="P530" s="26" t="str">
        <f>IFERROR(__xludf.DUMMYFUNCTION("""COMPUTED_VALUE"""),"깡패")</f>
        <v>깡패</v>
      </c>
      <c r="Q530" s="26" t="str">
        <f>IFERROR(__xludf.DUMMYFUNCTION("""COMPUTED_VALUE"""),"한메")</f>
        <v>한메</v>
      </c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27" t="s">
        <v>2376</v>
      </c>
      <c r="B531" s="28" t="s">
        <v>2377</v>
      </c>
      <c r="C531" s="27" t="s">
        <v>2378</v>
      </c>
      <c r="D531" s="27">
        <v>5.0</v>
      </c>
      <c r="E531" s="27" t="s">
        <v>2379</v>
      </c>
      <c r="F531" s="27">
        <v>0.0</v>
      </c>
      <c r="G531" s="29">
        <v>45853.021527777775</v>
      </c>
      <c r="H531" s="27" t="s">
        <v>2017</v>
      </c>
      <c r="I531" s="18"/>
      <c r="J531" s="25" t="str">
        <f>IFERROR(__xludf.DUMMYFUNCTION("ARRAYFORMULA(REGEXEXTRACT(SPLIT(C531, ""&lt;br&gt;""), ""([가-힣A-Za-z]+)""))"),"신형만")</f>
        <v>신형만</v>
      </c>
      <c r="K531" s="26" t="str">
        <f>IFERROR(__xludf.DUMMYFUNCTION("""COMPUTED_VALUE"""),"재우")</f>
        <v>재우</v>
      </c>
      <c r="L531" s="26" t="str">
        <f>IFERROR(__xludf.DUMMYFUNCTION("""COMPUTED_VALUE"""),"노인")</f>
        <v>노인</v>
      </c>
      <c r="M531" s="26" t="str">
        <f>IFERROR(__xludf.DUMMYFUNCTION("""COMPUTED_VALUE"""),"한메")</f>
        <v>한메</v>
      </c>
      <c r="N531" s="26" t="str">
        <f>IFERROR(__xludf.DUMMYFUNCTION("ARRAYFORMULA(REGEXEXTRACT(SPLIT(E531, ""&lt;br&gt;""), ""([가-힣A-Za-z]+)""))"),"테리")</f>
        <v>테리</v>
      </c>
      <c r="O531" s="26" t="str">
        <f>IFERROR(__xludf.DUMMYFUNCTION("""COMPUTED_VALUE"""),"터미")</f>
        <v>터미</v>
      </c>
      <c r="P531" s="26" t="str">
        <f>IFERROR(__xludf.DUMMYFUNCTION("""COMPUTED_VALUE"""),"오크")</f>
        <v>오크</v>
      </c>
      <c r="Q531" s="26" t="str">
        <f>IFERROR(__xludf.DUMMYFUNCTION("""COMPUTED_VALUE"""),"ACDC")</f>
        <v>ACDC</v>
      </c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27" t="s">
        <v>2380</v>
      </c>
      <c r="B532" s="28" t="s">
        <v>2381</v>
      </c>
      <c r="C532" s="27" t="s">
        <v>2382</v>
      </c>
      <c r="D532" s="27">
        <v>5.0</v>
      </c>
      <c r="E532" s="27" t="s">
        <v>2383</v>
      </c>
      <c r="F532" s="27">
        <v>4.0</v>
      </c>
      <c r="G532" s="29">
        <v>45853.01944444444</v>
      </c>
      <c r="H532" s="27" t="s">
        <v>2017</v>
      </c>
      <c r="I532" s="18"/>
      <c r="J532" s="25" t="str">
        <f>IFERROR(__xludf.DUMMYFUNCTION("ARRAYFORMULA(REGEXEXTRACT(SPLIT(C532, ""&lt;br&gt;""), ""([가-힣A-Za-z]+)""))"),"신형만")</f>
        <v>신형만</v>
      </c>
      <c r="K532" s="26" t="str">
        <f>IFERROR(__xludf.DUMMYFUNCTION("""COMPUTED_VALUE"""),"재우")</f>
        <v>재우</v>
      </c>
      <c r="L532" s="26" t="str">
        <f>IFERROR(__xludf.DUMMYFUNCTION("""COMPUTED_VALUE"""),"테리")</f>
        <v>테리</v>
      </c>
      <c r="M532" s="26" t="str">
        <f>IFERROR(__xludf.DUMMYFUNCTION("""COMPUTED_VALUE"""),"오크")</f>
        <v>오크</v>
      </c>
      <c r="N532" s="26" t="str">
        <f>IFERROR(__xludf.DUMMYFUNCTION("ARRAYFORMULA(REGEXEXTRACT(SPLIT(E532, ""&lt;br&gt;""), ""([가-힣A-Za-z]+)""))"),"노인")</f>
        <v>노인</v>
      </c>
      <c r="O532" s="26" t="str">
        <f>IFERROR(__xludf.DUMMYFUNCTION("""COMPUTED_VALUE"""),"ACDC")</f>
        <v>ACDC</v>
      </c>
      <c r="P532" s="26" t="str">
        <f>IFERROR(__xludf.DUMMYFUNCTION("""COMPUTED_VALUE"""),"한메")</f>
        <v>한메</v>
      </c>
      <c r="Q532" s="26" t="str">
        <f>IFERROR(__xludf.DUMMYFUNCTION("""COMPUTED_VALUE"""),"터미")</f>
        <v>터미</v>
      </c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27" t="s">
        <v>2384</v>
      </c>
      <c r="B533" s="28" t="s">
        <v>2385</v>
      </c>
      <c r="C533" s="27" t="s">
        <v>2386</v>
      </c>
      <c r="D533" s="27">
        <v>5.0</v>
      </c>
      <c r="E533" s="27" t="s">
        <v>2387</v>
      </c>
      <c r="F533" s="27">
        <v>4.0</v>
      </c>
      <c r="G533" s="29">
        <v>45853.018055555556</v>
      </c>
      <c r="H533" s="27" t="s">
        <v>2017</v>
      </c>
      <c r="I533" s="18"/>
      <c r="J533" s="25" t="str">
        <f>IFERROR(__xludf.DUMMYFUNCTION("ARRAYFORMULA(REGEXEXTRACT(SPLIT(C533, ""&lt;br&gt;""), ""([가-힣A-Za-z]+)""))"),"재우")</f>
        <v>재우</v>
      </c>
      <c r="K533" s="26" t="str">
        <f>IFERROR(__xludf.DUMMYFUNCTION("""COMPUTED_VALUE"""),"노인")</f>
        <v>노인</v>
      </c>
      <c r="L533" s="26" t="str">
        <f>IFERROR(__xludf.DUMMYFUNCTION("""COMPUTED_VALUE"""),"ACDC")</f>
        <v>ACDC</v>
      </c>
      <c r="M533" s="26" t="str">
        <f>IFERROR(__xludf.DUMMYFUNCTION("""COMPUTED_VALUE"""),"오크")</f>
        <v>오크</v>
      </c>
      <c r="N533" s="26" t="str">
        <f>IFERROR(__xludf.DUMMYFUNCTION("ARRAYFORMULA(REGEXEXTRACT(SPLIT(E533, ""&lt;br&gt;""), ""([가-힣A-Za-z]+)""))"),"한메")</f>
        <v>한메</v>
      </c>
      <c r="O533" s="26" t="str">
        <f>IFERROR(__xludf.DUMMYFUNCTION("""COMPUTED_VALUE"""),"테리")</f>
        <v>테리</v>
      </c>
      <c r="P533" s="26" t="str">
        <f>IFERROR(__xludf.DUMMYFUNCTION("""COMPUTED_VALUE"""),"터미")</f>
        <v>터미</v>
      </c>
      <c r="Q533" s="26" t="str">
        <f>IFERROR(__xludf.DUMMYFUNCTION("""COMPUTED_VALUE"""),"신형만")</f>
        <v>신형만</v>
      </c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27" t="s">
        <v>2388</v>
      </c>
      <c r="B534" s="28" t="s">
        <v>2389</v>
      </c>
      <c r="C534" s="27" t="s">
        <v>2390</v>
      </c>
      <c r="D534" s="27">
        <v>5.0</v>
      </c>
      <c r="E534" s="27" t="s">
        <v>2391</v>
      </c>
      <c r="F534" s="27">
        <v>1.0</v>
      </c>
      <c r="G534" s="29">
        <v>45852.99166666667</v>
      </c>
      <c r="H534" s="27" t="s">
        <v>2017</v>
      </c>
      <c r="I534" s="18"/>
      <c r="J534" s="25" t="str">
        <f>IFERROR(__xludf.DUMMYFUNCTION("ARRAYFORMULA(REGEXEXTRACT(SPLIT(C534, ""&lt;br&gt;""), ""([가-힣A-Za-z]+)""))"),"ACDC")</f>
        <v>ACDC</v>
      </c>
      <c r="K534" s="26" t="str">
        <f>IFERROR(__xludf.DUMMYFUNCTION("""COMPUTED_VALUE"""),"테리")</f>
        <v>테리</v>
      </c>
      <c r="L534" s="26" t="str">
        <f>IFERROR(__xludf.DUMMYFUNCTION("""COMPUTED_VALUE"""),"한메")</f>
        <v>한메</v>
      </c>
      <c r="M534" s="26" t="str">
        <f>IFERROR(__xludf.DUMMYFUNCTION("""COMPUTED_VALUE"""),"재우")</f>
        <v>재우</v>
      </c>
      <c r="N534" s="26" t="str">
        <f>IFERROR(__xludf.DUMMYFUNCTION("ARRAYFORMULA(REGEXEXTRACT(SPLIT(E534, ""&lt;br&gt;""), ""([가-힣A-Za-z]+)""))"),"노인")</f>
        <v>노인</v>
      </c>
      <c r="O534" s="26" t="str">
        <f>IFERROR(__xludf.DUMMYFUNCTION("""COMPUTED_VALUE"""),"터미")</f>
        <v>터미</v>
      </c>
      <c r="P534" s="26" t="str">
        <f>IFERROR(__xludf.DUMMYFUNCTION("""COMPUTED_VALUE"""),"신형만")</f>
        <v>신형만</v>
      </c>
      <c r="Q534" s="26" t="str">
        <f>IFERROR(__xludf.DUMMYFUNCTION("""COMPUTED_VALUE"""),"오크")</f>
        <v>오크</v>
      </c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27" t="s">
        <v>2392</v>
      </c>
      <c r="B535" s="28" t="s">
        <v>2393</v>
      </c>
      <c r="C535" s="27" t="s">
        <v>2394</v>
      </c>
      <c r="D535" s="27">
        <v>5.0</v>
      </c>
      <c r="E535" s="27" t="s">
        <v>2395</v>
      </c>
      <c r="F535" s="27">
        <v>3.0</v>
      </c>
      <c r="G535" s="29">
        <v>45848.035416666666</v>
      </c>
      <c r="H535" s="27" t="s">
        <v>2396</v>
      </c>
      <c r="I535" s="18"/>
      <c r="J535" s="25" t="str">
        <f>IFERROR(__xludf.DUMMYFUNCTION("ARRAYFORMULA(REGEXEXTRACT(SPLIT(C535, ""&lt;br&gt;""), ""([가-힣A-Za-z]+)""))"),"테리")</f>
        <v>테리</v>
      </c>
      <c r="K535" s="26" t="str">
        <f>IFERROR(__xludf.DUMMYFUNCTION("""COMPUTED_VALUE"""),"노인")</f>
        <v>노인</v>
      </c>
      <c r="L535" s="26" t="str">
        <f>IFERROR(__xludf.DUMMYFUNCTION("""COMPUTED_VALUE"""),"솔")</f>
        <v>솔</v>
      </c>
      <c r="M535" s="26" t="str">
        <f>IFERROR(__xludf.DUMMYFUNCTION("""COMPUTED_VALUE"""),"참치")</f>
        <v>참치</v>
      </c>
      <c r="N535" s="26" t="str">
        <f>IFERROR(__xludf.DUMMYFUNCTION("ARRAYFORMULA(REGEXEXTRACT(SPLIT(E535, ""&lt;br&gt;""), ""([가-힣A-Za-z]+)""))"),"원")</f>
        <v>원</v>
      </c>
      <c r="O535" s="26" t="str">
        <f>IFERROR(__xludf.DUMMYFUNCTION("""COMPUTED_VALUE"""),"신형만")</f>
        <v>신형만</v>
      </c>
      <c r="P535" s="26" t="str">
        <f>IFERROR(__xludf.DUMMYFUNCTION("""COMPUTED_VALUE"""),"한메")</f>
        <v>한메</v>
      </c>
      <c r="Q535" s="26" t="str">
        <f>IFERROR(__xludf.DUMMYFUNCTION("""COMPUTED_VALUE"""),"깡패")</f>
        <v>깡패</v>
      </c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27" t="s">
        <v>2397</v>
      </c>
      <c r="B536" s="28" t="s">
        <v>2398</v>
      </c>
      <c r="C536" s="27" t="s">
        <v>2399</v>
      </c>
      <c r="D536" s="27">
        <v>5.0</v>
      </c>
      <c r="E536" s="27" t="s">
        <v>2400</v>
      </c>
      <c r="F536" s="27">
        <v>2.0</v>
      </c>
      <c r="G536" s="29">
        <v>45848.03333333333</v>
      </c>
      <c r="H536" s="27" t="s">
        <v>2396</v>
      </c>
      <c r="I536" s="18"/>
      <c r="J536" s="25" t="str">
        <f>IFERROR(__xludf.DUMMYFUNCTION("ARRAYFORMULA(REGEXEXTRACT(SPLIT(C536, ""&lt;br&gt;""), ""([가-힣A-Za-z]+)""))"),"참치")</f>
        <v>참치</v>
      </c>
      <c r="K536" s="26" t="str">
        <f>IFERROR(__xludf.DUMMYFUNCTION("""COMPUTED_VALUE"""),"노인")</f>
        <v>노인</v>
      </c>
      <c r="L536" s="26" t="str">
        <f>IFERROR(__xludf.DUMMYFUNCTION("""COMPUTED_VALUE"""),"원")</f>
        <v>원</v>
      </c>
      <c r="M536" s="26" t="str">
        <f>IFERROR(__xludf.DUMMYFUNCTION("""COMPUTED_VALUE"""),"깡패")</f>
        <v>깡패</v>
      </c>
      <c r="N536" s="26" t="str">
        <f>IFERROR(__xludf.DUMMYFUNCTION("ARRAYFORMULA(REGEXEXTRACT(SPLIT(E536, ""&lt;br&gt;""), ""([가-힣A-Za-z]+)""))"),"한메")</f>
        <v>한메</v>
      </c>
      <c r="O536" s="26" t="str">
        <f>IFERROR(__xludf.DUMMYFUNCTION("""COMPUTED_VALUE"""),"솔")</f>
        <v>솔</v>
      </c>
      <c r="P536" s="26" t="str">
        <f>IFERROR(__xludf.DUMMYFUNCTION("""COMPUTED_VALUE"""),"테리")</f>
        <v>테리</v>
      </c>
      <c r="Q536" s="26" t="str">
        <f>IFERROR(__xludf.DUMMYFUNCTION("""COMPUTED_VALUE"""),"신형만")</f>
        <v>신형만</v>
      </c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27" t="s">
        <v>2401</v>
      </c>
      <c r="B537" s="28" t="s">
        <v>2402</v>
      </c>
      <c r="C537" s="27" t="s">
        <v>2403</v>
      </c>
      <c r="D537" s="27">
        <v>5.0</v>
      </c>
      <c r="E537" s="27" t="s">
        <v>2404</v>
      </c>
      <c r="F537" s="27">
        <v>2.0</v>
      </c>
      <c r="G537" s="29">
        <v>45848.03125</v>
      </c>
      <c r="H537" s="27" t="s">
        <v>2396</v>
      </c>
      <c r="I537" s="18"/>
      <c r="J537" s="25" t="str">
        <f>IFERROR(__xludf.DUMMYFUNCTION("ARRAYFORMULA(REGEXEXTRACT(SPLIT(C537, ""&lt;br&gt;""), ""([가-힣A-Za-z]+)""))"),"노인")</f>
        <v>노인</v>
      </c>
      <c r="K537" s="26" t="str">
        <f>IFERROR(__xludf.DUMMYFUNCTION("""COMPUTED_VALUE"""),"테리")</f>
        <v>테리</v>
      </c>
      <c r="L537" s="26" t="str">
        <f>IFERROR(__xludf.DUMMYFUNCTION("""COMPUTED_VALUE"""),"신형만")</f>
        <v>신형만</v>
      </c>
      <c r="M537" s="26" t="str">
        <f>IFERROR(__xludf.DUMMYFUNCTION("""COMPUTED_VALUE"""),"원")</f>
        <v>원</v>
      </c>
      <c r="N537" s="26" t="str">
        <f>IFERROR(__xludf.DUMMYFUNCTION("ARRAYFORMULA(REGEXEXTRACT(SPLIT(E537, ""&lt;br&gt;""), ""([가-힣A-Za-z]+)""))"),"솔")</f>
        <v>솔</v>
      </c>
      <c r="O537" s="26" t="str">
        <f>IFERROR(__xludf.DUMMYFUNCTION("""COMPUTED_VALUE"""),"참치")</f>
        <v>참치</v>
      </c>
      <c r="P537" s="26" t="str">
        <f>IFERROR(__xludf.DUMMYFUNCTION("""COMPUTED_VALUE"""),"한메")</f>
        <v>한메</v>
      </c>
      <c r="Q537" s="26" t="str">
        <f>IFERROR(__xludf.DUMMYFUNCTION("""COMPUTED_VALUE"""),"깡패")</f>
        <v>깡패</v>
      </c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27" t="s">
        <v>2405</v>
      </c>
      <c r="B538" s="28" t="s">
        <v>2406</v>
      </c>
      <c r="C538" s="27" t="s">
        <v>2407</v>
      </c>
      <c r="D538" s="27">
        <v>5.0</v>
      </c>
      <c r="E538" s="27" t="s">
        <v>2408</v>
      </c>
      <c r="F538" s="27">
        <v>2.0</v>
      </c>
      <c r="G538" s="29">
        <v>45848.02847222222</v>
      </c>
      <c r="H538" s="27" t="s">
        <v>2396</v>
      </c>
      <c r="I538" s="18"/>
      <c r="J538" s="25" t="str">
        <f>IFERROR(__xludf.DUMMYFUNCTION("ARRAYFORMULA(REGEXEXTRACT(SPLIT(C538, ""&lt;br&gt;""), ""([가-힣A-Za-z]+)""))"),"테리")</f>
        <v>테리</v>
      </c>
      <c r="K538" s="26" t="str">
        <f>IFERROR(__xludf.DUMMYFUNCTION("""COMPUTED_VALUE"""),"솔")</f>
        <v>솔</v>
      </c>
      <c r="L538" s="26" t="str">
        <f>IFERROR(__xludf.DUMMYFUNCTION("""COMPUTED_VALUE"""),"원")</f>
        <v>원</v>
      </c>
      <c r="M538" s="26" t="str">
        <f>IFERROR(__xludf.DUMMYFUNCTION("""COMPUTED_VALUE"""),"한메")</f>
        <v>한메</v>
      </c>
      <c r="N538" s="26" t="str">
        <f>IFERROR(__xludf.DUMMYFUNCTION("ARRAYFORMULA(REGEXEXTRACT(SPLIT(E538, ""&lt;br&gt;""), ""([가-힣A-Za-z]+)""))"),"노인")</f>
        <v>노인</v>
      </c>
      <c r="O538" s="26" t="str">
        <f>IFERROR(__xludf.DUMMYFUNCTION("""COMPUTED_VALUE"""),"참치")</f>
        <v>참치</v>
      </c>
      <c r="P538" s="26" t="str">
        <f>IFERROR(__xludf.DUMMYFUNCTION("""COMPUTED_VALUE"""),"신형만")</f>
        <v>신형만</v>
      </c>
      <c r="Q538" s="26" t="str">
        <f>IFERROR(__xludf.DUMMYFUNCTION("""COMPUTED_VALUE"""),"깡패")</f>
        <v>깡패</v>
      </c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27" t="s">
        <v>2409</v>
      </c>
      <c r="B539" s="28" t="s">
        <v>2410</v>
      </c>
      <c r="C539" s="27" t="s">
        <v>2411</v>
      </c>
      <c r="D539" s="27">
        <v>5.0</v>
      </c>
      <c r="E539" s="27" t="s">
        <v>2412</v>
      </c>
      <c r="F539" s="27">
        <v>3.0</v>
      </c>
      <c r="G539" s="29">
        <v>45848.010416666664</v>
      </c>
      <c r="H539" s="27" t="s">
        <v>2396</v>
      </c>
      <c r="I539" s="18"/>
      <c r="J539" s="25" t="str">
        <f>IFERROR(__xludf.DUMMYFUNCTION("ARRAYFORMULA(REGEXEXTRACT(SPLIT(C539, ""&lt;br&gt;""), ""([가-힣A-Za-z]+)""))"),"원")</f>
        <v>원</v>
      </c>
      <c r="K539" s="26" t="str">
        <f>IFERROR(__xludf.DUMMYFUNCTION("""COMPUTED_VALUE"""),"참치")</f>
        <v>참치</v>
      </c>
      <c r="L539" s="26" t="str">
        <f>IFERROR(__xludf.DUMMYFUNCTION("""COMPUTED_VALUE"""),"테리")</f>
        <v>테리</v>
      </c>
      <c r="M539" s="26" t="str">
        <f>IFERROR(__xludf.DUMMYFUNCTION("""COMPUTED_VALUE"""),"깡패")</f>
        <v>깡패</v>
      </c>
      <c r="N539" s="26" t="str">
        <f>IFERROR(__xludf.DUMMYFUNCTION("ARRAYFORMULA(REGEXEXTRACT(SPLIT(E539, ""&lt;br&gt;""), ""([가-힣A-Za-z]+)""))"),"노인")</f>
        <v>노인</v>
      </c>
      <c r="O539" s="26" t="str">
        <f>IFERROR(__xludf.DUMMYFUNCTION("""COMPUTED_VALUE"""),"솔")</f>
        <v>솔</v>
      </c>
      <c r="P539" s="26" t="str">
        <f>IFERROR(__xludf.DUMMYFUNCTION("""COMPUTED_VALUE"""),"한메")</f>
        <v>한메</v>
      </c>
      <c r="Q539" s="26" t="str">
        <f>IFERROR(__xludf.DUMMYFUNCTION("""COMPUTED_VALUE"""),"신형만")</f>
        <v>신형만</v>
      </c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27" t="s">
        <v>2413</v>
      </c>
      <c r="B540" s="28" t="s">
        <v>2414</v>
      </c>
      <c r="C540" s="27" t="s">
        <v>2415</v>
      </c>
      <c r="D540" s="27">
        <v>5.0</v>
      </c>
      <c r="E540" s="27" t="s">
        <v>2416</v>
      </c>
      <c r="F540" s="27">
        <v>2.0</v>
      </c>
      <c r="G540" s="29">
        <v>45847.964583333334</v>
      </c>
      <c r="H540" s="27" t="s">
        <v>2396</v>
      </c>
      <c r="I540" s="18"/>
      <c r="J540" s="25" t="str">
        <f>IFERROR(__xludf.DUMMYFUNCTION("ARRAYFORMULA(REGEXEXTRACT(SPLIT(C540, ""&lt;br&gt;""), ""([가-힣A-Za-z]+)""))"),"노인")</f>
        <v>노인</v>
      </c>
      <c r="K540" s="26" t="str">
        <f>IFERROR(__xludf.DUMMYFUNCTION("""COMPUTED_VALUE"""),"솔")</f>
        <v>솔</v>
      </c>
      <c r="L540" s="26" t="str">
        <f>IFERROR(__xludf.DUMMYFUNCTION("""COMPUTED_VALUE"""),"테리")</f>
        <v>테리</v>
      </c>
      <c r="M540" s="26" t="str">
        <f>IFERROR(__xludf.DUMMYFUNCTION("""COMPUTED_VALUE"""),"원")</f>
        <v>원</v>
      </c>
      <c r="N540" s="26" t="str">
        <f>IFERROR(__xludf.DUMMYFUNCTION("ARRAYFORMULA(REGEXEXTRACT(SPLIT(E540, ""&lt;br&gt;""), ""([가-힣A-Za-z]+)""))"),"한메")</f>
        <v>한메</v>
      </c>
      <c r="O540" s="26" t="str">
        <f>IFERROR(__xludf.DUMMYFUNCTION("""COMPUTED_VALUE"""),"깡패")</f>
        <v>깡패</v>
      </c>
      <c r="P540" s="26" t="str">
        <f>IFERROR(__xludf.DUMMYFUNCTION("""COMPUTED_VALUE"""),"참치")</f>
        <v>참치</v>
      </c>
      <c r="Q540" s="26" t="str">
        <f>IFERROR(__xludf.DUMMYFUNCTION("""COMPUTED_VALUE"""),"신형만")</f>
        <v>신형만</v>
      </c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27" t="s">
        <v>2417</v>
      </c>
      <c r="B541" s="28" t="s">
        <v>2418</v>
      </c>
      <c r="C541" s="27" t="s">
        <v>2419</v>
      </c>
      <c r="D541" s="27">
        <v>5.0</v>
      </c>
      <c r="E541" s="27" t="s">
        <v>2420</v>
      </c>
      <c r="F541" s="27">
        <v>3.0</v>
      </c>
      <c r="G541" s="29">
        <v>45847.00069444445</v>
      </c>
      <c r="H541" s="27" t="s">
        <v>2396</v>
      </c>
      <c r="I541" s="18"/>
      <c r="J541" s="25" t="str">
        <f>IFERROR(__xludf.DUMMYFUNCTION("ARRAYFORMULA(REGEXEXTRACT(SPLIT(C541, ""&lt;br&gt;""), ""([가-힣A-Za-z]+)""))"),"솔")</f>
        <v>솔</v>
      </c>
      <c r="K541" s="26" t="str">
        <f>IFERROR(__xludf.DUMMYFUNCTION("""COMPUTED_VALUE"""),"노인")</f>
        <v>노인</v>
      </c>
      <c r="L541" s="26" t="str">
        <f>IFERROR(__xludf.DUMMYFUNCTION("""COMPUTED_VALUE"""),"한메")</f>
        <v>한메</v>
      </c>
      <c r="M541" s="26" t="str">
        <f>IFERROR(__xludf.DUMMYFUNCTION("""COMPUTED_VALUE"""),"참치")</f>
        <v>참치</v>
      </c>
      <c r="N541" s="26" t="str">
        <f>IFERROR(__xludf.DUMMYFUNCTION("ARRAYFORMULA(REGEXEXTRACT(SPLIT(E541, ""&lt;br&gt;""), ""([가-힣A-Za-z]+)""))"),"신형만")</f>
        <v>신형만</v>
      </c>
      <c r="O541" s="26" t="str">
        <f>IFERROR(__xludf.DUMMYFUNCTION("""COMPUTED_VALUE"""),"원")</f>
        <v>원</v>
      </c>
      <c r="P541" s="26" t="str">
        <f>IFERROR(__xludf.DUMMYFUNCTION("""COMPUTED_VALUE"""),"테리")</f>
        <v>테리</v>
      </c>
      <c r="Q541" s="26" t="str">
        <f>IFERROR(__xludf.DUMMYFUNCTION("""COMPUTED_VALUE"""),"깡패")</f>
        <v>깡패</v>
      </c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27" t="s">
        <v>2421</v>
      </c>
      <c r="B542" s="28" t="s">
        <v>2422</v>
      </c>
      <c r="C542" s="27" t="s">
        <v>2423</v>
      </c>
      <c r="D542" s="27">
        <v>5.0</v>
      </c>
      <c r="E542" s="27" t="s">
        <v>2424</v>
      </c>
      <c r="F542" s="27">
        <v>3.0</v>
      </c>
      <c r="G542" s="29">
        <v>45846.99930555555</v>
      </c>
      <c r="H542" s="27" t="s">
        <v>2396</v>
      </c>
      <c r="I542" s="18"/>
      <c r="J542" s="25" t="str">
        <f>IFERROR(__xludf.DUMMYFUNCTION("ARRAYFORMULA(REGEXEXTRACT(SPLIT(C542, ""&lt;br&gt;""), ""([가-힣A-Za-z]+)""))"),"테리")</f>
        <v>테리</v>
      </c>
      <c r="K542" s="26" t="str">
        <f>IFERROR(__xludf.DUMMYFUNCTION("""COMPUTED_VALUE"""),"깡패")</f>
        <v>깡패</v>
      </c>
      <c r="L542" s="26" t="str">
        <f>IFERROR(__xludf.DUMMYFUNCTION("""COMPUTED_VALUE"""),"솔")</f>
        <v>솔</v>
      </c>
      <c r="M542" s="26" t="str">
        <f>IFERROR(__xludf.DUMMYFUNCTION("""COMPUTED_VALUE"""),"참치")</f>
        <v>참치</v>
      </c>
      <c r="N542" s="26" t="str">
        <f>IFERROR(__xludf.DUMMYFUNCTION("ARRAYFORMULA(REGEXEXTRACT(SPLIT(E542, ""&lt;br&gt;""), ""([가-힣A-Za-z]+)""))"),"한메")</f>
        <v>한메</v>
      </c>
      <c r="O542" s="26" t="str">
        <f>IFERROR(__xludf.DUMMYFUNCTION("""COMPUTED_VALUE"""),"노인")</f>
        <v>노인</v>
      </c>
      <c r="P542" s="26" t="str">
        <f>IFERROR(__xludf.DUMMYFUNCTION("""COMPUTED_VALUE"""),"원")</f>
        <v>원</v>
      </c>
      <c r="Q542" s="26" t="str">
        <f>IFERROR(__xludf.DUMMYFUNCTION("""COMPUTED_VALUE"""),"신형만")</f>
        <v>신형만</v>
      </c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27" t="s">
        <v>2425</v>
      </c>
      <c r="B543" s="28" t="s">
        <v>2426</v>
      </c>
      <c r="C543" s="27" t="s">
        <v>2427</v>
      </c>
      <c r="D543" s="27">
        <v>5.0</v>
      </c>
      <c r="E543" s="27" t="s">
        <v>2428</v>
      </c>
      <c r="F543" s="27">
        <v>1.0</v>
      </c>
      <c r="G543" s="29">
        <v>45846.975</v>
      </c>
      <c r="H543" s="27" t="s">
        <v>2396</v>
      </c>
      <c r="I543" s="18"/>
      <c r="J543" s="25" t="str">
        <f>IFERROR(__xludf.DUMMYFUNCTION("ARRAYFORMULA(REGEXEXTRACT(SPLIT(C543, ""&lt;br&gt;""), ""([가-힣A-Za-z]+)""))"),"신형만")</f>
        <v>신형만</v>
      </c>
      <c r="K543" s="26" t="str">
        <f>IFERROR(__xludf.DUMMYFUNCTION("""COMPUTED_VALUE"""),"테리")</f>
        <v>테리</v>
      </c>
      <c r="L543" s="26" t="str">
        <f>IFERROR(__xludf.DUMMYFUNCTION("""COMPUTED_VALUE"""),"노인")</f>
        <v>노인</v>
      </c>
      <c r="M543" s="26" t="str">
        <f>IFERROR(__xludf.DUMMYFUNCTION("""COMPUTED_VALUE"""),"한메")</f>
        <v>한메</v>
      </c>
      <c r="N543" s="26" t="str">
        <f>IFERROR(__xludf.DUMMYFUNCTION("ARRAYFORMULA(REGEXEXTRACT(SPLIT(E543, ""&lt;br&gt;""), ""([가-힣A-Za-z]+)""))"),"원")</f>
        <v>원</v>
      </c>
      <c r="O543" s="26" t="str">
        <f>IFERROR(__xludf.DUMMYFUNCTION("""COMPUTED_VALUE"""),"솔")</f>
        <v>솔</v>
      </c>
      <c r="P543" s="26" t="str">
        <f>IFERROR(__xludf.DUMMYFUNCTION("""COMPUTED_VALUE"""),"깡패")</f>
        <v>깡패</v>
      </c>
      <c r="Q543" s="26" t="str">
        <f>IFERROR(__xludf.DUMMYFUNCTION("""COMPUTED_VALUE"""),"참치")</f>
        <v>참치</v>
      </c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27" t="s">
        <v>2429</v>
      </c>
      <c r="B544" s="28" t="s">
        <v>2430</v>
      </c>
      <c r="C544" s="27" t="s">
        <v>2431</v>
      </c>
      <c r="D544" s="27">
        <v>5.0</v>
      </c>
      <c r="E544" s="27" t="s">
        <v>2432</v>
      </c>
      <c r="F544" s="27">
        <v>2.0</v>
      </c>
      <c r="G544" s="29">
        <v>45846.93541666667</v>
      </c>
      <c r="H544" s="27" t="s">
        <v>2396</v>
      </c>
      <c r="I544" s="18"/>
      <c r="J544" s="25" t="str">
        <f>IFERROR(__xludf.DUMMYFUNCTION("ARRAYFORMULA(REGEXEXTRACT(SPLIT(C544, ""&lt;br&gt;""), ""([가-힣A-Za-z]+)""))"),"노인")</f>
        <v>노인</v>
      </c>
      <c r="K544" s="26" t="str">
        <f>IFERROR(__xludf.DUMMYFUNCTION("""COMPUTED_VALUE"""),"원")</f>
        <v>원</v>
      </c>
      <c r="L544" s="26" t="str">
        <f>IFERROR(__xludf.DUMMYFUNCTION("""COMPUTED_VALUE"""),"한메")</f>
        <v>한메</v>
      </c>
      <c r="M544" s="26" t="str">
        <f>IFERROR(__xludf.DUMMYFUNCTION("""COMPUTED_VALUE"""),"신형만")</f>
        <v>신형만</v>
      </c>
      <c r="N544" s="26" t="str">
        <f>IFERROR(__xludf.DUMMYFUNCTION("ARRAYFORMULA(REGEXEXTRACT(SPLIT(E544, ""&lt;br&gt;""), ""([가-힣A-Za-z]+)""))"),"깡패")</f>
        <v>깡패</v>
      </c>
      <c r="O544" s="26" t="str">
        <f>IFERROR(__xludf.DUMMYFUNCTION("""COMPUTED_VALUE"""),"테리")</f>
        <v>테리</v>
      </c>
      <c r="P544" s="26" t="str">
        <f>IFERROR(__xludf.DUMMYFUNCTION("""COMPUTED_VALUE"""),"참치")</f>
        <v>참치</v>
      </c>
      <c r="Q544" s="26" t="str">
        <f>IFERROR(__xludf.DUMMYFUNCTION("""COMPUTED_VALUE"""),"솔")</f>
        <v>솔</v>
      </c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27" t="s">
        <v>2433</v>
      </c>
      <c r="B545" s="28" t="s">
        <v>2434</v>
      </c>
      <c r="C545" s="27" t="s">
        <v>2435</v>
      </c>
      <c r="D545" s="27">
        <v>5.0</v>
      </c>
      <c r="E545" s="27" t="s">
        <v>2436</v>
      </c>
      <c r="F545" s="27">
        <v>1.0</v>
      </c>
      <c r="G545" s="29">
        <v>45846.907638888886</v>
      </c>
      <c r="H545" s="27" t="s">
        <v>2396</v>
      </c>
      <c r="I545" s="18"/>
      <c r="J545" s="25" t="str">
        <f>IFERROR(__xludf.DUMMYFUNCTION("ARRAYFORMULA(REGEXEXTRACT(SPLIT(C545, ""&lt;br&gt;""), ""([가-힣A-Za-z]+)""))"),"참치")</f>
        <v>참치</v>
      </c>
      <c r="K545" s="26" t="str">
        <f>IFERROR(__xludf.DUMMYFUNCTION("""COMPUTED_VALUE"""),"원")</f>
        <v>원</v>
      </c>
      <c r="L545" s="26" t="str">
        <f>IFERROR(__xludf.DUMMYFUNCTION("""COMPUTED_VALUE"""),"솔")</f>
        <v>솔</v>
      </c>
      <c r="M545" s="26" t="str">
        <f>IFERROR(__xludf.DUMMYFUNCTION("""COMPUTED_VALUE"""),"한메")</f>
        <v>한메</v>
      </c>
      <c r="N545" s="26" t="str">
        <f>IFERROR(__xludf.DUMMYFUNCTION("ARRAYFORMULA(REGEXEXTRACT(SPLIT(E545, ""&lt;br&gt;""), ""([가-힣A-Za-z]+)""))"),"테리")</f>
        <v>테리</v>
      </c>
      <c r="O545" s="26" t="str">
        <f>IFERROR(__xludf.DUMMYFUNCTION("""COMPUTED_VALUE"""),"노인")</f>
        <v>노인</v>
      </c>
      <c r="P545" s="26" t="str">
        <f>IFERROR(__xludf.DUMMYFUNCTION("""COMPUTED_VALUE"""),"신형만")</f>
        <v>신형만</v>
      </c>
      <c r="Q545" s="26" t="str">
        <f>IFERROR(__xludf.DUMMYFUNCTION("""COMPUTED_VALUE"""),"깡패")</f>
        <v>깡패</v>
      </c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27" t="s">
        <v>2437</v>
      </c>
      <c r="B546" s="28" t="s">
        <v>2438</v>
      </c>
      <c r="C546" s="27" t="s">
        <v>2439</v>
      </c>
      <c r="D546" s="27">
        <v>5.0</v>
      </c>
      <c r="E546" s="27" t="s">
        <v>2440</v>
      </c>
      <c r="F546" s="27">
        <v>3.0</v>
      </c>
      <c r="G546" s="29">
        <v>45841.89236111111</v>
      </c>
      <c r="H546" s="27" t="s">
        <v>2396</v>
      </c>
      <c r="I546" s="18"/>
      <c r="J546" s="25" t="str">
        <f>IFERROR(__xludf.DUMMYFUNCTION("ARRAYFORMULA(REGEXEXTRACT(SPLIT(C546, ""&lt;br&gt;""), ""([가-힣A-Za-z]+)""))"),"넘버")</f>
        <v>넘버</v>
      </c>
      <c r="K546" s="26" t="str">
        <f>IFERROR(__xludf.DUMMYFUNCTION("""COMPUTED_VALUE"""),"짱구")</f>
        <v>짱구</v>
      </c>
      <c r="L546" s="26" t="str">
        <f>IFERROR(__xludf.DUMMYFUNCTION("""COMPUTED_VALUE"""),"유즈")</f>
        <v>유즈</v>
      </c>
      <c r="M546" s="26" t="str">
        <f>IFERROR(__xludf.DUMMYFUNCTION("""COMPUTED_VALUE"""),"신형만")</f>
        <v>신형만</v>
      </c>
      <c r="N546" s="26" t="str">
        <f>IFERROR(__xludf.DUMMYFUNCTION("ARRAYFORMULA(REGEXEXTRACT(SPLIT(E546, ""&lt;br&gt;""), ""([가-힣A-Za-z]+)""))"),"테리")</f>
        <v>테리</v>
      </c>
      <c r="O546" s="26" t="str">
        <f>IFERROR(__xludf.DUMMYFUNCTION("""COMPUTED_VALUE"""),"노인")</f>
        <v>노인</v>
      </c>
      <c r="P546" s="26" t="str">
        <f>IFERROR(__xludf.DUMMYFUNCTION("""COMPUTED_VALUE"""),"qwe")</f>
        <v>qwe</v>
      </c>
      <c r="Q546" s="26" t="str">
        <f>IFERROR(__xludf.DUMMYFUNCTION("""COMPUTED_VALUE"""),"#N/A")</f>
        <v>#N/A</v>
      </c>
      <c r="R546" s="18" t="str">
        <f>IFERROR(__xludf.DUMMYFUNCTION("""COMPUTED_VALUE"""),"터미")</f>
        <v>터미</v>
      </c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27" t="s">
        <v>2441</v>
      </c>
      <c r="B547" s="28" t="s">
        <v>2442</v>
      </c>
      <c r="C547" s="27" t="s">
        <v>2443</v>
      </c>
      <c r="D547" s="27">
        <v>5.0</v>
      </c>
      <c r="E547" s="27" t="s">
        <v>2444</v>
      </c>
      <c r="F547" s="27">
        <v>1.0</v>
      </c>
      <c r="G547" s="29">
        <v>45841.86041666667</v>
      </c>
      <c r="H547" s="27" t="s">
        <v>2396</v>
      </c>
      <c r="I547" s="18"/>
      <c r="J547" s="25" t="str">
        <f>IFERROR(__xludf.DUMMYFUNCTION("ARRAYFORMULA(REGEXEXTRACT(SPLIT(C547, ""&lt;br&gt;""), ""([가-힣A-Za-z]+)""))"),"신형만")</f>
        <v>신형만</v>
      </c>
      <c r="K547" s="26" t="str">
        <f>IFERROR(__xludf.DUMMYFUNCTION("""COMPUTED_VALUE"""),"짱구")</f>
        <v>짱구</v>
      </c>
      <c r="L547" s="26" t="str">
        <f>IFERROR(__xludf.DUMMYFUNCTION("""COMPUTED_VALUE"""),"테리")</f>
        <v>테리</v>
      </c>
      <c r="M547" s="26" t="str">
        <f>IFERROR(__xludf.DUMMYFUNCTION("""COMPUTED_VALUE"""),"터미")</f>
        <v>터미</v>
      </c>
      <c r="N547" s="26" t="str">
        <f>IFERROR(__xludf.DUMMYFUNCTION("ARRAYFORMULA(REGEXEXTRACT(SPLIT(E547, ""&lt;br&gt;""), ""([가-힣A-Za-z]+)""))"),"강화")</f>
        <v>강화</v>
      </c>
      <c r="O547" s="26" t="str">
        <f>IFERROR(__xludf.DUMMYFUNCTION("""COMPUTED_VALUE"""),"노인")</f>
        <v>노인</v>
      </c>
      <c r="P547" s="26" t="str">
        <f>IFERROR(__xludf.DUMMYFUNCTION("""COMPUTED_VALUE"""),"유즈")</f>
        <v>유즈</v>
      </c>
      <c r="Q547" s="26" t="str">
        <f>IFERROR(__xludf.DUMMYFUNCTION("""COMPUTED_VALUE"""),"넘버")</f>
        <v>넘버</v>
      </c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27" t="s">
        <v>2445</v>
      </c>
      <c r="B548" s="28" t="s">
        <v>2446</v>
      </c>
      <c r="C548" s="27" t="s">
        <v>2447</v>
      </c>
      <c r="D548" s="27">
        <v>5.0</v>
      </c>
      <c r="E548" s="27" t="s">
        <v>2448</v>
      </c>
      <c r="F548" s="27">
        <v>4.0</v>
      </c>
      <c r="G548" s="29">
        <v>45840.92013888889</v>
      </c>
      <c r="H548" s="27" t="s">
        <v>2396</v>
      </c>
      <c r="I548" s="18"/>
      <c r="J548" s="25" t="str">
        <f>IFERROR(__xludf.DUMMYFUNCTION("ARRAYFORMULA(REGEXEXTRACT(SPLIT(C548, ""&lt;br&gt;""), ""([가-힣A-Za-z]+)""))"),"넘버")</f>
        <v>넘버</v>
      </c>
      <c r="K548" s="26" t="str">
        <f>IFERROR(__xludf.DUMMYFUNCTION("""COMPUTED_VALUE"""),"노인")</f>
        <v>노인</v>
      </c>
      <c r="L548" s="26" t="str">
        <f>IFERROR(__xludf.DUMMYFUNCTION("""COMPUTED_VALUE"""),"유즈")</f>
        <v>유즈</v>
      </c>
      <c r="M548" s="26" t="str">
        <f>IFERROR(__xludf.DUMMYFUNCTION("""COMPUTED_VALUE"""),"솔")</f>
        <v>솔</v>
      </c>
      <c r="N548" s="26" t="str">
        <f>IFERROR(__xludf.DUMMYFUNCTION("ARRAYFORMULA(REGEXEXTRACT(SPLIT(E548, ""&lt;br&gt;""), ""([가-힣A-Za-z]+)""))"),"깡패")</f>
        <v>깡패</v>
      </c>
      <c r="O548" s="26" t="str">
        <f>IFERROR(__xludf.DUMMYFUNCTION("""COMPUTED_VALUE"""),"테리")</f>
        <v>테리</v>
      </c>
      <c r="P548" s="26" t="str">
        <f>IFERROR(__xludf.DUMMYFUNCTION("""COMPUTED_VALUE"""),"한메")</f>
        <v>한메</v>
      </c>
      <c r="Q548" s="26" t="str">
        <f>IFERROR(__xludf.DUMMYFUNCTION("""COMPUTED_VALUE"""),"신형만")</f>
        <v>신형만</v>
      </c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27" t="s">
        <v>2449</v>
      </c>
      <c r="B549" s="28" t="s">
        <v>2450</v>
      </c>
      <c r="C549" s="27" t="s">
        <v>2451</v>
      </c>
      <c r="D549" s="27">
        <v>5.0</v>
      </c>
      <c r="E549" s="27" t="s">
        <v>2452</v>
      </c>
      <c r="F549" s="27">
        <v>1.0</v>
      </c>
      <c r="G549" s="29">
        <v>45840.91875</v>
      </c>
      <c r="H549" s="27" t="s">
        <v>2396</v>
      </c>
      <c r="I549" s="18"/>
      <c r="J549" s="25" t="str">
        <f>IFERROR(__xludf.DUMMYFUNCTION("ARRAYFORMULA(REGEXEXTRACT(SPLIT(C549, ""&lt;br&gt;""), ""([가-힣A-Za-z]+)""))"),"깡패")</f>
        <v>깡패</v>
      </c>
      <c r="K549" s="26" t="str">
        <f>IFERROR(__xludf.DUMMYFUNCTION("""COMPUTED_VALUE"""),"솔")</f>
        <v>솔</v>
      </c>
      <c r="L549" s="26" t="str">
        <f>IFERROR(__xludf.DUMMYFUNCTION("""COMPUTED_VALUE"""),"테리")</f>
        <v>테리</v>
      </c>
      <c r="M549" s="26" t="str">
        <f>IFERROR(__xludf.DUMMYFUNCTION("""COMPUTED_VALUE"""),"규식")</f>
        <v>규식</v>
      </c>
      <c r="N549" s="26" t="str">
        <f>IFERROR(__xludf.DUMMYFUNCTION("ARRAYFORMULA(REGEXEXTRACT(SPLIT(E549, ""&lt;br&gt;""), ""([가-힣A-Za-z]+)""))"),"신형만")</f>
        <v>신형만</v>
      </c>
      <c r="O549" s="26" t="str">
        <f>IFERROR(__xludf.DUMMYFUNCTION("""COMPUTED_VALUE"""),"노인")</f>
        <v>노인</v>
      </c>
      <c r="P549" s="26" t="str">
        <f>IFERROR(__xludf.DUMMYFUNCTION("""COMPUTED_VALUE"""),"넘버")</f>
        <v>넘버</v>
      </c>
      <c r="Q549" s="26" t="str">
        <f>IFERROR(__xludf.DUMMYFUNCTION("""COMPUTED_VALUE"""),"한메")</f>
        <v>한메</v>
      </c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27" t="s">
        <v>2453</v>
      </c>
      <c r="B550" s="28" t="s">
        <v>2454</v>
      </c>
      <c r="C550" s="27" t="s">
        <v>2455</v>
      </c>
      <c r="D550" s="27">
        <v>5.0</v>
      </c>
      <c r="E550" s="27" t="s">
        <v>2456</v>
      </c>
      <c r="F550" s="27">
        <v>3.0</v>
      </c>
      <c r="G550" s="29">
        <v>45840.8625</v>
      </c>
      <c r="H550" s="27" t="s">
        <v>2396</v>
      </c>
      <c r="I550" s="18"/>
      <c r="J550" s="25" t="str">
        <f>IFERROR(__xludf.DUMMYFUNCTION("ARRAYFORMULA(REGEXEXTRACT(SPLIT(C550, ""&lt;br&gt;""), ""([가-힣A-Za-z]+)""))"),"노인")</f>
        <v>노인</v>
      </c>
      <c r="K550" s="26" t="str">
        <f>IFERROR(__xludf.DUMMYFUNCTION("""COMPUTED_VALUE"""),"테리")</f>
        <v>테리</v>
      </c>
      <c r="L550" s="26" t="str">
        <f>IFERROR(__xludf.DUMMYFUNCTION("""COMPUTED_VALUE"""),"넘버")</f>
        <v>넘버</v>
      </c>
      <c r="M550" s="26" t="str">
        <f>IFERROR(__xludf.DUMMYFUNCTION("""COMPUTED_VALUE"""),"깡패")</f>
        <v>깡패</v>
      </c>
      <c r="N550" s="26" t="str">
        <f>IFERROR(__xludf.DUMMYFUNCTION("ARRAYFORMULA(REGEXEXTRACT(SPLIT(E550, ""&lt;br&gt;""), ""([가-힣A-Za-z]+)""))"),"유즈")</f>
        <v>유즈</v>
      </c>
      <c r="O550" s="26" t="str">
        <f>IFERROR(__xludf.DUMMYFUNCTION("""COMPUTED_VALUE"""),"신형만")</f>
        <v>신형만</v>
      </c>
      <c r="P550" s="26" t="str">
        <f>IFERROR(__xludf.DUMMYFUNCTION("""COMPUTED_VALUE"""),"한메")</f>
        <v>한메</v>
      </c>
      <c r="Q550" s="26" t="str">
        <f>IFERROR(__xludf.DUMMYFUNCTION("""COMPUTED_VALUE"""),"솔")</f>
        <v>솔</v>
      </c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27" t="s">
        <v>2457</v>
      </c>
      <c r="B551" s="28" t="s">
        <v>2458</v>
      </c>
      <c r="C551" s="27" t="s">
        <v>2459</v>
      </c>
      <c r="D551" s="27">
        <v>5.0</v>
      </c>
      <c r="E551" s="27" t="s">
        <v>2460</v>
      </c>
      <c r="F551" s="27">
        <v>1.0</v>
      </c>
      <c r="G551" s="29">
        <v>45835.00902777778</v>
      </c>
      <c r="H551" s="27" t="s">
        <v>2396</v>
      </c>
      <c r="I551" s="18"/>
      <c r="J551" s="25" t="str">
        <f>IFERROR(__xludf.DUMMYFUNCTION("ARRAYFORMULA(REGEXEXTRACT(SPLIT(C551, ""&lt;br&gt;""), ""([가-힣A-Za-z]+)""))"),"신형만")</f>
        <v>신형만</v>
      </c>
      <c r="K551" s="26" t="str">
        <f>IFERROR(__xludf.DUMMYFUNCTION("""COMPUTED_VALUE"""),"테리")</f>
        <v>테리</v>
      </c>
      <c r="L551" s="26" t="str">
        <f>IFERROR(__xludf.DUMMYFUNCTION("""COMPUTED_VALUE"""),"넘버")</f>
        <v>넘버</v>
      </c>
      <c r="M551" s="26" t="str">
        <f>IFERROR(__xludf.DUMMYFUNCTION("""COMPUTED_VALUE"""),"한메")</f>
        <v>한메</v>
      </c>
      <c r="N551" s="26" t="str">
        <f>IFERROR(__xludf.DUMMYFUNCTION("ARRAYFORMULA(REGEXEXTRACT(SPLIT(E551, ""&lt;br&gt;""), ""([가-힣A-Za-z]+)""))"),"원")</f>
        <v>원</v>
      </c>
      <c r="O551" s="26" t="str">
        <f>IFERROR(__xludf.DUMMYFUNCTION("""COMPUTED_VALUE"""),"노인")</f>
        <v>노인</v>
      </c>
      <c r="P551" s="26" t="str">
        <f>IFERROR(__xludf.DUMMYFUNCTION("""COMPUTED_VALUE"""),"솔")</f>
        <v>솔</v>
      </c>
      <c r="Q551" s="26" t="str">
        <f>IFERROR(__xludf.DUMMYFUNCTION("""COMPUTED_VALUE"""),"참치")</f>
        <v>참치</v>
      </c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27" t="s">
        <v>2461</v>
      </c>
      <c r="B552" s="28" t="s">
        <v>2462</v>
      </c>
      <c r="C552" s="27" t="s">
        <v>2463</v>
      </c>
      <c r="D552" s="27">
        <v>5.0</v>
      </c>
      <c r="E552" s="27" t="s">
        <v>2464</v>
      </c>
      <c r="F552" s="27">
        <v>2.0</v>
      </c>
      <c r="G552" s="29">
        <v>45834.99444444444</v>
      </c>
      <c r="H552" s="27" t="s">
        <v>2396</v>
      </c>
      <c r="I552" s="18"/>
      <c r="J552" s="25" t="str">
        <f>IFERROR(__xludf.DUMMYFUNCTION("ARRAYFORMULA(REGEXEXTRACT(SPLIT(C552, ""&lt;br&gt;""), ""([가-힣A-Za-z]+)""))"),"원")</f>
        <v>원</v>
      </c>
      <c r="K552" s="26" t="str">
        <f>IFERROR(__xludf.DUMMYFUNCTION("""COMPUTED_VALUE"""),"신형만")</f>
        <v>신형만</v>
      </c>
      <c r="L552" s="26" t="str">
        <f>IFERROR(__xludf.DUMMYFUNCTION("""COMPUTED_VALUE"""),"넘버")</f>
        <v>넘버</v>
      </c>
      <c r="M552" s="26" t="str">
        <f>IFERROR(__xludf.DUMMYFUNCTION("""COMPUTED_VALUE"""),"솔")</f>
        <v>솔</v>
      </c>
      <c r="N552" s="26" t="str">
        <f>IFERROR(__xludf.DUMMYFUNCTION("ARRAYFORMULA(REGEXEXTRACT(SPLIT(E552, ""&lt;br&gt;""), ""([가-힣A-Za-z]+)""))"),"한메")</f>
        <v>한메</v>
      </c>
      <c r="O552" s="26" t="str">
        <f>IFERROR(__xludf.DUMMYFUNCTION("""COMPUTED_VALUE"""),"노인")</f>
        <v>노인</v>
      </c>
      <c r="P552" s="26" t="str">
        <f>IFERROR(__xludf.DUMMYFUNCTION("""COMPUTED_VALUE"""),"테리")</f>
        <v>테리</v>
      </c>
      <c r="Q552" s="26" t="str">
        <f>IFERROR(__xludf.DUMMYFUNCTION("""COMPUTED_VALUE"""),"참치")</f>
        <v>참치</v>
      </c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27" t="s">
        <v>2465</v>
      </c>
      <c r="B553" s="28" t="s">
        <v>2466</v>
      </c>
      <c r="C553" s="27" t="s">
        <v>2467</v>
      </c>
      <c r="D553" s="27">
        <v>5.0</v>
      </c>
      <c r="E553" s="27" t="s">
        <v>2468</v>
      </c>
      <c r="F553" s="27">
        <v>4.0</v>
      </c>
      <c r="G553" s="29">
        <v>45834.975694444445</v>
      </c>
      <c r="H553" s="27" t="s">
        <v>2396</v>
      </c>
      <c r="I553" s="18"/>
      <c r="J553" s="25" t="str">
        <f>IFERROR(__xludf.DUMMYFUNCTION("ARRAYFORMULA(REGEXEXTRACT(SPLIT(C553, ""&lt;br&gt;""), ""([가-힣A-Za-z]+)""))"),"원")</f>
        <v>원</v>
      </c>
      <c r="K553" s="26" t="str">
        <f>IFERROR(__xludf.DUMMYFUNCTION("""COMPUTED_VALUE"""),"참치")</f>
        <v>참치</v>
      </c>
      <c r="L553" s="26" t="str">
        <f>IFERROR(__xludf.DUMMYFUNCTION("""COMPUTED_VALUE"""),"한메")</f>
        <v>한메</v>
      </c>
      <c r="M553" s="26" t="str">
        <f>IFERROR(__xludf.DUMMYFUNCTION("""COMPUTED_VALUE"""),"솔")</f>
        <v>솔</v>
      </c>
      <c r="N553" s="26" t="str">
        <f>IFERROR(__xludf.DUMMYFUNCTION("ARRAYFORMULA(REGEXEXTRACT(SPLIT(E553, ""&lt;br&gt;""), ""([가-힣A-Za-z]+)""))"),"노인")</f>
        <v>노인</v>
      </c>
      <c r="O553" s="26" t="str">
        <f>IFERROR(__xludf.DUMMYFUNCTION("""COMPUTED_VALUE"""),"넘버")</f>
        <v>넘버</v>
      </c>
      <c r="P553" s="26" t="str">
        <f>IFERROR(__xludf.DUMMYFUNCTION("""COMPUTED_VALUE"""),"신형만")</f>
        <v>신형만</v>
      </c>
      <c r="Q553" s="26" t="str">
        <f>IFERROR(__xludf.DUMMYFUNCTION("""COMPUTED_VALUE"""),"깡패")</f>
        <v>깡패</v>
      </c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27" t="s">
        <v>2469</v>
      </c>
      <c r="B554" s="28" t="s">
        <v>2470</v>
      </c>
      <c r="C554" s="27" t="s">
        <v>2471</v>
      </c>
      <c r="D554" s="27">
        <v>5.0</v>
      </c>
      <c r="E554" s="27" t="s">
        <v>2472</v>
      </c>
      <c r="F554" s="27">
        <v>0.0</v>
      </c>
      <c r="G554" s="29">
        <v>45834.94305555556</v>
      </c>
      <c r="H554" s="27" t="s">
        <v>2396</v>
      </c>
      <c r="I554" s="18"/>
      <c r="J554" s="25" t="str">
        <f>IFERROR(__xludf.DUMMYFUNCTION("ARRAYFORMULA(REGEXEXTRACT(SPLIT(C554, ""&lt;br&gt;""), ""([가-힣A-Za-z]+)""))"),"신형만")</f>
        <v>신형만</v>
      </c>
      <c r="K554" s="26" t="str">
        <f>IFERROR(__xludf.DUMMYFUNCTION("""COMPUTED_VALUE"""),"테리")</f>
        <v>테리</v>
      </c>
      <c r="L554" s="26" t="str">
        <f>IFERROR(__xludf.DUMMYFUNCTION("""COMPUTED_VALUE"""),"솔")</f>
        <v>솔</v>
      </c>
      <c r="M554" s="26" t="str">
        <f>IFERROR(__xludf.DUMMYFUNCTION("""COMPUTED_VALUE"""),"한메")</f>
        <v>한메</v>
      </c>
      <c r="N554" s="26" t="str">
        <f>IFERROR(__xludf.DUMMYFUNCTION("ARRAYFORMULA(REGEXEXTRACT(SPLIT(E554, ""&lt;br&gt;""), ""([가-힣A-Za-z]+)""))"),"원")</f>
        <v>원</v>
      </c>
      <c r="O554" s="26" t="str">
        <f>IFERROR(__xludf.DUMMYFUNCTION("""COMPUTED_VALUE"""),"참치")</f>
        <v>참치</v>
      </c>
      <c r="P554" s="26" t="str">
        <f>IFERROR(__xludf.DUMMYFUNCTION("""COMPUTED_VALUE"""),"깡패")</f>
        <v>깡패</v>
      </c>
      <c r="Q554" s="26" t="str">
        <f>IFERROR(__xludf.DUMMYFUNCTION("""COMPUTED_VALUE"""),"노인")</f>
        <v>노인</v>
      </c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27" t="s">
        <v>2473</v>
      </c>
      <c r="B555" s="28" t="s">
        <v>2474</v>
      </c>
      <c r="C555" s="27" t="s">
        <v>2475</v>
      </c>
      <c r="D555" s="27">
        <v>5.0</v>
      </c>
      <c r="E555" s="27" t="s">
        <v>2476</v>
      </c>
      <c r="F555" s="27">
        <v>2.0</v>
      </c>
      <c r="G555" s="29">
        <v>45834.92222222222</v>
      </c>
      <c r="H555" s="27" t="s">
        <v>2396</v>
      </c>
      <c r="I555" s="18"/>
      <c r="J555" s="25" t="str">
        <f>IFERROR(__xludf.DUMMYFUNCTION("ARRAYFORMULA(REGEXEXTRACT(SPLIT(C555, ""&lt;br&gt;""), ""([가-힣A-Za-z]+)""))"),"솔")</f>
        <v>솔</v>
      </c>
      <c r="K555" s="26" t="str">
        <f>IFERROR(__xludf.DUMMYFUNCTION("""COMPUTED_VALUE"""),"테리")</f>
        <v>테리</v>
      </c>
      <c r="L555" s="26" t="str">
        <f>IFERROR(__xludf.DUMMYFUNCTION("""COMPUTED_VALUE"""),"노인")</f>
        <v>노인</v>
      </c>
      <c r="M555" s="26" t="str">
        <f>IFERROR(__xludf.DUMMYFUNCTION("""COMPUTED_VALUE"""),"원")</f>
        <v>원</v>
      </c>
      <c r="N555" s="26" t="str">
        <f>IFERROR(__xludf.DUMMYFUNCTION("ARRAYFORMULA(REGEXEXTRACT(SPLIT(E555, ""&lt;br&gt;""), ""([가-힣A-Za-z]+)""))"),"한메")</f>
        <v>한메</v>
      </c>
      <c r="O555" s="26" t="str">
        <f>IFERROR(__xludf.DUMMYFUNCTION("""COMPUTED_VALUE"""),"신형만")</f>
        <v>신형만</v>
      </c>
      <c r="P555" s="26" t="str">
        <f>IFERROR(__xludf.DUMMYFUNCTION("""COMPUTED_VALUE"""),"깡패")</f>
        <v>깡패</v>
      </c>
      <c r="Q555" s="26" t="str">
        <f>IFERROR(__xludf.DUMMYFUNCTION("""COMPUTED_VALUE"""),"참치")</f>
        <v>참치</v>
      </c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27" t="s">
        <v>2477</v>
      </c>
      <c r="B556" s="28" t="s">
        <v>2478</v>
      </c>
      <c r="C556" s="27" t="s">
        <v>2479</v>
      </c>
      <c r="D556" s="27">
        <v>5.0</v>
      </c>
      <c r="E556" s="27" t="s">
        <v>2480</v>
      </c>
      <c r="F556" s="27">
        <v>1.0</v>
      </c>
      <c r="G556" s="29">
        <v>45834.02222222222</v>
      </c>
      <c r="H556" s="27" t="s">
        <v>2396</v>
      </c>
      <c r="I556" s="18"/>
      <c r="J556" s="25" t="str">
        <f>IFERROR(__xludf.DUMMYFUNCTION("ARRAYFORMULA(REGEXEXTRACT(SPLIT(C556, ""&lt;br&gt;""), ""([가-힣A-Za-z]+)""))"),"테리")</f>
        <v>테리</v>
      </c>
      <c r="K556" s="26" t="str">
        <f>IFERROR(__xludf.DUMMYFUNCTION("""COMPUTED_VALUE"""),"원")</f>
        <v>원</v>
      </c>
      <c r="L556" s="26" t="str">
        <f>IFERROR(__xludf.DUMMYFUNCTION("""COMPUTED_VALUE"""),"규식")</f>
        <v>규식</v>
      </c>
      <c r="M556" s="26" t="str">
        <f>IFERROR(__xludf.DUMMYFUNCTION("""COMPUTED_VALUE"""),"깡패")</f>
        <v>깡패</v>
      </c>
      <c r="N556" s="26" t="str">
        <f>IFERROR(__xludf.DUMMYFUNCTION("ARRAYFORMULA(REGEXEXTRACT(SPLIT(E556, ""&lt;br&gt;""), ""([가-힣A-Za-z]+)""))"),"넘버")</f>
        <v>넘버</v>
      </c>
      <c r="O556" s="26" t="str">
        <f>IFERROR(__xludf.DUMMYFUNCTION("""COMPUTED_VALUE"""),"노인")</f>
        <v>노인</v>
      </c>
      <c r="P556" s="26" t="str">
        <f>IFERROR(__xludf.DUMMYFUNCTION("""COMPUTED_VALUE"""),"한메")</f>
        <v>한메</v>
      </c>
      <c r="Q556" s="26" t="str">
        <f>IFERROR(__xludf.DUMMYFUNCTION("""COMPUTED_VALUE"""),"참치")</f>
        <v>참치</v>
      </c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27" t="s">
        <v>2481</v>
      </c>
      <c r="B557" s="28" t="s">
        <v>2482</v>
      </c>
      <c r="C557" s="27" t="s">
        <v>2483</v>
      </c>
      <c r="D557" s="27">
        <v>5.0</v>
      </c>
      <c r="E557" s="27" t="s">
        <v>2484</v>
      </c>
      <c r="F557" s="27">
        <v>2.0</v>
      </c>
      <c r="G557" s="29">
        <v>45834.004166666666</v>
      </c>
      <c r="H557" s="27" t="s">
        <v>2396</v>
      </c>
      <c r="I557" s="18"/>
      <c r="J557" s="25" t="str">
        <f>IFERROR(__xludf.DUMMYFUNCTION("ARRAYFORMULA(REGEXEXTRACT(SPLIT(C557, ""&lt;br&gt;""), ""([가-힣A-Za-z]+)""))"),"넘버")</f>
        <v>넘버</v>
      </c>
      <c r="K557" s="26" t="str">
        <f>IFERROR(__xludf.DUMMYFUNCTION("""COMPUTED_VALUE"""),"참치")</f>
        <v>참치</v>
      </c>
      <c r="L557" s="26" t="str">
        <f>IFERROR(__xludf.DUMMYFUNCTION("""COMPUTED_VALUE"""),"깡패")</f>
        <v>깡패</v>
      </c>
      <c r="M557" s="26" t="str">
        <f>IFERROR(__xludf.DUMMYFUNCTION("""COMPUTED_VALUE"""),"원")</f>
        <v>원</v>
      </c>
      <c r="N557" s="26" t="str">
        <f>IFERROR(__xludf.DUMMYFUNCTION("ARRAYFORMULA(REGEXEXTRACT(SPLIT(E557, ""&lt;br&gt;""), ""([가-힣A-Za-z]+)""))"),"테리")</f>
        <v>테리</v>
      </c>
      <c r="O557" s="26" t="str">
        <f>IFERROR(__xludf.DUMMYFUNCTION("""COMPUTED_VALUE"""),"노인")</f>
        <v>노인</v>
      </c>
      <c r="P557" s="26" t="str">
        <f>IFERROR(__xludf.DUMMYFUNCTION("""COMPUTED_VALUE"""),"규식")</f>
        <v>규식</v>
      </c>
      <c r="Q557" s="26" t="str">
        <f>IFERROR(__xludf.DUMMYFUNCTION("""COMPUTED_VALUE"""),"한메")</f>
        <v>한메</v>
      </c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27" t="s">
        <v>2485</v>
      </c>
      <c r="B558" s="28" t="s">
        <v>2486</v>
      </c>
      <c r="C558" s="27" t="s">
        <v>2487</v>
      </c>
      <c r="D558" s="27">
        <v>5.0</v>
      </c>
      <c r="E558" s="27" t="s">
        <v>2488</v>
      </c>
      <c r="F558" s="27">
        <v>4.0</v>
      </c>
      <c r="G558" s="29">
        <v>45833.98541666667</v>
      </c>
      <c r="H558" s="27" t="s">
        <v>2396</v>
      </c>
      <c r="I558" s="18"/>
      <c r="J558" s="25" t="str">
        <f>IFERROR(__xludf.DUMMYFUNCTION("ARRAYFORMULA(REGEXEXTRACT(SPLIT(C558, ""&lt;br&gt;""), ""([가-힣A-Za-z]+)""))"),"참치")</f>
        <v>참치</v>
      </c>
      <c r="K558" s="26" t="str">
        <f>IFERROR(__xludf.DUMMYFUNCTION("""COMPUTED_VALUE"""),"규식")</f>
        <v>규식</v>
      </c>
      <c r="L558" s="26" t="str">
        <f>IFERROR(__xludf.DUMMYFUNCTION("""COMPUTED_VALUE"""),"한메")</f>
        <v>한메</v>
      </c>
      <c r="M558" s="26" t="str">
        <f>IFERROR(__xludf.DUMMYFUNCTION("""COMPUTED_VALUE"""),"원")</f>
        <v>원</v>
      </c>
      <c r="N558" s="26" t="str">
        <f>IFERROR(__xludf.DUMMYFUNCTION("ARRAYFORMULA(REGEXEXTRACT(SPLIT(E558, ""&lt;br&gt;""), ""([가-힣A-Za-z]+)""))"),"테리")</f>
        <v>테리</v>
      </c>
      <c r="O558" s="26" t="str">
        <f>IFERROR(__xludf.DUMMYFUNCTION("""COMPUTED_VALUE"""),"노인")</f>
        <v>노인</v>
      </c>
      <c r="P558" s="26" t="str">
        <f>IFERROR(__xludf.DUMMYFUNCTION("""COMPUTED_VALUE"""),"깡패")</f>
        <v>깡패</v>
      </c>
      <c r="Q558" s="26" t="str">
        <f>IFERROR(__xludf.DUMMYFUNCTION("""COMPUTED_VALUE"""),"넘버")</f>
        <v>넘버</v>
      </c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27" t="s">
        <v>2489</v>
      </c>
      <c r="B559" s="28" t="s">
        <v>2490</v>
      </c>
      <c r="C559" s="27" t="s">
        <v>2491</v>
      </c>
      <c r="D559" s="27">
        <v>5.0</v>
      </c>
      <c r="E559" s="27" t="s">
        <v>2492</v>
      </c>
      <c r="F559" s="27">
        <v>3.0</v>
      </c>
      <c r="G559" s="29">
        <v>45833.93680555555</v>
      </c>
      <c r="H559" s="27" t="s">
        <v>2396</v>
      </c>
      <c r="I559" s="18"/>
      <c r="J559" s="25" t="str">
        <f>IFERROR(__xludf.DUMMYFUNCTION("ARRAYFORMULA(REGEXEXTRACT(SPLIT(C559, ""&lt;br&gt;""), ""([가-힣A-Za-z]+)""))"),"참치")</f>
        <v>참치</v>
      </c>
      <c r="K559" s="26" t="str">
        <f>IFERROR(__xludf.DUMMYFUNCTION("""COMPUTED_VALUE"""),"깡패")</f>
        <v>깡패</v>
      </c>
      <c r="L559" s="26" t="str">
        <f>IFERROR(__xludf.DUMMYFUNCTION("""COMPUTED_VALUE"""),"넘버")</f>
        <v>넘버</v>
      </c>
      <c r="M559" s="26" t="str">
        <f>IFERROR(__xludf.DUMMYFUNCTION("""COMPUTED_VALUE"""),"원")</f>
        <v>원</v>
      </c>
      <c r="N559" s="26" t="str">
        <f>IFERROR(__xludf.DUMMYFUNCTION("ARRAYFORMULA(REGEXEXTRACT(SPLIT(E559, ""&lt;br&gt;""), ""([가-힣A-Za-z]+)""))"),"테리")</f>
        <v>테리</v>
      </c>
      <c r="O559" s="26" t="str">
        <f>IFERROR(__xludf.DUMMYFUNCTION("""COMPUTED_VALUE"""),"신형만")</f>
        <v>신형만</v>
      </c>
      <c r="P559" s="26" t="str">
        <f>IFERROR(__xludf.DUMMYFUNCTION("""COMPUTED_VALUE"""),"노인")</f>
        <v>노인</v>
      </c>
      <c r="Q559" s="26" t="str">
        <f>IFERROR(__xludf.DUMMYFUNCTION("""COMPUTED_VALUE"""),"한메")</f>
        <v>한메</v>
      </c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27" t="s">
        <v>2493</v>
      </c>
      <c r="B560" s="28" t="s">
        <v>2494</v>
      </c>
      <c r="C560" s="27" t="s">
        <v>2495</v>
      </c>
      <c r="D560" s="27">
        <v>5.0</v>
      </c>
      <c r="E560" s="27" t="s">
        <v>2496</v>
      </c>
      <c r="F560" s="27">
        <v>1.0</v>
      </c>
      <c r="G560" s="29">
        <v>45833.915972222225</v>
      </c>
      <c r="H560" s="27" t="s">
        <v>2396</v>
      </c>
      <c r="I560" s="18"/>
      <c r="J560" s="25" t="str">
        <f>IFERROR(__xludf.DUMMYFUNCTION("ARRAYFORMULA(REGEXEXTRACT(SPLIT(C560, ""&lt;br&gt;""), ""([가-힣A-Za-z]+)""))"),"한메")</f>
        <v>한메</v>
      </c>
      <c r="K560" s="26" t="str">
        <f>IFERROR(__xludf.DUMMYFUNCTION("""COMPUTED_VALUE"""),"깡패")</f>
        <v>깡패</v>
      </c>
      <c r="L560" s="26" t="str">
        <f>IFERROR(__xludf.DUMMYFUNCTION("""COMPUTED_VALUE"""),"신형만")</f>
        <v>신형만</v>
      </c>
      <c r="M560" s="26" t="str">
        <f>IFERROR(__xludf.DUMMYFUNCTION("""COMPUTED_VALUE"""),"참치")</f>
        <v>참치</v>
      </c>
      <c r="N560" s="26" t="str">
        <f>IFERROR(__xludf.DUMMYFUNCTION("ARRAYFORMULA(REGEXEXTRACT(SPLIT(E560, ""&lt;br&gt;""), ""([가-힣A-Za-z]+)""))"),"원")</f>
        <v>원</v>
      </c>
      <c r="O560" s="26" t="str">
        <f>IFERROR(__xludf.DUMMYFUNCTION("""COMPUTED_VALUE"""),"테리")</f>
        <v>테리</v>
      </c>
      <c r="P560" s="26" t="str">
        <f>IFERROR(__xludf.DUMMYFUNCTION("""COMPUTED_VALUE"""),"노인")</f>
        <v>노인</v>
      </c>
      <c r="Q560" s="26" t="str">
        <f>IFERROR(__xludf.DUMMYFUNCTION("""COMPUTED_VALUE"""),"넘버")</f>
        <v>넘버</v>
      </c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27" t="s">
        <v>2497</v>
      </c>
      <c r="B561" s="28" t="s">
        <v>2498</v>
      </c>
      <c r="C561" s="27" t="s">
        <v>2499</v>
      </c>
      <c r="D561" s="27">
        <v>5.0</v>
      </c>
      <c r="E561" s="27" t="s">
        <v>2500</v>
      </c>
      <c r="F561" s="27">
        <v>4.0</v>
      </c>
      <c r="G561" s="29">
        <v>45832.96388888889</v>
      </c>
      <c r="H561" s="27" t="s">
        <v>2396</v>
      </c>
      <c r="I561" s="18"/>
      <c r="J561" s="25" t="str">
        <f>IFERROR(__xludf.DUMMYFUNCTION("ARRAYFORMULA(REGEXEXTRACT(SPLIT(C561, ""&lt;br&gt;""), ""([가-힣A-Za-z]+)""))"),"테리")</f>
        <v>테리</v>
      </c>
      <c r="K561" s="26" t="str">
        <f>IFERROR(__xludf.DUMMYFUNCTION("""COMPUTED_VALUE"""),"넘버")</f>
        <v>넘버</v>
      </c>
      <c r="L561" s="26" t="str">
        <f>IFERROR(__xludf.DUMMYFUNCTION("""COMPUTED_VALUE"""),"신형만")</f>
        <v>신형만</v>
      </c>
      <c r="M561" s="26" t="str">
        <f>IFERROR(__xludf.DUMMYFUNCTION("""COMPUTED_VALUE"""),"솔")</f>
        <v>솔</v>
      </c>
      <c r="N561" s="26" t="str">
        <f>IFERROR(__xludf.DUMMYFUNCTION("ARRAYFORMULA(REGEXEXTRACT(SPLIT(E561, ""&lt;br&gt;""), ""([가-힣A-Za-z]+)""))"),"참치")</f>
        <v>참치</v>
      </c>
      <c r="O561" s="26" t="str">
        <f>IFERROR(__xludf.DUMMYFUNCTION("""COMPUTED_VALUE"""),"노인")</f>
        <v>노인</v>
      </c>
      <c r="P561" s="26" t="str">
        <f>IFERROR(__xludf.DUMMYFUNCTION("""COMPUTED_VALUE"""),"규식")</f>
        <v>규식</v>
      </c>
      <c r="Q561" s="26" t="str">
        <f>IFERROR(__xludf.DUMMYFUNCTION("""COMPUTED_VALUE"""),"한메")</f>
        <v>한메</v>
      </c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27" t="s">
        <v>2501</v>
      </c>
      <c r="B562" s="28" t="s">
        <v>2502</v>
      </c>
      <c r="C562" s="27" t="s">
        <v>2503</v>
      </c>
      <c r="D562" s="27">
        <v>5.0</v>
      </c>
      <c r="E562" s="27" t="s">
        <v>2504</v>
      </c>
      <c r="F562" s="27">
        <v>2.0</v>
      </c>
      <c r="G562" s="29">
        <v>45832.92847222222</v>
      </c>
      <c r="H562" s="27" t="s">
        <v>2396</v>
      </c>
      <c r="I562" s="18"/>
      <c r="J562" s="25" t="str">
        <f>IFERROR(__xludf.DUMMYFUNCTION("ARRAYFORMULA(REGEXEXTRACT(SPLIT(C562, ""&lt;br&gt;""), ""([가-힣A-Za-z]+)""))"),"참치")</f>
        <v>참치</v>
      </c>
      <c r="K562" s="26" t="str">
        <f>IFERROR(__xludf.DUMMYFUNCTION("""COMPUTED_VALUE"""),"규식")</f>
        <v>규식</v>
      </c>
      <c r="L562" s="26" t="str">
        <f>IFERROR(__xludf.DUMMYFUNCTION("""COMPUTED_VALUE"""),"노인")</f>
        <v>노인</v>
      </c>
      <c r="M562" s="26" t="str">
        <f>IFERROR(__xludf.DUMMYFUNCTION("""COMPUTED_VALUE"""),"넘버")</f>
        <v>넘버</v>
      </c>
      <c r="N562" s="26" t="str">
        <f>IFERROR(__xludf.DUMMYFUNCTION("ARRAYFORMULA(REGEXEXTRACT(SPLIT(E562, ""&lt;br&gt;""), ""([가-힣A-Za-z]+)""))"),"테리")</f>
        <v>테리</v>
      </c>
      <c r="O562" s="26" t="str">
        <f>IFERROR(__xludf.DUMMYFUNCTION("""COMPUTED_VALUE"""),"신형만")</f>
        <v>신형만</v>
      </c>
      <c r="P562" s="26" t="str">
        <f>IFERROR(__xludf.DUMMYFUNCTION("""COMPUTED_VALUE"""),"솔")</f>
        <v>솔</v>
      </c>
      <c r="Q562" s="26" t="str">
        <f>IFERROR(__xludf.DUMMYFUNCTION("""COMPUTED_VALUE"""),"한메")</f>
        <v>한메</v>
      </c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27" t="s">
        <v>2505</v>
      </c>
      <c r="B563" s="28" t="s">
        <v>2506</v>
      </c>
      <c r="C563" s="27" t="s">
        <v>2507</v>
      </c>
      <c r="D563" s="27">
        <v>5.0</v>
      </c>
      <c r="E563" s="27" t="s">
        <v>2508</v>
      </c>
      <c r="F563" s="27">
        <v>1.0</v>
      </c>
      <c r="G563" s="29">
        <v>45832.925</v>
      </c>
      <c r="H563" s="27" t="s">
        <v>2396</v>
      </c>
      <c r="I563" s="18"/>
      <c r="J563" s="25" t="str">
        <f>IFERROR(__xludf.DUMMYFUNCTION("ARRAYFORMULA(REGEXEXTRACT(SPLIT(C563, ""&lt;br&gt;""), ""([가-힣A-Za-z]+)""))"),"노인")</f>
        <v>노인</v>
      </c>
      <c r="K563" s="26" t="str">
        <f>IFERROR(__xludf.DUMMYFUNCTION("""COMPUTED_VALUE"""),"테리")</f>
        <v>테리</v>
      </c>
      <c r="L563" s="26" t="str">
        <f>IFERROR(__xludf.DUMMYFUNCTION("""COMPUTED_VALUE"""),"참치")</f>
        <v>참치</v>
      </c>
      <c r="M563" s="26" t="str">
        <f>IFERROR(__xludf.DUMMYFUNCTION("""COMPUTED_VALUE"""),"솔")</f>
        <v>솔</v>
      </c>
      <c r="N563" s="26" t="str">
        <f>IFERROR(__xludf.DUMMYFUNCTION("ARRAYFORMULA(REGEXEXTRACT(SPLIT(E563, ""&lt;br&gt;""), ""([가-힣A-Za-z]+)""))"),"신형만")</f>
        <v>신형만</v>
      </c>
      <c r="O563" s="26" t="str">
        <f>IFERROR(__xludf.DUMMYFUNCTION("""COMPUTED_VALUE"""),"넘버")</f>
        <v>넘버</v>
      </c>
      <c r="P563" s="26" t="str">
        <f>IFERROR(__xludf.DUMMYFUNCTION("""COMPUTED_VALUE"""),"규식")</f>
        <v>규식</v>
      </c>
      <c r="Q563" s="26" t="str">
        <f>IFERROR(__xludf.DUMMYFUNCTION("""COMPUTED_VALUE"""),"한메")</f>
        <v>한메</v>
      </c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27" t="s">
        <v>2509</v>
      </c>
      <c r="B564" s="28" t="s">
        <v>2510</v>
      </c>
      <c r="C564" s="27" t="s">
        <v>2511</v>
      </c>
      <c r="D564" s="27">
        <v>5.0</v>
      </c>
      <c r="E564" s="27" t="s">
        <v>2512</v>
      </c>
      <c r="F564" s="27">
        <v>3.0</v>
      </c>
      <c r="G564" s="29">
        <v>45832.88263888889</v>
      </c>
      <c r="H564" s="27" t="s">
        <v>2396</v>
      </c>
      <c r="I564" s="18"/>
      <c r="J564" s="25" t="str">
        <f>IFERROR(__xludf.DUMMYFUNCTION("ARRAYFORMULA(REGEXEXTRACT(SPLIT(C564, ""&lt;br&gt;""), ""([가-힣A-Za-z]+)""))"),"참치")</f>
        <v>참치</v>
      </c>
      <c r="K564" s="26" t="str">
        <f>IFERROR(__xludf.DUMMYFUNCTION("""COMPUTED_VALUE"""),"규식")</f>
        <v>규식</v>
      </c>
      <c r="L564" s="26" t="str">
        <f>IFERROR(__xludf.DUMMYFUNCTION("""COMPUTED_VALUE"""),"신형만")</f>
        <v>신형만</v>
      </c>
      <c r="M564" s="26" t="str">
        <f>IFERROR(__xludf.DUMMYFUNCTION("""COMPUTED_VALUE"""),"솔")</f>
        <v>솔</v>
      </c>
      <c r="N564" s="26" t="str">
        <f>IFERROR(__xludf.DUMMYFUNCTION("ARRAYFORMULA(REGEXEXTRACT(SPLIT(E564, ""&lt;br&gt;""), ""([가-힣A-Za-z]+)""))"),"테리")</f>
        <v>테리</v>
      </c>
      <c r="O564" s="26" t="str">
        <f>IFERROR(__xludf.DUMMYFUNCTION("""COMPUTED_VALUE"""),"노인")</f>
        <v>노인</v>
      </c>
      <c r="P564" s="26" t="str">
        <f>IFERROR(__xludf.DUMMYFUNCTION("""COMPUTED_VALUE"""),"한메")</f>
        <v>한메</v>
      </c>
      <c r="Q564" s="26" t="str">
        <f>IFERROR(__xludf.DUMMYFUNCTION("""COMPUTED_VALUE"""),"넘버")</f>
        <v>넘버</v>
      </c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27" t="s">
        <v>2513</v>
      </c>
      <c r="B565" s="28" t="s">
        <v>2514</v>
      </c>
      <c r="C565" s="27" t="s">
        <v>2515</v>
      </c>
      <c r="D565" s="27">
        <v>5.0</v>
      </c>
      <c r="E565" s="27" t="s">
        <v>2516</v>
      </c>
      <c r="F565" s="27">
        <v>4.0</v>
      </c>
      <c r="G565" s="29">
        <v>45832.038194444445</v>
      </c>
      <c r="H565" s="27" t="s">
        <v>2396</v>
      </c>
      <c r="I565" s="18"/>
      <c r="J565" s="25" t="str">
        <f>IFERROR(__xludf.DUMMYFUNCTION("ARRAYFORMULA(REGEXEXTRACT(SPLIT(C565, ""&lt;br&gt;""), ""([가-힣A-Za-z]+)""))"),"노인")</f>
        <v>노인</v>
      </c>
      <c r="K565" s="26" t="str">
        <f>IFERROR(__xludf.DUMMYFUNCTION("""COMPUTED_VALUE"""),"참치")</f>
        <v>참치</v>
      </c>
      <c r="L565" s="26" t="str">
        <f>IFERROR(__xludf.DUMMYFUNCTION("""COMPUTED_VALUE"""),"깡패")</f>
        <v>깡패</v>
      </c>
      <c r="M565" s="26" t="str">
        <f>IFERROR(__xludf.DUMMYFUNCTION("""COMPUTED_VALUE"""),"신형만")</f>
        <v>신형만</v>
      </c>
      <c r="N565" s="26" t="str">
        <f>IFERROR(__xludf.DUMMYFUNCTION("ARRAYFORMULA(REGEXEXTRACT(SPLIT(E565, ""&lt;br&gt;""), ""([가-힣A-Za-z]+)""))"),"한메")</f>
        <v>한메</v>
      </c>
      <c r="O565" s="26" t="str">
        <f>IFERROR(__xludf.DUMMYFUNCTION("""COMPUTED_VALUE"""),"넘버")</f>
        <v>넘버</v>
      </c>
      <c r="P565" s="26" t="str">
        <f>IFERROR(__xludf.DUMMYFUNCTION("""COMPUTED_VALUE"""),"테리")</f>
        <v>테리</v>
      </c>
      <c r="Q565" s="26" t="str">
        <f>IFERROR(__xludf.DUMMYFUNCTION("""COMPUTED_VALUE"""),"솔")</f>
        <v>솔</v>
      </c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27" t="s">
        <v>2517</v>
      </c>
      <c r="B566" s="28" t="s">
        <v>2518</v>
      </c>
      <c r="C566" s="27" t="s">
        <v>2519</v>
      </c>
      <c r="D566" s="27">
        <v>5.0</v>
      </c>
      <c r="E566" s="27" t="s">
        <v>2520</v>
      </c>
      <c r="F566" s="27">
        <v>4.0</v>
      </c>
      <c r="G566" s="29">
        <v>45832.00486111111</v>
      </c>
      <c r="H566" s="27" t="s">
        <v>2396</v>
      </c>
      <c r="I566" s="18"/>
      <c r="J566" s="25" t="str">
        <f>IFERROR(__xludf.DUMMYFUNCTION("ARRAYFORMULA(REGEXEXTRACT(SPLIT(C566, ""&lt;br&gt;""), ""([가-힣A-Za-z]+)""))"),"넘버")</f>
        <v>넘버</v>
      </c>
      <c r="K566" s="26" t="str">
        <f>IFERROR(__xludf.DUMMYFUNCTION("""COMPUTED_VALUE"""),"노인")</f>
        <v>노인</v>
      </c>
      <c r="L566" s="26" t="str">
        <f>IFERROR(__xludf.DUMMYFUNCTION("""COMPUTED_VALUE"""),"한메")</f>
        <v>한메</v>
      </c>
      <c r="M566" s="26" t="str">
        <f>IFERROR(__xludf.DUMMYFUNCTION("""COMPUTED_VALUE"""),"깡패")</f>
        <v>깡패</v>
      </c>
      <c r="N566" s="26" t="str">
        <f>IFERROR(__xludf.DUMMYFUNCTION("ARRAYFORMULA(REGEXEXTRACT(SPLIT(E566, ""&lt;br&gt;""), ""([가-힣A-Za-z]+)""))"),"신형만")</f>
        <v>신형만</v>
      </c>
      <c r="O566" s="26" t="str">
        <f>IFERROR(__xludf.DUMMYFUNCTION("""COMPUTED_VALUE"""),"테리")</f>
        <v>테리</v>
      </c>
      <c r="P566" s="26" t="str">
        <f>IFERROR(__xludf.DUMMYFUNCTION("""COMPUTED_VALUE"""),"솔")</f>
        <v>솔</v>
      </c>
      <c r="Q566" s="26" t="str">
        <f>IFERROR(__xludf.DUMMYFUNCTION("""COMPUTED_VALUE"""),"참치")</f>
        <v>참치</v>
      </c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27" t="s">
        <v>2521</v>
      </c>
      <c r="B567" s="28" t="s">
        <v>2522</v>
      </c>
      <c r="C567" s="27" t="s">
        <v>2523</v>
      </c>
      <c r="D567" s="27">
        <v>5.0</v>
      </c>
      <c r="E567" s="27" t="s">
        <v>2524</v>
      </c>
      <c r="F567" s="27">
        <v>4.0</v>
      </c>
      <c r="G567" s="29">
        <v>45831.96875</v>
      </c>
      <c r="H567" s="27" t="s">
        <v>2396</v>
      </c>
      <c r="I567" s="18"/>
      <c r="J567" s="25" t="str">
        <f>IFERROR(__xludf.DUMMYFUNCTION("ARRAYFORMULA(REGEXEXTRACT(SPLIT(C567, ""&lt;br&gt;""), ""([가-힣A-Za-z]+)""))"),"넘버")</f>
        <v>넘버</v>
      </c>
      <c r="K567" s="26" t="str">
        <f>IFERROR(__xludf.DUMMYFUNCTION("""COMPUTED_VALUE"""),"깡패")</f>
        <v>깡패</v>
      </c>
      <c r="L567" s="26" t="str">
        <f>IFERROR(__xludf.DUMMYFUNCTION("""COMPUTED_VALUE"""),"신형만")</f>
        <v>신형만</v>
      </c>
      <c r="M567" s="26" t="str">
        <f>IFERROR(__xludf.DUMMYFUNCTION("""COMPUTED_VALUE"""),"원")</f>
        <v>원</v>
      </c>
      <c r="N567" s="26" t="str">
        <f>IFERROR(__xludf.DUMMYFUNCTION("ARRAYFORMULA(REGEXEXTRACT(SPLIT(E567, ""&lt;br&gt;""), ""([가-힣A-Za-z]+)""))"),"솔")</f>
        <v>솔</v>
      </c>
      <c r="O567" s="26" t="str">
        <f>IFERROR(__xludf.DUMMYFUNCTION("""COMPUTED_VALUE"""),"노인")</f>
        <v>노인</v>
      </c>
      <c r="P567" s="26" t="str">
        <f>IFERROR(__xludf.DUMMYFUNCTION("""COMPUTED_VALUE"""),"테리")</f>
        <v>테리</v>
      </c>
      <c r="Q567" s="26" t="str">
        <f>IFERROR(__xludf.DUMMYFUNCTION("""COMPUTED_VALUE"""),"한메")</f>
        <v>한메</v>
      </c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27" t="s">
        <v>2525</v>
      </c>
      <c r="B568" s="28" t="s">
        <v>2526</v>
      </c>
      <c r="C568" s="27" t="s">
        <v>2527</v>
      </c>
      <c r="D568" s="27">
        <v>5.0</v>
      </c>
      <c r="E568" s="27" t="s">
        <v>2528</v>
      </c>
      <c r="F568" s="27">
        <v>3.0</v>
      </c>
      <c r="G568" s="29">
        <v>45831.941666666666</v>
      </c>
      <c r="H568" s="27" t="s">
        <v>2396</v>
      </c>
      <c r="I568" s="18"/>
      <c r="J568" s="25" t="str">
        <f>IFERROR(__xludf.DUMMYFUNCTION("ARRAYFORMULA(REGEXEXTRACT(SPLIT(C568, ""&lt;br&gt;""), ""([가-힣A-Za-z]+)""))"),"신형만")</f>
        <v>신형만</v>
      </c>
      <c r="K568" s="26" t="str">
        <f>IFERROR(__xludf.DUMMYFUNCTION("""COMPUTED_VALUE"""),"넘버")</f>
        <v>넘버</v>
      </c>
      <c r="L568" s="26" t="str">
        <f>IFERROR(__xludf.DUMMYFUNCTION("""COMPUTED_VALUE"""),"노인")</f>
        <v>노인</v>
      </c>
      <c r="M568" s="26" t="str">
        <f>IFERROR(__xludf.DUMMYFUNCTION("""COMPUTED_VALUE"""),"솔")</f>
        <v>솔</v>
      </c>
      <c r="N568" s="26" t="str">
        <f>IFERROR(__xludf.DUMMYFUNCTION("ARRAYFORMULA(REGEXEXTRACT(SPLIT(E568, ""&lt;br&gt;""), ""([가-힣A-Za-z]+)""))"),"깡패")</f>
        <v>깡패</v>
      </c>
      <c r="O568" s="26" t="str">
        <f>IFERROR(__xludf.DUMMYFUNCTION("""COMPUTED_VALUE"""),"원")</f>
        <v>원</v>
      </c>
      <c r="P568" s="26" t="str">
        <f>IFERROR(__xludf.DUMMYFUNCTION("""COMPUTED_VALUE"""),"테리")</f>
        <v>테리</v>
      </c>
      <c r="Q568" s="26" t="str">
        <f>IFERROR(__xludf.DUMMYFUNCTION("""COMPUTED_VALUE"""),"한메")</f>
        <v>한메</v>
      </c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27" t="s">
        <v>2529</v>
      </c>
      <c r="B569" s="28" t="s">
        <v>2530</v>
      </c>
      <c r="C569" s="27" t="s">
        <v>2531</v>
      </c>
      <c r="D569" s="27">
        <v>5.0</v>
      </c>
      <c r="E569" s="27" t="s">
        <v>2532</v>
      </c>
      <c r="F569" s="27">
        <v>3.0</v>
      </c>
      <c r="G569" s="29">
        <v>45831.919444444444</v>
      </c>
      <c r="H569" s="27" t="s">
        <v>2396</v>
      </c>
      <c r="I569" s="18"/>
      <c r="J569" s="25" t="str">
        <f>IFERROR(__xludf.DUMMYFUNCTION("ARRAYFORMULA(REGEXEXTRACT(SPLIT(C569, ""&lt;br&gt;""), ""([가-힣A-Za-z]+)""))"),"깡패")</f>
        <v>깡패</v>
      </c>
      <c r="K569" s="26" t="str">
        <f>IFERROR(__xludf.DUMMYFUNCTION("""COMPUTED_VALUE"""),"테리")</f>
        <v>테리</v>
      </c>
      <c r="L569" s="26" t="str">
        <f>IFERROR(__xludf.DUMMYFUNCTION("""COMPUTED_VALUE"""),"넘버")</f>
        <v>넘버</v>
      </c>
      <c r="M569" s="26" t="str">
        <f>IFERROR(__xludf.DUMMYFUNCTION("""COMPUTED_VALUE"""),"신형만")</f>
        <v>신형만</v>
      </c>
      <c r="N569" s="26" t="str">
        <f>IFERROR(__xludf.DUMMYFUNCTION("ARRAYFORMULA(REGEXEXTRACT(SPLIT(E569, ""&lt;br&gt;""), ""([가-힣A-Za-z]+)""))"),"노인")</f>
        <v>노인</v>
      </c>
      <c r="O569" s="26" t="str">
        <f>IFERROR(__xludf.DUMMYFUNCTION("""COMPUTED_VALUE"""),"원")</f>
        <v>원</v>
      </c>
      <c r="P569" s="26" t="str">
        <f>IFERROR(__xludf.DUMMYFUNCTION("""COMPUTED_VALUE"""),"한메")</f>
        <v>한메</v>
      </c>
      <c r="Q569" s="26" t="str">
        <f>IFERROR(__xludf.DUMMYFUNCTION("""COMPUTED_VALUE"""),"솔")</f>
        <v>솔</v>
      </c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27" t="s">
        <v>2533</v>
      </c>
      <c r="B570" s="28" t="s">
        <v>2534</v>
      </c>
      <c r="C570" s="27" t="s">
        <v>2535</v>
      </c>
      <c r="D570" s="27">
        <v>5.0</v>
      </c>
      <c r="E570" s="27" t="s">
        <v>2536</v>
      </c>
      <c r="F570" s="27">
        <v>1.0</v>
      </c>
      <c r="G570" s="29">
        <v>45829.11319444444</v>
      </c>
      <c r="H570" s="27" t="s">
        <v>2396</v>
      </c>
      <c r="I570" s="18"/>
      <c r="J570" s="25" t="str">
        <f>IFERROR(__xludf.DUMMYFUNCTION("ARRAYFORMULA(REGEXEXTRACT(SPLIT(C570, ""&lt;br&gt;""), ""([가-힣A-Za-z]+)""))"),"솔")</f>
        <v>솔</v>
      </c>
      <c r="K570" s="26" t="str">
        <f>IFERROR(__xludf.DUMMYFUNCTION("""COMPUTED_VALUE"""),"신형만")</f>
        <v>신형만</v>
      </c>
      <c r="L570" s="26" t="str">
        <f>IFERROR(__xludf.DUMMYFUNCTION("""COMPUTED_VALUE"""),"넘버")</f>
        <v>넘버</v>
      </c>
      <c r="M570" s="26" t="str">
        <f>IFERROR(__xludf.DUMMYFUNCTION("""COMPUTED_VALUE"""),"깡패")</f>
        <v>깡패</v>
      </c>
      <c r="N570" s="26" t="str">
        <f>IFERROR(__xludf.DUMMYFUNCTION("ARRAYFORMULA(REGEXEXTRACT(SPLIT(E570, ""&lt;br&gt;""), ""([가-힣A-Za-z]+)""))"),"ACDC")</f>
        <v>ACDC</v>
      </c>
      <c r="O570" s="26" t="str">
        <f>IFERROR(__xludf.DUMMYFUNCTION("""COMPUTED_VALUE"""),"테리")</f>
        <v>테리</v>
      </c>
      <c r="P570" s="26" t="str">
        <f>IFERROR(__xludf.DUMMYFUNCTION("""COMPUTED_VALUE"""),"짱구")</f>
        <v>짱구</v>
      </c>
      <c r="Q570" s="26" t="str">
        <f>IFERROR(__xludf.DUMMYFUNCTION("""COMPUTED_VALUE"""),"한메")</f>
        <v>한메</v>
      </c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27" t="s">
        <v>2537</v>
      </c>
      <c r="B571" s="28" t="s">
        <v>2538</v>
      </c>
      <c r="C571" s="27" t="s">
        <v>2539</v>
      </c>
      <c r="D571" s="27">
        <v>5.0</v>
      </c>
      <c r="E571" s="27" t="s">
        <v>2540</v>
      </c>
      <c r="F571" s="27">
        <v>0.0</v>
      </c>
      <c r="G571" s="29">
        <v>45829.106944444444</v>
      </c>
      <c r="H571" s="27" t="s">
        <v>2396</v>
      </c>
      <c r="I571" s="18"/>
      <c r="J571" s="25" t="str">
        <f>IFERROR(__xludf.DUMMYFUNCTION("ARRAYFORMULA(REGEXEXTRACT(SPLIT(C571, ""&lt;br&gt;""), ""([가-힣A-Za-z]+)""))"),"노인")</f>
        <v>노인</v>
      </c>
      <c r="K571" s="26" t="str">
        <f>IFERROR(__xludf.DUMMYFUNCTION("""COMPUTED_VALUE"""),"테리")</f>
        <v>테리</v>
      </c>
      <c r="L571" s="26" t="str">
        <f>IFERROR(__xludf.DUMMYFUNCTION("""COMPUTED_VALUE"""),"한메")</f>
        <v>한메</v>
      </c>
      <c r="M571" s="26" t="str">
        <f>IFERROR(__xludf.DUMMYFUNCTION("""COMPUTED_VALUE"""),"솔")</f>
        <v>솔</v>
      </c>
      <c r="N571" s="26" t="str">
        <f>IFERROR(__xludf.DUMMYFUNCTION("ARRAYFORMULA(REGEXEXTRACT(SPLIT(E571, ""&lt;br&gt;""), ""([가-힣A-Za-z]+)""))"),"신형만")</f>
        <v>신형만</v>
      </c>
      <c r="O571" s="26" t="str">
        <f>IFERROR(__xludf.DUMMYFUNCTION("""COMPUTED_VALUE"""),"ACDC")</f>
        <v>ACDC</v>
      </c>
      <c r="P571" s="26" t="str">
        <f>IFERROR(__xludf.DUMMYFUNCTION("""COMPUTED_VALUE"""),"참치")</f>
        <v>참치</v>
      </c>
      <c r="Q571" s="26" t="str">
        <f>IFERROR(__xludf.DUMMYFUNCTION("""COMPUTED_VALUE"""),"깡패")</f>
        <v>깡패</v>
      </c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27" t="s">
        <v>2541</v>
      </c>
      <c r="B572" s="28" t="s">
        <v>2542</v>
      </c>
      <c r="C572" s="27" t="s">
        <v>2543</v>
      </c>
      <c r="D572" s="27">
        <v>5.0</v>
      </c>
      <c r="E572" s="27" t="s">
        <v>2544</v>
      </c>
      <c r="F572" s="27">
        <v>3.0</v>
      </c>
      <c r="G572" s="29">
        <v>45829.089583333334</v>
      </c>
      <c r="H572" s="27" t="s">
        <v>2396</v>
      </c>
      <c r="I572" s="18"/>
      <c r="J572" s="25" t="str">
        <f>IFERROR(__xludf.DUMMYFUNCTION("ARRAYFORMULA(REGEXEXTRACT(SPLIT(C572, ""&lt;br&gt;""), ""([가-힣A-Za-z]+)""))"),"솔")</f>
        <v>솔</v>
      </c>
      <c r="K572" s="26" t="str">
        <f>IFERROR(__xludf.DUMMYFUNCTION("""COMPUTED_VALUE"""),"노인")</f>
        <v>노인</v>
      </c>
      <c r="L572" s="26" t="str">
        <f>IFERROR(__xludf.DUMMYFUNCTION("""COMPUTED_VALUE"""),"참치")</f>
        <v>참치</v>
      </c>
      <c r="M572" s="26" t="str">
        <f>IFERROR(__xludf.DUMMYFUNCTION("""COMPUTED_VALUE"""),"깡패")</f>
        <v>깡패</v>
      </c>
      <c r="N572" s="26" t="str">
        <f>IFERROR(__xludf.DUMMYFUNCTION("ARRAYFORMULA(REGEXEXTRACT(SPLIT(E572, ""&lt;br&gt;""), ""([가-힣A-Za-z]+)""))"),"신형만")</f>
        <v>신형만</v>
      </c>
      <c r="O572" s="26" t="str">
        <f>IFERROR(__xludf.DUMMYFUNCTION("""COMPUTED_VALUE"""),"ACDC")</f>
        <v>ACDC</v>
      </c>
      <c r="P572" s="26" t="str">
        <f>IFERROR(__xludf.DUMMYFUNCTION("""COMPUTED_VALUE"""),"테리")</f>
        <v>테리</v>
      </c>
      <c r="Q572" s="26" t="str">
        <f>IFERROR(__xludf.DUMMYFUNCTION("""COMPUTED_VALUE"""),"한메")</f>
        <v>한메</v>
      </c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27" t="s">
        <v>2545</v>
      </c>
      <c r="B573" s="28" t="s">
        <v>2546</v>
      </c>
      <c r="C573" s="27" t="s">
        <v>2547</v>
      </c>
      <c r="D573" s="27">
        <v>5.0</v>
      </c>
      <c r="E573" s="27" t="s">
        <v>2548</v>
      </c>
      <c r="F573" s="27">
        <v>2.0</v>
      </c>
      <c r="G573" s="29">
        <v>45829.040972222225</v>
      </c>
      <c r="H573" s="27" t="s">
        <v>2396</v>
      </c>
      <c r="I573" s="18"/>
      <c r="J573" s="25" t="str">
        <f>IFERROR(__xludf.DUMMYFUNCTION("ARRAYFORMULA(REGEXEXTRACT(SPLIT(C573, ""&lt;br&gt;""), ""([가-힣A-Za-z]+)""))"),"한메")</f>
        <v>한메</v>
      </c>
      <c r="K573" s="26" t="str">
        <f>IFERROR(__xludf.DUMMYFUNCTION("""COMPUTED_VALUE"""),"넘버")</f>
        <v>넘버</v>
      </c>
      <c r="L573" s="26" t="str">
        <f>IFERROR(__xludf.DUMMYFUNCTION("""COMPUTED_VALUE"""),"테리")</f>
        <v>테리</v>
      </c>
      <c r="M573" s="26" t="str">
        <f>IFERROR(__xludf.DUMMYFUNCTION("""COMPUTED_VALUE"""),"신형만")</f>
        <v>신형만</v>
      </c>
      <c r="N573" s="26" t="str">
        <f>IFERROR(__xludf.DUMMYFUNCTION("ARRAYFORMULA(REGEXEXTRACT(SPLIT(E573, ""&lt;br&gt;""), ""([가-힣A-Za-z]+)""))"),"노인")</f>
        <v>노인</v>
      </c>
      <c r="O573" s="26" t="str">
        <f>IFERROR(__xludf.DUMMYFUNCTION("""COMPUTED_VALUE"""),"깡패")</f>
        <v>깡패</v>
      </c>
      <c r="P573" s="26" t="str">
        <f>IFERROR(__xludf.DUMMYFUNCTION("""COMPUTED_VALUE"""),"ACDC")</f>
        <v>ACDC</v>
      </c>
      <c r="Q573" s="26" t="str">
        <f>IFERROR(__xludf.DUMMYFUNCTION("""COMPUTED_VALUE"""),"솔")</f>
        <v>솔</v>
      </c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27" t="s">
        <v>2549</v>
      </c>
      <c r="B574" s="28" t="s">
        <v>2550</v>
      </c>
      <c r="C574" s="27" t="s">
        <v>2551</v>
      </c>
      <c r="D574" s="27">
        <v>5.0</v>
      </c>
      <c r="E574" s="27" t="s">
        <v>2552</v>
      </c>
      <c r="F574" s="27">
        <v>4.0</v>
      </c>
      <c r="G574" s="29">
        <v>45829.02847222222</v>
      </c>
      <c r="H574" s="27" t="s">
        <v>2396</v>
      </c>
      <c r="I574" s="18"/>
      <c r="J574" s="25" t="str">
        <f>IFERROR(__xludf.DUMMYFUNCTION("ARRAYFORMULA(REGEXEXTRACT(SPLIT(C574, ""&lt;br&gt;""), ""([가-힣A-Za-z]+)""))"),"테리")</f>
        <v>테리</v>
      </c>
      <c r="K574" s="26" t="str">
        <f>IFERROR(__xludf.DUMMYFUNCTION("""COMPUTED_VALUE"""),"신형만")</f>
        <v>신형만</v>
      </c>
      <c r="L574" s="26" t="str">
        <f>IFERROR(__xludf.DUMMYFUNCTION("""COMPUTED_VALUE"""),"노인")</f>
        <v>노인</v>
      </c>
      <c r="M574" s="26" t="str">
        <f>IFERROR(__xludf.DUMMYFUNCTION("""COMPUTED_VALUE"""),"깡패")</f>
        <v>깡패</v>
      </c>
      <c r="N574" s="26" t="str">
        <f>IFERROR(__xludf.DUMMYFUNCTION("ARRAYFORMULA(REGEXEXTRACT(SPLIT(E574, ""&lt;br&gt;""), ""([가-힣A-Za-z]+)""))"),"넘버")</f>
        <v>넘버</v>
      </c>
      <c r="O574" s="26" t="str">
        <f>IFERROR(__xludf.DUMMYFUNCTION("""COMPUTED_VALUE"""),"ACDC")</f>
        <v>ACDC</v>
      </c>
      <c r="P574" s="26" t="str">
        <f>IFERROR(__xludf.DUMMYFUNCTION("""COMPUTED_VALUE"""),"한메")</f>
        <v>한메</v>
      </c>
      <c r="Q574" s="26" t="str">
        <f>IFERROR(__xludf.DUMMYFUNCTION("""COMPUTED_VALUE"""),"솔")</f>
        <v>솔</v>
      </c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27" t="s">
        <v>2553</v>
      </c>
      <c r="B575" s="28" t="s">
        <v>2554</v>
      </c>
      <c r="C575" s="27" t="s">
        <v>2555</v>
      </c>
      <c r="D575" s="27">
        <v>5.0</v>
      </c>
      <c r="E575" s="27" t="s">
        <v>2556</v>
      </c>
      <c r="F575" s="27">
        <v>3.0</v>
      </c>
      <c r="G575" s="29">
        <v>45828.97361111111</v>
      </c>
      <c r="H575" s="27" t="s">
        <v>2396</v>
      </c>
      <c r="I575" s="18"/>
      <c r="J575" s="25" t="str">
        <f>IFERROR(__xludf.DUMMYFUNCTION("ARRAYFORMULA(REGEXEXTRACT(SPLIT(C575, ""&lt;br&gt;""), ""([가-힣A-Za-z]+)""))"),"ACDC")</f>
        <v>ACDC</v>
      </c>
      <c r="K575" s="26" t="str">
        <f>IFERROR(__xludf.DUMMYFUNCTION("""COMPUTED_VALUE"""),"넘버")</f>
        <v>넘버</v>
      </c>
      <c r="L575" s="26" t="str">
        <f>IFERROR(__xludf.DUMMYFUNCTION("""COMPUTED_VALUE"""),"깡패")</f>
        <v>깡패</v>
      </c>
      <c r="M575" s="26" t="str">
        <f>IFERROR(__xludf.DUMMYFUNCTION("""COMPUTED_VALUE"""),"한메")</f>
        <v>한메</v>
      </c>
      <c r="N575" s="26" t="str">
        <f>IFERROR(__xludf.DUMMYFUNCTION("ARRAYFORMULA(REGEXEXTRACT(SPLIT(E575, ""&lt;br&gt;""), ""([가-힣A-Za-z]+)""))"),"솔")</f>
        <v>솔</v>
      </c>
      <c r="O575" s="26" t="str">
        <f>IFERROR(__xludf.DUMMYFUNCTION("""COMPUTED_VALUE"""),"짱구")</f>
        <v>짱구</v>
      </c>
      <c r="P575" s="26" t="str">
        <f>IFERROR(__xludf.DUMMYFUNCTION("""COMPUTED_VALUE"""),"테리")</f>
        <v>테리</v>
      </c>
      <c r="Q575" s="26" t="str">
        <f>IFERROR(__xludf.DUMMYFUNCTION("""COMPUTED_VALUE"""),"신형만")</f>
        <v>신형만</v>
      </c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27" t="s">
        <v>2557</v>
      </c>
      <c r="B576" s="28" t="s">
        <v>2558</v>
      </c>
      <c r="C576" s="27" t="s">
        <v>2559</v>
      </c>
      <c r="D576" s="27">
        <v>5.0</v>
      </c>
      <c r="E576" s="27" t="s">
        <v>2560</v>
      </c>
      <c r="F576" s="27">
        <v>1.0</v>
      </c>
      <c r="G576" s="29">
        <v>45828.94097222222</v>
      </c>
      <c r="H576" s="27" t="s">
        <v>2396</v>
      </c>
      <c r="I576" s="18"/>
      <c r="J576" s="25" t="str">
        <f>IFERROR(__xludf.DUMMYFUNCTION("ARRAYFORMULA(REGEXEXTRACT(SPLIT(C576, ""&lt;br&gt;""), ""([가-힣A-Za-z]+)""))"),"솔")</f>
        <v>솔</v>
      </c>
      <c r="K576" s="26" t="str">
        <f>IFERROR(__xludf.DUMMYFUNCTION("""COMPUTED_VALUE"""),"ACDC")</f>
        <v>ACDC</v>
      </c>
      <c r="L576" s="26" t="str">
        <f>IFERROR(__xludf.DUMMYFUNCTION("""COMPUTED_VALUE"""),"테리")</f>
        <v>테리</v>
      </c>
      <c r="M576" s="26" t="str">
        <f>IFERROR(__xludf.DUMMYFUNCTION("""COMPUTED_VALUE"""),"한메")</f>
        <v>한메</v>
      </c>
      <c r="N576" s="26" t="str">
        <f>IFERROR(__xludf.DUMMYFUNCTION("ARRAYFORMULA(REGEXEXTRACT(SPLIT(E576, ""&lt;br&gt;""), ""([가-힣A-Za-z]+)""))"),"짱구")</f>
        <v>짱구</v>
      </c>
      <c r="O576" s="26" t="str">
        <f>IFERROR(__xludf.DUMMYFUNCTION("""COMPUTED_VALUE"""),"깡패")</f>
        <v>깡패</v>
      </c>
      <c r="P576" s="26" t="str">
        <f>IFERROR(__xludf.DUMMYFUNCTION("""COMPUTED_VALUE"""),"신형만")</f>
        <v>신형만</v>
      </c>
      <c r="Q576" s="26" t="str">
        <f>IFERROR(__xludf.DUMMYFUNCTION("""COMPUTED_VALUE"""),"넘버")</f>
        <v>넘버</v>
      </c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27" t="s">
        <v>2561</v>
      </c>
      <c r="B577" s="28" t="s">
        <v>2562</v>
      </c>
      <c r="C577" s="27" t="s">
        <v>2563</v>
      </c>
      <c r="D577" s="27">
        <v>5.0</v>
      </c>
      <c r="E577" s="27" t="s">
        <v>2564</v>
      </c>
      <c r="F577" s="27">
        <v>4.0</v>
      </c>
      <c r="G577" s="29">
        <v>45827.955555555556</v>
      </c>
      <c r="H577" s="27" t="s">
        <v>2396</v>
      </c>
      <c r="I577" s="18"/>
      <c r="J577" s="25" t="str">
        <f>IFERROR(__xludf.DUMMYFUNCTION("ARRAYFORMULA(REGEXEXTRACT(SPLIT(C577, ""&lt;br&gt;""), ""([가-힣A-Za-z]+)""))"),"ACDC")</f>
        <v>ACDC</v>
      </c>
      <c r="K577" s="26" t="str">
        <f>IFERROR(__xludf.DUMMYFUNCTION("""COMPUTED_VALUE"""),"넘버")</f>
        <v>넘버</v>
      </c>
      <c r="L577" s="26" t="str">
        <f>IFERROR(__xludf.DUMMYFUNCTION("""COMPUTED_VALUE"""),"노인")</f>
        <v>노인</v>
      </c>
      <c r="M577" s="26" t="str">
        <f>IFERROR(__xludf.DUMMYFUNCTION("""COMPUTED_VALUE"""),"신형만")</f>
        <v>신형만</v>
      </c>
      <c r="N577" s="26" t="str">
        <f>IFERROR(__xludf.DUMMYFUNCTION("ARRAYFORMULA(REGEXEXTRACT(SPLIT(E577, ""&lt;br&gt;""), ""([가-힣A-Za-z]+)""))"),"한메")</f>
        <v>한메</v>
      </c>
      <c r="O577" s="26" t="str">
        <f>IFERROR(__xludf.DUMMYFUNCTION("""COMPUTED_VALUE"""),"깡패")</f>
        <v>깡패</v>
      </c>
      <c r="P577" s="26" t="str">
        <f>IFERROR(__xludf.DUMMYFUNCTION("""COMPUTED_VALUE"""),"테리")</f>
        <v>테리</v>
      </c>
      <c r="Q577" s="26" t="str">
        <f>IFERROR(__xludf.DUMMYFUNCTION("""COMPUTED_VALUE"""),"규식")</f>
        <v>규식</v>
      </c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27" t="s">
        <v>2565</v>
      </c>
      <c r="B578" s="28" t="s">
        <v>2566</v>
      </c>
      <c r="C578" s="27" t="s">
        <v>2567</v>
      </c>
      <c r="D578" s="27">
        <v>5.0</v>
      </c>
      <c r="E578" s="27" t="s">
        <v>2568</v>
      </c>
      <c r="F578" s="27">
        <v>1.0</v>
      </c>
      <c r="G578" s="29">
        <v>45827.936111111114</v>
      </c>
      <c r="H578" s="27" t="s">
        <v>2396</v>
      </c>
      <c r="I578" s="18"/>
      <c r="J578" s="25" t="str">
        <f>IFERROR(__xludf.DUMMYFUNCTION("ARRAYFORMULA(REGEXEXTRACT(SPLIT(C578, ""&lt;br&gt;""), ""([가-힣A-Za-z]+)""))"),"깡패")</f>
        <v>깡패</v>
      </c>
      <c r="K578" s="26" t="str">
        <f>IFERROR(__xludf.DUMMYFUNCTION("""COMPUTED_VALUE"""),"테리")</f>
        <v>테리</v>
      </c>
      <c r="L578" s="26" t="str">
        <f>IFERROR(__xludf.DUMMYFUNCTION("""COMPUTED_VALUE"""),"노인")</f>
        <v>노인</v>
      </c>
      <c r="M578" s="26" t="str">
        <f>IFERROR(__xludf.DUMMYFUNCTION("""COMPUTED_VALUE"""),"신형만")</f>
        <v>신형만</v>
      </c>
      <c r="N578" s="26" t="str">
        <f>IFERROR(__xludf.DUMMYFUNCTION("ARRAYFORMULA(REGEXEXTRACT(SPLIT(E578, ""&lt;br&gt;""), ""([가-힣A-Za-z]+)""))"),"ACDC")</f>
        <v>ACDC</v>
      </c>
      <c r="O578" s="26" t="str">
        <f>IFERROR(__xludf.DUMMYFUNCTION("""COMPUTED_VALUE"""),"규식")</f>
        <v>규식</v>
      </c>
      <c r="P578" s="26" t="str">
        <f>IFERROR(__xludf.DUMMYFUNCTION("""COMPUTED_VALUE"""),"넘버")</f>
        <v>넘버</v>
      </c>
      <c r="Q578" s="26" t="str">
        <f>IFERROR(__xludf.DUMMYFUNCTION("""COMPUTED_VALUE"""),"한메")</f>
        <v>한메</v>
      </c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27" t="s">
        <v>2569</v>
      </c>
      <c r="B579" s="28" t="s">
        <v>2570</v>
      </c>
      <c r="C579" s="27" t="s">
        <v>2571</v>
      </c>
      <c r="D579" s="27">
        <v>5.0</v>
      </c>
      <c r="E579" s="27" t="s">
        <v>2572</v>
      </c>
      <c r="F579" s="27">
        <v>3.0</v>
      </c>
      <c r="G579" s="29">
        <v>45827.916666666664</v>
      </c>
      <c r="H579" s="27" t="s">
        <v>2396</v>
      </c>
      <c r="I579" s="18"/>
      <c r="J579" s="25" t="str">
        <f>IFERROR(__xludf.DUMMYFUNCTION("ARRAYFORMULA(REGEXEXTRACT(SPLIT(C579, ""&lt;br&gt;""), ""([가-힣A-Za-z]+)""))"),"한메")</f>
        <v>한메</v>
      </c>
      <c r="K579" s="26" t="str">
        <f>IFERROR(__xludf.DUMMYFUNCTION("""COMPUTED_VALUE"""),"테리")</f>
        <v>테리</v>
      </c>
      <c r="L579" s="26" t="str">
        <f>IFERROR(__xludf.DUMMYFUNCTION("""COMPUTED_VALUE"""),"노인")</f>
        <v>노인</v>
      </c>
      <c r="M579" s="26" t="str">
        <f>IFERROR(__xludf.DUMMYFUNCTION("""COMPUTED_VALUE"""),"규식")</f>
        <v>규식</v>
      </c>
      <c r="N579" s="26" t="str">
        <f>IFERROR(__xludf.DUMMYFUNCTION("ARRAYFORMULA(REGEXEXTRACT(SPLIT(E579, ""&lt;br&gt;""), ""([가-힣A-Za-z]+)""))"),"넘버")</f>
        <v>넘버</v>
      </c>
      <c r="O579" s="26" t="str">
        <f>IFERROR(__xludf.DUMMYFUNCTION("""COMPUTED_VALUE"""),"ACDC")</f>
        <v>ACDC</v>
      </c>
      <c r="P579" s="26" t="str">
        <f>IFERROR(__xludf.DUMMYFUNCTION("""COMPUTED_VALUE"""),"신형만")</f>
        <v>신형만</v>
      </c>
      <c r="Q579" s="26" t="str">
        <f>IFERROR(__xludf.DUMMYFUNCTION("""COMPUTED_VALUE"""),"깡패")</f>
        <v>깡패</v>
      </c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27" t="s">
        <v>2573</v>
      </c>
      <c r="B580" s="28" t="s">
        <v>2574</v>
      </c>
      <c r="C580" s="27" t="s">
        <v>2575</v>
      </c>
      <c r="D580" s="27">
        <v>5.0</v>
      </c>
      <c r="E580" s="27" t="s">
        <v>2576</v>
      </c>
      <c r="F580" s="27">
        <v>3.0</v>
      </c>
      <c r="G580" s="29">
        <v>45827.89791666667</v>
      </c>
      <c r="H580" s="27" t="s">
        <v>2396</v>
      </c>
      <c r="I580" s="18"/>
      <c r="J580" s="25" t="str">
        <f>IFERROR(__xludf.DUMMYFUNCTION("ARRAYFORMULA(REGEXEXTRACT(SPLIT(C580, ""&lt;br&gt;""), ""([가-힣A-Za-z]+)""))"),"노인")</f>
        <v>노인</v>
      </c>
      <c r="K580" s="26" t="str">
        <f>IFERROR(__xludf.DUMMYFUNCTION("""COMPUTED_VALUE"""),"신형만")</f>
        <v>신형만</v>
      </c>
      <c r="L580" s="26" t="str">
        <f>IFERROR(__xludf.DUMMYFUNCTION("""COMPUTED_VALUE"""),"넘버")</f>
        <v>넘버</v>
      </c>
      <c r="M580" s="26" t="str">
        <f>IFERROR(__xludf.DUMMYFUNCTION("""COMPUTED_VALUE"""),"규식")</f>
        <v>규식</v>
      </c>
      <c r="N580" s="26" t="str">
        <f>IFERROR(__xludf.DUMMYFUNCTION("ARRAYFORMULA(REGEXEXTRACT(SPLIT(E580, ""&lt;br&gt;""), ""([가-힣A-Za-z]+)""))"),"테리")</f>
        <v>테리</v>
      </c>
      <c r="O580" s="26" t="str">
        <f>IFERROR(__xludf.DUMMYFUNCTION("""COMPUTED_VALUE"""),"깡패")</f>
        <v>깡패</v>
      </c>
      <c r="P580" s="26" t="str">
        <f>IFERROR(__xludf.DUMMYFUNCTION("""COMPUTED_VALUE"""),"ACDC")</f>
        <v>ACDC</v>
      </c>
      <c r="Q580" s="26" t="str">
        <f>IFERROR(__xludf.DUMMYFUNCTION("""COMPUTED_VALUE"""),"한메")</f>
        <v>한메</v>
      </c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27" t="s">
        <v>2577</v>
      </c>
      <c r="B581" s="28" t="s">
        <v>2578</v>
      </c>
      <c r="C581" s="27" t="s">
        <v>2579</v>
      </c>
      <c r="D581" s="27">
        <v>5.0</v>
      </c>
      <c r="E581" s="27" t="s">
        <v>2580</v>
      </c>
      <c r="F581" s="27">
        <v>0.0</v>
      </c>
      <c r="G581" s="29">
        <v>45827.86736111111</v>
      </c>
      <c r="H581" s="27" t="s">
        <v>2396</v>
      </c>
      <c r="I581" s="18"/>
      <c r="J581" s="25" t="str">
        <f>IFERROR(__xludf.DUMMYFUNCTION("ARRAYFORMULA(REGEXEXTRACT(SPLIT(C581, ""&lt;br&gt;""), ""([가-힣A-Za-z]+)""))"),"신형만")</f>
        <v>신형만</v>
      </c>
      <c r="K581" s="26" t="str">
        <f>IFERROR(__xludf.DUMMYFUNCTION("""COMPUTED_VALUE"""),"테리")</f>
        <v>테리</v>
      </c>
      <c r="L581" s="26" t="str">
        <f>IFERROR(__xludf.DUMMYFUNCTION("""COMPUTED_VALUE"""),"깡패")</f>
        <v>깡패</v>
      </c>
      <c r="M581" s="26" t="str">
        <f>IFERROR(__xludf.DUMMYFUNCTION("""COMPUTED_VALUE"""),"규식")</f>
        <v>규식</v>
      </c>
      <c r="N581" s="26" t="str">
        <f>IFERROR(__xludf.DUMMYFUNCTION("ARRAYFORMULA(REGEXEXTRACT(SPLIT(E581, ""&lt;br&gt;""), ""([가-힣A-Za-z]+)""))"),"넘버")</f>
        <v>넘버</v>
      </c>
      <c r="O581" s="26" t="str">
        <f>IFERROR(__xludf.DUMMYFUNCTION("""COMPUTED_VALUE"""),"노인")</f>
        <v>노인</v>
      </c>
      <c r="P581" s="26" t="str">
        <f>IFERROR(__xludf.DUMMYFUNCTION("""COMPUTED_VALUE"""),"ACDC")</f>
        <v>ACDC</v>
      </c>
      <c r="Q581" s="26" t="str">
        <f>IFERROR(__xludf.DUMMYFUNCTION("""COMPUTED_VALUE"""),"한메")</f>
        <v>한메</v>
      </c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27" t="s">
        <v>2581</v>
      </c>
      <c r="B582" s="28" t="s">
        <v>2582</v>
      </c>
      <c r="C582" s="27" t="s">
        <v>2583</v>
      </c>
      <c r="D582" s="27">
        <v>5.0</v>
      </c>
      <c r="E582" s="27" t="s">
        <v>2584</v>
      </c>
      <c r="F582" s="27">
        <v>4.0</v>
      </c>
      <c r="G582" s="29">
        <v>45826.993055555555</v>
      </c>
      <c r="H582" s="27" t="s">
        <v>2396</v>
      </c>
      <c r="I582" s="18"/>
      <c r="J582" s="25" t="str">
        <f>IFERROR(__xludf.DUMMYFUNCTION("ARRAYFORMULA(REGEXEXTRACT(SPLIT(C582, ""&lt;br&gt;""), ""([가-힣A-Za-z]+)""))"),"넘버")</f>
        <v>넘버</v>
      </c>
      <c r="K582" s="26" t="str">
        <f>IFERROR(__xludf.DUMMYFUNCTION("""COMPUTED_VALUE"""),"원")</f>
        <v>원</v>
      </c>
      <c r="L582" s="26" t="str">
        <f>IFERROR(__xludf.DUMMYFUNCTION("""COMPUTED_VALUE"""),"짱구")</f>
        <v>짱구</v>
      </c>
      <c r="M582" s="26" t="str">
        <f>IFERROR(__xludf.DUMMYFUNCTION("""COMPUTED_VALUE"""),"신형만")</f>
        <v>신형만</v>
      </c>
      <c r="N582" s="26" t="str">
        <f>IFERROR(__xludf.DUMMYFUNCTION("ARRAYFORMULA(REGEXEXTRACT(SPLIT(E582, ""&lt;br&gt;""), ""([가-힣A-Za-z]+)""))"),"노인")</f>
        <v>노인</v>
      </c>
      <c r="O582" s="26" t="str">
        <f>IFERROR(__xludf.DUMMYFUNCTION("""COMPUTED_VALUE"""),"테리")</f>
        <v>테리</v>
      </c>
      <c r="P582" s="26" t="str">
        <f>IFERROR(__xludf.DUMMYFUNCTION("""COMPUTED_VALUE"""),"깡패")</f>
        <v>깡패</v>
      </c>
      <c r="Q582" s="26" t="str">
        <f>IFERROR(__xludf.DUMMYFUNCTION("""COMPUTED_VALUE"""),"솔")</f>
        <v>솔</v>
      </c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27" t="s">
        <v>2585</v>
      </c>
      <c r="B583" s="28" t="s">
        <v>2586</v>
      </c>
      <c r="C583" s="27" t="s">
        <v>2587</v>
      </c>
      <c r="D583" s="27">
        <v>5.0</v>
      </c>
      <c r="E583" s="27" t="s">
        <v>2588</v>
      </c>
      <c r="F583" s="27">
        <v>2.0</v>
      </c>
      <c r="G583" s="29">
        <v>45826.9625</v>
      </c>
      <c r="H583" s="27" t="s">
        <v>2396</v>
      </c>
      <c r="I583" s="18"/>
      <c r="J583" s="25" t="str">
        <f>IFERROR(__xludf.DUMMYFUNCTION("ARRAYFORMULA(REGEXEXTRACT(SPLIT(C583, ""&lt;br&gt;""), ""([가-힣A-Za-z]+)""))"),"신형만")</f>
        <v>신형만</v>
      </c>
      <c r="K583" s="26" t="str">
        <f>IFERROR(__xludf.DUMMYFUNCTION("""COMPUTED_VALUE"""),"깡패")</f>
        <v>깡패</v>
      </c>
      <c r="L583" s="26" t="str">
        <f>IFERROR(__xludf.DUMMYFUNCTION("""COMPUTED_VALUE"""),"노인")</f>
        <v>노인</v>
      </c>
      <c r="M583" s="26" t="str">
        <f>IFERROR(__xludf.DUMMYFUNCTION("""COMPUTED_VALUE"""),"원")</f>
        <v>원</v>
      </c>
      <c r="N583" s="26" t="str">
        <f>IFERROR(__xludf.DUMMYFUNCTION("ARRAYFORMULA(REGEXEXTRACT(SPLIT(E583, ""&lt;br&gt;""), ""([가-힣A-Za-z]+)""))"),"솔")</f>
        <v>솔</v>
      </c>
      <c r="O583" s="26" t="str">
        <f>IFERROR(__xludf.DUMMYFUNCTION("""COMPUTED_VALUE"""),"테리")</f>
        <v>테리</v>
      </c>
      <c r="P583" s="26" t="str">
        <f>IFERROR(__xludf.DUMMYFUNCTION("""COMPUTED_VALUE"""),"짱구")</f>
        <v>짱구</v>
      </c>
      <c r="Q583" s="26" t="str">
        <f>IFERROR(__xludf.DUMMYFUNCTION("""COMPUTED_VALUE"""),"한메")</f>
        <v>한메</v>
      </c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27" t="s">
        <v>2589</v>
      </c>
      <c r="B584" s="28" t="s">
        <v>2590</v>
      </c>
      <c r="C584" s="27" t="s">
        <v>2591</v>
      </c>
      <c r="D584" s="27">
        <v>5.0</v>
      </c>
      <c r="E584" s="27" t="s">
        <v>2592</v>
      </c>
      <c r="F584" s="27">
        <v>2.0</v>
      </c>
      <c r="G584" s="29">
        <v>45826.94236111111</v>
      </c>
      <c r="H584" s="27" t="s">
        <v>2396</v>
      </c>
      <c r="I584" s="18"/>
      <c r="J584" s="25" t="str">
        <f>IFERROR(__xludf.DUMMYFUNCTION("ARRAYFORMULA(REGEXEXTRACT(SPLIT(C584, ""&lt;br&gt;""), ""([가-힣A-Za-z]+)""))"),"짱구")</f>
        <v>짱구</v>
      </c>
      <c r="K584" s="26" t="str">
        <f>IFERROR(__xludf.DUMMYFUNCTION("""COMPUTED_VALUE"""),"테리")</f>
        <v>테리</v>
      </c>
      <c r="L584" s="26" t="str">
        <f>IFERROR(__xludf.DUMMYFUNCTION("""COMPUTED_VALUE"""),"노인")</f>
        <v>노인</v>
      </c>
      <c r="M584" s="26" t="str">
        <f>IFERROR(__xludf.DUMMYFUNCTION("""COMPUTED_VALUE"""),"원")</f>
        <v>원</v>
      </c>
      <c r="N584" s="26" t="str">
        <f>IFERROR(__xludf.DUMMYFUNCTION("ARRAYFORMULA(REGEXEXTRACT(SPLIT(E584, ""&lt;br&gt;""), ""([가-힣A-Za-z]+)""))"),"신형만")</f>
        <v>신형만</v>
      </c>
      <c r="O584" s="26" t="str">
        <f>IFERROR(__xludf.DUMMYFUNCTION("""COMPUTED_VALUE"""),"깡패")</f>
        <v>깡패</v>
      </c>
      <c r="P584" s="26" t="str">
        <f>IFERROR(__xludf.DUMMYFUNCTION("""COMPUTED_VALUE"""),"솔")</f>
        <v>솔</v>
      </c>
      <c r="Q584" s="26" t="str">
        <f>IFERROR(__xludf.DUMMYFUNCTION("""COMPUTED_VALUE"""),"한메")</f>
        <v>한메</v>
      </c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27" t="s">
        <v>2593</v>
      </c>
      <c r="B585" s="28" t="s">
        <v>2594</v>
      </c>
      <c r="C585" s="27" t="s">
        <v>2595</v>
      </c>
      <c r="D585" s="27">
        <v>5.0</v>
      </c>
      <c r="E585" s="27" t="s">
        <v>2596</v>
      </c>
      <c r="F585" s="27">
        <v>4.0</v>
      </c>
      <c r="G585" s="29">
        <v>45826.92291666667</v>
      </c>
      <c r="H585" s="27" t="s">
        <v>2396</v>
      </c>
      <c r="I585" s="18"/>
      <c r="J585" s="25" t="str">
        <f>IFERROR(__xludf.DUMMYFUNCTION("ARRAYFORMULA(REGEXEXTRACT(SPLIT(C585, ""&lt;br&gt;""), ""([가-힣A-Za-z]+)""))"),"짱구")</f>
        <v>짱구</v>
      </c>
      <c r="K585" s="26" t="str">
        <f>IFERROR(__xludf.DUMMYFUNCTION("""COMPUTED_VALUE"""),"노인")</f>
        <v>노인</v>
      </c>
      <c r="L585" s="26" t="str">
        <f>IFERROR(__xludf.DUMMYFUNCTION("""COMPUTED_VALUE"""),"깡패")</f>
        <v>깡패</v>
      </c>
      <c r="M585" s="26" t="str">
        <f>IFERROR(__xludf.DUMMYFUNCTION("""COMPUTED_VALUE"""),"솔")</f>
        <v>솔</v>
      </c>
      <c r="N585" s="26" t="str">
        <f>IFERROR(__xludf.DUMMYFUNCTION("ARRAYFORMULA(REGEXEXTRACT(SPLIT(E585, ""&lt;br&gt;""), ""([가-힣A-Za-z]+)""))"),"테리")</f>
        <v>테리</v>
      </c>
      <c r="O585" s="26" t="str">
        <f>IFERROR(__xludf.DUMMYFUNCTION("""COMPUTED_VALUE"""),"원")</f>
        <v>원</v>
      </c>
      <c r="P585" s="26" t="str">
        <f>IFERROR(__xludf.DUMMYFUNCTION("""COMPUTED_VALUE"""),"한메")</f>
        <v>한메</v>
      </c>
      <c r="Q585" s="26" t="str">
        <f>IFERROR(__xludf.DUMMYFUNCTION("""COMPUTED_VALUE"""),"신형만")</f>
        <v>신형만</v>
      </c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27" t="s">
        <v>2597</v>
      </c>
      <c r="B586" s="28" t="s">
        <v>2598</v>
      </c>
      <c r="C586" s="27" t="s">
        <v>2599</v>
      </c>
      <c r="D586" s="27">
        <v>5.0</v>
      </c>
      <c r="E586" s="27" t="s">
        <v>2600</v>
      </c>
      <c r="F586" s="27">
        <v>1.0</v>
      </c>
      <c r="G586" s="29">
        <v>45825.94652777778</v>
      </c>
      <c r="H586" s="27" t="s">
        <v>2396</v>
      </c>
      <c r="I586" s="18"/>
      <c r="J586" s="25" t="str">
        <f>IFERROR(__xludf.DUMMYFUNCTION("ARRAYFORMULA(REGEXEXTRACT(SPLIT(C586, ""&lt;br&gt;""), ""([가-힣A-Za-z]+)""))"),"테리")</f>
        <v>테리</v>
      </c>
      <c r="K586" s="26" t="str">
        <f>IFERROR(__xludf.DUMMYFUNCTION("""COMPUTED_VALUE"""),"ACDC")</f>
        <v>ACDC</v>
      </c>
      <c r="L586" s="26" t="str">
        <f>IFERROR(__xludf.DUMMYFUNCTION("""COMPUTED_VALUE"""),"노인")</f>
        <v>노인</v>
      </c>
      <c r="M586" s="26" t="str">
        <f>IFERROR(__xludf.DUMMYFUNCTION("""COMPUTED_VALUE"""),"솔")</f>
        <v>솔</v>
      </c>
      <c r="N586" s="26" t="str">
        <f>IFERROR(__xludf.DUMMYFUNCTION("ARRAYFORMULA(REGEXEXTRACT(SPLIT(E586, ""&lt;br&gt;""), ""([가-힣A-Za-z]+)""))"),"신형만")</f>
        <v>신형만</v>
      </c>
      <c r="O586" s="26" t="str">
        <f>IFERROR(__xludf.DUMMYFUNCTION("""COMPUTED_VALUE"""),"깡패")</f>
        <v>깡패</v>
      </c>
      <c r="P586" s="26" t="str">
        <f>IFERROR(__xludf.DUMMYFUNCTION("""COMPUTED_VALUE"""),"짱구")</f>
        <v>짱구</v>
      </c>
      <c r="Q586" s="26" t="str">
        <f>IFERROR(__xludf.DUMMYFUNCTION("""COMPUTED_VALUE"""),"한메")</f>
        <v>한메</v>
      </c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27" t="s">
        <v>2601</v>
      </c>
      <c r="B587" s="28" t="s">
        <v>2602</v>
      </c>
      <c r="C587" s="27" t="s">
        <v>2603</v>
      </c>
      <c r="D587" s="27">
        <v>5.0</v>
      </c>
      <c r="E587" s="27" t="s">
        <v>2604</v>
      </c>
      <c r="F587" s="27">
        <v>1.0</v>
      </c>
      <c r="G587" s="29">
        <v>45825.941666666666</v>
      </c>
      <c r="H587" s="27" t="s">
        <v>2396</v>
      </c>
      <c r="I587" s="18"/>
      <c r="J587" s="25" t="str">
        <f>IFERROR(__xludf.DUMMYFUNCTION("ARRAYFORMULA(REGEXEXTRACT(SPLIT(C587, ""&lt;br&gt;""), ""([가-힣A-Za-z]+)""))"),"짱구")</f>
        <v>짱구</v>
      </c>
      <c r="K587" s="26" t="str">
        <f>IFERROR(__xludf.DUMMYFUNCTION("""COMPUTED_VALUE"""),"테리")</f>
        <v>테리</v>
      </c>
      <c r="L587" s="26" t="str">
        <f>IFERROR(__xludf.DUMMYFUNCTION("""COMPUTED_VALUE"""),"솔")</f>
        <v>솔</v>
      </c>
      <c r="M587" s="26" t="str">
        <f>IFERROR(__xludf.DUMMYFUNCTION("""COMPUTED_VALUE"""),"한메")</f>
        <v>한메</v>
      </c>
      <c r="N587" s="26" t="str">
        <f>IFERROR(__xludf.DUMMYFUNCTION("ARRAYFORMULA(REGEXEXTRACT(SPLIT(E587, ""&lt;br&gt;""), ""([가-힣A-Za-z]+)""))"),"ACDC")</f>
        <v>ACDC</v>
      </c>
      <c r="O587" s="26" t="str">
        <f>IFERROR(__xludf.DUMMYFUNCTION("""COMPUTED_VALUE"""),"노인")</f>
        <v>노인</v>
      </c>
      <c r="P587" s="26" t="str">
        <f>IFERROR(__xludf.DUMMYFUNCTION("""COMPUTED_VALUE"""),"깡패")</f>
        <v>깡패</v>
      </c>
      <c r="Q587" s="26" t="str">
        <f>IFERROR(__xludf.DUMMYFUNCTION("""COMPUTED_VALUE"""),"신형만")</f>
        <v>신형만</v>
      </c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27" t="s">
        <v>2605</v>
      </c>
      <c r="B588" s="28" t="s">
        <v>2606</v>
      </c>
      <c r="C588" s="27" t="s">
        <v>2607</v>
      </c>
      <c r="D588" s="27">
        <v>5.0</v>
      </c>
      <c r="E588" s="27" t="s">
        <v>2608</v>
      </c>
      <c r="F588" s="27">
        <v>0.0</v>
      </c>
      <c r="G588" s="29">
        <v>45825.89375</v>
      </c>
      <c r="H588" s="27" t="s">
        <v>2396</v>
      </c>
      <c r="I588" s="18"/>
      <c r="J588" s="25" t="str">
        <f>IFERROR(__xludf.DUMMYFUNCTION("ARRAYFORMULA(REGEXEXTRACT(SPLIT(C588, ""&lt;br&gt;""), ""([가-힣A-Za-z]+)""))"),"짱구")</f>
        <v>짱구</v>
      </c>
      <c r="K588" s="26" t="str">
        <f>IFERROR(__xludf.DUMMYFUNCTION("""COMPUTED_VALUE"""),"테리")</f>
        <v>테리</v>
      </c>
      <c r="L588" s="26" t="str">
        <f>IFERROR(__xludf.DUMMYFUNCTION("""COMPUTED_VALUE"""),"솔")</f>
        <v>솔</v>
      </c>
      <c r="M588" s="26" t="str">
        <f>IFERROR(__xludf.DUMMYFUNCTION("""COMPUTED_VALUE"""),"깡패")</f>
        <v>깡패</v>
      </c>
      <c r="N588" s="26" t="str">
        <f>IFERROR(__xludf.DUMMYFUNCTION("ARRAYFORMULA(REGEXEXTRACT(SPLIT(E588, ""&lt;br&gt;""), ""([가-힣A-Za-z]+)""))"),"한메")</f>
        <v>한메</v>
      </c>
      <c r="O588" s="26" t="str">
        <f>IFERROR(__xludf.DUMMYFUNCTION("""COMPUTED_VALUE"""),"노인")</f>
        <v>노인</v>
      </c>
      <c r="P588" s="26" t="str">
        <f>IFERROR(__xludf.DUMMYFUNCTION("""COMPUTED_VALUE"""),"ACDC")</f>
        <v>ACDC</v>
      </c>
      <c r="Q588" s="26" t="str">
        <f>IFERROR(__xludf.DUMMYFUNCTION("""COMPUTED_VALUE"""),"신형만")</f>
        <v>신형만</v>
      </c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27" t="s">
        <v>2609</v>
      </c>
      <c r="B589" s="28" t="s">
        <v>2610</v>
      </c>
      <c r="C589" s="27" t="s">
        <v>2611</v>
      </c>
      <c r="D589" s="27">
        <v>5.0</v>
      </c>
      <c r="E589" s="27" t="s">
        <v>2612</v>
      </c>
      <c r="F589" s="27">
        <v>2.0</v>
      </c>
      <c r="G589" s="29">
        <v>45824.010416666664</v>
      </c>
      <c r="H589" s="27" t="s">
        <v>2396</v>
      </c>
      <c r="I589" s="18"/>
      <c r="J589" s="25" t="str">
        <f>IFERROR(__xludf.DUMMYFUNCTION("ARRAYFORMULA(REGEXEXTRACT(SPLIT(C589, ""&lt;br&gt;""), ""([가-힣A-Za-z]+)""))"),"솔")</f>
        <v>솔</v>
      </c>
      <c r="K589" s="26" t="str">
        <f>IFERROR(__xludf.DUMMYFUNCTION("""COMPUTED_VALUE"""),"원")</f>
        <v>원</v>
      </c>
      <c r="L589" s="26" t="str">
        <f>IFERROR(__xludf.DUMMYFUNCTION("""COMPUTED_VALUE"""),"짱구")</f>
        <v>짱구</v>
      </c>
      <c r="M589" s="26" t="str">
        <f>IFERROR(__xludf.DUMMYFUNCTION("""COMPUTED_VALUE"""),"참치")</f>
        <v>참치</v>
      </c>
      <c r="N589" s="26" t="str">
        <f>IFERROR(__xludf.DUMMYFUNCTION("ARRAYFORMULA(REGEXEXTRACT(SPLIT(E589, ""&lt;br&gt;""), ""([가-힣A-Za-z]+)""))"),"신형만")</f>
        <v>신형만</v>
      </c>
      <c r="O589" s="26" t="str">
        <f>IFERROR(__xludf.DUMMYFUNCTION("""COMPUTED_VALUE"""),"노인")</f>
        <v>노인</v>
      </c>
      <c r="P589" s="26" t="str">
        <f>IFERROR(__xludf.DUMMYFUNCTION("""COMPUTED_VALUE"""),"테리")</f>
        <v>테리</v>
      </c>
      <c r="Q589" s="26" t="str">
        <f>IFERROR(__xludf.DUMMYFUNCTION("""COMPUTED_VALUE"""),"한메")</f>
        <v>한메</v>
      </c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27" t="s">
        <v>2613</v>
      </c>
      <c r="B590" s="28" t="s">
        <v>2614</v>
      </c>
      <c r="C590" s="27" t="s">
        <v>2615</v>
      </c>
      <c r="D590" s="27">
        <v>5.0</v>
      </c>
      <c r="E590" s="27" t="s">
        <v>2616</v>
      </c>
      <c r="F590" s="27">
        <v>2.0</v>
      </c>
      <c r="G590" s="29">
        <v>45824.006944444445</v>
      </c>
      <c r="H590" s="27" t="s">
        <v>2396</v>
      </c>
      <c r="I590" s="18"/>
      <c r="J590" s="25" t="str">
        <f>IFERROR(__xludf.DUMMYFUNCTION("ARRAYFORMULA(REGEXEXTRACT(SPLIT(C590, ""&lt;br&gt;""), ""([가-힣A-Za-z]+)""))"),"짱구")</f>
        <v>짱구</v>
      </c>
      <c r="K590" s="26" t="str">
        <f>IFERROR(__xludf.DUMMYFUNCTION("""COMPUTED_VALUE"""),"원")</f>
        <v>원</v>
      </c>
      <c r="L590" s="26" t="str">
        <f>IFERROR(__xludf.DUMMYFUNCTION("""COMPUTED_VALUE"""),"한메")</f>
        <v>한메</v>
      </c>
      <c r="M590" s="26" t="str">
        <f>IFERROR(__xludf.DUMMYFUNCTION("""COMPUTED_VALUE"""),"참치")</f>
        <v>참치</v>
      </c>
      <c r="N590" s="26" t="str">
        <f>IFERROR(__xludf.DUMMYFUNCTION("ARRAYFORMULA(REGEXEXTRACT(SPLIT(E590, ""&lt;br&gt;""), ""([가-힣A-Za-z]+)""))"),"테리")</f>
        <v>테리</v>
      </c>
      <c r="O590" s="26" t="str">
        <f>IFERROR(__xludf.DUMMYFUNCTION("""COMPUTED_VALUE"""),"노인")</f>
        <v>노인</v>
      </c>
      <c r="P590" s="26" t="str">
        <f>IFERROR(__xludf.DUMMYFUNCTION("""COMPUTED_VALUE"""),"솔")</f>
        <v>솔</v>
      </c>
      <c r="Q590" s="26" t="str">
        <f>IFERROR(__xludf.DUMMYFUNCTION("""COMPUTED_VALUE"""),"신형만")</f>
        <v>신형만</v>
      </c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27" t="s">
        <v>2617</v>
      </c>
      <c r="B591" s="28" t="s">
        <v>2618</v>
      </c>
      <c r="C591" s="27" t="s">
        <v>2619</v>
      </c>
      <c r="D591" s="27">
        <v>5.0</v>
      </c>
      <c r="E591" s="27" t="s">
        <v>2620</v>
      </c>
      <c r="F591" s="27">
        <v>3.0</v>
      </c>
      <c r="G591" s="29">
        <v>45823.989583333336</v>
      </c>
      <c r="H591" s="27" t="s">
        <v>2396</v>
      </c>
      <c r="I591" s="18"/>
      <c r="J591" s="25" t="str">
        <f>IFERROR(__xludf.DUMMYFUNCTION("ARRAYFORMULA(REGEXEXTRACT(SPLIT(C591, ""&lt;br&gt;""), ""([가-힣A-Za-z]+)""))"),"테리")</f>
        <v>테리</v>
      </c>
      <c r="K591" s="26" t="str">
        <f>IFERROR(__xludf.DUMMYFUNCTION("""COMPUTED_VALUE"""),"노인")</f>
        <v>노인</v>
      </c>
      <c r="L591" s="26" t="str">
        <f>IFERROR(__xludf.DUMMYFUNCTION("""COMPUTED_VALUE"""),"솔")</f>
        <v>솔</v>
      </c>
      <c r="M591" s="26" t="str">
        <f>IFERROR(__xludf.DUMMYFUNCTION("""COMPUTED_VALUE"""),"원")</f>
        <v>원</v>
      </c>
      <c r="N591" s="26" t="str">
        <f>IFERROR(__xludf.DUMMYFUNCTION("ARRAYFORMULA(REGEXEXTRACT(SPLIT(E591, ""&lt;br&gt;""), ""([가-힣A-Za-z]+)""))"),"참치")</f>
        <v>참치</v>
      </c>
      <c r="O591" s="26" t="str">
        <f>IFERROR(__xludf.DUMMYFUNCTION("""COMPUTED_VALUE"""),"짱구")</f>
        <v>짱구</v>
      </c>
      <c r="P591" s="26" t="str">
        <f>IFERROR(__xludf.DUMMYFUNCTION("""COMPUTED_VALUE"""),"신형만")</f>
        <v>신형만</v>
      </c>
      <c r="Q591" s="26" t="str">
        <f>IFERROR(__xludf.DUMMYFUNCTION("""COMPUTED_VALUE"""),"한메")</f>
        <v>한메</v>
      </c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27" t="s">
        <v>2621</v>
      </c>
      <c r="B592" s="28" t="s">
        <v>2622</v>
      </c>
      <c r="C592" s="27" t="s">
        <v>2623</v>
      </c>
      <c r="D592" s="27">
        <v>5.0</v>
      </c>
      <c r="E592" s="27" t="s">
        <v>2624</v>
      </c>
      <c r="F592" s="27">
        <v>3.0</v>
      </c>
      <c r="G592" s="29">
        <v>45823.9875</v>
      </c>
      <c r="H592" s="27" t="s">
        <v>2396</v>
      </c>
      <c r="I592" s="18"/>
      <c r="J592" s="25" t="str">
        <f>IFERROR(__xludf.DUMMYFUNCTION("ARRAYFORMULA(REGEXEXTRACT(SPLIT(C592, ""&lt;br&gt;""), ""([가-힣A-Za-z]+)""))"),"테리")</f>
        <v>테리</v>
      </c>
      <c r="K592" s="26" t="str">
        <f>IFERROR(__xludf.DUMMYFUNCTION("""COMPUTED_VALUE"""),"원")</f>
        <v>원</v>
      </c>
      <c r="L592" s="26" t="str">
        <f>IFERROR(__xludf.DUMMYFUNCTION("""COMPUTED_VALUE"""),"짱구")</f>
        <v>짱구</v>
      </c>
      <c r="M592" s="26" t="str">
        <f>IFERROR(__xludf.DUMMYFUNCTION("""COMPUTED_VALUE"""),"신형만")</f>
        <v>신형만</v>
      </c>
      <c r="N592" s="26" t="str">
        <f>IFERROR(__xludf.DUMMYFUNCTION("ARRAYFORMULA(REGEXEXTRACT(SPLIT(E592, ""&lt;br&gt;""), ""([가-힣A-Za-z]+)""))"),"참치")</f>
        <v>참치</v>
      </c>
      <c r="O592" s="26" t="str">
        <f>IFERROR(__xludf.DUMMYFUNCTION("""COMPUTED_VALUE"""),"노인")</f>
        <v>노인</v>
      </c>
      <c r="P592" s="26" t="str">
        <f>IFERROR(__xludf.DUMMYFUNCTION("""COMPUTED_VALUE"""),"한메")</f>
        <v>한메</v>
      </c>
      <c r="Q592" s="26" t="str">
        <f>IFERROR(__xludf.DUMMYFUNCTION("""COMPUTED_VALUE"""),"솔")</f>
        <v>솔</v>
      </c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27" t="s">
        <v>2625</v>
      </c>
      <c r="B593" s="28" t="s">
        <v>2626</v>
      </c>
      <c r="C593" s="27" t="s">
        <v>2627</v>
      </c>
      <c r="D593" s="27">
        <v>5.0</v>
      </c>
      <c r="E593" s="27" t="s">
        <v>2628</v>
      </c>
      <c r="F593" s="27">
        <v>2.0</v>
      </c>
      <c r="G593" s="29">
        <v>45823.93680555555</v>
      </c>
      <c r="H593" s="27" t="s">
        <v>2396</v>
      </c>
      <c r="I593" s="18"/>
      <c r="J593" s="25" t="str">
        <f>IFERROR(__xludf.DUMMYFUNCTION("ARRAYFORMULA(REGEXEXTRACT(SPLIT(C593, ""&lt;br&gt;""), ""([가-힣A-Za-z]+)""))"),"노인")</f>
        <v>노인</v>
      </c>
      <c r="K593" s="26" t="str">
        <f>IFERROR(__xludf.DUMMYFUNCTION("""COMPUTED_VALUE"""),"짱구")</f>
        <v>짱구</v>
      </c>
      <c r="L593" s="26" t="str">
        <f>IFERROR(__xludf.DUMMYFUNCTION("""COMPUTED_VALUE"""),"원")</f>
        <v>원</v>
      </c>
      <c r="M593" s="26" t="str">
        <f>IFERROR(__xludf.DUMMYFUNCTION("""COMPUTED_VALUE"""),"한메")</f>
        <v>한메</v>
      </c>
      <c r="N593" s="26" t="str">
        <f>IFERROR(__xludf.DUMMYFUNCTION("ARRAYFORMULA(REGEXEXTRACT(SPLIT(E593, ""&lt;br&gt;""), ""([가-힣A-Za-z]+)""))"),"테리")</f>
        <v>테리</v>
      </c>
      <c r="O593" s="26" t="str">
        <f>IFERROR(__xludf.DUMMYFUNCTION("""COMPUTED_VALUE"""),"참치")</f>
        <v>참치</v>
      </c>
      <c r="P593" s="26" t="str">
        <f>IFERROR(__xludf.DUMMYFUNCTION("""COMPUTED_VALUE"""),"솔")</f>
        <v>솔</v>
      </c>
      <c r="Q593" s="26" t="str">
        <f>IFERROR(__xludf.DUMMYFUNCTION("""COMPUTED_VALUE"""),"신형만")</f>
        <v>신형만</v>
      </c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27" t="s">
        <v>2629</v>
      </c>
      <c r="B594" s="28" t="s">
        <v>2630</v>
      </c>
      <c r="C594" s="27" t="s">
        <v>2631</v>
      </c>
      <c r="D594" s="27">
        <v>5.0</v>
      </c>
      <c r="E594" s="27" t="s">
        <v>2632</v>
      </c>
      <c r="F594" s="27">
        <v>4.0</v>
      </c>
      <c r="G594" s="29">
        <v>45823.88888888889</v>
      </c>
      <c r="H594" s="27" t="s">
        <v>2396</v>
      </c>
      <c r="I594" s="18"/>
      <c r="J594" s="25" t="str">
        <f>IFERROR(__xludf.DUMMYFUNCTION("ARRAYFORMULA(REGEXEXTRACT(SPLIT(C594, ""&lt;br&gt;""), ""([가-힣A-Za-z]+)""))"),"신형만")</f>
        <v>신형만</v>
      </c>
      <c r="K594" s="26" t="str">
        <f>IFERROR(__xludf.DUMMYFUNCTION("""COMPUTED_VALUE"""),"짱구")</f>
        <v>짱구</v>
      </c>
      <c r="L594" s="26" t="str">
        <f>IFERROR(__xludf.DUMMYFUNCTION("""COMPUTED_VALUE"""),"노인")</f>
        <v>노인</v>
      </c>
      <c r="M594" s="26" t="str">
        <f>IFERROR(__xludf.DUMMYFUNCTION("""COMPUTED_VALUE"""),"원")</f>
        <v>원</v>
      </c>
      <c r="N594" s="26" t="str">
        <f>IFERROR(__xludf.DUMMYFUNCTION("ARRAYFORMULA(REGEXEXTRACT(SPLIT(E594, ""&lt;br&gt;""), ""([가-힣A-Za-z]+)""))"),"참치")</f>
        <v>참치</v>
      </c>
      <c r="O594" s="26" t="str">
        <f>IFERROR(__xludf.DUMMYFUNCTION("""COMPUTED_VALUE"""),"테리")</f>
        <v>테리</v>
      </c>
      <c r="P594" s="26" t="str">
        <f>IFERROR(__xludf.DUMMYFUNCTION("""COMPUTED_VALUE"""),"솔")</f>
        <v>솔</v>
      </c>
      <c r="Q594" s="26" t="str">
        <f>IFERROR(__xludf.DUMMYFUNCTION("""COMPUTED_VALUE"""),"한메")</f>
        <v>한메</v>
      </c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27" t="s">
        <v>2633</v>
      </c>
      <c r="B595" s="28" t="s">
        <v>2634</v>
      </c>
      <c r="C595" s="27" t="s">
        <v>2635</v>
      </c>
      <c r="D595" s="27">
        <v>5.0</v>
      </c>
      <c r="E595" s="27" t="s">
        <v>2636</v>
      </c>
      <c r="F595" s="27">
        <v>2.0</v>
      </c>
      <c r="G595" s="29">
        <v>45822.027083333334</v>
      </c>
      <c r="H595" s="27" t="s">
        <v>2396</v>
      </c>
      <c r="I595" s="18"/>
      <c r="J595" s="25" t="str">
        <f>IFERROR(__xludf.DUMMYFUNCTION("ARRAYFORMULA(REGEXEXTRACT(SPLIT(C595, ""&lt;br&gt;""), ""([가-힣A-Za-z]+)""))"),"노인")</f>
        <v>노인</v>
      </c>
      <c r="K595" s="26" t="str">
        <f>IFERROR(__xludf.DUMMYFUNCTION("""COMPUTED_VALUE"""),"원")</f>
        <v>원</v>
      </c>
      <c r="L595" s="26" t="str">
        <f>IFERROR(__xludf.DUMMYFUNCTION("""COMPUTED_VALUE"""),"짱구")</f>
        <v>짱구</v>
      </c>
      <c r="M595" s="26" t="str">
        <f>IFERROR(__xludf.DUMMYFUNCTION("""COMPUTED_VALUE"""),"참치")</f>
        <v>참치</v>
      </c>
      <c r="N595" s="26" t="str">
        <f>IFERROR(__xludf.DUMMYFUNCTION("ARRAYFORMULA(REGEXEXTRACT(SPLIT(E595, ""&lt;br&gt;""), ""([가-힣A-Za-z]+)""))"),"키키")</f>
        <v>키키</v>
      </c>
      <c r="O595" s="26" t="str">
        <f>IFERROR(__xludf.DUMMYFUNCTION("""COMPUTED_VALUE"""),"테리")</f>
        <v>테리</v>
      </c>
      <c r="P595" s="26" t="str">
        <f>IFERROR(__xludf.DUMMYFUNCTION("""COMPUTED_VALUE"""),"민우")</f>
        <v>민우</v>
      </c>
      <c r="Q595" s="26" t="str">
        <f>IFERROR(__xludf.DUMMYFUNCTION("""COMPUTED_VALUE"""),"깡패")</f>
        <v>깡패</v>
      </c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27" t="s">
        <v>2637</v>
      </c>
      <c r="B596" s="28" t="s">
        <v>2638</v>
      </c>
      <c r="C596" s="27" t="s">
        <v>2639</v>
      </c>
      <c r="D596" s="27">
        <v>5.0</v>
      </c>
      <c r="E596" s="27" t="s">
        <v>2640</v>
      </c>
      <c r="F596" s="27">
        <v>0.0</v>
      </c>
      <c r="G596" s="29">
        <v>45822.006944444445</v>
      </c>
      <c r="H596" s="27" t="s">
        <v>2396</v>
      </c>
      <c r="I596" s="18"/>
      <c r="J596" s="25" t="str">
        <f>IFERROR(__xludf.DUMMYFUNCTION("ARRAYFORMULA(REGEXEXTRACT(SPLIT(C596, ""&lt;br&gt;""), ""([가-힣A-Za-z]+)""))"),"키키")</f>
        <v>키키</v>
      </c>
      <c r="K596" s="26" t="str">
        <f>IFERROR(__xludf.DUMMYFUNCTION("""COMPUTED_VALUE"""),"테리")</f>
        <v>테리</v>
      </c>
      <c r="L596" s="26" t="str">
        <f>IFERROR(__xludf.DUMMYFUNCTION("""COMPUTED_VALUE"""),"노인")</f>
        <v>노인</v>
      </c>
      <c r="M596" s="26" t="str">
        <f>IFERROR(__xludf.DUMMYFUNCTION("""COMPUTED_VALUE"""),"원")</f>
        <v>원</v>
      </c>
      <c r="N596" s="26" t="str">
        <f>IFERROR(__xludf.DUMMYFUNCTION("ARRAYFORMULA(REGEXEXTRACT(SPLIT(E596, ""&lt;br&gt;""), ""([가-힣A-Za-z]+)""))"),"참치")</f>
        <v>참치</v>
      </c>
      <c r="O596" s="26" t="str">
        <f>IFERROR(__xludf.DUMMYFUNCTION("""COMPUTED_VALUE"""),"깡패")</f>
        <v>깡패</v>
      </c>
      <c r="P596" s="26" t="str">
        <f>IFERROR(__xludf.DUMMYFUNCTION("""COMPUTED_VALUE"""),"짱구")</f>
        <v>짱구</v>
      </c>
      <c r="Q596" s="26" t="str">
        <f>IFERROR(__xludf.DUMMYFUNCTION("""COMPUTED_VALUE"""),"민우")</f>
        <v>민우</v>
      </c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27" t="s">
        <v>2641</v>
      </c>
      <c r="B597" s="28" t="s">
        <v>2642</v>
      </c>
      <c r="C597" s="27" t="s">
        <v>2643</v>
      </c>
      <c r="D597" s="27">
        <v>5.0</v>
      </c>
      <c r="E597" s="27" t="s">
        <v>2644</v>
      </c>
      <c r="F597" s="27">
        <v>2.0</v>
      </c>
      <c r="G597" s="29">
        <v>45821.98333333333</v>
      </c>
      <c r="H597" s="27" t="s">
        <v>2396</v>
      </c>
      <c r="I597" s="18"/>
      <c r="J597" s="25" t="str">
        <f>IFERROR(__xludf.DUMMYFUNCTION("ARRAYFORMULA(REGEXEXTRACT(SPLIT(C597, ""&lt;br&gt;""), ""([가-힣A-Za-z]+)""))"),"민우")</f>
        <v>민우</v>
      </c>
      <c r="K597" s="26" t="str">
        <f>IFERROR(__xludf.DUMMYFUNCTION("""COMPUTED_VALUE"""),"원")</f>
        <v>원</v>
      </c>
      <c r="L597" s="26" t="str">
        <f>IFERROR(__xludf.DUMMYFUNCTION("""COMPUTED_VALUE"""),"참치")</f>
        <v>참치</v>
      </c>
      <c r="M597" s="26" t="str">
        <f>IFERROR(__xludf.DUMMYFUNCTION("""COMPUTED_VALUE"""),"키키")</f>
        <v>키키</v>
      </c>
      <c r="N597" s="26" t="str">
        <f>IFERROR(__xludf.DUMMYFUNCTION("ARRAYFORMULA(REGEXEXTRACT(SPLIT(E597, ""&lt;br&gt;""), ""([가-힣A-Za-z]+)""))"),"깡패")</f>
        <v>깡패</v>
      </c>
      <c r="O597" s="26" t="str">
        <f>IFERROR(__xludf.DUMMYFUNCTION("""COMPUTED_VALUE"""),"테리")</f>
        <v>테리</v>
      </c>
      <c r="P597" s="26" t="str">
        <f>IFERROR(__xludf.DUMMYFUNCTION("""COMPUTED_VALUE"""),"짱구")</f>
        <v>짱구</v>
      </c>
      <c r="Q597" s="26" t="str">
        <f>IFERROR(__xludf.DUMMYFUNCTION("""COMPUTED_VALUE"""),"한메")</f>
        <v>한메</v>
      </c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27" t="s">
        <v>2645</v>
      </c>
      <c r="B598" s="28" t="s">
        <v>2646</v>
      </c>
      <c r="C598" s="27" t="s">
        <v>2647</v>
      </c>
      <c r="D598" s="27">
        <v>5.0</v>
      </c>
      <c r="E598" s="27" t="s">
        <v>2648</v>
      </c>
      <c r="F598" s="27">
        <v>2.0</v>
      </c>
      <c r="G598" s="29">
        <v>45821.94583333333</v>
      </c>
      <c r="H598" s="27" t="s">
        <v>2396</v>
      </c>
      <c r="I598" s="18"/>
      <c r="J598" s="25" t="str">
        <f>IFERROR(__xludf.DUMMYFUNCTION("ARRAYFORMULA(REGEXEXTRACT(SPLIT(C598, ""&lt;br&gt;""), ""([가-힣A-Za-z]+)""))"),"키키")</f>
        <v>키키</v>
      </c>
      <c r="K598" s="26" t="str">
        <f>IFERROR(__xludf.DUMMYFUNCTION("""COMPUTED_VALUE"""),"짱구")</f>
        <v>짱구</v>
      </c>
      <c r="L598" s="26" t="str">
        <f>IFERROR(__xludf.DUMMYFUNCTION("""COMPUTED_VALUE"""),"한메")</f>
        <v>한메</v>
      </c>
      <c r="M598" s="26" t="str">
        <f>IFERROR(__xludf.DUMMYFUNCTION("""COMPUTED_VALUE"""),"민우")</f>
        <v>민우</v>
      </c>
      <c r="N598" s="26" t="str">
        <f>IFERROR(__xludf.DUMMYFUNCTION("ARRAYFORMULA(REGEXEXTRACT(SPLIT(E598, ""&lt;br&gt;""), ""([가-힣A-Za-z]+)""))"),"테리")</f>
        <v>테리</v>
      </c>
      <c r="O598" s="26" t="str">
        <f>IFERROR(__xludf.DUMMYFUNCTION("""COMPUTED_VALUE"""),"원")</f>
        <v>원</v>
      </c>
      <c r="P598" s="26" t="str">
        <f>IFERROR(__xludf.DUMMYFUNCTION("""COMPUTED_VALUE"""),"깡패")</f>
        <v>깡패</v>
      </c>
      <c r="Q598" s="26" t="str">
        <f>IFERROR(__xludf.DUMMYFUNCTION("""COMPUTED_VALUE"""),"참치")</f>
        <v>참치</v>
      </c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27" t="s">
        <v>2649</v>
      </c>
      <c r="B599" s="28" t="s">
        <v>2650</v>
      </c>
      <c r="C599" s="27" t="s">
        <v>2651</v>
      </c>
      <c r="D599" s="27">
        <v>5.0</v>
      </c>
      <c r="E599" s="27" t="s">
        <v>2652</v>
      </c>
      <c r="F599" s="27">
        <v>0.0</v>
      </c>
      <c r="G599" s="29">
        <v>45821.92569444444</v>
      </c>
      <c r="H599" s="27" t="s">
        <v>2396</v>
      </c>
      <c r="I599" s="18"/>
      <c r="J599" s="25" t="str">
        <f>IFERROR(__xludf.DUMMYFUNCTION("ARRAYFORMULA(REGEXEXTRACT(SPLIT(C599, ""&lt;br&gt;""), ""([가-힣A-Za-z]+)""))"),"테리")</f>
        <v>테리</v>
      </c>
      <c r="K599" s="26" t="str">
        <f>IFERROR(__xludf.DUMMYFUNCTION("""COMPUTED_VALUE"""),"짱구")</f>
        <v>짱구</v>
      </c>
      <c r="L599" s="26" t="str">
        <f>IFERROR(__xludf.DUMMYFUNCTION("""COMPUTED_VALUE"""),"키키")</f>
        <v>키키</v>
      </c>
      <c r="M599" s="26" t="str">
        <f>IFERROR(__xludf.DUMMYFUNCTION("""COMPUTED_VALUE"""),"원")</f>
        <v>원</v>
      </c>
      <c r="N599" s="26" t="str">
        <f>IFERROR(__xludf.DUMMYFUNCTION("ARRAYFORMULA(REGEXEXTRACT(SPLIT(E599, ""&lt;br&gt;""), ""([가-힣A-Za-z]+)""))"),"깡패")</f>
        <v>깡패</v>
      </c>
      <c r="O599" s="26" t="str">
        <f>IFERROR(__xludf.DUMMYFUNCTION("""COMPUTED_VALUE"""),"참치")</f>
        <v>참치</v>
      </c>
      <c r="P599" s="26" t="str">
        <f>IFERROR(__xludf.DUMMYFUNCTION("""COMPUTED_VALUE"""),"민우")</f>
        <v>민우</v>
      </c>
      <c r="Q599" s="26" t="str">
        <f>IFERROR(__xludf.DUMMYFUNCTION("""COMPUTED_VALUE"""),"한메")</f>
        <v>한메</v>
      </c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27" t="s">
        <v>2653</v>
      </c>
      <c r="B600" s="28" t="s">
        <v>2654</v>
      </c>
      <c r="C600" s="27" t="s">
        <v>2655</v>
      </c>
      <c r="D600" s="27">
        <v>5.0</v>
      </c>
      <c r="E600" s="27" t="s">
        <v>2656</v>
      </c>
      <c r="F600" s="27">
        <v>4.0</v>
      </c>
      <c r="G600" s="29">
        <v>45821.040972222225</v>
      </c>
      <c r="H600" s="27" t="s">
        <v>2396</v>
      </c>
      <c r="I600" s="18"/>
      <c r="J600" s="25" t="str">
        <f>IFERROR(__xludf.DUMMYFUNCTION("ARRAYFORMULA(REGEXEXTRACT(SPLIT(C600, ""&lt;br&gt;""), ""([가-힣A-Za-z]+)""))"),"짱구")</f>
        <v>짱구</v>
      </c>
      <c r="K600" s="26" t="str">
        <f>IFERROR(__xludf.DUMMYFUNCTION("""COMPUTED_VALUE"""),"테리")</f>
        <v>테리</v>
      </c>
      <c r="L600" s="26" t="str">
        <f>IFERROR(__xludf.DUMMYFUNCTION("""COMPUTED_VALUE"""),"노인")</f>
        <v>노인</v>
      </c>
      <c r="M600" s="26" t="str">
        <f>IFERROR(__xludf.DUMMYFUNCTION("""COMPUTED_VALUE"""),"신형만")</f>
        <v>신형만</v>
      </c>
      <c r="N600" s="26" t="str">
        <f>IFERROR(__xludf.DUMMYFUNCTION("ARRAYFORMULA(REGEXEXTRACT(SPLIT(E600, ""&lt;br&gt;""), ""([가-힣A-Za-z]+)""))"),"깡패")</f>
        <v>깡패</v>
      </c>
      <c r="O600" s="26" t="str">
        <f>IFERROR(__xludf.DUMMYFUNCTION("""COMPUTED_VALUE"""),"참치")</f>
        <v>참치</v>
      </c>
      <c r="P600" s="26" t="str">
        <f>IFERROR(__xludf.DUMMYFUNCTION("""COMPUTED_VALUE"""),"키키")</f>
        <v>키키</v>
      </c>
      <c r="Q600" s="26" t="str">
        <f>IFERROR(__xludf.DUMMYFUNCTION("""COMPUTED_VALUE"""),"원")</f>
        <v>원</v>
      </c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27" t="s">
        <v>2657</v>
      </c>
      <c r="B601" s="28" t="s">
        <v>2658</v>
      </c>
      <c r="C601" s="27" t="s">
        <v>2659</v>
      </c>
      <c r="D601" s="27">
        <v>5.0</v>
      </c>
      <c r="E601" s="27" t="s">
        <v>2660</v>
      </c>
      <c r="F601" s="27">
        <v>1.0</v>
      </c>
      <c r="G601" s="29">
        <v>45821.010416666664</v>
      </c>
      <c r="H601" s="27" t="s">
        <v>2396</v>
      </c>
      <c r="I601" s="18"/>
      <c r="J601" s="25" t="str">
        <f>IFERROR(__xludf.DUMMYFUNCTION("ARRAYFORMULA(REGEXEXTRACT(SPLIT(C601, ""&lt;br&gt;""), ""([가-힣A-Za-z]+)""))"),"테리")</f>
        <v>테리</v>
      </c>
      <c r="K601" s="26" t="str">
        <f>IFERROR(__xludf.DUMMYFUNCTION("""COMPUTED_VALUE"""),"참치")</f>
        <v>참치</v>
      </c>
      <c r="L601" s="26" t="str">
        <f>IFERROR(__xludf.DUMMYFUNCTION("""COMPUTED_VALUE"""),"짱구")</f>
        <v>짱구</v>
      </c>
      <c r="M601" s="26" t="str">
        <f>IFERROR(__xludf.DUMMYFUNCTION("""COMPUTED_VALUE"""),"깡패")</f>
        <v>깡패</v>
      </c>
      <c r="N601" s="26" t="str">
        <f>IFERROR(__xludf.DUMMYFUNCTION("ARRAYFORMULA(REGEXEXTRACT(SPLIT(E601, ""&lt;br&gt;""), ""([가-힣A-Za-z]+)""))"),"키키")</f>
        <v>키키</v>
      </c>
      <c r="O601" s="26" t="str">
        <f>IFERROR(__xludf.DUMMYFUNCTION("""COMPUTED_VALUE"""),"노인")</f>
        <v>노인</v>
      </c>
      <c r="P601" s="26" t="str">
        <f>IFERROR(__xludf.DUMMYFUNCTION("""COMPUTED_VALUE"""),"원")</f>
        <v>원</v>
      </c>
      <c r="Q601" s="26" t="str">
        <f>IFERROR(__xludf.DUMMYFUNCTION("""COMPUTED_VALUE"""),"신형만")</f>
        <v>신형만</v>
      </c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27" t="s">
        <v>2661</v>
      </c>
      <c r="B602" s="28" t="s">
        <v>2662</v>
      </c>
      <c r="C602" s="27" t="s">
        <v>2663</v>
      </c>
      <c r="D602" s="27">
        <v>5.0</v>
      </c>
      <c r="E602" s="27" t="s">
        <v>2664</v>
      </c>
      <c r="F602" s="27">
        <v>1.0</v>
      </c>
      <c r="G602" s="29">
        <v>45820.99166666667</v>
      </c>
      <c r="H602" s="27" t="s">
        <v>2396</v>
      </c>
      <c r="I602" s="18"/>
      <c r="J602" s="25" t="str">
        <f>IFERROR(__xludf.DUMMYFUNCTION("ARRAYFORMULA(REGEXEXTRACT(SPLIT(C602, ""&lt;br&gt;""), ""([가-힣A-Za-z]+)""))"),"깡패")</f>
        <v>깡패</v>
      </c>
      <c r="K602" s="26" t="str">
        <f>IFERROR(__xludf.DUMMYFUNCTION("""COMPUTED_VALUE"""),"테리")</f>
        <v>테리</v>
      </c>
      <c r="L602" s="26" t="str">
        <f>IFERROR(__xludf.DUMMYFUNCTION("""COMPUTED_VALUE"""),"노인")</f>
        <v>노인</v>
      </c>
      <c r="M602" s="26" t="str">
        <f>IFERROR(__xludf.DUMMYFUNCTION("""COMPUTED_VALUE"""),"원")</f>
        <v>원</v>
      </c>
      <c r="N602" s="26" t="str">
        <f>IFERROR(__xludf.DUMMYFUNCTION("ARRAYFORMULA(REGEXEXTRACT(SPLIT(E602, ""&lt;br&gt;""), ""([가-힣A-Za-z]+)""))"),"참치")</f>
        <v>참치</v>
      </c>
      <c r="O602" s="26" t="str">
        <f>IFERROR(__xludf.DUMMYFUNCTION("""COMPUTED_VALUE"""),"짱구")</f>
        <v>짱구</v>
      </c>
      <c r="P602" s="26" t="str">
        <f>IFERROR(__xludf.DUMMYFUNCTION("""COMPUTED_VALUE"""),"신형만")</f>
        <v>신형만</v>
      </c>
      <c r="Q602" s="26" t="str">
        <f>IFERROR(__xludf.DUMMYFUNCTION("""COMPUTED_VALUE"""),"키키")</f>
        <v>키키</v>
      </c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27" t="s">
        <v>2665</v>
      </c>
      <c r="B603" s="28" t="s">
        <v>2666</v>
      </c>
      <c r="C603" s="27" t="s">
        <v>2667</v>
      </c>
      <c r="D603" s="27">
        <v>5.0</v>
      </c>
      <c r="E603" s="27" t="s">
        <v>2668</v>
      </c>
      <c r="F603" s="27">
        <v>2.0</v>
      </c>
      <c r="G603" s="29">
        <v>45820.972916666666</v>
      </c>
      <c r="H603" s="27" t="s">
        <v>2396</v>
      </c>
      <c r="I603" s="18"/>
      <c r="J603" s="25" t="str">
        <f>IFERROR(__xludf.DUMMYFUNCTION("ARRAYFORMULA(REGEXEXTRACT(SPLIT(C603, ""&lt;br&gt;""), ""([가-힣A-Za-z]+)""))"),"신형만")</f>
        <v>신형만</v>
      </c>
      <c r="K603" s="26" t="str">
        <f>IFERROR(__xludf.DUMMYFUNCTION("""COMPUTED_VALUE"""),"깡패")</f>
        <v>깡패</v>
      </c>
      <c r="L603" s="26" t="str">
        <f>IFERROR(__xludf.DUMMYFUNCTION("""COMPUTED_VALUE"""),"노인")</f>
        <v>노인</v>
      </c>
      <c r="M603" s="26" t="str">
        <f>IFERROR(__xludf.DUMMYFUNCTION("""COMPUTED_VALUE"""),"키키")</f>
        <v>키키</v>
      </c>
      <c r="N603" s="26" t="str">
        <f>IFERROR(__xludf.DUMMYFUNCTION("ARRAYFORMULA(REGEXEXTRACT(SPLIT(E603, ""&lt;br&gt;""), ""([가-힣A-Za-z]+)""))"),"짱구")</f>
        <v>짱구</v>
      </c>
      <c r="O603" s="26" t="str">
        <f>IFERROR(__xludf.DUMMYFUNCTION("""COMPUTED_VALUE"""),"원")</f>
        <v>원</v>
      </c>
      <c r="P603" s="26" t="str">
        <f>IFERROR(__xludf.DUMMYFUNCTION("""COMPUTED_VALUE"""),"테리")</f>
        <v>테리</v>
      </c>
      <c r="Q603" s="26" t="str">
        <f>IFERROR(__xludf.DUMMYFUNCTION("""COMPUTED_VALUE"""),"참치")</f>
        <v>참치</v>
      </c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27" t="s">
        <v>2669</v>
      </c>
      <c r="B604" s="28" t="s">
        <v>2670</v>
      </c>
      <c r="C604" s="27" t="s">
        <v>2671</v>
      </c>
      <c r="D604" s="27">
        <v>5.0</v>
      </c>
      <c r="E604" s="27" t="s">
        <v>2672</v>
      </c>
      <c r="F604" s="27">
        <v>4.0</v>
      </c>
      <c r="G604" s="29">
        <v>45820.938888888886</v>
      </c>
      <c r="H604" s="27" t="s">
        <v>2396</v>
      </c>
      <c r="I604" s="18"/>
      <c r="J604" s="25" t="str">
        <f>IFERROR(__xludf.DUMMYFUNCTION("ARRAYFORMULA(REGEXEXTRACT(SPLIT(C604, ""&lt;br&gt;""), ""([가-힣A-Za-z]+)""))"),"노인")</f>
        <v>노인</v>
      </c>
      <c r="K604" s="26" t="str">
        <f>IFERROR(__xludf.DUMMYFUNCTION("""COMPUTED_VALUE"""),"원")</f>
        <v>원</v>
      </c>
      <c r="L604" s="26" t="str">
        <f>IFERROR(__xludf.DUMMYFUNCTION("""COMPUTED_VALUE"""),"테리")</f>
        <v>테리</v>
      </c>
      <c r="M604" s="26" t="str">
        <f>IFERROR(__xludf.DUMMYFUNCTION("""COMPUTED_VALUE"""),"한메")</f>
        <v>한메</v>
      </c>
      <c r="N604" s="26" t="str">
        <f>IFERROR(__xludf.DUMMYFUNCTION("ARRAYFORMULA(REGEXEXTRACT(SPLIT(E604, ""&lt;br&gt;""), ""([가-힣A-Za-z]+)""))"),"짱구")</f>
        <v>짱구</v>
      </c>
      <c r="O604" s="26" t="str">
        <f>IFERROR(__xludf.DUMMYFUNCTION("""COMPUTED_VALUE"""),"신형만")</f>
        <v>신형만</v>
      </c>
      <c r="P604" s="26" t="str">
        <f>IFERROR(__xludf.DUMMYFUNCTION("""COMPUTED_VALUE"""),"참치")</f>
        <v>참치</v>
      </c>
      <c r="Q604" s="26" t="str">
        <f>IFERROR(__xludf.DUMMYFUNCTION("""COMPUTED_VALUE"""),"깡패")</f>
        <v>깡패</v>
      </c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27" t="s">
        <v>2673</v>
      </c>
      <c r="B605" s="28" t="s">
        <v>2674</v>
      </c>
      <c r="C605" s="27" t="s">
        <v>2675</v>
      </c>
      <c r="D605" s="27">
        <v>5.0</v>
      </c>
      <c r="E605" s="27" t="s">
        <v>2676</v>
      </c>
      <c r="F605" s="27">
        <v>4.0</v>
      </c>
      <c r="G605" s="29">
        <v>45819.01666666667</v>
      </c>
      <c r="H605" s="27" t="s">
        <v>2396</v>
      </c>
      <c r="I605" s="18"/>
      <c r="J605" s="25" t="str">
        <f>IFERROR(__xludf.DUMMYFUNCTION("ARRAYFORMULA(REGEXEXTRACT(SPLIT(C605, ""&lt;br&gt;""), ""([가-힣A-Za-z]+)""))"),"한메")</f>
        <v>한메</v>
      </c>
      <c r="K605" s="26" t="str">
        <f>IFERROR(__xludf.DUMMYFUNCTION("""COMPUTED_VALUE"""),"참치")</f>
        <v>참치</v>
      </c>
      <c r="L605" s="26" t="str">
        <f>IFERROR(__xludf.DUMMYFUNCTION("""COMPUTED_VALUE"""),"신형만")</f>
        <v>신형만</v>
      </c>
      <c r="M605" s="26" t="str">
        <f>IFERROR(__xludf.DUMMYFUNCTION("""COMPUTED_VALUE"""),"원")</f>
        <v>원</v>
      </c>
      <c r="N605" s="26" t="str">
        <f>IFERROR(__xludf.DUMMYFUNCTION("ARRAYFORMULA(REGEXEXTRACT(SPLIT(E605, ""&lt;br&gt;""), ""([가-힣A-Za-z]+)""))"),"노인")</f>
        <v>노인</v>
      </c>
      <c r="O605" s="26" t="str">
        <f>IFERROR(__xludf.DUMMYFUNCTION("""COMPUTED_VALUE"""),"ACDC")</f>
        <v>ACDC</v>
      </c>
      <c r="P605" s="26" t="str">
        <f>IFERROR(__xludf.DUMMYFUNCTION("""COMPUTED_VALUE"""),"테리")</f>
        <v>테리</v>
      </c>
      <c r="Q605" s="26" t="str">
        <f>IFERROR(__xludf.DUMMYFUNCTION("""COMPUTED_VALUE"""),"깡패")</f>
        <v>깡패</v>
      </c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27" t="s">
        <v>2677</v>
      </c>
      <c r="B606" s="28" t="s">
        <v>2678</v>
      </c>
      <c r="C606" s="27" t="s">
        <v>2679</v>
      </c>
      <c r="D606" s="27">
        <v>5.0</v>
      </c>
      <c r="E606" s="27" t="s">
        <v>2680</v>
      </c>
      <c r="F606" s="27">
        <v>3.0</v>
      </c>
      <c r="G606" s="29">
        <v>45818.98888888889</v>
      </c>
      <c r="H606" s="27" t="s">
        <v>2396</v>
      </c>
      <c r="I606" s="18"/>
      <c r="J606" s="25" t="str">
        <f>IFERROR(__xludf.DUMMYFUNCTION("ARRAYFORMULA(REGEXEXTRACT(SPLIT(C606, ""&lt;br&gt;""), ""([가-힣A-Za-z]+)""))"),"테리")</f>
        <v>테리</v>
      </c>
      <c r="K606" s="26" t="str">
        <f>IFERROR(__xludf.DUMMYFUNCTION("""COMPUTED_VALUE"""),"참치")</f>
        <v>참치</v>
      </c>
      <c r="L606" s="26" t="str">
        <f>IFERROR(__xludf.DUMMYFUNCTION("""COMPUTED_VALUE"""),"ACDC")</f>
        <v>ACDC</v>
      </c>
      <c r="M606" s="26" t="str">
        <f>IFERROR(__xludf.DUMMYFUNCTION("""COMPUTED_VALUE"""),"원")</f>
        <v>원</v>
      </c>
      <c r="N606" s="26" t="str">
        <f>IFERROR(__xludf.DUMMYFUNCTION("ARRAYFORMULA(REGEXEXTRACT(SPLIT(E606, ""&lt;br&gt;""), ""([가-힣A-Za-z]+)""))"),"신형만")</f>
        <v>신형만</v>
      </c>
      <c r="O606" s="26" t="str">
        <f>IFERROR(__xludf.DUMMYFUNCTION("""COMPUTED_VALUE"""),"깡패")</f>
        <v>깡패</v>
      </c>
      <c r="P606" s="26" t="str">
        <f>IFERROR(__xludf.DUMMYFUNCTION("""COMPUTED_VALUE"""),"노인")</f>
        <v>노인</v>
      </c>
      <c r="Q606" s="26" t="str">
        <f>IFERROR(__xludf.DUMMYFUNCTION("""COMPUTED_VALUE"""),"한메")</f>
        <v>한메</v>
      </c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27" t="s">
        <v>2681</v>
      </c>
      <c r="B607" s="28" t="s">
        <v>2682</v>
      </c>
      <c r="C607" s="27" t="s">
        <v>2683</v>
      </c>
      <c r="D607" s="27">
        <v>5.0</v>
      </c>
      <c r="E607" s="27" t="s">
        <v>2684</v>
      </c>
      <c r="F607" s="27">
        <v>2.0</v>
      </c>
      <c r="G607" s="29">
        <v>45818.9625</v>
      </c>
      <c r="H607" s="27" t="s">
        <v>2396</v>
      </c>
      <c r="I607" s="18"/>
      <c r="J607" s="25" t="str">
        <f>IFERROR(__xludf.DUMMYFUNCTION("ARRAYFORMULA(REGEXEXTRACT(SPLIT(C607, ""&lt;br&gt;""), ""([가-힣A-Za-z]+)""))"),"깡패")</f>
        <v>깡패</v>
      </c>
      <c r="K607" s="26" t="str">
        <f>IFERROR(__xludf.DUMMYFUNCTION("""COMPUTED_VALUE"""),"참치")</f>
        <v>참치</v>
      </c>
      <c r="L607" s="26" t="str">
        <f>IFERROR(__xludf.DUMMYFUNCTION("""COMPUTED_VALUE"""),"원")</f>
        <v>원</v>
      </c>
      <c r="M607" s="26" t="str">
        <f>IFERROR(__xludf.DUMMYFUNCTION("""COMPUTED_VALUE"""),"신형만")</f>
        <v>신형만</v>
      </c>
      <c r="N607" s="26" t="str">
        <f>IFERROR(__xludf.DUMMYFUNCTION("ARRAYFORMULA(REGEXEXTRACT(SPLIT(E607, ""&lt;br&gt;""), ""([가-힣A-Za-z]+)""))"),"테리")</f>
        <v>테리</v>
      </c>
      <c r="O607" s="26" t="str">
        <f>IFERROR(__xludf.DUMMYFUNCTION("""COMPUTED_VALUE"""),"ACDC")</f>
        <v>ACDC</v>
      </c>
      <c r="P607" s="26" t="str">
        <f>IFERROR(__xludf.DUMMYFUNCTION("""COMPUTED_VALUE"""),"노인")</f>
        <v>노인</v>
      </c>
      <c r="Q607" s="26" t="str">
        <f>IFERROR(__xludf.DUMMYFUNCTION("""COMPUTED_VALUE"""),"한메")</f>
        <v>한메</v>
      </c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27" t="s">
        <v>2685</v>
      </c>
      <c r="B608" s="28" t="s">
        <v>2686</v>
      </c>
      <c r="C608" s="27" t="s">
        <v>2687</v>
      </c>
      <c r="D608" s="27">
        <v>5.0</v>
      </c>
      <c r="E608" s="27" t="s">
        <v>2688</v>
      </c>
      <c r="F608" s="27">
        <v>2.0</v>
      </c>
      <c r="G608" s="29">
        <v>45818.94583333333</v>
      </c>
      <c r="H608" s="27" t="s">
        <v>2396</v>
      </c>
      <c r="I608" s="18"/>
      <c r="J608" s="25" t="str">
        <f>IFERROR(__xludf.DUMMYFUNCTION("ARRAYFORMULA(REGEXEXTRACT(SPLIT(C608, ""&lt;br&gt;""), ""([가-힣A-Za-z]+)""))"),"신형만")</f>
        <v>신형만</v>
      </c>
      <c r="K608" s="26" t="str">
        <f>IFERROR(__xludf.DUMMYFUNCTION("""COMPUTED_VALUE"""),"노인")</f>
        <v>노인</v>
      </c>
      <c r="L608" s="26" t="str">
        <f>IFERROR(__xludf.DUMMYFUNCTION("""COMPUTED_VALUE"""),"테리")</f>
        <v>테리</v>
      </c>
      <c r="M608" s="26" t="str">
        <f>IFERROR(__xludf.DUMMYFUNCTION("""COMPUTED_VALUE"""),"참치")</f>
        <v>참치</v>
      </c>
      <c r="N608" s="26" t="str">
        <f>IFERROR(__xludf.DUMMYFUNCTION("ARRAYFORMULA(REGEXEXTRACT(SPLIT(E608, ""&lt;br&gt;""), ""([가-힣A-Za-z]+)""))"),"깡패")</f>
        <v>깡패</v>
      </c>
      <c r="O608" s="26" t="str">
        <f>IFERROR(__xludf.DUMMYFUNCTION("""COMPUTED_VALUE"""),"원")</f>
        <v>원</v>
      </c>
      <c r="P608" s="26" t="str">
        <f>IFERROR(__xludf.DUMMYFUNCTION("""COMPUTED_VALUE"""),"ACDC")</f>
        <v>ACDC</v>
      </c>
      <c r="Q608" s="26" t="str">
        <f>IFERROR(__xludf.DUMMYFUNCTION("""COMPUTED_VALUE"""),"한메")</f>
        <v>한메</v>
      </c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27" t="s">
        <v>2689</v>
      </c>
      <c r="B609" s="28" t="s">
        <v>2690</v>
      </c>
      <c r="C609" s="27" t="s">
        <v>2691</v>
      </c>
      <c r="D609" s="27">
        <v>5.0</v>
      </c>
      <c r="E609" s="27" t="s">
        <v>2692</v>
      </c>
      <c r="F609" s="27">
        <v>2.0</v>
      </c>
      <c r="G609" s="29">
        <v>45818.92361111111</v>
      </c>
      <c r="H609" s="27" t="s">
        <v>2396</v>
      </c>
      <c r="I609" s="18"/>
      <c r="J609" s="25" t="str">
        <f>IFERROR(__xludf.DUMMYFUNCTION("ARRAYFORMULA(REGEXEXTRACT(SPLIT(C609, ""&lt;br&gt;""), ""([가-힣A-Za-z]+)""))"),"테리")</f>
        <v>테리</v>
      </c>
      <c r="K609" s="26" t="str">
        <f>IFERROR(__xludf.DUMMYFUNCTION("""COMPUTED_VALUE"""),"노인")</f>
        <v>노인</v>
      </c>
      <c r="L609" s="26" t="str">
        <f>IFERROR(__xludf.DUMMYFUNCTION("""COMPUTED_VALUE"""),"깡패")</f>
        <v>깡패</v>
      </c>
      <c r="M609" s="26" t="str">
        <f>IFERROR(__xludf.DUMMYFUNCTION("""COMPUTED_VALUE"""),"한메")</f>
        <v>한메</v>
      </c>
      <c r="N609" s="26" t="str">
        <f>IFERROR(__xludf.DUMMYFUNCTION("ARRAYFORMULA(REGEXEXTRACT(SPLIT(E609, ""&lt;br&gt;""), ""([가-힣A-Za-z]+)""))"),"원")</f>
        <v>원</v>
      </c>
      <c r="O609" s="26" t="str">
        <f>IFERROR(__xludf.DUMMYFUNCTION("""COMPUTED_VALUE"""),"ACDC")</f>
        <v>ACDC</v>
      </c>
      <c r="P609" s="26" t="str">
        <f>IFERROR(__xludf.DUMMYFUNCTION("""COMPUTED_VALUE"""),"신형만")</f>
        <v>신형만</v>
      </c>
      <c r="Q609" s="26" t="str">
        <f>IFERROR(__xludf.DUMMYFUNCTION("""COMPUTED_VALUE"""),"참치")</f>
        <v>참치</v>
      </c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27" t="s">
        <v>2693</v>
      </c>
      <c r="B610" s="28" t="s">
        <v>2694</v>
      </c>
      <c r="C610" s="27" t="s">
        <v>2695</v>
      </c>
      <c r="D610" s="27">
        <v>5.0</v>
      </c>
      <c r="E610" s="27" t="s">
        <v>2696</v>
      </c>
      <c r="F610" s="27">
        <v>1.0</v>
      </c>
      <c r="G610" s="29">
        <v>45817.993055555555</v>
      </c>
      <c r="H610" s="27" t="s">
        <v>2396</v>
      </c>
      <c r="I610" s="18"/>
      <c r="J610" s="25" t="str">
        <f>IFERROR(__xludf.DUMMYFUNCTION("ARRAYFORMULA(REGEXEXTRACT(SPLIT(C610, ""&lt;br&gt;""), ""([가-힣A-Za-z]+)""))"),"깡패")</f>
        <v>깡패</v>
      </c>
      <c r="K610" s="26" t="str">
        <f>IFERROR(__xludf.DUMMYFUNCTION("""COMPUTED_VALUE"""),"노인")</f>
        <v>노인</v>
      </c>
      <c r="L610" s="26" t="str">
        <f>IFERROR(__xludf.DUMMYFUNCTION("""COMPUTED_VALUE"""),"테리")</f>
        <v>테리</v>
      </c>
      <c r="M610" s="26" t="str">
        <f>IFERROR(__xludf.DUMMYFUNCTION("""COMPUTED_VALUE"""),"참치")</f>
        <v>참치</v>
      </c>
      <c r="N610" s="26" t="str">
        <f>IFERROR(__xludf.DUMMYFUNCTION("ARRAYFORMULA(REGEXEXTRACT(SPLIT(E610, ""&lt;br&gt;""), ""([가-힣A-Za-z]+)""))"),"ACDC")</f>
        <v>ACDC</v>
      </c>
      <c r="O610" s="26" t="str">
        <f>IFERROR(__xludf.DUMMYFUNCTION("""COMPUTED_VALUE"""),"신형만")</f>
        <v>신형만</v>
      </c>
      <c r="P610" s="26" t="str">
        <f>IFERROR(__xludf.DUMMYFUNCTION("""COMPUTED_VALUE"""),"한메")</f>
        <v>한메</v>
      </c>
      <c r="Q610" s="26" t="str">
        <f>IFERROR(__xludf.DUMMYFUNCTION("""COMPUTED_VALUE"""),"원")</f>
        <v>원</v>
      </c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27" t="s">
        <v>2697</v>
      </c>
      <c r="B611" s="28" t="s">
        <v>2694</v>
      </c>
      <c r="C611" s="27" t="s">
        <v>2698</v>
      </c>
      <c r="D611" s="27">
        <v>5.0</v>
      </c>
      <c r="E611" s="27" t="s">
        <v>2699</v>
      </c>
      <c r="F611" s="27">
        <v>3.0</v>
      </c>
      <c r="G611" s="29">
        <v>45817.99236111111</v>
      </c>
      <c r="H611" s="27" t="s">
        <v>2396</v>
      </c>
      <c r="I611" s="18"/>
      <c r="J611" s="25" t="str">
        <f>IFERROR(__xludf.DUMMYFUNCTION("ARRAYFORMULA(REGEXEXTRACT(SPLIT(C611, ""&lt;br&gt;""), ""([가-힣A-Za-z]+)""))"),"테리")</f>
        <v>테리</v>
      </c>
      <c r="K611" s="26" t="str">
        <f>IFERROR(__xludf.DUMMYFUNCTION("""COMPUTED_VALUE"""),"ACDC")</f>
        <v>ACDC</v>
      </c>
      <c r="L611" s="26" t="str">
        <f>IFERROR(__xludf.DUMMYFUNCTION("""COMPUTED_VALUE"""),"참치")</f>
        <v>참치</v>
      </c>
      <c r="M611" s="26" t="str">
        <f>IFERROR(__xludf.DUMMYFUNCTION("""COMPUTED_VALUE"""),"원")</f>
        <v>원</v>
      </c>
      <c r="N611" s="26" t="str">
        <f>IFERROR(__xludf.DUMMYFUNCTION("ARRAYFORMULA(REGEXEXTRACT(SPLIT(E611, ""&lt;br&gt;""), ""([가-힣A-Za-z]+)""))"),"신형만")</f>
        <v>신형만</v>
      </c>
      <c r="O611" s="26" t="str">
        <f>IFERROR(__xludf.DUMMYFUNCTION("""COMPUTED_VALUE"""),"노인")</f>
        <v>노인</v>
      </c>
      <c r="P611" s="26" t="str">
        <f>IFERROR(__xludf.DUMMYFUNCTION("""COMPUTED_VALUE"""),"깡패")</f>
        <v>깡패</v>
      </c>
      <c r="Q611" s="26" t="str">
        <f>IFERROR(__xludf.DUMMYFUNCTION("""COMPUTED_VALUE"""),"한메")</f>
        <v>한메</v>
      </c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27" t="s">
        <v>2700</v>
      </c>
      <c r="B612" s="28" t="s">
        <v>2701</v>
      </c>
      <c r="C612" s="27" t="s">
        <v>2702</v>
      </c>
      <c r="D612" s="27">
        <v>5.0</v>
      </c>
      <c r="E612" s="27" t="s">
        <v>2703</v>
      </c>
      <c r="F612" s="27">
        <v>3.0</v>
      </c>
      <c r="G612" s="29">
        <v>45817.99166666667</v>
      </c>
      <c r="H612" s="27" t="s">
        <v>2396</v>
      </c>
      <c r="I612" s="18"/>
      <c r="J612" s="25" t="str">
        <f>IFERROR(__xludf.DUMMYFUNCTION("ARRAYFORMULA(REGEXEXTRACT(SPLIT(C612, ""&lt;br&gt;""), ""([가-힣A-Za-z]+)""))"),"원")</f>
        <v>원</v>
      </c>
      <c r="K612" s="26" t="str">
        <f>IFERROR(__xludf.DUMMYFUNCTION("""COMPUTED_VALUE"""),"깡패")</f>
        <v>깡패</v>
      </c>
      <c r="L612" s="26" t="str">
        <f>IFERROR(__xludf.DUMMYFUNCTION("""COMPUTED_VALUE"""),"참치")</f>
        <v>참치</v>
      </c>
      <c r="M612" s="26" t="str">
        <f>IFERROR(__xludf.DUMMYFUNCTION("""COMPUTED_VALUE"""),"한메")</f>
        <v>한메</v>
      </c>
      <c r="N612" s="26" t="str">
        <f>IFERROR(__xludf.DUMMYFUNCTION("ARRAYFORMULA(REGEXEXTRACT(SPLIT(E612, ""&lt;br&gt;""), ""([가-힣A-Za-z]+)""))"),"테리")</f>
        <v>테리</v>
      </c>
      <c r="O612" s="26" t="str">
        <f>IFERROR(__xludf.DUMMYFUNCTION("""COMPUTED_VALUE"""),"ACDC")</f>
        <v>ACDC</v>
      </c>
      <c r="P612" s="26" t="str">
        <f>IFERROR(__xludf.DUMMYFUNCTION("""COMPUTED_VALUE"""),"노인")</f>
        <v>노인</v>
      </c>
      <c r="Q612" s="26" t="str">
        <f>IFERROR(__xludf.DUMMYFUNCTION("""COMPUTED_VALUE"""),"신형만")</f>
        <v>신형만</v>
      </c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27" t="s">
        <v>2704</v>
      </c>
      <c r="B613" s="28" t="s">
        <v>2705</v>
      </c>
      <c r="C613" s="27" t="s">
        <v>2706</v>
      </c>
      <c r="D613" s="27">
        <v>5.0</v>
      </c>
      <c r="E613" s="27" t="s">
        <v>2707</v>
      </c>
      <c r="F613" s="27">
        <v>2.0</v>
      </c>
      <c r="G613" s="29">
        <v>45817.925</v>
      </c>
      <c r="H613" s="27" t="s">
        <v>2396</v>
      </c>
      <c r="I613" s="18"/>
      <c r="J613" s="25" t="str">
        <f>IFERROR(__xludf.DUMMYFUNCTION("ARRAYFORMULA(REGEXEXTRACT(SPLIT(C613, ""&lt;br&gt;""), ""([가-힣A-Za-z]+)""))"),"테리")</f>
        <v>테리</v>
      </c>
      <c r="K613" s="26" t="str">
        <f>IFERROR(__xludf.DUMMYFUNCTION("""COMPUTED_VALUE"""),"ACDC")</f>
        <v>ACDC</v>
      </c>
      <c r="L613" s="26" t="str">
        <f>IFERROR(__xludf.DUMMYFUNCTION("""COMPUTED_VALUE"""),"원")</f>
        <v>원</v>
      </c>
      <c r="M613" s="26" t="str">
        <f>IFERROR(__xludf.DUMMYFUNCTION("""COMPUTED_VALUE"""),"참치")</f>
        <v>참치</v>
      </c>
      <c r="N613" s="26" t="str">
        <f>IFERROR(__xludf.DUMMYFUNCTION("ARRAYFORMULA(REGEXEXTRACT(SPLIT(E613, ""&lt;br&gt;""), ""([가-힣A-Za-z]+)""))"),"노인")</f>
        <v>노인</v>
      </c>
      <c r="O613" s="26" t="str">
        <f>IFERROR(__xludf.DUMMYFUNCTION("""COMPUTED_VALUE"""),"깡패")</f>
        <v>깡패</v>
      </c>
      <c r="P613" s="26" t="str">
        <f>IFERROR(__xludf.DUMMYFUNCTION("""COMPUTED_VALUE"""),"신형만")</f>
        <v>신형만</v>
      </c>
      <c r="Q613" s="26" t="str">
        <f>IFERROR(__xludf.DUMMYFUNCTION("""COMPUTED_VALUE"""),"한메")</f>
        <v>한메</v>
      </c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27" t="s">
        <v>2708</v>
      </c>
      <c r="B614" s="28" t="s">
        <v>2709</v>
      </c>
      <c r="C614" s="27" t="s">
        <v>2710</v>
      </c>
      <c r="D614" s="27">
        <v>5.0</v>
      </c>
      <c r="E614" s="27" t="s">
        <v>2711</v>
      </c>
      <c r="F614" s="27">
        <v>3.0</v>
      </c>
      <c r="G614" s="29">
        <v>45817.03472222222</v>
      </c>
      <c r="H614" s="27" t="s">
        <v>2396</v>
      </c>
      <c r="I614" s="18"/>
      <c r="J614" s="25" t="str">
        <f>IFERROR(__xludf.DUMMYFUNCTION("ARRAYFORMULA(REGEXEXTRACT(SPLIT(C614, ""&lt;br&gt;""), ""([가-힣A-Za-z]+)""))"),"테리")</f>
        <v>테리</v>
      </c>
      <c r="K614" s="26" t="str">
        <f>IFERROR(__xludf.DUMMYFUNCTION("""COMPUTED_VALUE"""),"원")</f>
        <v>원</v>
      </c>
      <c r="L614" s="26" t="str">
        <f>IFERROR(__xludf.DUMMYFUNCTION("""COMPUTED_VALUE"""),"한메")</f>
        <v>한메</v>
      </c>
      <c r="M614" s="26" t="str">
        <f>IFERROR(__xludf.DUMMYFUNCTION("""COMPUTED_VALUE"""),"참치")</f>
        <v>참치</v>
      </c>
      <c r="N614" s="26" t="str">
        <f>IFERROR(__xludf.DUMMYFUNCTION("ARRAYFORMULA(REGEXEXTRACT(SPLIT(E614, ""&lt;br&gt;""), ""([가-힣A-Za-z]+)""))"),"깡패")</f>
        <v>깡패</v>
      </c>
      <c r="O614" s="26" t="str">
        <f>IFERROR(__xludf.DUMMYFUNCTION("""COMPUTED_VALUE"""),"넘버")</f>
        <v>넘버</v>
      </c>
      <c r="P614" s="26" t="str">
        <f>IFERROR(__xludf.DUMMYFUNCTION("""COMPUTED_VALUE"""),"ACDC")</f>
        <v>ACDC</v>
      </c>
      <c r="Q614" s="26" t="str">
        <f>IFERROR(__xludf.DUMMYFUNCTION("""COMPUTED_VALUE"""),"신형만")</f>
        <v>신형만</v>
      </c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27" t="s">
        <v>2712</v>
      </c>
      <c r="B615" s="28" t="s">
        <v>2713</v>
      </c>
      <c r="C615" s="27" t="s">
        <v>2714</v>
      </c>
      <c r="D615" s="27">
        <v>5.0</v>
      </c>
      <c r="E615" s="27" t="s">
        <v>2715</v>
      </c>
      <c r="F615" s="27">
        <v>3.0</v>
      </c>
      <c r="G615" s="29">
        <v>45817.00625</v>
      </c>
      <c r="H615" s="27" t="s">
        <v>2396</v>
      </c>
      <c r="I615" s="18"/>
      <c r="J615" s="25" t="str">
        <f>IFERROR(__xludf.DUMMYFUNCTION("ARRAYFORMULA(REGEXEXTRACT(SPLIT(C615, ""&lt;br&gt;""), ""([가-힣A-Za-z]+)""))"),"신형만")</f>
        <v>신형만</v>
      </c>
      <c r="K615" s="26" t="str">
        <f>IFERROR(__xludf.DUMMYFUNCTION("""COMPUTED_VALUE"""),"넘버")</f>
        <v>넘버</v>
      </c>
      <c r="L615" s="26" t="str">
        <f>IFERROR(__xludf.DUMMYFUNCTION("""COMPUTED_VALUE"""),"참치")</f>
        <v>참치</v>
      </c>
      <c r="M615" s="26" t="str">
        <f>IFERROR(__xludf.DUMMYFUNCTION("""COMPUTED_VALUE"""),"한메")</f>
        <v>한메</v>
      </c>
      <c r="N615" s="26" t="str">
        <f>IFERROR(__xludf.DUMMYFUNCTION("ARRAYFORMULA(REGEXEXTRACT(SPLIT(E615, ""&lt;br&gt;""), ""([가-힣A-Za-z]+)""))"),"테리")</f>
        <v>테리</v>
      </c>
      <c r="O615" s="26" t="str">
        <f>IFERROR(__xludf.DUMMYFUNCTION("""COMPUTED_VALUE"""),"원")</f>
        <v>원</v>
      </c>
      <c r="P615" s="26" t="str">
        <f>IFERROR(__xludf.DUMMYFUNCTION("""COMPUTED_VALUE"""),"ACDC")</f>
        <v>ACDC</v>
      </c>
      <c r="Q615" s="26" t="str">
        <f>IFERROR(__xludf.DUMMYFUNCTION("""COMPUTED_VALUE"""),"깡패")</f>
        <v>깡패</v>
      </c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27" t="s">
        <v>2716</v>
      </c>
      <c r="B616" s="28" t="s">
        <v>2717</v>
      </c>
      <c r="C616" s="27" t="s">
        <v>2718</v>
      </c>
      <c r="D616" s="27">
        <v>5.0</v>
      </c>
      <c r="E616" s="27" t="s">
        <v>2719</v>
      </c>
      <c r="F616" s="27">
        <v>1.0</v>
      </c>
      <c r="G616" s="29">
        <v>45816.978472222225</v>
      </c>
      <c r="H616" s="27" t="s">
        <v>2396</v>
      </c>
      <c r="I616" s="18"/>
      <c r="J616" s="25" t="str">
        <f>IFERROR(__xludf.DUMMYFUNCTION("ARRAYFORMULA(REGEXEXTRACT(SPLIT(C616, ""&lt;br&gt;""), ""([가-힣A-Za-z]+)""))"),"원")</f>
        <v>원</v>
      </c>
      <c r="K616" s="26" t="str">
        <f>IFERROR(__xludf.DUMMYFUNCTION("""COMPUTED_VALUE"""),"참치")</f>
        <v>참치</v>
      </c>
      <c r="L616" s="26" t="str">
        <f>IFERROR(__xludf.DUMMYFUNCTION("""COMPUTED_VALUE"""),"깡패")</f>
        <v>깡패</v>
      </c>
      <c r="M616" s="26" t="str">
        <f>IFERROR(__xludf.DUMMYFUNCTION("""COMPUTED_VALUE"""),"한메")</f>
        <v>한메</v>
      </c>
      <c r="N616" s="26" t="str">
        <f>IFERROR(__xludf.DUMMYFUNCTION("ARRAYFORMULA(REGEXEXTRACT(SPLIT(E616, ""&lt;br&gt;""), ""([가-힣A-Za-z]+)""))"),"ACDC")</f>
        <v>ACDC</v>
      </c>
      <c r="O616" s="26" t="str">
        <f>IFERROR(__xludf.DUMMYFUNCTION("""COMPUTED_VALUE"""),"노인")</f>
        <v>노인</v>
      </c>
      <c r="P616" s="26" t="str">
        <f>IFERROR(__xludf.DUMMYFUNCTION("""COMPUTED_VALUE"""),"테리")</f>
        <v>테리</v>
      </c>
      <c r="Q616" s="26" t="str">
        <f>IFERROR(__xludf.DUMMYFUNCTION("""COMPUTED_VALUE"""),"신형만")</f>
        <v>신형만</v>
      </c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27" t="s">
        <v>2720</v>
      </c>
      <c r="B617" s="28" t="s">
        <v>2721</v>
      </c>
      <c r="C617" s="27" t="s">
        <v>2722</v>
      </c>
      <c r="D617" s="27">
        <v>5.0</v>
      </c>
      <c r="E617" s="27" t="s">
        <v>2723</v>
      </c>
      <c r="F617" s="27">
        <v>4.0</v>
      </c>
      <c r="G617" s="29">
        <v>45816.94861111111</v>
      </c>
      <c r="H617" s="27" t="s">
        <v>2396</v>
      </c>
      <c r="I617" s="18"/>
      <c r="J617" s="25" t="str">
        <f>IFERROR(__xludf.DUMMYFUNCTION("ARRAYFORMULA(REGEXEXTRACT(SPLIT(C617, ""&lt;br&gt;""), ""([가-힣A-Za-z]+)""))"),"원")</f>
        <v>원</v>
      </c>
      <c r="K617" s="26" t="str">
        <f>IFERROR(__xludf.DUMMYFUNCTION("""COMPUTED_VALUE"""),"테리")</f>
        <v>테리</v>
      </c>
      <c r="L617" s="26" t="str">
        <f>IFERROR(__xludf.DUMMYFUNCTION("""COMPUTED_VALUE"""),"노인")</f>
        <v>노인</v>
      </c>
      <c r="M617" s="26" t="str">
        <f>IFERROR(__xludf.DUMMYFUNCTION("""COMPUTED_VALUE"""),"한메")</f>
        <v>한메</v>
      </c>
      <c r="N617" s="26" t="str">
        <f>IFERROR(__xludf.DUMMYFUNCTION("ARRAYFORMULA(REGEXEXTRACT(SPLIT(E617, ""&lt;br&gt;""), ""([가-힣A-Za-z]+)""))"),"참치")</f>
        <v>참치</v>
      </c>
      <c r="O617" s="26" t="str">
        <f>IFERROR(__xludf.DUMMYFUNCTION("""COMPUTED_VALUE"""),"깡패")</f>
        <v>깡패</v>
      </c>
      <c r="P617" s="26" t="str">
        <f>IFERROR(__xludf.DUMMYFUNCTION("""COMPUTED_VALUE"""),"ACDC")</f>
        <v>ACDC</v>
      </c>
      <c r="Q617" s="26" t="str">
        <f>IFERROR(__xludf.DUMMYFUNCTION("""COMPUTED_VALUE"""),"신형만")</f>
        <v>신형만</v>
      </c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27" t="s">
        <v>2724</v>
      </c>
      <c r="B618" s="28" t="s">
        <v>2725</v>
      </c>
      <c r="C618" s="27" t="s">
        <v>2726</v>
      </c>
      <c r="D618" s="27">
        <v>5.0</v>
      </c>
      <c r="E618" s="27" t="s">
        <v>2727</v>
      </c>
      <c r="F618" s="27">
        <v>2.0</v>
      </c>
      <c r="G618" s="29">
        <v>45816.92083333333</v>
      </c>
      <c r="H618" s="27" t="s">
        <v>2396</v>
      </c>
      <c r="I618" s="18"/>
      <c r="J618" s="25" t="str">
        <f>IFERROR(__xludf.DUMMYFUNCTION("ARRAYFORMULA(REGEXEXTRACT(SPLIT(C618, ""&lt;br&gt;""), ""([가-힣A-Za-z]+)""))"),"신형만")</f>
        <v>신형만</v>
      </c>
      <c r="K618" s="26" t="str">
        <f>IFERROR(__xludf.DUMMYFUNCTION("""COMPUTED_VALUE"""),"ACDC")</f>
        <v>ACDC</v>
      </c>
      <c r="L618" s="26" t="str">
        <f>IFERROR(__xludf.DUMMYFUNCTION("""COMPUTED_VALUE"""),"노인")</f>
        <v>노인</v>
      </c>
      <c r="M618" s="26" t="str">
        <f>IFERROR(__xludf.DUMMYFUNCTION("""COMPUTED_VALUE"""),"원")</f>
        <v>원</v>
      </c>
      <c r="N618" s="26" t="str">
        <f>IFERROR(__xludf.DUMMYFUNCTION("ARRAYFORMULA(REGEXEXTRACT(SPLIT(E618, ""&lt;br&gt;""), ""([가-힣A-Za-z]+)""))"),"오크")</f>
        <v>오크</v>
      </c>
      <c r="O618" s="26" t="str">
        <f>IFERROR(__xludf.DUMMYFUNCTION("""COMPUTED_VALUE"""),"테리")</f>
        <v>테리</v>
      </c>
      <c r="P618" s="26" t="str">
        <f>IFERROR(__xludf.DUMMYFUNCTION("""COMPUTED_VALUE"""),"한메")</f>
        <v>한메</v>
      </c>
      <c r="Q618" s="26" t="str">
        <f>IFERROR(__xludf.DUMMYFUNCTION("""COMPUTED_VALUE"""),"깡패")</f>
        <v>깡패</v>
      </c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27" t="s">
        <v>2728</v>
      </c>
      <c r="B619" s="28" t="s">
        <v>2729</v>
      </c>
      <c r="C619" s="27" t="s">
        <v>2730</v>
      </c>
      <c r="D619" s="27">
        <v>5.0</v>
      </c>
      <c r="E619" s="27" t="s">
        <v>2731</v>
      </c>
      <c r="F619" s="27">
        <v>2.0</v>
      </c>
      <c r="G619" s="29">
        <v>45813.013194444444</v>
      </c>
      <c r="H619" s="27" t="s">
        <v>2396</v>
      </c>
      <c r="I619" s="18"/>
      <c r="J619" s="25" t="str">
        <f>IFERROR(__xludf.DUMMYFUNCTION("ARRAYFORMULA(REGEXEXTRACT(SPLIT(C619, ""&lt;br&gt;""), ""([가-힣A-Za-z]+)""))"),"테리")</f>
        <v>테리</v>
      </c>
      <c r="K619" s="26" t="str">
        <f>IFERROR(__xludf.DUMMYFUNCTION("""COMPUTED_VALUE"""),"재명")</f>
        <v>재명</v>
      </c>
      <c r="L619" s="26" t="str">
        <f>IFERROR(__xludf.DUMMYFUNCTION("""COMPUTED_VALUE"""),"신형만")</f>
        <v>신형만</v>
      </c>
      <c r="M619" s="26" t="str">
        <f>IFERROR(__xludf.DUMMYFUNCTION("""COMPUTED_VALUE"""),"깡패")</f>
        <v>깡패</v>
      </c>
      <c r="N619" s="26" t="str">
        <f>IFERROR(__xludf.DUMMYFUNCTION("ARRAYFORMULA(REGEXEXTRACT(SPLIT(E619, ""&lt;br&gt;""), ""([가-힣A-Za-z]+)""))"),"노인")</f>
        <v>노인</v>
      </c>
      <c r="O619" s="26" t="str">
        <f>IFERROR(__xludf.DUMMYFUNCTION("""COMPUTED_VALUE"""),"터미")</f>
        <v>터미</v>
      </c>
      <c r="P619" s="26" t="str">
        <f>IFERROR(__xludf.DUMMYFUNCTION("""COMPUTED_VALUE"""),"유즈")</f>
        <v>유즈</v>
      </c>
      <c r="Q619" s="26" t="str">
        <f>IFERROR(__xludf.DUMMYFUNCTION("""COMPUTED_VALUE"""),"한메")</f>
        <v>한메</v>
      </c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27" t="s">
        <v>2732</v>
      </c>
      <c r="B620" s="28" t="s">
        <v>2733</v>
      </c>
      <c r="C620" s="27" t="s">
        <v>2734</v>
      </c>
      <c r="D620" s="27">
        <v>5.0</v>
      </c>
      <c r="E620" s="27" t="s">
        <v>2735</v>
      </c>
      <c r="F620" s="27">
        <v>2.0</v>
      </c>
      <c r="G620" s="29">
        <v>45812.99166666667</v>
      </c>
      <c r="H620" s="27" t="s">
        <v>2396</v>
      </c>
      <c r="I620" s="18"/>
      <c r="J620" s="25" t="str">
        <f>IFERROR(__xludf.DUMMYFUNCTION("ARRAYFORMULA(REGEXEXTRACT(SPLIT(C620, ""&lt;br&gt;""), ""([가-힣A-Za-z]+)""))"),"신형만")</f>
        <v>신형만</v>
      </c>
      <c r="K620" s="26" t="str">
        <f>IFERROR(__xludf.DUMMYFUNCTION("""COMPUTED_VALUE"""),"유즈")</f>
        <v>유즈</v>
      </c>
      <c r="L620" s="26" t="str">
        <f>IFERROR(__xludf.DUMMYFUNCTION("""COMPUTED_VALUE"""),"노인")</f>
        <v>노인</v>
      </c>
      <c r="M620" s="26" t="str">
        <f>IFERROR(__xludf.DUMMYFUNCTION("""COMPUTED_VALUE"""),"깡패")</f>
        <v>깡패</v>
      </c>
      <c r="N620" s="26" t="str">
        <f>IFERROR(__xludf.DUMMYFUNCTION("ARRAYFORMULA(REGEXEXTRACT(SPLIT(E620, ""&lt;br&gt;""), ""([가-힣A-Za-z]+)""))"),"터미")</f>
        <v>터미</v>
      </c>
      <c r="O620" s="26" t="str">
        <f>IFERROR(__xludf.DUMMYFUNCTION("""COMPUTED_VALUE"""),"재명")</f>
        <v>재명</v>
      </c>
      <c r="P620" s="26" t="str">
        <f>IFERROR(__xludf.DUMMYFUNCTION("""COMPUTED_VALUE"""),"테리")</f>
        <v>테리</v>
      </c>
      <c r="Q620" s="26" t="str">
        <f>IFERROR(__xludf.DUMMYFUNCTION("""COMPUTED_VALUE"""),"한메")</f>
        <v>한메</v>
      </c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27" t="s">
        <v>2736</v>
      </c>
      <c r="B621" s="28" t="s">
        <v>2737</v>
      </c>
      <c r="C621" s="27" t="s">
        <v>2738</v>
      </c>
      <c r="D621" s="27">
        <v>5.0</v>
      </c>
      <c r="E621" s="27" t="s">
        <v>2739</v>
      </c>
      <c r="F621" s="27">
        <v>2.0</v>
      </c>
      <c r="G621" s="29">
        <v>45812.970138888886</v>
      </c>
      <c r="H621" s="27" t="s">
        <v>2396</v>
      </c>
      <c r="I621" s="18"/>
      <c r="J621" s="25" t="str">
        <f>IFERROR(__xludf.DUMMYFUNCTION("ARRAYFORMULA(REGEXEXTRACT(SPLIT(C621, ""&lt;br&gt;""), ""([가-힣A-Za-z]+)""))"),"한메")</f>
        <v>한메</v>
      </c>
      <c r="K621" s="26" t="str">
        <f>IFERROR(__xludf.DUMMYFUNCTION("""COMPUTED_VALUE"""),"노인")</f>
        <v>노인</v>
      </c>
      <c r="L621" s="26" t="str">
        <f>IFERROR(__xludf.DUMMYFUNCTION("""COMPUTED_VALUE"""),"깡패")</f>
        <v>깡패</v>
      </c>
      <c r="M621" s="26" t="str">
        <f>IFERROR(__xludf.DUMMYFUNCTION("""COMPUTED_VALUE"""),"터미")</f>
        <v>터미</v>
      </c>
      <c r="N621" s="26" t="str">
        <f>IFERROR(__xludf.DUMMYFUNCTION("ARRAYFORMULA(REGEXEXTRACT(SPLIT(E621, ""&lt;br&gt;""), ""([가-힣A-Za-z]+)""))"),"재명")</f>
        <v>재명</v>
      </c>
      <c r="O621" s="26" t="str">
        <f>IFERROR(__xludf.DUMMYFUNCTION("""COMPUTED_VALUE"""),"테리")</f>
        <v>테리</v>
      </c>
      <c r="P621" s="26" t="str">
        <f>IFERROR(__xludf.DUMMYFUNCTION("""COMPUTED_VALUE"""),"유즈")</f>
        <v>유즈</v>
      </c>
      <c r="Q621" s="26" t="str">
        <f>IFERROR(__xludf.DUMMYFUNCTION("""COMPUTED_VALUE"""),"신형만")</f>
        <v>신형만</v>
      </c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27" t="s">
        <v>2740</v>
      </c>
      <c r="B622" s="28" t="s">
        <v>2741</v>
      </c>
      <c r="C622" s="27" t="s">
        <v>2742</v>
      </c>
      <c r="D622" s="27">
        <v>5.0</v>
      </c>
      <c r="E622" s="27" t="s">
        <v>2743</v>
      </c>
      <c r="F622" s="27">
        <v>1.0</v>
      </c>
      <c r="G622" s="29">
        <v>45812.95208333333</v>
      </c>
      <c r="H622" s="27" t="s">
        <v>2396</v>
      </c>
      <c r="I622" s="18"/>
      <c r="J622" s="25" t="str">
        <f>IFERROR(__xludf.DUMMYFUNCTION("ARRAYFORMULA(REGEXEXTRACT(SPLIT(C622, ""&lt;br&gt;""), ""([가-힣A-Za-z]+)""))"),"한메")</f>
        <v>한메</v>
      </c>
      <c r="K622" s="26" t="str">
        <f>IFERROR(__xludf.DUMMYFUNCTION("""COMPUTED_VALUE"""),"테리")</f>
        <v>테리</v>
      </c>
      <c r="L622" s="26" t="str">
        <f>IFERROR(__xludf.DUMMYFUNCTION("""COMPUTED_VALUE"""),"재명")</f>
        <v>재명</v>
      </c>
      <c r="M622" s="26" t="str">
        <f>IFERROR(__xludf.DUMMYFUNCTION("""COMPUTED_VALUE"""),"터미")</f>
        <v>터미</v>
      </c>
      <c r="N622" s="26" t="str">
        <f>IFERROR(__xludf.DUMMYFUNCTION("ARRAYFORMULA(REGEXEXTRACT(SPLIT(E622, ""&lt;br&gt;""), ""([가-힣A-Za-z]+)""))"),"신형만")</f>
        <v>신형만</v>
      </c>
      <c r="O622" s="26" t="str">
        <f>IFERROR(__xludf.DUMMYFUNCTION("""COMPUTED_VALUE"""),"깡패")</f>
        <v>깡패</v>
      </c>
      <c r="P622" s="26" t="str">
        <f>IFERROR(__xludf.DUMMYFUNCTION("""COMPUTED_VALUE"""),"유즈")</f>
        <v>유즈</v>
      </c>
      <c r="Q622" s="26" t="str">
        <f>IFERROR(__xludf.DUMMYFUNCTION("""COMPUTED_VALUE"""),"노인")</f>
        <v>노인</v>
      </c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27" t="s">
        <v>2744</v>
      </c>
      <c r="B623" s="28" t="s">
        <v>2745</v>
      </c>
      <c r="C623" s="27" t="s">
        <v>2746</v>
      </c>
      <c r="D623" s="27">
        <v>5.0</v>
      </c>
      <c r="E623" s="27" t="s">
        <v>2747</v>
      </c>
      <c r="F623" s="27">
        <v>2.0</v>
      </c>
      <c r="G623" s="29">
        <v>45811.02013888889</v>
      </c>
      <c r="H623" s="27" t="s">
        <v>2396</v>
      </c>
      <c r="I623" s="18"/>
      <c r="J623" s="25" t="str">
        <f>IFERROR(__xludf.DUMMYFUNCTION("ARRAYFORMULA(REGEXEXTRACT(SPLIT(C623, ""&lt;br&gt;""), ""([가-힣A-Za-z]+)""))"),"신형만")</f>
        <v>신형만</v>
      </c>
      <c r="K623" s="26" t="str">
        <f>IFERROR(__xludf.DUMMYFUNCTION("""COMPUTED_VALUE"""),"ACDC")</f>
        <v>ACDC</v>
      </c>
      <c r="L623" s="26" t="str">
        <f>IFERROR(__xludf.DUMMYFUNCTION("""COMPUTED_VALUE"""),"테리")</f>
        <v>테리</v>
      </c>
      <c r="M623" s="26" t="str">
        <f>IFERROR(__xludf.DUMMYFUNCTION("""COMPUTED_VALUE"""),"터미")</f>
        <v>터미</v>
      </c>
      <c r="N623" s="26" t="str">
        <f>IFERROR(__xludf.DUMMYFUNCTION("ARRAYFORMULA(REGEXEXTRACT(SPLIT(E623, ""&lt;br&gt;""), ""([가-힣A-Za-z]+)""))"),"짱구")</f>
        <v>짱구</v>
      </c>
      <c r="O623" s="26" t="str">
        <f>IFERROR(__xludf.DUMMYFUNCTION("""COMPUTED_VALUE"""),"랄")</f>
        <v>랄</v>
      </c>
      <c r="P623" s="26" t="str">
        <f>IFERROR(__xludf.DUMMYFUNCTION("""COMPUTED_VALUE"""),"노인")</f>
        <v>노인</v>
      </c>
      <c r="Q623" s="26" t="str">
        <f>IFERROR(__xludf.DUMMYFUNCTION("""COMPUTED_VALUE"""),"한메")</f>
        <v>한메</v>
      </c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27" t="s">
        <v>2748</v>
      </c>
      <c r="B624" s="28" t="s">
        <v>2749</v>
      </c>
      <c r="C624" s="27" t="s">
        <v>2750</v>
      </c>
      <c r="D624" s="27">
        <v>5.0</v>
      </c>
      <c r="E624" s="27" t="s">
        <v>2751</v>
      </c>
      <c r="F624" s="27">
        <v>3.0</v>
      </c>
      <c r="G624" s="29">
        <v>45811.01736111111</v>
      </c>
      <c r="H624" s="27" t="s">
        <v>2396</v>
      </c>
      <c r="I624" s="18"/>
      <c r="J624" s="25" t="str">
        <f>IFERROR(__xludf.DUMMYFUNCTION("ARRAYFORMULA(REGEXEXTRACT(SPLIT(C624, ""&lt;br&gt;""), ""([가-힣A-Za-z]+)""))"),"노인")</f>
        <v>노인</v>
      </c>
      <c r="K624" s="26" t="str">
        <f>IFERROR(__xludf.DUMMYFUNCTION("""COMPUTED_VALUE"""),"테리")</f>
        <v>테리</v>
      </c>
      <c r="L624" s="26" t="str">
        <f>IFERROR(__xludf.DUMMYFUNCTION("""COMPUTED_VALUE"""),"강화")</f>
        <v>강화</v>
      </c>
      <c r="M624" s="26" t="str">
        <f>IFERROR(__xludf.DUMMYFUNCTION("""COMPUTED_VALUE"""),"터미")</f>
        <v>터미</v>
      </c>
      <c r="N624" s="26" t="str">
        <f>IFERROR(__xludf.DUMMYFUNCTION("ARRAYFORMULA(REGEXEXTRACT(SPLIT(E624, ""&lt;br&gt;""), ""([가-힣A-Za-z]+)""))"),"랄")</f>
        <v>랄</v>
      </c>
      <c r="O624" s="26" t="str">
        <f>IFERROR(__xludf.DUMMYFUNCTION("""COMPUTED_VALUE"""),"ACDC")</f>
        <v>ACDC</v>
      </c>
      <c r="P624" s="26" t="str">
        <f>IFERROR(__xludf.DUMMYFUNCTION("""COMPUTED_VALUE"""),"신형만")</f>
        <v>신형만</v>
      </c>
      <c r="Q624" s="26" t="str">
        <f>IFERROR(__xludf.DUMMYFUNCTION("""COMPUTED_VALUE"""),"한메")</f>
        <v>한메</v>
      </c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27" t="s">
        <v>2752</v>
      </c>
      <c r="B625" s="28" t="s">
        <v>2753</v>
      </c>
      <c r="C625" s="27" t="s">
        <v>2754</v>
      </c>
      <c r="D625" s="27">
        <v>5.0</v>
      </c>
      <c r="E625" s="27" t="s">
        <v>2755</v>
      </c>
      <c r="F625" s="27">
        <v>2.0</v>
      </c>
      <c r="G625" s="29">
        <v>45811.01666666667</v>
      </c>
      <c r="H625" s="27" t="s">
        <v>2396</v>
      </c>
      <c r="I625" s="18"/>
      <c r="J625" s="25" t="str">
        <f>IFERROR(__xludf.DUMMYFUNCTION("ARRAYFORMULA(REGEXEXTRACT(SPLIT(C625, ""&lt;br&gt;""), ""([가-힣A-Za-z]+)""))"),"신형만")</f>
        <v>신형만</v>
      </c>
      <c r="K625" s="26" t="str">
        <f>IFERROR(__xludf.DUMMYFUNCTION("""COMPUTED_VALUE"""),"테리")</f>
        <v>테리</v>
      </c>
      <c r="L625" s="26" t="str">
        <f>IFERROR(__xludf.DUMMYFUNCTION("""COMPUTED_VALUE"""),"한메")</f>
        <v>한메</v>
      </c>
      <c r="M625" s="26" t="str">
        <f>IFERROR(__xludf.DUMMYFUNCTION("""COMPUTED_VALUE"""),"강화")</f>
        <v>강화</v>
      </c>
      <c r="N625" s="26" t="str">
        <f>IFERROR(__xludf.DUMMYFUNCTION("ARRAYFORMULA(REGEXEXTRACT(SPLIT(E625, ""&lt;br&gt;""), ""([가-힣A-Za-z]+)""))"),"랄")</f>
        <v>랄</v>
      </c>
      <c r="O625" s="26" t="str">
        <f>IFERROR(__xludf.DUMMYFUNCTION("""COMPUTED_VALUE"""),"노인")</f>
        <v>노인</v>
      </c>
      <c r="P625" s="26" t="str">
        <f>IFERROR(__xludf.DUMMYFUNCTION("""COMPUTED_VALUE"""),"ACDC")</f>
        <v>ACDC</v>
      </c>
      <c r="Q625" s="26" t="str">
        <f>IFERROR(__xludf.DUMMYFUNCTION("""COMPUTED_VALUE"""),"터미")</f>
        <v>터미</v>
      </c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27" t="s">
        <v>2756</v>
      </c>
      <c r="B626" s="28" t="s">
        <v>2757</v>
      </c>
      <c r="C626" s="27" t="s">
        <v>2758</v>
      </c>
      <c r="D626" s="27">
        <v>5.0</v>
      </c>
      <c r="E626" s="27" t="s">
        <v>2759</v>
      </c>
      <c r="F626" s="27">
        <v>4.0</v>
      </c>
      <c r="G626" s="29">
        <v>45808.05972222222</v>
      </c>
      <c r="H626" s="27" t="s">
        <v>2396</v>
      </c>
      <c r="I626" s="18"/>
      <c r="J626" s="25" t="str">
        <f>IFERROR(__xludf.DUMMYFUNCTION("ARRAYFORMULA(REGEXEXTRACT(SPLIT(C626, ""&lt;br&gt;""), ""([가-힣A-Za-z]+)""))"),"키키")</f>
        <v>키키</v>
      </c>
      <c r="K626" s="26" t="str">
        <f>IFERROR(__xludf.DUMMYFUNCTION("""COMPUTED_VALUE"""),"테리")</f>
        <v>테리</v>
      </c>
      <c r="L626" s="26" t="str">
        <f>IFERROR(__xludf.DUMMYFUNCTION("""COMPUTED_VALUE"""),"참치")</f>
        <v>참치</v>
      </c>
      <c r="M626" s="26" t="str">
        <f>IFERROR(__xludf.DUMMYFUNCTION("""COMPUTED_VALUE"""),"깡패")</f>
        <v>깡패</v>
      </c>
      <c r="N626" s="26" t="str">
        <f>IFERROR(__xludf.DUMMYFUNCTION("ARRAYFORMULA(REGEXEXTRACT(SPLIT(E626, ""&lt;br&gt;""), ""([가-힣A-Za-z]+)""))"),"민우")</f>
        <v>민우</v>
      </c>
      <c r="O626" s="26" t="str">
        <f>IFERROR(__xludf.DUMMYFUNCTION("""COMPUTED_VALUE"""),"짱구")</f>
        <v>짱구</v>
      </c>
      <c r="P626" s="26" t="str">
        <f>IFERROR(__xludf.DUMMYFUNCTION("""COMPUTED_VALUE"""),"원")</f>
        <v>원</v>
      </c>
      <c r="Q626" s="26" t="str">
        <f>IFERROR(__xludf.DUMMYFUNCTION("""COMPUTED_VALUE"""),"신형만")</f>
        <v>신형만</v>
      </c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27" t="s">
        <v>2760</v>
      </c>
      <c r="B627" s="28" t="s">
        <v>2761</v>
      </c>
      <c r="C627" s="27" t="s">
        <v>2762</v>
      </c>
      <c r="D627" s="27">
        <v>5.0</v>
      </c>
      <c r="E627" s="27" t="s">
        <v>2763</v>
      </c>
      <c r="F627" s="27">
        <v>4.0</v>
      </c>
      <c r="G627" s="29">
        <v>45808.02847222222</v>
      </c>
      <c r="H627" s="27" t="s">
        <v>2396</v>
      </c>
      <c r="I627" s="18"/>
      <c r="J627" s="25" t="str">
        <f>IFERROR(__xludf.DUMMYFUNCTION("ARRAYFORMULA(REGEXEXTRACT(SPLIT(C627, ""&lt;br&gt;""), ""([가-힣A-Za-z]+)""))"),"신형만")</f>
        <v>신형만</v>
      </c>
      <c r="K627" s="26" t="str">
        <f>IFERROR(__xludf.DUMMYFUNCTION("""COMPUTED_VALUE"""),"짱구")</f>
        <v>짱구</v>
      </c>
      <c r="L627" s="26" t="str">
        <f>IFERROR(__xludf.DUMMYFUNCTION("""COMPUTED_VALUE"""),"깡패")</f>
        <v>깡패</v>
      </c>
      <c r="M627" s="26" t="str">
        <f>IFERROR(__xludf.DUMMYFUNCTION("""COMPUTED_VALUE"""),"원")</f>
        <v>원</v>
      </c>
      <c r="N627" s="26" t="str">
        <f>IFERROR(__xludf.DUMMYFUNCTION("ARRAYFORMULA(REGEXEXTRACT(SPLIT(E627, ""&lt;br&gt;""), ""([가-힣A-Za-z]+)""))"),"테리")</f>
        <v>테리</v>
      </c>
      <c r="O627" s="26" t="str">
        <f>IFERROR(__xludf.DUMMYFUNCTION("""COMPUTED_VALUE"""),"노인")</f>
        <v>노인</v>
      </c>
      <c r="P627" s="26" t="str">
        <f>IFERROR(__xludf.DUMMYFUNCTION("""COMPUTED_VALUE"""),"민우")</f>
        <v>민우</v>
      </c>
      <c r="Q627" s="26" t="str">
        <f>IFERROR(__xludf.DUMMYFUNCTION("""COMPUTED_VALUE"""),"참치")</f>
        <v>참치</v>
      </c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27" t="s">
        <v>2764</v>
      </c>
      <c r="B628" s="28" t="s">
        <v>2765</v>
      </c>
      <c r="C628" s="27" t="s">
        <v>2766</v>
      </c>
      <c r="D628" s="27">
        <v>5.0</v>
      </c>
      <c r="E628" s="27" t="s">
        <v>2767</v>
      </c>
      <c r="F628" s="27">
        <v>4.0</v>
      </c>
      <c r="G628" s="29">
        <v>45808.02013888889</v>
      </c>
      <c r="H628" s="27" t="s">
        <v>2396</v>
      </c>
      <c r="I628" s="18"/>
      <c r="J628" s="25" t="str">
        <f>IFERROR(__xludf.DUMMYFUNCTION("ARRAYFORMULA(REGEXEXTRACT(SPLIT(C628, ""&lt;br&gt;""), ""([가-힣A-Za-z]+)""))"),"깡패")</f>
        <v>깡패</v>
      </c>
      <c r="K628" s="26" t="str">
        <f>IFERROR(__xludf.DUMMYFUNCTION("""COMPUTED_VALUE"""),"짱구")</f>
        <v>짱구</v>
      </c>
      <c r="L628" s="26" t="str">
        <f>IFERROR(__xludf.DUMMYFUNCTION("""COMPUTED_VALUE"""),"테리")</f>
        <v>테리</v>
      </c>
      <c r="M628" s="26" t="str">
        <f>IFERROR(__xludf.DUMMYFUNCTION("""COMPUTED_VALUE"""),"민우")</f>
        <v>민우</v>
      </c>
      <c r="N628" s="26" t="str">
        <f>IFERROR(__xludf.DUMMYFUNCTION("ARRAYFORMULA(REGEXEXTRACT(SPLIT(E628, ""&lt;br&gt;""), ""([가-힣A-Za-z]+)""))"),"노인")</f>
        <v>노인</v>
      </c>
      <c r="O628" s="26" t="str">
        <f>IFERROR(__xludf.DUMMYFUNCTION("""COMPUTED_VALUE"""),"원")</f>
        <v>원</v>
      </c>
      <c r="P628" s="26" t="str">
        <f>IFERROR(__xludf.DUMMYFUNCTION("""COMPUTED_VALUE"""),"참치")</f>
        <v>참치</v>
      </c>
      <c r="Q628" s="26" t="str">
        <f>IFERROR(__xludf.DUMMYFUNCTION("""COMPUTED_VALUE"""),"신형만")</f>
        <v>신형만</v>
      </c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27" t="s">
        <v>2768</v>
      </c>
      <c r="B629" s="28" t="s">
        <v>2769</v>
      </c>
      <c r="C629" s="27" t="s">
        <v>2770</v>
      </c>
      <c r="D629" s="27">
        <v>5.0</v>
      </c>
      <c r="E629" s="27" t="s">
        <v>2771</v>
      </c>
      <c r="F629" s="27">
        <v>1.0</v>
      </c>
      <c r="G629" s="29">
        <v>45807.941666666666</v>
      </c>
      <c r="H629" s="27" t="s">
        <v>2396</v>
      </c>
      <c r="I629" s="18"/>
      <c r="J629" s="25" t="str">
        <f>IFERROR(__xludf.DUMMYFUNCTION("ARRAYFORMULA(REGEXEXTRACT(SPLIT(C629, ""&lt;br&gt;""), ""([가-힣A-Za-z]+)""))"),"민우")</f>
        <v>민우</v>
      </c>
      <c r="K629" s="26" t="str">
        <f>IFERROR(__xludf.DUMMYFUNCTION("""COMPUTED_VALUE"""),"짱구")</f>
        <v>짱구</v>
      </c>
      <c r="L629" s="26" t="str">
        <f>IFERROR(__xludf.DUMMYFUNCTION("""COMPUTED_VALUE"""),"테리")</f>
        <v>테리</v>
      </c>
      <c r="M629" s="26" t="str">
        <f>IFERROR(__xludf.DUMMYFUNCTION("""COMPUTED_VALUE"""),"깡패")</f>
        <v>깡패</v>
      </c>
      <c r="N629" s="26" t="str">
        <f>IFERROR(__xludf.DUMMYFUNCTION("ARRAYFORMULA(REGEXEXTRACT(SPLIT(E629, ""&lt;br&gt;""), ""([가-힣A-Za-z]+)""))"),"노인")</f>
        <v>노인</v>
      </c>
      <c r="O629" s="26" t="str">
        <f>IFERROR(__xludf.DUMMYFUNCTION("""COMPUTED_VALUE"""),"원")</f>
        <v>원</v>
      </c>
      <c r="P629" s="26" t="str">
        <f>IFERROR(__xludf.DUMMYFUNCTION("""COMPUTED_VALUE"""),"신형만")</f>
        <v>신형만</v>
      </c>
      <c r="Q629" s="26" t="str">
        <f>IFERROR(__xludf.DUMMYFUNCTION("""COMPUTED_VALUE"""),"참치")</f>
        <v>참치</v>
      </c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27" t="s">
        <v>2772</v>
      </c>
      <c r="B630" s="28" t="s">
        <v>2773</v>
      </c>
      <c r="C630" s="27" t="s">
        <v>2774</v>
      </c>
      <c r="D630" s="27">
        <v>5.0</v>
      </c>
      <c r="E630" s="27" t="s">
        <v>2775</v>
      </c>
      <c r="F630" s="27">
        <v>2.0</v>
      </c>
      <c r="G630" s="29">
        <v>45801.14027777778</v>
      </c>
      <c r="H630" s="27" t="s">
        <v>2396</v>
      </c>
      <c r="I630" s="18"/>
      <c r="J630" s="25" t="str">
        <f>IFERROR(__xludf.DUMMYFUNCTION("ARRAYFORMULA(REGEXEXTRACT(SPLIT(C630, ""&lt;br&gt;""), ""([가-힣A-Za-z]+)""))"),"신형만")</f>
        <v>신형만</v>
      </c>
      <c r="K630" s="26" t="str">
        <f>IFERROR(__xludf.DUMMYFUNCTION("""COMPUTED_VALUE"""),"참치")</f>
        <v>참치</v>
      </c>
      <c r="L630" s="26" t="str">
        <f>IFERROR(__xludf.DUMMYFUNCTION("""COMPUTED_VALUE"""),"테리")</f>
        <v>테리</v>
      </c>
      <c r="M630" s="26" t="str">
        <f>IFERROR(__xludf.DUMMYFUNCTION("""COMPUTED_VALUE"""),"키키")</f>
        <v>키키</v>
      </c>
      <c r="N630" s="26" t="str">
        <f>IFERROR(__xludf.DUMMYFUNCTION("ARRAYFORMULA(REGEXEXTRACT(SPLIT(E630, ""&lt;br&gt;""), ""([가-힣A-Za-z]+)""))"),"노인")</f>
        <v>노인</v>
      </c>
      <c r="O630" s="26" t="str">
        <f>IFERROR(__xludf.DUMMYFUNCTION("""COMPUTED_VALUE"""),"넘버")</f>
        <v>넘버</v>
      </c>
      <c r="P630" s="26" t="str">
        <f>IFERROR(__xludf.DUMMYFUNCTION("""COMPUTED_VALUE"""),"원")</f>
        <v>원</v>
      </c>
      <c r="Q630" s="26" t="str">
        <f>IFERROR(__xludf.DUMMYFUNCTION("""COMPUTED_VALUE"""),"깡패")</f>
        <v>깡패</v>
      </c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27" t="s">
        <v>2776</v>
      </c>
      <c r="B631" s="28" t="s">
        <v>2777</v>
      </c>
      <c r="C631" s="27" t="s">
        <v>2778</v>
      </c>
      <c r="D631" s="27">
        <v>5.0</v>
      </c>
      <c r="E631" s="27" t="s">
        <v>2779</v>
      </c>
      <c r="F631" s="27">
        <v>3.0</v>
      </c>
      <c r="G631" s="29">
        <v>45801.10763888889</v>
      </c>
      <c r="H631" s="27" t="s">
        <v>2396</v>
      </c>
      <c r="I631" s="18"/>
      <c r="J631" s="25" t="str">
        <f>IFERROR(__xludf.DUMMYFUNCTION("ARRAYFORMULA(REGEXEXTRACT(SPLIT(C631, ""&lt;br&gt;""), ""([가-힣A-Za-z]+)""))"),"넘버")</f>
        <v>넘버</v>
      </c>
      <c r="K631" s="26" t="str">
        <f>IFERROR(__xludf.DUMMYFUNCTION("""COMPUTED_VALUE"""),"원")</f>
        <v>원</v>
      </c>
      <c r="L631" s="26" t="str">
        <f>IFERROR(__xludf.DUMMYFUNCTION("""COMPUTED_VALUE"""),"신형만")</f>
        <v>신형만</v>
      </c>
      <c r="M631" s="26" t="str">
        <f>IFERROR(__xludf.DUMMYFUNCTION("""COMPUTED_VALUE"""),"참치")</f>
        <v>참치</v>
      </c>
      <c r="N631" s="26" t="str">
        <f>IFERROR(__xludf.DUMMYFUNCTION("ARRAYFORMULA(REGEXEXTRACT(SPLIT(E631, ""&lt;br&gt;""), ""([가-힣A-Za-z]+)""))"),"테리")</f>
        <v>테리</v>
      </c>
      <c r="O631" s="26" t="str">
        <f>IFERROR(__xludf.DUMMYFUNCTION("""COMPUTED_VALUE"""),"노인")</f>
        <v>노인</v>
      </c>
      <c r="P631" s="26" t="str">
        <f>IFERROR(__xludf.DUMMYFUNCTION("""COMPUTED_VALUE"""),"깡패")</f>
        <v>깡패</v>
      </c>
      <c r="Q631" s="26" t="str">
        <f>IFERROR(__xludf.DUMMYFUNCTION("""COMPUTED_VALUE"""),"키키")</f>
        <v>키키</v>
      </c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27" t="s">
        <v>2780</v>
      </c>
      <c r="B632" s="28" t="s">
        <v>2781</v>
      </c>
      <c r="C632" s="27" t="s">
        <v>2782</v>
      </c>
      <c r="D632" s="27">
        <v>5.0</v>
      </c>
      <c r="E632" s="27" t="s">
        <v>2783</v>
      </c>
      <c r="F632" s="27">
        <v>2.0</v>
      </c>
      <c r="G632" s="29">
        <v>45801.08541666667</v>
      </c>
      <c r="H632" s="27" t="s">
        <v>2396</v>
      </c>
      <c r="I632" s="18"/>
      <c r="J632" s="25" t="str">
        <f>IFERROR(__xludf.DUMMYFUNCTION("ARRAYFORMULA(REGEXEXTRACT(SPLIT(C632, ""&lt;br&gt;""), ""([가-힣A-Za-z]+)""))"),"원")</f>
        <v>원</v>
      </c>
      <c r="K632" s="26" t="str">
        <f>IFERROR(__xludf.DUMMYFUNCTION("""COMPUTED_VALUE"""),"노인")</f>
        <v>노인</v>
      </c>
      <c r="L632" s="26" t="str">
        <f>IFERROR(__xludf.DUMMYFUNCTION("""COMPUTED_VALUE"""),"신형만")</f>
        <v>신형만</v>
      </c>
      <c r="M632" s="26" t="str">
        <f>IFERROR(__xludf.DUMMYFUNCTION("""COMPUTED_VALUE"""),"솔")</f>
        <v>솔</v>
      </c>
      <c r="N632" s="26" t="str">
        <f>IFERROR(__xludf.DUMMYFUNCTION("ARRAYFORMULA(REGEXEXTRACT(SPLIT(E632, ""&lt;br&gt;""), ""([가-힣A-Za-z]+)""))"),"넘버")</f>
        <v>넘버</v>
      </c>
      <c r="O632" s="26" t="str">
        <f>IFERROR(__xludf.DUMMYFUNCTION("""COMPUTED_VALUE"""),"테리")</f>
        <v>테리</v>
      </c>
      <c r="P632" s="26" t="str">
        <f>IFERROR(__xludf.DUMMYFUNCTION("""COMPUTED_VALUE"""),"키키")</f>
        <v>키키</v>
      </c>
      <c r="Q632" s="26" t="str">
        <f>IFERROR(__xludf.DUMMYFUNCTION("""COMPUTED_VALUE"""),"참치")</f>
        <v>참치</v>
      </c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27" t="s">
        <v>2784</v>
      </c>
      <c r="B633" s="28" t="s">
        <v>2785</v>
      </c>
      <c r="C633" s="27" t="s">
        <v>2786</v>
      </c>
      <c r="D633" s="27">
        <v>5.0</v>
      </c>
      <c r="E633" s="27" t="s">
        <v>2787</v>
      </c>
      <c r="F633" s="27">
        <v>0.0</v>
      </c>
      <c r="G633" s="29">
        <v>45801.00347222222</v>
      </c>
      <c r="H633" s="27" t="s">
        <v>2396</v>
      </c>
      <c r="I633" s="18"/>
      <c r="J633" s="25" t="str">
        <f>IFERROR(__xludf.DUMMYFUNCTION("ARRAYFORMULA(REGEXEXTRACT(SPLIT(C633, ""&lt;br&gt;""), ""([가-힣A-Za-z]+)""))"),"한메")</f>
        <v>한메</v>
      </c>
      <c r="K633" s="26" t="str">
        <f>IFERROR(__xludf.DUMMYFUNCTION("""COMPUTED_VALUE"""),"참치")</f>
        <v>참치</v>
      </c>
      <c r="L633" s="26" t="str">
        <f>IFERROR(__xludf.DUMMYFUNCTION("""COMPUTED_VALUE"""),"원")</f>
        <v>원</v>
      </c>
      <c r="M633" s="26" t="str">
        <f>IFERROR(__xludf.DUMMYFUNCTION("""COMPUTED_VALUE"""),"솔")</f>
        <v>솔</v>
      </c>
      <c r="N633" s="26" t="str">
        <f>IFERROR(__xludf.DUMMYFUNCTION("ARRAYFORMULA(REGEXEXTRACT(SPLIT(E633, ""&lt;br&gt;""), ""([가-힣A-Za-z]+)""))"),"깡패")</f>
        <v>깡패</v>
      </c>
      <c r="O633" s="26" t="str">
        <f>IFERROR(__xludf.DUMMYFUNCTION("""COMPUTED_VALUE"""),"테리")</f>
        <v>테리</v>
      </c>
      <c r="P633" s="26" t="str">
        <f>IFERROR(__xludf.DUMMYFUNCTION("""COMPUTED_VALUE"""),"짱구")</f>
        <v>짱구</v>
      </c>
      <c r="Q633" s="26" t="str">
        <f>IFERROR(__xludf.DUMMYFUNCTION("""COMPUTED_VALUE"""),"신형만")</f>
        <v>신형만</v>
      </c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27" t="s">
        <v>2788</v>
      </c>
      <c r="B634" s="28" t="s">
        <v>2789</v>
      </c>
      <c r="C634" s="27" t="s">
        <v>2790</v>
      </c>
      <c r="D634" s="27">
        <v>5.0</v>
      </c>
      <c r="E634" s="27" t="s">
        <v>2791</v>
      </c>
      <c r="F634" s="27">
        <v>4.0</v>
      </c>
      <c r="G634" s="29">
        <v>45800.98472222222</v>
      </c>
      <c r="H634" s="27" t="s">
        <v>2396</v>
      </c>
      <c r="I634" s="18"/>
      <c r="J634" s="25" t="str">
        <f>IFERROR(__xludf.DUMMYFUNCTION("ARRAYFORMULA(REGEXEXTRACT(SPLIT(C634, ""&lt;br&gt;""), ""([가-힣A-Za-z]+)""))"),"신형만")</f>
        <v>신형만</v>
      </c>
      <c r="K634" s="26" t="str">
        <f>IFERROR(__xludf.DUMMYFUNCTION("""COMPUTED_VALUE"""),"참치")</f>
        <v>참치</v>
      </c>
      <c r="L634" s="26" t="str">
        <f>IFERROR(__xludf.DUMMYFUNCTION("""COMPUTED_VALUE"""),"깡패")</f>
        <v>깡패</v>
      </c>
      <c r="M634" s="26" t="str">
        <f>IFERROR(__xludf.DUMMYFUNCTION("""COMPUTED_VALUE"""),"원")</f>
        <v>원</v>
      </c>
      <c r="N634" s="26" t="str">
        <f>IFERROR(__xludf.DUMMYFUNCTION("ARRAYFORMULA(REGEXEXTRACT(SPLIT(E634, ""&lt;br&gt;""), ""([가-힣A-Za-z]+)""))"),"테리")</f>
        <v>테리</v>
      </c>
      <c r="O634" s="26" t="str">
        <f>IFERROR(__xludf.DUMMYFUNCTION("""COMPUTED_VALUE"""),"짱구")</f>
        <v>짱구</v>
      </c>
      <c r="P634" s="26" t="str">
        <f>IFERROR(__xludf.DUMMYFUNCTION("""COMPUTED_VALUE"""),"한메")</f>
        <v>한메</v>
      </c>
      <c r="Q634" s="26" t="str">
        <f>IFERROR(__xludf.DUMMYFUNCTION("""COMPUTED_VALUE"""),"솔")</f>
        <v>솔</v>
      </c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27" t="s">
        <v>2792</v>
      </c>
      <c r="B635" s="28" t="s">
        <v>2793</v>
      </c>
      <c r="C635" s="27" t="s">
        <v>2794</v>
      </c>
      <c r="D635" s="27">
        <v>5.0</v>
      </c>
      <c r="E635" s="27" t="s">
        <v>2795</v>
      </c>
      <c r="F635" s="27">
        <v>4.0</v>
      </c>
      <c r="G635" s="29">
        <v>45800.958333333336</v>
      </c>
      <c r="H635" s="27" t="s">
        <v>2396</v>
      </c>
      <c r="I635" s="18"/>
      <c r="J635" s="25" t="str">
        <f>IFERROR(__xludf.DUMMYFUNCTION("ARRAYFORMULA(REGEXEXTRACT(SPLIT(C635, ""&lt;br&gt;""), ""([가-힣A-Za-z]+)""))"),"한메")</f>
        <v>한메</v>
      </c>
      <c r="K635" s="26" t="str">
        <f>IFERROR(__xludf.DUMMYFUNCTION("""COMPUTED_VALUE"""),"참치")</f>
        <v>참치</v>
      </c>
      <c r="L635" s="26" t="str">
        <f>IFERROR(__xludf.DUMMYFUNCTION("""COMPUTED_VALUE"""),"테리")</f>
        <v>테리</v>
      </c>
      <c r="M635" s="26" t="str">
        <f>IFERROR(__xludf.DUMMYFUNCTION("""COMPUTED_VALUE"""),"깡패")</f>
        <v>깡패</v>
      </c>
      <c r="N635" s="26" t="str">
        <f>IFERROR(__xludf.DUMMYFUNCTION("ARRAYFORMULA(REGEXEXTRACT(SPLIT(E635, ""&lt;br&gt;""), ""([가-힣A-Za-z]+)""))"),"솔")</f>
        <v>솔</v>
      </c>
      <c r="O635" s="26" t="str">
        <f>IFERROR(__xludf.DUMMYFUNCTION("""COMPUTED_VALUE"""),"원")</f>
        <v>원</v>
      </c>
      <c r="P635" s="26" t="str">
        <f>IFERROR(__xludf.DUMMYFUNCTION("""COMPUTED_VALUE"""),"짱구")</f>
        <v>짱구</v>
      </c>
      <c r="Q635" s="26" t="str">
        <f>IFERROR(__xludf.DUMMYFUNCTION("""COMPUTED_VALUE"""),"신형만")</f>
        <v>신형만</v>
      </c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27" t="s">
        <v>2796</v>
      </c>
      <c r="B636" s="28" t="s">
        <v>2797</v>
      </c>
      <c r="C636" s="27" t="s">
        <v>2798</v>
      </c>
      <c r="D636" s="27">
        <v>5.0</v>
      </c>
      <c r="E636" s="27" t="s">
        <v>2799</v>
      </c>
      <c r="F636" s="27">
        <v>3.0</v>
      </c>
      <c r="G636" s="29">
        <v>45798.99166666667</v>
      </c>
      <c r="H636" s="27" t="s">
        <v>2396</v>
      </c>
      <c r="I636" s="18"/>
      <c r="J636" s="25" t="str">
        <f>IFERROR(__xludf.DUMMYFUNCTION("ARRAYFORMULA(REGEXEXTRACT(SPLIT(C636, ""&lt;br&gt;""), ""([가-힣A-Za-z]+)""))"),"한메")</f>
        <v>한메</v>
      </c>
      <c r="K636" s="26" t="str">
        <f>IFERROR(__xludf.DUMMYFUNCTION("""COMPUTED_VALUE"""),"원")</f>
        <v>원</v>
      </c>
      <c r="L636" s="26" t="str">
        <f>IFERROR(__xludf.DUMMYFUNCTION("""COMPUTED_VALUE"""),"테리")</f>
        <v>테리</v>
      </c>
      <c r="M636" s="26" t="str">
        <f>IFERROR(__xludf.DUMMYFUNCTION("""COMPUTED_VALUE"""),"키키")</f>
        <v>키키</v>
      </c>
      <c r="N636" s="26" t="str">
        <f>IFERROR(__xludf.DUMMYFUNCTION("ARRAYFORMULA(REGEXEXTRACT(SPLIT(E636, ""&lt;br&gt;""), ""([가-힣A-Za-z]+)""))"),"ACDC")</f>
        <v>ACDC</v>
      </c>
      <c r="O636" s="26" t="str">
        <f>IFERROR(__xludf.DUMMYFUNCTION("""COMPUTED_VALUE"""),"노인")</f>
        <v>노인</v>
      </c>
      <c r="P636" s="26" t="str">
        <f>IFERROR(__xludf.DUMMYFUNCTION("""COMPUTED_VALUE"""),"깡패")</f>
        <v>깡패</v>
      </c>
      <c r="Q636" s="26" t="str">
        <f>IFERROR(__xludf.DUMMYFUNCTION("""COMPUTED_VALUE"""),"신형만")</f>
        <v>신형만</v>
      </c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27" t="s">
        <v>2800</v>
      </c>
      <c r="B637" s="28" t="s">
        <v>2801</v>
      </c>
      <c r="C637" s="27" t="s">
        <v>2802</v>
      </c>
      <c r="D637" s="27">
        <v>5.0</v>
      </c>
      <c r="E637" s="27" t="s">
        <v>2803</v>
      </c>
      <c r="F637" s="27">
        <v>2.0</v>
      </c>
      <c r="G637" s="29">
        <v>45798.96041666667</v>
      </c>
      <c r="H637" s="27" t="s">
        <v>2396</v>
      </c>
      <c r="I637" s="18"/>
      <c r="J637" s="25" t="str">
        <f>IFERROR(__xludf.DUMMYFUNCTION("ARRAYFORMULA(REGEXEXTRACT(SPLIT(C637, ""&lt;br&gt;""), ""([가-힣A-Za-z]+)""))"),"깡패")</f>
        <v>깡패</v>
      </c>
      <c r="K637" s="26" t="str">
        <f>IFERROR(__xludf.DUMMYFUNCTION("""COMPUTED_VALUE"""),"테리")</f>
        <v>테리</v>
      </c>
      <c r="L637" s="26" t="str">
        <f>IFERROR(__xludf.DUMMYFUNCTION("""COMPUTED_VALUE"""),"노인")</f>
        <v>노인</v>
      </c>
      <c r="M637" s="26" t="str">
        <f>IFERROR(__xludf.DUMMYFUNCTION("""COMPUTED_VALUE"""),"키키")</f>
        <v>키키</v>
      </c>
      <c r="N637" s="26" t="str">
        <f>IFERROR(__xludf.DUMMYFUNCTION("ARRAYFORMULA(REGEXEXTRACT(SPLIT(E637, ""&lt;br&gt;""), ""([가-힣A-Za-z]+)""))"),"신형만")</f>
        <v>신형만</v>
      </c>
      <c r="O637" s="26" t="str">
        <f>IFERROR(__xludf.DUMMYFUNCTION("""COMPUTED_VALUE"""),"원")</f>
        <v>원</v>
      </c>
      <c r="P637" s="26" t="str">
        <f>IFERROR(__xludf.DUMMYFUNCTION("""COMPUTED_VALUE"""),"ACDC")</f>
        <v>ACDC</v>
      </c>
      <c r="Q637" s="26" t="str">
        <f>IFERROR(__xludf.DUMMYFUNCTION("""COMPUTED_VALUE"""),"한메")</f>
        <v>한메</v>
      </c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27" t="s">
        <v>2804</v>
      </c>
      <c r="B638" s="28" t="s">
        <v>2805</v>
      </c>
      <c r="C638" s="27" t="s">
        <v>2806</v>
      </c>
      <c r="D638" s="27">
        <v>5.0</v>
      </c>
      <c r="E638" s="27" t="s">
        <v>2807</v>
      </c>
      <c r="F638" s="27">
        <v>1.0</v>
      </c>
      <c r="G638" s="29">
        <v>45798.93402777778</v>
      </c>
      <c r="H638" s="27" t="s">
        <v>2396</v>
      </c>
      <c r="I638" s="18"/>
      <c r="J638" s="25" t="str">
        <f>IFERROR(__xludf.DUMMYFUNCTION("ARRAYFORMULA(REGEXEXTRACT(SPLIT(C638, ""&lt;br&gt;""), ""([가-힣A-Za-z]+)""))"),"원")</f>
        <v>원</v>
      </c>
      <c r="K638" s="26" t="str">
        <f>IFERROR(__xludf.DUMMYFUNCTION("""COMPUTED_VALUE"""),"노인")</f>
        <v>노인</v>
      </c>
      <c r="L638" s="26" t="str">
        <f>IFERROR(__xludf.DUMMYFUNCTION("""COMPUTED_VALUE"""),"키키")</f>
        <v>키키</v>
      </c>
      <c r="M638" s="26" t="str">
        <f>IFERROR(__xludf.DUMMYFUNCTION("""COMPUTED_VALUE"""),"한메")</f>
        <v>한메</v>
      </c>
      <c r="N638" s="26" t="str">
        <f>IFERROR(__xludf.DUMMYFUNCTION("ARRAYFORMULA(REGEXEXTRACT(SPLIT(E638, ""&lt;br&gt;""), ""([가-힣A-Za-z]+)""))"),"깡패")</f>
        <v>깡패</v>
      </c>
      <c r="O638" s="26" t="str">
        <f>IFERROR(__xludf.DUMMYFUNCTION("""COMPUTED_VALUE"""),"테리")</f>
        <v>테리</v>
      </c>
      <c r="P638" s="26" t="str">
        <f>IFERROR(__xludf.DUMMYFUNCTION("""COMPUTED_VALUE"""),"ACDC")</f>
        <v>ACDC</v>
      </c>
      <c r="Q638" s="26" t="str">
        <f>IFERROR(__xludf.DUMMYFUNCTION("""COMPUTED_VALUE"""),"신형만")</f>
        <v>신형만</v>
      </c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27" t="s">
        <v>2808</v>
      </c>
      <c r="B639" s="28" t="s">
        <v>2809</v>
      </c>
      <c r="C639" s="27" t="s">
        <v>2810</v>
      </c>
      <c r="D639" s="27">
        <v>5.0</v>
      </c>
      <c r="E639" s="27" t="s">
        <v>2811</v>
      </c>
      <c r="F639" s="27">
        <v>3.0</v>
      </c>
      <c r="G639" s="29">
        <v>45796.94375</v>
      </c>
      <c r="H639" s="27" t="s">
        <v>2396</v>
      </c>
      <c r="I639" s="18"/>
      <c r="J639" s="25" t="str">
        <f>IFERROR(__xludf.DUMMYFUNCTION("ARRAYFORMULA(REGEXEXTRACT(SPLIT(C639, ""&lt;br&gt;""), ""([가-힣A-Za-z]+)""))"),"터미")</f>
        <v>터미</v>
      </c>
      <c r="K639" s="26" t="str">
        <f>IFERROR(__xludf.DUMMYFUNCTION("""COMPUTED_VALUE"""),"테리")</f>
        <v>테리</v>
      </c>
      <c r="L639" s="26" t="str">
        <f>IFERROR(__xludf.DUMMYFUNCTION("""COMPUTED_VALUE"""),"노인")</f>
        <v>노인</v>
      </c>
      <c r="M639" s="26" t="str">
        <f>IFERROR(__xludf.DUMMYFUNCTION("""COMPUTED_VALUE"""),"한메")</f>
        <v>한메</v>
      </c>
      <c r="N639" s="26" t="str">
        <f>IFERROR(__xludf.DUMMYFUNCTION("ARRAYFORMULA(REGEXEXTRACT(SPLIT(E639, ""&lt;br&gt;""), ""([가-힣A-Za-z]+)""))"),"짱구")</f>
        <v>짱구</v>
      </c>
      <c r="O639" s="26" t="str">
        <f>IFERROR(__xludf.DUMMYFUNCTION("""COMPUTED_VALUE"""),"ACDC")</f>
        <v>ACDC</v>
      </c>
      <c r="P639" s="26" t="str">
        <f>IFERROR(__xludf.DUMMYFUNCTION("""COMPUTED_VALUE"""),"신형만")</f>
        <v>신형만</v>
      </c>
      <c r="Q639" s="26" t="str">
        <f>IFERROR(__xludf.DUMMYFUNCTION("""COMPUTED_VALUE"""),"깡패")</f>
        <v>깡패</v>
      </c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27" t="s">
        <v>2812</v>
      </c>
      <c r="B640" s="28" t="s">
        <v>2813</v>
      </c>
      <c r="C640" s="27" t="s">
        <v>2814</v>
      </c>
      <c r="D640" s="27">
        <v>5.0</v>
      </c>
      <c r="E640" s="27" t="s">
        <v>2815</v>
      </c>
      <c r="F640" s="27">
        <v>4.0</v>
      </c>
      <c r="G640" s="29">
        <v>45796.91527777778</v>
      </c>
      <c r="H640" s="27" t="s">
        <v>2396</v>
      </c>
      <c r="I640" s="18"/>
      <c r="J640" s="25" t="str">
        <f>IFERROR(__xludf.DUMMYFUNCTION("ARRAYFORMULA(REGEXEXTRACT(SPLIT(C640, ""&lt;br&gt;""), ""([가-힣A-Za-z]+)""))"),"노인")</f>
        <v>노인</v>
      </c>
      <c r="K640" s="26" t="str">
        <f>IFERROR(__xludf.DUMMYFUNCTION("""COMPUTED_VALUE"""),"깡패")</f>
        <v>깡패</v>
      </c>
      <c r="L640" s="26" t="str">
        <f>IFERROR(__xludf.DUMMYFUNCTION("""COMPUTED_VALUE"""),"신형만")</f>
        <v>신형만</v>
      </c>
      <c r="M640" s="26" t="str">
        <f>IFERROR(__xludf.DUMMYFUNCTION("""COMPUTED_VALUE"""),"한메")</f>
        <v>한메</v>
      </c>
      <c r="N640" s="26" t="str">
        <f>IFERROR(__xludf.DUMMYFUNCTION("ARRAYFORMULA(REGEXEXTRACT(SPLIT(E640, ""&lt;br&gt;""), ""([가-힣A-Za-z]+)""))"),"ACDC")</f>
        <v>ACDC</v>
      </c>
      <c r="O640" s="26" t="str">
        <f>IFERROR(__xludf.DUMMYFUNCTION("""COMPUTED_VALUE"""),"짱구")</f>
        <v>짱구</v>
      </c>
      <c r="P640" s="26" t="str">
        <f>IFERROR(__xludf.DUMMYFUNCTION("""COMPUTED_VALUE"""),"테리")</f>
        <v>테리</v>
      </c>
      <c r="Q640" s="26" t="str">
        <f>IFERROR(__xludf.DUMMYFUNCTION("""COMPUTED_VALUE"""),"터미")</f>
        <v>터미</v>
      </c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27" t="s">
        <v>2816</v>
      </c>
      <c r="B641" s="28" t="s">
        <v>2817</v>
      </c>
      <c r="C641" s="27" t="s">
        <v>2818</v>
      </c>
      <c r="D641" s="27">
        <v>5.0</v>
      </c>
      <c r="E641" s="27" t="s">
        <v>2819</v>
      </c>
      <c r="F641" s="27">
        <v>2.0</v>
      </c>
      <c r="G641" s="29">
        <v>45793.02638888889</v>
      </c>
      <c r="H641" s="27" t="s">
        <v>2396</v>
      </c>
      <c r="I641" s="18"/>
      <c r="J641" s="25" t="str">
        <f>IFERROR(__xludf.DUMMYFUNCTION("ARRAYFORMULA(REGEXEXTRACT(SPLIT(C641, ""&lt;br&gt;""), ""([가-힣A-Za-z]+)""))"),"참치")</f>
        <v>참치</v>
      </c>
      <c r="K641" s="26" t="str">
        <f>IFERROR(__xludf.DUMMYFUNCTION("""COMPUTED_VALUE"""),"깡패")</f>
        <v>깡패</v>
      </c>
      <c r="L641" s="26" t="str">
        <f>IFERROR(__xludf.DUMMYFUNCTION("""COMPUTED_VALUE"""),"짱구")</f>
        <v>짱구</v>
      </c>
      <c r="M641" s="26" t="str">
        <f>IFERROR(__xludf.DUMMYFUNCTION("""COMPUTED_VALUE"""),"신형만")</f>
        <v>신형만</v>
      </c>
      <c r="N641" s="26" t="str">
        <f>IFERROR(__xludf.DUMMYFUNCTION("ARRAYFORMULA(REGEXEXTRACT(SPLIT(E641, ""&lt;br&gt;""), ""([가-힣A-Za-z]+)""))"),"ACDC")</f>
        <v>ACDC</v>
      </c>
      <c r="O641" s="26" t="str">
        <f>IFERROR(__xludf.DUMMYFUNCTION("""COMPUTED_VALUE"""),"원")</f>
        <v>원</v>
      </c>
      <c r="P641" s="26" t="str">
        <f>IFERROR(__xludf.DUMMYFUNCTION("""COMPUTED_VALUE"""),"한메")</f>
        <v>한메</v>
      </c>
      <c r="Q641" s="26" t="str">
        <f>IFERROR(__xludf.DUMMYFUNCTION("""COMPUTED_VALUE"""),"유망")</f>
        <v>유망</v>
      </c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27" t="s">
        <v>2820</v>
      </c>
      <c r="B642" s="28" t="s">
        <v>2821</v>
      </c>
      <c r="C642" s="27" t="s">
        <v>2822</v>
      </c>
      <c r="D642" s="27">
        <v>5.0</v>
      </c>
      <c r="E642" s="27" t="s">
        <v>2823</v>
      </c>
      <c r="F642" s="27">
        <v>2.0</v>
      </c>
      <c r="G642" s="29">
        <v>45793.00625</v>
      </c>
      <c r="H642" s="27" t="s">
        <v>2396</v>
      </c>
      <c r="I642" s="18"/>
      <c r="J642" s="25" t="str">
        <f>IFERROR(__xludf.DUMMYFUNCTION("ARRAYFORMULA(REGEXEXTRACT(SPLIT(C642, ""&lt;br&gt;""), ""([가-힣A-Za-z]+)""))"),"짱구")</f>
        <v>짱구</v>
      </c>
      <c r="K642" s="26" t="str">
        <f>IFERROR(__xludf.DUMMYFUNCTION("""COMPUTED_VALUE"""),"테리")</f>
        <v>테리</v>
      </c>
      <c r="L642" s="26" t="str">
        <f>IFERROR(__xludf.DUMMYFUNCTION("""COMPUTED_VALUE"""),"원")</f>
        <v>원</v>
      </c>
      <c r="M642" s="26" t="str">
        <f>IFERROR(__xludf.DUMMYFUNCTION("""COMPUTED_VALUE"""),"신형만")</f>
        <v>신형만</v>
      </c>
      <c r="N642" s="26" t="str">
        <f>IFERROR(__xludf.DUMMYFUNCTION("ARRAYFORMULA(REGEXEXTRACT(SPLIT(E642, ""&lt;br&gt;""), ""([가-힣A-Za-z]+)""))"),"깡패")</f>
        <v>깡패</v>
      </c>
      <c r="O642" s="26" t="str">
        <f>IFERROR(__xludf.DUMMYFUNCTION("""COMPUTED_VALUE"""),"참치")</f>
        <v>참치</v>
      </c>
      <c r="P642" s="26" t="str">
        <f>IFERROR(__xludf.DUMMYFUNCTION("""COMPUTED_VALUE"""),"ACDC")</f>
        <v>ACDC</v>
      </c>
      <c r="Q642" s="26" t="str">
        <f>IFERROR(__xludf.DUMMYFUNCTION("""COMPUTED_VALUE"""),"한메")</f>
        <v>한메</v>
      </c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27" t="s">
        <v>2824</v>
      </c>
      <c r="B643" s="28" t="s">
        <v>2825</v>
      </c>
      <c r="C643" s="27" t="s">
        <v>2826</v>
      </c>
      <c r="D643" s="27">
        <v>5.0</v>
      </c>
      <c r="E643" s="27" t="s">
        <v>2827</v>
      </c>
      <c r="F643" s="27">
        <v>1.0</v>
      </c>
      <c r="G643" s="29">
        <v>45792.990277777775</v>
      </c>
      <c r="H643" s="27" t="s">
        <v>2396</v>
      </c>
      <c r="I643" s="18"/>
      <c r="J643" s="25" t="str">
        <f>IFERROR(__xludf.DUMMYFUNCTION("ARRAYFORMULA(REGEXEXTRACT(SPLIT(C643, ""&lt;br&gt;""), ""([가-힣A-Za-z]+)""))"),"한메")</f>
        <v>한메</v>
      </c>
      <c r="K643" s="26" t="str">
        <f>IFERROR(__xludf.DUMMYFUNCTION("""COMPUTED_VALUE"""),"깡패")</f>
        <v>깡패</v>
      </c>
      <c r="L643" s="26" t="str">
        <f>IFERROR(__xludf.DUMMYFUNCTION("""COMPUTED_VALUE"""),"신형만")</f>
        <v>신형만</v>
      </c>
      <c r="M643" s="26" t="str">
        <f>IFERROR(__xludf.DUMMYFUNCTION("""COMPUTED_VALUE"""),"원")</f>
        <v>원</v>
      </c>
      <c r="N643" s="26" t="str">
        <f>IFERROR(__xludf.DUMMYFUNCTION("ARRAYFORMULA(REGEXEXTRACT(SPLIT(E643, ""&lt;br&gt;""), ""([가-힣A-Za-z]+)""))"),"테리")</f>
        <v>테리</v>
      </c>
      <c r="O643" s="26" t="str">
        <f>IFERROR(__xludf.DUMMYFUNCTION("""COMPUTED_VALUE"""),"ACDC")</f>
        <v>ACDC</v>
      </c>
      <c r="P643" s="26" t="str">
        <f>IFERROR(__xludf.DUMMYFUNCTION("""COMPUTED_VALUE"""),"짱구")</f>
        <v>짱구</v>
      </c>
      <c r="Q643" s="26" t="str">
        <f>IFERROR(__xludf.DUMMYFUNCTION("""COMPUTED_VALUE"""),"참치")</f>
        <v>참치</v>
      </c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27" t="s">
        <v>2828</v>
      </c>
      <c r="B644" s="28" t="s">
        <v>2829</v>
      </c>
      <c r="C644" s="27" t="s">
        <v>2830</v>
      </c>
      <c r="D644" s="27">
        <v>5.0</v>
      </c>
      <c r="E644" s="27" t="s">
        <v>2831</v>
      </c>
      <c r="F644" s="27">
        <v>4.0</v>
      </c>
      <c r="G644" s="29">
        <v>45792.972916666666</v>
      </c>
      <c r="H644" s="27" t="s">
        <v>2396</v>
      </c>
      <c r="I644" s="18"/>
      <c r="J644" s="25" t="str">
        <f>IFERROR(__xludf.DUMMYFUNCTION("ARRAYFORMULA(REGEXEXTRACT(SPLIT(C644, ""&lt;br&gt;""), ""([가-힣A-Za-z]+)""))"),"ACDC")</f>
        <v>ACDC</v>
      </c>
      <c r="K644" s="26" t="str">
        <f>IFERROR(__xludf.DUMMYFUNCTION("""COMPUTED_VALUE"""),"참치")</f>
        <v>참치</v>
      </c>
      <c r="L644" s="26" t="str">
        <f>IFERROR(__xludf.DUMMYFUNCTION("""COMPUTED_VALUE"""),"원")</f>
        <v>원</v>
      </c>
      <c r="M644" s="26" t="str">
        <f>IFERROR(__xludf.DUMMYFUNCTION("""COMPUTED_VALUE"""),"신형만")</f>
        <v>신형만</v>
      </c>
      <c r="N644" s="26" t="str">
        <f>IFERROR(__xludf.DUMMYFUNCTION("ARRAYFORMULA(REGEXEXTRACT(SPLIT(E644, ""&lt;br&gt;""), ""([가-힣A-Za-z]+)""))"),"깡패")</f>
        <v>깡패</v>
      </c>
      <c r="O644" s="26" t="str">
        <f>IFERROR(__xludf.DUMMYFUNCTION("""COMPUTED_VALUE"""),"테리")</f>
        <v>테리</v>
      </c>
      <c r="P644" s="26" t="str">
        <f>IFERROR(__xludf.DUMMYFUNCTION("""COMPUTED_VALUE"""),"짱구")</f>
        <v>짱구</v>
      </c>
      <c r="Q644" s="26" t="str">
        <f>IFERROR(__xludf.DUMMYFUNCTION("""COMPUTED_VALUE"""),"한메")</f>
        <v>한메</v>
      </c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27" t="s">
        <v>2832</v>
      </c>
      <c r="B645" s="28" t="s">
        <v>2833</v>
      </c>
      <c r="C645" s="27" t="s">
        <v>2834</v>
      </c>
      <c r="D645" s="27">
        <v>5.0</v>
      </c>
      <c r="E645" s="27" t="s">
        <v>2835</v>
      </c>
      <c r="F645" s="27">
        <v>2.0</v>
      </c>
      <c r="G645" s="29">
        <v>45791.950694444444</v>
      </c>
      <c r="H645" s="27" t="s">
        <v>2396</v>
      </c>
      <c r="I645" s="18"/>
      <c r="J645" s="25" t="str">
        <f>IFERROR(__xludf.DUMMYFUNCTION("ARRAYFORMULA(REGEXEXTRACT(SPLIT(C645, ""&lt;br&gt;""), ""([가-힣A-Za-z]+)""))"),"테리")</f>
        <v>테리</v>
      </c>
      <c r="K645" s="26" t="str">
        <f>IFERROR(__xludf.DUMMYFUNCTION("""COMPUTED_VALUE"""),"노인")</f>
        <v>노인</v>
      </c>
      <c r="L645" s="26" t="str">
        <f>IFERROR(__xludf.DUMMYFUNCTION("""COMPUTED_VALUE"""),"신형만")</f>
        <v>신형만</v>
      </c>
      <c r="M645" s="26" t="str">
        <f>IFERROR(__xludf.DUMMYFUNCTION("""COMPUTED_VALUE"""),"깡패")</f>
        <v>깡패</v>
      </c>
      <c r="N645" s="26" t="str">
        <f>IFERROR(__xludf.DUMMYFUNCTION("ARRAYFORMULA(REGEXEXTRACT(SPLIT(E645, ""&lt;br&gt;""), ""([가-힣A-Za-z]+)""))"),"짱구")</f>
        <v>짱구</v>
      </c>
      <c r="O645" s="26" t="str">
        <f>IFERROR(__xludf.DUMMYFUNCTION("""COMPUTED_VALUE"""),"ACDC")</f>
        <v>ACDC</v>
      </c>
      <c r="P645" s="26" t="str">
        <f>IFERROR(__xludf.DUMMYFUNCTION("""COMPUTED_VALUE"""),"한메")</f>
        <v>한메</v>
      </c>
      <c r="Q645" s="26" t="str">
        <f>IFERROR(__xludf.DUMMYFUNCTION("""COMPUTED_VALUE"""),"원")</f>
        <v>원</v>
      </c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27" t="s">
        <v>2836</v>
      </c>
      <c r="B646" s="28" t="s">
        <v>2837</v>
      </c>
      <c r="C646" s="27" t="s">
        <v>2838</v>
      </c>
      <c r="D646" s="27">
        <v>5.0</v>
      </c>
      <c r="E646" s="27" t="s">
        <v>2839</v>
      </c>
      <c r="F646" s="27">
        <v>2.0</v>
      </c>
      <c r="G646" s="29">
        <v>45791.93263888889</v>
      </c>
      <c r="H646" s="27" t="s">
        <v>2396</v>
      </c>
      <c r="I646" s="18"/>
      <c r="J646" s="25" t="str">
        <f>IFERROR(__xludf.DUMMYFUNCTION("ARRAYFORMULA(REGEXEXTRACT(SPLIT(C646, ""&lt;br&gt;""), ""([가-힣A-Za-z]+)""))"),"노인")</f>
        <v>노인</v>
      </c>
      <c r="K646" s="26" t="str">
        <f>IFERROR(__xludf.DUMMYFUNCTION("""COMPUTED_VALUE"""),"ACDC")</f>
        <v>ACDC</v>
      </c>
      <c r="L646" s="26" t="str">
        <f>IFERROR(__xludf.DUMMYFUNCTION("""COMPUTED_VALUE"""),"깡패")</f>
        <v>깡패</v>
      </c>
      <c r="M646" s="26" t="str">
        <f>IFERROR(__xludf.DUMMYFUNCTION("""COMPUTED_VALUE"""),"원")</f>
        <v>원</v>
      </c>
      <c r="N646" s="26" t="str">
        <f>IFERROR(__xludf.DUMMYFUNCTION("ARRAYFORMULA(REGEXEXTRACT(SPLIT(E646, ""&lt;br&gt;""), ""([가-힣A-Za-z]+)""))"),"신형만")</f>
        <v>신형만</v>
      </c>
      <c r="O646" s="26" t="str">
        <f>IFERROR(__xludf.DUMMYFUNCTION("""COMPUTED_VALUE"""),"짱구")</f>
        <v>짱구</v>
      </c>
      <c r="P646" s="26" t="str">
        <f>IFERROR(__xludf.DUMMYFUNCTION("""COMPUTED_VALUE"""),"테리")</f>
        <v>테리</v>
      </c>
      <c r="Q646" s="26" t="str">
        <f>IFERROR(__xludf.DUMMYFUNCTION("""COMPUTED_VALUE"""),"한메")</f>
        <v>한메</v>
      </c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27" t="s">
        <v>2840</v>
      </c>
      <c r="B647" s="28" t="s">
        <v>2841</v>
      </c>
      <c r="C647" s="27" t="s">
        <v>2842</v>
      </c>
      <c r="D647" s="27">
        <v>5.0</v>
      </c>
      <c r="E647" s="27" t="s">
        <v>2843</v>
      </c>
      <c r="F647" s="27">
        <v>0.0</v>
      </c>
      <c r="G647" s="29">
        <v>45791.92986111111</v>
      </c>
      <c r="H647" s="27" t="s">
        <v>2396</v>
      </c>
      <c r="I647" s="18"/>
      <c r="J647" s="25" t="str">
        <f>IFERROR(__xludf.DUMMYFUNCTION("ARRAYFORMULA(REGEXEXTRACT(SPLIT(C647, ""&lt;br&gt;""), ""([가-힣A-Za-z]+)""))"),"테리")</f>
        <v>테리</v>
      </c>
      <c r="K647" s="26" t="str">
        <f>IFERROR(__xludf.DUMMYFUNCTION("""COMPUTED_VALUE"""),"짱구")</f>
        <v>짱구</v>
      </c>
      <c r="L647" s="26" t="str">
        <f>IFERROR(__xludf.DUMMYFUNCTION("""COMPUTED_VALUE"""),"원")</f>
        <v>원</v>
      </c>
      <c r="M647" s="26" t="str">
        <f>IFERROR(__xludf.DUMMYFUNCTION("""COMPUTED_VALUE"""),"깡패")</f>
        <v>깡패</v>
      </c>
      <c r="N647" s="26" t="str">
        <f>IFERROR(__xludf.DUMMYFUNCTION("ARRAYFORMULA(REGEXEXTRACT(SPLIT(E647, ""&lt;br&gt;""), ""([가-힣A-Za-z]+)""))"),"신형만")</f>
        <v>신형만</v>
      </c>
      <c r="O647" s="26" t="str">
        <f>IFERROR(__xludf.DUMMYFUNCTION("""COMPUTED_VALUE"""),"노인")</f>
        <v>노인</v>
      </c>
      <c r="P647" s="26" t="str">
        <f>IFERROR(__xludf.DUMMYFUNCTION("""COMPUTED_VALUE"""),"ACDC")</f>
        <v>ACDC</v>
      </c>
      <c r="Q647" s="26" t="str">
        <f>IFERROR(__xludf.DUMMYFUNCTION("""COMPUTED_VALUE"""),"한메")</f>
        <v>한메</v>
      </c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27" t="s">
        <v>2844</v>
      </c>
      <c r="B648" s="28" t="s">
        <v>2845</v>
      </c>
      <c r="C648" s="27" t="s">
        <v>2846</v>
      </c>
      <c r="D648" s="27">
        <v>5.0</v>
      </c>
      <c r="E648" s="27" t="s">
        <v>2847</v>
      </c>
      <c r="F648" s="27">
        <v>2.0</v>
      </c>
      <c r="G648" s="29">
        <v>45791.89444444444</v>
      </c>
      <c r="H648" s="27" t="s">
        <v>2396</v>
      </c>
      <c r="I648" s="18"/>
      <c r="J648" s="25" t="str">
        <f>IFERROR(__xludf.DUMMYFUNCTION("ARRAYFORMULA(REGEXEXTRACT(SPLIT(C648, ""&lt;br&gt;""), ""([가-힣A-Za-z]+)""))"),"ACDC")</f>
        <v>ACDC</v>
      </c>
      <c r="K648" s="26" t="str">
        <f>IFERROR(__xludf.DUMMYFUNCTION("""COMPUTED_VALUE"""),"테리")</f>
        <v>테리</v>
      </c>
      <c r="L648" s="26" t="str">
        <f>IFERROR(__xludf.DUMMYFUNCTION("""COMPUTED_VALUE"""),"원")</f>
        <v>원</v>
      </c>
      <c r="M648" s="26" t="str">
        <f>IFERROR(__xludf.DUMMYFUNCTION("""COMPUTED_VALUE"""),"신형만")</f>
        <v>신형만</v>
      </c>
      <c r="N648" s="26" t="str">
        <f>IFERROR(__xludf.DUMMYFUNCTION("ARRAYFORMULA(REGEXEXTRACT(SPLIT(E648, ""&lt;br&gt;""), ""([가-힣A-Za-z]+)""))"),"짱구")</f>
        <v>짱구</v>
      </c>
      <c r="O648" s="26" t="str">
        <f>IFERROR(__xludf.DUMMYFUNCTION("""COMPUTED_VALUE"""),"노인")</f>
        <v>노인</v>
      </c>
      <c r="P648" s="26" t="str">
        <f>IFERROR(__xludf.DUMMYFUNCTION("""COMPUTED_VALUE"""),"깡패")</f>
        <v>깡패</v>
      </c>
      <c r="Q648" s="26" t="str">
        <f>IFERROR(__xludf.DUMMYFUNCTION("""COMPUTED_VALUE"""),"한메")</f>
        <v>한메</v>
      </c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27" t="s">
        <v>2848</v>
      </c>
      <c r="B649" s="28" t="s">
        <v>2849</v>
      </c>
      <c r="C649" s="27" t="s">
        <v>2850</v>
      </c>
      <c r="D649" s="27">
        <v>5.0</v>
      </c>
      <c r="E649" s="27" t="s">
        <v>2851</v>
      </c>
      <c r="F649" s="27">
        <v>3.0</v>
      </c>
      <c r="G649" s="29">
        <v>45787.095138888886</v>
      </c>
      <c r="H649" s="27" t="s">
        <v>2396</v>
      </c>
      <c r="I649" s="18"/>
      <c r="J649" s="25" t="str">
        <f>IFERROR(__xludf.DUMMYFUNCTION("ARRAYFORMULA(REGEXEXTRACT(SPLIT(C649, ""&lt;br&gt;""), ""([가-힣A-Za-z]+)""))"),"노인")</f>
        <v>노인</v>
      </c>
      <c r="K649" s="26" t="str">
        <f>IFERROR(__xludf.DUMMYFUNCTION("""COMPUTED_VALUE"""),"원")</f>
        <v>원</v>
      </c>
      <c r="L649" s="26" t="str">
        <f>IFERROR(__xludf.DUMMYFUNCTION("""COMPUTED_VALUE"""),"참치")</f>
        <v>참치</v>
      </c>
      <c r="M649" s="26" t="str">
        <f>IFERROR(__xludf.DUMMYFUNCTION("""COMPUTED_VALUE"""),"깡패")</f>
        <v>깡패</v>
      </c>
      <c r="N649" s="26" t="str">
        <f>IFERROR(__xludf.DUMMYFUNCTION("ARRAYFORMULA(REGEXEXTRACT(SPLIT(E649, ""&lt;br&gt;""), ""([가-힣A-Za-z]+)""))"),"신형만")</f>
        <v>신형만</v>
      </c>
      <c r="O649" s="26" t="str">
        <f>IFERROR(__xludf.DUMMYFUNCTION("""COMPUTED_VALUE"""),"짱구")</f>
        <v>짱구</v>
      </c>
      <c r="P649" s="26" t="str">
        <f>IFERROR(__xludf.DUMMYFUNCTION("""COMPUTED_VALUE"""),"ACDC")</f>
        <v>ACDC</v>
      </c>
      <c r="Q649" s="26" t="str">
        <f>IFERROR(__xludf.DUMMYFUNCTION("""COMPUTED_VALUE"""),"넘버")</f>
        <v>넘버</v>
      </c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27" t="s">
        <v>2852</v>
      </c>
      <c r="B650" s="28" t="s">
        <v>2853</v>
      </c>
      <c r="C650" s="27" t="s">
        <v>2854</v>
      </c>
      <c r="D650" s="27">
        <v>5.0</v>
      </c>
      <c r="E650" s="27" t="s">
        <v>2855</v>
      </c>
      <c r="F650" s="27">
        <v>3.0</v>
      </c>
      <c r="G650" s="29">
        <v>45787.07361111111</v>
      </c>
      <c r="H650" s="27" t="s">
        <v>2396</v>
      </c>
      <c r="I650" s="18"/>
      <c r="J650" s="25" t="str">
        <f>IFERROR(__xludf.DUMMYFUNCTION("ARRAYFORMULA(REGEXEXTRACT(SPLIT(C650, ""&lt;br&gt;""), ""([가-힣A-Za-z]+)""))"),"노인")</f>
        <v>노인</v>
      </c>
      <c r="K650" s="26" t="str">
        <f>IFERROR(__xludf.DUMMYFUNCTION("""COMPUTED_VALUE"""),"짱구")</f>
        <v>짱구</v>
      </c>
      <c r="L650" s="26" t="str">
        <f>IFERROR(__xludf.DUMMYFUNCTION("""COMPUTED_VALUE"""),"넘버")</f>
        <v>넘버</v>
      </c>
      <c r="M650" s="26" t="str">
        <f>IFERROR(__xludf.DUMMYFUNCTION("""COMPUTED_VALUE"""),"참치")</f>
        <v>참치</v>
      </c>
      <c r="N650" s="26" t="str">
        <f>IFERROR(__xludf.DUMMYFUNCTION("ARRAYFORMULA(REGEXEXTRACT(SPLIT(E650, ""&lt;br&gt;""), ""([가-힣A-Za-z]+)""))"),"신형만")</f>
        <v>신형만</v>
      </c>
      <c r="O650" s="26" t="str">
        <f>IFERROR(__xludf.DUMMYFUNCTION("""COMPUTED_VALUE"""),"ACDC")</f>
        <v>ACDC</v>
      </c>
      <c r="P650" s="26" t="str">
        <f>IFERROR(__xludf.DUMMYFUNCTION("""COMPUTED_VALUE"""),"유망")</f>
        <v>유망</v>
      </c>
      <c r="Q650" s="26" t="str">
        <f>IFERROR(__xludf.DUMMYFUNCTION("""COMPUTED_VALUE"""),"원")</f>
        <v>원</v>
      </c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27" t="s">
        <v>2856</v>
      </c>
      <c r="B651" s="28" t="s">
        <v>2857</v>
      </c>
      <c r="C651" s="27" t="s">
        <v>2858</v>
      </c>
      <c r="D651" s="27">
        <v>5.0</v>
      </c>
      <c r="E651" s="27" t="s">
        <v>2859</v>
      </c>
      <c r="F651" s="27">
        <v>4.0</v>
      </c>
      <c r="G651" s="29">
        <v>45787.072222222225</v>
      </c>
      <c r="H651" s="27" t="s">
        <v>2396</v>
      </c>
      <c r="I651" s="18"/>
      <c r="J651" s="25" t="str">
        <f>IFERROR(__xludf.DUMMYFUNCTION("ARRAYFORMULA(REGEXEXTRACT(SPLIT(C651, ""&lt;br&gt;""), ""([가-힣A-Za-z]+)""))"),"신형만")</f>
        <v>신형만</v>
      </c>
      <c r="K651" s="26" t="str">
        <f>IFERROR(__xludf.DUMMYFUNCTION("""COMPUTED_VALUE"""),"원")</f>
        <v>원</v>
      </c>
      <c r="L651" s="26" t="str">
        <f>IFERROR(__xludf.DUMMYFUNCTION("""COMPUTED_VALUE"""),"ACDC")</f>
        <v>ACDC</v>
      </c>
      <c r="M651" s="26" t="str">
        <f>IFERROR(__xludf.DUMMYFUNCTION("""COMPUTED_VALUE"""),"깡패")</f>
        <v>깡패</v>
      </c>
      <c r="N651" s="26" t="str">
        <f>IFERROR(__xludf.DUMMYFUNCTION("ARRAYFORMULA(REGEXEXTRACT(SPLIT(E651, ""&lt;br&gt;""), ""([가-힣A-Za-z]+)""))"),"테리")</f>
        <v>테리</v>
      </c>
      <c r="O651" s="26" t="str">
        <f>IFERROR(__xludf.DUMMYFUNCTION("""COMPUTED_VALUE"""),"노인")</f>
        <v>노인</v>
      </c>
      <c r="P651" s="26" t="str">
        <f>IFERROR(__xludf.DUMMYFUNCTION("""COMPUTED_VALUE"""),"짱구")</f>
        <v>짱구</v>
      </c>
      <c r="Q651" s="26" t="str">
        <f>IFERROR(__xludf.DUMMYFUNCTION("""COMPUTED_VALUE"""),"참치")</f>
        <v>참치</v>
      </c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27" t="s">
        <v>2860</v>
      </c>
      <c r="B652" s="28" t="s">
        <v>2861</v>
      </c>
      <c r="C652" s="27" t="s">
        <v>2862</v>
      </c>
      <c r="D652" s="27">
        <v>5.0</v>
      </c>
      <c r="E652" s="27" t="s">
        <v>2863</v>
      </c>
      <c r="F652" s="27">
        <v>0.0</v>
      </c>
      <c r="G652" s="29">
        <v>45787.04652777778</v>
      </c>
      <c r="H652" s="27" t="s">
        <v>2396</v>
      </c>
      <c r="I652" s="18"/>
      <c r="J652" s="25" t="str">
        <f>IFERROR(__xludf.DUMMYFUNCTION("ARRAYFORMULA(REGEXEXTRACT(SPLIT(C652, ""&lt;br&gt;""), ""([가-힣A-Za-z]+)""))"),"참치")</f>
        <v>참치</v>
      </c>
      <c r="K652" s="26" t="str">
        <f>IFERROR(__xludf.DUMMYFUNCTION("""COMPUTED_VALUE"""),"넘버")</f>
        <v>넘버</v>
      </c>
      <c r="L652" s="26" t="str">
        <f>IFERROR(__xludf.DUMMYFUNCTION("""COMPUTED_VALUE"""),"테리")</f>
        <v>테리</v>
      </c>
      <c r="M652" s="26" t="str">
        <f>IFERROR(__xludf.DUMMYFUNCTION("""COMPUTED_VALUE"""),"원")</f>
        <v>원</v>
      </c>
      <c r="N652" s="26" t="str">
        <f>IFERROR(__xludf.DUMMYFUNCTION("ARRAYFORMULA(REGEXEXTRACT(SPLIT(E652, ""&lt;br&gt;""), ""([가-힣A-Za-z]+)""))"),"ACDC")</f>
        <v>ACDC</v>
      </c>
      <c r="O652" s="26" t="str">
        <f>IFERROR(__xludf.DUMMYFUNCTION("""COMPUTED_VALUE"""),"노인")</f>
        <v>노인</v>
      </c>
      <c r="P652" s="26" t="str">
        <f>IFERROR(__xludf.DUMMYFUNCTION("""COMPUTED_VALUE"""),"짱구")</f>
        <v>짱구</v>
      </c>
      <c r="Q652" s="26" t="str">
        <f>IFERROR(__xludf.DUMMYFUNCTION("""COMPUTED_VALUE"""),"신형만")</f>
        <v>신형만</v>
      </c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27" t="s">
        <v>2864</v>
      </c>
      <c r="B653" s="28" t="s">
        <v>2865</v>
      </c>
      <c r="C653" s="27" t="s">
        <v>2866</v>
      </c>
      <c r="D653" s="27">
        <v>5.0</v>
      </c>
      <c r="E653" s="27" t="s">
        <v>2867</v>
      </c>
      <c r="F653" s="27">
        <v>2.0</v>
      </c>
      <c r="G653" s="29">
        <v>45787.04375</v>
      </c>
      <c r="H653" s="27" t="s">
        <v>2396</v>
      </c>
      <c r="I653" s="18"/>
      <c r="J653" s="25" t="str">
        <f>IFERROR(__xludf.DUMMYFUNCTION("ARRAYFORMULA(REGEXEXTRACT(SPLIT(C653, ""&lt;br&gt;""), ""([가-힣A-Za-z]+)""))"),"신형만")</f>
        <v>신형만</v>
      </c>
      <c r="K653" s="26" t="str">
        <f>IFERROR(__xludf.DUMMYFUNCTION("""COMPUTED_VALUE"""),"원")</f>
        <v>원</v>
      </c>
      <c r="L653" s="26" t="str">
        <f>IFERROR(__xludf.DUMMYFUNCTION("""COMPUTED_VALUE"""),"노인")</f>
        <v>노인</v>
      </c>
      <c r="M653" s="26" t="str">
        <f>IFERROR(__xludf.DUMMYFUNCTION("""COMPUTED_VALUE"""),"참치")</f>
        <v>참치</v>
      </c>
      <c r="N653" s="26" t="str">
        <f>IFERROR(__xludf.DUMMYFUNCTION("ARRAYFORMULA(REGEXEXTRACT(SPLIT(E653, ""&lt;br&gt;""), ""([가-힣A-Za-z]+)""))"),"ACDC")</f>
        <v>ACDC</v>
      </c>
      <c r="O653" s="26" t="str">
        <f>IFERROR(__xludf.DUMMYFUNCTION("""COMPUTED_VALUE"""),"짱구")</f>
        <v>짱구</v>
      </c>
      <c r="P653" s="26" t="str">
        <f>IFERROR(__xludf.DUMMYFUNCTION("""COMPUTED_VALUE"""),"넘버")</f>
        <v>넘버</v>
      </c>
      <c r="Q653" s="26" t="str">
        <f>IFERROR(__xludf.DUMMYFUNCTION("""COMPUTED_VALUE"""),"깡패")</f>
        <v>깡패</v>
      </c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27" t="s">
        <v>2868</v>
      </c>
      <c r="B654" s="28" t="s">
        <v>2869</v>
      </c>
      <c r="C654" s="27" t="s">
        <v>2870</v>
      </c>
      <c r="D654" s="27">
        <v>5.0</v>
      </c>
      <c r="E654" s="27" t="s">
        <v>2871</v>
      </c>
      <c r="F654" s="27">
        <v>0.0</v>
      </c>
      <c r="G654" s="29">
        <v>45787.04305555556</v>
      </c>
      <c r="H654" s="27" t="s">
        <v>2396</v>
      </c>
      <c r="I654" s="18"/>
      <c r="J654" s="25" t="str">
        <f>IFERROR(__xludf.DUMMYFUNCTION("ARRAYFORMULA(REGEXEXTRACT(SPLIT(C654, ""&lt;br&gt;""), ""([가-힣A-Za-z]+)""))"),"원")</f>
        <v>원</v>
      </c>
      <c r="K654" s="26" t="str">
        <f>IFERROR(__xludf.DUMMYFUNCTION("""COMPUTED_VALUE"""),"참치")</f>
        <v>참치</v>
      </c>
      <c r="L654" s="26" t="str">
        <f>IFERROR(__xludf.DUMMYFUNCTION("""COMPUTED_VALUE"""),"깡패")</f>
        <v>깡패</v>
      </c>
      <c r="M654" s="26" t="str">
        <f>IFERROR(__xludf.DUMMYFUNCTION("""COMPUTED_VALUE"""),"넘버")</f>
        <v>넘버</v>
      </c>
      <c r="N654" s="26" t="str">
        <f>IFERROR(__xludf.DUMMYFUNCTION("ARRAYFORMULA(REGEXEXTRACT(SPLIT(E654, ""&lt;br&gt;""), ""([가-힣A-Za-z]+)""))"),"짱구")</f>
        <v>짱구</v>
      </c>
      <c r="O654" s="26" t="str">
        <f>IFERROR(__xludf.DUMMYFUNCTION("""COMPUTED_VALUE"""),"ACDC")</f>
        <v>ACDC</v>
      </c>
      <c r="P654" s="26" t="str">
        <f>IFERROR(__xludf.DUMMYFUNCTION("""COMPUTED_VALUE"""),"노인")</f>
        <v>노인</v>
      </c>
      <c r="Q654" s="26" t="str">
        <f>IFERROR(__xludf.DUMMYFUNCTION("""COMPUTED_VALUE"""),"신형만")</f>
        <v>신형만</v>
      </c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27" t="s">
        <v>2872</v>
      </c>
      <c r="B655" s="28" t="s">
        <v>2873</v>
      </c>
      <c r="C655" s="27" t="s">
        <v>2874</v>
      </c>
      <c r="D655" s="27">
        <v>5.0</v>
      </c>
      <c r="E655" s="27" t="s">
        <v>2875</v>
      </c>
      <c r="F655" s="27">
        <v>0.0</v>
      </c>
      <c r="G655" s="29">
        <v>45787.041666666664</v>
      </c>
      <c r="H655" s="27" t="s">
        <v>2396</v>
      </c>
      <c r="I655" s="18"/>
      <c r="J655" s="25" t="str">
        <f>IFERROR(__xludf.DUMMYFUNCTION("ARRAYFORMULA(REGEXEXTRACT(SPLIT(C655, ""&lt;br&gt;""), ""([가-힣A-Za-z]+)""))"),"참치")</f>
        <v>참치</v>
      </c>
      <c r="K655" s="26" t="str">
        <f>IFERROR(__xludf.DUMMYFUNCTION("""COMPUTED_VALUE"""),"짱구")</f>
        <v>짱구</v>
      </c>
      <c r="L655" s="26" t="str">
        <f>IFERROR(__xludf.DUMMYFUNCTION("""COMPUTED_VALUE"""),"노인")</f>
        <v>노인</v>
      </c>
      <c r="M655" s="26" t="str">
        <f>IFERROR(__xludf.DUMMYFUNCTION("""COMPUTED_VALUE"""),"원")</f>
        <v>원</v>
      </c>
      <c r="N655" s="26" t="str">
        <f>IFERROR(__xludf.DUMMYFUNCTION("ARRAYFORMULA(REGEXEXTRACT(SPLIT(E655, ""&lt;br&gt;""), ""([가-힣A-Za-z]+)""))"),"신형만")</f>
        <v>신형만</v>
      </c>
      <c r="O655" s="26" t="str">
        <f>IFERROR(__xludf.DUMMYFUNCTION("""COMPUTED_VALUE"""),"ACDC")</f>
        <v>ACDC</v>
      </c>
      <c r="P655" s="26" t="str">
        <f>IFERROR(__xludf.DUMMYFUNCTION("""COMPUTED_VALUE"""),"깡패")</f>
        <v>깡패</v>
      </c>
      <c r="Q655" s="26" t="str">
        <f>IFERROR(__xludf.DUMMYFUNCTION("""COMPUTED_VALUE"""),"넘버")</f>
        <v>넘버</v>
      </c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27" t="s">
        <v>2876</v>
      </c>
      <c r="B656" s="28" t="s">
        <v>2877</v>
      </c>
      <c r="C656" s="27" t="s">
        <v>2878</v>
      </c>
      <c r="D656" s="27">
        <v>5.0</v>
      </c>
      <c r="E656" s="27" t="s">
        <v>2879</v>
      </c>
      <c r="F656" s="27">
        <v>1.0</v>
      </c>
      <c r="G656" s="29">
        <v>45787.040972222225</v>
      </c>
      <c r="H656" s="27" t="s">
        <v>2396</v>
      </c>
      <c r="I656" s="18"/>
      <c r="J656" s="25" t="str">
        <f>IFERROR(__xludf.DUMMYFUNCTION("ARRAYFORMULA(REGEXEXTRACT(SPLIT(C656, ""&lt;br&gt;""), ""([가-힣A-Za-z]+)""))"),"신형만")</f>
        <v>신형만</v>
      </c>
      <c r="K656" s="26" t="str">
        <f>IFERROR(__xludf.DUMMYFUNCTION("""COMPUTED_VALUE"""),"ACDC")</f>
        <v>ACDC</v>
      </c>
      <c r="L656" s="26" t="str">
        <f>IFERROR(__xludf.DUMMYFUNCTION("""COMPUTED_VALUE"""),"노인")</f>
        <v>노인</v>
      </c>
      <c r="M656" s="26" t="str">
        <f>IFERROR(__xludf.DUMMYFUNCTION("""COMPUTED_VALUE"""),"원")</f>
        <v>원</v>
      </c>
      <c r="N656" s="26" t="str">
        <f>IFERROR(__xludf.DUMMYFUNCTION("ARRAYFORMULA(REGEXEXTRACT(SPLIT(E656, ""&lt;br&gt;""), ""([가-힣A-Za-z]+)""))"),"깡패")</f>
        <v>깡패</v>
      </c>
      <c r="O656" s="26" t="str">
        <f>IFERROR(__xludf.DUMMYFUNCTION("""COMPUTED_VALUE"""),"참치")</f>
        <v>참치</v>
      </c>
      <c r="P656" s="26" t="str">
        <f>IFERROR(__xludf.DUMMYFUNCTION("""COMPUTED_VALUE"""),"짱구")</f>
        <v>짱구</v>
      </c>
      <c r="Q656" s="26" t="str">
        <f>IFERROR(__xludf.DUMMYFUNCTION("""COMPUTED_VALUE"""),"넘버")</f>
        <v>넘버</v>
      </c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27" t="s">
        <v>2880</v>
      </c>
      <c r="B657" s="28" t="s">
        <v>2881</v>
      </c>
      <c r="C657" s="27" t="s">
        <v>2882</v>
      </c>
      <c r="D657" s="27">
        <v>5.0</v>
      </c>
      <c r="E657" s="27" t="s">
        <v>2883</v>
      </c>
      <c r="F657" s="27">
        <v>2.0</v>
      </c>
      <c r="G657" s="29">
        <v>45787.03888888889</v>
      </c>
      <c r="H657" s="27" t="s">
        <v>2396</v>
      </c>
      <c r="I657" s="18"/>
      <c r="J657" s="25" t="str">
        <f>IFERROR(__xludf.DUMMYFUNCTION("ARRAYFORMULA(REGEXEXTRACT(SPLIT(C657, ""&lt;br&gt;""), ""([가-힣A-Za-z]+)""))"),"노인")</f>
        <v>노인</v>
      </c>
      <c r="K657" s="26" t="str">
        <f>IFERROR(__xludf.DUMMYFUNCTION("""COMPUTED_VALUE"""),"짱구")</f>
        <v>짱구</v>
      </c>
      <c r="L657" s="26" t="str">
        <f>IFERROR(__xludf.DUMMYFUNCTION("""COMPUTED_VALUE"""),"신형만")</f>
        <v>신형만</v>
      </c>
      <c r="M657" s="26" t="str">
        <f>IFERROR(__xludf.DUMMYFUNCTION("""COMPUTED_VALUE"""),"참치")</f>
        <v>참치</v>
      </c>
      <c r="N657" s="26" t="str">
        <f>IFERROR(__xludf.DUMMYFUNCTION("ARRAYFORMULA(REGEXEXTRACT(SPLIT(E657, ""&lt;br&gt;""), ""([가-힣A-Za-z]+)""))"),"넘버")</f>
        <v>넘버</v>
      </c>
      <c r="O657" s="26" t="str">
        <f>IFERROR(__xludf.DUMMYFUNCTION("""COMPUTED_VALUE"""),"깡패")</f>
        <v>깡패</v>
      </c>
      <c r="P657" s="26" t="str">
        <f>IFERROR(__xludf.DUMMYFUNCTION("""COMPUTED_VALUE"""),"ACDC")</f>
        <v>ACDC</v>
      </c>
      <c r="Q657" s="26" t="str">
        <f>IFERROR(__xludf.DUMMYFUNCTION("""COMPUTED_VALUE"""),"원")</f>
        <v>원</v>
      </c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27" t="s">
        <v>2884</v>
      </c>
      <c r="B658" s="28" t="s">
        <v>2885</v>
      </c>
      <c r="C658" s="27" t="s">
        <v>2886</v>
      </c>
      <c r="D658" s="27">
        <v>5.0</v>
      </c>
      <c r="E658" s="27" t="s">
        <v>2887</v>
      </c>
      <c r="F658" s="27">
        <v>4.0</v>
      </c>
      <c r="G658" s="29">
        <v>45773.089583333334</v>
      </c>
      <c r="H658" s="27" t="s">
        <v>2888</v>
      </c>
      <c r="I658" s="18"/>
      <c r="J658" s="25" t="str">
        <f>IFERROR(__xludf.DUMMYFUNCTION("ARRAYFORMULA(REGEXEXTRACT(SPLIT(C658, ""&lt;br&gt;""), ""([가-힣A-Za-z]+)""))"),"솔")</f>
        <v>솔</v>
      </c>
      <c r="K658" s="26" t="str">
        <f>IFERROR(__xludf.DUMMYFUNCTION("""COMPUTED_VALUE"""),"참치")</f>
        <v>참치</v>
      </c>
      <c r="L658" s="26" t="str">
        <f>IFERROR(__xludf.DUMMYFUNCTION("""COMPUTED_VALUE"""),"민우")</f>
        <v>민우</v>
      </c>
      <c r="M658" s="26" t="str">
        <f>IFERROR(__xludf.DUMMYFUNCTION("""COMPUTED_VALUE"""),"유망")</f>
        <v>유망</v>
      </c>
      <c r="N658" s="26" t="str">
        <f>IFERROR(__xludf.DUMMYFUNCTION("ARRAYFORMULA(REGEXEXTRACT(SPLIT(E658, ""&lt;br&gt;""), ""([가-힣A-Za-z]+)""))"),"원")</f>
        <v>원</v>
      </c>
      <c r="O658" s="26" t="str">
        <f>IFERROR(__xludf.DUMMYFUNCTION("""COMPUTED_VALUE"""),"깡패")</f>
        <v>깡패</v>
      </c>
      <c r="P658" s="26" t="str">
        <f>IFERROR(__xludf.DUMMYFUNCTION("""COMPUTED_VALUE"""),"넘버")</f>
        <v>넘버</v>
      </c>
      <c r="Q658" s="26" t="str">
        <f>IFERROR(__xludf.DUMMYFUNCTION("""COMPUTED_VALUE"""),"신형만")</f>
        <v>신형만</v>
      </c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27" t="s">
        <v>2889</v>
      </c>
      <c r="B659" s="28" t="s">
        <v>2890</v>
      </c>
      <c r="C659" s="27" t="s">
        <v>2891</v>
      </c>
      <c r="D659" s="27">
        <v>5.0</v>
      </c>
      <c r="E659" s="27" t="s">
        <v>2892</v>
      </c>
      <c r="F659" s="27">
        <v>2.0</v>
      </c>
      <c r="G659" s="29">
        <v>45773.05694444444</v>
      </c>
      <c r="H659" s="27" t="s">
        <v>2888</v>
      </c>
      <c r="I659" s="18"/>
      <c r="J659" s="25" t="str">
        <f>IFERROR(__xludf.DUMMYFUNCTION("ARRAYFORMULA(REGEXEXTRACT(SPLIT(C659, ""&lt;br&gt;""), ""([가-힣A-Za-z]+)""))"),"유망")</f>
        <v>유망</v>
      </c>
      <c r="K659" s="26" t="str">
        <f>IFERROR(__xludf.DUMMYFUNCTION("""COMPUTED_VALUE"""),"깡패")</f>
        <v>깡패</v>
      </c>
      <c r="L659" s="26" t="str">
        <f>IFERROR(__xludf.DUMMYFUNCTION("""COMPUTED_VALUE"""),"넘버")</f>
        <v>넘버</v>
      </c>
      <c r="M659" s="26" t="str">
        <f>IFERROR(__xludf.DUMMYFUNCTION("""COMPUTED_VALUE"""),"민우")</f>
        <v>민우</v>
      </c>
      <c r="N659" s="26" t="str">
        <f>IFERROR(__xludf.DUMMYFUNCTION("ARRAYFORMULA(REGEXEXTRACT(SPLIT(E659, ""&lt;br&gt;""), ""([가-힣A-Za-z]+)""))"),"신형만")</f>
        <v>신형만</v>
      </c>
      <c r="O659" s="26" t="str">
        <f>IFERROR(__xludf.DUMMYFUNCTION("""COMPUTED_VALUE"""),"원")</f>
        <v>원</v>
      </c>
      <c r="P659" s="26" t="str">
        <f>IFERROR(__xludf.DUMMYFUNCTION("""COMPUTED_VALUE"""),"참치")</f>
        <v>참치</v>
      </c>
      <c r="Q659" s="26" t="str">
        <f>IFERROR(__xludf.DUMMYFUNCTION("""COMPUTED_VALUE"""),"솔")</f>
        <v>솔</v>
      </c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27" t="s">
        <v>2893</v>
      </c>
      <c r="B660" s="28" t="s">
        <v>2894</v>
      </c>
      <c r="C660" s="27" t="s">
        <v>2895</v>
      </c>
      <c r="D660" s="27">
        <v>5.0</v>
      </c>
      <c r="E660" s="27" t="s">
        <v>2896</v>
      </c>
      <c r="F660" s="27">
        <v>3.0</v>
      </c>
      <c r="G660" s="29">
        <v>45773.03194444445</v>
      </c>
      <c r="H660" s="27" t="s">
        <v>2888</v>
      </c>
      <c r="I660" s="18"/>
      <c r="J660" s="25" t="str">
        <f>IFERROR(__xludf.DUMMYFUNCTION("ARRAYFORMULA(REGEXEXTRACT(SPLIT(C660, ""&lt;br&gt;""), ""([가-힣A-Za-z]+)""))"),"넘버")</f>
        <v>넘버</v>
      </c>
      <c r="K660" s="26" t="str">
        <f>IFERROR(__xludf.DUMMYFUNCTION("""COMPUTED_VALUE"""),"깡패")</f>
        <v>깡패</v>
      </c>
      <c r="L660" s="26" t="str">
        <f>IFERROR(__xludf.DUMMYFUNCTION("""COMPUTED_VALUE"""),"원")</f>
        <v>원</v>
      </c>
      <c r="M660" s="26" t="str">
        <f>IFERROR(__xludf.DUMMYFUNCTION("""COMPUTED_VALUE"""),"신형만")</f>
        <v>신형만</v>
      </c>
      <c r="N660" s="26" t="str">
        <f>IFERROR(__xludf.DUMMYFUNCTION("ARRAYFORMULA(REGEXEXTRACT(SPLIT(E660, ""&lt;br&gt;""), ""([가-힣A-Za-z]+)""))"),"민우")</f>
        <v>민우</v>
      </c>
      <c r="O660" s="26" t="str">
        <f>IFERROR(__xludf.DUMMYFUNCTION("""COMPUTED_VALUE"""),"참치")</f>
        <v>참치</v>
      </c>
      <c r="P660" s="26" t="str">
        <f>IFERROR(__xludf.DUMMYFUNCTION("""COMPUTED_VALUE"""),"솔")</f>
        <v>솔</v>
      </c>
      <c r="Q660" s="26" t="str">
        <f>IFERROR(__xludf.DUMMYFUNCTION("""COMPUTED_VALUE"""),"유망")</f>
        <v>유망</v>
      </c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27" t="s">
        <v>2897</v>
      </c>
      <c r="B661" s="28" t="s">
        <v>2898</v>
      </c>
      <c r="C661" s="27" t="s">
        <v>2899</v>
      </c>
      <c r="D661" s="27">
        <v>5.0</v>
      </c>
      <c r="E661" s="27" t="s">
        <v>2900</v>
      </c>
      <c r="F661" s="27">
        <v>2.0</v>
      </c>
      <c r="G661" s="29">
        <v>45773.01458333333</v>
      </c>
      <c r="H661" s="27" t="s">
        <v>2888</v>
      </c>
      <c r="I661" s="18"/>
      <c r="J661" s="25" t="str">
        <f>IFERROR(__xludf.DUMMYFUNCTION("ARRAYFORMULA(REGEXEXTRACT(SPLIT(C661, ""&lt;br&gt;""), ""([가-힣A-Za-z]+)""))"),"민우")</f>
        <v>민우</v>
      </c>
      <c r="K661" s="26" t="str">
        <f>IFERROR(__xludf.DUMMYFUNCTION("""COMPUTED_VALUE"""),"원")</f>
        <v>원</v>
      </c>
      <c r="L661" s="26" t="str">
        <f>IFERROR(__xludf.DUMMYFUNCTION("""COMPUTED_VALUE"""),"신형만")</f>
        <v>신형만</v>
      </c>
      <c r="M661" s="26" t="str">
        <f>IFERROR(__xludf.DUMMYFUNCTION("""COMPUTED_VALUE"""),"솔")</f>
        <v>솔</v>
      </c>
      <c r="N661" s="26" t="str">
        <f>IFERROR(__xludf.DUMMYFUNCTION("ARRAYFORMULA(REGEXEXTRACT(SPLIT(E661, ""&lt;br&gt;""), ""([가-힣A-Za-z]+)""))"),"유망")</f>
        <v>유망</v>
      </c>
      <c r="O661" s="26" t="str">
        <f>IFERROR(__xludf.DUMMYFUNCTION("""COMPUTED_VALUE"""),"참치")</f>
        <v>참치</v>
      </c>
      <c r="P661" s="26" t="str">
        <f>IFERROR(__xludf.DUMMYFUNCTION("""COMPUTED_VALUE"""),"깡패")</f>
        <v>깡패</v>
      </c>
      <c r="Q661" s="26" t="str">
        <f>IFERROR(__xludf.DUMMYFUNCTION("""COMPUTED_VALUE"""),"넘버")</f>
        <v>넘버</v>
      </c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27" t="s">
        <v>2901</v>
      </c>
      <c r="B662" s="28" t="s">
        <v>2902</v>
      </c>
      <c r="C662" s="27" t="s">
        <v>2903</v>
      </c>
      <c r="D662" s="27">
        <v>5.0</v>
      </c>
      <c r="E662" s="27" t="s">
        <v>2904</v>
      </c>
      <c r="F662" s="27">
        <v>1.0</v>
      </c>
      <c r="G662" s="29">
        <v>45772.990277777775</v>
      </c>
      <c r="H662" s="27" t="s">
        <v>2888</v>
      </c>
      <c r="I662" s="18"/>
      <c r="J662" s="25" t="str">
        <f>IFERROR(__xludf.DUMMYFUNCTION("ARRAYFORMULA(REGEXEXTRACT(SPLIT(C662, ""&lt;br&gt;""), ""([가-힣A-Za-z]+)""))"),"유망")</f>
        <v>유망</v>
      </c>
      <c r="K662" s="26" t="str">
        <f>IFERROR(__xludf.DUMMYFUNCTION("""COMPUTED_VALUE"""),"원")</f>
        <v>원</v>
      </c>
      <c r="L662" s="26" t="str">
        <f>IFERROR(__xludf.DUMMYFUNCTION("""COMPUTED_VALUE"""),"신형만")</f>
        <v>신형만</v>
      </c>
      <c r="M662" s="26" t="str">
        <f>IFERROR(__xludf.DUMMYFUNCTION("""COMPUTED_VALUE"""),"깡패")</f>
        <v>깡패</v>
      </c>
      <c r="N662" s="26" t="str">
        <f>IFERROR(__xludf.DUMMYFUNCTION("ARRAYFORMULA(REGEXEXTRACT(SPLIT(E662, ""&lt;br&gt;""), ""([가-힣A-Za-z]+)""))"),"넘버")</f>
        <v>넘버</v>
      </c>
      <c r="O662" s="26" t="str">
        <f>IFERROR(__xludf.DUMMYFUNCTION("""COMPUTED_VALUE"""),"참치")</f>
        <v>참치</v>
      </c>
      <c r="P662" s="26" t="str">
        <f>IFERROR(__xludf.DUMMYFUNCTION("""COMPUTED_VALUE"""),"솔")</f>
        <v>솔</v>
      </c>
      <c r="Q662" s="26" t="str">
        <f>IFERROR(__xludf.DUMMYFUNCTION("""COMPUTED_VALUE"""),"민우")</f>
        <v>민우</v>
      </c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27" t="s">
        <v>2905</v>
      </c>
      <c r="B663" s="28" t="s">
        <v>2906</v>
      </c>
      <c r="C663" s="27" t="s">
        <v>2907</v>
      </c>
      <c r="D663" s="27">
        <v>5.0</v>
      </c>
      <c r="E663" s="27" t="s">
        <v>2908</v>
      </c>
      <c r="F663" s="27">
        <v>2.0</v>
      </c>
      <c r="G663" s="29">
        <v>45772.97708333333</v>
      </c>
      <c r="H663" s="27" t="s">
        <v>2888</v>
      </c>
      <c r="I663" s="18"/>
      <c r="J663" s="25" t="str">
        <f>IFERROR(__xludf.DUMMYFUNCTION("ARRAYFORMULA(REGEXEXTRACT(SPLIT(C663, ""&lt;br&gt;""), ""([가-힣A-Za-z]+)""))"),"원")</f>
        <v>원</v>
      </c>
      <c r="K663" s="26" t="str">
        <f>IFERROR(__xludf.DUMMYFUNCTION("""COMPUTED_VALUE"""),"참치")</f>
        <v>참치</v>
      </c>
      <c r="L663" s="26" t="str">
        <f>IFERROR(__xludf.DUMMYFUNCTION("""COMPUTED_VALUE"""),"깡패")</f>
        <v>깡패</v>
      </c>
      <c r="M663" s="26" t="str">
        <f>IFERROR(__xludf.DUMMYFUNCTION("""COMPUTED_VALUE"""),"솔")</f>
        <v>솔</v>
      </c>
      <c r="N663" s="26" t="str">
        <f>IFERROR(__xludf.DUMMYFUNCTION("ARRAYFORMULA(REGEXEXTRACT(SPLIT(E663, ""&lt;br&gt;""), ""([가-힣A-Za-z]+)""))"),"유망")</f>
        <v>유망</v>
      </c>
      <c r="O663" s="26" t="str">
        <f>IFERROR(__xludf.DUMMYFUNCTION("""COMPUTED_VALUE"""),"ACDC")</f>
        <v>ACDC</v>
      </c>
      <c r="P663" s="26" t="str">
        <f>IFERROR(__xludf.DUMMYFUNCTION("""COMPUTED_VALUE"""),"신형만")</f>
        <v>신형만</v>
      </c>
      <c r="Q663" s="26" t="str">
        <f>IFERROR(__xludf.DUMMYFUNCTION("""COMPUTED_VALUE"""),"민우")</f>
        <v>민우</v>
      </c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27" t="s">
        <v>2909</v>
      </c>
      <c r="B664" s="28" t="s">
        <v>2910</v>
      </c>
      <c r="C664" s="27" t="s">
        <v>2911</v>
      </c>
      <c r="D664" s="27">
        <v>5.0</v>
      </c>
      <c r="E664" s="27" t="s">
        <v>2912</v>
      </c>
      <c r="F664" s="27">
        <v>2.0</v>
      </c>
      <c r="G664" s="29">
        <v>45772.96041666667</v>
      </c>
      <c r="H664" s="27" t="s">
        <v>2888</v>
      </c>
      <c r="I664" s="18"/>
      <c r="J664" s="25" t="str">
        <f>IFERROR(__xludf.DUMMYFUNCTION("ARRAYFORMULA(REGEXEXTRACT(SPLIT(C664, ""&lt;br&gt;""), ""([가-힣A-Za-z]+)""))"),"참치")</f>
        <v>참치</v>
      </c>
      <c r="K664" s="26" t="str">
        <f>IFERROR(__xludf.DUMMYFUNCTION("""COMPUTED_VALUE"""),"원")</f>
        <v>원</v>
      </c>
      <c r="L664" s="26" t="str">
        <f>IFERROR(__xludf.DUMMYFUNCTION("""COMPUTED_VALUE"""),"민우")</f>
        <v>민우</v>
      </c>
      <c r="M664" s="26" t="str">
        <f>IFERROR(__xludf.DUMMYFUNCTION("""COMPUTED_VALUE"""),"유망")</f>
        <v>유망</v>
      </c>
      <c r="N664" s="26" t="str">
        <f>IFERROR(__xludf.DUMMYFUNCTION("ARRAYFORMULA(REGEXEXTRACT(SPLIT(E664, ""&lt;br&gt;""), ""([가-힣A-Za-z]+)""))"),"솔")</f>
        <v>솔</v>
      </c>
      <c r="O664" s="26" t="str">
        <f>IFERROR(__xludf.DUMMYFUNCTION("""COMPUTED_VALUE"""),"깡패")</f>
        <v>깡패</v>
      </c>
      <c r="P664" s="26" t="str">
        <f>IFERROR(__xludf.DUMMYFUNCTION("""COMPUTED_VALUE"""),"ACDC")</f>
        <v>ACDC</v>
      </c>
      <c r="Q664" s="26" t="str">
        <f>IFERROR(__xludf.DUMMYFUNCTION("""COMPUTED_VALUE"""),"신형만")</f>
        <v>신형만</v>
      </c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27" t="s">
        <v>2913</v>
      </c>
      <c r="B665" s="28" t="s">
        <v>2914</v>
      </c>
      <c r="C665" s="27" t="s">
        <v>2915</v>
      </c>
      <c r="D665" s="27">
        <v>5.0</v>
      </c>
      <c r="E665" s="27" t="s">
        <v>2916</v>
      </c>
      <c r="F665" s="27">
        <v>1.0</v>
      </c>
      <c r="G665" s="29">
        <v>45772.959027777775</v>
      </c>
      <c r="H665" s="27" t="s">
        <v>2888</v>
      </c>
      <c r="I665" s="18"/>
      <c r="J665" s="25" t="str">
        <f>IFERROR(__xludf.DUMMYFUNCTION("ARRAYFORMULA(REGEXEXTRACT(SPLIT(C665, ""&lt;br&gt;""), ""([가-힣A-Za-z]+)""))"),"민우")</f>
        <v>민우</v>
      </c>
      <c r="K665" s="26" t="str">
        <f>IFERROR(__xludf.DUMMYFUNCTION("""COMPUTED_VALUE"""),"깡패")</f>
        <v>깡패</v>
      </c>
      <c r="L665" s="26" t="str">
        <f>IFERROR(__xludf.DUMMYFUNCTION("""COMPUTED_VALUE"""),"신형만")</f>
        <v>신형만</v>
      </c>
      <c r="M665" s="26" t="str">
        <f>IFERROR(__xludf.DUMMYFUNCTION("""COMPUTED_VALUE"""),"원")</f>
        <v>원</v>
      </c>
      <c r="N665" s="26" t="str">
        <f>IFERROR(__xludf.DUMMYFUNCTION("ARRAYFORMULA(REGEXEXTRACT(SPLIT(E665, ""&lt;br&gt;""), ""([가-힣A-Za-z]+)""))"),"참치")</f>
        <v>참치</v>
      </c>
      <c r="O665" s="26" t="str">
        <f>IFERROR(__xludf.DUMMYFUNCTION("""COMPUTED_VALUE"""),"ACDC")</f>
        <v>ACDC</v>
      </c>
      <c r="P665" s="26" t="str">
        <f>IFERROR(__xludf.DUMMYFUNCTION("""COMPUTED_VALUE"""),"솔")</f>
        <v>솔</v>
      </c>
      <c r="Q665" s="26" t="str">
        <f>IFERROR(__xludf.DUMMYFUNCTION("""COMPUTED_VALUE"""),"유망")</f>
        <v>유망</v>
      </c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27" t="s">
        <v>2917</v>
      </c>
      <c r="B666" s="28" t="s">
        <v>2918</v>
      </c>
      <c r="C666" s="27" t="s">
        <v>2919</v>
      </c>
      <c r="D666" s="27">
        <v>5.0</v>
      </c>
      <c r="E666" s="27" t="s">
        <v>2920</v>
      </c>
      <c r="F666" s="27">
        <v>1.0</v>
      </c>
      <c r="G666" s="29">
        <v>45772.91458333333</v>
      </c>
      <c r="H666" s="27" t="s">
        <v>2888</v>
      </c>
      <c r="I666" s="18"/>
      <c r="J666" s="25" t="str">
        <f>IFERROR(__xludf.DUMMYFUNCTION("ARRAYFORMULA(REGEXEXTRACT(SPLIT(C666, ""&lt;br&gt;""), ""([가-힣A-Za-z]+)""))"),"ACDC")</f>
        <v>ACDC</v>
      </c>
      <c r="K666" s="26" t="str">
        <f>IFERROR(__xludf.DUMMYFUNCTION("""COMPUTED_VALUE"""),"깡패")</f>
        <v>깡패</v>
      </c>
      <c r="L666" s="26" t="str">
        <f>IFERROR(__xludf.DUMMYFUNCTION("""COMPUTED_VALUE"""),"원")</f>
        <v>원</v>
      </c>
      <c r="M666" s="26" t="str">
        <f>IFERROR(__xludf.DUMMYFUNCTION("""COMPUTED_VALUE"""),"유망")</f>
        <v>유망</v>
      </c>
      <c r="N666" s="26" t="str">
        <f>IFERROR(__xludf.DUMMYFUNCTION("ARRAYFORMULA(REGEXEXTRACT(SPLIT(E666, ""&lt;br&gt;""), ""([가-힣A-Za-z]+)""))"),"솔")</f>
        <v>솔</v>
      </c>
      <c r="O666" s="26" t="str">
        <f>IFERROR(__xludf.DUMMYFUNCTION("""COMPUTED_VALUE"""),"참치")</f>
        <v>참치</v>
      </c>
      <c r="P666" s="26" t="str">
        <f>IFERROR(__xludf.DUMMYFUNCTION("""COMPUTED_VALUE"""),"신형만")</f>
        <v>신형만</v>
      </c>
      <c r="Q666" s="26" t="str">
        <f>IFERROR(__xludf.DUMMYFUNCTION("""COMPUTED_VALUE"""),"민우")</f>
        <v>민우</v>
      </c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27" t="s">
        <v>2921</v>
      </c>
      <c r="B667" s="28" t="s">
        <v>2922</v>
      </c>
      <c r="C667" s="27" t="s">
        <v>2923</v>
      </c>
      <c r="D667" s="27">
        <v>5.0</v>
      </c>
      <c r="E667" s="27" t="s">
        <v>2924</v>
      </c>
      <c r="F667" s="27">
        <v>2.0</v>
      </c>
      <c r="G667" s="29">
        <v>45769.06805555556</v>
      </c>
      <c r="H667" s="27" t="s">
        <v>2888</v>
      </c>
      <c r="I667" s="18"/>
      <c r="J667" s="25" t="str">
        <f>IFERROR(__xludf.DUMMYFUNCTION("ARRAYFORMULA(REGEXEXTRACT(SPLIT(C667, ""&lt;br&gt;""), ""([가-힣A-Za-z]+)""))"),"ACDC")</f>
        <v>ACDC</v>
      </c>
      <c r="K667" s="26" t="str">
        <f>IFERROR(__xludf.DUMMYFUNCTION("""COMPUTED_VALUE"""),"넘버")</f>
        <v>넘버</v>
      </c>
      <c r="L667" s="26" t="str">
        <f>IFERROR(__xludf.DUMMYFUNCTION("""COMPUTED_VALUE"""),"참치")</f>
        <v>참치</v>
      </c>
      <c r="M667" s="26" t="str">
        <f>IFERROR(__xludf.DUMMYFUNCTION("""COMPUTED_VALUE"""),"깡패")</f>
        <v>깡패</v>
      </c>
      <c r="N667" s="26" t="str">
        <f>IFERROR(__xludf.DUMMYFUNCTION("ARRAYFORMULA(REGEXEXTRACT(SPLIT(E667, ""&lt;br&gt;""), ""([가-힣A-Za-z]+)""))"),"터미")</f>
        <v>터미</v>
      </c>
      <c r="O667" s="26" t="str">
        <f>IFERROR(__xludf.DUMMYFUNCTION("""COMPUTED_VALUE"""),"신형만")</f>
        <v>신형만</v>
      </c>
      <c r="P667" s="26" t="str">
        <f>IFERROR(__xludf.DUMMYFUNCTION("""COMPUTED_VALUE"""),"규식")</f>
        <v>규식</v>
      </c>
      <c r="Q667" s="26" t="str">
        <f>IFERROR(__xludf.DUMMYFUNCTION("""COMPUTED_VALUE"""),"유망")</f>
        <v>유망</v>
      </c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27" t="s">
        <v>2925</v>
      </c>
      <c r="B668" s="28" t="s">
        <v>2926</v>
      </c>
      <c r="C668" s="27" t="s">
        <v>2927</v>
      </c>
      <c r="D668" s="27">
        <v>5.0</v>
      </c>
      <c r="E668" s="27" t="s">
        <v>2928</v>
      </c>
      <c r="F668" s="27">
        <v>1.0</v>
      </c>
      <c r="G668" s="29">
        <v>45769.02569444444</v>
      </c>
      <c r="H668" s="27" t="s">
        <v>2888</v>
      </c>
      <c r="I668" s="18"/>
      <c r="J668" s="25" t="str">
        <f>IFERROR(__xludf.DUMMYFUNCTION("ARRAYFORMULA(REGEXEXTRACT(SPLIT(C668, ""&lt;br&gt;""), ""([가-힣A-Za-z]+)""))"),"넘버")</f>
        <v>넘버</v>
      </c>
      <c r="K668" s="26" t="str">
        <f>IFERROR(__xludf.DUMMYFUNCTION("""COMPUTED_VALUE"""),"짱구")</f>
        <v>짱구</v>
      </c>
      <c r="L668" s="26" t="str">
        <f>IFERROR(__xludf.DUMMYFUNCTION("""COMPUTED_VALUE"""),"유망")</f>
        <v>유망</v>
      </c>
      <c r="M668" s="26" t="str">
        <f>IFERROR(__xludf.DUMMYFUNCTION("""COMPUTED_VALUE"""),"참치")</f>
        <v>참치</v>
      </c>
      <c r="N668" s="26" t="str">
        <f>IFERROR(__xludf.DUMMYFUNCTION("ARRAYFORMULA(REGEXEXTRACT(SPLIT(E668, ""&lt;br&gt;""), ""([가-힣A-Za-z]+)""))"),"깡패")</f>
        <v>깡패</v>
      </c>
      <c r="O668" s="26" t="str">
        <f>IFERROR(__xludf.DUMMYFUNCTION("""COMPUTED_VALUE"""),"신형만")</f>
        <v>신형만</v>
      </c>
      <c r="P668" s="26" t="str">
        <f>IFERROR(__xludf.DUMMYFUNCTION("""COMPUTED_VALUE"""),"ACDC")</f>
        <v>ACDC</v>
      </c>
      <c r="Q668" s="26" t="str">
        <f>IFERROR(__xludf.DUMMYFUNCTION("""COMPUTED_VALUE"""),"터미")</f>
        <v>터미</v>
      </c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27" t="s">
        <v>2929</v>
      </c>
      <c r="B669" s="28" t="s">
        <v>2930</v>
      </c>
      <c r="C669" s="27" t="s">
        <v>2931</v>
      </c>
      <c r="D669" s="27">
        <v>5.0</v>
      </c>
      <c r="E669" s="27" t="s">
        <v>2932</v>
      </c>
      <c r="F669" s="27">
        <v>4.0</v>
      </c>
      <c r="G669" s="29">
        <v>45769.00902777778</v>
      </c>
      <c r="H669" s="27" t="s">
        <v>2888</v>
      </c>
      <c r="I669" s="18"/>
      <c r="J669" s="25" t="str">
        <f>IFERROR(__xludf.DUMMYFUNCTION("ARRAYFORMULA(REGEXEXTRACT(SPLIT(C669, ""&lt;br&gt;""), ""([가-힣A-Za-z]+)""))"),"참치")</f>
        <v>참치</v>
      </c>
      <c r="K669" s="26" t="str">
        <f>IFERROR(__xludf.DUMMYFUNCTION("""COMPUTED_VALUE"""),"넘버")</f>
        <v>넘버</v>
      </c>
      <c r="L669" s="26" t="str">
        <f>IFERROR(__xludf.DUMMYFUNCTION("""COMPUTED_VALUE"""),"신형만")</f>
        <v>신형만</v>
      </c>
      <c r="M669" s="26" t="str">
        <f>IFERROR(__xludf.DUMMYFUNCTION("""COMPUTED_VALUE"""),"터미")</f>
        <v>터미</v>
      </c>
      <c r="N669" s="26" t="str">
        <f>IFERROR(__xludf.DUMMYFUNCTION("ARRAYFORMULA(REGEXEXTRACT(SPLIT(E669, ""&lt;br&gt;""), ""([가-힣A-Za-z]+)""))"),"짱구")</f>
        <v>짱구</v>
      </c>
      <c r="O669" s="26" t="str">
        <f>IFERROR(__xludf.DUMMYFUNCTION("""COMPUTED_VALUE"""),"ACDC")</f>
        <v>ACDC</v>
      </c>
      <c r="P669" s="26" t="str">
        <f>IFERROR(__xludf.DUMMYFUNCTION("""COMPUTED_VALUE"""),"유망")</f>
        <v>유망</v>
      </c>
      <c r="Q669" s="26" t="str">
        <f>IFERROR(__xludf.DUMMYFUNCTION("""COMPUTED_VALUE"""),"깡패")</f>
        <v>깡패</v>
      </c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27" t="s">
        <v>2933</v>
      </c>
      <c r="B670" s="28" t="s">
        <v>2934</v>
      </c>
      <c r="C670" s="27" t="s">
        <v>2935</v>
      </c>
      <c r="D670" s="27">
        <v>5.0</v>
      </c>
      <c r="E670" s="27" t="s">
        <v>2936</v>
      </c>
      <c r="F670" s="27">
        <v>2.0</v>
      </c>
      <c r="G670" s="29">
        <v>45768.98333333333</v>
      </c>
      <c r="H670" s="27" t="s">
        <v>2888</v>
      </c>
      <c r="I670" s="18"/>
      <c r="J670" s="25" t="str">
        <f>IFERROR(__xludf.DUMMYFUNCTION("ARRAYFORMULA(REGEXEXTRACT(SPLIT(C670, ""&lt;br&gt;""), ""([가-힣A-Za-z]+)""))"),"유망")</f>
        <v>유망</v>
      </c>
      <c r="K670" s="26" t="str">
        <f>IFERROR(__xludf.DUMMYFUNCTION("""COMPUTED_VALUE"""),"참치")</f>
        <v>참치</v>
      </c>
      <c r="L670" s="26" t="str">
        <f>IFERROR(__xludf.DUMMYFUNCTION("""COMPUTED_VALUE"""),"터미")</f>
        <v>터미</v>
      </c>
      <c r="M670" s="26" t="str">
        <f>IFERROR(__xludf.DUMMYFUNCTION("""COMPUTED_VALUE"""),"깡패")</f>
        <v>깡패</v>
      </c>
      <c r="N670" s="26" t="str">
        <f>IFERROR(__xludf.DUMMYFUNCTION("ARRAYFORMULA(REGEXEXTRACT(SPLIT(E670, ""&lt;br&gt;""), ""([가-힣A-Za-z]+)""))"),"짱구")</f>
        <v>짱구</v>
      </c>
      <c r="O670" s="26" t="str">
        <f>IFERROR(__xludf.DUMMYFUNCTION("""COMPUTED_VALUE"""),"넘버")</f>
        <v>넘버</v>
      </c>
      <c r="P670" s="26" t="str">
        <f>IFERROR(__xludf.DUMMYFUNCTION("""COMPUTED_VALUE"""),"ACDC")</f>
        <v>ACDC</v>
      </c>
      <c r="Q670" s="26" t="str">
        <f>IFERROR(__xludf.DUMMYFUNCTION("""COMPUTED_VALUE"""),"신형만")</f>
        <v>신형만</v>
      </c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27" t="s">
        <v>2937</v>
      </c>
      <c r="B671" s="28" t="s">
        <v>2938</v>
      </c>
      <c r="C671" s="27" t="s">
        <v>2939</v>
      </c>
      <c r="D671" s="27">
        <v>5.0</v>
      </c>
      <c r="E671" s="27" t="s">
        <v>2940</v>
      </c>
      <c r="F671" s="27">
        <v>4.0</v>
      </c>
      <c r="G671" s="29">
        <v>45768.92916666667</v>
      </c>
      <c r="H671" s="27" t="s">
        <v>2888</v>
      </c>
      <c r="I671" s="18"/>
      <c r="J671" s="25" t="str">
        <f>IFERROR(__xludf.DUMMYFUNCTION("ARRAYFORMULA(REGEXEXTRACT(SPLIT(C671, ""&lt;br&gt;""), ""([가-힣A-Za-z]+)""))"),"원")</f>
        <v>원</v>
      </c>
      <c r="K671" s="26" t="str">
        <f>IFERROR(__xludf.DUMMYFUNCTION("""COMPUTED_VALUE"""),"테리")</f>
        <v>테리</v>
      </c>
      <c r="L671" s="26" t="str">
        <f>IFERROR(__xludf.DUMMYFUNCTION("""COMPUTED_VALUE"""),"ACDC")</f>
        <v>ACDC</v>
      </c>
      <c r="M671" s="26" t="str">
        <f>IFERROR(__xludf.DUMMYFUNCTION("""COMPUTED_VALUE"""),"깡패")</f>
        <v>깡패</v>
      </c>
      <c r="N671" s="26" t="str">
        <f>IFERROR(__xludf.DUMMYFUNCTION("ARRAYFORMULA(REGEXEXTRACT(SPLIT(E671, ""&lt;br&gt;""), ""([가-힣A-Za-z]+)""))"),"짱구")</f>
        <v>짱구</v>
      </c>
      <c r="O671" s="26" t="str">
        <f>IFERROR(__xludf.DUMMYFUNCTION("""COMPUTED_VALUE"""),"참치")</f>
        <v>참치</v>
      </c>
      <c r="P671" s="26" t="str">
        <f>IFERROR(__xludf.DUMMYFUNCTION("""COMPUTED_VALUE"""),"신형만")</f>
        <v>신형만</v>
      </c>
      <c r="Q671" s="26" t="str">
        <f>IFERROR(__xludf.DUMMYFUNCTION("""COMPUTED_VALUE"""),"넘버")</f>
        <v>넘버</v>
      </c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27" t="s">
        <v>2941</v>
      </c>
      <c r="B672" s="28" t="s">
        <v>2942</v>
      </c>
      <c r="C672" s="27" t="s">
        <v>2943</v>
      </c>
      <c r="D672" s="27">
        <v>5.0</v>
      </c>
      <c r="E672" s="27" t="s">
        <v>2944</v>
      </c>
      <c r="F672" s="27">
        <v>4.0</v>
      </c>
      <c r="G672" s="29">
        <v>45768.893055555556</v>
      </c>
      <c r="H672" s="27" t="s">
        <v>2888</v>
      </c>
      <c r="I672" s="18"/>
      <c r="J672" s="25" t="str">
        <f>IFERROR(__xludf.DUMMYFUNCTION("ARRAYFORMULA(REGEXEXTRACT(SPLIT(C672, ""&lt;br&gt;""), ""([가-힣A-Za-z]+)""))"),"짱구")</f>
        <v>짱구</v>
      </c>
      <c r="K672" s="26" t="str">
        <f>IFERROR(__xludf.DUMMYFUNCTION("""COMPUTED_VALUE"""),"원")</f>
        <v>원</v>
      </c>
      <c r="L672" s="26" t="str">
        <f>IFERROR(__xludf.DUMMYFUNCTION("""COMPUTED_VALUE"""),"깡패")</f>
        <v>깡패</v>
      </c>
      <c r="M672" s="26" t="str">
        <f>IFERROR(__xludf.DUMMYFUNCTION("""COMPUTED_VALUE"""),"넘버")</f>
        <v>넘버</v>
      </c>
      <c r="N672" s="26" t="str">
        <f>IFERROR(__xludf.DUMMYFUNCTION("ARRAYFORMULA(REGEXEXTRACT(SPLIT(E672, ""&lt;br&gt;""), ""([가-힣A-Za-z]+)""))"),"신형만")</f>
        <v>신형만</v>
      </c>
      <c r="O672" s="26" t="str">
        <f>IFERROR(__xludf.DUMMYFUNCTION("""COMPUTED_VALUE"""),"ACDC")</f>
        <v>ACDC</v>
      </c>
      <c r="P672" s="26" t="str">
        <f>IFERROR(__xludf.DUMMYFUNCTION("""COMPUTED_VALUE"""),"테리")</f>
        <v>테리</v>
      </c>
      <c r="Q672" s="26" t="str">
        <f>IFERROR(__xludf.DUMMYFUNCTION("""COMPUTED_VALUE"""),"참치")</f>
        <v>참치</v>
      </c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27" t="s">
        <v>2945</v>
      </c>
      <c r="B673" s="28" t="s">
        <v>2946</v>
      </c>
      <c r="C673" s="27" t="s">
        <v>2947</v>
      </c>
      <c r="D673" s="27">
        <v>5.0</v>
      </c>
      <c r="E673" s="27" t="s">
        <v>2948</v>
      </c>
      <c r="F673" s="27">
        <v>4.0</v>
      </c>
      <c r="G673" s="29">
        <v>45765.040972222225</v>
      </c>
      <c r="H673" s="27" t="s">
        <v>2888</v>
      </c>
      <c r="I673" s="18"/>
      <c r="J673" s="25" t="str">
        <f>IFERROR(__xludf.DUMMYFUNCTION("ARRAYFORMULA(REGEXEXTRACT(SPLIT(C673, ""&lt;br&gt;""), ""([가-힣A-Za-z]+)""))"),"넘버")</f>
        <v>넘버</v>
      </c>
      <c r="K673" s="26" t="str">
        <f>IFERROR(__xludf.DUMMYFUNCTION("""COMPUTED_VALUE"""),"ACDC")</f>
        <v>ACDC</v>
      </c>
      <c r="L673" s="26" t="str">
        <f>IFERROR(__xludf.DUMMYFUNCTION("""COMPUTED_VALUE"""),"신형만")</f>
        <v>신형만</v>
      </c>
      <c r="M673" s="26" t="str">
        <f>IFERROR(__xludf.DUMMYFUNCTION("""COMPUTED_VALUE"""),"원")</f>
        <v>원</v>
      </c>
      <c r="N673" s="26" t="str">
        <f>IFERROR(__xludf.DUMMYFUNCTION("ARRAYFORMULA(REGEXEXTRACT(SPLIT(E673, ""&lt;br&gt;""), ""([가-힣A-Za-z]+)""))"),"참치")</f>
        <v>참치</v>
      </c>
      <c r="O673" s="26" t="str">
        <f>IFERROR(__xludf.DUMMYFUNCTION("""COMPUTED_VALUE"""),"깡패")</f>
        <v>깡패</v>
      </c>
      <c r="P673" s="26" t="str">
        <f>IFERROR(__xludf.DUMMYFUNCTION("""COMPUTED_VALUE"""),"한메")</f>
        <v>한메</v>
      </c>
      <c r="Q673" s="26" t="str">
        <f>IFERROR(__xludf.DUMMYFUNCTION("""COMPUTED_VALUE"""),"유망")</f>
        <v>유망</v>
      </c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27" t="s">
        <v>2949</v>
      </c>
      <c r="B674" s="28" t="s">
        <v>2950</v>
      </c>
      <c r="C674" s="27" t="s">
        <v>2951</v>
      </c>
      <c r="D674" s="27">
        <v>5.0</v>
      </c>
      <c r="E674" s="27" t="s">
        <v>2952</v>
      </c>
      <c r="F674" s="27">
        <v>3.0</v>
      </c>
      <c r="G674" s="29">
        <v>45765.006944444445</v>
      </c>
      <c r="H674" s="27" t="s">
        <v>2888</v>
      </c>
      <c r="I674" s="18"/>
      <c r="J674" s="25" t="str">
        <f>IFERROR(__xludf.DUMMYFUNCTION("ARRAYFORMULA(REGEXEXTRACT(SPLIT(C674, ""&lt;br&gt;""), ""([가-힣A-Za-z]+)""))"),"원")</f>
        <v>원</v>
      </c>
      <c r="K674" s="26" t="str">
        <f>IFERROR(__xludf.DUMMYFUNCTION("""COMPUTED_VALUE"""),"ACDC")</f>
        <v>ACDC</v>
      </c>
      <c r="L674" s="26" t="str">
        <f>IFERROR(__xludf.DUMMYFUNCTION("""COMPUTED_VALUE"""),"한메")</f>
        <v>한메</v>
      </c>
      <c r="M674" s="26" t="str">
        <f>IFERROR(__xludf.DUMMYFUNCTION("""COMPUTED_VALUE"""),"깡패")</f>
        <v>깡패</v>
      </c>
      <c r="N674" s="26" t="str">
        <f>IFERROR(__xludf.DUMMYFUNCTION("ARRAYFORMULA(REGEXEXTRACT(SPLIT(E674, ""&lt;br&gt;""), ""([가-힣A-Za-z]+)""))"),"유망")</f>
        <v>유망</v>
      </c>
      <c r="O674" s="26" t="str">
        <f>IFERROR(__xludf.DUMMYFUNCTION("""COMPUTED_VALUE"""),"넘버")</f>
        <v>넘버</v>
      </c>
      <c r="P674" s="26" t="str">
        <f>IFERROR(__xludf.DUMMYFUNCTION("""COMPUTED_VALUE"""),"참치")</f>
        <v>참치</v>
      </c>
      <c r="Q674" s="26" t="str">
        <f>IFERROR(__xludf.DUMMYFUNCTION("""COMPUTED_VALUE"""),"신형만")</f>
        <v>신형만</v>
      </c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27" t="s">
        <v>2953</v>
      </c>
      <c r="B675" s="28" t="s">
        <v>2954</v>
      </c>
      <c r="C675" s="27" t="s">
        <v>2955</v>
      </c>
      <c r="D675" s="27">
        <v>5.0</v>
      </c>
      <c r="E675" s="27" t="s">
        <v>2956</v>
      </c>
      <c r="F675" s="27">
        <v>4.0</v>
      </c>
      <c r="G675" s="29">
        <v>45764.97361111111</v>
      </c>
      <c r="H675" s="27" t="s">
        <v>2888</v>
      </c>
      <c r="I675" s="18"/>
      <c r="J675" s="25" t="str">
        <f>IFERROR(__xludf.DUMMYFUNCTION("ARRAYFORMULA(REGEXEXTRACT(SPLIT(C675, ""&lt;br&gt;""), ""([가-힣A-Za-z]+)""))"),"유망")</f>
        <v>유망</v>
      </c>
      <c r="K675" s="26" t="str">
        <f>IFERROR(__xludf.DUMMYFUNCTION("""COMPUTED_VALUE"""),"참치")</f>
        <v>참치</v>
      </c>
      <c r="L675" s="26" t="str">
        <f>IFERROR(__xludf.DUMMYFUNCTION("""COMPUTED_VALUE"""),"깡패")</f>
        <v>깡패</v>
      </c>
      <c r="M675" s="26" t="str">
        <f>IFERROR(__xludf.DUMMYFUNCTION("""COMPUTED_VALUE"""),"원")</f>
        <v>원</v>
      </c>
      <c r="N675" s="26" t="str">
        <f>IFERROR(__xludf.DUMMYFUNCTION("ARRAYFORMULA(REGEXEXTRACT(SPLIT(E675, ""&lt;br&gt;""), ""([가-힣A-Za-z]+)""))"),"신형만")</f>
        <v>신형만</v>
      </c>
      <c r="O675" s="26" t="str">
        <f>IFERROR(__xludf.DUMMYFUNCTION("""COMPUTED_VALUE"""),"짱구")</f>
        <v>짱구</v>
      </c>
      <c r="P675" s="26" t="str">
        <f>IFERROR(__xludf.DUMMYFUNCTION("""COMPUTED_VALUE"""),"ACDC")</f>
        <v>ACDC</v>
      </c>
      <c r="Q675" s="26" t="str">
        <f>IFERROR(__xludf.DUMMYFUNCTION("""COMPUTED_VALUE"""),"한메")</f>
        <v>한메</v>
      </c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27" t="s">
        <v>2957</v>
      </c>
      <c r="B676" s="28" t="s">
        <v>2958</v>
      </c>
      <c r="C676" s="27" t="s">
        <v>2959</v>
      </c>
      <c r="D676" s="27">
        <v>5.0</v>
      </c>
      <c r="E676" s="27" t="s">
        <v>2960</v>
      </c>
      <c r="F676" s="27">
        <v>4.0</v>
      </c>
      <c r="G676" s="29">
        <v>45764.94930555556</v>
      </c>
      <c r="H676" s="27" t="s">
        <v>2888</v>
      </c>
      <c r="I676" s="18"/>
      <c r="J676" s="25" t="str">
        <f>IFERROR(__xludf.DUMMYFUNCTION("ARRAYFORMULA(REGEXEXTRACT(SPLIT(C676, ""&lt;br&gt;""), ""([가-힣A-Za-z]+)""))"),"한메")</f>
        <v>한메</v>
      </c>
      <c r="K676" s="26" t="str">
        <f>IFERROR(__xludf.DUMMYFUNCTION("""COMPUTED_VALUE"""),"짱구")</f>
        <v>짱구</v>
      </c>
      <c r="L676" s="26" t="str">
        <f>IFERROR(__xludf.DUMMYFUNCTION("""COMPUTED_VALUE"""),"깡패")</f>
        <v>깡패</v>
      </c>
      <c r="M676" s="26" t="str">
        <f>IFERROR(__xludf.DUMMYFUNCTION("""COMPUTED_VALUE"""),"참치")</f>
        <v>참치</v>
      </c>
      <c r="N676" s="26" t="str">
        <f>IFERROR(__xludf.DUMMYFUNCTION("ARRAYFORMULA(REGEXEXTRACT(SPLIT(E676, ""&lt;br&gt;""), ""([가-힣A-Za-z]+)""))"),"신형만")</f>
        <v>신형만</v>
      </c>
      <c r="O676" s="26" t="str">
        <f>IFERROR(__xludf.DUMMYFUNCTION("""COMPUTED_VALUE"""),"원")</f>
        <v>원</v>
      </c>
      <c r="P676" s="26" t="str">
        <f>IFERROR(__xludf.DUMMYFUNCTION("""COMPUTED_VALUE"""),"ACDC")</f>
        <v>ACDC</v>
      </c>
      <c r="Q676" s="26" t="str">
        <f>IFERROR(__xludf.DUMMYFUNCTION("""COMPUTED_VALUE"""),"유망")</f>
        <v>유망</v>
      </c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27" t="s">
        <v>2961</v>
      </c>
      <c r="B677" s="28" t="s">
        <v>2962</v>
      </c>
      <c r="C677" s="27" t="s">
        <v>2963</v>
      </c>
      <c r="D677" s="27">
        <v>5.0</v>
      </c>
      <c r="E677" s="27" t="s">
        <v>2964</v>
      </c>
      <c r="F677" s="27">
        <v>3.0</v>
      </c>
      <c r="G677" s="29">
        <v>45760.995833333334</v>
      </c>
      <c r="H677" s="27" t="s">
        <v>2888</v>
      </c>
      <c r="I677" s="18"/>
      <c r="J677" s="25" t="str">
        <f>IFERROR(__xludf.DUMMYFUNCTION("ARRAYFORMULA(REGEXEXTRACT(SPLIT(C677, ""&lt;br&gt;""), ""([가-힣A-Za-z]+)""))"),"ACDC")</f>
        <v>ACDC</v>
      </c>
      <c r="K677" s="26" t="str">
        <f>IFERROR(__xludf.DUMMYFUNCTION("""COMPUTED_VALUE"""),"참치")</f>
        <v>참치</v>
      </c>
      <c r="L677" s="26" t="str">
        <f>IFERROR(__xludf.DUMMYFUNCTION("""COMPUTED_VALUE"""),"노인")</f>
        <v>노인</v>
      </c>
      <c r="M677" s="26" t="str">
        <f>IFERROR(__xludf.DUMMYFUNCTION("""COMPUTED_VALUE"""),"넘버")</f>
        <v>넘버</v>
      </c>
      <c r="N677" s="26" t="str">
        <f>IFERROR(__xludf.DUMMYFUNCTION("ARRAYFORMULA(REGEXEXTRACT(SPLIT(E677, ""&lt;br&gt;""), ""([가-힣A-Za-z]+)""))"),"짱구")</f>
        <v>짱구</v>
      </c>
      <c r="O677" s="26" t="str">
        <f>IFERROR(__xludf.DUMMYFUNCTION("""COMPUTED_VALUE"""),"필찌")</f>
        <v>필찌</v>
      </c>
      <c r="P677" s="26" t="str">
        <f>IFERROR(__xludf.DUMMYFUNCTION("""COMPUTED_VALUE"""),"한메")</f>
        <v>한메</v>
      </c>
      <c r="Q677" s="26" t="str">
        <f>IFERROR(__xludf.DUMMYFUNCTION("""COMPUTED_VALUE"""),"깡패")</f>
        <v>깡패</v>
      </c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27" t="s">
        <v>2965</v>
      </c>
      <c r="B678" s="28" t="s">
        <v>2966</v>
      </c>
      <c r="C678" s="27" t="s">
        <v>2967</v>
      </c>
      <c r="D678" s="27">
        <v>5.0</v>
      </c>
      <c r="E678" s="27" t="s">
        <v>2968</v>
      </c>
      <c r="F678" s="27">
        <v>1.0</v>
      </c>
      <c r="G678" s="29">
        <v>45760.97222222222</v>
      </c>
      <c r="H678" s="27" t="s">
        <v>2888</v>
      </c>
      <c r="I678" s="18"/>
      <c r="J678" s="25" t="str">
        <f>IFERROR(__xludf.DUMMYFUNCTION("ARRAYFORMULA(REGEXEXTRACT(SPLIT(C678, ""&lt;br&gt;""), ""([가-힣A-Za-z]+)""))"),"짱구")</f>
        <v>짱구</v>
      </c>
      <c r="K678" s="26" t="str">
        <f>IFERROR(__xludf.DUMMYFUNCTION("""COMPUTED_VALUE"""),"깡패")</f>
        <v>깡패</v>
      </c>
      <c r="L678" s="26" t="str">
        <f>IFERROR(__xludf.DUMMYFUNCTION("""COMPUTED_VALUE"""),"노픽업")</f>
        <v>노픽업</v>
      </c>
      <c r="M678" s="26" t="str">
        <f>IFERROR(__xludf.DUMMYFUNCTION("""COMPUTED_VALUE"""),"참치")</f>
        <v>참치</v>
      </c>
      <c r="N678" s="26" t="str">
        <f>IFERROR(__xludf.DUMMYFUNCTION("ARRAYFORMULA(REGEXEXTRACT(SPLIT(E678, ""&lt;br&gt;""), ""([가-힣A-Za-z]+)""))"),"필찌")</f>
        <v>필찌</v>
      </c>
      <c r="O678" s="26" t="str">
        <f>IFERROR(__xludf.DUMMYFUNCTION("""COMPUTED_VALUE"""),"ACDC")</f>
        <v>ACDC</v>
      </c>
      <c r="P678" s="26" t="str">
        <f>IFERROR(__xludf.DUMMYFUNCTION("""COMPUTED_VALUE"""),"한메")</f>
        <v>한메</v>
      </c>
      <c r="Q678" s="26" t="str">
        <f>IFERROR(__xludf.DUMMYFUNCTION("""COMPUTED_VALUE"""),"넘버")</f>
        <v>넘버</v>
      </c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27" t="s">
        <v>2969</v>
      </c>
      <c r="B679" s="28" t="s">
        <v>2970</v>
      </c>
      <c r="C679" s="27" t="s">
        <v>2971</v>
      </c>
      <c r="D679" s="27">
        <v>5.0</v>
      </c>
      <c r="E679" s="27" t="s">
        <v>2972</v>
      </c>
      <c r="F679" s="27">
        <v>3.0</v>
      </c>
      <c r="G679" s="29">
        <v>45760.950694444444</v>
      </c>
      <c r="H679" s="27" t="s">
        <v>2888</v>
      </c>
      <c r="I679" s="18"/>
      <c r="J679" s="25" t="str">
        <f>IFERROR(__xludf.DUMMYFUNCTION("ARRAYFORMULA(REGEXEXTRACT(SPLIT(C679, ""&lt;br&gt;""), ""([가-힣A-Za-z]+)""))"),"테리")</f>
        <v>테리</v>
      </c>
      <c r="K679" s="26" t="str">
        <f>IFERROR(__xludf.DUMMYFUNCTION("""COMPUTED_VALUE"""),"깡패")</f>
        <v>깡패</v>
      </c>
      <c r="L679" s="26" t="str">
        <f>IFERROR(__xludf.DUMMYFUNCTION("""COMPUTED_VALUE"""),"한메")</f>
        <v>한메</v>
      </c>
      <c r="M679" s="26" t="str">
        <f>IFERROR(__xludf.DUMMYFUNCTION("""COMPUTED_VALUE"""),"터미")</f>
        <v>터미</v>
      </c>
      <c r="N679" s="26" t="str">
        <f>IFERROR(__xludf.DUMMYFUNCTION("ARRAYFORMULA(REGEXEXTRACT(SPLIT(E679, ""&lt;br&gt;""), ""([가-힣A-Za-z]+)""))"),"웅")</f>
        <v>웅</v>
      </c>
      <c r="O679" s="26" t="str">
        <f>IFERROR(__xludf.DUMMYFUNCTION("""COMPUTED_VALUE"""),"ACDC")</f>
        <v>ACDC</v>
      </c>
      <c r="P679" s="26" t="str">
        <f>IFERROR(__xludf.DUMMYFUNCTION("""COMPUTED_VALUE"""),"노픽업")</f>
        <v>노픽업</v>
      </c>
      <c r="Q679" s="26" t="str">
        <f>IFERROR(__xludf.DUMMYFUNCTION("""COMPUTED_VALUE"""),"넘버")</f>
        <v>넘버</v>
      </c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27" t="s">
        <v>2973</v>
      </c>
      <c r="B680" s="28" t="s">
        <v>2974</v>
      </c>
      <c r="C680" s="27" t="s">
        <v>2975</v>
      </c>
      <c r="D680" s="27">
        <v>5.0</v>
      </c>
      <c r="E680" s="27" t="s">
        <v>2976</v>
      </c>
      <c r="F680" s="27">
        <v>4.0</v>
      </c>
      <c r="G680" s="29">
        <v>45760.93194444444</v>
      </c>
      <c r="H680" s="27" t="s">
        <v>2888</v>
      </c>
      <c r="I680" s="18"/>
      <c r="J680" s="25" t="str">
        <f>IFERROR(__xludf.DUMMYFUNCTION("ARRAYFORMULA(REGEXEXTRACT(SPLIT(C680, ""&lt;br&gt;""), ""([가-힣A-Za-z]+)""))"),"테리")</f>
        <v>테리</v>
      </c>
      <c r="K680" s="26" t="str">
        <f>IFERROR(__xludf.DUMMYFUNCTION("""COMPUTED_VALUE"""),"웅")</f>
        <v>웅</v>
      </c>
      <c r="L680" s="26" t="str">
        <f>IFERROR(__xludf.DUMMYFUNCTION("""COMPUTED_VALUE"""),"ACDC")</f>
        <v>ACDC</v>
      </c>
      <c r="M680" s="26" t="str">
        <f>IFERROR(__xludf.DUMMYFUNCTION("""COMPUTED_VALUE"""),"한메")</f>
        <v>한메</v>
      </c>
      <c r="N680" s="26" t="str">
        <f>IFERROR(__xludf.DUMMYFUNCTION("ARRAYFORMULA(REGEXEXTRACT(SPLIT(E680, ""&lt;br&gt;""), ""([가-힣A-Za-z]+)""))"),"넘버")</f>
        <v>넘버</v>
      </c>
      <c r="O680" s="26" t="str">
        <f>IFERROR(__xludf.DUMMYFUNCTION("""COMPUTED_VALUE"""),"노픽업")</f>
        <v>노픽업</v>
      </c>
      <c r="P680" s="26" t="str">
        <f>IFERROR(__xludf.DUMMYFUNCTION("""COMPUTED_VALUE"""),"신형만")</f>
        <v>신형만</v>
      </c>
      <c r="Q680" s="26" t="str">
        <f>IFERROR(__xludf.DUMMYFUNCTION("""COMPUTED_VALUE"""),"터미")</f>
        <v>터미</v>
      </c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27" t="s">
        <v>2977</v>
      </c>
      <c r="B681" s="28" t="s">
        <v>2978</v>
      </c>
      <c r="C681" s="27" t="s">
        <v>2979</v>
      </c>
      <c r="D681" s="27">
        <v>5.0</v>
      </c>
      <c r="E681" s="27" t="s">
        <v>2980</v>
      </c>
      <c r="F681" s="27">
        <v>3.0</v>
      </c>
      <c r="G681" s="29">
        <v>45760.90347222222</v>
      </c>
      <c r="H681" s="27" t="s">
        <v>2888</v>
      </c>
      <c r="I681" s="18"/>
      <c r="J681" s="25" t="str">
        <f>IFERROR(__xludf.DUMMYFUNCTION("ARRAYFORMULA(REGEXEXTRACT(SPLIT(C681, ""&lt;br&gt;""), ""([가-힣A-Za-z]+)""))"),"한메")</f>
        <v>한메</v>
      </c>
      <c r="K681" s="26" t="str">
        <f>IFERROR(__xludf.DUMMYFUNCTION("""COMPUTED_VALUE"""),"필찌")</f>
        <v>필찌</v>
      </c>
      <c r="L681" s="26" t="str">
        <f>IFERROR(__xludf.DUMMYFUNCTION("""COMPUTED_VALUE"""),"터미")</f>
        <v>터미</v>
      </c>
      <c r="M681" s="26" t="str">
        <f>IFERROR(__xludf.DUMMYFUNCTION("""COMPUTED_VALUE"""),"노픽업")</f>
        <v>노픽업</v>
      </c>
      <c r="N681" s="26" t="str">
        <f>IFERROR(__xludf.DUMMYFUNCTION("ARRAYFORMULA(REGEXEXTRACT(SPLIT(E681, ""&lt;br&gt;""), ""([가-힣A-Za-z]+)""))"),"신형만")</f>
        <v>신형만</v>
      </c>
      <c r="O681" s="26" t="str">
        <f>IFERROR(__xludf.DUMMYFUNCTION("""COMPUTED_VALUE"""),"ACDC")</f>
        <v>ACDC</v>
      </c>
      <c r="P681" s="26" t="str">
        <f>IFERROR(__xludf.DUMMYFUNCTION("""COMPUTED_VALUE"""),"테리")</f>
        <v>테리</v>
      </c>
      <c r="Q681" s="26" t="str">
        <f>IFERROR(__xludf.DUMMYFUNCTION("""COMPUTED_VALUE"""),"전투쥐")</f>
        <v>전투쥐</v>
      </c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27" t="s">
        <v>2981</v>
      </c>
      <c r="B682" s="28" t="s">
        <v>2982</v>
      </c>
      <c r="C682" s="27" t="s">
        <v>2983</v>
      </c>
      <c r="D682" s="27">
        <v>5.0</v>
      </c>
      <c r="E682" s="27" t="s">
        <v>2984</v>
      </c>
      <c r="F682" s="27">
        <v>4.0</v>
      </c>
      <c r="G682" s="29">
        <v>45760.87777777778</v>
      </c>
      <c r="H682" s="27" t="s">
        <v>2888</v>
      </c>
      <c r="I682" s="18"/>
      <c r="J682" s="25" t="str">
        <f>IFERROR(__xludf.DUMMYFUNCTION("ARRAYFORMULA(REGEXEXTRACT(SPLIT(C682, ""&lt;br&gt;""), ""([가-힣A-Za-z]+)""))"),"신형만")</f>
        <v>신형만</v>
      </c>
      <c r="K682" s="26" t="str">
        <f>IFERROR(__xludf.DUMMYFUNCTION("""COMPUTED_VALUE"""),"재명")</f>
        <v>재명</v>
      </c>
      <c r="L682" s="26" t="str">
        <f>IFERROR(__xludf.DUMMYFUNCTION("""COMPUTED_VALUE"""),"한메")</f>
        <v>한메</v>
      </c>
      <c r="M682" s="26" t="str">
        <f>IFERROR(__xludf.DUMMYFUNCTION("""COMPUTED_VALUE"""),"노픽업")</f>
        <v>노픽업</v>
      </c>
      <c r="N682" s="26" t="str">
        <f>IFERROR(__xludf.DUMMYFUNCTION("ARRAYFORMULA(REGEXEXTRACT(SPLIT(E682, ""&lt;br&gt;""), ""([가-힣A-Za-z]+)""))"),"전투쥐")</f>
        <v>전투쥐</v>
      </c>
      <c r="O682" s="26" t="str">
        <f>IFERROR(__xludf.DUMMYFUNCTION("""COMPUTED_VALUE"""),"테리")</f>
        <v>테리</v>
      </c>
      <c r="P682" s="26" t="str">
        <f>IFERROR(__xludf.DUMMYFUNCTION("""COMPUTED_VALUE"""),"필찌")</f>
        <v>필찌</v>
      </c>
      <c r="Q682" s="26" t="str">
        <f>IFERROR(__xludf.DUMMYFUNCTION("""COMPUTED_VALUE"""),"터미")</f>
        <v>터미</v>
      </c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27" t="s">
        <v>2985</v>
      </c>
      <c r="B683" s="28" t="s">
        <v>2986</v>
      </c>
      <c r="C683" s="27" t="s">
        <v>2987</v>
      </c>
      <c r="D683" s="27">
        <v>5.0</v>
      </c>
      <c r="E683" s="27" t="s">
        <v>2988</v>
      </c>
      <c r="F683" s="27">
        <v>1.0</v>
      </c>
      <c r="G683" s="29">
        <v>45760.850694444445</v>
      </c>
      <c r="H683" s="27" t="s">
        <v>2888</v>
      </c>
      <c r="I683" s="18"/>
      <c r="J683" s="25" t="str">
        <f>IFERROR(__xludf.DUMMYFUNCTION("ARRAYFORMULA(REGEXEXTRACT(SPLIT(C683, ""&lt;br&gt;""), ""([가-힣A-Za-z]+)""))"),"테리")</f>
        <v>테리</v>
      </c>
      <c r="K683" s="26" t="str">
        <f>IFERROR(__xludf.DUMMYFUNCTION("""COMPUTED_VALUE"""),"노픽업")</f>
        <v>노픽업</v>
      </c>
      <c r="L683" s="26" t="str">
        <f>IFERROR(__xludf.DUMMYFUNCTION("""COMPUTED_VALUE"""),"필찌")</f>
        <v>필찌</v>
      </c>
      <c r="M683" s="26" t="str">
        <f>IFERROR(__xludf.DUMMYFUNCTION("""COMPUTED_VALUE"""),"신형만")</f>
        <v>신형만</v>
      </c>
      <c r="N683" s="26" t="str">
        <f>IFERROR(__xludf.DUMMYFUNCTION("ARRAYFORMULA(REGEXEXTRACT(SPLIT(E683, ""&lt;br&gt;""), ""([가-힣A-Za-z]+)""))"),"한메")</f>
        <v>한메</v>
      </c>
      <c r="O683" s="26" t="str">
        <f>IFERROR(__xludf.DUMMYFUNCTION("""COMPUTED_VALUE"""),"재명")</f>
        <v>재명</v>
      </c>
      <c r="P683" s="26" t="str">
        <f>IFERROR(__xludf.DUMMYFUNCTION("""COMPUTED_VALUE"""),"터미")</f>
        <v>터미</v>
      </c>
      <c r="Q683" s="26" t="str">
        <f>IFERROR(__xludf.DUMMYFUNCTION("""COMPUTED_VALUE"""),"전투쥐")</f>
        <v>전투쥐</v>
      </c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27" t="s">
        <v>2989</v>
      </c>
      <c r="B684" s="28" t="s">
        <v>2990</v>
      </c>
      <c r="C684" s="27" t="s">
        <v>2991</v>
      </c>
      <c r="D684" s="27">
        <v>5.0</v>
      </c>
      <c r="E684" s="27" t="s">
        <v>2992</v>
      </c>
      <c r="F684" s="27">
        <v>2.0</v>
      </c>
      <c r="G684" s="29">
        <v>45757.072916666664</v>
      </c>
      <c r="H684" s="27" t="s">
        <v>2888</v>
      </c>
      <c r="I684" s="18"/>
      <c r="J684" s="25" t="str">
        <f>IFERROR(__xludf.DUMMYFUNCTION("ARRAYFORMULA(REGEXEXTRACT(SPLIT(C684, ""&lt;br&gt;""), ""([가-힣A-Za-z]+)""))"),"신형만")</f>
        <v>신형만</v>
      </c>
      <c r="K684" s="26" t="str">
        <f>IFERROR(__xludf.DUMMYFUNCTION("""COMPUTED_VALUE"""),"깡패")</f>
        <v>깡패</v>
      </c>
      <c r="L684" s="26" t="str">
        <f>IFERROR(__xludf.DUMMYFUNCTION("""COMPUTED_VALUE"""),"짱구")</f>
        <v>짱구</v>
      </c>
      <c r="M684" s="26" t="str">
        <f>IFERROR(__xludf.DUMMYFUNCTION("""COMPUTED_VALUE"""),"유망")</f>
        <v>유망</v>
      </c>
      <c r="N684" s="26" t="str">
        <f>IFERROR(__xludf.DUMMYFUNCTION("ARRAYFORMULA(REGEXEXTRACT(SPLIT(E684, ""&lt;br&gt;""), ""([가-힣A-Za-z]+)""))"),"터미")</f>
        <v>터미</v>
      </c>
      <c r="O684" s="26" t="str">
        <f>IFERROR(__xludf.DUMMYFUNCTION("""COMPUTED_VALUE"""),"참치")</f>
        <v>참치</v>
      </c>
      <c r="P684" s="26" t="str">
        <f>IFERROR(__xludf.DUMMYFUNCTION("""COMPUTED_VALUE"""),"ACDC")</f>
        <v>ACDC</v>
      </c>
      <c r="Q684" s="26" t="str">
        <f>IFERROR(__xludf.DUMMYFUNCTION("""COMPUTED_VALUE"""),"민우")</f>
        <v>민우</v>
      </c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27" t="s">
        <v>2993</v>
      </c>
      <c r="B685" s="28" t="s">
        <v>2994</v>
      </c>
      <c r="C685" s="27" t="s">
        <v>2995</v>
      </c>
      <c r="D685" s="27">
        <v>5.0</v>
      </c>
      <c r="E685" s="27" t="s">
        <v>2996</v>
      </c>
      <c r="F685" s="27">
        <v>1.0</v>
      </c>
      <c r="G685" s="29">
        <v>45757.04375</v>
      </c>
      <c r="H685" s="27" t="s">
        <v>2888</v>
      </c>
      <c r="I685" s="18"/>
      <c r="J685" s="25" t="str">
        <f>IFERROR(__xludf.DUMMYFUNCTION("ARRAYFORMULA(REGEXEXTRACT(SPLIT(C685, ""&lt;br&gt;""), ""([가-힣A-Za-z]+)""))"),"짱구")</f>
        <v>짱구</v>
      </c>
      <c r="K685" s="26" t="str">
        <f>IFERROR(__xludf.DUMMYFUNCTION("""COMPUTED_VALUE"""),"규식")</f>
        <v>규식</v>
      </c>
      <c r="L685" s="26" t="str">
        <f>IFERROR(__xludf.DUMMYFUNCTION("""COMPUTED_VALUE"""),"유망")</f>
        <v>유망</v>
      </c>
      <c r="M685" s="26" t="str">
        <f>IFERROR(__xludf.DUMMYFUNCTION("""COMPUTED_VALUE"""),"민우")</f>
        <v>민우</v>
      </c>
      <c r="N685" s="26" t="str">
        <f>IFERROR(__xludf.DUMMYFUNCTION("ARRAYFORMULA(REGEXEXTRACT(SPLIT(E685, ""&lt;br&gt;""), ""([가-힣A-Za-z]+)""))"),"참치")</f>
        <v>참치</v>
      </c>
      <c r="O685" s="26" t="str">
        <f>IFERROR(__xludf.DUMMYFUNCTION("""COMPUTED_VALUE"""),"웅")</f>
        <v>웅</v>
      </c>
      <c r="P685" s="26" t="str">
        <f>IFERROR(__xludf.DUMMYFUNCTION("""COMPUTED_VALUE"""),"ACDC")</f>
        <v>ACDC</v>
      </c>
      <c r="Q685" s="26" t="str">
        <f>IFERROR(__xludf.DUMMYFUNCTION("""COMPUTED_VALUE"""),"신형만")</f>
        <v>신형만</v>
      </c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27" t="s">
        <v>2997</v>
      </c>
      <c r="B686" s="28" t="s">
        <v>2998</v>
      </c>
      <c r="C686" s="27" t="s">
        <v>2999</v>
      </c>
      <c r="D686" s="27">
        <v>5.0</v>
      </c>
      <c r="E686" s="27" t="s">
        <v>3000</v>
      </c>
      <c r="F686" s="27">
        <v>2.0</v>
      </c>
      <c r="G686" s="29">
        <v>45757.03055555555</v>
      </c>
      <c r="H686" s="27" t="s">
        <v>2888</v>
      </c>
      <c r="I686" s="18"/>
      <c r="J686" s="25" t="str">
        <f>IFERROR(__xludf.DUMMYFUNCTION("ARRAYFORMULA(REGEXEXTRACT(SPLIT(C686, ""&lt;br&gt;""), ""([가-힣A-Za-z]+)""))"),"신형만")</f>
        <v>신형만</v>
      </c>
      <c r="K686" s="26" t="str">
        <f>IFERROR(__xludf.DUMMYFUNCTION("""COMPUTED_VALUE"""),"짱구")</f>
        <v>짱구</v>
      </c>
      <c r="L686" s="26" t="str">
        <f>IFERROR(__xludf.DUMMYFUNCTION("""COMPUTED_VALUE"""),"참치")</f>
        <v>참치</v>
      </c>
      <c r="M686" s="26" t="str">
        <f>IFERROR(__xludf.DUMMYFUNCTION("""COMPUTED_VALUE"""),"민우")</f>
        <v>민우</v>
      </c>
      <c r="N686" s="26" t="str">
        <f>IFERROR(__xludf.DUMMYFUNCTION("ARRAYFORMULA(REGEXEXTRACT(SPLIT(E686, ""&lt;br&gt;""), ""([가-힣A-Za-z]+)""))"),"웅")</f>
        <v>웅</v>
      </c>
      <c r="O686" s="26" t="str">
        <f>IFERROR(__xludf.DUMMYFUNCTION("""COMPUTED_VALUE"""),"규식")</f>
        <v>규식</v>
      </c>
      <c r="P686" s="26" t="str">
        <f>IFERROR(__xludf.DUMMYFUNCTION("""COMPUTED_VALUE"""),"ACDC")</f>
        <v>ACDC</v>
      </c>
      <c r="Q686" s="26" t="str">
        <f>IFERROR(__xludf.DUMMYFUNCTION("""COMPUTED_VALUE"""),"유망")</f>
        <v>유망</v>
      </c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27" t="s">
        <v>3001</v>
      </c>
      <c r="B687" s="28" t="s">
        <v>3002</v>
      </c>
      <c r="C687" s="27" t="s">
        <v>3003</v>
      </c>
      <c r="D687" s="27">
        <v>5.0</v>
      </c>
      <c r="E687" s="27" t="s">
        <v>3004</v>
      </c>
      <c r="F687" s="27">
        <v>4.0</v>
      </c>
      <c r="G687" s="29">
        <v>45757.00486111111</v>
      </c>
      <c r="H687" s="27" t="s">
        <v>2888</v>
      </c>
      <c r="I687" s="18"/>
      <c r="J687" s="25" t="str">
        <f>IFERROR(__xludf.DUMMYFUNCTION("ARRAYFORMULA(REGEXEXTRACT(SPLIT(C687, ""&lt;br&gt;""), ""([가-힣A-Za-z]+)""))"),"ACDC")</f>
        <v>ACDC</v>
      </c>
      <c r="K687" s="26" t="str">
        <f>IFERROR(__xludf.DUMMYFUNCTION("""COMPUTED_VALUE"""),"규식")</f>
        <v>규식</v>
      </c>
      <c r="L687" s="26" t="str">
        <f>IFERROR(__xludf.DUMMYFUNCTION("""COMPUTED_VALUE"""),"참치")</f>
        <v>참치</v>
      </c>
      <c r="M687" s="26" t="str">
        <f>IFERROR(__xludf.DUMMYFUNCTION("""COMPUTED_VALUE"""),"민우")</f>
        <v>민우</v>
      </c>
      <c r="N687" s="26" t="str">
        <f>IFERROR(__xludf.DUMMYFUNCTION("ARRAYFORMULA(REGEXEXTRACT(SPLIT(E687, ""&lt;br&gt;""), ""([가-힣A-Za-z]+)""))"),"짱구")</f>
        <v>짱구</v>
      </c>
      <c r="O687" s="26" t="str">
        <f>IFERROR(__xludf.DUMMYFUNCTION("""COMPUTED_VALUE"""),"웅")</f>
        <v>웅</v>
      </c>
      <c r="P687" s="26" t="str">
        <f>IFERROR(__xludf.DUMMYFUNCTION("""COMPUTED_VALUE"""),"유망")</f>
        <v>유망</v>
      </c>
      <c r="Q687" s="26" t="str">
        <f>IFERROR(__xludf.DUMMYFUNCTION("""COMPUTED_VALUE"""),"신형만")</f>
        <v>신형만</v>
      </c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27" t="s">
        <v>3005</v>
      </c>
      <c r="B688" s="28" t="s">
        <v>3006</v>
      </c>
      <c r="C688" s="27" t="s">
        <v>3007</v>
      </c>
      <c r="D688" s="27">
        <v>5.0</v>
      </c>
      <c r="E688" s="27" t="s">
        <v>3008</v>
      </c>
      <c r="F688" s="27">
        <v>4.0</v>
      </c>
      <c r="G688" s="29">
        <v>45756.959027777775</v>
      </c>
      <c r="H688" s="27" t="s">
        <v>2888</v>
      </c>
      <c r="I688" s="18"/>
      <c r="J688" s="25" t="str">
        <f>IFERROR(__xludf.DUMMYFUNCTION("ARRAYFORMULA(REGEXEXTRACT(SPLIT(C688, ""&lt;br&gt;""), ""([가-힣A-Za-z]+)""))"),"ACDC")</f>
        <v>ACDC</v>
      </c>
      <c r="K688" s="26" t="str">
        <f>IFERROR(__xludf.DUMMYFUNCTION("""COMPUTED_VALUE"""),"테리")</f>
        <v>테리</v>
      </c>
      <c r="L688" s="26" t="str">
        <f>IFERROR(__xludf.DUMMYFUNCTION("""COMPUTED_VALUE"""),"참치")</f>
        <v>참치</v>
      </c>
      <c r="M688" s="26" t="str">
        <f>IFERROR(__xludf.DUMMYFUNCTION("""COMPUTED_VALUE"""),"강화")</f>
        <v>강화</v>
      </c>
      <c r="N688" s="26" t="str">
        <f>IFERROR(__xludf.DUMMYFUNCTION("ARRAYFORMULA(REGEXEXTRACT(SPLIT(E688, ""&lt;br&gt;""), ""([가-힣A-Za-z]+)""))"),"신형만")</f>
        <v>신형만</v>
      </c>
      <c r="O688" s="26" t="str">
        <f>IFERROR(__xludf.DUMMYFUNCTION("""COMPUTED_VALUE"""),"웅")</f>
        <v>웅</v>
      </c>
      <c r="P688" s="26" t="str">
        <f>IFERROR(__xludf.DUMMYFUNCTION("""COMPUTED_VALUE"""),"노픽업")</f>
        <v>노픽업</v>
      </c>
      <c r="Q688" s="26" t="str">
        <f>IFERROR(__xludf.DUMMYFUNCTION("""COMPUTED_VALUE"""),"한메")</f>
        <v>한메</v>
      </c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27" t="s">
        <v>3009</v>
      </c>
      <c r="B689" s="28" t="s">
        <v>3010</v>
      </c>
      <c r="C689" s="27" t="s">
        <v>3011</v>
      </c>
      <c r="D689" s="27">
        <v>5.0</v>
      </c>
      <c r="E689" s="27" t="s">
        <v>3012</v>
      </c>
      <c r="F689" s="27">
        <v>1.0</v>
      </c>
      <c r="G689" s="29">
        <v>45756.9125</v>
      </c>
      <c r="H689" s="27" t="s">
        <v>2888</v>
      </c>
      <c r="I689" s="18"/>
      <c r="J689" s="25" t="str">
        <f>IFERROR(__xludf.DUMMYFUNCTION("ARRAYFORMULA(REGEXEXTRACT(SPLIT(C689, ""&lt;br&gt;""), ""([가-힣A-Za-z]+)""))"),"짱구")</f>
        <v>짱구</v>
      </c>
      <c r="K689" s="26" t="str">
        <f>IFERROR(__xludf.DUMMYFUNCTION("""COMPUTED_VALUE"""),"테리")</f>
        <v>테리</v>
      </c>
      <c r="L689" s="26" t="str">
        <f>IFERROR(__xludf.DUMMYFUNCTION("""COMPUTED_VALUE"""),"웅")</f>
        <v>웅</v>
      </c>
      <c r="M689" s="26" t="str">
        <f>IFERROR(__xludf.DUMMYFUNCTION("""COMPUTED_VALUE"""),"노픽업")</f>
        <v>노픽업</v>
      </c>
      <c r="N689" s="26" t="str">
        <f>IFERROR(__xludf.DUMMYFUNCTION("ARRAYFORMULA(REGEXEXTRACT(SPLIT(E689, ""&lt;br&gt;""), ""([가-힣A-Za-z]+)""))"),"한메")</f>
        <v>한메</v>
      </c>
      <c r="O689" s="26" t="str">
        <f>IFERROR(__xludf.DUMMYFUNCTION("""COMPUTED_VALUE"""),"ACDC")</f>
        <v>ACDC</v>
      </c>
      <c r="P689" s="26" t="str">
        <f>IFERROR(__xludf.DUMMYFUNCTION("""COMPUTED_VALUE"""),"강화")</f>
        <v>강화</v>
      </c>
      <c r="Q689" s="26" t="str">
        <f>IFERROR(__xludf.DUMMYFUNCTION("""COMPUTED_VALUE"""),"신형만")</f>
        <v>신형만</v>
      </c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27" t="s">
        <v>3013</v>
      </c>
      <c r="B690" s="28" t="s">
        <v>3014</v>
      </c>
      <c r="C690" s="27" t="s">
        <v>3015</v>
      </c>
      <c r="D690" s="27">
        <v>5.0</v>
      </c>
      <c r="E690" s="27" t="s">
        <v>3016</v>
      </c>
      <c r="F690" s="27">
        <v>3.0</v>
      </c>
      <c r="G690" s="29">
        <v>45756.89861111111</v>
      </c>
      <c r="H690" s="27" t="s">
        <v>2888</v>
      </c>
      <c r="I690" s="18"/>
      <c r="J690" s="25" t="str">
        <f>IFERROR(__xludf.DUMMYFUNCTION("ARRAYFORMULA(REGEXEXTRACT(SPLIT(C690, ""&lt;br&gt;""), ""([가-힣A-Za-z]+)""))"),"한메")</f>
        <v>한메</v>
      </c>
      <c r="K690" s="26" t="str">
        <f>IFERROR(__xludf.DUMMYFUNCTION("""COMPUTED_VALUE"""),"웅")</f>
        <v>웅</v>
      </c>
      <c r="L690" s="26" t="str">
        <f>IFERROR(__xludf.DUMMYFUNCTION("""COMPUTED_VALUE"""),"넘버")</f>
        <v>넘버</v>
      </c>
      <c r="M690" s="26" t="str">
        <f>IFERROR(__xludf.DUMMYFUNCTION("""COMPUTED_VALUE"""),"신형만")</f>
        <v>신형만</v>
      </c>
      <c r="N690" s="26" t="str">
        <f>IFERROR(__xludf.DUMMYFUNCTION("ARRAYFORMULA(REGEXEXTRACT(SPLIT(E690, ""&lt;br&gt;""), ""([가-힣A-Za-z]+)""))"),"ACDC")</f>
        <v>ACDC</v>
      </c>
      <c r="O690" s="26" t="str">
        <f>IFERROR(__xludf.DUMMYFUNCTION("""COMPUTED_VALUE"""),"노픽업")</f>
        <v>노픽업</v>
      </c>
      <c r="P690" s="26" t="str">
        <f>IFERROR(__xludf.DUMMYFUNCTION("""COMPUTED_VALUE"""),"테리")</f>
        <v>테리</v>
      </c>
      <c r="Q690" s="26" t="str">
        <f>IFERROR(__xludf.DUMMYFUNCTION("""COMPUTED_VALUE"""),"강화")</f>
        <v>강화</v>
      </c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27" t="s">
        <v>3017</v>
      </c>
      <c r="B691" s="28" t="s">
        <v>3018</v>
      </c>
      <c r="C691" s="27" t="s">
        <v>3019</v>
      </c>
      <c r="D691" s="27">
        <v>5.0</v>
      </c>
      <c r="E691" s="27" t="s">
        <v>3020</v>
      </c>
      <c r="F691" s="27">
        <v>4.0</v>
      </c>
      <c r="G691" s="29">
        <v>45756.03611111111</v>
      </c>
      <c r="H691" s="27" t="s">
        <v>2888</v>
      </c>
      <c r="I691" s="18"/>
      <c r="J691" s="25" t="str">
        <f>IFERROR(__xludf.DUMMYFUNCTION("ARRAYFORMULA(REGEXEXTRACT(SPLIT(C691, ""&lt;br&gt;""), ""([가-힣A-Za-z]+)""))"),"짱구")</f>
        <v>짱구</v>
      </c>
      <c r="K691" s="26" t="str">
        <f>IFERROR(__xludf.DUMMYFUNCTION("""COMPUTED_VALUE"""),"신형만")</f>
        <v>신형만</v>
      </c>
      <c r="L691" s="26" t="str">
        <f>IFERROR(__xludf.DUMMYFUNCTION("""COMPUTED_VALUE"""),"테리")</f>
        <v>테리</v>
      </c>
      <c r="M691" s="26" t="str">
        <f>IFERROR(__xludf.DUMMYFUNCTION("""COMPUTED_VALUE"""),"터미")</f>
        <v>터미</v>
      </c>
      <c r="N691" s="26" t="str">
        <f>IFERROR(__xludf.DUMMYFUNCTION("ARRAYFORMULA(REGEXEXTRACT(SPLIT(E691, ""&lt;br&gt;""), ""([가-힣A-Za-z]+)""))"),"강화")</f>
        <v>강화</v>
      </c>
      <c r="O691" s="26" t="str">
        <f>IFERROR(__xludf.DUMMYFUNCTION("""COMPUTED_VALUE"""),"넘버")</f>
        <v>넘버</v>
      </c>
      <c r="P691" s="26" t="str">
        <f>IFERROR(__xludf.DUMMYFUNCTION("""COMPUTED_VALUE"""),"ACDC")</f>
        <v>ACDC</v>
      </c>
      <c r="Q691" s="26" t="str">
        <f>IFERROR(__xludf.DUMMYFUNCTION("""COMPUTED_VALUE"""),"참치")</f>
        <v>참치</v>
      </c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27" t="s">
        <v>3021</v>
      </c>
      <c r="B692" s="28" t="s">
        <v>3022</v>
      </c>
      <c r="C692" s="27" t="s">
        <v>3023</v>
      </c>
      <c r="D692" s="27">
        <v>5.0</v>
      </c>
      <c r="E692" s="27" t="s">
        <v>3024</v>
      </c>
      <c r="F692" s="27">
        <v>2.0</v>
      </c>
      <c r="G692" s="29">
        <v>45756.00069444445</v>
      </c>
      <c r="H692" s="27" t="s">
        <v>2888</v>
      </c>
      <c r="I692" s="18"/>
      <c r="J692" s="25" t="str">
        <f>IFERROR(__xludf.DUMMYFUNCTION("ARRAYFORMULA(REGEXEXTRACT(SPLIT(C692, ""&lt;br&gt;""), ""([가-힣A-Za-z]+)""))"),"넘버")</f>
        <v>넘버</v>
      </c>
      <c r="K692" s="26" t="str">
        <f>IFERROR(__xludf.DUMMYFUNCTION("""COMPUTED_VALUE"""),"짱구")</f>
        <v>짱구</v>
      </c>
      <c r="L692" s="26" t="str">
        <f>IFERROR(__xludf.DUMMYFUNCTION("""COMPUTED_VALUE"""),"ACDC")</f>
        <v>ACDC</v>
      </c>
      <c r="M692" s="26" t="str">
        <f>IFERROR(__xludf.DUMMYFUNCTION("""COMPUTED_VALUE"""),"터미")</f>
        <v>터미</v>
      </c>
      <c r="N692" s="26" t="str">
        <f>IFERROR(__xludf.DUMMYFUNCTION("ARRAYFORMULA(REGEXEXTRACT(SPLIT(E692, ""&lt;br&gt;""), ""([가-힣A-Za-z]+)""))"),"강화")</f>
        <v>강화</v>
      </c>
      <c r="O692" s="26" t="str">
        <f>IFERROR(__xludf.DUMMYFUNCTION("""COMPUTED_VALUE"""),"신형만")</f>
        <v>신형만</v>
      </c>
      <c r="P692" s="26" t="str">
        <f>IFERROR(__xludf.DUMMYFUNCTION("""COMPUTED_VALUE"""),"한메")</f>
        <v>한메</v>
      </c>
      <c r="Q692" s="26" t="str">
        <f>IFERROR(__xludf.DUMMYFUNCTION("""COMPUTED_VALUE"""),"참치")</f>
        <v>참치</v>
      </c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27" t="s">
        <v>3025</v>
      </c>
      <c r="B693" s="28" t="s">
        <v>3026</v>
      </c>
      <c r="C693" s="27" t="s">
        <v>3027</v>
      </c>
      <c r="D693" s="27">
        <v>5.0</v>
      </c>
      <c r="E693" s="27" t="s">
        <v>3028</v>
      </c>
      <c r="F693" s="27">
        <v>3.0</v>
      </c>
      <c r="G693" s="29">
        <v>45755.93819444445</v>
      </c>
      <c r="H693" s="27" t="s">
        <v>2888</v>
      </c>
      <c r="I693" s="18"/>
      <c r="J693" s="25" t="str">
        <f>IFERROR(__xludf.DUMMYFUNCTION("ARRAYFORMULA(REGEXEXTRACT(SPLIT(C693, ""&lt;br&gt;""), ""([가-힣A-Za-z]+)""))"),"테리")</f>
        <v>테리</v>
      </c>
      <c r="K693" s="26" t="str">
        <f>IFERROR(__xludf.DUMMYFUNCTION("""COMPUTED_VALUE"""),"ACDC")</f>
        <v>ACDC</v>
      </c>
      <c r="L693" s="26" t="str">
        <f>IFERROR(__xludf.DUMMYFUNCTION("""COMPUTED_VALUE"""),"한메")</f>
        <v>한메</v>
      </c>
      <c r="M693" s="26" t="str">
        <f>IFERROR(__xludf.DUMMYFUNCTION("""COMPUTED_VALUE"""),"신형만")</f>
        <v>신형만</v>
      </c>
      <c r="N693" s="26" t="str">
        <f>IFERROR(__xludf.DUMMYFUNCTION("ARRAYFORMULA(REGEXEXTRACT(SPLIT(E693, ""&lt;br&gt;""), ""([가-힣A-Za-z]+)""))"),"짱구")</f>
        <v>짱구</v>
      </c>
      <c r="O693" s="26" t="str">
        <f>IFERROR(__xludf.DUMMYFUNCTION("""COMPUTED_VALUE"""),"노픽업")</f>
        <v>노픽업</v>
      </c>
      <c r="P693" s="26" t="str">
        <f>IFERROR(__xludf.DUMMYFUNCTION("""COMPUTED_VALUE"""),"터미")</f>
        <v>터미</v>
      </c>
      <c r="Q693" s="26" t="str">
        <f>IFERROR(__xludf.DUMMYFUNCTION("""COMPUTED_VALUE"""),"강화")</f>
        <v>강화</v>
      </c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27" t="s">
        <v>3029</v>
      </c>
      <c r="B694" s="28" t="s">
        <v>3030</v>
      </c>
      <c r="C694" s="27" t="s">
        <v>3031</v>
      </c>
      <c r="D694" s="27">
        <v>5.0</v>
      </c>
      <c r="E694" s="27" t="s">
        <v>3032</v>
      </c>
      <c r="F694" s="27">
        <v>2.0</v>
      </c>
      <c r="G694" s="29">
        <v>45755.93680555555</v>
      </c>
      <c r="H694" s="27" t="s">
        <v>2888</v>
      </c>
      <c r="I694" s="18"/>
      <c r="J694" s="25" t="str">
        <f>IFERROR(__xludf.DUMMYFUNCTION("ARRAYFORMULA(REGEXEXTRACT(SPLIT(C694, ""&lt;br&gt;""), ""([가-힣A-Za-z]+)""))"),"신형만")</f>
        <v>신형만</v>
      </c>
      <c r="K694" s="26" t="str">
        <f>IFERROR(__xludf.DUMMYFUNCTION("""COMPUTED_VALUE"""),"짱구")</f>
        <v>짱구</v>
      </c>
      <c r="L694" s="26" t="str">
        <f>IFERROR(__xludf.DUMMYFUNCTION("""COMPUTED_VALUE"""),"노픽업")</f>
        <v>노픽업</v>
      </c>
      <c r="M694" s="26" t="str">
        <f>IFERROR(__xludf.DUMMYFUNCTION("""COMPUTED_VALUE"""),"한메")</f>
        <v>한메</v>
      </c>
      <c r="N694" s="26" t="str">
        <f>IFERROR(__xludf.DUMMYFUNCTION("ARRAYFORMULA(REGEXEXTRACT(SPLIT(E694, ""&lt;br&gt;""), ""([가-힣A-Za-z]+)""))"),"터미")</f>
        <v>터미</v>
      </c>
      <c r="O694" s="26" t="str">
        <f>IFERROR(__xludf.DUMMYFUNCTION("""COMPUTED_VALUE"""),"테리")</f>
        <v>테리</v>
      </c>
      <c r="P694" s="26" t="str">
        <f>IFERROR(__xludf.DUMMYFUNCTION("""COMPUTED_VALUE"""),"ACDC")</f>
        <v>ACDC</v>
      </c>
      <c r="Q694" s="26" t="str">
        <f>IFERROR(__xludf.DUMMYFUNCTION("""COMPUTED_VALUE"""),"강화")</f>
        <v>강화</v>
      </c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27" t="s">
        <v>3033</v>
      </c>
      <c r="B695" s="28" t="s">
        <v>3034</v>
      </c>
      <c r="C695" s="27" t="s">
        <v>3035</v>
      </c>
      <c r="D695" s="27">
        <v>5.0</v>
      </c>
      <c r="E695" s="27" t="s">
        <v>3036</v>
      </c>
      <c r="F695" s="27">
        <v>4.0</v>
      </c>
      <c r="G695" s="29">
        <v>45755.89444444444</v>
      </c>
      <c r="H695" s="27" t="s">
        <v>2888</v>
      </c>
      <c r="I695" s="18"/>
      <c r="J695" s="25" t="str">
        <f>IFERROR(__xludf.DUMMYFUNCTION("ARRAYFORMULA(REGEXEXTRACT(SPLIT(C695, ""&lt;br&gt;""), ""([가-힣A-Za-z]+)""))"),"한메")</f>
        <v>한메</v>
      </c>
      <c r="K695" s="26" t="str">
        <f>IFERROR(__xludf.DUMMYFUNCTION("""COMPUTED_VALUE"""),"짱구")</f>
        <v>짱구</v>
      </c>
      <c r="L695" s="26" t="str">
        <f>IFERROR(__xludf.DUMMYFUNCTION("""COMPUTED_VALUE"""),"테리")</f>
        <v>테리</v>
      </c>
      <c r="M695" s="26" t="str">
        <f>IFERROR(__xludf.DUMMYFUNCTION("""COMPUTED_VALUE"""),"강화")</f>
        <v>강화</v>
      </c>
      <c r="N695" s="26" t="str">
        <f>IFERROR(__xludf.DUMMYFUNCTION("ARRAYFORMULA(REGEXEXTRACT(SPLIT(E695, ""&lt;br&gt;""), ""([가-힣A-Za-z]+)""))"),"신형만")</f>
        <v>신형만</v>
      </c>
      <c r="O695" s="26" t="str">
        <f>IFERROR(__xludf.DUMMYFUNCTION("""COMPUTED_VALUE"""),"ACDC")</f>
        <v>ACDC</v>
      </c>
      <c r="P695" s="26" t="str">
        <f>IFERROR(__xludf.DUMMYFUNCTION("""COMPUTED_VALUE"""),"터미")</f>
        <v>터미</v>
      </c>
      <c r="Q695" s="26" t="str">
        <f>IFERROR(__xludf.DUMMYFUNCTION("""COMPUTED_VALUE"""),"노픽업")</f>
        <v>노픽업</v>
      </c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27" t="s">
        <v>3037</v>
      </c>
      <c r="B696" s="28" t="s">
        <v>3038</v>
      </c>
      <c r="C696" s="27" t="s">
        <v>3039</v>
      </c>
      <c r="D696" s="27">
        <v>5.0</v>
      </c>
      <c r="E696" s="27" t="s">
        <v>3040</v>
      </c>
      <c r="F696" s="27">
        <v>3.0</v>
      </c>
      <c r="G696" s="29">
        <v>45755.04791666667</v>
      </c>
      <c r="H696" s="27" t="s">
        <v>2888</v>
      </c>
      <c r="I696" s="18"/>
      <c r="J696" s="25" t="str">
        <f>IFERROR(__xludf.DUMMYFUNCTION("ARRAYFORMULA(REGEXEXTRACT(SPLIT(C696, ""&lt;br&gt;""), ""([가-힣A-Za-z]+)""))"),"참치")</f>
        <v>참치</v>
      </c>
      <c r="K696" s="26" t="str">
        <f>IFERROR(__xludf.DUMMYFUNCTION("""COMPUTED_VALUE"""),"노픽업")</f>
        <v>노픽업</v>
      </c>
      <c r="L696" s="26" t="str">
        <f>IFERROR(__xludf.DUMMYFUNCTION("""COMPUTED_VALUE"""),"유망")</f>
        <v>유망</v>
      </c>
      <c r="M696" s="26" t="str">
        <f>IFERROR(__xludf.DUMMYFUNCTION("""COMPUTED_VALUE"""),"넘버")</f>
        <v>넘버</v>
      </c>
      <c r="N696" s="26" t="str">
        <f>IFERROR(__xludf.DUMMYFUNCTION("ARRAYFORMULA(REGEXEXTRACT(SPLIT(E696, ""&lt;br&gt;""), ""([가-힣A-Za-z]+)""))"),"ACDC")</f>
        <v>ACDC</v>
      </c>
      <c r="O696" s="26" t="str">
        <f>IFERROR(__xludf.DUMMYFUNCTION("""COMPUTED_VALUE"""),"테리")</f>
        <v>테리</v>
      </c>
      <c r="P696" s="26" t="str">
        <f>IFERROR(__xludf.DUMMYFUNCTION("""COMPUTED_VALUE"""),"노인")</f>
        <v>노인</v>
      </c>
      <c r="Q696" s="26" t="str">
        <f>IFERROR(__xludf.DUMMYFUNCTION("""COMPUTED_VALUE"""),"깡패")</f>
        <v>깡패</v>
      </c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27" t="s">
        <v>3041</v>
      </c>
      <c r="B697" s="28" t="s">
        <v>3042</v>
      </c>
      <c r="C697" s="27" t="s">
        <v>3043</v>
      </c>
      <c r="D697" s="27">
        <v>5.0</v>
      </c>
      <c r="E697" s="27" t="s">
        <v>3044</v>
      </c>
      <c r="F697" s="27">
        <v>1.0</v>
      </c>
      <c r="G697" s="29">
        <v>45754.96527777778</v>
      </c>
      <c r="H697" s="27" t="s">
        <v>2888</v>
      </c>
      <c r="I697" s="18"/>
      <c r="J697" s="25" t="str">
        <f>IFERROR(__xludf.DUMMYFUNCTION("ARRAYFORMULA(REGEXEXTRACT(SPLIT(C697, ""&lt;br&gt;""), ""([가-힣A-Za-z]+)""))"),"유망")</f>
        <v>유망</v>
      </c>
      <c r="K697" s="26" t="str">
        <f>IFERROR(__xludf.DUMMYFUNCTION("""COMPUTED_VALUE"""),"노인")</f>
        <v>노인</v>
      </c>
      <c r="L697" s="26" t="str">
        <f>IFERROR(__xludf.DUMMYFUNCTION("""COMPUTED_VALUE"""),"노픽업")</f>
        <v>노픽업</v>
      </c>
      <c r="M697" s="26" t="str">
        <f>IFERROR(__xludf.DUMMYFUNCTION("""COMPUTED_VALUE"""),"한메")</f>
        <v>한메</v>
      </c>
      <c r="N697" s="26" t="str">
        <f>IFERROR(__xludf.DUMMYFUNCTION("ARRAYFORMULA(REGEXEXTRACT(SPLIT(E697, ""&lt;br&gt;""), ""([가-힣A-Za-z]+)""))"),"참치")</f>
        <v>참치</v>
      </c>
      <c r="O697" s="26" t="str">
        <f>IFERROR(__xludf.DUMMYFUNCTION("""COMPUTED_VALUE"""),"신형만")</f>
        <v>신형만</v>
      </c>
      <c r="P697" s="26" t="str">
        <f>IFERROR(__xludf.DUMMYFUNCTION("""COMPUTED_VALUE"""),"테리")</f>
        <v>테리</v>
      </c>
      <c r="Q697" s="26" t="str">
        <f>IFERROR(__xludf.DUMMYFUNCTION("""COMPUTED_VALUE"""),"ACDC")</f>
        <v>ACDC</v>
      </c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27" t="s">
        <v>3045</v>
      </c>
      <c r="B698" s="28" t="s">
        <v>3046</v>
      </c>
      <c r="C698" s="27" t="s">
        <v>3047</v>
      </c>
      <c r="D698" s="27">
        <v>5.0</v>
      </c>
      <c r="E698" s="27" t="s">
        <v>3048</v>
      </c>
      <c r="F698" s="27">
        <v>3.0</v>
      </c>
      <c r="G698" s="29">
        <v>45754.950694444444</v>
      </c>
      <c r="H698" s="27" t="s">
        <v>2888</v>
      </c>
      <c r="I698" s="18"/>
      <c r="J698" s="25" t="str">
        <f>IFERROR(__xludf.DUMMYFUNCTION("ARRAYFORMULA(REGEXEXTRACT(SPLIT(C698, ""&lt;br&gt;""), ""([가-힣A-Za-z]+)""))"),"한메")</f>
        <v>한메</v>
      </c>
      <c r="K698" s="26" t="str">
        <f>IFERROR(__xludf.DUMMYFUNCTION("""COMPUTED_VALUE"""),"노인")</f>
        <v>노인</v>
      </c>
      <c r="L698" s="26" t="str">
        <f>IFERROR(__xludf.DUMMYFUNCTION("""COMPUTED_VALUE"""),"짱구")</f>
        <v>짱구</v>
      </c>
      <c r="M698" s="26" t="str">
        <f>IFERROR(__xludf.DUMMYFUNCTION("""COMPUTED_VALUE"""),"민우")</f>
        <v>민우</v>
      </c>
      <c r="N698" s="26" t="str">
        <f>IFERROR(__xludf.DUMMYFUNCTION("ARRAYFORMULA(REGEXEXTRACT(SPLIT(E698, ""&lt;br&gt;""), ""([가-힣A-Za-z]+)""))"),"신형만")</f>
        <v>신형만</v>
      </c>
      <c r="O698" s="26" t="str">
        <f>IFERROR(__xludf.DUMMYFUNCTION("""COMPUTED_VALUE"""),"참치")</f>
        <v>참치</v>
      </c>
      <c r="P698" s="26" t="str">
        <f>IFERROR(__xludf.DUMMYFUNCTION("""COMPUTED_VALUE"""),"ACDC")</f>
        <v>ACDC</v>
      </c>
      <c r="Q698" s="26" t="str">
        <f>IFERROR(__xludf.DUMMYFUNCTION("""COMPUTED_VALUE"""),"넘버")</f>
        <v>넘버</v>
      </c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27" t="s">
        <v>3049</v>
      </c>
      <c r="B699" s="28" t="s">
        <v>3050</v>
      </c>
      <c r="C699" s="27" t="s">
        <v>3051</v>
      </c>
      <c r="D699" s="27">
        <v>5.0</v>
      </c>
      <c r="E699" s="27" t="s">
        <v>3052</v>
      </c>
      <c r="F699" s="27">
        <v>0.0</v>
      </c>
      <c r="G699" s="29">
        <v>45754.92083333333</v>
      </c>
      <c r="H699" s="27" t="s">
        <v>2888</v>
      </c>
      <c r="I699" s="18"/>
      <c r="J699" s="25" t="str">
        <f>IFERROR(__xludf.DUMMYFUNCTION("ARRAYFORMULA(REGEXEXTRACT(SPLIT(C699, ""&lt;br&gt;""), ""([가-힣A-Za-z]+)""))"),"노인")</f>
        <v>노인</v>
      </c>
      <c r="K699" s="26" t="str">
        <f>IFERROR(__xludf.DUMMYFUNCTION("""COMPUTED_VALUE"""),"짱구")</f>
        <v>짱구</v>
      </c>
      <c r="L699" s="26" t="str">
        <f>IFERROR(__xludf.DUMMYFUNCTION("""COMPUTED_VALUE"""),"신형만")</f>
        <v>신형만</v>
      </c>
      <c r="M699" s="26" t="str">
        <f>IFERROR(__xludf.DUMMYFUNCTION("""COMPUTED_VALUE"""),"넘버")</f>
        <v>넘버</v>
      </c>
      <c r="N699" s="26" t="str">
        <f>IFERROR(__xludf.DUMMYFUNCTION("ARRAYFORMULA(REGEXEXTRACT(SPLIT(E699, ""&lt;br&gt;""), ""([가-힣A-Za-z]+)""))"),"민우")</f>
        <v>민우</v>
      </c>
      <c r="O699" s="26" t="str">
        <f>IFERROR(__xludf.DUMMYFUNCTION("""COMPUTED_VALUE"""),"ACDC")</f>
        <v>ACDC</v>
      </c>
      <c r="P699" s="26" t="str">
        <f>IFERROR(__xludf.DUMMYFUNCTION("""COMPUTED_VALUE"""),"참치")</f>
        <v>참치</v>
      </c>
      <c r="Q699" s="26" t="str">
        <f>IFERROR(__xludf.DUMMYFUNCTION("""COMPUTED_VALUE"""),"한메")</f>
        <v>한메</v>
      </c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27" t="s">
        <v>3053</v>
      </c>
      <c r="B700" s="28" t="s">
        <v>3054</v>
      </c>
      <c r="C700" s="27" t="s">
        <v>3055</v>
      </c>
      <c r="D700" s="27">
        <v>5.0</v>
      </c>
      <c r="E700" s="27" t="s">
        <v>3056</v>
      </c>
      <c r="F700" s="27">
        <v>4.0</v>
      </c>
      <c r="G700" s="29">
        <v>45754.89861111111</v>
      </c>
      <c r="H700" s="27" t="s">
        <v>2888</v>
      </c>
      <c r="I700" s="18"/>
      <c r="J700" s="25" t="str">
        <f>IFERROR(__xludf.DUMMYFUNCTION("ARRAYFORMULA(REGEXEXTRACT(SPLIT(C700, ""&lt;br&gt;""), ""([가-힣A-Za-z]+)""))"),"테리")</f>
        <v>테리</v>
      </c>
      <c r="K700" s="26" t="str">
        <f>IFERROR(__xludf.DUMMYFUNCTION("""COMPUTED_VALUE"""),"신형만")</f>
        <v>신형만</v>
      </c>
      <c r="L700" s="26" t="str">
        <f>IFERROR(__xludf.DUMMYFUNCTION("""COMPUTED_VALUE"""),"ACDC")</f>
        <v>ACDC</v>
      </c>
      <c r="M700" s="26" t="str">
        <f>IFERROR(__xludf.DUMMYFUNCTION("""COMPUTED_VALUE"""),"넘버")</f>
        <v>넘버</v>
      </c>
      <c r="N700" s="26" t="str">
        <f>IFERROR(__xludf.DUMMYFUNCTION("ARRAYFORMULA(REGEXEXTRACT(SPLIT(E700, ""&lt;br&gt;""), ""([가-힣A-Za-z]+)""))"),"깡패")</f>
        <v>깡패</v>
      </c>
      <c r="O700" s="26" t="str">
        <f>IFERROR(__xludf.DUMMYFUNCTION("""COMPUTED_VALUE"""),"유즈")</f>
        <v>유즈</v>
      </c>
      <c r="P700" s="26" t="str">
        <f>IFERROR(__xludf.DUMMYFUNCTION("""COMPUTED_VALUE"""),"민우")</f>
        <v>민우</v>
      </c>
      <c r="Q700" s="26" t="str">
        <f>IFERROR(__xludf.DUMMYFUNCTION("""COMPUTED_VALUE"""),"노인")</f>
        <v>노인</v>
      </c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27" t="s">
        <v>3057</v>
      </c>
      <c r="B701" s="28" t="s">
        <v>3058</v>
      </c>
      <c r="C701" s="27" t="s">
        <v>3059</v>
      </c>
      <c r="D701" s="27">
        <v>5.0</v>
      </c>
      <c r="E701" s="27" t="s">
        <v>3060</v>
      </c>
      <c r="F701" s="27">
        <v>2.0</v>
      </c>
      <c r="G701" s="29">
        <v>45754.86666666667</v>
      </c>
      <c r="H701" s="27" t="s">
        <v>2888</v>
      </c>
      <c r="I701" s="18"/>
      <c r="J701" s="25" t="str">
        <f>IFERROR(__xludf.DUMMYFUNCTION("ARRAYFORMULA(REGEXEXTRACT(SPLIT(C701, ""&lt;br&gt;""), ""([가-힣A-Za-z]+)""))"),"신형만")</f>
        <v>신형만</v>
      </c>
      <c r="K701" s="26" t="str">
        <f>IFERROR(__xludf.DUMMYFUNCTION("""COMPUTED_VALUE"""),"유즈")</f>
        <v>유즈</v>
      </c>
      <c r="L701" s="26" t="str">
        <f>IFERROR(__xludf.DUMMYFUNCTION("""COMPUTED_VALUE"""),"넘버")</f>
        <v>넘버</v>
      </c>
      <c r="M701" s="26" t="str">
        <f>IFERROR(__xludf.DUMMYFUNCTION("""COMPUTED_VALUE"""),"민우")</f>
        <v>민우</v>
      </c>
      <c r="N701" s="26" t="str">
        <f>IFERROR(__xludf.DUMMYFUNCTION("ARRAYFORMULA(REGEXEXTRACT(SPLIT(E701, ""&lt;br&gt;""), ""([가-힣A-Za-z]+)""))"),"테리")</f>
        <v>테리</v>
      </c>
      <c r="O701" s="26" t="str">
        <f>IFERROR(__xludf.DUMMYFUNCTION("""COMPUTED_VALUE"""),"ACDC")</f>
        <v>ACDC</v>
      </c>
      <c r="P701" s="26" t="str">
        <f>IFERROR(__xludf.DUMMYFUNCTION("""COMPUTED_VALUE"""),"노인")</f>
        <v>노인</v>
      </c>
      <c r="Q701" s="26" t="str">
        <f>IFERROR(__xludf.DUMMYFUNCTION("""COMPUTED_VALUE"""),"깡패")</f>
        <v>깡패</v>
      </c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27" t="s">
        <v>3061</v>
      </c>
      <c r="B702" s="28" t="s">
        <v>3062</v>
      </c>
      <c r="C702" s="27" t="s">
        <v>3063</v>
      </c>
      <c r="D702" s="27">
        <v>5.0</v>
      </c>
      <c r="E702" s="27" t="s">
        <v>3064</v>
      </c>
      <c r="F702" s="27">
        <v>4.0</v>
      </c>
      <c r="G702" s="29">
        <v>45754.02222222222</v>
      </c>
      <c r="H702" s="27" t="s">
        <v>2888</v>
      </c>
      <c r="I702" s="18"/>
      <c r="J702" s="25" t="str">
        <f>IFERROR(__xludf.DUMMYFUNCTION("ARRAYFORMULA(REGEXEXTRACT(SPLIT(C702, ""&lt;br&gt;""), ""([가-힣A-Za-z]+)""))"),"솔")</f>
        <v>솔</v>
      </c>
      <c r="K702" s="26" t="str">
        <f>IFERROR(__xludf.DUMMYFUNCTION("""COMPUTED_VALUE"""),"깡패")</f>
        <v>깡패</v>
      </c>
      <c r="L702" s="26" t="str">
        <f>IFERROR(__xludf.DUMMYFUNCTION("""COMPUTED_VALUE"""),"신형만")</f>
        <v>신형만</v>
      </c>
      <c r="M702" s="26" t="str">
        <f>IFERROR(__xludf.DUMMYFUNCTION("""COMPUTED_VALUE"""),"유망")</f>
        <v>유망</v>
      </c>
      <c r="N702" s="26" t="str">
        <f>IFERROR(__xludf.DUMMYFUNCTION("ARRAYFORMULA(REGEXEXTRACT(SPLIT(E702, ""&lt;br&gt;""), ""([가-힣A-Za-z]+)""))"),"웅")</f>
        <v>웅</v>
      </c>
      <c r="O702" s="26" t="str">
        <f>IFERROR(__xludf.DUMMYFUNCTION("""COMPUTED_VALUE"""),"짱구")</f>
        <v>짱구</v>
      </c>
      <c r="P702" s="26" t="str">
        <f>IFERROR(__xludf.DUMMYFUNCTION("""COMPUTED_VALUE"""),"노인")</f>
        <v>노인</v>
      </c>
      <c r="Q702" s="26" t="str">
        <f>IFERROR(__xludf.DUMMYFUNCTION("""COMPUTED_VALUE"""),"노픽업")</f>
        <v>노픽업</v>
      </c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27" t="s">
        <v>3065</v>
      </c>
      <c r="B703" s="28" t="s">
        <v>3066</v>
      </c>
      <c r="C703" s="27" t="s">
        <v>3067</v>
      </c>
      <c r="D703" s="27">
        <v>5.0</v>
      </c>
      <c r="E703" s="27" t="s">
        <v>3068</v>
      </c>
      <c r="F703" s="27">
        <v>3.0</v>
      </c>
      <c r="G703" s="29">
        <v>45753.99166666667</v>
      </c>
      <c r="H703" s="27" t="s">
        <v>2888</v>
      </c>
      <c r="I703" s="18"/>
      <c r="J703" s="25" t="str">
        <f>IFERROR(__xludf.DUMMYFUNCTION("ARRAYFORMULA(REGEXEXTRACT(SPLIT(C703, ""&lt;br&gt;""), ""([가-힣A-Za-z]+)""))"),"신형만")</f>
        <v>신형만</v>
      </c>
      <c r="K703" s="26" t="str">
        <f>IFERROR(__xludf.DUMMYFUNCTION("""COMPUTED_VALUE"""),"짱구")</f>
        <v>짱구</v>
      </c>
      <c r="L703" s="26" t="str">
        <f>IFERROR(__xludf.DUMMYFUNCTION("""COMPUTED_VALUE"""),"노인")</f>
        <v>노인</v>
      </c>
      <c r="M703" s="26" t="str">
        <f>IFERROR(__xludf.DUMMYFUNCTION("""COMPUTED_VALUE"""),"깡패")</f>
        <v>깡패</v>
      </c>
      <c r="N703" s="26" t="str">
        <f>IFERROR(__xludf.DUMMYFUNCTION("ARRAYFORMULA(REGEXEXTRACT(SPLIT(E703, ""&lt;br&gt;""), ""([가-힣A-Za-z]+)""))"),"웅")</f>
        <v>웅</v>
      </c>
      <c r="O703" s="26" t="str">
        <f>IFERROR(__xludf.DUMMYFUNCTION("""COMPUTED_VALUE"""),"노픽업")</f>
        <v>노픽업</v>
      </c>
      <c r="P703" s="26" t="str">
        <f>IFERROR(__xludf.DUMMYFUNCTION("""COMPUTED_VALUE"""),"솔")</f>
        <v>솔</v>
      </c>
      <c r="Q703" s="26" t="str">
        <f>IFERROR(__xludf.DUMMYFUNCTION("""COMPUTED_VALUE"""),"유망")</f>
        <v>유망</v>
      </c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27" t="s">
        <v>3069</v>
      </c>
      <c r="B704" s="28" t="s">
        <v>3070</v>
      </c>
      <c r="C704" s="27" t="s">
        <v>3071</v>
      </c>
      <c r="D704" s="27">
        <v>5.0</v>
      </c>
      <c r="E704" s="27" t="s">
        <v>3072</v>
      </c>
      <c r="F704" s="27">
        <v>2.0</v>
      </c>
      <c r="G704" s="29">
        <v>45753.95416666667</v>
      </c>
      <c r="H704" s="27" t="s">
        <v>2888</v>
      </c>
      <c r="I704" s="18"/>
      <c r="J704" s="25" t="str">
        <f>IFERROR(__xludf.DUMMYFUNCTION("ARRAYFORMULA(REGEXEXTRACT(SPLIT(C704, ""&lt;br&gt;""), ""([가-힣A-Za-z]+)""))"),"짱구")</f>
        <v>짱구</v>
      </c>
      <c r="K704" s="26" t="str">
        <f>IFERROR(__xludf.DUMMYFUNCTION("""COMPUTED_VALUE"""),"노인")</f>
        <v>노인</v>
      </c>
      <c r="L704" s="26" t="str">
        <f>IFERROR(__xludf.DUMMYFUNCTION("""COMPUTED_VALUE"""),"원")</f>
        <v>원</v>
      </c>
      <c r="M704" s="26" t="str">
        <f>IFERROR(__xludf.DUMMYFUNCTION("""COMPUTED_VALUE"""),"솔")</f>
        <v>솔</v>
      </c>
      <c r="N704" s="26" t="str">
        <f>IFERROR(__xludf.DUMMYFUNCTION("ARRAYFORMULA(REGEXEXTRACT(SPLIT(E704, ""&lt;br&gt;""), ""([가-힣A-Za-z]+)""))"),"유망")</f>
        <v>유망</v>
      </c>
      <c r="O704" s="26" t="str">
        <f>IFERROR(__xludf.DUMMYFUNCTION("""COMPUTED_VALUE"""),"신형만")</f>
        <v>신형만</v>
      </c>
      <c r="P704" s="26" t="str">
        <f>IFERROR(__xludf.DUMMYFUNCTION("""COMPUTED_VALUE"""),"테리")</f>
        <v>테리</v>
      </c>
      <c r="Q704" s="26" t="str">
        <f>IFERROR(__xludf.DUMMYFUNCTION("""COMPUTED_VALUE"""),"노픽업")</f>
        <v>노픽업</v>
      </c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27" t="s">
        <v>3073</v>
      </c>
      <c r="B705" s="28" t="s">
        <v>3074</v>
      </c>
      <c r="C705" s="27" t="s">
        <v>3075</v>
      </c>
      <c r="D705" s="27">
        <v>5.0</v>
      </c>
      <c r="E705" s="27" t="s">
        <v>3076</v>
      </c>
      <c r="F705" s="27">
        <v>2.0</v>
      </c>
      <c r="G705" s="29">
        <v>45753.92986111111</v>
      </c>
      <c r="H705" s="27" t="s">
        <v>2888</v>
      </c>
      <c r="I705" s="18"/>
      <c r="J705" s="25" t="str">
        <f>IFERROR(__xludf.DUMMYFUNCTION("ARRAYFORMULA(REGEXEXTRACT(SPLIT(C705, ""&lt;br&gt;""), ""([가-힣A-Za-z]+)""))"),"솔")</f>
        <v>솔</v>
      </c>
      <c r="K705" s="26" t="str">
        <f>IFERROR(__xludf.DUMMYFUNCTION("""COMPUTED_VALUE"""),"테리")</f>
        <v>테리</v>
      </c>
      <c r="L705" s="26" t="str">
        <f>IFERROR(__xludf.DUMMYFUNCTION("""COMPUTED_VALUE"""),"노인")</f>
        <v>노인</v>
      </c>
      <c r="M705" s="26" t="str">
        <f>IFERROR(__xludf.DUMMYFUNCTION("""COMPUTED_VALUE"""),"유망")</f>
        <v>유망</v>
      </c>
      <c r="N705" s="26" t="str">
        <f>IFERROR(__xludf.DUMMYFUNCTION("ARRAYFORMULA(REGEXEXTRACT(SPLIT(E705, ""&lt;br&gt;""), ""([가-힣A-Za-z]+)""))"),"짱구")</f>
        <v>짱구</v>
      </c>
      <c r="O705" s="26" t="str">
        <f>IFERROR(__xludf.DUMMYFUNCTION("""COMPUTED_VALUE"""),"신형만")</f>
        <v>신형만</v>
      </c>
      <c r="P705" s="26" t="str">
        <f>IFERROR(__xludf.DUMMYFUNCTION("""COMPUTED_VALUE"""),"필찌")</f>
        <v>필찌</v>
      </c>
      <c r="Q705" s="26" t="str">
        <f>IFERROR(__xludf.DUMMYFUNCTION("""COMPUTED_VALUE"""),"원")</f>
        <v>원</v>
      </c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27" t="s">
        <v>3077</v>
      </c>
      <c r="B706" s="28" t="s">
        <v>3078</v>
      </c>
      <c r="C706" s="27" t="s">
        <v>3079</v>
      </c>
      <c r="D706" s="27">
        <v>5.0</v>
      </c>
      <c r="E706" s="27" t="s">
        <v>3080</v>
      </c>
      <c r="F706" s="27">
        <v>2.0</v>
      </c>
      <c r="G706" s="29">
        <v>45753.9125</v>
      </c>
      <c r="H706" s="27" t="s">
        <v>2888</v>
      </c>
      <c r="I706" s="18"/>
      <c r="J706" s="25" t="str">
        <f>IFERROR(__xludf.DUMMYFUNCTION("ARRAYFORMULA(REGEXEXTRACT(SPLIT(C706, ""&lt;br&gt;""), ""([가-힣A-Za-z]+)""))"),"한메")</f>
        <v>한메</v>
      </c>
      <c r="K706" s="26" t="str">
        <f>IFERROR(__xludf.DUMMYFUNCTION("""COMPUTED_VALUE"""),"테리")</f>
        <v>테리</v>
      </c>
      <c r="L706" s="26" t="str">
        <f>IFERROR(__xludf.DUMMYFUNCTION("""COMPUTED_VALUE"""),"필찌")</f>
        <v>필찌</v>
      </c>
      <c r="M706" s="26" t="str">
        <f>IFERROR(__xludf.DUMMYFUNCTION("""COMPUTED_VALUE"""),"원")</f>
        <v>원</v>
      </c>
      <c r="N706" s="26" t="str">
        <f>IFERROR(__xludf.DUMMYFUNCTION("ARRAYFORMULA(REGEXEXTRACT(SPLIT(E706, ""&lt;br&gt;""), ""([가-힣A-Za-z]+)""))"),"짱구")</f>
        <v>짱구</v>
      </c>
      <c r="O706" s="26" t="str">
        <f>IFERROR(__xludf.DUMMYFUNCTION("""COMPUTED_VALUE"""),"솔")</f>
        <v>솔</v>
      </c>
      <c r="P706" s="26" t="str">
        <f>IFERROR(__xludf.DUMMYFUNCTION("""COMPUTED_VALUE"""),"노인")</f>
        <v>노인</v>
      </c>
      <c r="Q706" s="26" t="str">
        <f>IFERROR(__xludf.DUMMYFUNCTION("""COMPUTED_VALUE"""),"신형만")</f>
        <v>신형만</v>
      </c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27" t="s">
        <v>3081</v>
      </c>
      <c r="B707" s="28" t="s">
        <v>3082</v>
      </c>
      <c r="C707" s="27" t="s">
        <v>3083</v>
      </c>
      <c r="D707" s="27">
        <v>5.0</v>
      </c>
      <c r="E707" s="27" t="s">
        <v>3084</v>
      </c>
      <c r="F707" s="27">
        <v>2.0</v>
      </c>
      <c r="G707" s="29">
        <v>45753.89791666667</v>
      </c>
      <c r="H707" s="27" t="s">
        <v>2888</v>
      </c>
      <c r="I707" s="18"/>
      <c r="J707" s="25" t="str">
        <f>IFERROR(__xludf.DUMMYFUNCTION("ARRAYFORMULA(REGEXEXTRACT(SPLIT(C707, ""&lt;br&gt;""), ""([가-힣A-Za-z]+)""))"),"노인")</f>
        <v>노인</v>
      </c>
      <c r="K707" s="26" t="str">
        <f>IFERROR(__xludf.DUMMYFUNCTION("""COMPUTED_VALUE"""),"짱구")</f>
        <v>짱구</v>
      </c>
      <c r="L707" s="26" t="str">
        <f>IFERROR(__xludf.DUMMYFUNCTION("""COMPUTED_VALUE"""),"필찌")</f>
        <v>필찌</v>
      </c>
      <c r="M707" s="26" t="str">
        <f>IFERROR(__xludf.DUMMYFUNCTION("""COMPUTED_VALUE"""),"넘버")</f>
        <v>넘버</v>
      </c>
      <c r="N707" s="26" t="str">
        <f>IFERROR(__xludf.DUMMYFUNCTION("ARRAYFORMULA(REGEXEXTRACT(SPLIT(E707, ""&lt;br&gt;""), ""([가-힣A-Za-z]+)""))"),"한메")</f>
        <v>한메</v>
      </c>
      <c r="O707" s="26" t="str">
        <f>IFERROR(__xludf.DUMMYFUNCTION("""COMPUTED_VALUE"""),"솔")</f>
        <v>솔</v>
      </c>
      <c r="P707" s="26" t="str">
        <f>IFERROR(__xludf.DUMMYFUNCTION("""COMPUTED_VALUE"""),"신형만")</f>
        <v>신형만</v>
      </c>
      <c r="Q707" s="26" t="str">
        <f>IFERROR(__xludf.DUMMYFUNCTION("""COMPUTED_VALUE"""),"원")</f>
        <v>원</v>
      </c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27" t="s">
        <v>3085</v>
      </c>
      <c r="B708" s="28" t="s">
        <v>3086</v>
      </c>
      <c r="C708" s="27" t="s">
        <v>3087</v>
      </c>
      <c r="D708" s="27">
        <v>5.0</v>
      </c>
      <c r="E708" s="27" t="s">
        <v>3088</v>
      </c>
      <c r="F708" s="27">
        <v>1.0</v>
      </c>
      <c r="G708" s="29">
        <v>45753.87569444445</v>
      </c>
      <c r="H708" s="27" t="s">
        <v>2888</v>
      </c>
      <c r="I708" s="18"/>
      <c r="J708" s="25" t="str">
        <f>IFERROR(__xludf.DUMMYFUNCTION("ARRAYFORMULA(REGEXEXTRACT(SPLIT(C708, ""&lt;br&gt;""), ""([가-힣A-Za-z]+)""))"),"노인")</f>
        <v>노인</v>
      </c>
      <c r="K708" s="26" t="str">
        <f>IFERROR(__xludf.DUMMYFUNCTION("""COMPUTED_VALUE"""),"원")</f>
        <v>원</v>
      </c>
      <c r="L708" s="26" t="str">
        <f>IFERROR(__xludf.DUMMYFUNCTION("""COMPUTED_VALUE"""),"필찌")</f>
        <v>필찌</v>
      </c>
      <c r="M708" s="26" t="str">
        <f>IFERROR(__xludf.DUMMYFUNCTION("""COMPUTED_VALUE"""),"한메")</f>
        <v>한메</v>
      </c>
      <c r="N708" s="26" t="str">
        <f>IFERROR(__xludf.DUMMYFUNCTION("ARRAYFORMULA(REGEXEXTRACT(SPLIT(E708, ""&lt;br&gt;""), ""([가-힣A-Za-z]+)""))"),"짱구")</f>
        <v>짱구</v>
      </c>
      <c r="O708" s="26" t="str">
        <f>IFERROR(__xludf.DUMMYFUNCTION("""COMPUTED_VALUE"""),"신형만")</f>
        <v>신형만</v>
      </c>
      <c r="P708" s="26" t="str">
        <f>IFERROR(__xludf.DUMMYFUNCTION("""COMPUTED_VALUE"""),"넘버")</f>
        <v>넘버</v>
      </c>
      <c r="Q708" s="26" t="str">
        <f>IFERROR(__xludf.DUMMYFUNCTION("""COMPUTED_VALUE"""),"솔")</f>
        <v>솔</v>
      </c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27" t="s">
        <v>3089</v>
      </c>
      <c r="B709" s="28" t="s">
        <v>3090</v>
      </c>
      <c r="C709" s="27" t="s">
        <v>3091</v>
      </c>
      <c r="D709" s="27">
        <v>5.0</v>
      </c>
      <c r="E709" s="27" t="s">
        <v>3092</v>
      </c>
      <c r="F709" s="27">
        <v>3.0</v>
      </c>
      <c r="G709" s="29">
        <v>45753.743055555555</v>
      </c>
      <c r="H709" s="27" t="s">
        <v>2888</v>
      </c>
      <c r="I709" s="18"/>
      <c r="J709" s="25" t="str">
        <f>IFERROR(__xludf.DUMMYFUNCTION("ARRAYFORMULA(REGEXEXTRACT(SPLIT(C709, ""&lt;br&gt;""), ""([가-힣A-Za-z]+)""))"),"짱구")</f>
        <v>짱구</v>
      </c>
      <c r="K709" s="26" t="str">
        <f>IFERROR(__xludf.DUMMYFUNCTION("""COMPUTED_VALUE"""),"필찌")</f>
        <v>필찌</v>
      </c>
      <c r="L709" s="26" t="str">
        <f>IFERROR(__xludf.DUMMYFUNCTION("""COMPUTED_VALUE"""),"신형만")</f>
        <v>신형만</v>
      </c>
      <c r="M709" s="26" t="str">
        <f>IFERROR(__xludf.DUMMYFUNCTION("""COMPUTED_VALUE"""),"한메")</f>
        <v>한메</v>
      </c>
      <c r="N709" s="26" t="str">
        <f>IFERROR(__xludf.DUMMYFUNCTION("ARRAYFORMULA(REGEXEXTRACT(SPLIT(E709, ""&lt;br&gt;""), ""([가-힣A-Za-z]+)""))"),"테리")</f>
        <v>테리</v>
      </c>
      <c r="O709" s="26" t="str">
        <f>IFERROR(__xludf.DUMMYFUNCTION("""COMPUTED_VALUE"""),"노인")</f>
        <v>노인</v>
      </c>
      <c r="P709" s="26" t="str">
        <f>IFERROR(__xludf.DUMMYFUNCTION("""COMPUTED_VALUE"""),"넘버")</f>
        <v>넘버</v>
      </c>
      <c r="Q709" s="26" t="str">
        <f>IFERROR(__xludf.DUMMYFUNCTION("""COMPUTED_VALUE"""),"원")</f>
        <v>원</v>
      </c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27" t="s">
        <v>3093</v>
      </c>
      <c r="B710" s="28" t="s">
        <v>3094</v>
      </c>
      <c r="C710" s="27" t="s">
        <v>3095</v>
      </c>
      <c r="D710" s="27">
        <v>5.0</v>
      </c>
      <c r="E710" s="27" t="s">
        <v>3096</v>
      </c>
      <c r="F710" s="27">
        <v>3.0</v>
      </c>
      <c r="G710" s="29">
        <v>45753.722916666666</v>
      </c>
      <c r="H710" s="27" t="s">
        <v>2888</v>
      </c>
      <c r="I710" s="18"/>
      <c r="J710" s="25" t="str">
        <f>IFERROR(__xludf.DUMMYFUNCTION("ARRAYFORMULA(REGEXEXTRACT(SPLIT(C710, ""&lt;br&gt;""), ""([가-힣A-Za-z]+)""))"),"노인")</f>
        <v>노인</v>
      </c>
      <c r="K710" s="26" t="str">
        <f>IFERROR(__xludf.DUMMYFUNCTION("""COMPUTED_VALUE"""),"짱구")</f>
        <v>짱구</v>
      </c>
      <c r="L710" s="26" t="str">
        <f>IFERROR(__xludf.DUMMYFUNCTION("""COMPUTED_VALUE"""),"한메")</f>
        <v>한메</v>
      </c>
      <c r="M710" s="26" t="str">
        <f>IFERROR(__xludf.DUMMYFUNCTION("""COMPUTED_VALUE"""),"넘버")</f>
        <v>넘버</v>
      </c>
      <c r="N710" s="26" t="str">
        <f>IFERROR(__xludf.DUMMYFUNCTION("ARRAYFORMULA(REGEXEXTRACT(SPLIT(E710, ""&lt;br&gt;""), ""([가-힣A-Za-z]+)""))"),"원")</f>
        <v>원</v>
      </c>
      <c r="O710" s="26" t="str">
        <f>IFERROR(__xludf.DUMMYFUNCTION("""COMPUTED_VALUE"""),"필찌")</f>
        <v>필찌</v>
      </c>
      <c r="P710" s="26" t="str">
        <f>IFERROR(__xludf.DUMMYFUNCTION("""COMPUTED_VALUE"""),"테리")</f>
        <v>테리</v>
      </c>
      <c r="Q710" s="26" t="str">
        <f>IFERROR(__xludf.DUMMYFUNCTION("""COMPUTED_VALUE"""),"신형만")</f>
        <v>신형만</v>
      </c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27" t="s">
        <v>3097</v>
      </c>
      <c r="B711" s="28" t="s">
        <v>3098</v>
      </c>
      <c r="C711" s="27" t="s">
        <v>3099</v>
      </c>
      <c r="D711" s="27">
        <v>5.0</v>
      </c>
      <c r="E711" s="27" t="s">
        <v>3100</v>
      </c>
      <c r="F711" s="27">
        <v>1.0</v>
      </c>
      <c r="G711" s="29">
        <v>45753.69305555556</v>
      </c>
      <c r="H711" s="27" t="s">
        <v>2888</v>
      </c>
      <c r="I711" s="18"/>
      <c r="J711" s="25" t="str">
        <f>IFERROR(__xludf.DUMMYFUNCTION("ARRAYFORMULA(REGEXEXTRACT(SPLIT(C711, ""&lt;br&gt;""), ""([가-힣A-Za-z]+)""))"),"원")</f>
        <v>원</v>
      </c>
      <c r="K711" s="26" t="str">
        <f>IFERROR(__xludf.DUMMYFUNCTION("""COMPUTED_VALUE"""),"짱구")</f>
        <v>짱구</v>
      </c>
      <c r="L711" s="26" t="str">
        <f>IFERROR(__xludf.DUMMYFUNCTION("""COMPUTED_VALUE"""),"테리")</f>
        <v>테리</v>
      </c>
      <c r="M711" s="26" t="str">
        <f>IFERROR(__xludf.DUMMYFUNCTION("""COMPUTED_VALUE"""),"한메")</f>
        <v>한메</v>
      </c>
      <c r="N711" s="26" t="str">
        <f>IFERROR(__xludf.DUMMYFUNCTION("ARRAYFORMULA(REGEXEXTRACT(SPLIT(E711, ""&lt;br&gt;""), ""([가-힣A-Za-z]+)""))"),"필찌")</f>
        <v>필찌</v>
      </c>
      <c r="O711" s="26" t="str">
        <f>IFERROR(__xludf.DUMMYFUNCTION("""COMPUTED_VALUE"""),"노인")</f>
        <v>노인</v>
      </c>
      <c r="P711" s="26" t="str">
        <f>IFERROR(__xludf.DUMMYFUNCTION("""COMPUTED_VALUE"""),"넘버")</f>
        <v>넘버</v>
      </c>
      <c r="Q711" s="26" t="str">
        <f>IFERROR(__xludf.DUMMYFUNCTION("""COMPUTED_VALUE"""),"신형만")</f>
        <v>신형만</v>
      </c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27" t="s">
        <v>3101</v>
      </c>
      <c r="B712" s="28" t="s">
        <v>3102</v>
      </c>
      <c r="C712" s="27" t="s">
        <v>3103</v>
      </c>
      <c r="D712" s="27">
        <v>5.0</v>
      </c>
      <c r="E712" s="27" t="s">
        <v>3104</v>
      </c>
      <c r="F712" s="27">
        <v>1.0</v>
      </c>
      <c r="G712" s="29">
        <v>45753.68125</v>
      </c>
      <c r="H712" s="27" t="s">
        <v>2888</v>
      </c>
      <c r="I712" s="18"/>
      <c r="J712" s="25" t="str">
        <f>IFERROR(__xludf.DUMMYFUNCTION("ARRAYFORMULA(REGEXEXTRACT(SPLIT(C712, ""&lt;br&gt;""), ""([가-힣A-Za-z]+)""))"),"짱구")</f>
        <v>짱구</v>
      </c>
      <c r="K712" s="26" t="str">
        <f>IFERROR(__xludf.DUMMYFUNCTION("""COMPUTED_VALUE"""),"노인")</f>
        <v>노인</v>
      </c>
      <c r="L712" s="26" t="str">
        <f>IFERROR(__xludf.DUMMYFUNCTION("""COMPUTED_VALUE"""),"테리")</f>
        <v>테리</v>
      </c>
      <c r="M712" s="26" t="str">
        <f>IFERROR(__xludf.DUMMYFUNCTION("""COMPUTED_VALUE"""),"신형만")</f>
        <v>신형만</v>
      </c>
      <c r="N712" s="26" t="str">
        <f>IFERROR(__xludf.DUMMYFUNCTION("ARRAYFORMULA(REGEXEXTRACT(SPLIT(E712, ""&lt;br&gt;""), ""([가-힣A-Za-z]+)""))"),"전투쥐")</f>
        <v>전투쥐</v>
      </c>
      <c r="O712" s="26" t="str">
        <f>IFERROR(__xludf.DUMMYFUNCTION("""COMPUTED_VALUE"""),"필찌")</f>
        <v>필찌</v>
      </c>
      <c r="P712" s="26" t="str">
        <f>IFERROR(__xludf.DUMMYFUNCTION("""COMPUTED_VALUE"""),"넘버")</f>
        <v>넘버</v>
      </c>
      <c r="Q712" s="26" t="str">
        <f>IFERROR(__xludf.DUMMYFUNCTION("""COMPUTED_VALUE"""),"원")</f>
        <v>원</v>
      </c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27" t="s">
        <v>3105</v>
      </c>
      <c r="B713" s="28" t="s">
        <v>3106</v>
      </c>
      <c r="C713" s="27" t="s">
        <v>3107</v>
      </c>
      <c r="D713" s="27">
        <v>5.0</v>
      </c>
      <c r="E713" s="27" t="s">
        <v>3108</v>
      </c>
      <c r="F713" s="27">
        <v>0.0</v>
      </c>
      <c r="G713" s="29">
        <v>45753.65972222222</v>
      </c>
      <c r="H713" s="27" t="s">
        <v>2888</v>
      </c>
      <c r="I713" s="18"/>
      <c r="J713" s="25" t="str">
        <f>IFERROR(__xludf.DUMMYFUNCTION("ARRAYFORMULA(REGEXEXTRACT(SPLIT(C713, ""&lt;br&gt;""), ""([가-힣A-Za-z]+)""))"),"짱구")</f>
        <v>짱구</v>
      </c>
      <c r="K713" s="26" t="str">
        <f>IFERROR(__xludf.DUMMYFUNCTION("""COMPUTED_VALUE"""),"필찌")</f>
        <v>필찌</v>
      </c>
      <c r="L713" s="26" t="str">
        <f>IFERROR(__xludf.DUMMYFUNCTION("""COMPUTED_VALUE"""),"노인")</f>
        <v>노인</v>
      </c>
      <c r="M713" s="26" t="str">
        <f>IFERROR(__xludf.DUMMYFUNCTION("""COMPUTED_VALUE"""),"원")</f>
        <v>원</v>
      </c>
      <c r="N713" s="26" t="str">
        <f>IFERROR(__xludf.DUMMYFUNCTION("ARRAYFORMULA(REGEXEXTRACT(SPLIT(E713, ""&lt;br&gt;""), ""([가-힣A-Za-z]+)""))"),"전투쥐")</f>
        <v>전투쥐</v>
      </c>
      <c r="O713" s="26" t="str">
        <f>IFERROR(__xludf.DUMMYFUNCTION("""COMPUTED_VALUE"""),"테리")</f>
        <v>테리</v>
      </c>
      <c r="P713" s="26" t="str">
        <f>IFERROR(__xludf.DUMMYFUNCTION("""COMPUTED_VALUE"""),"신형만")</f>
        <v>신형만</v>
      </c>
      <c r="Q713" s="26" t="str">
        <f>IFERROR(__xludf.DUMMYFUNCTION("""COMPUTED_VALUE"""),"넘버")</f>
        <v>넘버</v>
      </c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27" t="s">
        <v>3109</v>
      </c>
      <c r="B714" s="28" t="s">
        <v>3110</v>
      </c>
      <c r="C714" s="27" t="s">
        <v>3111</v>
      </c>
      <c r="D714" s="27">
        <v>5.0</v>
      </c>
      <c r="E714" s="27" t="s">
        <v>3112</v>
      </c>
      <c r="F714" s="27">
        <v>2.0</v>
      </c>
      <c r="G714" s="29">
        <v>45753.643055555556</v>
      </c>
      <c r="H714" s="27" t="s">
        <v>2888</v>
      </c>
      <c r="I714" s="18"/>
      <c r="J714" s="25" t="str">
        <f>IFERROR(__xludf.DUMMYFUNCTION("ARRAYFORMULA(REGEXEXTRACT(SPLIT(C714, ""&lt;br&gt;""), ""([가-힣A-Za-z]+)""))"),"노인")</f>
        <v>노인</v>
      </c>
      <c r="K714" s="26" t="str">
        <f>IFERROR(__xludf.DUMMYFUNCTION("""COMPUTED_VALUE"""),"넘버")</f>
        <v>넘버</v>
      </c>
      <c r="L714" s="26" t="str">
        <f>IFERROR(__xludf.DUMMYFUNCTION("""COMPUTED_VALUE"""),"테리")</f>
        <v>테리</v>
      </c>
      <c r="M714" s="26" t="str">
        <f>IFERROR(__xludf.DUMMYFUNCTION("""COMPUTED_VALUE"""),"원")</f>
        <v>원</v>
      </c>
      <c r="N714" s="26" t="str">
        <f>IFERROR(__xludf.DUMMYFUNCTION("ARRAYFORMULA(REGEXEXTRACT(SPLIT(E714, ""&lt;br&gt;""), ""([가-힣A-Za-z]+)""))"),"신형만")</f>
        <v>신형만</v>
      </c>
      <c r="O714" s="26" t="str">
        <f>IFERROR(__xludf.DUMMYFUNCTION("""COMPUTED_VALUE"""),"필찌")</f>
        <v>필찌</v>
      </c>
      <c r="P714" s="26" t="str">
        <f>IFERROR(__xludf.DUMMYFUNCTION("""COMPUTED_VALUE"""),"짱구")</f>
        <v>짱구</v>
      </c>
      <c r="Q714" s="26" t="str">
        <f>IFERROR(__xludf.DUMMYFUNCTION("""COMPUTED_VALUE"""),"전투쥐")</f>
        <v>전투쥐</v>
      </c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27" t="s">
        <v>3113</v>
      </c>
      <c r="B715" s="28" t="s">
        <v>3114</v>
      </c>
      <c r="C715" s="27" t="s">
        <v>3115</v>
      </c>
      <c r="D715" s="27">
        <v>5.0</v>
      </c>
      <c r="E715" s="27" t="s">
        <v>3116</v>
      </c>
      <c r="F715" s="27">
        <v>2.0</v>
      </c>
      <c r="G715" s="29">
        <v>45753.62569444445</v>
      </c>
      <c r="H715" s="27" t="s">
        <v>2888</v>
      </c>
      <c r="I715" s="18"/>
      <c r="J715" s="25" t="str">
        <f>IFERROR(__xludf.DUMMYFUNCTION("ARRAYFORMULA(REGEXEXTRACT(SPLIT(C715, ""&lt;br&gt;""), ""([가-힣A-Za-z]+)""))"),"신형만")</f>
        <v>신형만</v>
      </c>
      <c r="K715" s="26" t="str">
        <f>IFERROR(__xludf.DUMMYFUNCTION("""COMPUTED_VALUE"""),"노인")</f>
        <v>노인</v>
      </c>
      <c r="L715" s="26" t="str">
        <f>IFERROR(__xludf.DUMMYFUNCTION("""COMPUTED_VALUE"""),"짱구")</f>
        <v>짱구</v>
      </c>
      <c r="M715" s="26" t="str">
        <f>IFERROR(__xludf.DUMMYFUNCTION("""COMPUTED_VALUE"""),"원")</f>
        <v>원</v>
      </c>
      <c r="N715" s="26" t="str">
        <f>IFERROR(__xludf.DUMMYFUNCTION("ARRAYFORMULA(REGEXEXTRACT(SPLIT(E715, ""&lt;br&gt;""), ""([가-힣A-Za-z]+)""))"),"테리")</f>
        <v>테리</v>
      </c>
      <c r="O715" s="26" t="str">
        <f>IFERROR(__xludf.DUMMYFUNCTION("""COMPUTED_VALUE"""),"필찌")</f>
        <v>필찌</v>
      </c>
      <c r="P715" s="26" t="str">
        <f>IFERROR(__xludf.DUMMYFUNCTION("""COMPUTED_VALUE"""),"넘버")</f>
        <v>넘버</v>
      </c>
      <c r="Q715" s="26" t="str">
        <f>IFERROR(__xludf.DUMMYFUNCTION("""COMPUTED_VALUE"""),"전투쥐")</f>
        <v>전투쥐</v>
      </c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27" t="s">
        <v>3117</v>
      </c>
      <c r="B716" s="28" t="s">
        <v>3118</v>
      </c>
      <c r="C716" s="27" t="s">
        <v>3119</v>
      </c>
      <c r="D716" s="27">
        <v>5.0</v>
      </c>
      <c r="E716" s="27" t="s">
        <v>3120</v>
      </c>
      <c r="F716" s="27">
        <v>2.0</v>
      </c>
      <c r="G716" s="29">
        <v>45753.60763888889</v>
      </c>
      <c r="H716" s="27" t="s">
        <v>2888</v>
      </c>
      <c r="I716" s="18"/>
      <c r="J716" s="25" t="str">
        <f>IFERROR(__xludf.DUMMYFUNCTION("ARRAYFORMULA(REGEXEXTRACT(SPLIT(C716, ""&lt;br&gt;""), ""([가-힣A-Za-z]+)""))"),"필찌")</f>
        <v>필찌</v>
      </c>
      <c r="K716" s="26" t="str">
        <f>IFERROR(__xludf.DUMMYFUNCTION("""COMPUTED_VALUE"""),"신형만")</f>
        <v>신형만</v>
      </c>
      <c r="L716" s="26" t="str">
        <f>IFERROR(__xludf.DUMMYFUNCTION("""COMPUTED_VALUE"""),"테리")</f>
        <v>테리</v>
      </c>
      <c r="M716" s="26" t="str">
        <f>IFERROR(__xludf.DUMMYFUNCTION("""COMPUTED_VALUE"""),"원")</f>
        <v>원</v>
      </c>
      <c r="N716" s="26" t="str">
        <f>IFERROR(__xludf.DUMMYFUNCTION("ARRAYFORMULA(REGEXEXTRACT(SPLIT(E716, ""&lt;br&gt;""), ""([가-힣A-Za-z]+)""))"),"넘버")</f>
        <v>넘버</v>
      </c>
      <c r="O716" s="26" t="str">
        <f>IFERROR(__xludf.DUMMYFUNCTION("""COMPUTED_VALUE"""),"노인")</f>
        <v>노인</v>
      </c>
      <c r="P716" s="26" t="str">
        <f>IFERROR(__xludf.DUMMYFUNCTION("""COMPUTED_VALUE"""),"짱구")</f>
        <v>짱구</v>
      </c>
      <c r="Q716" s="26" t="str">
        <f>IFERROR(__xludf.DUMMYFUNCTION("""COMPUTED_VALUE"""),"전투쥐")</f>
        <v>전투쥐</v>
      </c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27" t="s">
        <v>3121</v>
      </c>
      <c r="B717" s="28" t="s">
        <v>3122</v>
      </c>
      <c r="C717" s="27" t="s">
        <v>3123</v>
      </c>
      <c r="D717" s="27">
        <v>5.0</v>
      </c>
      <c r="E717" s="27" t="s">
        <v>3124</v>
      </c>
      <c r="F717" s="27">
        <v>4.0</v>
      </c>
      <c r="G717" s="29">
        <v>45750.92569444444</v>
      </c>
      <c r="H717" s="27" t="s">
        <v>2888</v>
      </c>
      <c r="I717" s="18"/>
      <c r="J717" s="25" t="str">
        <f>IFERROR(__xludf.DUMMYFUNCTION("ARRAYFORMULA(REGEXEXTRACT(SPLIT(C717, ""&lt;br&gt;""), ""([가-힣A-Za-z]+)""))"),"전투쥐")</f>
        <v>전투쥐</v>
      </c>
      <c r="K717" s="26" t="str">
        <f>IFERROR(__xludf.DUMMYFUNCTION("""COMPUTED_VALUE"""),"ACDC")</f>
        <v>ACDC</v>
      </c>
      <c r="L717" s="26" t="str">
        <f>IFERROR(__xludf.DUMMYFUNCTION("""COMPUTED_VALUE"""),"신형만")</f>
        <v>신형만</v>
      </c>
      <c r="M717" s="26" t="str">
        <f>IFERROR(__xludf.DUMMYFUNCTION("""COMPUTED_VALUE"""),"깡패")</f>
        <v>깡패</v>
      </c>
      <c r="N717" s="26" t="str">
        <f>IFERROR(__xludf.DUMMYFUNCTION("ARRAYFORMULA(REGEXEXTRACT(SPLIT(E717, ""&lt;br&gt;""), ""([가-힣A-Za-z]+)""))"),"웅")</f>
        <v>웅</v>
      </c>
      <c r="O717" s="26" t="str">
        <f>IFERROR(__xludf.DUMMYFUNCTION("""COMPUTED_VALUE"""),"테리")</f>
        <v>테리</v>
      </c>
      <c r="P717" s="26" t="str">
        <f>IFERROR(__xludf.DUMMYFUNCTION("""COMPUTED_VALUE"""),"터미")</f>
        <v>터미</v>
      </c>
      <c r="Q717" s="26" t="str">
        <f>IFERROR(__xludf.DUMMYFUNCTION("""COMPUTED_VALUE"""),"강화")</f>
        <v>강화</v>
      </c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27" t="s">
        <v>3125</v>
      </c>
      <c r="B718" s="28" t="s">
        <v>3126</v>
      </c>
      <c r="C718" s="27" t="s">
        <v>3127</v>
      </c>
      <c r="D718" s="27">
        <v>5.0</v>
      </c>
      <c r="E718" s="27" t="s">
        <v>3128</v>
      </c>
      <c r="F718" s="27">
        <v>0.0</v>
      </c>
      <c r="G718" s="29">
        <v>45750.89513888889</v>
      </c>
      <c r="H718" s="27" t="s">
        <v>2888</v>
      </c>
      <c r="I718" s="18"/>
      <c r="J718" s="25" t="str">
        <f>IFERROR(__xludf.DUMMYFUNCTION("ARRAYFORMULA(REGEXEXTRACT(SPLIT(C718, ""&lt;br&gt;""), ""([가-힣A-Za-z]+)""))"),"전투쥐")</f>
        <v>전투쥐</v>
      </c>
      <c r="K718" s="26" t="str">
        <f>IFERROR(__xludf.DUMMYFUNCTION("""COMPUTED_VALUE"""),"넘버")</f>
        <v>넘버</v>
      </c>
      <c r="L718" s="26" t="str">
        <f>IFERROR(__xludf.DUMMYFUNCTION("""COMPUTED_VALUE"""),"규식")</f>
        <v>규식</v>
      </c>
      <c r="M718" s="26" t="str">
        <f>IFERROR(__xludf.DUMMYFUNCTION("""COMPUTED_VALUE"""),"깡패")</f>
        <v>깡패</v>
      </c>
      <c r="N718" s="26" t="str">
        <f>IFERROR(__xludf.DUMMYFUNCTION("ARRAYFORMULA(REGEXEXTRACT(SPLIT(E718, ""&lt;br&gt;""), ""([가-힣A-Za-z]+)""))"),"테리")</f>
        <v>테리</v>
      </c>
      <c r="O718" s="26" t="str">
        <f>IFERROR(__xludf.DUMMYFUNCTION("""COMPUTED_VALUE"""),"ACDC")</f>
        <v>ACDC</v>
      </c>
      <c r="P718" s="26" t="str">
        <f>IFERROR(__xludf.DUMMYFUNCTION("""COMPUTED_VALUE"""),"터미")</f>
        <v>터미</v>
      </c>
      <c r="Q718" s="26" t="str">
        <f>IFERROR(__xludf.DUMMYFUNCTION("""COMPUTED_VALUE"""),"신형만")</f>
        <v>신형만</v>
      </c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27" t="s">
        <v>3129</v>
      </c>
      <c r="B719" s="28" t="s">
        <v>3130</v>
      </c>
      <c r="C719" s="27" t="s">
        <v>3131</v>
      </c>
      <c r="D719" s="27">
        <v>5.0</v>
      </c>
      <c r="E719" s="27" t="s">
        <v>3132</v>
      </c>
      <c r="F719" s="27">
        <v>2.0</v>
      </c>
      <c r="G719" s="29">
        <v>45750.87777777778</v>
      </c>
      <c r="H719" s="27" t="s">
        <v>2888</v>
      </c>
      <c r="I719" s="18"/>
      <c r="J719" s="25" t="str">
        <f>IFERROR(__xludf.DUMMYFUNCTION("ARRAYFORMULA(REGEXEXTRACT(SPLIT(C719, ""&lt;br&gt;""), ""([가-힣A-Za-z]+)""))"),"테리")</f>
        <v>테리</v>
      </c>
      <c r="K719" s="26" t="str">
        <f>IFERROR(__xludf.DUMMYFUNCTION("""COMPUTED_VALUE"""),"깡패")</f>
        <v>깡패</v>
      </c>
      <c r="L719" s="26" t="str">
        <f>IFERROR(__xludf.DUMMYFUNCTION("""COMPUTED_VALUE"""),"전투쥐")</f>
        <v>전투쥐</v>
      </c>
      <c r="M719" s="26" t="str">
        <f>IFERROR(__xludf.DUMMYFUNCTION("""COMPUTED_VALUE"""),"터미")</f>
        <v>터미</v>
      </c>
      <c r="N719" s="26" t="str">
        <f>IFERROR(__xludf.DUMMYFUNCTION("ARRAYFORMULA(REGEXEXTRACT(SPLIT(E719, ""&lt;br&gt;""), ""([가-힣A-Za-z]+)""))"),"넘버")</f>
        <v>넘버</v>
      </c>
      <c r="O719" s="26" t="str">
        <f>IFERROR(__xludf.DUMMYFUNCTION("""COMPUTED_VALUE"""),"ACDC")</f>
        <v>ACDC</v>
      </c>
      <c r="P719" s="26" t="str">
        <f>IFERROR(__xludf.DUMMYFUNCTION("""COMPUTED_VALUE"""),"신형만")</f>
        <v>신형만</v>
      </c>
      <c r="Q719" s="26" t="str">
        <f>IFERROR(__xludf.DUMMYFUNCTION("""COMPUTED_VALUE"""),"규식")</f>
        <v>규식</v>
      </c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27" t="s">
        <v>3133</v>
      </c>
      <c r="B720" s="28" t="s">
        <v>3134</v>
      </c>
      <c r="C720" s="27" t="s">
        <v>3135</v>
      </c>
      <c r="D720" s="27">
        <v>5.0</v>
      </c>
      <c r="E720" s="27" t="s">
        <v>3136</v>
      </c>
      <c r="F720" s="27">
        <v>0.0</v>
      </c>
      <c r="G720" s="29">
        <v>45750.84861111111</v>
      </c>
      <c r="H720" s="27" t="s">
        <v>2888</v>
      </c>
      <c r="I720" s="18"/>
      <c r="J720" s="25" t="str">
        <f>IFERROR(__xludf.DUMMYFUNCTION("ARRAYFORMULA(REGEXEXTRACT(SPLIT(C720, ""&lt;br&gt;""), ""([가-힣A-Za-z]+)""))"),"넘버")</f>
        <v>넘버</v>
      </c>
      <c r="K720" s="26" t="str">
        <f>IFERROR(__xludf.DUMMYFUNCTION("""COMPUTED_VALUE"""),"테리")</f>
        <v>테리</v>
      </c>
      <c r="L720" s="26" t="str">
        <f>IFERROR(__xludf.DUMMYFUNCTION("""COMPUTED_VALUE"""),"전투쥐")</f>
        <v>전투쥐</v>
      </c>
      <c r="M720" s="26" t="str">
        <f>IFERROR(__xludf.DUMMYFUNCTION("""COMPUTED_VALUE"""),"신형만")</f>
        <v>신형만</v>
      </c>
      <c r="N720" s="26" t="str">
        <f>IFERROR(__xludf.DUMMYFUNCTION("ARRAYFORMULA(REGEXEXTRACT(SPLIT(E720, ""&lt;br&gt;""), ""([가-힣A-Za-z]+)""))"),"터미")</f>
        <v>터미</v>
      </c>
      <c r="O720" s="26" t="str">
        <f>IFERROR(__xludf.DUMMYFUNCTION("""COMPUTED_VALUE"""),"노인")</f>
        <v>노인</v>
      </c>
      <c r="P720" s="26" t="str">
        <f>IFERROR(__xludf.DUMMYFUNCTION("""COMPUTED_VALUE"""),"ACDC")</f>
        <v>ACDC</v>
      </c>
      <c r="Q720" s="26" t="str">
        <f>IFERROR(__xludf.DUMMYFUNCTION("""COMPUTED_VALUE"""),"깡패")</f>
        <v>깡패</v>
      </c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27" t="s">
        <v>3137</v>
      </c>
      <c r="B721" s="28" t="s">
        <v>3138</v>
      </c>
      <c r="C721" s="27" t="s">
        <v>3139</v>
      </c>
      <c r="D721" s="27">
        <v>5.0</v>
      </c>
      <c r="E721" s="27" t="s">
        <v>3140</v>
      </c>
      <c r="F721" s="27">
        <v>3.0</v>
      </c>
      <c r="G721" s="29">
        <v>45745.10625</v>
      </c>
      <c r="H721" s="27" t="s">
        <v>2888</v>
      </c>
      <c r="I721" s="18"/>
      <c r="J721" s="25" t="str">
        <f>IFERROR(__xludf.DUMMYFUNCTION("ARRAYFORMULA(REGEXEXTRACT(SPLIT(C721, ""&lt;br&gt;""), ""([가-힣A-Za-z]+)""))"),"넘버")</f>
        <v>넘버</v>
      </c>
      <c r="K721" s="26" t="str">
        <f>IFERROR(__xludf.DUMMYFUNCTION("""COMPUTED_VALUE"""),"짱구")</f>
        <v>짱구</v>
      </c>
      <c r="L721" s="26" t="str">
        <f>IFERROR(__xludf.DUMMYFUNCTION("""COMPUTED_VALUE"""),"참치")</f>
        <v>참치</v>
      </c>
      <c r="M721" s="26" t="str">
        <f>IFERROR(__xludf.DUMMYFUNCTION("""COMPUTED_VALUE"""),"원")</f>
        <v>원</v>
      </c>
      <c r="N721" s="26" t="str">
        <f>IFERROR(__xludf.DUMMYFUNCTION("ARRAYFORMULA(REGEXEXTRACT(SPLIT(E721, ""&lt;br&gt;""), ""([가-힣A-Za-z]+)""))"),"테리")</f>
        <v>테리</v>
      </c>
      <c r="O721" s="26" t="str">
        <f>IFERROR(__xludf.DUMMYFUNCTION("""COMPUTED_VALUE"""),"깡패")</f>
        <v>깡패</v>
      </c>
      <c r="P721" s="26" t="str">
        <f>IFERROR(__xludf.DUMMYFUNCTION("""COMPUTED_VALUE"""),"태식")</f>
        <v>태식</v>
      </c>
      <c r="Q721" s="26" t="str">
        <f>IFERROR(__xludf.DUMMYFUNCTION("""COMPUTED_VALUE"""),"솔")</f>
        <v>솔</v>
      </c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27" t="s">
        <v>3141</v>
      </c>
      <c r="B722" s="28" t="s">
        <v>3142</v>
      </c>
      <c r="C722" s="27" t="s">
        <v>3143</v>
      </c>
      <c r="D722" s="27">
        <v>5.0</v>
      </c>
      <c r="E722" s="27" t="s">
        <v>3144</v>
      </c>
      <c r="F722" s="27">
        <v>2.0</v>
      </c>
      <c r="G722" s="29">
        <v>45745.086805555555</v>
      </c>
      <c r="H722" s="27" t="s">
        <v>2888</v>
      </c>
      <c r="I722" s="18"/>
      <c r="J722" s="25" t="str">
        <f>IFERROR(__xludf.DUMMYFUNCTION("ARRAYFORMULA(REGEXEXTRACT(SPLIT(C722, ""&lt;br&gt;""), ""([가-힣A-Za-z]+)""))"),"깡패")</f>
        <v>깡패</v>
      </c>
      <c r="K722" s="26" t="str">
        <f>IFERROR(__xludf.DUMMYFUNCTION("""COMPUTED_VALUE"""),"짱구")</f>
        <v>짱구</v>
      </c>
      <c r="L722" s="26" t="str">
        <f>IFERROR(__xludf.DUMMYFUNCTION("""COMPUTED_VALUE"""),"태식")</f>
        <v>태식</v>
      </c>
      <c r="M722" s="26" t="str">
        <f>IFERROR(__xludf.DUMMYFUNCTION("""COMPUTED_VALUE"""),"넘버")</f>
        <v>넘버</v>
      </c>
      <c r="N722" s="26" t="str">
        <f>IFERROR(__xludf.DUMMYFUNCTION("ARRAYFORMULA(REGEXEXTRACT(SPLIT(E722, ""&lt;br&gt;""), ""([가-힣A-Za-z]+)""))"),"솔")</f>
        <v>솔</v>
      </c>
      <c r="O722" s="26" t="str">
        <f>IFERROR(__xludf.DUMMYFUNCTION("""COMPUTED_VALUE"""),"테리")</f>
        <v>테리</v>
      </c>
      <c r="P722" s="26" t="str">
        <f>IFERROR(__xludf.DUMMYFUNCTION("""COMPUTED_VALUE"""),"참치")</f>
        <v>참치</v>
      </c>
      <c r="Q722" s="26" t="str">
        <f>IFERROR(__xludf.DUMMYFUNCTION("""COMPUTED_VALUE"""),"원")</f>
        <v>원</v>
      </c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27" t="s">
        <v>3145</v>
      </c>
      <c r="B723" s="28" t="s">
        <v>3146</v>
      </c>
      <c r="C723" s="27" t="s">
        <v>3147</v>
      </c>
      <c r="D723" s="27">
        <v>5.0</v>
      </c>
      <c r="E723" s="27" t="s">
        <v>3148</v>
      </c>
      <c r="F723" s="27">
        <v>4.0</v>
      </c>
      <c r="G723" s="29">
        <v>45745.01944444444</v>
      </c>
      <c r="H723" s="27" t="s">
        <v>2888</v>
      </c>
      <c r="I723" s="18"/>
      <c r="J723" s="25" t="str">
        <f>IFERROR(__xludf.DUMMYFUNCTION("ARRAYFORMULA(REGEXEXTRACT(SPLIT(C723, ""&lt;br&gt;""), ""([가-힣A-Za-z]+)""))"),"솔")</f>
        <v>솔</v>
      </c>
      <c r="K723" s="26" t="str">
        <f>IFERROR(__xludf.DUMMYFUNCTION("""COMPUTED_VALUE"""),"넘버")</f>
        <v>넘버</v>
      </c>
      <c r="L723" s="26" t="str">
        <f>IFERROR(__xludf.DUMMYFUNCTION("""COMPUTED_VALUE"""),"신형만")</f>
        <v>신형만</v>
      </c>
      <c r="M723" s="26" t="str">
        <f>IFERROR(__xludf.DUMMYFUNCTION("""COMPUTED_VALUE"""),"원")</f>
        <v>원</v>
      </c>
      <c r="N723" s="26" t="str">
        <f>IFERROR(__xludf.DUMMYFUNCTION("ARRAYFORMULA(REGEXEXTRACT(SPLIT(E723, ""&lt;br&gt;""), ""([가-힣A-Za-z]+)""))"),"단수")</f>
        <v>단수</v>
      </c>
      <c r="O723" s="26" t="str">
        <f>IFERROR(__xludf.DUMMYFUNCTION("""COMPUTED_VALUE"""),"참치")</f>
        <v>참치</v>
      </c>
      <c r="P723" s="26" t="str">
        <f>IFERROR(__xludf.DUMMYFUNCTION("""COMPUTED_VALUE"""),"짱구")</f>
        <v>짱구</v>
      </c>
      <c r="Q723" s="26" t="str">
        <f>IFERROR(__xludf.DUMMYFUNCTION("""COMPUTED_VALUE"""),"노픽업")</f>
        <v>노픽업</v>
      </c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27" t="s">
        <v>3149</v>
      </c>
      <c r="B724" s="28" t="s">
        <v>3150</v>
      </c>
      <c r="C724" s="27" t="s">
        <v>3151</v>
      </c>
      <c r="D724" s="27">
        <v>5.0</v>
      </c>
      <c r="E724" s="27" t="s">
        <v>3152</v>
      </c>
      <c r="F724" s="27">
        <v>4.0</v>
      </c>
      <c r="G724" s="29">
        <v>45744.99236111111</v>
      </c>
      <c r="H724" s="27" t="s">
        <v>2888</v>
      </c>
      <c r="I724" s="18"/>
      <c r="J724" s="25" t="str">
        <f>IFERROR(__xludf.DUMMYFUNCTION("ARRAYFORMULA(REGEXEXTRACT(SPLIT(C724, ""&lt;br&gt;""), ""([가-힣A-Za-z]+)""))"),"단수")</f>
        <v>단수</v>
      </c>
      <c r="K724" s="26" t="str">
        <f>IFERROR(__xludf.DUMMYFUNCTION("""COMPUTED_VALUE"""),"짱구")</f>
        <v>짱구</v>
      </c>
      <c r="L724" s="26" t="str">
        <f>IFERROR(__xludf.DUMMYFUNCTION("""COMPUTED_VALUE"""),"원")</f>
        <v>원</v>
      </c>
      <c r="M724" s="26" t="str">
        <f>IFERROR(__xludf.DUMMYFUNCTION("""COMPUTED_VALUE"""),"솔")</f>
        <v>솔</v>
      </c>
      <c r="N724" s="26" t="str">
        <f>IFERROR(__xludf.DUMMYFUNCTION("ARRAYFORMULA(REGEXEXTRACT(SPLIT(E724, ""&lt;br&gt;""), ""([가-힣A-Za-z]+)""))"),"신형만")</f>
        <v>신형만</v>
      </c>
      <c r="O724" s="26" t="str">
        <f>IFERROR(__xludf.DUMMYFUNCTION("""COMPUTED_VALUE"""),"참치")</f>
        <v>참치</v>
      </c>
      <c r="P724" s="26" t="str">
        <f>IFERROR(__xludf.DUMMYFUNCTION("""COMPUTED_VALUE"""),"노픽업")</f>
        <v>노픽업</v>
      </c>
      <c r="Q724" s="26" t="str">
        <f>IFERROR(__xludf.DUMMYFUNCTION("""COMPUTED_VALUE"""),"민우")</f>
        <v>민우</v>
      </c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27" t="s">
        <v>3153</v>
      </c>
      <c r="B725" s="28" t="s">
        <v>3154</v>
      </c>
      <c r="C725" s="27" t="s">
        <v>3155</v>
      </c>
      <c r="D725" s="27">
        <v>5.0</v>
      </c>
      <c r="E725" s="27" t="s">
        <v>3156</v>
      </c>
      <c r="F725" s="27">
        <v>0.0</v>
      </c>
      <c r="G725" s="29">
        <v>45744.96111111111</v>
      </c>
      <c r="H725" s="27" t="s">
        <v>2888</v>
      </c>
      <c r="I725" s="18"/>
      <c r="J725" s="25" t="str">
        <f>IFERROR(__xludf.DUMMYFUNCTION("ARRAYFORMULA(REGEXEXTRACT(SPLIT(C725, ""&lt;br&gt;""), ""([가-힣A-Za-z]+)""))"),"신형만")</f>
        <v>신형만</v>
      </c>
      <c r="K725" s="26" t="str">
        <f>IFERROR(__xludf.DUMMYFUNCTION("""COMPUTED_VALUE"""),"짱구")</f>
        <v>짱구</v>
      </c>
      <c r="L725" s="26" t="str">
        <f>IFERROR(__xludf.DUMMYFUNCTION("""COMPUTED_VALUE"""),"노픽업")</f>
        <v>노픽업</v>
      </c>
      <c r="M725" s="26" t="str">
        <f>IFERROR(__xludf.DUMMYFUNCTION("""COMPUTED_VALUE"""),"원")</f>
        <v>원</v>
      </c>
      <c r="N725" s="26" t="str">
        <f>IFERROR(__xludf.DUMMYFUNCTION("ARRAYFORMULA(REGEXEXTRACT(SPLIT(E725, ""&lt;br&gt;""), ""([가-힣A-Za-z]+)""))"),"솔")</f>
        <v>솔</v>
      </c>
      <c r="O725" s="26" t="str">
        <f>IFERROR(__xludf.DUMMYFUNCTION("""COMPUTED_VALUE"""),"참치")</f>
        <v>참치</v>
      </c>
      <c r="P725" s="26" t="str">
        <f>IFERROR(__xludf.DUMMYFUNCTION("""COMPUTED_VALUE"""),"단수")</f>
        <v>단수</v>
      </c>
      <c r="Q725" s="26" t="str">
        <f>IFERROR(__xludf.DUMMYFUNCTION("""COMPUTED_VALUE"""),"민우")</f>
        <v>민우</v>
      </c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27" t="s">
        <v>3157</v>
      </c>
      <c r="B726" s="28" t="s">
        <v>3158</v>
      </c>
      <c r="C726" s="27" t="s">
        <v>3159</v>
      </c>
      <c r="D726" s="27">
        <v>5.0</v>
      </c>
      <c r="E726" s="27" t="s">
        <v>3160</v>
      </c>
      <c r="F726" s="27">
        <v>2.0</v>
      </c>
      <c r="G726" s="29">
        <v>45744.95138888889</v>
      </c>
      <c r="H726" s="27" t="s">
        <v>2888</v>
      </c>
      <c r="I726" s="18"/>
      <c r="J726" s="25" t="str">
        <f>IFERROR(__xludf.DUMMYFUNCTION("ARRAYFORMULA(REGEXEXTRACT(SPLIT(C726, ""&lt;br&gt;""), ""([가-힣A-Za-z]+)""))"),"단수")</f>
        <v>단수</v>
      </c>
      <c r="K726" s="26" t="str">
        <f>IFERROR(__xludf.DUMMYFUNCTION("""COMPUTED_VALUE"""),"참치")</f>
        <v>참치</v>
      </c>
      <c r="L726" s="26" t="str">
        <f>IFERROR(__xludf.DUMMYFUNCTION("""COMPUTED_VALUE"""),"신형만")</f>
        <v>신형만</v>
      </c>
      <c r="M726" s="26" t="str">
        <f>IFERROR(__xludf.DUMMYFUNCTION("""COMPUTED_VALUE"""),"원")</f>
        <v>원</v>
      </c>
      <c r="N726" s="26" t="str">
        <f>IFERROR(__xludf.DUMMYFUNCTION("ARRAYFORMULA(REGEXEXTRACT(SPLIT(E726, ""&lt;br&gt;""), ""([가-힣A-Za-z]+)""))"),"민우")</f>
        <v>민우</v>
      </c>
      <c r="O726" s="26" t="str">
        <f>IFERROR(__xludf.DUMMYFUNCTION("""COMPUTED_VALUE"""),"짱구")</f>
        <v>짱구</v>
      </c>
      <c r="P726" s="26" t="str">
        <f>IFERROR(__xludf.DUMMYFUNCTION("""COMPUTED_VALUE"""),"노픽업")</f>
        <v>노픽업</v>
      </c>
      <c r="Q726" s="26" t="str">
        <f>IFERROR(__xludf.DUMMYFUNCTION("""COMPUTED_VALUE"""),"솔")</f>
        <v>솔</v>
      </c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27" t="s">
        <v>3161</v>
      </c>
      <c r="B727" s="28" t="s">
        <v>3162</v>
      </c>
      <c r="C727" s="27" t="s">
        <v>3163</v>
      </c>
      <c r="D727" s="27">
        <v>5.0</v>
      </c>
      <c r="E727" s="27" t="s">
        <v>3164</v>
      </c>
      <c r="F727" s="27">
        <v>2.0</v>
      </c>
      <c r="G727" s="29">
        <v>45743.88333333333</v>
      </c>
      <c r="H727" s="27" t="s">
        <v>2888</v>
      </c>
      <c r="I727" s="18"/>
      <c r="J727" s="25" t="str">
        <f>IFERROR(__xludf.DUMMYFUNCTION("ARRAYFORMULA(REGEXEXTRACT(SPLIT(C727, ""&lt;br&gt;""), ""([가-힣A-Za-z]+)""))"),"깡패")</f>
        <v>깡패</v>
      </c>
      <c r="K727" s="26" t="str">
        <f>IFERROR(__xludf.DUMMYFUNCTION("""COMPUTED_VALUE"""),"테리")</f>
        <v>테리</v>
      </c>
      <c r="L727" s="26" t="str">
        <f>IFERROR(__xludf.DUMMYFUNCTION("""COMPUTED_VALUE"""),"짱구")</f>
        <v>짱구</v>
      </c>
      <c r="M727" s="26" t="str">
        <f>IFERROR(__xludf.DUMMYFUNCTION("""COMPUTED_VALUE"""),"전투쥐")</f>
        <v>전투쥐</v>
      </c>
      <c r="N727" s="26" t="str">
        <f>IFERROR(__xludf.DUMMYFUNCTION("ARRAYFORMULA(REGEXEXTRACT(SPLIT(E727, ""&lt;br&gt;""), ""([가-힣A-Za-z]+)""))"),"유즈")</f>
        <v>유즈</v>
      </c>
      <c r="O727" s="26" t="str">
        <f>IFERROR(__xludf.DUMMYFUNCTION("""COMPUTED_VALUE"""),"노인")</f>
        <v>노인</v>
      </c>
      <c r="P727" s="26" t="str">
        <f>IFERROR(__xludf.DUMMYFUNCTION("""COMPUTED_VALUE"""),"노픽업")</f>
        <v>노픽업</v>
      </c>
      <c r="Q727" s="26" t="str">
        <f>IFERROR(__xludf.DUMMYFUNCTION("""COMPUTED_VALUE"""),"넘버")</f>
        <v>넘버</v>
      </c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27" t="s">
        <v>3165</v>
      </c>
      <c r="B728" s="28" t="s">
        <v>3166</v>
      </c>
      <c r="C728" s="27" t="s">
        <v>3167</v>
      </c>
      <c r="D728" s="27">
        <v>5.0</v>
      </c>
      <c r="E728" s="27" t="s">
        <v>3168</v>
      </c>
      <c r="F728" s="27">
        <v>4.0</v>
      </c>
      <c r="G728" s="29">
        <v>45743.86319444444</v>
      </c>
      <c r="H728" s="27" t="s">
        <v>2888</v>
      </c>
      <c r="I728" s="18"/>
      <c r="J728" s="25" t="str">
        <f>IFERROR(__xludf.DUMMYFUNCTION("ARRAYFORMULA(REGEXEXTRACT(SPLIT(C728, ""&lt;br&gt;""), ""([가-힣A-Za-z]+)""))"),"테리")</f>
        <v>테리</v>
      </c>
      <c r="K728" s="26" t="str">
        <f>IFERROR(__xludf.DUMMYFUNCTION("""COMPUTED_VALUE"""),"유즈")</f>
        <v>유즈</v>
      </c>
      <c r="L728" s="26" t="str">
        <f>IFERROR(__xludf.DUMMYFUNCTION("""COMPUTED_VALUE"""),"전투쥐")</f>
        <v>전투쥐</v>
      </c>
      <c r="M728" s="26" t="str">
        <f>IFERROR(__xludf.DUMMYFUNCTION("""COMPUTED_VALUE"""),"노픽업")</f>
        <v>노픽업</v>
      </c>
      <c r="N728" s="26" t="str">
        <f>IFERROR(__xludf.DUMMYFUNCTION("ARRAYFORMULA(REGEXEXTRACT(SPLIT(E728, ""&lt;br&gt;""), ""([가-힣A-Za-z]+)""))"),"기재")</f>
        <v>기재</v>
      </c>
      <c r="O728" s="26" t="str">
        <f>IFERROR(__xludf.DUMMYFUNCTION("""COMPUTED_VALUE"""),"깡패")</f>
        <v>깡패</v>
      </c>
      <c r="P728" s="26" t="str">
        <f>IFERROR(__xludf.DUMMYFUNCTION("""COMPUTED_VALUE"""),"노인")</f>
        <v>노인</v>
      </c>
      <c r="Q728" s="26" t="str">
        <f>IFERROR(__xludf.DUMMYFUNCTION("""COMPUTED_VALUE"""),"넘버")</f>
        <v>넘버</v>
      </c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27" t="s">
        <v>3169</v>
      </c>
      <c r="B729" s="28" t="s">
        <v>3170</v>
      </c>
      <c r="C729" s="27" t="s">
        <v>3171</v>
      </c>
      <c r="D729" s="27">
        <v>5.0</v>
      </c>
      <c r="E729" s="27" t="s">
        <v>3172</v>
      </c>
      <c r="F729" s="27">
        <v>1.0</v>
      </c>
      <c r="G729" s="29">
        <v>45743.71597222222</v>
      </c>
      <c r="H729" s="27" t="s">
        <v>2888</v>
      </c>
      <c r="I729" s="18"/>
      <c r="J729" s="25" t="str">
        <f>IFERROR(__xludf.DUMMYFUNCTION("ARRAYFORMULA(REGEXEXTRACT(SPLIT(C729, ""&lt;br&gt;""), ""([가-힣A-Za-z]+)""))"),"테리")</f>
        <v>테리</v>
      </c>
      <c r="K729" s="26" t="str">
        <f>IFERROR(__xludf.DUMMYFUNCTION("""COMPUTED_VALUE"""),"신형만")</f>
        <v>신형만</v>
      </c>
      <c r="L729" s="26" t="str">
        <f>IFERROR(__xludf.DUMMYFUNCTION("""COMPUTED_VALUE"""),"짱구")</f>
        <v>짱구</v>
      </c>
      <c r="M729" s="26" t="str">
        <f>IFERROR(__xludf.DUMMYFUNCTION("""COMPUTED_VALUE"""),"노인")</f>
        <v>노인</v>
      </c>
      <c r="N729" s="26" t="str">
        <f>IFERROR(__xludf.DUMMYFUNCTION("ARRAYFORMULA(REGEXEXTRACT(SPLIT(E729, ""&lt;br&gt;""), ""([가-힣A-Za-z]+)""))"),"유즈")</f>
        <v>유즈</v>
      </c>
      <c r="O729" s="26" t="str">
        <f>IFERROR(__xludf.DUMMYFUNCTION("""COMPUTED_VALUE"""),"따")</f>
        <v>따</v>
      </c>
      <c r="P729" s="26" t="str">
        <f>IFERROR(__xludf.DUMMYFUNCTION("""COMPUTED_VALUE"""),"민우")</f>
        <v>민우</v>
      </c>
      <c r="Q729" s="26" t="str">
        <f>IFERROR(__xludf.DUMMYFUNCTION("""COMPUTED_VALUE"""),"노픽업")</f>
        <v>노픽업</v>
      </c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27" t="s">
        <v>3173</v>
      </c>
      <c r="B730" s="28" t="s">
        <v>3174</v>
      </c>
      <c r="C730" s="27" t="s">
        <v>3175</v>
      </c>
      <c r="D730" s="27">
        <v>5.0</v>
      </c>
      <c r="E730" s="27" t="s">
        <v>3176</v>
      </c>
      <c r="F730" s="27">
        <v>1.0</v>
      </c>
      <c r="G730" s="29">
        <v>45743.70277777778</v>
      </c>
      <c r="H730" s="27" t="s">
        <v>2888</v>
      </c>
      <c r="I730" s="18"/>
      <c r="J730" s="25" t="str">
        <f>IFERROR(__xludf.DUMMYFUNCTION("ARRAYFORMULA(REGEXEXTRACT(SPLIT(C730, ""&lt;br&gt;""), ""([가-힣A-Za-z]+)""))"),"민우")</f>
        <v>민우</v>
      </c>
      <c r="K730" s="26" t="str">
        <f>IFERROR(__xludf.DUMMYFUNCTION("""COMPUTED_VALUE"""),"테리")</f>
        <v>테리</v>
      </c>
      <c r="L730" s="26" t="str">
        <f>IFERROR(__xludf.DUMMYFUNCTION("""COMPUTED_VALUE"""),"노인")</f>
        <v>노인</v>
      </c>
      <c r="M730" s="26" t="str">
        <f>IFERROR(__xludf.DUMMYFUNCTION("""COMPUTED_VALUE"""),"노픽업")</f>
        <v>노픽업</v>
      </c>
      <c r="N730" s="26" t="str">
        <f>IFERROR(__xludf.DUMMYFUNCTION("ARRAYFORMULA(REGEXEXTRACT(SPLIT(E730, ""&lt;br&gt;""), ""([가-힣A-Za-z]+)""))"),"신형만")</f>
        <v>신형만</v>
      </c>
      <c r="O730" s="26" t="str">
        <f>IFERROR(__xludf.DUMMYFUNCTION("""COMPUTED_VALUE"""),"유즈")</f>
        <v>유즈</v>
      </c>
      <c r="P730" s="26" t="str">
        <f>IFERROR(__xludf.DUMMYFUNCTION("""COMPUTED_VALUE"""),"짱구")</f>
        <v>짱구</v>
      </c>
      <c r="Q730" s="26" t="str">
        <f>IFERROR(__xludf.DUMMYFUNCTION("""COMPUTED_VALUE"""),"따")</f>
        <v>따</v>
      </c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27" t="s">
        <v>3177</v>
      </c>
      <c r="B731" s="28" t="s">
        <v>3178</v>
      </c>
      <c r="C731" s="27" t="s">
        <v>3179</v>
      </c>
      <c r="D731" s="27">
        <v>5.0</v>
      </c>
      <c r="E731" s="27" t="s">
        <v>3180</v>
      </c>
      <c r="F731" s="27">
        <v>2.0</v>
      </c>
      <c r="G731" s="29">
        <v>45743.68541666667</v>
      </c>
      <c r="H731" s="27" t="s">
        <v>2888</v>
      </c>
      <c r="I731" s="18"/>
      <c r="J731" s="25" t="str">
        <f>IFERROR(__xludf.DUMMYFUNCTION("ARRAYFORMULA(REGEXEXTRACT(SPLIT(C731, ""&lt;br&gt;""), ""([가-힣A-Za-z]+)""))"),"ACDC")</f>
        <v>ACDC</v>
      </c>
      <c r="K731" s="26" t="str">
        <f>IFERROR(__xludf.DUMMYFUNCTION("""COMPUTED_VALUE"""),"노인")</f>
        <v>노인</v>
      </c>
      <c r="L731" s="26" t="str">
        <f>IFERROR(__xludf.DUMMYFUNCTION("""COMPUTED_VALUE"""),"노픽업")</f>
        <v>노픽업</v>
      </c>
      <c r="M731" s="26" t="str">
        <f>IFERROR(__xludf.DUMMYFUNCTION("""COMPUTED_VALUE"""),"신형만")</f>
        <v>신형만</v>
      </c>
      <c r="N731" s="26" t="str">
        <f>IFERROR(__xludf.DUMMYFUNCTION("ARRAYFORMULA(REGEXEXTRACT(SPLIT(E731, ""&lt;br&gt;""), ""([가-힣A-Za-z]+)""))"),"테리")</f>
        <v>테리</v>
      </c>
      <c r="O731" s="26" t="str">
        <f>IFERROR(__xludf.DUMMYFUNCTION("""COMPUTED_VALUE"""),"따")</f>
        <v>따</v>
      </c>
      <c r="P731" s="26" t="str">
        <f>IFERROR(__xludf.DUMMYFUNCTION("""COMPUTED_VALUE"""),"짱구")</f>
        <v>짱구</v>
      </c>
      <c r="Q731" s="26" t="str">
        <f>IFERROR(__xludf.DUMMYFUNCTION("""COMPUTED_VALUE"""),"민우")</f>
        <v>민우</v>
      </c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27" t="s">
        <v>3181</v>
      </c>
      <c r="B732" s="28" t="s">
        <v>3182</v>
      </c>
      <c r="C732" s="27" t="s">
        <v>3183</v>
      </c>
      <c r="D732" s="27">
        <v>5.0</v>
      </c>
      <c r="E732" s="27" t="s">
        <v>3184</v>
      </c>
      <c r="F732" s="27">
        <v>1.0</v>
      </c>
      <c r="G732" s="29">
        <v>45743.660416666666</v>
      </c>
      <c r="H732" s="27" t="s">
        <v>2888</v>
      </c>
      <c r="I732" s="18"/>
      <c r="J732" s="25" t="str">
        <f>IFERROR(__xludf.DUMMYFUNCTION("ARRAYFORMULA(REGEXEXTRACT(SPLIT(C732, ""&lt;br&gt;""), ""([가-힣A-Za-z]+)""))"),"민우")</f>
        <v>민우</v>
      </c>
      <c r="K732" s="26" t="str">
        <f>IFERROR(__xludf.DUMMYFUNCTION("""COMPUTED_VALUE"""),"ACDC")</f>
        <v>ACDC</v>
      </c>
      <c r="L732" s="26" t="str">
        <f>IFERROR(__xludf.DUMMYFUNCTION("""COMPUTED_VALUE"""),"따")</f>
        <v>따</v>
      </c>
      <c r="M732" s="26" t="str">
        <f>IFERROR(__xludf.DUMMYFUNCTION("""COMPUTED_VALUE"""),"노인")</f>
        <v>노인</v>
      </c>
      <c r="N732" s="26" t="str">
        <f>IFERROR(__xludf.DUMMYFUNCTION("ARRAYFORMULA(REGEXEXTRACT(SPLIT(E732, ""&lt;br&gt;""), ""([가-힣A-Za-z]+)""))"),"짱구")</f>
        <v>짱구</v>
      </c>
      <c r="O732" s="26" t="str">
        <f>IFERROR(__xludf.DUMMYFUNCTION("""COMPUTED_VALUE"""),"신형만")</f>
        <v>신형만</v>
      </c>
      <c r="P732" s="26" t="str">
        <f>IFERROR(__xludf.DUMMYFUNCTION("""COMPUTED_VALUE"""),"테리")</f>
        <v>테리</v>
      </c>
      <c r="Q732" s="26" t="str">
        <f>IFERROR(__xludf.DUMMYFUNCTION("""COMPUTED_VALUE"""),"노픽업")</f>
        <v>노픽업</v>
      </c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27" t="s">
        <v>3185</v>
      </c>
      <c r="B733" s="28" t="s">
        <v>3186</v>
      </c>
      <c r="C733" s="27" t="s">
        <v>3187</v>
      </c>
      <c r="D733" s="27">
        <v>5.0</v>
      </c>
      <c r="E733" s="27" t="s">
        <v>3188</v>
      </c>
      <c r="F733" s="27">
        <v>4.0</v>
      </c>
      <c r="G733" s="29">
        <v>45743.086805555555</v>
      </c>
      <c r="H733" s="27" t="s">
        <v>2888</v>
      </c>
      <c r="I733" s="18"/>
      <c r="J733" s="25" t="str">
        <f>IFERROR(__xludf.DUMMYFUNCTION("ARRAYFORMULA(REGEXEXTRACT(SPLIT(C733, ""&lt;br&gt;""), ""([가-힣A-Za-z]+)""))"),"노인")</f>
        <v>노인</v>
      </c>
      <c r="K733" s="26" t="str">
        <f>IFERROR(__xludf.DUMMYFUNCTION("""COMPUTED_VALUE"""),"짱구")</f>
        <v>짱구</v>
      </c>
      <c r="L733" s="26" t="str">
        <f>IFERROR(__xludf.DUMMYFUNCTION("""COMPUTED_VALUE"""),"ACDC")</f>
        <v>ACDC</v>
      </c>
      <c r="M733" s="26" t="str">
        <f>IFERROR(__xludf.DUMMYFUNCTION("""COMPUTED_VALUE"""),"신형만")</f>
        <v>신형만</v>
      </c>
      <c r="N733" s="26" t="str">
        <f>IFERROR(__xludf.DUMMYFUNCTION("ARRAYFORMULA(REGEXEXTRACT(SPLIT(E733, ""&lt;br&gt;""), ""([가-힣A-Za-z]+)""))"),"넘버")</f>
        <v>넘버</v>
      </c>
      <c r="O733" s="26" t="str">
        <f>IFERROR(__xludf.DUMMYFUNCTION("""COMPUTED_VALUE"""),"테리")</f>
        <v>테리</v>
      </c>
      <c r="P733" s="26" t="str">
        <f>IFERROR(__xludf.DUMMYFUNCTION("""COMPUTED_VALUE"""),"태식")</f>
        <v>태식</v>
      </c>
      <c r="Q733" s="26" t="str">
        <f>IFERROR(__xludf.DUMMYFUNCTION("""COMPUTED_VALUE"""),"민우")</f>
        <v>민우</v>
      </c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27" t="s">
        <v>3189</v>
      </c>
      <c r="B734" s="28" t="s">
        <v>3190</v>
      </c>
      <c r="C734" s="27" t="s">
        <v>3191</v>
      </c>
      <c r="D734" s="27">
        <v>5.0</v>
      </c>
      <c r="E734" s="27" t="s">
        <v>3192</v>
      </c>
      <c r="F734" s="27">
        <v>1.0</v>
      </c>
      <c r="G734" s="29">
        <v>45743.05486111111</v>
      </c>
      <c r="H734" s="27" t="s">
        <v>2888</v>
      </c>
      <c r="I734" s="18"/>
      <c r="J734" s="25" t="str">
        <f>IFERROR(__xludf.DUMMYFUNCTION("ARRAYFORMULA(REGEXEXTRACT(SPLIT(C734, ""&lt;br&gt;""), ""([가-힣A-Za-z]+)""))"),"신형만")</f>
        <v>신형만</v>
      </c>
      <c r="K734" s="26" t="str">
        <f>IFERROR(__xludf.DUMMYFUNCTION("""COMPUTED_VALUE"""),"테리")</f>
        <v>테리</v>
      </c>
      <c r="L734" s="26" t="str">
        <f>IFERROR(__xludf.DUMMYFUNCTION("""COMPUTED_VALUE"""),"ACDC")</f>
        <v>ACDC</v>
      </c>
      <c r="M734" s="26" t="str">
        <f>IFERROR(__xludf.DUMMYFUNCTION("""COMPUTED_VALUE"""),"넘버")</f>
        <v>넘버</v>
      </c>
      <c r="N734" s="26" t="str">
        <f>IFERROR(__xludf.DUMMYFUNCTION("ARRAYFORMULA(REGEXEXTRACT(SPLIT(E734, ""&lt;br&gt;""), ""([가-힣A-Za-z]+)""))"),"노인")</f>
        <v>노인</v>
      </c>
      <c r="O734" s="26" t="str">
        <f>IFERROR(__xludf.DUMMYFUNCTION("""COMPUTED_VALUE"""),"태식")</f>
        <v>태식</v>
      </c>
      <c r="P734" s="26" t="str">
        <f>IFERROR(__xludf.DUMMYFUNCTION("""COMPUTED_VALUE"""),"짱구")</f>
        <v>짱구</v>
      </c>
      <c r="Q734" s="26" t="str">
        <f>IFERROR(__xludf.DUMMYFUNCTION("""COMPUTED_VALUE"""),"민우")</f>
        <v>민우</v>
      </c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27" t="s">
        <v>3193</v>
      </c>
      <c r="B735" s="28" t="s">
        <v>3194</v>
      </c>
      <c r="C735" s="27" t="s">
        <v>3195</v>
      </c>
      <c r="D735" s="27">
        <v>5.0</v>
      </c>
      <c r="E735" s="27" t="s">
        <v>3196</v>
      </c>
      <c r="F735" s="27">
        <v>2.0</v>
      </c>
      <c r="G735" s="29">
        <v>45742.98333333333</v>
      </c>
      <c r="H735" s="27" t="s">
        <v>2888</v>
      </c>
      <c r="I735" s="18"/>
      <c r="J735" s="25" t="str">
        <f>IFERROR(__xludf.DUMMYFUNCTION("ARRAYFORMULA(REGEXEXTRACT(SPLIT(C735, ""&lt;br&gt;""), ""([가-힣A-Za-z]+)""))"),"유망")</f>
        <v>유망</v>
      </c>
      <c r="K735" s="26" t="str">
        <f>IFERROR(__xludf.DUMMYFUNCTION("""COMPUTED_VALUE"""),"짱구")</f>
        <v>짱구</v>
      </c>
      <c r="L735" s="26" t="str">
        <f>IFERROR(__xludf.DUMMYFUNCTION("""COMPUTED_VALUE"""),"ACDC")</f>
        <v>ACDC</v>
      </c>
      <c r="M735" s="26" t="str">
        <f>IFERROR(__xludf.DUMMYFUNCTION("""COMPUTED_VALUE"""),"노픽업")</f>
        <v>노픽업</v>
      </c>
      <c r="N735" s="26" t="str">
        <f>IFERROR(__xludf.DUMMYFUNCTION("ARRAYFORMULA(REGEXEXTRACT(SPLIT(E735, ""&lt;br&gt;""), ""([가-힣A-Za-z]+)""))"),"노인")</f>
        <v>노인</v>
      </c>
      <c r="O735" s="26" t="str">
        <f>IFERROR(__xludf.DUMMYFUNCTION("""COMPUTED_VALUE"""),"깡패")</f>
        <v>깡패</v>
      </c>
      <c r="P735" s="26" t="str">
        <f>IFERROR(__xludf.DUMMYFUNCTION("""COMPUTED_VALUE"""),"태식")</f>
        <v>태식</v>
      </c>
      <c r="Q735" s="26" t="str">
        <f>IFERROR(__xludf.DUMMYFUNCTION("""COMPUTED_VALUE"""),"신형만")</f>
        <v>신형만</v>
      </c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27" t="s">
        <v>3197</v>
      </c>
      <c r="B736" s="28" t="s">
        <v>3198</v>
      </c>
      <c r="C736" s="27" t="s">
        <v>3199</v>
      </c>
      <c r="D736" s="27">
        <v>5.0</v>
      </c>
      <c r="E736" s="27" t="s">
        <v>3200</v>
      </c>
      <c r="F736" s="27">
        <v>0.0</v>
      </c>
      <c r="G736" s="29">
        <v>45742.98125</v>
      </c>
      <c r="H736" s="27" t="s">
        <v>2888</v>
      </c>
      <c r="I736" s="18"/>
      <c r="J736" s="25" t="str">
        <f>IFERROR(__xludf.DUMMYFUNCTION("ARRAYFORMULA(REGEXEXTRACT(SPLIT(C736, ""&lt;br&gt;""), ""([가-힣A-Za-z]+)""))"),"ACDC")</f>
        <v>ACDC</v>
      </c>
      <c r="K736" s="26" t="str">
        <f>IFERROR(__xludf.DUMMYFUNCTION("""COMPUTED_VALUE"""),"짱구")</f>
        <v>짱구</v>
      </c>
      <c r="L736" s="26" t="str">
        <f>IFERROR(__xludf.DUMMYFUNCTION("""COMPUTED_VALUE"""),"유망")</f>
        <v>유망</v>
      </c>
      <c r="M736" s="26" t="str">
        <f>IFERROR(__xludf.DUMMYFUNCTION("""COMPUTED_VALUE"""),"넘버")</f>
        <v>넘버</v>
      </c>
      <c r="N736" s="26" t="str">
        <f>IFERROR(__xludf.DUMMYFUNCTION("ARRAYFORMULA(REGEXEXTRACT(SPLIT(E736, ""&lt;br&gt;""), ""([가-힣A-Za-z]+)""))"),"깡패")</f>
        <v>깡패</v>
      </c>
      <c r="O736" s="26" t="str">
        <f>IFERROR(__xludf.DUMMYFUNCTION("""COMPUTED_VALUE"""),"노픽업")</f>
        <v>노픽업</v>
      </c>
      <c r="P736" s="26" t="str">
        <f>IFERROR(__xludf.DUMMYFUNCTION("""COMPUTED_VALUE"""),"신형만")</f>
        <v>신형만</v>
      </c>
      <c r="Q736" s="26" t="str">
        <f>IFERROR(__xludf.DUMMYFUNCTION("""COMPUTED_VALUE"""),"노인")</f>
        <v>노인</v>
      </c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27" t="s">
        <v>3201</v>
      </c>
      <c r="B737" s="28" t="s">
        <v>3202</v>
      </c>
      <c r="C737" s="27" t="s">
        <v>3203</v>
      </c>
      <c r="D737" s="27">
        <v>5.0</v>
      </c>
      <c r="E737" s="27" t="s">
        <v>3204</v>
      </c>
      <c r="F737" s="27">
        <v>0.0</v>
      </c>
      <c r="G737" s="29">
        <v>45742.97152777778</v>
      </c>
      <c r="H737" s="27" t="s">
        <v>2888</v>
      </c>
      <c r="I737" s="18"/>
      <c r="J737" s="25" t="str">
        <f>IFERROR(__xludf.DUMMYFUNCTION("ARRAYFORMULA(REGEXEXTRACT(SPLIT(C737, ""&lt;br&gt;""), ""([가-힣A-Za-z]+)""))"),"유망")</f>
        <v>유망</v>
      </c>
      <c r="K737" s="26" t="str">
        <f>IFERROR(__xludf.DUMMYFUNCTION("""COMPUTED_VALUE"""),"노픽업")</f>
        <v>노픽업</v>
      </c>
      <c r="L737" s="26" t="str">
        <f>IFERROR(__xludf.DUMMYFUNCTION("""COMPUTED_VALUE"""),"노인")</f>
        <v>노인</v>
      </c>
      <c r="M737" s="26" t="str">
        <f>IFERROR(__xludf.DUMMYFUNCTION("""COMPUTED_VALUE"""),"태식")</f>
        <v>태식</v>
      </c>
      <c r="N737" s="26" t="str">
        <f>IFERROR(__xludf.DUMMYFUNCTION("ARRAYFORMULA(REGEXEXTRACT(SPLIT(E737, ""&lt;br&gt;""), ""([가-힣A-Za-z]+)""))"),"짱구")</f>
        <v>짱구</v>
      </c>
      <c r="O737" s="26" t="str">
        <f>IFERROR(__xludf.DUMMYFUNCTION("""COMPUTED_VALUE"""),"ACDC")</f>
        <v>ACDC</v>
      </c>
      <c r="P737" s="26" t="str">
        <f>IFERROR(__xludf.DUMMYFUNCTION("""COMPUTED_VALUE"""),"깡패")</f>
        <v>깡패</v>
      </c>
      <c r="Q737" s="26" t="str">
        <f>IFERROR(__xludf.DUMMYFUNCTION("""COMPUTED_VALUE"""),"신형만")</f>
        <v>신형만</v>
      </c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27" t="s">
        <v>3205</v>
      </c>
      <c r="B738" s="28" t="s">
        <v>3206</v>
      </c>
      <c r="C738" s="27" t="s">
        <v>3207</v>
      </c>
      <c r="D738" s="27">
        <v>5.0</v>
      </c>
      <c r="E738" s="27" t="s">
        <v>3208</v>
      </c>
      <c r="F738" s="27">
        <v>4.0</v>
      </c>
      <c r="G738" s="29">
        <v>45742.92291666667</v>
      </c>
      <c r="H738" s="27" t="s">
        <v>2888</v>
      </c>
      <c r="I738" s="18"/>
      <c r="J738" s="25" t="str">
        <f>IFERROR(__xludf.DUMMYFUNCTION("ARRAYFORMULA(REGEXEXTRACT(SPLIT(C738, ""&lt;br&gt;""), ""([가-힣A-Za-z]+)""))"),"신형만")</f>
        <v>신형만</v>
      </c>
      <c r="K738" s="26" t="str">
        <f>IFERROR(__xludf.DUMMYFUNCTION("""COMPUTED_VALUE"""),"ACDC")</f>
        <v>ACDC</v>
      </c>
      <c r="L738" s="26" t="str">
        <f>IFERROR(__xludf.DUMMYFUNCTION("""COMPUTED_VALUE"""),"노인")</f>
        <v>노인</v>
      </c>
      <c r="M738" s="26" t="str">
        <f>IFERROR(__xludf.DUMMYFUNCTION("""COMPUTED_VALUE"""),"유망")</f>
        <v>유망</v>
      </c>
      <c r="N738" s="26" t="str">
        <f>IFERROR(__xludf.DUMMYFUNCTION("ARRAYFORMULA(REGEXEXTRACT(SPLIT(E738, ""&lt;br&gt;""), ""([가-힣A-Za-z]+)""))"),"짱구")</f>
        <v>짱구</v>
      </c>
      <c r="O738" s="26" t="str">
        <f>IFERROR(__xludf.DUMMYFUNCTION("""COMPUTED_VALUE"""),"노픽업")</f>
        <v>노픽업</v>
      </c>
      <c r="P738" s="26" t="str">
        <f>IFERROR(__xludf.DUMMYFUNCTION("""COMPUTED_VALUE"""),"깡패")</f>
        <v>깡패</v>
      </c>
      <c r="Q738" s="26" t="str">
        <f>IFERROR(__xludf.DUMMYFUNCTION("""COMPUTED_VALUE"""),"태식")</f>
        <v>태식</v>
      </c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27" t="s">
        <v>3209</v>
      </c>
      <c r="B739" s="28" t="s">
        <v>3210</v>
      </c>
      <c r="C739" s="27" t="s">
        <v>3211</v>
      </c>
      <c r="D739" s="27">
        <v>5.0</v>
      </c>
      <c r="E739" s="27" t="s">
        <v>3212</v>
      </c>
      <c r="F739" s="27">
        <v>2.0</v>
      </c>
      <c r="G739" s="29">
        <v>45742.89444444444</v>
      </c>
      <c r="H739" s="27" t="s">
        <v>2888</v>
      </c>
      <c r="I739" s="18"/>
      <c r="J739" s="25" t="str">
        <f>IFERROR(__xludf.DUMMYFUNCTION("ARRAYFORMULA(REGEXEXTRACT(SPLIT(C739, ""&lt;br&gt;""), ""([가-힣A-Za-z]+)""))"),"테리")</f>
        <v>테리</v>
      </c>
      <c r="K739" s="26" t="str">
        <f>IFERROR(__xludf.DUMMYFUNCTION("""COMPUTED_VALUE"""),"짱구")</f>
        <v>짱구</v>
      </c>
      <c r="L739" s="26" t="str">
        <f>IFERROR(__xludf.DUMMYFUNCTION("""COMPUTED_VALUE"""),"넘버")</f>
        <v>넘버</v>
      </c>
      <c r="M739" s="26" t="str">
        <f>IFERROR(__xludf.DUMMYFUNCTION("""COMPUTED_VALUE"""),"노픽업")</f>
        <v>노픽업</v>
      </c>
      <c r="N739" s="26" t="str">
        <f>IFERROR(__xludf.DUMMYFUNCTION("ARRAYFORMULA(REGEXEXTRACT(SPLIT(E739, ""&lt;br&gt;""), ""([가-힣A-Za-z]+)""))"),"신형만")</f>
        <v>신형만</v>
      </c>
      <c r="O739" s="26" t="str">
        <f>IFERROR(__xludf.DUMMYFUNCTION("""COMPUTED_VALUE"""),"노인")</f>
        <v>노인</v>
      </c>
      <c r="P739" s="26" t="str">
        <f>IFERROR(__xludf.DUMMYFUNCTION("""COMPUTED_VALUE"""),"ACDC")</f>
        <v>ACDC</v>
      </c>
      <c r="Q739" s="26" t="str">
        <f>IFERROR(__xludf.DUMMYFUNCTION("""COMPUTED_VALUE"""),"깡패")</f>
        <v>깡패</v>
      </c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27" t="s">
        <v>3213</v>
      </c>
      <c r="B740" s="28" t="s">
        <v>3214</v>
      </c>
      <c r="C740" s="27" t="s">
        <v>3215</v>
      </c>
      <c r="D740" s="27">
        <v>5.0</v>
      </c>
      <c r="E740" s="27" t="s">
        <v>3216</v>
      </c>
      <c r="F740" s="27">
        <v>2.0</v>
      </c>
      <c r="G740" s="29">
        <v>45742.876388888886</v>
      </c>
      <c r="H740" s="27" t="s">
        <v>2888</v>
      </c>
      <c r="I740" s="18"/>
      <c r="J740" s="25" t="str">
        <f>IFERROR(__xludf.DUMMYFUNCTION("ARRAYFORMULA(REGEXEXTRACT(SPLIT(C740, ""&lt;br&gt;""), ""([가-힣A-Za-z]+)""))"),"ACDC")</f>
        <v>ACDC</v>
      </c>
      <c r="K740" s="26" t="str">
        <f>IFERROR(__xludf.DUMMYFUNCTION("""COMPUTED_VALUE"""),"테리")</f>
        <v>테리</v>
      </c>
      <c r="L740" s="26" t="str">
        <f>IFERROR(__xludf.DUMMYFUNCTION("""COMPUTED_VALUE"""),"유즈")</f>
        <v>유즈</v>
      </c>
      <c r="M740" s="26" t="str">
        <f>IFERROR(__xludf.DUMMYFUNCTION("""COMPUTED_VALUE"""),"넘버")</f>
        <v>넘버</v>
      </c>
      <c r="N740" s="26" t="str">
        <f>IFERROR(__xludf.DUMMYFUNCTION("ARRAYFORMULA(REGEXEXTRACT(SPLIT(E740, ""&lt;br&gt;""), ""([가-힣A-Za-z]+)""))"),"짱구")</f>
        <v>짱구</v>
      </c>
      <c r="O740" s="26" t="str">
        <f>IFERROR(__xludf.DUMMYFUNCTION("""COMPUTED_VALUE"""),"깡패")</f>
        <v>깡패</v>
      </c>
      <c r="P740" s="26" t="str">
        <f>IFERROR(__xludf.DUMMYFUNCTION("""COMPUTED_VALUE"""),"신형만")</f>
        <v>신형만</v>
      </c>
      <c r="Q740" s="26" t="str">
        <f>IFERROR(__xludf.DUMMYFUNCTION("""COMPUTED_VALUE"""),"노픽업")</f>
        <v>노픽업</v>
      </c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27" t="s">
        <v>3217</v>
      </c>
      <c r="B741" s="28" t="s">
        <v>3218</v>
      </c>
      <c r="C741" s="27" t="s">
        <v>3219</v>
      </c>
      <c r="D741" s="27">
        <v>5.0</v>
      </c>
      <c r="E741" s="27" t="s">
        <v>3220</v>
      </c>
      <c r="F741" s="27">
        <v>3.0</v>
      </c>
      <c r="G741" s="29">
        <v>45742.85208333333</v>
      </c>
      <c r="H741" s="27" t="s">
        <v>2888</v>
      </c>
      <c r="I741" s="18"/>
      <c r="J741" s="25" t="str">
        <f>IFERROR(__xludf.DUMMYFUNCTION("ARRAYFORMULA(REGEXEXTRACT(SPLIT(C741, ""&lt;br&gt;""), ""([가-힣A-Za-z]+)""))"),"넘버")</f>
        <v>넘버</v>
      </c>
      <c r="K741" s="26" t="str">
        <f>IFERROR(__xludf.DUMMYFUNCTION("""COMPUTED_VALUE"""),"노픽업")</f>
        <v>노픽업</v>
      </c>
      <c r="L741" s="26" t="str">
        <f>IFERROR(__xludf.DUMMYFUNCTION("""COMPUTED_VALUE"""),"유즈")</f>
        <v>유즈</v>
      </c>
      <c r="M741" s="26" t="str">
        <f>IFERROR(__xludf.DUMMYFUNCTION("""COMPUTED_VALUE"""),"깡패")</f>
        <v>깡패</v>
      </c>
      <c r="N741" s="26" t="str">
        <f>IFERROR(__xludf.DUMMYFUNCTION("ARRAYFORMULA(REGEXEXTRACT(SPLIT(E741, ""&lt;br&gt;""), ""([가-힣A-Za-z]+)""))"),"짱구")</f>
        <v>짱구</v>
      </c>
      <c r="O741" s="26" t="str">
        <f>IFERROR(__xludf.DUMMYFUNCTION("""COMPUTED_VALUE"""),"테리")</f>
        <v>테리</v>
      </c>
      <c r="P741" s="26" t="str">
        <f>IFERROR(__xludf.DUMMYFUNCTION("""COMPUTED_VALUE"""),"ACDC")</f>
        <v>ACDC</v>
      </c>
      <c r="Q741" s="26" t="str">
        <f>IFERROR(__xludf.DUMMYFUNCTION("""COMPUTED_VALUE"""),"신형만")</f>
        <v>신형만</v>
      </c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27" t="s">
        <v>3221</v>
      </c>
      <c r="B742" s="28" t="s">
        <v>3222</v>
      </c>
      <c r="C742" s="27" t="s">
        <v>3223</v>
      </c>
      <c r="D742" s="27">
        <v>5.0</v>
      </c>
      <c r="E742" s="27" t="s">
        <v>3224</v>
      </c>
      <c r="F742" s="27">
        <v>2.0</v>
      </c>
      <c r="G742" s="29">
        <v>45741.95694444444</v>
      </c>
      <c r="H742" s="27" t="s">
        <v>2888</v>
      </c>
      <c r="I742" s="18"/>
      <c r="J742" s="25" t="str">
        <f>IFERROR(__xludf.DUMMYFUNCTION("ARRAYFORMULA(REGEXEXTRACT(SPLIT(C742, ""&lt;br&gt;""), ""([가-힣A-Za-z]+)""))"),"웅")</f>
        <v>웅</v>
      </c>
      <c r="K742" s="26" t="str">
        <f>IFERROR(__xludf.DUMMYFUNCTION("""COMPUTED_VALUE"""),"신형만")</f>
        <v>신형만</v>
      </c>
      <c r="L742" s="26" t="str">
        <f>IFERROR(__xludf.DUMMYFUNCTION("""COMPUTED_VALUE"""),"원")</f>
        <v>원</v>
      </c>
      <c r="M742" s="26" t="str">
        <f>IFERROR(__xludf.DUMMYFUNCTION("""COMPUTED_VALUE"""),"민우")</f>
        <v>민우</v>
      </c>
      <c r="N742" s="26" t="str">
        <f>IFERROR(__xludf.DUMMYFUNCTION("ARRAYFORMULA(REGEXEXTRACT(SPLIT(E742, ""&lt;br&gt;""), ""([가-힣A-Za-z]+)""))"),"테리")</f>
        <v>테리</v>
      </c>
      <c r="O742" s="26" t="str">
        <f>IFERROR(__xludf.DUMMYFUNCTION("""COMPUTED_VALUE"""),"짱구")</f>
        <v>짱구</v>
      </c>
      <c r="P742" s="26" t="str">
        <f>IFERROR(__xludf.DUMMYFUNCTION("""COMPUTED_VALUE"""),"ACDC")</f>
        <v>ACDC</v>
      </c>
      <c r="Q742" s="26" t="str">
        <f>IFERROR(__xludf.DUMMYFUNCTION("""COMPUTED_VALUE"""),"깡패")</f>
        <v>깡패</v>
      </c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27" t="s">
        <v>3225</v>
      </c>
      <c r="B743" s="28" t="s">
        <v>3226</v>
      </c>
      <c r="C743" s="27" t="s">
        <v>3227</v>
      </c>
      <c r="D743" s="27">
        <v>5.0</v>
      </c>
      <c r="E743" s="27" t="s">
        <v>3228</v>
      </c>
      <c r="F743" s="27">
        <v>3.0</v>
      </c>
      <c r="G743" s="29">
        <v>45741.92638888889</v>
      </c>
      <c r="H743" s="27" t="s">
        <v>2888</v>
      </c>
      <c r="I743" s="18"/>
      <c r="J743" s="25" t="str">
        <f>IFERROR(__xludf.DUMMYFUNCTION("ARRAYFORMULA(REGEXEXTRACT(SPLIT(C743, ""&lt;br&gt;""), ""([가-힣A-Za-z]+)""))"),"민우")</f>
        <v>민우</v>
      </c>
      <c r="K743" s="26" t="str">
        <f>IFERROR(__xludf.DUMMYFUNCTION("""COMPUTED_VALUE"""),"깡패")</f>
        <v>깡패</v>
      </c>
      <c r="L743" s="26" t="str">
        <f>IFERROR(__xludf.DUMMYFUNCTION("""COMPUTED_VALUE"""),"테리")</f>
        <v>테리</v>
      </c>
      <c r="M743" s="26" t="str">
        <f>IFERROR(__xludf.DUMMYFUNCTION("""COMPUTED_VALUE"""),"원")</f>
        <v>원</v>
      </c>
      <c r="N743" s="26" t="str">
        <f>IFERROR(__xludf.DUMMYFUNCTION("ARRAYFORMULA(REGEXEXTRACT(SPLIT(E743, ""&lt;br&gt;""), ""([가-힣A-Za-z]+)""))"),"신형만")</f>
        <v>신형만</v>
      </c>
      <c r="O743" s="26" t="str">
        <f>IFERROR(__xludf.DUMMYFUNCTION("""COMPUTED_VALUE"""),"짱구")</f>
        <v>짱구</v>
      </c>
      <c r="P743" s="26" t="str">
        <f>IFERROR(__xludf.DUMMYFUNCTION("""COMPUTED_VALUE"""),"ACDC")</f>
        <v>ACDC</v>
      </c>
      <c r="Q743" s="26" t="str">
        <f>IFERROR(__xludf.DUMMYFUNCTION("""COMPUTED_VALUE"""),"노픽업")</f>
        <v>노픽업</v>
      </c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27" t="s">
        <v>3229</v>
      </c>
      <c r="B744" s="28" t="s">
        <v>3230</v>
      </c>
      <c r="C744" s="27" t="s">
        <v>3231</v>
      </c>
      <c r="D744" s="27">
        <v>5.0</v>
      </c>
      <c r="E744" s="27" t="s">
        <v>3232</v>
      </c>
      <c r="F744" s="27">
        <v>1.0</v>
      </c>
      <c r="G744" s="29">
        <v>45741.90069444444</v>
      </c>
      <c r="H744" s="27" t="s">
        <v>2888</v>
      </c>
      <c r="I744" s="18"/>
      <c r="J744" s="25" t="str">
        <f>IFERROR(__xludf.DUMMYFUNCTION("ARRAYFORMULA(REGEXEXTRACT(SPLIT(C744, ""&lt;br&gt;""), ""([가-힣A-Za-z]+)""))"),"신형만")</f>
        <v>신형만</v>
      </c>
      <c r="K744" s="26" t="str">
        <f>IFERROR(__xludf.DUMMYFUNCTION("""COMPUTED_VALUE"""),"노픽업")</f>
        <v>노픽업</v>
      </c>
      <c r="L744" s="26" t="str">
        <f>IFERROR(__xludf.DUMMYFUNCTION("""COMPUTED_VALUE"""),"테리")</f>
        <v>테리</v>
      </c>
      <c r="M744" s="26" t="str">
        <f>IFERROR(__xludf.DUMMYFUNCTION("""COMPUTED_VALUE"""),"원")</f>
        <v>원</v>
      </c>
      <c r="N744" s="26" t="str">
        <f>IFERROR(__xludf.DUMMYFUNCTION("ARRAYFORMULA(REGEXEXTRACT(SPLIT(E744, ""&lt;br&gt;""), ""([가-힣A-Za-z]+)""))"),"ACDC")</f>
        <v>ACDC</v>
      </c>
      <c r="O744" s="26" t="str">
        <f>IFERROR(__xludf.DUMMYFUNCTION("""COMPUTED_VALUE"""),"노인")</f>
        <v>노인</v>
      </c>
      <c r="P744" s="26" t="str">
        <f>IFERROR(__xludf.DUMMYFUNCTION("""COMPUTED_VALUE"""),"짱구")</f>
        <v>짱구</v>
      </c>
      <c r="Q744" s="26" t="str">
        <f>IFERROR(__xludf.DUMMYFUNCTION("""COMPUTED_VALUE"""),"민우")</f>
        <v>민우</v>
      </c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27" t="s">
        <v>3233</v>
      </c>
      <c r="B745" s="28" t="s">
        <v>3234</v>
      </c>
      <c r="C745" s="27" t="s">
        <v>3235</v>
      </c>
      <c r="D745" s="27">
        <v>5.0</v>
      </c>
      <c r="E745" s="27" t="s">
        <v>3236</v>
      </c>
      <c r="F745" s="27">
        <v>1.0</v>
      </c>
      <c r="G745" s="29">
        <v>45741.87777777778</v>
      </c>
      <c r="H745" s="27" t="s">
        <v>2888</v>
      </c>
      <c r="I745" s="18"/>
      <c r="J745" s="25" t="str">
        <f>IFERROR(__xludf.DUMMYFUNCTION("ARRAYFORMULA(REGEXEXTRACT(SPLIT(C745, ""&lt;br&gt;""), ""([가-힣A-Za-z]+)""))"),"신형만")</f>
        <v>신형만</v>
      </c>
      <c r="K745" s="26" t="str">
        <f>IFERROR(__xludf.DUMMYFUNCTION("""COMPUTED_VALUE"""),"노픽업")</f>
        <v>노픽업</v>
      </c>
      <c r="L745" s="26" t="str">
        <f>IFERROR(__xludf.DUMMYFUNCTION("""COMPUTED_VALUE"""),"짱구")</f>
        <v>짱구</v>
      </c>
      <c r="M745" s="26" t="str">
        <f>IFERROR(__xludf.DUMMYFUNCTION("""COMPUTED_VALUE"""),"민우")</f>
        <v>민우</v>
      </c>
      <c r="N745" s="26" t="str">
        <f>IFERROR(__xludf.DUMMYFUNCTION("ARRAYFORMULA(REGEXEXTRACT(SPLIT(E745, ""&lt;br&gt;""), ""([가-힣A-Za-z]+)""))"),"테리")</f>
        <v>테리</v>
      </c>
      <c r="O745" s="26" t="str">
        <f>IFERROR(__xludf.DUMMYFUNCTION("""COMPUTED_VALUE"""),"ACDC")</f>
        <v>ACDC</v>
      </c>
      <c r="P745" s="26" t="str">
        <f>IFERROR(__xludf.DUMMYFUNCTION("""COMPUTED_VALUE"""),"노인")</f>
        <v>노인</v>
      </c>
      <c r="Q745" s="26" t="str">
        <f>IFERROR(__xludf.DUMMYFUNCTION("""COMPUTED_VALUE"""),"원")</f>
        <v>원</v>
      </c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27" t="s">
        <v>3237</v>
      </c>
      <c r="B746" s="28" t="s">
        <v>3238</v>
      </c>
      <c r="C746" s="27" t="s">
        <v>3239</v>
      </c>
      <c r="D746" s="27">
        <v>5.0</v>
      </c>
      <c r="E746" s="27" t="s">
        <v>3240</v>
      </c>
      <c r="F746" s="27">
        <v>0.0</v>
      </c>
      <c r="G746" s="29">
        <v>45740.944444444445</v>
      </c>
      <c r="H746" s="27" t="s">
        <v>2888</v>
      </c>
      <c r="I746" s="18"/>
      <c r="J746" s="25" t="str">
        <f>IFERROR(__xludf.DUMMYFUNCTION("ARRAYFORMULA(REGEXEXTRACT(SPLIT(C746, ""&lt;br&gt;""), ""([가-힣A-Za-z]+)""))"),"넘버")</f>
        <v>넘버</v>
      </c>
      <c r="K746" s="26" t="str">
        <f>IFERROR(__xludf.DUMMYFUNCTION("""COMPUTED_VALUE"""),"원")</f>
        <v>원</v>
      </c>
      <c r="L746" s="26" t="str">
        <f>IFERROR(__xludf.DUMMYFUNCTION("""COMPUTED_VALUE"""),"테리")</f>
        <v>테리</v>
      </c>
      <c r="M746" s="26" t="str">
        <f>IFERROR(__xludf.DUMMYFUNCTION("""COMPUTED_VALUE"""),"유망")</f>
        <v>유망</v>
      </c>
      <c r="N746" s="26" t="str">
        <f>IFERROR(__xludf.DUMMYFUNCTION("ARRAYFORMULA(REGEXEXTRACT(SPLIT(E746, ""&lt;br&gt;""), ""([가-힣A-Za-z]+)""))"),"노인")</f>
        <v>노인</v>
      </c>
      <c r="O746" s="26" t="str">
        <f>IFERROR(__xludf.DUMMYFUNCTION("""COMPUTED_VALUE"""),"짱구")</f>
        <v>짱구</v>
      </c>
      <c r="P746" s="26" t="str">
        <f>IFERROR(__xludf.DUMMYFUNCTION("""COMPUTED_VALUE"""),"노픽업")</f>
        <v>노픽업</v>
      </c>
      <c r="Q746" s="26" t="str">
        <f>IFERROR(__xludf.DUMMYFUNCTION("""COMPUTED_VALUE"""),"깡패")</f>
        <v>깡패</v>
      </c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27" t="s">
        <v>3241</v>
      </c>
      <c r="B747" s="28" t="s">
        <v>3242</v>
      </c>
      <c r="C747" s="27" t="s">
        <v>3243</v>
      </c>
      <c r="D747" s="27">
        <v>5.0</v>
      </c>
      <c r="E747" s="27" t="s">
        <v>3244</v>
      </c>
      <c r="F747" s="27">
        <v>3.0</v>
      </c>
      <c r="G747" s="29">
        <v>45740.92083333333</v>
      </c>
      <c r="H747" s="27" t="s">
        <v>2888</v>
      </c>
      <c r="I747" s="18"/>
      <c r="J747" s="25" t="str">
        <f>IFERROR(__xludf.DUMMYFUNCTION("ARRAYFORMULA(REGEXEXTRACT(SPLIT(C747, ""&lt;br&gt;""), ""([가-힣A-Za-z]+)""))"),"테리")</f>
        <v>테리</v>
      </c>
      <c r="K747" s="26" t="str">
        <f>IFERROR(__xludf.DUMMYFUNCTION("""COMPUTED_VALUE"""),"깡패")</f>
        <v>깡패</v>
      </c>
      <c r="L747" s="26" t="str">
        <f>IFERROR(__xludf.DUMMYFUNCTION("""COMPUTED_VALUE"""),"노인")</f>
        <v>노인</v>
      </c>
      <c r="M747" s="26" t="str">
        <f>IFERROR(__xludf.DUMMYFUNCTION("""COMPUTED_VALUE"""),"유망")</f>
        <v>유망</v>
      </c>
      <c r="N747" s="26" t="str">
        <f>IFERROR(__xludf.DUMMYFUNCTION("ARRAYFORMULA(REGEXEXTRACT(SPLIT(E747, ""&lt;br&gt;""), ""([가-힣A-Za-z]+)""))"),"넘버")</f>
        <v>넘버</v>
      </c>
      <c r="O747" s="26" t="str">
        <f>IFERROR(__xludf.DUMMYFUNCTION("""COMPUTED_VALUE"""),"짱구")</f>
        <v>짱구</v>
      </c>
      <c r="P747" s="26" t="str">
        <f>IFERROR(__xludf.DUMMYFUNCTION("""COMPUTED_VALUE"""),"원")</f>
        <v>원</v>
      </c>
      <c r="Q747" s="26" t="str">
        <f>IFERROR(__xludf.DUMMYFUNCTION("""COMPUTED_VALUE"""),"조드")</f>
        <v>조드</v>
      </c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27" t="s">
        <v>3245</v>
      </c>
      <c r="B748" s="28" t="s">
        <v>3246</v>
      </c>
      <c r="C748" s="27" t="s">
        <v>3247</v>
      </c>
      <c r="D748" s="27">
        <v>5.0</v>
      </c>
      <c r="E748" s="27" t="s">
        <v>3248</v>
      </c>
      <c r="F748" s="27">
        <v>0.0</v>
      </c>
      <c r="G748" s="29">
        <v>45740.902083333334</v>
      </c>
      <c r="H748" s="27" t="s">
        <v>2888</v>
      </c>
      <c r="I748" s="18"/>
      <c r="J748" s="25" t="str">
        <f>IFERROR(__xludf.DUMMYFUNCTION("ARRAYFORMULA(REGEXEXTRACT(SPLIT(C748, ""&lt;br&gt;""), ""([가-힣A-Za-z]+)""))"),"테리")</f>
        <v>테리</v>
      </c>
      <c r="K748" s="26" t="str">
        <f>IFERROR(__xludf.DUMMYFUNCTION("""COMPUTED_VALUE"""),"짱구")</f>
        <v>짱구</v>
      </c>
      <c r="L748" s="26" t="str">
        <f>IFERROR(__xludf.DUMMYFUNCTION("""COMPUTED_VALUE"""),"유망")</f>
        <v>유망</v>
      </c>
      <c r="M748" s="26" t="str">
        <f>IFERROR(__xludf.DUMMYFUNCTION("""COMPUTED_VALUE"""),"원")</f>
        <v>원</v>
      </c>
      <c r="N748" s="26" t="str">
        <f>IFERROR(__xludf.DUMMYFUNCTION("ARRAYFORMULA(REGEXEXTRACT(SPLIT(E748, ""&lt;br&gt;""), ""([가-힣A-Za-z]+)""))"),"노인")</f>
        <v>노인</v>
      </c>
      <c r="O748" s="26" t="str">
        <f>IFERROR(__xludf.DUMMYFUNCTION("""COMPUTED_VALUE"""),"깡패")</f>
        <v>깡패</v>
      </c>
      <c r="P748" s="26" t="str">
        <f>IFERROR(__xludf.DUMMYFUNCTION("""COMPUTED_VALUE"""),"넘버")</f>
        <v>넘버</v>
      </c>
      <c r="Q748" s="26" t="str">
        <f>IFERROR(__xludf.DUMMYFUNCTION("""COMPUTED_VALUE"""),"조드")</f>
        <v>조드</v>
      </c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27" t="s">
        <v>3249</v>
      </c>
      <c r="B749" s="28" t="s">
        <v>3250</v>
      </c>
      <c r="C749" s="27" t="s">
        <v>3251</v>
      </c>
      <c r="D749" s="27">
        <v>5.0</v>
      </c>
      <c r="E749" s="27" t="s">
        <v>3252</v>
      </c>
      <c r="F749" s="27">
        <v>4.0</v>
      </c>
      <c r="G749" s="29">
        <v>45740.88611111111</v>
      </c>
      <c r="H749" s="27" t="s">
        <v>2888</v>
      </c>
      <c r="I749" s="18"/>
      <c r="J749" s="25" t="str">
        <f>IFERROR(__xludf.DUMMYFUNCTION("ARRAYFORMULA(REGEXEXTRACT(SPLIT(C749, ""&lt;br&gt;""), ""([가-힣A-Za-z]+)""))"),"신형만")</f>
        <v>신형만</v>
      </c>
      <c r="K749" s="26" t="str">
        <f>IFERROR(__xludf.DUMMYFUNCTION("""COMPUTED_VALUE"""),"깡패")</f>
        <v>깡패</v>
      </c>
      <c r="L749" s="26" t="str">
        <f>IFERROR(__xludf.DUMMYFUNCTION("""COMPUTED_VALUE"""),"노픽업")</f>
        <v>노픽업</v>
      </c>
      <c r="M749" s="26" t="str">
        <f>IFERROR(__xludf.DUMMYFUNCTION("""COMPUTED_VALUE"""),"유망")</f>
        <v>유망</v>
      </c>
      <c r="N749" s="26" t="str">
        <f>IFERROR(__xludf.DUMMYFUNCTION("ARRAYFORMULA(REGEXEXTRACT(SPLIT(E749, ""&lt;br&gt;""), ""([가-힣A-Za-z]+)""))"),"노인")</f>
        <v>노인</v>
      </c>
      <c r="O749" s="26" t="str">
        <f>IFERROR(__xludf.DUMMYFUNCTION("""COMPUTED_VALUE"""),"짱구")</f>
        <v>짱구</v>
      </c>
      <c r="P749" s="26" t="str">
        <f>IFERROR(__xludf.DUMMYFUNCTION("""COMPUTED_VALUE"""),"넘버")</f>
        <v>넘버</v>
      </c>
      <c r="Q749" s="26" t="str">
        <f>IFERROR(__xludf.DUMMYFUNCTION("""COMPUTED_VALUE"""),"원")</f>
        <v>원</v>
      </c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27" t="s">
        <v>3253</v>
      </c>
      <c r="B750" s="28" t="s">
        <v>3254</v>
      </c>
      <c r="C750" s="27" t="s">
        <v>3255</v>
      </c>
      <c r="D750" s="27">
        <v>5.0</v>
      </c>
      <c r="E750" s="27" t="s">
        <v>3256</v>
      </c>
      <c r="F750" s="27">
        <v>3.0</v>
      </c>
      <c r="G750" s="29">
        <v>45738.11666666667</v>
      </c>
      <c r="H750" s="27" t="s">
        <v>2888</v>
      </c>
      <c r="I750" s="18"/>
      <c r="J750" s="25" t="str">
        <f>IFERROR(__xludf.DUMMYFUNCTION("ARRAYFORMULA(REGEXEXTRACT(SPLIT(C750, ""&lt;br&gt;""), ""([가-힣A-Za-z]+)""))"),"유망")</f>
        <v>유망</v>
      </c>
      <c r="K750" s="26" t="str">
        <f>IFERROR(__xludf.DUMMYFUNCTION("""COMPUTED_VALUE"""),"넘버")</f>
        <v>넘버</v>
      </c>
      <c r="L750" s="26" t="str">
        <f>IFERROR(__xludf.DUMMYFUNCTION("""COMPUTED_VALUE"""),"짱구")</f>
        <v>짱구</v>
      </c>
      <c r="M750" s="26" t="str">
        <f>IFERROR(__xludf.DUMMYFUNCTION("""COMPUTED_VALUE"""),"솔")</f>
        <v>솔</v>
      </c>
      <c r="N750" s="26" t="str">
        <f>IFERROR(__xludf.DUMMYFUNCTION("ARRAYFORMULA(REGEXEXTRACT(SPLIT(E750, ""&lt;br&gt;""), ""([가-힣A-Za-z]+)""))"),"원")</f>
        <v>원</v>
      </c>
      <c r="O750" s="26" t="str">
        <f>IFERROR(__xludf.DUMMYFUNCTION("""COMPUTED_VALUE"""),"신형만")</f>
        <v>신형만</v>
      </c>
      <c r="P750" s="26" t="str">
        <f>IFERROR(__xludf.DUMMYFUNCTION("""COMPUTED_VALUE"""),"참치")</f>
        <v>참치</v>
      </c>
      <c r="Q750" s="26" t="str">
        <f>IFERROR(__xludf.DUMMYFUNCTION("""COMPUTED_VALUE"""),"깡패")</f>
        <v>깡패</v>
      </c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27" t="s">
        <v>3257</v>
      </c>
      <c r="B751" s="28" t="s">
        <v>3258</v>
      </c>
      <c r="C751" s="27" t="s">
        <v>3259</v>
      </c>
      <c r="D751" s="27">
        <v>5.0</v>
      </c>
      <c r="E751" s="27" t="s">
        <v>3260</v>
      </c>
      <c r="F751" s="27">
        <v>3.0</v>
      </c>
      <c r="G751" s="29">
        <v>45738.08819444444</v>
      </c>
      <c r="H751" s="27" t="s">
        <v>2888</v>
      </c>
      <c r="I751" s="18"/>
      <c r="J751" s="25" t="str">
        <f>IFERROR(__xludf.DUMMYFUNCTION("ARRAYFORMULA(REGEXEXTRACT(SPLIT(C751, ""&lt;br&gt;""), ""([가-힣A-Za-z]+)""))"),"원")</f>
        <v>원</v>
      </c>
      <c r="K751" s="26" t="str">
        <f>IFERROR(__xludf.DUMMYFUNCTION("""COMPUTED_VALUE"""),"짱구")</f>
        <v>짱구</v>
      </c>
      <c r="L751" s="26" t="str">
        <f>IFERROR(__xludf.DUMMYFUNCTION("""COMPUTED_VALUE"""),"신형만")</f>
        <v>신형만</v>
      </c>
      <c r="M751" s="26" t="str">
        <f>IFERROR(__xludf.DUMMYFUNCTION("""COMPUTED_VALUE"""),"유망")</f>
        <v>유망</v>
      </c>
      <c r="N751" s="26" t="str">
        <f>IFERROR(__xludf.DUMMYFUNCTION("ARRAYFORMULA(REGEXEXTRACT(SPLIT(E751, ""&lt;br&gt;""), ""([가-힣A-Za-z]+)""))"),"솔")</f>
        <v>솔</v>
      </c>
      <c r="O751" s="26" t="str">
        <f>IFERROR(__xludf.DUMMYFUNCTION("""COMPUTED_VALUE"""),"깡패")</f>
        <v>깡패</v>
      </c>
      <c r="P751" s="26" t="str">
        <f>IFERROR(__xludf.DUMMYFUNCTION("""COMPUTED_VALUE"""),"넘버")</f>
        <v>넘버</v>
      </c>
      <c r="Q751" s="26" t="str">
        <f>IFERROR(__xludf.DUMMYFUNCTION("""COMPUTED_VALUE"""),"참치")</f>
        <v>참치</v>
      </c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27" t="s">
        <v>3261</v>
      </c>
      <c r="B752" s="28" t="s">
        <v>3262</v>
      </c>
      <c r="C752" s="27" t="s">
        <v>3263</v>
      </c>
      <c r="D752" s="27">
        <v>5.0</v>
      </c>
      <c r="E752" s="27" t="s">
        <v>3264</v>
      </c>
      <c r="F752" s="27">
        <v>3.0</v>
      </c>
      <c r="G752" s="29">
        <v>45738.066666666666</v>
      </c>
      <c r="H752" s="27" t="s">
        <v>2888</v>
      </c>
      <c r="I752" s="18"/>
      <c r="J752" s="25" t="str">
        <f>IFERROR(__xludf.DUMMYFUNCTION("ARRAYFORMULA(REGEXEXTRACT(SPLIT(C752, ""&lt;br&gt;""), ""([가-힣A-Za-z]+)""))"),"참치")</f>
        <v>참치</v>
      </c>
      <c r="K752" s="26" t="str">
        <f>IFERROR(__xludf.DUMMYFUNCTION("""COMPUTED_VALUE"""),"짱구")</f>
        <v>짱구</v>
      </c>
      <c r="L752" s="26" t="str">
        <f>IFERROR(__xludf.DUMMYFUNCTION("""COMPUTED_VALUE"""),"깡패")</f>
        <v>깡패</v>
      </c>
      <c r="M752" s="26" t="str">
        <f>IFERROR(__xludf.DUMMYFUNCTION("""COMPUTED_VALUE"""),"유망")</f>
        <v>유망</v>
      </c>
      <c r="N752" s="26" t="str">
        <f>IFERROR(__xludf.DUMMYFUNCTION("ARRAYFORMULA(REGEXEXTRACT(SPLIT(E752, ""&lt;br&gt;""), ""([가-힣A-Za-z]+)""))"),"솔")</f>
        <v>솔</v>
      </c>
      <c r="O752" s="26" t="str">
        <f>IFERROR(__xludf.DUMMYFUNCTION("""COMPUTED_VALUE"""),"넘버")</f>
        <v>넘버</v>
      </c>
      <c r="P752" s="26" t="str">
        <f>IFERROR(__xludf.DUMMYFUNCTION("""COMPUTED_VALUE"""),"원")</f>
        <v>원</v>
      </c>
      <c r="Q752" s="26" t="str">
        <f>IFERROR(__xludf.DUMMYFUNCTION("""COMPUTED_VALUE"""),"신형만")</f>
        <v>신형만</v>
      </c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27" t="s">
        <v>3265</v>
      </c>
      <c r="B753" s="28" t="s">
        <v>3266</v>
      </c>
      <c r="C753" s="27" t="s">
        <v>3267</v>
      </c>
      <c r="D753" s="27">
        <v>5.0</v>
      </c>
      <c r="E753" s="27" t="s">
        <v>3268</v>
      </c>
      <c r="F753" s="27">
        <v>0.0</v>
      </c>
      <c r="G753" s="29">
        <v>45738.03888888889</v>
      </c>
      <c r="H753" s="27" t="s">
        <v>2888</v>
      </c>
      <c r="I753" s="18"/>
      <c r="J753" s="25" t="str">
        <f>IFERROR(__xludf.DUMMYFUNCTION("ARRAYFORMULA(REGEXEXTRACT(SPLIT(C753, ""&lt;br&gt;""), ""([가-힣A-Za-z]+)""))"),"원")</f>
        <v>원</v>
      </c>
      <c r="K753" s="26" t="str">
        <f>IFERROR(__xludf.DUMMYFUNCTION("""COMPUTED_VALUE"""),"짱구")</f>
        <v>짱구</v>
      </c>
      <c r="L753" s="26" t="str">
        <f>IFERROR(__xludf.DUMMYFUNCTION("""COMPUTED_VALUE"""),"유망")</f>
        <v>유망</v>
      </c>
      <c r="M753" s="26" t="str">
        <f>IFERROR(__xludf.DUMMYFUNCTION("""COMPUTED_VALUE"""),"솔")</f>
        <v>솔</v>
      </c>
      <c r="N753" s="26" t="str">
        <f>IFERROR(__xludf.DUMMYFUNCTION("ARRAYFORMULA(REGEXEXTRACT(SPLIT(E753, ""&lt;br&gt;""), ""([가-힣A-Za-z]+)""))"),"참치")</f>
        <v>참치</v>
      </c>
      <c r="O753" s="26" t="str">
        <f>IFERROR(__xludf.DUMMYFUNCTION("""COMPUTED_VALUE"""),"넘버")</f>
        <v>넘버</v>
      </c>
      <c r="P753" s="26" t="str">
        <f>IFERROR(__xludf.DUMMYFUNCTION("""COMPUTED_VALUE"""),"민우")</f>
        <v>민우</v>
      </c>
      <c r="Q753" s="26" t="str">
        <f>IFERROR(__xludf.DUMMYFUNCTION("""COMPUTED_VALUE"""),"신형만")</f>
        <v>신형만</v>
      </c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27" t="s">
        <v>3269</v>
      </c>
      <c r="B754" s="28" t="s">
        <v>3270</v>
      </c>
      <c r="C754" s="27" t="s">
        <v>3271</v>
      </c>
      <c r="D754" s="27">
        <v>5.0</v>
      </c>
      <c r="E754" s="27" t="s">
        <v>3272</v>
      </c>
      <c r="F754" s="27">
        <v>2.0</v>
      </c>
      <c r="G754" s="29">
        <v>45738.027083333334</v>
      </c>
      <c r="H754" s="27" t="s">
        <v>2888</v>
      </c>
      <c r="I754" s="18"/>
      <c r="J754" s="25" t="str">
        <f>IFERROR(__xludf.DUMMYFUNCTION("ARRAYFORMULA(REGEXEXTRACT(SPLIT(C754, ""&lt;br&gt;""), ""([가-힣A-Za-z]+)""))"),"참치")</f>
        <v>참치</v>
      </c>
      <c r="K754" s="26" t="str">
        <f>IFERROR(__xludf.DUMMYFUNCTION("""COMPUTED_VALUE"""),"짱구")</f>
        <v>짱구</v>
      </c>
      <c r="L754" s="26" t="str">
        <f>IFERROR(__xludf.DUMMYFUNCTION("""COMPUTED_VALUE"""),"유망")</f>
        <v>유망</v>
      </c>
      <c r="M754" s="26" t="str">
        <f>IFERROR(__xludf.DUMMYFUNCTION("""COMPUTED_VALUE"""),"넘버")</f>
        <v>넘버</v>
      </c>
      <c r="N754" s="26" t="str">
        <f>IFERROR(__xludf.DUMMYFUNCTION("ARRAYFORMULA(REGEXEXTRACT(SPLIT(E754, ""&lt;br&gt;""), ""([가-힣A-Za-z]+)""))"),"솔")</f>
        <v>솔</v>
      </c>
      <c r="O754" s="26" t="str">
        <f>IFERROR(__xludf.DUMMYFUNCTION("""COMPUTED_VALUE"""),"원")</f>
        <v>원</v>
      </c>
      <c r="P754" s="26" t="str">
        <f>IFERROR(__xludf.DUMMYFUNCTION("""COMPUTED_VALUE"""),"민우")</f>
        <v>민우</v>
      </c>
      <c r="Q754" s="26" t="str">
        <f>IFERROR(__xludf.DUMMYFUNCTION("""COMPUTED_VALUE"""),"신형만")</f>
        <v>신형만</v>
      </c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27" t="s">
        <v>3273</v>
      </c>
      <c r="B755" s="28" t="s">
        <v>3274</v>
      </c>
      <c r="C755" s="27" t="s">
        <v>3275</v>
      </c>
      <c r="D755" s="27">
        <v>5.0</v>
      </c>
      <c r="E755" s="27" t="s">
        <v>3276</v>
      </c>
      <c r="F755" s="27">
        <v>3.0</v>
      </c>
      <c r="G755" s="29">
        <v>45738.00833333333</v>
      </c>
      <c r="H755" s="27" t="s">
        <v>2888</v>
      </c>
      <c r="I755" s="18"/>
      <c r="J755" s="25" t="str">
        <f>IFERROR(__xludf.DUMMYFUNCTION("ARRAYFORMULA(REGEXEXTRACT(SPLIT(C755, ""&lt;br&gt;""), ""([가-힣A-Za-z]+)""))"),"솔")</f>
        <v>솔</v>
      </c>
      <c r="K755" s="26" t="str">
        <f>IFERROR(__xludf.DUMMYFUNCTION("""COMPUTED_VALUE"""),"짱구")</f>
        <v>짱구</v>
      </c>
      <c r="L755" s="26" t="str">
        <f>IFERROR(__xludf.DUMMYFUNCTION("""COMPUTED_VALUE"""),"넘버")</f>
        <v>넘버</v>
      </c>
      <c r="M755" s="26" t="str">
        <f>IFERROR(__xludf.DUMMYFUNCTION("""COMPUTED_VALUE"""),"신형만")</f>
        <v>신형만</v>
      </c>
      <c r="N755" s="26" t="str">
        <f>IFERROR(__xludf.DUMMYFUNCTION("ARRAYFORMULA(REGEXEXTRACT(SPLIT(E755, ""&lt;br&gt;""), ""([가-힣A-Za-z]+)""))"),"유망")</f>
        <v>유망</v>
      </c>
      <c r="O755" s="26" t="str">
        <f>IFERROR(__xludf.DUMMYFUNCTION("""COMPUTED_VALUE"""),"원")</f>
        <v>원</v>
      </c>
      <c r="P755" s="26" t="str">
        <f>IFERROR(__xludf.DUMMYFUNCTION("""COMPUTED_VALUE"""),"참치")</f>
        <v>참치</v>
      </c>
      <c r="Q755" s="26" t="str">
        <f>IFERROR(__xludf.DUMMYFUNCTION("""COMPUTED_VALUE"""),"민우")</f>
        <v>민우</v>
      </c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27" t="s">
        <v>3277</v>
      </c>
      <c r="B756" s="28" t="s">
        <v>3278</v>
      </c>
      <c r="C756" s="27" t="s">
        <v>3279</v>
      </c>
      <c r="D756" s="27">
        <v>5.0</v>
      </c>
      <c r="E756" s="27" t="s">
        <v>3280</v>
      </c>
      <c r="F756" s="27">
        <v>2.0</v>
      </c>
      <c r="G756" s="29">
        <v>45737.981944444444</v>
      </c>
      <c r="H756" s="27" t="s">
        <v>2888</v>
      </c>
      <c r="I756" s="18"/>
      <c r="J756" s="25" t="str">
        <f>IFERROR(__xludf.DUMMYFUNCTION("ARRAYFORMULA(REGEXEXTRACT(SPLIT(C756, ""&lt;br&gt;""), ""([가-힣A-Za-z]+)""))"),"신형만")</f>
        <v>신형만</v>
      </c>
      <c r="K756" s="26" t="str">
        <f>IFERROR(__xludf.DUMMYFUNCTION("""COMPUTED_VALUE"""),"넘버")</f>
        <v>넘버</v>
      </c>
      <c r="L756" s="26" t="str">
        <f>IFERROR(__xludf.DUMMYFUNCTION("""COMPUTED_VALUE"""),"원")</f>
        <v>원</v>
      </c>
      <c r="M756" s="26" t="str">
        <f>IFERROR(__xludf.DUMMYFUNCTION("""COMPUTED_VALUE"""),"유망")</f>
        <v>유망</v>
      </c>
      <c r="N756" s="26" t="str">
        <f>IFERROR(__xludf.DUMMYFUNCTION("ARRAYFORMULA(REGEXEXTRACT(SPLIT(E756, ""&lt;br&gt;""), ""([가-힣A-Za-z]+)""))"),"솔")</f>
        <v>솔</v>
      </c>
      <c r="O756" s="26" t="str">
        <f>IFERROR(__xludf.DUMMYFUNCTION("""COMPUTED_VALUE"""),"참치")</f>
        <v>참치</v>
      </c>
      <c r="P756" s="26" t="str">
        <f>IFERROR(__xludf.DUMMYFUNCTION("""COMPUTED_VALUE"""),"태식")</f>
        <v>태식</v>
      </c>
      <c r="Q756" s="26" t="str">
        <f>IFERROR(__xludf.DUMMYFUNCTION("""COMPUTED_VALUE"""),"민우")</f>
        <v>민우</v>
      </c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27" t="s">
        <v>3281</v>
      </c>
      <c r="B757" s="28" t="s">
        <v>3282</v>
      </c>
      <c r="C757" s="27" t="s">
        <v>3283</v>
      </c>
      <c r="D757" s="27">
        <v>5.0</v>
      </c>
      <c r="E757" s="27" t="s">
        <v>3284</v>
      </c>
      <c r="F757" s="27">
        <v>0.0</v>
      </c>
      <c r="G757" s="29">
        <v>45737.96041666667</v>
      </c>
      <c r="H757" s="27" t="s">
        <v>2888</v>
      </c>
      <c r="I757" s="18"/>
      <c r="J757" s="25" t="str">
        <f>IFERROR(__xludf.DUMMYFUNCTION("ARRAYFORMULA(REGEXEXTRACT(SPLIT(C757, ""&lt;br&gt;""), ""([가-힣A-Za-z]+)""))"),"원")</f>
        <v>원</v>
      </c>
      <c r="K757" s="26" t="str">
        <f>IFERROR(__xludf.DUMMYFUNCTION("""COMPUTED_VALUE"""),"넘버")</f>
        <v>넘버</v>
      </c>
      <c r="L757" s="26" t="str">
        <f>IFERROR(__xludf.DUMMYFUNCTION("""COMPUTED_VALUE"""),"참치")</f>
        <v>참치</v>
      </c>
      <c r="M757" s="26" t="str">
        <f>IFERROR(__xludf.DUMMYFUNCTION("""COMPUTED_VALUE"""),"민우")</f>
        <v>민우</v>
      </c>
      <c r="N757" s="26" t="str">
        <f>IFERROR(__xludf.DUMMYFUNCTION("ARRAYFORMULA(REGEXEXTRACT(SPLIT(E757, ""&lt;br&gt;""), ""([가-힣A-Za-z]+)""))"),"유망")</f>
        <v>유망</v>
      </c>
      <c r="O757" s="26" t="str">
        <f>IFERROR(__xludf.DUMMYFUNCTION("""COMPUTED_VALUE"""),"솔")</f>
        <v>솔</v>
      </c>
      <c r="P757" s="26" t="str">
        <f>IFERROR(__xludf.DUMMYFUNCTION("""COMPUTED_VALUE"""),"단수")</f>
        <v>단수</v>
      </c>
      <c r="Q757" s="26" t="str">
        <f>IFERROR(__xludf.DUMMYFUNCTION("""COMPUTED_VALUE"""),"신형만")</f>
        <v>신형만</v>
      </c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27" t="s">
        <v>3285</v>
      </c>
      <c r="B758" s="28" t="s">
        <v>3286</v>
      </c>
      <c r="C758" s="27" t="s">
        <v>3287</v>
      </c>
      <c r="D758" s="27">
        <v>5.0</v>
      </c>
      <c r="E758" s="27" t="s">
        <v>3288</v>
      </c>
      <c r="F758" s="27">
        <v>3.0</v>
      </c>
      <c r="G758" s="29">
        <v>45737.94513888889</v>
      </c>
      <c r="H758" s="27" t="s">
        <v>2888</v>
      </c>
      <c r="I758" s="18"/>
      <c r="J758" s="25" t="str">
        <f>IFERROR(__xludf.DUMMYFUNCTION("ARRAYFORMULA(REGEXEXTRACT(SPLIT(C758, ""&lt;br&gt;""), ""([가-힣A-Za-z]+)""))"),"민우")</f>
        <v>민우</v>
      </c>
      <c r="K758" s="26" t="str">
        <f>IFERROR(__xludf.DUMMYFUNCTION("""COMPUTED_VALUE"""),"신형만")</f>
        <v>신형만</v>
      </c>
      <c r="L758" s="26" t="str">
        <f>IFERROR(__xludf.DUMMYFUNCTION("""COMPUTED_VALUE"""),"원")</f>
        <v>원</v>
      </c>
      <c r="M758" s="26" t="str">
        <f>IFERROR(__xludf.DUMMYFUNCTION("""COMPUTED_VALUE"""),"단수")</f>
        <v>단수</v>
      </c>
      <c r="N758" s="26" t="str">
        <f>IFERROR(__xludf.DUMMYFUNCTION("ARRAYFORMULA(REGEXEXTRACT(SPLIT(E758, ""&lt;br&gt;""), ""([가-힣A-Za-z]+)""))"),"참치")</f>
        <v>참치</v>
      </c>
      <c r="O758" s="26" t="str">
        <f>IFERROR(__xludf.DUMMYFUNCTION("""COMPUTED_VALUE"""),"넘버")</f>
        <v>넘버</v>
      </c>
      <c r="P758" s="26" t="str">
        <f>IFERROR(__xludf.DUMMYFUNCTION("""COMPUTED_VALUE"""),"솔")</f>
        <v>솔</v>
      </c>
      <c r="Q758" s="26" t="str">
        <f>IFERROR(__xludf.DUMMYFUNCTION("""COMPUTED_VALUE"""),"유망")</f>
        <v>유망</v>
      </c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27" t="s">
        <v>3289</v>
      </c>
      <c r="B759" s="28" t="s">
        <v>3290</v>
      </c>
      <c r="C759" s="27" t="s">
        <v>3291</v>
      </c>
      <c r="D759" s="27">
        <v>5.0</v>
      </c>
      <c r="E759" s="27" t="s">
        <v>3292</v>
      </c>
      <c r="F759" s="27">
        <v>3.0</v>
      </c>
      <c r="G759" s="29">
        <v>45737.91736111111</v>
      </c>
      <c r="H759" s="27" t="s">
        <v>2888</v>
      </c>
      <c r="I759" s="18"/>
      <c r="J759" s="25" t="str">
        <f>IFERROR(__xludf.DUMMYFUNCTION("ARRAYFORMULA(REGEXEXTRACT(SPLIT(C759, ""&lt;br&gt;""), ""([가-힣A-Za-z]+)""))"),"넘버")</f>
        <v>넘버</v>
      </c>
      <c r="K759" s="26" t="str">
        <f>IFERROR(__xludf.DUMMYFUNCTION("""COMPUTED_VALUE"""),"참치")</f>
        <v>참치</v>
      </c>
      <c r="L759" s="26" t="str">
        <f>IFERROR(__xludf.DUMMYFUNCTION("""COMPUTED_VALUE"""),"신형만")</f>
        <v>신형만</v>
      </c>
      <c r="M759" s="26" t="str">
        <f>IFERROR(__xludf.DUMMYFUNCTION("""COMPUTED_VALUE"""),"민우")</f>
        <v>민우</v>
      </c>
      <c r="N759" s="26" t="str">
        <f>IFERROR(__xludf.DUMMYFUNCTION("ARRAYFORMULA(REGEXEXTRACT(SPLIT(E759, ""&lt;br&gt;""), ""([가-힣A-Za-z]+)""))"),"솔")</f>
        <v>솔</v>
      </c>
      <c r="O759" s="26" t="str">
        <f>IFERROR(__xludf.DUMMYFUNCTION("""COMPUTED_VALUE"""),"단수")</f>
        <v>단수</v>
      </c>
      <c r="P759" s="26" t="str">
        <f>IFERROR(__xludf.DUMMYFUNCTION("""COMPUTED_VALUE"""),"유망")</f>
        <v>유망</v>
      </c>
      <c r="Q759" s="26" t="str">
        <f>IFERROR(__xludf.DUMMYFUNCTION("""COMPUTED_VALUE"""),"원")</f>
        <v>원</v>
      </c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27" t="s">
        <v>3293</v>
      </c>
      <c r="B760" s="28" t="s">
        <v>3294</v>
      </c>
      <c r="C760" s="27" t="s">
        <v>3295</v>
      </c>
      <c r="D760" s="27">
        <v>5.0</v>
      </c>
      <c r="E760" s="27" t="s">
        <v>3296</v>
      </c>
      <c r="F760" s="27">
        <v>1.0</v>
      </c>
      <c r="G760" s="29">
        <v>45737.66180555556</v>
      </c>
      <c r="H760" s="27" t="s">
        <v>2888</v>
      </c>
      <c r="I760" s="18"/>
      <c r="J760" s="25" t="str">
        <f>IFERROR(__xludf.DUMMYFUNCTION("ARRAYFORMULA(REGEXEXTRACT(SPLIT(C760, ""&lt;br&gt;""), ""([가-힣A-Za-z]+)""))"),"한메")</f>
        <v>한메</v>
      </c>
      <c r="K760" s="26" t="str">
        <f>IFERROR(__xludf.DUMMYFUNCTION("""COMPUTED_VALUE"""),"테리")</f>
        <v>테리</v>
      </c>
      <c r="L760" s="26" t="str">
        <f>IFERROR(__xludf.DUMMYFUNCTION("""COMPUTED_VALUE"""),"노픽업")</f>
        <v>노픽업</v>
      </c>
      <c r="M760" s="26" t="str">
        <f>IFERROR(__xludf.DUMMYFUNCTION("""COMPUTED_VALUE"""),"신형만")</f>
        <v>신형만</v>
      </c>
      <c r="N760" s="26" t="str">
        <f>IFERROR(__xludf.DUMMYFUNCTION("ARRAYFORMULA(REGEXEXTRACT(SPLIT(E760, ""&lt;br&gt;""), ""([가-힣A-Za-z]+)""))"),"ACDC")</f>
        <v>ACDC</v>
      </c>
      <c r="O760" s="26" t="str">
        <f>IFERROR(__xludf.DUMMYFUNCTION("""COMPUTED_VALUE"""),"원")</f>
        <v>원</v>
      </c>
      <c r="P760" s="26" t="str">
        <f>IFERROR(__xludf.DUMMYFUNCTION("""COMPUTED_VALUE"""),"짱구")</f>
        <v>짱구</v>
      </c>
      <c r="Q760" s="26" t="str">
        <f>IFERROR(__xludf.DUMMYFUNCTION("""COMPUTED_VALUE"""),"노인")</f>
        <v>노인</v>
      </c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27" t="s">
        <v>3297</v>
      </c>
      <c r="B761" s="28" t="s">
        <v>3298</v>
      </c>
      <c r="C761" s="27" t="s">
        <v>3299</v>
      </c>
      <c r="D761" s="27">
        <v>5.0</v>
      </c>
      <c r="E761" s="27" t="s">
        <v>3300</v>
      </c>
      <c r="F761" s="27">
        <v>0.0</v>
      </c>
      <c r="G761" s="29">
        <v>45737.089583333334</v>
      </c>
      <c r="H761" s="27" t="s">
        <v>2888</v>
      </c>
      <c r="I761" s="18"/>
      <c r="J761" s="25" t="str">
        <f>IFERROR(__xludf.DUMMYFUNCTION("ARRAYFORMULA(REGEXEXTRACT(SPLIT(C761, ""&lt;br&gt;""), ""([가-힣A-Za-z]+)""))"),"민우")</f>
        <v>민우</v>
      </c>
      <c r="K761" s="26" t="str">
        <f>IFERROR(__xludf.DUMMYFUNCTION("""COMPUTED_VALUE"""),"노인")</f>
        <v>노인</v>
      </c>
      <c r="L761" s="26" t="str">
        <f>IFERROR(__xludf.DUMMYFUNCTION("""COMPUTED_VALUE"""),"유망")</f>
        <v>유망</v>
      </c>
      <c r="M761" s="26" t="str">
        <f>IFERROR(__xludf.DUMMYFUNCTION("""COMPUTED_VALUE"""),"깡패")</f>
        <v>깡패</v>
      </c>
      <c r="N761" s="26" t="str">
        <f>IFERROR(__xludf.DUMMYFUNCTION("ARRAYFORMULA(REGEXEXTRACT(SPLIT(E761, ""&lt;br&gt;""), ""([가-힣A-Za-z]+)""))"),"한메")</f>
        <v>한메</v>
      </c>
      <c r="O761" s="26" t="str">
        <f>IFERROR(__xludf.DUMMYFUNCTION("""COMPUTED_VALUE"""),"짱구")</f>
        <v>짱구</v>
      </c>
      <c r="P761" s="26" t="str">
        <f>IFERROR(__xludf.DUMMYFUNCTION("""COMPUTED_VALUE"""),"신형만")</f>
        <v>신형만</v>
      </c>
      <c r="Q761" s="26" t="str">
        <f>IFERROR(__xludf.DUMMYFUNCTION("""COMPUTED_VALUE"""),"노픽업")</f>
        <v>노픽업</v>
      </c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27" t="s">
        <v>3301</v>
      </c>
      <c r="B762" s="28" t="s">
        <v>3302</v>
      </c>
      <c r="C762" s="27" t="s">
        <v>3303</v>
      </c>
      <c r="D762" s="27">
        <v>5.0</v>
      </c>
      <c r="E762" s="27" t="s">
        <v>3304</v>
      </c>
      <c r="F762" s="27">
        <v>4.0</v>
      </c>
      <c r="G762" s="29">
        <v>45737.072916666664</v>
      </c>
      <c r="H762" s="27" t="s">
        <v>2888</v>
      </c>
      <c r="I762" s="18"/>
      <c r="J762" s="25" t="str">
        <f>IFERROR(__xludf.DUMMYFUNCTION("ARRAYFORMULA(REGEXEXTRACT(SPLIT(C762, ""&lt;br&gt;""), ""([가-힣A-Za-z]+)""))"),"민우")</f>
        <v>민우</v>
      </c>
      <c r="K762" s="26" t="str">
        <f>IFERROR(__xludf.DUMMYFUNCTION("""COMPUTED_VALUE"""),"깡패")</f>
        <v>깡패</v>
      </c>
      <c r="L762" s="26" t="str">
        <f>IFERROR(__xludf.DUMMYFUNCTION("""COMPUTED_VALUE"""),"짱구")</f>
        <v>짱구</v>
      </c>
      <c r="M762" s="26" t="str">
        <f>IFERROR(__xludf.DUMMYFUNCTION("""COMPUTED_VALUE"""),"한메")</f>
        <v>한메</v>
      </c>
      <c r="N762" s="26" t="str">
        <f>IFERROR(__xludf.DUMMYFUNCTION("ARRAYFORMULA(REGEXEXTRACT(SPLIT(E762, ""&lt;br&gt;""), ""([가-힣A-Za-z]+)""))"),"신형만")</f>
        <v>신형만</v>
      </c>
      <c r="O762" s="26" t="str">
        <f>IFERROR(__xludf.DUMMYFUNCTION("""COMPUTED_VALUE"""),"노픽업")</f>
        <v>노픽업</v>
      </c>
      <c r="P762" s="26" t="str">
        <f>IFERROR(__xludf.DUMMYFUNCTION("""COMPUTED_VALUE"""),"노인")</f>
        <v>노인</v>
      </c>
      <c r="Q762" s="26" t="str">
        <f>IFERROR(__xludf.DUMMYFUNCTION("""COMPUTED_VALUE"""),"유망")</f>
        <v>유망</v>
      </c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27" t="s">
        <v>3305</v>
      </c>
      <c r="B763" s="28" t="s">
        <v>3306</v>
      </c>
      <c r="C763" s="27" t="s">
        <v>3307</v>
      </c>
      <c r="D763" s="27">
        <v>5.0</v>
      </c>
      <c r="E763" s="27" t="s">
        <v>3308</v>
      </c>
      <c r="F763" s="27">
        <v>3.0</v>
      </c>
      <c r="G763" s="29">
        <v>45737.04861111111</v>
      </c>
      <c r="H763" s="27" t="s">
        <v>2888</v>
      </c>
      <c r="I763" s="18"/>
      <c r="J763" s="25" t="str">
        <f>IFERROR(__xludf.DUMMYFUNCTION("ARRAYFORMULA(REGEXEXTRACT(SPLIT(C763, ""&lt;br&gt;""), ""([가-힣A-Za-z]+)""))"),"한메")</f>
        <v>한메</v>
      </c>
      <c r="K763" s="26" t="str">
        <f>IFERROR(__xludf.DUMMYFUNCTION("""COMPUTED_VALUE"""),"깡패")</f>
        <v>깡패</v>
      </c>
      <c r="L763" s="26" t="str">
        <f>IFERROR(__xludf.DUMMYFUNCTION("""COMPUTED_VALUE"""),"유망")</f>
        <v>유망</v>
      </c>
      <c r="M763" s="26" t="str">
        <f>IFERROR(__xludf.DUMMYFUNCTION("""COMPUTED_VALUE"""),"넘버")</f>
        <v>넘버</v>
      </c>
      <c r="N763" s="26" t="str">
        <f>IFERROR(__xludf.DUMMYFUNCTION("ARRAYFORMULA(REGEXEXTRACT(SPLIT(E763, ""&lt;br&gt;""), ""([가-힣A-Za-z]+)""))"),"민우")</f>
        <v>민우</v>
      </c>
      <c r="O763" s="26" t="str">
        <f>IFERROR(__xludf.DUMMYFUNCTION("""COMPUTED_VALUE"""),"노픽업")</f>
        <v>노픽업</v>
      </c>
      <c r="P763" s="26" t="str">
        <f>IFERROR(__xludf.DUMMYFUNCTION("""COMPUTED_VALUE"""),"짱구")</f>
        <v>짱구</v>
      </c>
      <c r="Q763" s="26" t="str">
        <f>IFERROR(__xludf.DUMMYFUNCTION("""COMPUTED_VALUE"""),"신형만")</f>
        <v>신형만</v>
      </c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27" t="s">
        <v>3309</v>
      </c>
      <c r="B764" s="28" t="s">
        <v>3310</v>
      </c>
      <c r="C764" s="27" t="s">
        <v>3311</v>
      </c>
      <c r="D764" s="27">
        <v>5.0</v>
      </c>
      <c r="E764" s="27" t="s">
        <v>3312</v>
      </c>
      <c r="F764" s="27">
        <v>4.0</v>
      </c>
      <c r="G764" s="29">
        <v>45737.02916666667</v>
      </c>
      <c r="H764" s="27" t="s">
        <v>2888</v>
      </c>
      <c r="I764" s="18"/>
      <c r="J764" s="25" t="str">
        <f>IFERROR(__xludf.DUMMYFUNCTION("ARRAYFORMULA(REGEXEXTRACT(SPLIT(C764, ""&lt;br&gt;""), ""([가-힣A-Za-z]+)""))"),"민우")</f>
        <v>민우</v>
      </c>
      <c r="K764" s="26" t="str">
        <f>IFERROR(__xludf.DUMMYFUNCTION("""COMPUTED_VALUE"""),"넘버")</f>
        <v>넘버</v>
      </c>
      <c r="L764" s="26" t="str">
        <f>IFERROR(__xludf.DUMMYFUNCTION("""COMPUTED_VALUE"""),"노픽업")</f>
        <v>노픽업</v>
      </c>
      <c r="M764" s="26" t="str">
        <f>IFERROR(__xludf.DUMMYFUNCTION("""COMPUTED_VALUE"""),"유망")</f>
        <v>유망</v>
      </c>
      <c r="N764" s="26" t="str">
        <f>IFERROR(__xludf.DUMMYFUNCTION("ARRAYFORMULA(REGEXEXTRACT(SPLIT(E764, ""&lt;br&gt;""), ""([가-힣A-Za-z]+)""))"),"깡패")</f>
        <v>깡패</v>
      </c>
      <c r="O764" s="26" t="str">
        <f>IFERROR(__xludf.DUMMYFUNCTION("""COMPUTED_VALUE"""),"신형만")</f>
        <v>신형만</v>
      </c>
      <c r="P764" s="26" t="str">
        <f>IFERROR(__xludf.DUMMYFUNCTION("""COMPUTED_VALUE"""),"짱구")</f>
        <v>짱구</v>
      </c>
      <c r="Q764" s="26" t="str">
        <f>IFERROR(__xludf.DUMMYFUNCTION("""COMPUTED_VALUE"""),"한메")</f>
        <v>한메</v>
      </c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27" t="s">
        <v>3313</v>
      </c>
      <c r="B765" s="28" t="s">
        <v>3314</v>
      </c>
      <c r="C765" s="27" t="s">
        <v>3315</v>
      </c>
      <c r="D765" s="27">
        <v>5.0</v>
      </c>
      <c r="E765" s="27" t="s">
        <v>3316</v>
      </c>
      <c r="F765" s="27">
        <v>3.0</v>
      </c>
      <c r="G765" s="29">
        <v>45737.00208333333</v>
      </c>
      <c r="H765" s="27" t="s">
        <v>2888</v>
      </c>
      <c r="I765" s="18"/>
      <c r="J765" s="25" t="str">
        <f>IFERROR(__xludf.DUMMYFUNCTION("ARRAYFORMULA(REGEXEXTRACT(SPLIT(C765, ""&lt;br&gt;""), ""([가-힣A-Za-z]+)""))"),"유망")</f>
        <v>유망</v>
      </c>
      <c r="K765" s="26" t="str">
        <f>IFERROR(__xludf.DUMMYFUNCTION("""COMPUTED_VALUE"""),"신형만")</f>
        <v>신형만</v>
      </c>
      <c r="L765" s="26" t="str">
        <f>IFERROR(__xludf.DUMMYFUNCTION("""COMPUTED_VALUE"""),"깡패")</f>
        <v>깡패</v>
      </c>
      <c r="M765" s="26" t="str">
        <f>IFERROR(__xludf.DUMMYFUNCTION("""COMPUTED_VALUE"""),"넘버")</f>
        <v>넘버</v>
      </c>
      <c r="N765" s="26" t="str">
        <f>IFERROR(__xludf.DUMMYFUNCTION("ARRAYFORMULA(REGEXEXTRACT(SPLIT(E765, ""&lt;br&gt;""), ""([가-힣A-Za-z]+)""))"),"민우")</f>
        <v>민우</v>
      </c>
      <c r="O765" s="26" t="str">
        <f>IFERROR(__xludf.DUMMYFUNCTION("""COMPUTED_VALUE"""),"짱구")</f>
        <v>짱구</v>
      </c>
      <c r="P765" s="26" t="str">
        <f>IFERROR(__xludf.DUMMYFUNCTION("""COMPUTED_VALUE"""),"노픽업")</f>
        <v>노픽업</v>
      </c>
      <c r="Q765" s="26" t="str">
        <f>IFERROR(__xludf.DUMMYFUNCTION("""COMPUTED_VALUE"""),"한메")</f>
        <v>한메</v>
      </c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27" t="s">
        <v>3317</v>
      </c>
      <c r="B766" s="28" t="s">
        <v>3318</v>
      </c>
      <c r="C766" s="27" t="s">
        <v>3319</v>
      </c>
      <c r="D766" s="27">
        <v>5.0</v>
      </c>
      <c r="E766" s="27" t="s">
        <v>3320</v>
      </c>
      <c r="F766" s="27">
        <v>1.0</v>
      </c>
      <c r="G766" s="29">
        <v>45736.98125</v>
      </c>
      <c r="H766" s="27" t="s">
        <v>2888</v>
      </c>
      <c r="I766" s="18"/>
      <c r="J766" s="25" t="str">
        <f>IFERROR(__xludf.DUMMYFUNCTION("ARRAYFORMULA(REGEXEXTRACT(SPLIT(C766, ""&lt;br&gt;""), ""([가-힣A-Za-z]+)""))"),"넘버")</f>
        <v>넘버</v>
      </c>
      <c r="K766" s="26" t="str">
        <f>IFERROR(__xludf.DUMMYFUNCTION("""COMPUTED_VALUE"""),"짱구")</f>
        <v>짱구</v>
      </c>
      <c r="L766" s="26" t="str">
        <f>IFERROR(__xludf.DUMMYFUNCTION("""COMPUTED_VALUE"""),"노픽업")</f>
        <v>노픽업</v>
      </c>
      <c r="M766" s="26" t="str">
        <f>IFERROR(__xludf.DUMMYFUNCTION("""COMPUTED_VALUE"""),"유망")</f>
        <v>유망</v>
      </c>
      <c r="N766" s="26" t="str">
        <f>IFERROR(__xludf.DUMMYFUNCTION("ARRAYFORMULA(REGEXEXTRACT(SPLIT(E766, ""&lt;br&gt;""), ""([가-힣A-Za-z]+)""))"),"한메")</f>
        <v>한메</v>
      </c>
      <c r="O766" s="26" t="str">
        <f>IFERROR(__xludf.DUMMYFUNCTION("""COMPUTED_VALUE"""),"신형만")</f>
        <v>신형만</v>
      </c>
      <c r="P766" s="26" t="str">
        <f>IFERROR(__xludf.DUMMYFUNCTION("""COMPUTED_VALUE"""),"민우")</f>
        <v>민우</v>
      </c>
      <c r="Q766" s="26" t="str">
        <f>IFERROR(__xludf.DUMMYFUNCTION("""COMPUTED_VALUE"""),"깡패")</f>
        <v>깡패</v>
      </c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27" t="s">
        <v>3321</v>
      </c>
      <c r="B767" s="28" t="s">
        <v>3322</v>
      </c>
      <c r="C767" s="27" t="s">
        <v>3323</v>
      </c>
      <c r="D767" s="27">
        <v>5.0</v>
      </c>
      <c r="E767" s="27" t="s">
        <v>3324</v>
      </c>
      <c r="F767" s="27">
        <v>2.0</v>
      </c>
      <c r="G767" s="29">
        <v>45736.91111111111</v>
      </c>
      <c r="H767" s="27" t="s">
        <v>2888</v>
      </c>
      <c r="I767" s="18"/>
      <c r="J767" s="25" t="str">
        <f>IFERROR(__xludf.DUMMYFUNCTION("ARRAYFORMULA(REGEXEXTRACT(SPLIT(C767, ""&lt;br&gt;""), ""([가-힣A-Za-z]+)""))"),"테리")</f>
        <v>테리</v>
      </c>
      <c r="K767" s="26" t="str">
        <f>IFERROR(__xludf.DUMMYFUNCTION("""COMPUTED_VALUE"""),"노픽업")</f>
        <v>노픽업</v>
      </c>
      <c r="L767" s="26" t="str">
        <f>IFERROR(__xludf.DUMMYFUNCTION("""COMPUTED_VALUE"""),"짱구")</f>
        <v>짱구</v>
      </c>
      <c r="M767" s="26" t="str">
        <f>IFERROR(__xludf.DUMMYFUNCTION("""COMPUTED_VALUE"""),"넘버")</f>
        <v>넘버</v>
      </c>
      <c r="N767" s="26" t="str">
        <f>IFERROR(__xludf.DUMMYFUNCTION("ARRAYFORMULA(REGEXEXTRACT(SPLIT(E767, ""&lt;br&gt;""), ""([가-힣A-Za-z]+)""))"),"한메")</f>
        <v>한메</v>
      </c>
      <c r="O767" s="26" t="str">
        <f>IFERROR(__xludf.DUMMYFUNCTION("""COMPUTED_VALUE"""),"ACDC")</f>
        <v>ACDC</v>
      </c>
      <c r="P767" s="26" t="str">
        <f>IFERROR(__xludf.DUMMYFUNCTION("""COMPUTED_VALUE"""),"민우")</f>
        <v>민우</v>
      </c>
      <c r="Q767" s="26" t="str">
        <f>IFERROR(__xludf.DUMMYFUNCTION("""COMPUTED_VALUE"""),"신형만")</f>
        <v>신형만</v>
      </c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27" t="s">
        <v>3325</v>
      </c>
      <c r="B768" s="28" t="s">
        <v>3326</v>
      </c>
      <c r="C768" s="27" t="s">
        <v>3327</v>
      </c>
      <c r="D768" s="27">
        <v>5.0</v>
      </c>
      <c r="E768" s="27" t="s">
        <v>3328</v>
      </c>
      <c r="F768" s="27">
        <v>3.0</v>
      </c>
      <c r="G768" s="29">
        <v>45736.893055555556</v>
      </c>
      <c r="H768" s="27" t="s">
        <v>2888</v>
      </c>
      <c r="I768" s="18"/>
      <c r="J768" s="25" t="str">
        <f>IFERROR(__xludf.DUMMYFUNCTION("ARRAYFORMULA(REGEXEXTRACT(SPLIT(C768, ""&lt;br&gt;""), ""([가-힣A-Za-z]+)""))"),"테리")</f>
        <v>테리</v>
      </c>
      <c r="K768" s="26" t="str">
        <f>IFERROR(__xludf.DUMMYFUNCTION("""COMPUTED_VALUE"""),"ACDC")</f>
        <v>ACDC</v>
      </c>
      <c r="L768" s="26" t="str">
        <f>IFERROR(__xludf.DUMMYFUNCTION("""COMPUTED_VALUE"""),"짱구")</f>
        <v>짱구</v>
      </c>
      <c r="M768" s="26" t="str">
        <f>IFERROR(__xludf.DUMMYFUNCTION("""COMPUTED_VALUE"""),"한메")</f>
        <v>한메</v>
      </c>
      <c r="N768" s="26" t="str">
        <f>IFERROR(__xludf.DUMMYFUNCTION("ARRAYFORMULA(REGEXEXTRACT(SPLIT(E768, ""&lt;br&gt;""), ""([가-힣A-Za-z]+)""))"),"신형만")</f>
        <v>신형만</v>
      </c>
      <c r="O768" s="26" t="str">
        <f>IFERROR(__xludf.DUMMYFUNCTION("""COMPUTED_VALUE"""),"넘버")</f>
        <v>넘버</v>
      </c>
      <c r="P768" s="26" t="str">
        <f>IFERROR(__xludf.DUMMYFUNCTION("""COMPUTED_VALUE"""),"민우")</f>
        <v>민우</v>
      </c>
      <c r="Q768" s="26" t="str">
        <f>IFERROR(__xludf.DUMMYFUNCTION("""COMPUTED_VALUE"""),"노픽업")</f>
        <v>노픽업</v>
      </c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27" t="s">
        <v>3329</v>
      </c>
      <c r="B769" s="28" t="s">
        <v>3330</v>
      </c>
      <c r="C769" s="27" t="s">
        <v>3331</v>
      </c>
      <c r="D769" s="27">
        <v>5.0</v>
      </c>
      <c r="E769" s="27" t="s">
        <v>3332</v>
      </c>
      <c r="F769" s="27">
        <v>2.0</v>
      </c>
      <c r="G769" s="29">
        <v>45736.86666666667</v>
      </c>
      <c r="H769" s="27" t="s">
        <v>2888</v>
      </c>
      <c r="I769" s="18"/>
      <c r="J769" s="25" t="str">
        <f>IFERROR(__xludf.DUMMYFUNCTION("ARRAYFORMULA(REGEXEXTRACT(SPLIT(C769, ""&lt;br&gt;""), ""([가-힣A-Za-z]+)""))"),"넘버")</f>
        <v>넘버</v>
      </c>
      <c r="K769" s="26" t="str">
        <f>IFERROR(__xludf.DUMMYFUNCTION("""COMPUTED_VALUE"""),"테리")</f>
        <v>테리</v>
      </c>
      <c r="L769" s="26" t="str">
        <f>IFERROR(__xludf.DUMMYFUNCTION("""COMPUTED_VALUE"""),"한메")</f>
        <v>한메</v>
      </c>
      <c r="M769" s="26" t="str">
        <f>IFERROR(__xludf.DUMMYFUNCTION("""COMPUTED_VALUE"""),"노픽업")</f>
        <v>노픽업</v>
      </c>
      <c r="N769" s="26" t="str">
        <f>IFERROR(__xludf.DUMMYFUNCTION("ARRAYFORMULA(REGEXEXTRACT(SPLIT(E769, ""&lt;br&gt;""), ""([가-힣A-Za-z]+)""))"),"민우")</f>
        <v>민우</v>
      </c>
      <c r="O769" s="26" t="str">
        <f>IFERROR(__xludf.DUMMYFUNCTION("""COMPUTED_VALUE"""),"짱구")</f>
        <v>짱구</v>
      </c>
      <c r="P769" s="26" t="str">
        <f>IFERROR(__xludf.DUMMYFUNCTION("""COMPUTED_VALUE"""),"ACDC")</f>
        <v>ACDC</v>
      </c>
      <c r="Q769" s="26" t="str">
        <f>IFERROR(__xludf.DUMMYFUNCTION("""COMPUTED_VALUE"""),"신형만")</f>
        <v>신형만</v>
      </c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27" t="s">
        <v>3333</v>
      </c>
      <c r="B770" s="28" t="s">
        <v>3334</v>
      </c>
      <c r="C770" s="27" t="s">
        <v>3335</v>
      </c>
      <c r="D770" s="27">
        <v>5.0</v>
      </c>
      <c r="E770" s="27" t="s">
        <v>3336</v>
      </c>
      <c r="F770" s="27">
        <v>2.0</v>
      </c>
      <c r="G770" s="29">
        <v>45736.10138888889</v>
      </c>
      <c r="H770" s="27" t="s">
        <v>2888</v>
      </c>
      <c r="I770" s="18"/>
      <c r="J770" s="25" t="str">
        <f>IFERROR(__xludf.DUMMYFUNCTION("ARRAYFORMULA(REGEXEXTRACT(SPLIT(C770, ""&lt;br&gt;""), ""([가-힣A-Za-z]+)""))"),"민우")</f>
        <v>민우</v>
      </c>
      <c r="K770" s="26" t="str">
        <f>IFERROR(__xludf.DUMMYFUNCTION("""COMPUTED_VALUE"""),"테리")</f>
        <v>테리</v>
      </c>
      <c r="L770" s="26" t="str">
        <f>IFERROR(__xludf.DUMMYFUNCTION("""COMPUTED_VALUE"""),"ACDC")</f>
        <v>ACDC</v>
      </c>
      <c r="M770" s="26" t="str">
        <f>IFERROR(__xludf.DUMMYFUNCTION("""COMPUTED_VALUE"""),"한메")</f>
        <v>한메</v>
      </c>
      <c r="N770" s="26" t="str">
        <f>IFERROR(__xludf.DUMMYFUNCTION("ARRAYFORMULA(REGEXEXTRACT(SPLIT(E770, ""&lt;br&gt;""), ""([가-힣A-Za-z]+)""))"),"전투쥐")</f>
        <v>전투쥐</v>
      </c>
      <c r="O770" s="26" t="str">
        <f>IFERROR(__xludf.DUMMYFUNCTION("""COMPUTED_VALUE"""),"신형만")</f>
        <v>신형만</v>
      </c>
      <c r="P770" s="26" t="str">
        <f>IFERROR(__xludf.DUMMYFUNCTION("""COMPUTED_VALUE"""),"짱구")</f>
        <v>짱구</v>
      </c>
      <c r="Q770" s="26" t="str">
        <f>IFERROR(__xludf.DUMMYFUNCTION("""COMPUTED_VALUE"""),"깡패")</f>
        <v>깡패</v>
      </c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27" t="s">
        <v>3337</v>
      </c>
      <c r="B771" s="28" t="s">
        <v>3338</v>
      </c>
      <c r="C771" s="27" t="s">
        <v>3339</v>
      </c>
      <c r="D771" s="27">
        <v>5.0</v>
      </c>
      <c r="E771" s="27" t="s">
        <v>3340</v>
      </c>
      <c r="F771" s="27">
        <v>4.0</v>
      </c>
      <c r="G771" s="29">
        <v>45736.05416666667</v>
      </c>
      <c r="H771" s="27" t="s">
        <v>2888</v>
      </c>
      <c r="I771" s="18"/>
      <c r="J771" s="25" t="str">
        <f>IFERROR(__xludf.DUMMYFUNCTION("ARRAYFORMULA(REGEXEXTRACT(SPLIT(C771, ""&lt;br&gt;""), ""([가-힣A-Za-z]+)""))"),"유망")</f>
        <v>유망</v>
      </c>
      <c r="K771" s="26" t="str">
        <f>IFERROR(__xludf.DUMMYFUNCTION("""COMPUTED_VALUE"""),"ACDC")</f>
        <v>ACDC</v>
      </c>
      <c r="L771" s="26" t="str">
        <f>IFERROR(__xludf.DUMMYFUNCTION("""COMPUTED_VALUE"""),"짱구")</f>
        <v>짱구</v>
      </c>
      <c r="M771" s="26" t="str">
        <f>IFERROR(__xludf.DUMMYFUNCTION("""COMPUTED_VALUE"""),"전투쥐")</f>
        <v>전투쥐</v>
      </c>
      <c r="N771" s="26" t="str">
        <f>IFERROR(__xludf.DUMMYFUNCTION("ARRAYFORMULA(REGEXEXTRACT(SPLIT(E771, ""&lt;br&gt;""), ""([가-힣A-Za-z]+)""))"),"신형만")</f>
        <v>신형만</v>
      </c>
      <c r="O771" s="26" t="str">
        <f>IFERROR(__xludf.DUMMYFUNCTION("""COMPUTED_VALUE"""),"테리")</f>
        <v>테리</v>
      </c>
      <c r="P771" s="26" t="str">
        <f>IFERROR(__xludf.DUMMYFUNCTION("""COMPUTED_VALUE"""),"노인")</f>
        <v>노인</v>
      </c>
      <c r="Q771" s="26" t="str">
        <f>IFERROR(__xludf.DUMMYFUNCTION("""COMPUTED_VALUE"""),"민우")</f>
        <v>민우</v>
      </c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27" t="s">
        <v>3341</v>
      </c>
      <c r="B772" s="28" t="s">
        <v>3342</v>
      </c>
      <c r="C772" s="27" t="s">
        <v>3343</v>
      </c>
      <c r="D772" s="27">
        <v>5.0</v>
      </c>
      <c r="E772" s="27" t="s">
        <v>3344</v>
      </c>
      <c r="F772" s="27">
        <v>2.0</v>
      </c>
      <c r="G772" s="29">
        <v>45736.00347222222</v>
      </c>
      <c r="H772" s="27" t="s">
        <v>2888</v>
      </c>
      <c r="I772" s="18"/>
      <c r="J772" s="25" t="str">
        <f>IFERROR(__xludf.DUMMYFUNCTION("ARRAYFORMULA(REGEXEXTRACT(SPLIT(C772, ""&lt;br&gt;""), ""([가-힣A-Za-z]+)""))"),"전투쥐")</f>
        <v>전투쥐</v>
      </c>
      <c r="K772" s="26" t="str">
        <f>IFERROR(__xludf.DUMMYFUNCTION("""COMPUTED_VALUE"""),"테리")</f>
        <v>테리</v>
      </c>
      <c r="L772" s="26" t="str">
        <f>IFERROR(__xludf.DUMMYFUNCTION("""COMPUTED_VALUE"""),"짱구")</f>
        <v>짱구</v>
      </c>
      <c r="M772" s="26" t="str">
        <f>IFERROR(__xludf.DUMMYFUNCTION("""COMPUTED_VALUE"""),"민우")</f>
        <v>민우</v>
      </c>
      <c r="N772" s="26" t="str">
        <f>IFERROR(__xludf.DUMMYFUNCTION("ARRAYFORMULA(REGEXEXTRACT(SPLIT(E772, ""&lt;br&gt;""), ""([가-힣A-Za-z]+)""))"),"신형만")</f>
        <v>신형만</v>
      </c>
      <c r="O772" s="26" t="str">
        <f>IFERROR(__xludf.DUMMYFUNCTION("""COMPUTED_VALUE"""),"ACDC")</f>
        <v>ACDC</v>
      </c>
      <c r="P772" s="26" t="str">
        <f>IFERROR(__xludf.DUMMYFUNCTION("""COMPUTED_VALUE"""),"유망")</f>
        <v>유망</v>
      </c>
      <c r="Q772" s="26" t="str">
        <f>IFERROR(__xludf.DUMMYFUNCTION("""COMPUTED_VALUE"""),"한메")</f>
        <v>한메</v>
      </c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27" t="s">
        <v>3345</v>
      </c>
      <c r="B773" s="28" t="s">
        <v>3346</v>
      </c>
      <c r="C773" s="27" t="s">
        <v>3347</v>
      </c>
      <c r="D773" s="27">
        <v>5.0</v>
      </c>
      <c r="E773" s="27" t="s">
        <v>3348</v>
      </c>
      <c r="F773" s="27">
        <v>2.0</v>
      </c>
      <c r="G773" s="29">
        <v>45735.970138888886</v>
      </c>
      <c r="H773" s="27" t="s">
        <v>2888</v>
      </c>
      <c r="I773" s="18"/>
      <c r="J773" s="25" t="str">
        <f>IFERROR(__xludf.DUMMYFUNCTION("ARRAYFORMULA(REGEXEXTRACT(SPLIT(C773, ""&lt;br&gt;""), ""([가-힣A-Za-z]+)""))"),"ACDC")</f>
        <v>ACDC</v>
      </c>
      <c r="K773" s="26" t="str">
        <f>IFERROR(__xludf.DUMMYFUNCTION("""COMPUTED_VALUE"""),"테리")</f>
        <v>테리</v>
      </c>
      <c r="L773" s="26" t="str">
        <f>IFERROR(__xludf.DUMMYFUNCTION("""COMPUTED_VALUE"""),"짱구")</f>
        <v>짱구</v>
      </c>
      <c r="M773" s="26" t="str">
        <f>IFERROR(__xludf.DUMMYFUNCTION("""COMPUTED_VALUE"""),"깡패")</f>
        <v>깡패</v>
      </c>
      <c r="N773" s="26" t="str">
        <f>IFERROR(__xludf.DUMMYFUNCTION("ARRAYFORMULA(REGEXEXTRACT(SPLIT(E773, ""&lt;br&gt;""), ""([가-힣A-Za-z]+)""))"),"민우")</f>
        <v>민우</v>
      </c>
      <c r="O773" s="26" t="str">
        <f>IFERROR(__xludf.DUMMYFUNCTION("""COMPUTED_VALUE"""),"신형만")</f>
        <v>신형만</v>
      </c>
      <c r="P773" s="26" t="str">
        <f>IFERROR(__xludf.DUMMYFUNCTION("""COMPUTED_VALUE"""),"한메")</f>
        <v>한메</v>
      </c>
      <c r="Q773" s="26" t="str">
        <f>IFERROR(__xludf.DUMMYFUNCTION("""COMPUTED_VALUE"""),"전투쥐")</f>
        <v>전투쥐</v>
      </c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27" t="s">
        <v>3349</v>
      </c>
      <c r="B774" s="28" t="s">
        <v>3350</v>
      </c>
      <c r="C774" s="27" t="s">
        <v>3351</v>
      </c>
      <c r="D774" s="27">
        <v>5.0</v>
      </c>
      <c r="E774" s="27" t="s">
        <v>3352</v>
      </c>
      <c r="F774" s="27">
        <v>3.0</v>
      </c>
      <c r="G774" s="29">
        <v>45735.94861111111</v>
      </c>
      <c r="H774" s="27" t="s">
        <v>2888</v>
      </c>
      <c r="I774" s="18"/>
      <c r="J774" s="25" t="str">
        <f>IFERROR(__xludf.DUMMYFUNCTION("ARRAYFORMULA(REGEXEXTRACT(SPLIT(C774, ""&lt;br&gt;""), ""([가-힣A-Za-z]+)""))"),"깡패")</f>
        <v>깡패</v>
      </c>
      <c r="K774" s="26" t="str">
        <f>IFERROR(__xludf.DUMMYFUNCTION("""COMPUTED_VALUE"""),"테리")</f>
        <v>테리</v>
      </c>
      <c r="L774" s="26" t="str">
        <f>IFERROR(__xludf.DUMMYFUNCTION("""COMPUTED_VALUE"""),"한메")</f>
        <v>한메</v>
      </c>
      <c r="M774" s="26" t="str">
        <f>IFERROR(__xludf.DUMMYFUNCTION("""COMPUTED_VALUE"""),"노픽업")</f>
        <v>노픽업</v>
      </c>
      <c r="N774" s="26" t="str">
        <f>IFERROR(__xludf.DUMMYFUNCTION("ARRAYFORMULA(REGEXEXTRACT(SPLIT(E774, ""&lt;br&gt;""), ""([가-힣A-Za-z]+)""))"),"ACDC")</f>
        <v>ACDC</v>
      </c>
      <c r="O774" s="26" t="str">
        <f>IFERROR(__xludf.DUMMYFUNCTION("""COMPUTED_VALUE"""),"신형만")</f>
        <v>신형만</v>
      </c>
      <c r="P774" s="26" t="str">
        <f>IFERROR(__xludf.DUMMYFUNCTION("""COMPUTED_VALUE"""),"솔")</f>
        <v>솔</v>
      </c>
      <c r="Q774" s="26" t="str">
        <f>IFERROR(__xludf.DUMMYFUNCTION("""COMPUTED_VALUE"""),"민우")</f>
        <v>민우</v>
      </c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27" t="s">
        <v>3353</v>
      </c>
      <c r="B775" s="28" t="s">
        <v>3354</v>
      </c>
      <c r="C775" s="27" t="s">
        <v>3355</v>
      </c>
      <c r="D775" s="27">
        <v>5.0</v>
      </c>
      <c r="E775" s="27" t="s">
        <v>3356</v>
      </c>
      <c r="F775" s="27">
        <v>1.0</v>
      </c>
      <c r="G775" s="29">
        <v>45735.91875</v>
      </c>
      <c r="H775" s="27" t="s">
        <v>2888</v>
      </c>
      <c r="I775" s="18"/>
      <c r="J775" s="25" t="str">
        <f>IFERROR(__xludf.DUMMYFUNCTION("ARRAYFORMULA(REGEXEXTRACT(SPLIT(C775, ""&lt;br&gt;""), ""([가-힣A-Za-z]+)""))"),"민우")</f>
        <v>민우</v>
      </c>
      <c r="K775" s="26" t="str">
        <f>IFERROR(__xludf.DUMMYFUNCTION("""COMPUTED_VALUE"""),"신형만")</f>
        <v>신형만</v>
      </c>
      <c r="L775" s="26" t="str">
        <f>IFERROR(__xludf.DUMMYFUNCTION("""COMPUTED_VALUE"""),"깡패")</f>
        <v>깡패</v>
      </c>
      <c r="M775" s="26" t="str">
        <f>IFERROR(__xludf.DUMMYFUNCTION("""COMPUTED_VALUE"""),"한메")</f>
        <v>한메</v>
      </c>
      <c r="N775" s="26" t="str">
        <f>IFERROR(__xludf.DUMMYFUNCTION("ARRAYFORMULA(REGEXEXTRACT(SPLIT(E775, ""&lt;br&gt;""), ""([가-힣A-Za-z]+)""))"),"ACDC")</f>
        <v>ACDC</v>
      </c>
      <c r="O775" s="26" t="str">
        <f>IFERROR(__xludf.DUMMYFUNCTION("""COMPUTED_VALUE"""),"솔")</f>
        <v>솔</v>
      </c>
      <c r="P775" s="26" t="str">
        <f>IFERROR(__xludf.DUMMYFUNCTION("""COMPUTED_VALUE"""),"테리")</f>
        <v>테리</v>
      </c>
      <c r="Q775" s="26" t="str">
        <f>IFERROR(__xludf.DUMMYFUNCTION("""COMPUTED_VALUE"""),"노픽업")</f>
        <v>노픽업</v>
      </c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27" t="s">
        <v>3357</v>
      </c>
      <c r="B776" s="28" t="s">
        <v>3358</v>
      </c>
      <c r="C776" s="27" t="s">
        <v>3359</v>
      </c>
      <c r="D776" s="27">
        <v>5.0</v>
      </c>
      <c r="E776" s="27" t="s">
        <v>3360</v>
      </c>
      <c r="F776" s="27">
        <v>1.0</v>
      </c>
      <c r="G776" s="29">
        <v>45735.89375</v>
      </c>
      <c r="H776" s="27" t="s">
        <v>2888</v>
      </c>
      <c r="I776" s="18"/>
      <c r="J776" s="25" t="str">
        <f>IFERROR(__xludf.DUMMYFUNCTION("ARRAYFORMULA(REGEXEXTRACT(SPLIT(C776, ""&lt;br&gt;""), ""([가-힣A-Za-z]+)""))"),"민우")</f>
        <v>민우</v>
      </c>
      <c r="K776" s="26" t="str">
        <f>IFERROR(__xludf.DUMMYFUNCTION("""COMPUTED_VALUE"""),"테리")</f>
        <v>테리</v>
      </c>
      <c r="L776" s="26" t="str">
        <f>IFERROR(__xludf.DUMMYFUNCTION("""COMPUTED_VALUE"""),"ACDC")</f>
        <v>ACDC</v>
      </c>
      <c r="M776" s="26" t="str">
        <f>IFERROR(__xludf.DUMMYFUNCTION("""COMPUTED_VALUE"""),"신형만")</f>
        <v>신형만</v>
      </c>
      <c r="N776" s="26" t="str">
        <f>IFERROR(__xludf.DUMMYFUNCTION("ARRAYFORMULA(REGEXEXTRACT(SPLIT(E776, ""&lt;br&gt;""), ""([가-힣A-Za-z]+)""))"),"깡패")</f>
        <v>깡패</v>
      </c>
      <c r="O776" s="26" t="str">
        <f>IFERROR(__xludf.DUMMYFUNCTION("""COMPUTED_VALUE"""),"솔")</f>
        <v>솔</v>
      </c>
      <c r="P776" s="26" t="str">
        <f>IFERROR(__xludf.DUMMYFUNCTION("""COMPUTED_VALUE"""),"노픽업")</f>
        <v>노픽업</v>
      </c>
      <c r="Q776" s="26" t="str">
        <f>IFERROR(__xludf.DUMMYFUNCTION("""COMPUTED_VALUE"""),"한메")</f>
        <v>한메</v>
      </c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27" t="s">
        <v>3361</v>
      </c>
      <c r="B777" s="28" t="s">
        <v>3362</v>
      </c>
      <c r="C777" s="27" t="s">
        <v>3363</v>
      </c>
      <c r="D777" s="27">
        <v>5.0</v>
      </c>
      <c r="E777" s="27" t="s">
        <v>3364</v>
      </c>
      <c r="F777" s="27">
        <v>3.0</v>
      </c>
      <c r="G777" s="29">
        <v>45734.90555555555</v>
      </c>
      <c r="H777" s="27" t="s">
        <v>2888</v>
      </c>
      <c r="I777" s="18"/>
      <c r="J777" s="25" t="str">
        <f>IFERROR(__xludf.DUMMYFUNCTION("ARRAYFORMULA(REGEXEXTRACT(SPLIT(C777, ""&lt;br&gt;""), ""([가-힣A-Za-z]+)""))"),"민우")</f>
        <v>민우</v>
      </c>
      <c r="K777" s="26" t="str">
        <f>IFERROR(__xludf.DUMMYFUNCTION("""COMPUTED_VALUE"""),"넘버")</f>
        <v>넘버</v>
      </c>
      <c r="L777" s="26" t="str">
        <f>IFERROR(__xludf.DUMMYFUNCTION("""COMPUTED_VALUE"""),"ACDC")</f>
        <v>ACDC</v>
      </c>
      <c r="M777" s="26" t="str">
        <f>IFERROR(__xludf.DUMMYFUNCTION("""COMPUTED_VALUE"""),"한메")</f>
        <v>한메</v>
      </c>
      <c r="N777" s="26" t="str">
        <f>IFERROR(__xludf.DUMMYFUNCTION("ARRAYFORMULA(REGEXEXTRACT(SPLIT(E777, ""&lt;br&gt;""), ""([가-힣A-Za-z]+)""))"),"테리")</f>
        <v>테리</v>
      </c>
      <c r="O777" s="26" t="str">
        <f>IFERROR(__xludf.DUMMYFUNCTION("""COMPUTED_VALUE"""),"노픽업")</f>
        <v>노픽업</v>
      </c>
      <c r="P777" s="26" t="str">
        <f>IFERROR(__xludf.DUMMYFUNCTION("""COMPUTED_VALUE"""),"전투쥐")</f>
        <v>전투쥐</v>
      </c>
      <c r="Q777" s="26" t="str">
        <f>IFERROR(__xludf.DUMMYFUNCTION("""COMPUTED_VALUE"""),"솔")</f>
        <v>솔</v>
      </c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27" t="s">
        <v>3365</v>
      </c>
      <c r="B778" s="28" t="s">
        <v>3366</v>
      </c>
      <c r="C778" s="27" t="s">
        <v>3367</v>
      </c>
      <c r="D778" s="27">
        <v>5.0</v>
      </c>
      <c r="E778" s="27" t="s">
        <v>3368</v>
      </c>
      <c r="F778" s="27">
        <v>2.0</v>
      </c>
      <c r="G778" s="29">
        <v>45734.87847222222</v>
      </c>
      <c r="H778" s="27" t="s">
        <v>2888</v>
      </c>
      <c r="I778" s="18"/>
      <c r="J778" s="25" t="str">
        <f>IFERROR(__xludf.DUMMYFUNCTION("ARRAYFORMULA(REGEXEXTRACT(SPLIT(C778, ""&lt;br&gt;""), ""([가-힣A-Za-z]+)""))"),"넘버")</f>
        <v>넘버</v>
      </c>
      <c r="K778" s="26" t="str">
        <f>IFERROR(__xludf.DUMMYFUNCTION("""COMPUTED_VALUE"""),"테리")</f>
        <v>테리</v>
      </c>
      <c r="L778" s="26" t="str">
        <f>IFERROR(__xludf.DUMMYFUNCTION("""COMPUTED_VALUE"""),"한메")</f>
        <v>한메</v>
      </c>
      <c r="M778" s="26" t="str">
        <f>IFERROR(__xludf.DUMMYFUNCTION("""COMPUTED_VALUE"""),"전투쥐")</f>
        <v>전투쥐</v>
      </c>
      <c r="N778" s="26" t="str">
        <f>IFERROR(__xludf.DUMMYFUNCTION("ARRAYFORMULA(REGEXEXTRACT(SPLIT(E778, ""&lt;br&gt;""), ""([가-힣A-Za-z]+)""))"),"ACDC")</f>
        <v>ACDC</v>
      </c>
      <c r="O778" s="26" t="str">
        <f>IFERROR(__xludf.DUMMYFUNCTION("""COMPUTED_VALUE"""),"솔")</f>
        <v>솔</v>
      </c>
      <c r="P778" s="26" t="str">
        <f>IFERROR(__xludf.DUMMYFUNCTION("""COMPUTED_VALUE"""),"민우")</f>
        <v>민우</v>
      </c>
      <c r="Q778" s="26" t="str">
        <f>IFERROR(__xludf.DUMMYFUNCTION("""COMPUTED_VALUE"""),"노픽업")</f>
        <v>노픽업</v>
      </c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27" t="s">
        <v>3369</v>
      </c>
      <c r="B779" s="28" t="s">
        <v>3370</v>
      </c>
      <c r="C779" s="27" t="s">
        <v>3371</v>
      </c>
      <c r="D779" s="27">
        <v>5.0</v>
      </c>
      <c r="E779" s="27" t="s">
        <v>3372</v>
      </c>
      <c r="F779" s="27">
        <v>0.0</v>
      </c>
      <c r="G779" s="29">
        <v>45734.856944444444</v>
      </c>
      <c r="H779" s="27" t="s">
        <v>2888</v>
      </c>
      <c r="I779" s="18"/>
      <c r="J779" s="25" t="str">
        <f>IFERROR(__xludf.DUMMYFUNCTION("ARRAYFORMULA(REGEXEXTRACT(SPLIT(C779, ""&lt;br&gt;""), ""([가-힣A-Za-z]+)""))"),"민우")</f>
        <v>민우</v>
      </c>
      <c r="K779" s="26" t="str">
        <f>IFERROR(__xludf.DUMMYFUNCTION("""COMPUTED_VALUE"""),"테리")</f>
        <v>테리</v>
      </c>
      <c r="L779" s="26" t="str">
        <f>IFERROR(__xludf.DUMMYFUNCTION("""COMPUTED_VALUE"""),"넘버")</f>
        <v>넘버</v>
      </c>
      <c r="M779" s="26" t="str">
        <f>IFERROR(__xludf.DUMMYFUNCTION("""COMPUTED_VALUE"""),"노픽업")</f>
        <v>노픽업</v>
      </c>
      <c r="N779" s="26" t="str">
        <f>IFERROR(__xludf.DUMMYFUNCTION("ARRAYFORMULA(REGEXEXTRACT(SPLIT(E779, ""&lt;br&gt;""), ""([가-힣A-Za-z]+)""))"),"전투쥐")</f>
        <v>전투쥐</v>
      </c>
      <c r="O779" s="26" t="str">
        <f>IFERROR(__xludf.DUMMYFUNCTION("""COMPUTED_VALUE"""),"솔")</f>
        <v>솔</v>
      </c>
      <c r="P779" s="26" t="str">
        <f>IFERROR(__xludf.DUMMYFUNCTION("""COMPUTED_VALUE"""),"한메")</f>
        <v>한메</v>
      </c>
      <c r="Q779" s="26" t="str">
        <f>IFERROR(__xludf.DUMMYFUNCTION("""COMPUTED_VALUE"""),"ACDC")</f>
        <v>ACDC</v>
      </c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27" t="s">
        <v>3373</v>
      </c>
      <c r="B780" s="28" t="s">
        <v>3374</v>
      </c>
      <c r="C780" s="27" t="s">
        <v>3375</v>
      </c>
      <c r="D780" s="27">
        <v>5.0</v>
      </c>
      <c r="E780" s="27" t="s">
        <v>3376</v>
      </c>
      <c r="F780" s="27">
        <v>4.0</v>
      </c>
      <c r="G780" s="29">
        <v>45734.018055555556</v>
      </c>
      <c r="H780" s="27" t="s">
        <v>2888</v>
      </c>
      <c r="I780" s="18"/>
      <c r="J780" s="25" t="str">
        <f>IFERROR(__xludf.DUMMYFUNCTION("ARRAYFORMULA(REGEXEXTRACT(SPLIT(C780, ""&lt;br&gt;""), ""([가-힣A-Za-z]+)""))"),"웅")</f>
        <v>웅</v>
      </c>
      <c r="K780" s="26" t="str">
        <f>IFERROR(__xludf.DUMMYFUNCTION("""COMPUTED_VALUE"""),"신형만")</f>
        <v>신형만</v>
      </c>
      <c r="L780" s="26" t="str">
        <f>IFERROR(__xludf.DUMMYFUNCTION("""COMPUTED_VALUE"""),"테리")</f>
        <v>테리</v>
      </c>
      <c r="M780" s="26" t="str">
        <f>IFERROR(__xludf.DUMMYFUNCTION("""COMPUTED_VALUE"""),"한메")</f>
        <v>한메</v>
      </c>
      <c r="N780" s="26" t="str">
        <f>IFERROR(__xludf.DUMMYFUNCTION("ARRAYFORMULA(REGEXEXTRACT(SPLIT(E780, ""&lt;br&gt;""), ""([가-힣A-Za-z]+)""))"),"깡패")</f>
        <v>깡패</v>
      </c>
      <c r="O780" s="26" t="str">
        <f>IFERROR(__xludf.DUMMYFUNCTION("""COMPUTED_VALUE"""),"넘버")</f>
        <v>넘버</v>
      </c>
      <c r="P780" s="26" t="str">
        <f>IFERROR(__xludf.DUMMYFUNCTION("""COMPUTED_VALUE"""),"ACDC")</f>
        <v>ACDC</v>
      </c>
      <c r="Q780" s="26" t="str">
        <f>IFERROR(__xludf.DUMMYFUNCTION("""COMPUTED_VALUE"""),"노픽업")</f>
        <v>노픽업</v>
      </c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27" t="s">
        <v>3377</v>
      </c>
      <c r="B781" s="28" t="s">
        <v>3378</v>
      </c>
      <c r="C781" s="27" t="s">
        <v>3379</v>
      </c>
      <c r="D781" s="27">
        <v>5.0</v>
      </c>
      <c r="E781" s="27" t="s">
        <v>3380</v>
      </c>
      <c r="F781" s="27">
        <v>3.0</v>
      </c>
      <c r="G781" s="29">
        <v>45733.87430555555</v>
      </c>
      <c r="H781" s="27" t="s">
        <v>2888</v>
      </c>
      <c r="I781" s="18"/>
      <c r="J781" s="25" t="str">
        <f>IFERROR(__xludf.DUMMYFUNCTION("ARRAYFORMULA(REGEXEXTRACT(SPLIT(C781, ""&lt;br&gt;""), ""([가-힣A-Za-z]+)""))"),"넘버")</f>
        <v>넘버</v>
      </c>
      <c r="K781" s="26" t="str">
        <f>IFERROR(__xludf.DUMMYFUNCTION("""COMPUTED_VALUE"""),"깡패")</f>
        <v>깡패</v>
      </c>
      <c r="L781" s="26" t="str">
        <f>IFERROR(__xludf.DUMMYFUNCTION("""COMPUTED_VALUE"""),"한메")</f>
        <v>한메</v>
      </c>
      <c r="M781" s="26" t="str">
        <f>IFERROR(__xludf.DUMMYFUNCTION("""COMPUTED_VALUE"""),"덴")</f>
        <v>덴</v>
      </c>
      <c r="N781" s="26" t="str">
        <f>IFERROR(__xludf.DUMMYFUNCTION("ARRAYFORMULA(REGEXEXTRACT(SPLIT(E781, ""&lt;br&gt;""), ""([가-힣A-Za-z]+)""))"),"솔")</f>
        <v>솔</v>
      </c>
      <c r="O781" s="26" t="str">
        <f>IFERROR(__xludf.DUMMYFUNCTION("""COMPUTED_VALUE"""),"테리")</f>
        <v>테리</v>
      </c>
      <c r="P781" s="26" t="str">
        <f>IFERROR(__xludf.DUMMYFUNCTION("""COMPUTED_VALUE"""),"유즈")</f>
        <v>유즈</v>
      </c>
      <c r="Q781" s="26" t="str">
        <f>IFERROR(__xludf.DUMMYFUNCTION("""COMPUTED_VALUE"""),"신형만")</f>
        <v>신형만</v>
      </c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27" t="s">
        <v>3381</v>
      </c>
      <c r="B782" s="28" t="s">
        <v>3382</v>
      </c>
      <c r="C782" s="27" t="s">
        <v>3383</v>
      </c>
      <c r="D782" s="27">
        <v>5.0</v>
      </c>
      <c r="E782" s="27" t="s">
        <v>3384</v>
      </c>
      <c r="F782" s="27">
        <v>2.0</v>
      </c>
      <c r="G782" s="29">
        <v>45731.07986111111</v>
      </c>
      <c r="H782" s="27" t="s">
        <v>2888</v>
      </c>
      <c r="I782" s="18"/>
      <c r="J782" s="25" t="str">
        <f>IFERROR(__xludf.DUMMYFUNCTION("ARRAYFORMULA(REGEXEXTRACT(SPLIT(C782, ""&lt;br&gt;""), ""([가-힣A-Za-z]+)""))"),"신형만")</f>
        <v>신형만</v>
      </c>
      <c r="K782" s="26" t="str">
        <f>IFERROR(__xludf.DUMMYFUNCTION("""COMPUTED_VALUE"""),"참치")</f>
        <v>참치</v>
      </c>
      <c r="L782" s="26" t="str">
        <f>IFERROR(__xludf.DUMMYFUNCTION("""COMPUTED_VALUE"""),"테리")</f>
        <v>테리</v>
      </c>
      <c r="M782" s="26" t="str">
        <f>IFERROR(__xludf.DUMMYFUNCTION("""COMPUTED_VALUE"""),"유망")</f>
        <v>유망</v>
      </c>
      <c r="N782" s="26" t="str">
        <f>IFERROR(__xludf.DUMMYFUNCTION("ARRAYFORMULA(REGEXEXTRACT(SPLIT(E782, ""&lt;br&gt;""), ""([가-힣A-Za-z]+)""))"),"원")</f>
        <v>원</v>
      </c>
      <c r="O782" s="26" t="str">
        <f>IFERROR(__xludf.DUMMYFUNCTION("""COMPUTED_VALUE"""),"ACDC")</f>
        <v>ACDC</v>
      </c>
      <c r="P782" s="26" t="str">
        <f>IFERROR(__xludf.DUMMYFUNCTION("""COMPUTED_VALUE"""),"솔")</f>
        <v>솔</v>
      </c>
      <c r="Q782" s="26" t="str">
        <f>IFERROR(__xludf.DUMMYFUNCTION("""COMPUTED_VALUE"""),"넘버")</f>
        <v>넘버</v>
      </c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27" t="s">
        <v>3385</v>
      </c>
      <c r="B783" s="28" t="s">
        <v>3386</v>
      </c>
      <c r="C783" s="27" t="s">
        <v>3387</v>
      </c>
      <c r="D783" s="27">
        <v>5.0</v>
      </c>
      <c r="E783" s="27" t="s">
        <v>3388</v>
      </c>
      <c r="F783" s="27">
        <v>3.0</v>
      </c>
      <c r="G783" s="29">
        <v>45731.061111111114</v>
      </c>
      <c r="H783" s="27" t="s">
        <v>2888</v>
      </c>
      <c r="I783" s="18"/>
      <c r="J783" s="25" t="str">
        <f>IFERROR(__xludf.DUMMYFUNCTION("ARRAYFORMULA(REGEXEXTRACT(SPLIT(C783, ""&lt;br&gt;""), ""([가-힣A-Za-z]+)""))"),"참치")</f>
        <v>참치</v>
      </c>
      <c r="K783" s="26" t="str">
        <f>IFERROR(__xludf.DUMMYFUNCTION("""COMPUTED_VALUE"""),"원")</f>
        <v>원</v>
      </c>
      <c r="L783" s="26" t="str">
        <f>IFERROR(__xludf.DUMMYFUNCTION("""COMPUTED_VALUE"""),"솔")</f>
        <v>솔</v>
      </c>
      <c r="M783" s="26" t="str">
        <f>IFERROR(__xludf.DUMMYFUNCTION("""COMPUTED_VALUE"""),"신형만")</f>
        <v>신형만</v>
      </c>
      <c r="N783" s="26" t="str">
        <f>IFERROR(__xludf.DUMMYFUNCTION("ARRAYFORMULA(REGEXEXTRACT(SPLIT(E783, ""&lt;br&gt;""), ""([가-힣A-Za-z]+)""))"),"ACDC")</f>
        <v>ACDC</v>
      </c>
      <c r="O783" s="26" t="str">
        <f>IFERROR(__xludf.DUMMYFUNCTION("""COMPUTED_VALUE"""),"넘버")</f>
        <v>넘버</v>
      </c>
      <c r="P783" s="26" t="str">
        <f>IFERROR(__xludf.DUMMYFUNCTION("""COMPUTED_VALUE"""),"테리")</f>
        <v>테리</v>
      </c>
      <c r="Q783" s="26" t="str">
        <f>IFERROR(__xludf.DUMMYFUNCTION("""COMPUTED_VALUE"""),"유망")</f>
        <v>유망</v>
      </c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27" t="s">
        <v>3389</v>
      </c>
      <c r="B784" s="28" t="s">
        <v>3390</v>
      </c>
      <c r="C784" s="27" t="s">
        <v>3391</v>
      </c>
      <c r="D784" s="27">
        <v>5.0</v>
      </c>
      <c r="E784" s="27" t="s">
        <v>3392</v>
      </c>
      <c r="F784" s="27">
        <v>0.0</v>
      </c>
      <c r="G784" s="29">
        <v>45731.029861111114</v>
      </c>
      <c r="H784" s="27" t="s">
        <v>2888</v>
      </c>
      <c r="I784" s="18"/>
      <c r="J784" s="25" t="str">
        <f>IFERROR(__xludf.DUMMYFUNCTION("ARRAYFORMULA(REGEXEXTRACT(SPLIT(C784, ""&lt;br&gt;""), ""([가-힣A-Za-z]+)""))"),"원")</f>
        <v>원</v>
      </c>
      <c r="K784" s="26" t="str">
        <f>IFERROR(__xludf.DUMMYFUNCTION("""COMPUTED_VALUE"""),"넘버")</f>
        <v>넘버</v>
      </c>
      <c r="L784" s="26" t="str">
        <f>IFERROR(__xludf.DUMMYFUNCTION("""COMPUTED_VALUE"""),"참치")</f>
        <v>참치</v>
      </c>
      <c r="M784" s="26" t="str">
        <f>IFERROR(__xludf.DUMMYFUNCTION("""COMPUTED_VALUE"""),"민우")</f>
        <v>민우</v>
      </c>
      <c r="N784" s="26" t="str">
        <f>IFERROR(__xludf.DUMMYFUNCTION("ARRAYFORMULA(REGEXEXTRACT(SPLIT(E784, ""&lt;br&gt;""), ""([가-힣A-Za-z]+)""))"),"신형만")</f>
        <v>신형만</v>
      </c>
      <c r="O784" s="26" t="str">
        <f>IFERROR(__xludf.DUMMYFUNCTION("""COMPUTED_VALUE"""),"ACDC")</f>
        <v>ACDC</v>
      </c>
      <c r="P784" s="26" t="str">
        <f>IFERROR(__xludf.DUMMYFUNCTION("""COMPUTED_VALUE"""),"솔")</f>
        <v>솔</v>
      </c>
      <c r="Q784" s="26" t="str">
        <f>IFERROR(__xludf.DUMMYFUNCTION("""COMPUTED_VALUE"""),"유망")</f>
        <v>유망</v>
      </c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27" t="s">
        <v>3393</v>
      </c>
      <c r="B785" s="28" t="s">
        <v>3394</v>
      </c>
      <c r="C785" s="27" t="s">
        <v>3395</v>
      </c>
      <c r="D785" s="27">
        <v>5.0</v>
      </c>
      <c r="E785" s="27" t="s">
        <v>3396</v>
      </c>
      <c r="F785" s="27">
        <v>3.0</v>
      </c>
      <c r="G785" s="29">
        <v>45731.01597222222</v>
      </c>
      <c r="H785" s="27" t="s">
        <v>2888</v>
      </c>
      <c r="I785" s="18"/>
      <c r="J785" s="25" t="str">
        <f>IFERROR(__xludf.DUMMYFUNCTION("ARRAYFORMULA(REGEXEXTRACT(SPLIT(C785, ""&lt;br&gt;""), ""([가-힣A-Za-z]+)""))"),"유망")</f>
        <v>유망</v>
      </c>
      <c r="K785" s="26" t="str">
        <f>IFERROR(__xludf.DUMMYFUNCTION("""COMPUTED_VALUE"""),"솔")</f>
        <v>솔</v>
      </c>
      <c r="L785" s="26" t="str">
        <f>IFERROR(__xludf.DUMMYFUNCTION("""COMPUTED_VALUE"""),"민우")</f>
        <v>민우</v>
      </c>
      <c r="M785" s="26" t="str">
        <f>IFERROR(__xludf.DUMMYFUNCTION("""COMPUTED_VALUE"""),"넘버")</f>
        <v>넘버</v>
      </c>
      <c r="N785" s="26" t="str">
        <f>IFERROR(__xludf.DUMMYFUNCTION("ARRAYFORMULA(REGEXEXTRACT(SPLIT(E785, ""&lt;br&gt;""), ""([가-힣A-Za-z]+)""))"),"ACDC")</f>
        <v>ACDC</v>
      </c>
      <c r="O785" s="26" t="str">
        <f>IFERROR(__xludf.DUMMYFUNCTION("""COMPUTED_VALUE"""),"원")</f>
        <v>원</v>
      </c>
      <c r="P785" s="26" t="str">
        <f>IFERROR(__xludf.DUMMYFUNCTION("""COMPUTED_VALUE"""),"참치")</f>
        <v>참치</v>
      </c>
      <c r="Q785" s="26" t="str">
        <f>IFERROR(__xludf.DUMMYFUNCTION("""COMPUTED_VALUE"""),"신형만")</f>
        <v>신형만</v>
      </c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27" t="s">
        <v>3397</v>
      </c>
      <c r="B786" s="28" t="s">
        <v>3398</v>
      </c>
      <c r="C786" s="27" t="s">
        <v>3399</v>
      </c>
      <c r="D786" s="27">
        <v>5.0</v>
      </c>
      <c r="E786" s="27" t="s">
        <v>3400</v>
      </c>
      <c r="F786" s="27">
        <v>3.0</v>
      </c>
      <c r="G786" s="29">
        <v>45730.98472222222</v>
      </c>
      <c r="H786" s="27" t="s">
        <v>2888</v>
      </c>
      <c r="I786" s="18"/>
      <c r="J786" s="25" t="str">
        <f>IFERROR(__xludf.DUMMYFUNCTION("ARRAYFORMULA(REGEXEXTRACT(SPLIT(C786, ""&lt;br&gt;""), ""([가-힣A-Za-z]+)""))"),"신형만")</f>
        <v>신형만</v>
      </c>
      <c r="K786" s="26" t="str">
        <f>IFERROR(__xludf.DUMMYFUNCTION("""COMPUTED_VALUE"""),"솔")</f>
        <v>솔</v>
      </c>
      <c r="L786" s="26" t="str">
        <f>IFERROR(__xludf.DUMMYFUNCTION("""COMPUTED_VALUE"""),"참치")</f>
        <v>참치</v>
      </c>
      <c r="M786" s="26" t="str">
        <f>IFERROR(__xludf.DUMMYFUNCTION("""COMPUTED_VALUE"""),"민우")</f>
        <v>민우</v>
      </c>
      <c r="N786" s="26" t="str">
        <f>IFERROR(__xludf.DUMMYFUNCTION("ARRAYFORMULA(REGEXEXTRACT(SPLIT(E786, ""&lt;br&gt;""), ""([가-힣A-Za-z]+)""))"),"ACDC")</f>
        <v>ACDC</v>
      </c>
      <c r="O786" s="26" t="str">
        <f>IFERROR(__xludf.DUMMYFUNCTION("""COMPUTED_VALUE"""),"규식")</f>
        <v>규식</v>
      </c>
      <c r="P786" s="26" t="str">
        <f>IFERROR(__xludf.DUMMYFUNCTION("""COMPUTED_VALUE"""),"유망")</f>
        <v>유망</v>
      </c>
      <c r="Q786" s="26" t="str">
        <f>IFERROR(__xludf.DUMMYFUNCTION("""COMPUTED_VALUE"""),"원")</f>
        <v>원</v>
      </c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27" t="s">
        <v>3401</v>
      </c>
      <c r="B787" s="28" t="s">
        <v>3402</v>
      </c>
      <c r="C787" s="27" t="s">
        <v>3403</v>
      </c>
      <c r="D787" s="27">
        <v>5.0</v>
      </c>
      <c r="E787" s="27" t="s">
        <v>3404</v>
      </c>
      <c r="F787" s="27">
        <v>1.0</v>
      </c>
      <c r="G787" s="29">
        <v>45721.00555555556</v>
      </c>
      <c r="H787" s="27" t="s">
        <v>3405</v>
      </c>
      <c r="I787" s="18"/>
      <c r="J787" s="25" t="str">
        <f>IFERROR(__xludf.DUMMYFUNCTION("ARRAYFORMULA(REGEXEXTRACT(SPLIT(C787, ""&lt;br&gt;""), ""([가-힣A-Za-z]+)""))"),"민우")</f>
        <v>민우</v>
      </c>
      <c r="K787" s="26" t="str">
        <f>IFERROR(__xludf.DUMMYFUNCTION("""COMPUTED_VALUE"""),"노인")</f>
        <v>노인</v>
      </c>
      <c r="L787" s="26" t="str">
        <f>IFERROR(__xludf.DUMMYFUNCTION("""COMPUTED_VALUE"""),"테리")</f>
        <v>테리</v>
      </c>
      <c r="M787" s="26" t="str">
        <f>IFERROR(__xludf.DUMMYFUNCTION("""COMPUTED_VALUE"""),"유망")</f>
        <v>유망</v>
      </c>
      <c r="N787" s="26" t="str">
        <f>IFERROR(__xludf.DUMMYFUNCTION("ARRAYFORMULA(REGEXEXTRACT(SPLIT(E787, ""&lt;br&gt;""), ""([가-힣A-Za-z]+)""))"),"신형만")</f>
        <v>신형만</v>
      </c>
      <c r="O787" s="26" t="str">
        <f>IFERROR(__xludf.DUMMYFUNCTION("""COMPUTED_VALUE"""),"태식")</f>
        <v>태식</v>
      </c>
      <c r="P787" s="26" t="str">
        <f>IFERROR(__xludf.DUMMYFUNCTION("""COMPUTED_VALUE"""),"넘버")</f>
        <v>넘버</v>
      </c>
      <c r="Q787" s="26" t="str">
        <f>IFERROR(__xludf.DUMMYFUNCTION("""COMPUTED_VALUE"""),"깡패")</f>
        <v>깡패</v>
      </c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27" t="s">
        <v>3406</v>
      </c>
      <c r="B788" s="28" t="s">
        <v>3407</v>
      </c>
      <c r="C788" s="27" t="s">
        <v>3408</v>
      </c>
      <c r="D788" s="27">
        <v>5.0</v>
      </c>
      <c r="E788" s="27" t="s">
        <v>3409</v>
      </c>
      <c r="F788" s="27">
        <v>3.0</v>
      </c>
      <c r="G788" s="29">
        <v>45720.98125</v>
      </c>
      <c r="H788" s="27" t="s">
        <v>3405</v>
      </c>
      <c r="I788" s="18"/>
      <c r="J788" s="25" t="str">
        <f>IFERROR(__xludf.DUMMYFUNCTION("ARRAYFORMULA(REGEXEXTRACT(SPLIT(C788, ""&lt;br&gt;""), ""([가-힣A-Za-z]+)""))"),"재우")</f>
        <v>재우</v>
      </c>
      <c r="K788" s="26" t="str">
        <f>IFERROR(__xludf.DUMMYFUNCTION("""COMPUTED_VALUE"""),"테리")</f>
        <v>테리</v>
      </c>
      <c r="L788" s="26" t="str">
        <f>IFERROR(__xludf.DUMMYFUNCTION("""COMPUTED_VALUE"""),"한메")</f>
        <v>한메</v>
      </c>
      <c r="M788" s="26" t="str">
        <f>IFERROR(__xludf.DUMMYFUNCTION("""COMPUTED_VALUE"""),"유망")</f>
        <v>유망</v>
      </c>
      <c r="N788" s="26" t="str">
        <f>IFERROR(__xludf.DUMMYFUNCTION("ARRAYFORMULA(REGEXEXTRACT(SPLIT(E788, ""&lt;br&gt;""), ""([가-힣A-Za-z]+)""))"),"태식")</f>
        <v>태식</v>
      </c>
      <c r="O788" s="26" t="str">
        <f>IFERROR(__xludf.DUMMYFUNCTION("""COMPUTED_VALUE"""),"노인")</f>
        <v>노인</v>
      </c>
      <c r="P788" s="26" t="str">
        <f>IFERROR(__xludf.DUMMYFUNCTION("""COMPUTED_VALUE"""),"신형만")</f>
        <v>신형만</v>
      </c>
      <c r="Q788" s="26" t="str">
        <f>IFERROR(__xludf.DUMMYFUNCTION("""COMPUTED_VALUE"""),"깡패")</f>
        <v>깡패</v>
      </c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27" t="s">
        <v>3410</v>
      </c>
      <c r="B789" s="28" t="s">
        <v>3411</v>
      </c>
      <c r="C789" s="27" t="s">
        <v>3412</v>
      </c>
      <c r="D789" s="27">
        <v>5.0</v>
      </c>
      <c r="E789" s="27" t="s">
        <v>3413</v>
      </c>
      <c r="F789" s="27">
        <v>1.0</v>
      </c>
      <c r="G789" s="29">
        <v>45720.94652777778</v>
      </c>
      <c r="H789" s="27" t="s">
        <v>3405</v>
      </c>
      <c r="I789" s="18"/>
      <c r="J789" s="25" t="str">
        <f>IFERROR(__xludf.DUMMYFUNCTION("ARRAYFORMULA(REGEXEXTRACT(SPLIT(C789, ""&lt;br&gt;""), ""([가-힣A-Za-z]+)""))"),"신형만")</f>
        <v>신형만</v>
      </c>
      <c r="K789" s="26" t="str">
        <f>IFERROR(__xludf.DUMMYFUNCTION("""COMPUTED_VALUE"""),"테리")</f>
        <v>테리</v>
      </c>
      <c r="L789" s="26" t="str">
        <f>IFERROR(__xludf.DUMMYFUNCTION("""COMPUTED_VALUE"""),"노인")</f>
        <v>노인</v>
      </c>
      <c r="M789" s="26" t="str">
        <f>IFERROR(__xludf.DUMMYFUNCTION("""COMPUTED_VALUE"""),"한메")</f>
        <v>한메</v>
      </c>
      <c r="N789" s="26" t="str">
        <f>IFERROR(__xludf.DUMMYFUNCTION("ARRAYFORMULA(REGEXEXTRACT(SPLIT(E789, ""&lt;br&gt;""), ""([가-힣A-Za-z]+)""))"),"원")</f>
        <v>원</v>
      </c>
      <c r="O789" s="26" t="str">
        <f>IFERROR(__xludf.DUMMYFUNCTION("""COMPUTED_VALUE"""),"재우")</f>
        <v>재우</v>
      </c>
      <c r="P789" s="26" t="str">
        <f>IFERROR(__xludf.DUMMYFUNCTION("""COMPUTED_VALUE"""),"태식")</f>
        <v>태식</v>
      </c>
      <c r="Q789" s="26" t="str">
        <f>IFERROR(__xludf.DUMMYFUNCTION("""COMPUTED_VALUE"""),"깡패")</f>
        <v>깡패</v>
      </c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27" t="s">
        <v>3414</v>
      </c>
      <c r="B790" s="28" t="s">
        <v>3415</v>
      </c>
      <c r="C790" s="27" t="s">
        <v>3416</v>
      </c>
      <c r="D790" s="27">
        <v>5.0</v>
      </c>
      <c r="E790" s="27" t="s">
        <v>3417</v>
      </c>
      <c r="F790" s="27">
        <v>1.0</v>
      </c>
      <c r="G790" s="29">
        <v>45720.92847222222</v>
      </c>
      <c r="H790" s="27" t="s">
        <v>3405</v>
      </c>
      <c r="I790" s="18"/>
      <c r="J790" s="25" t="str">
        <f>IFERROR(__xludf.DUMMYFUNCTION("ARRAYFORMULA(REGEXEXTRACT(SPLIT(C790, ""&lt;br&gt;""), ""([가-힣A-Za-z]+)""))"),"신형만")</f>
        <v>신형만</v>
      </c>
      <c r="K790" s="26" t="str">
        <f>IFERROR(__xludf.DUMMYFUNCTION("""COMPUTED_VALUE"""),"재우")</f>
        <v>재우</v>
      </c>
      <c r="L790" s="26" t="str">
        <f>IFERROR(__xludf.DUMMYFUNCTION("""COMPUTED_VALUE"""),"원")</f>
        <v>원</v>
      </c>
      <c r="M790" s="26" t="str">
        <f>IFERROR(__xludf.DUMMYFUNCTION("""COMPUTED_VALUE"""),"한메")</f>
        <v>한메</v>
      </c>
      <c r="N790" s="26" t="str">
        <f>IFERROR(__xludf.DUMMYFUNCTION("ARRAYFORMULA(REGEXEXTRACT(SPLIT(E790, ""&lt;br&gt;""), ""([가-힣A-Za-z]+)""))"),"깡패")</f>
        <v>깡패</v>
      </c>
      <c r="O790" s="26" t="str">
        <f>IFERROR(__xludf.DUMMYFUNCTION("""COMPUTED_VALUE"""),"노인")</f>
        <v>노인</v>
      </c>
      <c r="P790" s="26" t="str">
        <f>IFERROR(__xludf.DUMMYFUNCTION("""COMPUTED_VALUE"""),"테리")</f>
        <v>테리</v>
      </c>
      <c r="Q790" s="26" t="str">
        <f>IFERROR(__xludf.DUMMYFUNCTION("""COMPUTED_VALUE"""),"태식")</f>
        <v>태식</v>
      </c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27" t="s">
        <v>3418</v>
      </c>
      <c r="B791" s="28" t="s">
        <v>3419</v>
      </c>
      <c r="C791" s="27" t="s">
        <v>3420</v>
      </c>
      <c r="D791" s="27">
        <v>5.0</v>
      </c>
      <c r="E791" s="27" t="s">
        <v>3421</v>
      </c>
      <c r="F791" s="27">
        <v>3.0</v>
      </c>
      <c r="G791" s="29">
        <v>45720.910416666666</v>
      </c>
      <c r="H791" s="27" t="s">
        <v>3405</v>
      </c>
      <c r="I791" s="18"/>
      <c r="J791" s="25" t="str">
        <f>IFERROR(__xludf.DUMMYFUNCTION("ARRAYFORMULA(REGEXEXTRACT(SPLIT(C791, ""&lt;br&gt;""), ""([가-힣A-Za-z]+)""))"),"넘버")</f>
        <v>넘버</v>
      </c>
      <c r="K791" s="26" t="str">
        <f>IFERROR(__xludf.DUMMYFUNCTION("""COMPUTED_VALUE"""),"재우")</f>
        <v>재우</v>
      </c>
      <c r="L791" s="26" t="str">
        <f>IFERROR(__xludf.DUMMYFUNCTION("""COMPUTED_VALUE"""),"노인")</f>
        <v>노인</v>
      </c>
      <c r="M791" s="26" t="str">
        <f>IFERROR(__xludf.DUMMYFUNCTION("""COMPUTED_VALUE"""),"한메")</f>
        <v>한메</v>
      </c>
      <c r="N791" s="26" t="str">
        <f>IFERROR(__xludf.DUMMYFUNCTION("ARRAYFORMULA(REGEXEXTRACT(SPLIT(E791, ""&lt;br&gt;""), ""([가-힣A-Za-z]+)""))"),"원")</f>
        <v>원</v>
      </c>
      <c r="O791" s="26" t="str">
        <f>IFERROR(__xludf.DUMMYFUNCTION("""COMPUTED_VALUE"""),"테리")</f>
        <v>테리</v>
      </c>
      <c r="P791" s="26" t="str">
        <f>IFERROR(__xludf.DUMMYFUNCTION("""COMPUTED_VALUE"""),"신형만")</f>
        <v>신형만</v>
      </c>
      <c r="Q791" s="26" t="str">
        <f>IFERROR(__xludf.DUMMYFUNCTION("""COMPUTED_VALUE"""),"태식")</f>
        <v>태식</v>
      </c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27" t="s">
        <v>3422</v>
      </c>
      <c r="B792" s="28" t="s">
        <v>3423</v>
      </c>
      <c r="C792" s="27" t="s">
        <v>3424</v>
      </c>
      <c r="D792" s="27">
        <v>5.0</v>
      </c>
      <c r="E792" s="27" t="s">
        <v>3425</v>
      </c>
      <c r="F792" s="27">
        <v>1.0</v>
      </c>
      <c r="G792" s="29">
        <v>45720.884722222225</v>
      </c>
      <c r="H792" s="27" t="s">
        <v>3405</v>
      </c>
      <c r="I792" s="18"/>
      <c r="J792" s="25" t="str">
        <f>IFERROR(__xludf.DUMMYFUNCTION("ARRAYFORMULA(REGEXEXTRACT(SPLIT(C792, ""&lt;br&gt;""), ""([가-힣A-Za-z]+)""))"),"테리")</f>
        <v>테리</v>
      </c>
      <c r="K792" s="26" t="str">
        <f>IFERROR(__xludf.DUMMYFUNCTION("""COMPUTED_VALUE"""),"신형만")</f>
        <v>신형만</v>
      </c>
      <c r="L792" s="26" t="str">
        <f>IFERROR(__xludf.DUMMYFUNCTION("""COMPUTED_VALUE"""),"넘버")</f>
        <v>넘버</v>
      </c>
      <c r="M792" s="26" t="str">
        <f>IFERROR(__xludf.DUMMYFUNCTION("""COMPUTED_VALUE"""),"노인")</f>
        <v>노인</v>
      </c>
      <c r="N792" s="26" t="str">
        <f>IFERROR(__xludf.DUMMYFUNCTION("ARRAYFORMULA(REGEXEXTRACT(SPLIT(E792, ""&lt;br&gt;""), ""([가-힣A-Za-z]+)""))"),"태식")</f>
        <v>태식</v>
      </c>
      <c r="O792" s="26" t="str">
        <f>IFERROR(__xludf.DUMMYFUNCTION("""COMPUTED_VALUE"""),"재우")</f>
        <v>재우</v>
      </c>
      <c r="P792" s="26" t="str">
        <f>IFERROR(__xludf.DUMMYFUNCTION("""COMPUTED_VALUE"""),"규식")</f>
        <v>규식</v>
      </c>
      <c r="Q792" s="26" t="str">
        <f>IFERROR(__xludf.DUMMYFUNCTION("""COMPUTED_VALUE"""),"한메")</f>
        <v>한메</v>
      </c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27" t="s">
        <v>3426</v>
      </c>
      <c r="B793" s="28" t="s">
        <v>3427</v>
      </c>
      <c r="C793" s="27" t="s">
        <v>3428</v>
      </c>
      <c r="D793" s="27">
        <v>5.0</v>
      </c>
      <c r="E793" s="27" t="s">
        <v>3429</v>
      </c>
      <c r="F793" s="27">
        <v>2.0</v>
      </c>
      <c r="G793" s="29">
        <v>45720.861805555556</v>
      </c>
      <c r="H793" s="27" t="s">
        <v>3405</v>
      </c>
      <c r="I793" s="18"/>
      <c r="J793" s="25" t="str">
        <f>IFERROR(__xludf.DUMMYFUNCTION("ARRAYFORMULA(REGEXEXTRACT(SPLIT(C793, ""&lt;br&gt;""), ""([가-힣A-Za-z]+)""))"),"신형만")</f>
        <v>신형만</v>
      </c>
      <c r="K793" s="26" t="str">
        <f>IFERROR(__xludf.DUMMYFUNCTION("""COMPUTED_VALUE"""),"노인")</f>
        <v>노인</v>
      </c>
      <c r="L793" s="26" t="str">
        <f>IFERROR(__xludf.DUMMYFUNCTION("""COMPUTED_VALUE"""),"규식")</f>
        <v>규식</v>
      </c>
      <c r="M793" s="26" t="str">
        <f>IFERROR(__xludf.DUMMYFUNCTION("""COMPUTED_VALUE"""),"재우")</f>
        <v>재우</v>
      </c>
      <c r="N793" s="26" t="str">
        <f>IFERROR(__xludf.DUMMYFUNCTION("ARRAYFORMULA(REGEXEXTRACT(SPLIT(E793, ""&lt;br&gt;""), ""([가-힣A-Za-z]+)""))"),"테리")</f>
        <v>테리</v>
      </c>
      <c r="O793" s="26" t="str">
        <f>IFERROR(__xludf.DUMMYFUNCTION("""COMPUTED_VALUE"""),"넘버")</f>
        <v>넘버</v>
      </c>
      <c r="P793" s="26" t="str">
        <f>IFERROR(__xludf.DUMMYFUNCTION("""COMPUTED_VALUE"""),"태식")</f>
        <v>태식</v>
      </c>
      <c r="Q793" s="26" t="str">
        <f>IFERROR(__xludf.DUMMYFUNCTION("""COMPUTED_VALUE"""),"한메")</f>
        <v>한메</v>
      </c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27" t="s">
        <v>3430</v>
      </c>
      <c r="B794" s="28" t="s">
        <v>3431</v>
      </c>
      <c r="C794" s="27" t="s">
        <v>3432</v>
      </c>
      <c r="D794" s="27">
        <v>5.0</v>
      </c>
      <c r="E794" s="27" t="s">
        <v>3433</v>
      </c>
      <c r="F794" s="27">
        <v>2.0</v>
      </c>
      <c r="G794" s="29">
        <v>45719.10972222222</v>
      </c>
      <c r="H794" s="27" t="s">
        <v>3405</v>
      </c>
      <c r="I794" s="18"/>
      <c r="J794" s="25" t="str">
        <f>IFERROR(__xludf.DUMMYFUNCTION("ARRAYFORMULA(REGEXEXTRACT(SPLIT(C794, ""&lt;br&gt;""), ""([가-힣A-Za-z]+)""))"),"태식")</f>
        <v>태식</v>
      </c>
      <c r="K794" s="26" t="str">
        <f>IFERROR(__xludf.DUMMYFUNCTION("""COMPUTED_VALUE"""),"원")</f>
        <v>원</v>
      </c>
      <c r="L794" s="26" t="str">
        <f>IFERROR(__xludf.DUMMYFUNCTION("""COMPUTED_VALUE"""),"넘버")</f>
        <v>넘버</v>
      </c>
      <c r="M794" s="26" t="str">
        <f>IFERROR(__xludf.DUMMYFUNCTION("""COMPUTED_VALUE"""),"유망")</f>
        <v>유망</v>
      </c>
      <c r="N794" s="26" t="str">
        <f>IFERROR(__xludf.DUMMYFUNCTION("ARRAYFORMULA(REGEXEXTRACT(SPLIT(E794, ""&lt;br&gt;""), ""([가-힣A-Za-z]+)""))"),"솔")</f>
        <v>솔</v>
      </c>
      <c r="O794" s="26" t="str">
        <f>IFERROR(__xludf.DUMMYFUNCTION("""COMPUTED_VALUE"""),"노인")</f>
        <v>노인</v>
      </c>
      <c r="P794" s="26" t="str">
        <f>IFERROR(__xludf.DUMMYFUNCTION("""COMPUTED_VALUE"""),"신형만")</f>
        <v>신형만</v>
      </c>
      <c r="Q794" s="26" t="str">
        <f>IFERROR(__xludf.DUMMYFUNCTION("""COMPUTED_VALUE"""),"참치")</f>
        <v>참치</v>
      </c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27" t="s">
        <v>3434</v>
      </c>
      <c r="B795" s="28" t="s">
        <v>3435</v>
      </c>
      <c r="C795" s="27" t="s">
        <v>3436</v>
      </c>
      <c r="D795" s="27">
        <v>5.0</v>
      </c>
      <c r="E795" s="27" t="s">
        <v>3437</v>
      </c>
      <c r="F795" s="27">
        <v>2.0</v>
      </c>
      <c r="G795" s="29">
        <v>45719.09375</v>
      </c>
      <c r="H795" s="27" t="s">
        <v>3405</v>
      </c>
      <c r="I795" s="18"/>
      <c r="J795" s="25" t="str">
        <f>IFERROR(__xludf.DUMMYFUNCTION("ARRAYFORMULA(REGEXEXTRACT(SPLIT(C795, ""&lt;br&gt;""), ""([가-힣A-Za-z]+)""))"),"노인")</f>
        <v>노인</v>
      </c>
      <c r="K795" s="26" t="str">
        <f>IFERROR(__xludf.DUMMYFUNCTION("""COMPUTED_VALUE"""),"넘버")</f>
        <v>넘버</v>
      </c>
      <c r="L795" s="26" t="str">
        <f>IFERROR(__xludf.DUMMYFUNCTION("""COMPUTED_VALUE"""),"참치")</f>
        <v>참치</v>
      </c>
      <c r="M795" s="26" t="str">
        <f>IFERROR(__xludf.DUMMYFUNCTION("""COMPUTED_VALUE"""),"유망")</f>
        <v>유망</v>
      </c>
      <c r="N795" s="26" t="str">
        <f>IFERROR(__xludf.DUMMYFUNCTION("ARRAYFORMULA(REGEXEXTRACT(SPLIT(E795, ""&lt;br&gt;""), ""([가-힣A-Za-z]+)""))"),"솔")</f>
        <v>솔</v>
      </c>
      <c r="O795" s="26" t="str">
        <f>IFERROR(__xludf.DUMMYFUNCTION("""COMPUTED_VALUE"""),"원")</f>
        <v>원</v>
      </c>
      <c r="P795" s="26" t="str">
        <f>IFERROR(__xludf.DUMMYFUNCTION("""COMPUTED_VALUE"""),"태식")</f>
        <v>태식</v>
      </c>
      <c r="Q795" s="26" t="str">
        <f>IFERROR(__xludf.DUMMYFUNCTION("""COMPUTED_VALUE"""),"신형만")</f>
        <v>신형만</v>
      </c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27" t="s">
        <v>3438</v>
      </c>
      <c r="B796" s="28" t="s">
        <v>3439</v>
      </c>
      <c r="C796" s="27" t="s">
        <v>3440</v>
      </c>
      <c r="D796" s="27">
        <v>5.0</v>
      </c>
      <c r="E796" s="27" t="s">
        <v>3441</v>
      </c>
      <c r="F796" s="27">
        <v>4.0</v>
      </c>
      <c r="G796" s="29">
        <v>45719.07361111111</v>
      </c>
      <c r="H796" s="27" t="s">
        <v>3405</v>
      </c>
      <c r="I796" s="18"/>
      <c r="J796" s="25" t="str">
        <f>IFERROR(__xludf.DUMMYFUNCTION("ARRAYFORMULA(REGEXEXTRACT(SPLIT(C796, ""&lt;br&gt;""), ""([가-힣A-Za-z]+)""))"),"신형만")</f>
        <v>신형만</v>
      </c>
      <c r="K796" s="26" t="str">
        <f>IFERROR(__xludf.DUMMYFUNCTION("""COMPUTED_VALUE"""),"솔")</f>
        <v>솔</v>
      </c>
      <c r="L796" s="26" t="str">
        <f>IFERROR(__xludf.DUMMYFUNCTION("""COMPUTED_VALUE"""),"노인")</f>
        <v>노인</v>
      </c>
      <c r="M796" s="26" t="str">
        <f>IFERROR(__xludf.DUMMYFUNCTION("""COMPUTED_VALUE"""),"유망")</f>
        <v>유망</v>
      </c>
      <c r="N796" s="26" t="str">
        <f>IFERROR(__xludf.DUMMYFUNCTION("ARRAYFORMULA(REGEXEXTRACT(SPLIT(E796, ""&lt;br&gt;""), ""([가-힣A-Za-z]+)""))"),"참치")</f>
        <v>참치</v>
      </c>
      <c r="O796" s="26" t="str">
        <f>IFERROR(__xludf.DUMMYFUNCTION("""COMPUTED_VALUE"""),"태식")</f>
        <v>태식</v>
      </c>
      <c r="P796" s="26" t="str">
        <f>IFERROR(__xludf.DUMMYFUNCTION("""COMPUTED_VALUE"""),"원")</f>
        <v>원</v>
      </c>
      <c r="Q796" s="26" t="str">
        <f>IFERROR(__xludf.DUMMYFUNCTION("""COMPUTED_VALUE"""),"넘버")</f>
        <v>넘버</v>
      </c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27" t="s">
        <v>3442</v>
      </c>
      <c r="B797" s="28" t="s">
        <v>3443</v>
      </c>
      <c r="C797" s="27" t="s">
        <v>3444</v>
      </c>
      <c r="D797" s="27">
        <v>5.0</v>
      </c>
      <c r="E797" s="27" t="s">
        <v>3445</v>
      </c>
      <c r="F797" s="27">
        <v>2.0</v>
      </c>
      <c r="G797" s="29">
        <v>45719.04513888889</v>
      </c>
      <c r="H797" s="27" t="s">
        <v>3405</v>
      </c>
      <c r="I797" s="18"/>
      <c r="J797" s="25" t="str">
        <f>IFERROR(__xludf.DUMMYFUNCTION("ARRAYFORMULA(REGEXEXTRACT(SPLIT(C797, ""&lt;br&gt;""), ""([가-힣A-Za-z]+)""))"),"원")</f>
        <v>원</v>
      </c>
      <c r="K797" s="26" t="str">
        <f>IFERROR(__xludf.DUMMYFUNCTION("""COMPUTED_VALUE"""),"태식")</f>
        <v>태식</v>
      </c>
      <c r="L797" s="26" t="str">
        <f>IFERROR(__xludf.DUMMYFUNCTION("""COMPUTED_VALUE"""),"신형만")</f>
        <v>신형만</v>
      </c>
      <c r="M797" s="26" t="str">
        <f>IFERROR(__xludf.DUMMYFUNCTION("""COMPUTED_VALUE"""),"유망")</f>
        <v>유망</v>
      </c>
      <c r="N797" s="26" t="str">
        <f>IFERROR(__xludf.DUMMYFUNCTION("ARRAYFORMULA(REGEXEXTRACT(SPLIT(E797, ""&lt;br&gt;""), ""([가-힣A-Za-z]+)""))"),"참치")</f>
        <v>참치</v>
      </c>
      <c r="O797" s="26" t="str">
        <f>IFERROR(__xludf.DUMMYFUNCTION("""COMPUTED_VALUE"""),"노인")</f>
        <v>노인</v>
      </c>
      <c r="P797" s="26" t="str">
        <f>IFERROR(__xludf.DUMMYFUNCTION("""COMPUTED_VALUE"""),"솔")</f>
        <v>솔</v>
      </c>
      <c r="Q797" s="26" t="str">
        <f>IFERROR(__xludf.DUMMYFUNCTION("""COMPUTED_VALUE"""),"넘버")</f>
        <v>넘버</v>
      </c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27" t="s">
        <v>3446</v>
      </c>
      <c r="B798" s="28" t="s">
        <v>3447</v>
      </c>
      <c r="C798" s="27" t="s">
        <v>3448</v>
      </c>
      <c r="D798" s="27">
        <v>5.0</v>
      </c>
      <c r="E798" s="27" t="s">
        <v>3449</v>
      </c>
      <c r="F798" s="27">
        <v>2.0</v>
      </c>
      <c r="G798" s="29">
        <v>45719.02847222222</v>
      </c>
      <c r="H798" s="27" t="s">
        <v>3405</v>
      </c>
      <c r="I798" s="18"/>
      <c r="J798" s="25" t="str">
        <f>IFERROR(__xludf.DUMMYFUNCTION("ARRAYFORMULA(REGEXEXTRACT(SPLIT(C798, ""&lt;br&gt;""), ""([가-힣A-Za-z]+)""))"),"참치")</f>
        <v>참치</v>
      </c>
      <c r="K798" s="26" t="str">
        <f>IFERROR(__xludf.DUMMYFUNCTION("""COMPUTED_VALUE"""),"신형만")</f>
        <v>신형만</v>
      </c>
      <c r="L798" s="26" t="str">
        <f>IFERROR(__xludf.DUMMYFUNCTION("""COMPUTED_VALUE"""),"원")</f>
        <v>원</v>
      </c>
      <c r="M798" s="26" t="str">
        <f>IFERROR(__xludf.DUMMYFUNCTION("""COMPUTED_VALUE"""),"규식")</f>
        <v>규식</v>
      </c>
      <c r="N798" s="26" t="str">
        <f>IFERROR(__xludf.DUMMYFUNCTION("ARRAYFORMULA(REGEXEXTRACT(SPLIT(E798, ""&lt;br&gt;""), ""([가-힣A-Za-z]+)""))"),"유망")</f>
        <v>유망</v>
      </c>
      <c r="O798" s="26" t="str">
        <f>IFERROR(__xludf.DUMMYFUNCTION("""COMPUTED_VALUE"""),"태식")</f>
        <v>태식</v>
      </c>
      <c r="P798" s="26" t="str">
        <f>IFERROR(__xludf.DUMMYFUNCTION("""COMPUTED_VALUE"""),"노인")</f>
        <v>노인</v>
      </c>
      <c r="Q798" s="26" t="str">
        <f>IFERROR(__xludf.DUMMYFUNCTION("""COMPUTED_VALUE"""),"넘버")</f>
        <v>넘버</v>
      </c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27" t="s">
        <v>3450</v>
      </c>
      <c r="B799" s="28" t="s">
        <v>3451</v>
      </c>
      <c r="C799" s="27" t="s">
        <v>3452</v>
      </c>
      <c r="D799" s="27">
        <v>5.0</v>
      </c>
      <c r="E799" s="27" t="s">
        <v>3453</v>
      </c>
      <c r="F799" s="27">
        <v>0.0</v>
      </c>
      <c r="G799" s="29">
        <v>45719.0125</v>
      </c>
      <c r="H799" s="27" t="s">
        <v>3405</v>
      </c>
      <c r="I799" s="18"/>
      <c r="J799" s="25" t="str">
        <f>IFERROR(__xludf.DUMMYFUNCTION("ARRAYFORMULA(REGEXEXTRACT(SPLIT(C799, ""&lt;br&gt;""), ""([가-힣A-Za-z]+)""))"),"신형만")</f>
        <v>신형만</v>
      </c>
      <c r="K799" s="26" t="str">
        <f>IFERROR(__xludf.DUMMYFUNCTION("""COMPUTED_VALUE"""),"노인")</f>
        <v>노인</v>
      </c>
      <c r="L799" s="26" t="str">
        <f>IFERROR(__xludf.DUMMYFUNCTION("""COMPUTED_VALUE"""),"넘버")</f>
        <v>넘버</v>
      </c>
      <c r="M799" s="26" t="str">
        <f>IFERROR(__xludf.DUMMYFUNCTION("""COMPUTED_VALUE"""),"원")</f>
        <v>원</v>
      </c>
      <c r="N799" s="26" t="str">
        <f>IFERROR(__xludf.DUMMYFUNCTION("ARRAYFORMULA(REGEXEXTRACT(SPLIT(E799, ""&lt;br&gt;""), ""([가-힣A-Za-z]+)""))"),"참치")</f>
        <v>참치</v>
      </c>
      <c r="O799" s="26" t="str">
        <f>IFERROR(__xludf.DUMMYFUNCTION("""COMPUTED_VALUE"""),"태식")</f>
        <v>태식</v>
      </c>
      <c r="P799" s="26" t="str">
        <f>IFERROR(__xludf.DUMMYFUNCTION("""COMPUTED_VALUE"""),"규식")</f>
        <v>규식</v>
      </c>
      <c r="Q799" s="26" t="str">
        <f>IFERROR(__xludf.DUMMYFUNCTION("""COMPUTED_VALUE"""),"유망")</f>
        <v>유망</v>
      </c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27" t="s">
        <v>3454</v>
      </c>
      <c r="B800" s="28" t="s">
        <v>3455</v>
      </c>
      <c r="C800" s="27" t="s">
        <v>3456</v>
      </c>
      <c r="D800" s="27">
        <v>5.0</v>
      </c>
      <c r="E800" s="27" t="s">
        <v>3457</v>
      </c>
      <c r="F800" s="27">
        <v>2.0</v>
      </c>
      <c r="G800" s="29">
        <v>45718.99652777778</v>
      </c>
      <c r="H800" s="27" t="s">
        <v>3405</v>
      </c>
      <c r="I800" s="18"/>
      <c r="J800" s="25" t="str">
        <f>IFERROR(__xludf.DUMMYFUNCTION("ARRAYFORMULA(REGEXEXTRACT(SPLIT(C800, ""&lt;br&gt;""), ""([가-힣A-Za-z]+)""))"),"원")</f>
        <v>원</v>
      </c>
      <c r="K800" s="26" t="str">
        <f>IFERROR(__xludf.DUMMYFUNCTION("""COMPUTED_VALUE"""),"태식")</f>
        <v>태식</v>
      </c>
      <c r="L800" s="26" t="str">
        <f>IFERROR(__xludf.DUMMYFUNCTION("""COMPUTED_VALUE"""),"신형만")</f>
        <v>신형만</v>
      </c>
      <c r="M800" s="26" t="str">
        <f>IFERROR(__xludf.DUMMYFUNCTION("""COMPUTED_VALUE"""),"유망")</f>
        <v>유망</v>
      </c>
      <c r="N800" s="26" t="str">
        <f>IFERROR(__xludf.DUMMYFUNCTION("ARRAYFORMULA(REGEXEXTRACT(SPLIT(E800, ""&lt;br&gt;""), ""([가-힣A-Za-z]+)""))"),"참치")</f>
        <v>참치</v>
      </c>
      <c r="O800" s="26" t="str">
        <f>IFERROR(__xludf.DUMMYFUNCTION("""COMPUTED_VALUE"""),"넘버")</f>
        <v>넘버</v>
      </c>
      <c r="P800" s="26" t="str">
        <f>IFERROR(__xludf.DUMMYFUNCTION("""COMPUTED_VALUE"""),"규식")</f>
        <v>규식</v>
      </c>
      <c r="Q800" s="26" t="str">
        <f>IFERROR(__xludf.DUMMYFUNCTION("""COMPUTED_VALUE"""),"노인")</f>
        <v>노인</v>
      </c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27" t="s">
        <v>3458</v>
      </c>
      <c r="B801" s="28" t="s">
        <v>3459</v>
      </c>
      <c r="C801" s="27" t="s">
        <v>3460</v>
      </c>
      <c r="D801" s="27">
        <v>5.0</v>
      </c>
      <c r="E801" s="27" t="s">
        <v>3461</v>
      </c>
      <c r="F801" s="27">
        <v>4.0</v>
      </c>
      <c r="G801" s="29">
        <v>45718.975</v>
      </c>
      <c r="H801" s="27" t="s">
        <v>3405</v>
      </c>
      <c r="I801" s="18"/>
      <c r="J801" s="25" t="str">
        <f>IFERROR(__xludf.DUMMYFUNCTION("ARRAYFORMULA(REGEXEXTRACT(SPLIT(C801, ""&lt;br&gt;""), ""([가-힣A-Za-z]+)""))"),"전투쥐")</f>
        <v>전투쥐</v>
      </c>
      <c r="K801" s="26" t="str">
        <f>IFERROR(__xludf.DUMMYFUNCTION("""COMPUTED_VALUE"""),"신형만")</f>
        <v>신형만</v>
      </c>
      <c r="L801" s="26" t="str">
        <f>IFERROR(__xludf.DUMMYFUNCTION("""COMPUTED_VALUE"""),"깡패")</f>
        <v>깡패</v>
      </c>
      <c r="M801" s="26" t="str">
        <f>IFERROR(__xludf.DUMMYFUNCTION("""COMPUTED_VALUE"""),"원")</f>
        <v>원</v>
      </c>
      <c r="N801" s="26" t="str">
        <f>IFERROR(__xludf.DUMMYFUNCTION("ARRAYFORMULA(REGEXEXTRACT(SPLIT(E801, ""&lt;br&gt;""), ""([가-힣A-Za-z]+)""))"),"유망")</f>
        <v>유망</v>
      </c>
      <c r="O801" s="26" t="str">
        <f>IFERROR(__xludf.DUMMYFUNCTION("""COMPUTED_VALUE"""),"노인")</f>
        <v>노인</v>
      </c>
      <c r="P801" s="26" t="str">
        <f>IFERROR(__xludf.DUMMYFUNCTION("""COMPUTED_VALUE"""),"태식")</f>
        <v>태식</v>
      </c>
      <c r="Q801" s="26" t="str">
        <f>IFERROR(__xludf.DUMMYFUNCTION("""COMPUTED_VALUE"""),"규식")</f>
        <v>규식</v>
      </c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27" t="s">
        <v>3462</v>
      </c>
      <c r="B802" s="28" t="s">
        <v>3463</v>
      </c>
      <c r="C802" s="27" t="s">
        <v>3464</v>
      </c>
      <c r="D802" s="27">
        <v>5.0</v>
      </c>
      <c r="E802" s="27" t="s">
        <v>3465</v>
      </c>
      <c r="F802" s="27">
        <v>2.0</v>
      </c>
      <c r="G802" s="29">
        <v>45718.94305555556</v>
      </c>
      <c r="H802" s="27" t="s">
        <v>3405</v>
      </c>
      <c r="I802" s="18"/>
      <c r="J802" s="25" t="str">
        <f>IFERROR(__xludf.DUMMYFUNCTION("ARRAYFORMULA(REGEXEXTRACT(SPLIT(C802, ""&lt;br&gt;""), ""([가-힣A-Za-z]+)""))"),"원")</f>
        <v>원</v>
      </c>
      <c r="K802" s="26" t="str">
        <f>IFERROR(__xludf.DUMMYFUNCTION("""COMPUTED_VALUE"""),"노인")</f>
        <v>노인</v>
      </c>
      <c r="L802" s="26" t="str">
        <f>IFERROR(__xludf.DUMMYFUNCTION("""COMPUTED_VALUE"""),"깡패")</f>
        <v>깡패</v>
      </c>
      <c r="M802" s="26" t="str">
        <f>IFERROR(__xludf.DUMMYFUNCTION("""COMPUTED_VALUE"""),"참치")</f>
        <v>참치</v>
      </c>
      <c r="N802" s="26" t="str">
        <f>IFERROR(__xludf.DUMMYFUNCTION("ARRAYFORMULA(REGEXEXTRACT(SPLIT(E802, ""&lt;br&gt;""), ""([가-힣A-Za-z]+)""))"),"전투쥐")</f>
        <v>전투쥐</v>
      </c>
      <c r="O802" s="26" t="str">
        <f>IFERROR(__xludf.DUMMYFUNCTION("""COMPUTED_VALUE"""),"테리")</f>
        <v>테리</v>
      </c>
      <c r="P802" s="26" t="str">
        <f>IFERROR(__xludf.DUMMYFUNCTION("""COMPUTED_VALUE"""),"신형만")</f>
        <v>신형만</v>
      </c>
      <c r="Q802" s="26" t="str">
        <f>IFERROR(__xludf.DUMMYFUNCTION("""COMPUTED_VALUE"""),"태식")</f>
        <v>태식</v>
      </c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27" t="s">
        <v>3466</v>
      </c>
      <c r="B803" s="28" t="s">
        <v>3467</v>
      </c>
      <c r="C803" s="27" t="s">
        <v>3468</v>
      </c>
      <c r="D803" s="27">
        <v>5.0</v>
      </c>
      <c r="E803" s="27" t="s">
        <v>3469</v>
      </c>
      <c r="F803" s="27">
        <v>4.0</v>
      </c>
      <c r="G803" s="29">
        <v>45718.92847222222</v>
      </c>
      <c r="H803" s="27" t="s">
        <v>3405</v>
      </c>
      <c r="I803" s="18"/>
      <c r="J803" s="25" t="str">
        <f>IFERROR(__xludf.DUMMYFUNCTION("ARRAYFORMULA(REGEXEXTRACT(SPLIT(C803, ""&lt;br&gt;""), ""([가-힣A-Za-z]+)""))"),"태식")</f>
        <v>태식</v>
      </c>
      <c r="K803" s="26" t="str">
        <f>IFERROR(__xludf.DUMMYFUNCTION("""COMPUTED_VALUE"""),"노인")</f>
        <v>노인</v>
      </c>
      <c r="L803" s="26" t="str">
        <f>IFERROR(__xludf.DUMMYFUNCTION("""COMPUTED_VALUE"""),"테리")</f>
        <v>테리</v>
      </c>
      <c r="M803" s="26" t="str">
        <f>IFERROR(__xludf.DUMMYFUNCTION("""COMPUTED_VALUE"""),"참치")</f>
        <v>참치</v>
      </c>
      <c r="N803" s="26" t="str">
        <f>IFERROR(__xludf.DUMMYFUNCTION("ARRAYFORMULA(REGEXEXTRACT(SPLIT(E803, ""&lt;br&gt;""), ""([가-힣A-Za-z]+)""))"),"신형만")</f>
        <v>신형만</v>
      </c>
      <c r="O803" s="26" t="str">
        <f>IFERROR(__xludf.DUMMYFUNCTION("""COMPUTED_VALUE"""),"깡패")</f>
        <v>깡패</v>
      </c>
      <c r="P803" s="26" t="str">
        <f>IFERROR(__xludf.DUMMYFUNCTION("""COMPUTED_VALUE"""),"전투쥐")</f>
        <v>전투쥐</v>
      </c>
      <c r="Q803" s="26" t="str">
        <f>IFERROR(__xludf.DUMMYFUNCTION("""COMPUTED_VALUE"""),"원")</f>
        <v>원</v>
      </c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27" t="s">
        <v>3470</v>
      </c>
      <c r="B804" s="28" t="s">
        <v>3471</v>
      </c>
      <c r="C804" s="27" t="s">
        <v>3472</v>
      </c>
      <c r="D804" s="27">
        <v>5.0</v>
      </c>
      <c r="E804" s="27" t="s">
        <v>3473</v>
      </c>
      <c r="F804" s="27">
        <v>4.0</v>
      </c>
      <c r="G804" s="29">
        <v>45718.89722222222</v>
      </c>
      <c r="H804" s="27" t="s">
        <v>3405</v>
      </c>
      <c r="I804" s="18"/>
      <c r="J804" s="25" t="str">
        <f>IFERROR(__xludf.DUMMYFUNCTION("ARRAYFORMULA(REGEXEXTRACT(SPLIT(C804, ""&lt;br&gt;""), ""([가-힣A-Za-z]+)""))"),"넘버")</f>
        <v>넘버</v>
      </c>
      <c r="K804" s="26" t="str">
        <f>IFERROR(__xludf.DUMMYFUNCTION("""COMPUTED_VALUE"""),"깡패")</f>
        <v>깡패</v>
      </c>
      <c r="L804" s="26" t="str">
        <f>IFERROR(__xludf.DUMMYFUNCTION("""COMPUTED_VALUE"""),"참치")</f>
        <v>참치</v>
      </c>
      <c r="M804" s="26" t="str">
        <f>IFERROR(__xludf.DUMMYFUNCTION("""COMPUTED_VALUE"""),"신형만")</f>
        <v>신형만</v>
      </c>
      <c r="N804" s="26" t="str">
        <f>IFERROR(__xludf.DUMMYFUNCTION("ARRAYFORMULA(REGEXEXTRACT(SPLIT(E804, ""&lt;br&gt;""), ""([가-힣A-Za-z]+)""))"),"원")</f>
        <v>원</v>
      </c>
      <c r="O804" s="26" t="str">
        <f>IFERROR(__xludf.DUMMYFUNCTION("""COMPUTED_VALUE"""),"태식")</f>
        <v>태식</v>
      </c>
      <c r="P804" s="26" t="str">
        <f>IFERROR(__xludf.DUMMYFUNCTION("""COMPUTED_VALUE"""),"노인")</f>
        <v>노인</v>
      </c>
      <c r="Q804" s="26" t="str">
        <f>IFERROR(__xludf.DUMMYFUNCTION("""COMPUTED_VALUE"""),"전투쥐")</f>
        <v>전투쥐</v>
      </c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27" t="s">
        <v>3474</v>
      </c>
      <c r="B805" s="28" t="s">
        <v>3475</v>
      </c>
      <c r="C805" s="27" t="s">
        <v>3476</v>
      </c>
      <c r="D805" s="27">
        <v>5.0</v>
      </c>
      <c r="E805" s="27" t="s">
        <v>3477</v>
      </c>
      <c r="F805" s="27">
        <v>1.0</v>
      </c>
      <c r="G805" s="29">
        <v>45718.87708333333</v>
      </c>
      <c r="H805" s="27" t="s">
        <v>3405</v>
      </c>
      <c r="I805" s="18"/>
      <c r="J805" s="25" t="str">
        <f>IFERROR(__xludf.DUMMYFUNCTION("ARRAYFORMULA(REGEXEXTRACT(SPLIT(C805, ""&lt;br&gt;""), ""([가-힣A-Za-z]+)""))"),"참치")</f>
        <v>참치</v>
      </c>
      <c r="K805" s="26" t="str">
        <f>IFERROR(__xludf.DUMMYFUNCTION("""COMPUTED_VALUE"""),"태식")</f>
        <v>태식</v>
      </c>
      <c r="L805" s="26" t="str">
        <f>IFERROR(__xludf.DUMMYFUNCTION("""COMPUTED_VALUE"""),"원")</f>
        <v>원</v>
      </c>
      <c r="M805" s="26" t="str">
        <f>IFERROR(__xludf.DUMMYFUNCTION("""COMPUTED_VALUE"""),"넘버")</f>
        <v>넘버</v>
      </c>
      <c r="N805" s="26" t="str">
        <f>IFERROR(__xludf.DUMMYFUNCTION("ARRAYFORMULA(REGEXEXTRACT(SPLIT(E805, ""&lt;br&gt;""), ""([가-힣A-Za-z]+)""))"),"깡패")</f>
        <v>깡패</v>
      </c>
      <c r="O805" s="26" t="str">
        <f>IFERROR(__xludf.DUMMYFUNCTION("""COMPUTED_VALUE"""),"노인")</f>
        <v>노인</v>
      </c>
      <c r="P805" s="26" t="str">
        <f>IFERROR(__xludf.DUMMYFUNCTION("""COMPUTED_VALUE"""),"전투쥐")</f>
        <v>전투쥐</v>
      </c>
      <c r="Q805" s="26" t="str">
        <f>IFERROR(__xludf.DUMMYFUNCTION("""COMPUTED_VALUE"""),"신형만")</f>
        <v>신형만</v>
      </c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27" t="s">
        <v>3478</v>
      </c>
      <c r="B806" s="28" t="s">
        <v>3479</v>
      </c>
      <c r="C806" s="27" t="s">
        <v>3480</v>
      </c>
      <c r="D806" s="27">
        <v>5.0</v>
      </c>
      <c r="E806" s="27" t="s">
        <v>3481</v>
      </c>
      <c r="F806" s="27">
        <v>3.0</v>
      </c>
      <c r="G806" s="29">
        <v>45718.86041666667</v>
      </c>
      <c r="H806" s="27" t="s">
        <v>3405</v>
      </c>
      <c r="I806" s="18"/>
      <c r="J806" s="25" t="str">
        <f>IFERROR(__xludf.DUMMYFUNCTION("ARRAYFORMULA(REGEXEXTRACT(SPLIT(C806, ""&lt;br&gt;""), ""([가-힣A-Za-z]+)""))"),"전투쥐")</f>
        <v>전투쥐</v>
      </c>
      <c r="K806" s="26" t="str">
        <f>IFERROR(__xludf.DUMMYFUNCTION("""COMPUTED_VALUE"""),"원")</f>
        <v>원</v>
      </c>
      <c r="L806" s="26" t="str">
        <f>IFERROR(__xludf.DUMMYFUNCTION("""COMPUTED_VALUE"""),"깡패")</f>
        <v>깡패</v>
      </c>
      <c r="M806" s="26" t="str">
        <f>IFERROR(__xludf.DUMMYFUNCTION("""COMPUTED_VALUE"""),"넘버")</f>
        <v>넘버</v>
      </c>
      <c r="N806" s="26" t="str">
        <f>IFERROR(__xludf.DUMMYFUNCTION("ARRAYFORMULA(REGEXEXTRACT(SPLIT(E806, ""&lt;br&gt;""), ""([가-힣A-Za-z]+)""))"),"참치")</f>
        <v>참치</v>
      </c>
      <c r="O806" s="26" t="str">
        <f>IFERROR(__xludf.DUMMYFUNCTION("""COMPUTED_VALUE"""),"신형만")</f>
        <v>신형만</v>
      </c>
      <c r="P806" s="26" t="str">
        <f>IFERROR(__xludf.DUMMYFUNCTION("""COMPUTED_VALUE"""),"노인")</f>
        <v>노인</v>
      </c>
      <c r="Q806" s="26" t="str">
        <f>IFERROR(__xludf.DUMMYFUNCTION("""COMPUTED_VALUE"""),"태식")</f>
        <v>태식</v>
      </c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27" t="s">
        <v>3482</v>
      </c>
      <c r="B807" s="28" t="s">
        <v>3483</v>
      </c>
      <c r="C807" s="27" t="s">
        <v>3484</v>
      </c>
      <c r="D807" s="27">
        <v>5.0</v>
      </c>
      <c r="E807" s="27" t="s">
        <v>3485</v>
      </c>
      <c r="F807" s="27">
        <v>4.0</v>
      </c>
      <c r="G807" s="29">
        <v>45718.705555555556</v>
      </c>
      <c r="H807" s="27" t="s">
        <v>3405</v>
      </c>
      <c r="I807" s="18"/>
      <c r="J807" s="25" t="str">
        <f>IFERROR(__xludf.DUMMYFUNCTION("ARRAYFORMULA(REGEXEXTRACT(SPLIT(C807, ""&lt;br&gt;""), ""([가-힣A-Za-z]+)""))"),"한메")</f>
        <v>한메</v>
      </c>
      <c r="K807" s="26" t="str">
        <f>IFERROR(__xludf.DUMMYFUNCTION("""COMPUTED_VALUE"""),"테리")</f>
        <v>테리</v>
      </c>
      <c r="L807" s="26" t="str">
        <f>IFERROR(__xludf.DUMMYFUNCTION("""COMPUTED_VALUE"""),"전투쥐")</f>
        <v>전투쥐</v>
      </c>
      <c r="M807" s="26" t="str">
        <f>IFERROR(__xludf.DUMMYFUNCTION("""COMPUTED_VALUE"""),"넘버")</f>
        <v>넘버</v>
      </c>
      <c r="N807" s="26" t="str">
        <f>IFERROR(__xludf.DUMMYFUNCTION("ARRAYFORMULA(REGEXEXTRACT(SPLIT(E807, ""&lt;br&gt;""), ""([가-힣A-Za-z]+)""))"),"태식")</f>
        <v>태식</v>
      </c>
      <c r="O807" s="26" t="str">
        <f>IFERROR(__xludf.DUMMYFUNCTION("""COMPUTED_VALUE"""),"신형만")</f>
        <v>신형만</v>
      </c>
      <c r="P807" s="26" t="str">
        <f>IFERROR(__xludf.DUMMYFUNCTION("""COMPUTED_VALUE"""),"민우")</f>
        <v>민우</v>
      </c>
      <c r="Q807" s="26" t="str">
        <f>IFERROR(__xludf.DUMMYFUNCTION("""COMPUTED_VALUE"""),"노인")</f>
        <v>노인</v>
      </c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27" t="s">
        <v>3486</v>
      </c>
      <c r="B808" s="28" t="s">
        <v>3487</v>
      </c>
      <c r="C808" s="27" t="s">
        <v>3488</v>
      </c>
      <c r="D808" s="27">
        <v>5.0</v>
      </c>
      <c r="E808" s="27" t="s">
        <v>3489</v>
      </c>
      <c r="F808" s="27">
        <v>3.0</v>
      </c>
      <c r="G808" s="29">
        <v>45718.669444444444</v>
      </c>
      <c r="H808" s="27" t="s">
        <v>3405</v>
      </c>
      <c r="I808" s="18"/>
      <c r="J808" s="25" t="str">
        <f>IFERROR(__xludf.DUMMYFUNCTION("ARRAYFORMULA(REGEXEXTRACT(SPLIT(C808, ""&lt;br&gt;""), ""([가-힣A-Za-z]+)""))"),"한메")</f>
        <v>한메</v>
      </c>
      <c r="K808" s="26" t="str">
        <f>IFERROR(__xludf.DUMMYFUNCTION("""COMPUTED_VALUE"""),"테리")</f>
        <v>테리</v>
      </c>
      <c r="L808" s="26" t="str">
        <f>IFERROR(__xludf.DUMMYFUNCTION("""COMPUTED_VALUE"""),"노인")</f>
        <v>노인</v>
      </c>
      <c r="M808" s="26" t="str">
        <f>IFERROR(__xludf.DUMMYFUNCTION("""COMPUTED_VALUE"""),"민우")</f>
        <v>민우</v>
      </c>
      <c r="N808" s="26" t="str">
        <f>IFERROR(__xludf.DUMMYFUNCTION("ARRAYFORMULA(REGEXEXTRACT(SPLIT(E808, ""&lt;br&gt;""), ""([가-힣A-Za-z]+)""))"),"전투쥐")</f>
        <v>전투쥐</v>
      </c>
      <c r="O808" s="26" t="str">
        <f>IFERROR(__xludf.DUMMYFUNCTION("""COMPUTED_VALUE"""),"태식")</f>
        <v>태식</v>
      </c>
      <c r="P808" s="26" t="str">
        <f>IFERROR(__xludf.DUMMYFUNCTION("""COMPUTED_VALUE"""),"넘버")</f>
        <v>넘버</v>
      </c>
      <c r="Q808" s="26" t="str">
        <f>IFERROR(__xludf.DUMMYFUNCTION("""COMPUTED_VALUE"""),"신형만")</f>
        <v>신형만</v>
      </c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27" t="s">
        <v>3490</v>
      </c>
      <c r="B809" s="28" t="s">
        <v>3491</v>
      </c>
      <c r="C809" s="27" t="s">
        <v>3492</v>
      </c>
      <c r="D809" s="27">
        <v>5.0</v>
      </c>
      <c r="E809" s="27" t="s">
        <v>3493</v>
      </c>
      <c r="F809" s="27">
        <v>4.0</v>
      </c>
      <c r="G809" s="29">
        <v>45718.64513888889</v>
      </c>
      <c r="H809" s="27" t="s">
        <v>3405</v>
      </c>
      <c r="I809" s="18"/>
      <c r="J809" s="25" t="str">
        <f>IFERROR(__xludf.DUMMYFUNCTION("ARRAYFORMULA(REGEXEXTRACT(SPLIT(C809, ""&lt;br&gt;""), ""([가-힣A-Za-z]+)""))"),"유즈")</f>
        <v>유즈</v>
      </c>
      <c r="K809" s="26" t="str">
        <f>IFERROR(__xludf.DUMMYFUNCTION("""COMPUTED_VALUE"""),"ACDC")</f>
        <v>ACDC</v>
      </c>
      <c r="L809" s="26" t="str">
        <f>IFERROR(__xludf.DUMMYFUNCTION("""COMPUTED_VALUE"""),"테리")</f>
        <v>테리</v>
      </c>
      <c r="M809" s="26" t="str">
        <f>IFERROR(__xludf.DUMMYFUNCTION("""COMPUTED_VALUE"""),"신형만")</f>
        <v>신형만</v>
      </c>
      <c r="N809" s="26" t="str">
        <f>IFERROR(__xludf.DUMMYFUNCTION("ARRAYFORMULA(REGEXEXTRACT(SPLIT(E809, ""&lt;br&gt;""), ""([가-힣A-Za-z]+)""))"),"노인")</f>
        <v>노인</v>
      </c>
      <c r="O809" s="26" t="str">
        <f>IFERROR(__xludf.DUMMYFUNCTION("""COMPUTED_VALUE"""),"넘버")</f>
        <v>넘버</v>
      </c>
      <c r="P809" s="26" t="str">
        <f>IFERROR(__xludf.DUMMYFUNCTION("""COMPUTED_VALUE"""),"태식")</f>
        <v>태식</v>
      </c>
      <c r="Q809" s="26" t="str">
        <f>IFERROR(__xludf.DUMMYFUNCTION("""COMPUTED_VALUE"""),"전투쥐")</f>
        <v>전투쥐</v>
      </c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27" t="s">
        <v>3494</v>
      </c>
      <c r="B810" s="28" t="s">
        <v>3495</v>
      </c>
      <c r="C810" s="27" t="s">
        <v>3496</v>
      </c>
      <c r="D810" s="27">
        <v>5.0</v>
      </c>
      <c r="E810" s="27" t="s">
        <v>3497</v>
      </c>
      <c r="F810" s="27">
        <v>0.0</v>
      </c>
      <c r="G810" s="29">
        <v>45718.61388888889</v>
      </c>
      <c r="H810" s="27" t="s">
        <v>3405</v>
      </c>
      <c r="I810" s="18"/>
      <c r="J810" s="25" t="str">
        <f>IFERROR(__xludf.DUMMYFUNCTION("ARRAYFORMULA(REGEXEXTRACT(SPLIT(C810, ""&lt;br&gt;""), ""([가-힣A-Za-z]+)""))"),"테리")</f>
        <v>테리</v>
      </c>
      <c r="K810" s="26" t="str">
        <f>IFERROR(__xludf.DUMMYFUNCTION("""COMPUTED_VALUE"""),"노인")</f>
        <v>노인</v>
      </c>
      <c r="L810" s="26" t="str">
        <f>IFERROR(__xludf.DUMMYFUNCTION("""COMPUTED_VALUE"""),"전투쥐")</f>
        <v>전투쥐</v>
      </c>
      <c r="M810" s="26" t="str">
        <f>IFERROR(__xludf.DUMMYFUNCTION("""COMPUTED_VALUE"""),"신형만")</f>
        <v>신형만</v>
      </c>
      <c r="N810" s="26" t="str">
        <f>IFERROR(__xludf.DUMMYFUNCTION("ARRAYFORMULA(REGEXEXTRACT(SPLIT(E810, ""&lt;br&gt;""), ""([가-힣A-Za-z]+)""))"),"유즈")</f>
        <v>유즈</v>
      </c>
      <c r="O810" s="26" t="str">
        <f>IFERROR(__xludf.DUMMYFUNCTION("""COMPUTED_VALUE"""),"ACDC")</f>
        <v>ACDC</v>
      </c>
      <c r="P810" s="26" t="str">
        <f>IFERROR(__xludf.DUMMYFUNCTION("""COMPUTED_VALUE"""),"태식")</f>
        <v>태식</v>
      </c>
      <c r="Q810" s="26" t="str">
        <f>IFERROR(__xludf.DUMMYFUNCTION("""COMPUTED_VALUE"""),"넘버")</f>
        <v>넘버</v>
      </c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27" t="s">
        <v>3498</v>
      </c>
      <c r="B811" s="28" t="s">
        <v>3499</v>
      </c>
      <c r="C811" s="27" t="s">
        <v>3500</v>
      </c>
      <c r="D811" s="27">
        <v>5.0</v>
      </c>
      <c r="E811" s="27" t="s">
        <v>3501</v>
      </c>
      <c r="F811" s="27">
        <v>0.0</v>
      </c>
      <c r="G811" s="29">
        <v>45718.60555555556</v>
      </c>
      <c r="H811" s="27" t="s">
        <v>3405</v>
      </c>
      <c r="I811" s="18"/>
      <c r="J811" s="25" t="str">
        <f>IFERROR(__xludf.DUMMYFUNCTION("ARRAYFORMULA(REGEXEXTRACT(SPLIT(C811, ""&lt;br&gt;""), ""([가-힣A-Za-z]+)""))"),"넘버")</f>
        <v>넘버</v>
      </c>
      <c r="K811" s="26" t="str">
        <f>IFERROR(__xludf.DUMMYFUNCTION("""COMPUTED_VALUE"""),"테리")</f>
        <v>테리</v>
      </c>
      <c r="L811" s="26" t="str">
        <f>IFERROR(__xludf.DUMMYFUNCTION("""COMPUTED_VALUE"""),"태식")</f>
        <v>태식</v>
      </c>
      <c r="M811" s="26" t="str">
        <f>IFERROR(__xludf.DUMMYFUNCTION("""COMPUTED_VALUE"""),"전투쥐")</f>
        <v>전투쥐</v>
      </c>
      <c r="N811" s="26" t="str">
        <f>IFERROR(__xludf.DUMMYFUNCTION("ARRAYFORMULA(REGEXEXTRACT(SPLIT(E811, ""&lt;br&gt;""), ""([가-힣A-Za-z]+)""))"),"유즈")</f>
        <v>유즈</v>
      </c>
      <c r="O811" s="26" t="str">
        <f>IFERROR(__xludf.DUMMYFUNCTION("""COMPUTED_VALUE"""),"ACDC")</f>
        <v>ACDC</v>
      </c>
      <c r="P811" s="26" t="str">
        <f>IFERROR(__xludf.DUMMYFUNCTION("""COMPUTED_VALUE"""),"노인")</f>
        <v>노인</v>
      </c>
      <c r="Q811" s="26" t="str">
        <f>IFERROR(__xludf.DUMMYFUNCTION("""COMPUTED_VALUE"""),"신형만")</f>
        <v>신형만</v>
      </c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27" t="s">
        <v>3502</v>
      </c>
      <c r="B812" s="28" t="s">
        <v>3503</v>
      </c>
      <c r="C812" s="27" t="s">
        <v>3504</v>
      </c>
      <c r="D812" s="27">
        <v>5.0</v>
      </c>
      <c r="E812" s="27" t="s">
        <v>3505</v>
      </c>
      <c r="F812" s="27">
        <v>2.0</v>
      </c>
      <c r="G812" s="29">
        <v>45718.104166666664</v>
      </c>
      <c r="H812" s="27" t="s">
        <v>3405</v>
      </c>
      <c r="I812" s="18"/>
      <c r="J812" s="25" t="str">
        <f>IFERROR(__xludf.DUMMYFUNCTION("ARRAYFORMULA(REGEXEXTRACT(SPLIT(C812, ""&lt;br&gt;""), ""([가-힣A-Za-z]+)""))"),"신형만")</f>
        <v>신형만</v>
      </c>
      <c r="K812" s="26" t="str">
        <f>IFERROR(__xludf.DUMMYFUNCTION("""COMPUTED_VALUE"""),"솔")</f>
        <v>솔</v>
      </c>
      <c r="L812" s="26" t="str">
        <f>IFERROR(__xludf.DUMMYFUNCTION("""COMPUTED_VALUE"""),"테리")</f>
        <v>테리</v>
      </c>
      <c r="M812" s="26" t="str">
        <f>IFERROR(__xludf.DUMMYFUNCTION("""COMPUTED_VALUE"""),"원")</f>
        <v>원</v>
      </c>
      <c r="N812" s="26" t="str">
        <f>IFERROR(__xludf.DUMMYFUNCTION("ARRAYFORMULA(REGEXEXTRACT(SPLIT(E812, ""&lt;br&gt;""), ""([가-힣A-Za-z]+)""))"),"태식")</f>
        <v>태식</v>
      </c>
      <c r="O812" s="26" t="str">
        <f>IFERROR(__xludf.DUMMYFUNCTION("""COMPUTED_VALUE"""),"넘버")</f>
        <v>넘버</v>
      </c>
      <c r="P812" s="26" t="str">
        <f>IFERROR(__xludf.DUMMYFUNCTION("""COMPUTED_VALUE"""),"참치")</f>
        <v>참치</v>
      </c>
      <c r="Q812" s="26" t="str">
        <f>IFERROR(__xludf.DUMMYFUNCTION("""COMPUTED_VALUE"""),"유망")</f>
        <v>유망</v>
      </c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27" t="s">
        <v>3506</v>
      </c>
      <c r="B813" s="28" t="s">
        <v>3507</v>
      </c>
      <c r="C813" s="27" t="s">
        <v>3508</v>
      </c>
      <c r="D813" s="27">
        <v>5.0</v>
      </c>
      <c r="E813" s="27" t="s">
        <v>3509</v>
      </c>
      <c r="F813" s="27">
        <v>0.0</v>
      </c>
      <c r="G813" s="29">
        <v>45718.08541666667</v>
      </c>
      <c r="H813" s="27" t="s">
        <v>3405</v>
      </c>
      <c r="I813" s="18"/>
      <c r="J813" s="25" t="str">
        <f>IFERROR(__xludf.DUMMYFUNCTION("ARRAYFORMULA(REGEXEXTRACT(SPLIT(C813, ""&lt;br&gt;""), ""([가-힣A-Za-z]+)""))"),"솔")</f>
        <v>솔</v>
      </c>
      <c r="K813" s="26" t="str">
        <f>IFERROR(__xludf.DUMMYFUNCTION("""COMPUTED_VALUE"""),"넘버")</f>
        <v>넘버</v>
      </c>
      <c r="L813" s="26" t="str">
        <f>IFERROR(__xludf.DUMMYFUNCTION("""COMPUTED_VALUE"""),"태식")</f>
        <v>태식</v>
      </c>
      <c r="M813" s="26" t="str">
        <f>IFERROR(__xludf.DUMMYFUNCTION("""COMPUTED_VALUE"""),"원")</f>
        <v>원</v>
      </c>
      <c r="N813" s="26" t="str">
        <f>IFERROR(__xludf.DUMMYFUNCTION("ARRAYFORMULA(REGEXEXTRACT(SPLIT(E813, ""&lt;br&gt;""), ""([가-힣A-Za-z]+)""))"),"참치")</f>
        <v>참치</v>
      </c>
      <c r="O813" s="26" t="str">
        <f>IFERROR(__xludf.DUMMYFUNCTION("""COMPUTED_VALUE"""),"테리")</f>
        <v>테리</v>
      </c>
      <c r="P813" s="26" t="str">
        <f>IFERROR(__xludf.DUMMYFUNCTION("""COMPUTED_VALUE"""),"신형만")</f>
        <v>신형만</v>
      </c>
      <c r="Q813" s="26" t="str">
        <f>IFERROR(__xludf.DUMMYFUNCTION("""COMPUTED_VALUE"""),"유망")</f>
        <v>유망</v>
      </c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27" t="s">
        <v>3510</v>
      </c>
      <c r="B814" s="28" t="s">
        <v>3511</v>
      </c>
      <c r="C814" s="27" t="s">
        <v>3512</v>
      </c>
      <c r="D814" s="27">
        <v>5.0</v>
      </c>
      <c r="E814" s="27" t="s">
        <v>3513</v>
      </c>
      <c r="F814" s="27">
        <v>3.0</v>
      </c>
      <c r="G814" s="29">
        <v>45718.069444444445</v>
      </c>
      <c r="H814" s="27" t="s">
        <v>3405</v>
      </c>
      <c r="I814" s="18"/>
      <c r="J814" s="25" t="str">
        <f>IFERROR(__xludf.DUMMYFUNCTION("ARRAYFORMULA(REGEXEXTRACT(SPLIT(C814, ""&lt;br&gt;""), ""([가-힣A-Za-z]+)""))"),"솔")</f>
        <v>솔</v>
      </c>
      <c r="K814" s="26" t="str">
        <f>IFERROR(__xludf.DUMMYFUNCTION("""COMPUTED_VALUE"""),"참치")</f>
        <v>참치</v>
      </c>
      <c r="L814" s="26" t="str">
        <f>IFERROR(__xludf.DUMMYFUNCTION("""COMPUTED_VALUE"""),"신형만")</f>
        <v>신형만</v>
      </c>
      <c r="M814" s="26" t="str">
        <f>IFERROR(__xludf.DUMMYFUNCTION("""COMPUTED_VALUE"""),"넘버")</f>
        <v>넘버</v>
      </c>
      <c r="N814" s="26" t="str">
        <f>IFERROR(__xludf.DUMMYFUNCTION("ARRAYFORMULA(REGEXEXTRACT(SPLIT(E814, ""&lt;br&gt;""), ""([가-힣A-Za-z]+)""))"),"테리")</f>
        <v>테리</v>
      </c>
      <c r="O814" s="26" t="str">
        <f>IFERROR(__xludf.DUMMYFUNCTION("""COMPUTED_VALUE"""),"태식")</f>
        <v>태식</v>
      </c>
      <c r="P814" s="26" t="str">
        <f>IFERROR(__xludf.DUMMYFUNCTION("""COMPUTED_VALUE"""),"원")</f>
        <v>원</v>
      </c>
      <c r="Q814" s="26" t="str">
        <f>IFERROR(__xludf.DUMMYFUNCTION("""COMPUTED_VALUE"""),"유망")</f>
        <v>유망</v>
      </c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27" t="s">
        <v>3514</v>
      </c>
      <c r="B815" s="28" t="s">
        <v>3515</v>
      </c>
      <c r="C815" s="27" t="s">
        <v>3516</v>
      </c>
      <c r="D815" s="27">
        <v>5.0</v>
      </c>
      <c r="E815" s="27" t="s">
        <v>3517</v>
      </c>
      <c r="F815" s="27">
        <v>1.0</v>
      </c>
      <c r="G815" s="29">
        <v>45718.03333333333</v>
      </c>
      <c r="H815" s="27" t="s">
        <v>3405</v>
      </c>
      <c r="I815" s="18"/>
      <c r="J815" s="25" t="str">
        <f>IFERROR(__xludf.DUMMYFUNCTION("ARRAYFORMULA(REGEXEXTRACT(SPLIT(C815, ""&lt;br&gt;""), ""([가-힣A-Za-z]+)""))"),"솔")</f>
        <v>솔</v>
      </c>
      <c r="K815" s="26" t="str">
        <f>IFERROR(__xludf.DUMMYFUNCTION("""COMPUTED_VALUE"""),"신형만")</f>
        <v>신형만</v>
      </c>
      <c r="L815" s="26" t="str">
        <f>IFERROR(__xludf.DUMMYFUNCTION("""COMPUTED_VALUE"""),"유즈")</f>
        <v>유즈</v>
      </c>
      <c r="M815" s="26" t="str">
        <f>IFERROR(__xludf.DUMMYFUNCTION("""COMPUTED_VALUE"""),"원")</f>
        <v>원</v>
      </c>
      <c r="N815" s="26" t="str">
        <f>IFERROR(__xludf.DUMMYFUNCTION("ARRAYFORMULA(REGEXEXTRACT(SPLIT(E815, ""&lt;br&gt;""), ""([가-힣A-Za-z]+)""))"),"테리")</f>
        <v>테리</v>
      </c>
      <c r="O815" s="26" t="str">
        <f>IFERROR(__xludf.DUMMYFUNCTION("""COMPUTED_VALUE"""),"참치")</f>
        <v>참치</v>
      </c>
      <c r="P815" s="26" t="str">
        <f>IFERROR(__xludf.DUMMYFUNCTION("""COMPUTED_VALUE"""),"태식")</f>
        <v>태식</v>
      </c>
      <c r="Q815" s="26" t="str">
        <f>IFERROR(__xludf.DUMMYFUNCTION("""COMPUTED_VALUE"""),"넘버")</f>
        <v>넘버</v>
      </c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27" t="s">
        <v>3518</v>
      </c>
      <c r="B816" s="28" t="s">
        <v>3519</v>
      </c>
      <c r="C816" s="27" t="s">
        <v>3520</v>
      </c>
      <c r="D816" s="27">
        <v>5.0</v>
      </c>
      <c r="E816" s="27" t="s">
        <v>3521</v>
      </c>
      <c r="F816" s="27">
        <v>1.0</v>
      </c>
      <c r="G816" s="29">
        <v>45718.01597222222</v>
      </c>
      <c r="H816" s="27" t="s">
        <v>3405</v>
      </c>
      <c r="I816" s="18"/>
      <c r="J816" s="25" t="str">
        <f>IFERROR(__xludf.DUMMYFUNCTION("ARRAYFORMULA(REGEXEXTRACT(SPLIT(C816, ""&lt;br&gt;""), ""([가-힣A-Za-z]+)""))"),"테리")</f>
        <v>테리</v>
      </c>
      <c r="K816" s="26" t="str">
        <f>IFERROR(__xludf.DUMMYFUNCTION("""COMPUTED_VALUE"""),"넘버")</f>
        <v>넘버</v>
      </c>
      <c r="L816" s="26" t="str">
        <f>IFERROR(__xludf.DUMMYFUNCTION("""COMPUTED_VALUE"""),"솔")</f>
        <v>솔</v>
      </c>
      <c r="M816" s="26" t="str">
        <f>IFERROR(__xludf.DUMMYFUNCTION("""COMPUTED_VALUE"""),"원")</f>
        <v>원</v>
      </c>
      <c r="N816" s="26" t="str">
        <f>IFERROR(__xludf.DUMMYFUNCTION("ARRAYFORMULA(REGEXEXTRACT(SPLIT(E816, ""&lt;br&gt;""), ""([가-힣A-Za-z]+)""))"),"참치")</f>
        <v>참치</v>
      </c>
      <c r="O816" s="26" t="str">
        <f>IFERROR(__xludf.DUMMYFUNCTION("""COMPUTED_VALUE"""),"태식")</f>
        <v>태식</v>
      </c>
      <c r="P816" s="26" t="str">
        <f>IFERROR(__xludf.DUMMYFUNCTION("""COMPUTED_VALUE"""),"유즈")</f>
        <v>유즈</v>
      </c>
      <c r="Q816" s="26" t="str">
        <f>IFERROR(__xludf.DUMMYFUNCTION("""COMPUTED_VALUE"""),"신형만")</f>
        <v>신형만</v>
      </c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27" t="s">
        <v>3522</v>
      </c>
      <c r="B817" s="28" t="s">
        <v>3523</v>
      </c>
      <c r="C817" s="27" t="s">
        <v>3524</v>
      </c>
      <c r="D817" s="27">
        <v>5.0</v>
      </c>
      <c r="E817" s="27" t="s">
        <v>3525</v>
      </c>
      <c r="F817" s="27">
        <v>0.0</v>
      </c>
      <c r="G817" s="29">
        <v>45718.0</v>
      </c>
      <c r="H817" s="27" t="s">
        <v>3405</v>
      </c>
      <c r="I817" s="18"/>
      <c r="J817" s="25" t="str">
        <f>IFERROR(__xludf.DUMMYFUNCTION("ARRAYFORMULA(REGEXEXTRACT(SPLIT(C817, ""&lt;br&gt;""), ""([가-힣A-Za-z]+)""))"),"신형만")</f>
        <v>신형만</v>
      </c>
      <c r="K817" s="26" t="str">
        <f>IFERROR(__xludf.DUMMYFUNCTION("""COMPUTED_VALUE"""),"테리")</f>
        <v>테리</v>
      </c>
      <c r="L817" s="26" t="str">
        <f>IFERROR(__xludf.DUMMYFUNCTION("""COMPUTED_VALUE"""),"태식")</f>
        <v>태식</v>
      </c>
      <c r="M817" s="26" t="str">
        <f>IFERROR(__xludf.DUMMYFUNCTION("""COMPUTED_VALUE"""),"솔")</f>
        <v>솔</v>
      </c>
      <c r="N817" s="26" t="str">
        <f>IFERROR(__xludf.DUMMYFUNCTION("ARRAYFORMULA(REGEXEXTRACT(SPLIT(E817, ""&lt;br&gt;""), ""([가-힣A-Za-z]+)""))"),"참치")</f>
        <v>참치</v>
      </c>
      <c r="O817" s="26" t="str">
        <f>IFERROR(__xludf.DUMMYFUNCTION("""COMPUTED_VALUE"""),"넘버")</f>
        <v>넘버</v>
      </c>
      <c r="P817" s="26" t="str">
        <f>IFERROR(__xludf.DUMMYFUNCTION("""COMPUTED_VALUE"""),"유즈")</f>
        <v>유즈</v>
      </c>
      <c r="Q817" s="26" t="str">
        <f>IFERROR(__xludf.DUMMYFUNCTION("""COMPUTED_VALUE"""),"원")</f>
        <v>원</v>
      </c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27" t="s">
        <v>3526</v>
      </c>
      <c r="B818" s="28" t="s">
        <v>3527</v>
      </c>
      <c r="C818" s="27" t="s">
        <v>3528</v>
      </c>
      <c r="D818" s="27">
        <v>5.0</v>
      </c>
      <c r="E818" s="27" t="s">
        <v>3529</v>
      </c>
      <c r="F818" s="27">
        <v>4.0</v>
      </c>
      <c r="G818" s="29">
        <v>45717.98819444444</v>
      </c>
      <c r="H818" s="27" t="s">
        <v>3405</v>
      </c>
      <c r="I818" s="18"/>
      <c r="J818" s="25" t="str">
        <f>IFERROR(__xludf.DUMMYFUNCTION("ARRAYFORMULA(REGEXEXTRACT(SPLIT(C818, ""&lt;br&gt;""), ""([가-힣A-Za-z]+)""))"),"원")</f>
        <v>원</v>
      </c>
      <c r="K818" s="26" t="str">
        <f>IFERROR(__xludf.DUMMYFUNCTION("""COMPUTED_VALUE"""),"솔")</f>
        <v>솔</v>
      </c>
      <c r="L818" s="26" t="str">
        <f>IFERROR(__xludf.DUMMYFUNCTION("""COMPUTED_VALUE"""),"신형만")</f>
        <v>신형만</v>
      </c>
      <c r="M818" s="26" t="str">
        <f>IFERROR(__xludf.DUMMYFUNCTION("""COMPUTED_VALUE"""),"넘버")</f>
        <v>넘버</v>
      </c>
      <c r="N818" s="26" t="str">
        <f>IFERROR(__xludf.DUMMYFUNCTION("ARRAYFORMULA(REGEXEXTRACT(SPLIT(E818, ""&lt;br&gt;""), ""([가-힣A-Za-z]+)""))"),"테리")</f>
        <v>테리</v>
      </c>
      <c r="O818" s="26" t="str">
        <f>IFERROR(__xludf.DUMMYFUNCTION("""COMPUTED_VALUE"""),"유즈")</f>
        <v>유즈</v>
      </c>
      <c r="P818" s="26" t="str">
        <f>IFERROR(__xludf.DUMMYFUNCTION("""COMPUTED_VALUE"""),"태식")</f>
        <v>태식</v>
      </c>
      <c r="Q818" s="26" t="str">
        <f>IFERROR(__xludf.DUMMYFUNCTION("""COMPUTED_VALUE"""),"참치")</f>
        <v>참치</v>
      </c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27" t="s">
        <v>3530</v>
      </c>
      <c r="B819" s="28" t="s">
        <v>3531</v>
      </c>
      <c r="C819" s="27" t="s">
        <v>3532</v>
      </c>
      <c r="D819" s="27">
        <v>5.0</v>
      </c>
      <c r="E819" s="27" t="s">
        <v>3533</v>
      </c>
      <c r="F819" s="27">
        <v>1.0</v>
      </c>
      <c r="G819" s="29">
        <v>45717.95625</v>
      </c>
      <c r="H819" s="27" t="s">
        <v>3405</v>
      </c>
      <c r="I819" s="18"/>
      <c r="J819" s="25" t="str">
        <f>IFERROR(__xludf.DUMMYFUNCTION("ARRAYFORMULA(REGEXEXTRACT(SPLIT(C819, ""&lt;br&gt;""), ""([가-힣A-Za-z]+)""))"),"태식")</f>
        <v>태식</v>
      </c>
      <c r="K819" s="26" t="str">
        <f>IFERROR(__xludf.DUMMYFUNCTION("""COMPUTED_VALUE"""),"테리")</f>
        <v>테리</v>
      </c>
      <c r="L819" s="26" t="str">
        <f>IFERROR(__xludf.DUMMYFUNCTION("""COMPUTED_VALUE"""),"원")</f>
        <v>원</v>
      </c>
      <c r="M819" s="26" t="str">
        <f>IFERROR(__xludf.DUMMYFUNCTION("""COMPUTED_VALUE"""),"넘버")</f>
        <v>넘버</v>
      </c>
      <c r="N819" s="26" t="str">
        <f>IFERROR(__xludf.DUMMYFUNCTION("ARRAYFORMULA(REGEXEXTRACT(SPLIT(E819, ""&lt;br&gt;""), ""([가-힣A-Za-z]+)""))"),"신형만")</f>
        <v>신형만</v>
      </c>
      <c r="O819" s="26" t="str">
        <f>IFERROR(__xludf.DUMMYFUNCTION("""COMPUTED_VALUE"""),"솔")</f>
        <v>솔</v>
      </c>
      <c r="P819" s="26" t="str">
        <f>IFERROR(__xludf.DUMMYFUNCTION("""COMPUTED_VALUE"""),"유즈")</f>
        <v>유즈</v>
      </c>
      <c r="Q819" s="26" t="str">
        <f>IFERROR(__xludf.DUMMYFUNCTION("""COMPUTED_VALUE"""),"참치")</f>
        <v>참치</v>
      </c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27" t="s">
        <v>3534</v>
      </c>
      <c r="B820" s="28" t="s">
        <v>3535</v>
      </c>
      <c r="C820" s="27" t="s">
        <v>3536</v>
      </c>
      <c r="D820" s="27">
        <v>5.0</v>
      </c>
      <c r="E820" s="27" t="s">
        <v>3537</v>
      </c>
      <c r="F820" s="27">
        <v>3.0</v>
      </c>
      <c r="G820" s="29">
        <v>45717.936111111114</v>
      </c>
      <c r="H820" s="27" t="s">
        <v>3405</v>
      </c>
      <c r="I820" s="18"/>
      <c r="J820" s="25" t="str">
        <f>IFERROR(__xludf.DUMMYFUNCTION("ARRAYFORMULA(REGEXEXTRACT(SPLIT(C820, ""&lt;br&gt;""), ""([가-힣A-Za-z]+)""))"),"원")</f>
        <v>원</v>
      </c>
      <c r="K820" s="26" t="str">
        <f>IFERROR(__xludf.DUMMYFUNCTION("""COMPUTED_VALUE"""),"참치")</f>
        <v>참치</v>
      </c>
      <c r="L820" s="26" t="str">
        <f>IFERROR(__xludf.DUMMYFUNCTION("""COMPUTED_VALUE"""),"태식")</f>
        <v>태식</v>
      </c>
      <c r="M820" s="26" t="str">
        <f>IFERROR(__xludf.DUMMYFUNCTION("""COMPUTED_VALUE"""),"신형만")</f>
        <v>신형만</v>
      </c>
      <c r="N820" s="26" t="str">
        <f>IFERROR(__xludf.DUMMYFUNCTION("ARRAYFORMULA(REGEXEXTRACT(SPLIT(E820, ""&lt;br&gt;""), ""([가-힣A-Za-z]+)""))"),"넘버")</f>
        <v>넘버</v>
      </c>
      <c r="O820" s="26" t="str">
        <f>IFERROR(__xludf.DUMMYFUNCTION("""COMPUTED_VALUE"""),"유즈")</f>
        <v>유즈</v>
      </c>
      <c r="P820" s="26" t="str">
        <f>IFERROR(__xludf.DUMMYFUNCTION("""COMPUTED_VALUE"""),"테리")</f>
        <v>테리</v>
      </c>
      <c r="Q820" s="26" t="str">
        <f>IFERROR(__xludf.DUMMYFUNCTION("""COMPUTED_VALUE"""),"솔")</f>
        <v>솔</v>
      </c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27" t="s">
        <v>3538</v>
      </c>
      <c r="B821" s="28" t="s">
        <v>3539</v>
      </c>
      <c r="C821" s="27" t="s">
        <v>3540</v>
      </c>
      <c r="D821" s="27">
        <v>5.0</v>
      </c>
      <c r="E821" s="27" t="s">
        <v>3541</v>
      </c>
      <c r="F821" s="27">
        <v>2.0</v>
      </c>
      <c r="G821" s="29">
        <v>45715.06041666667</v>
      </c>
      <c r="H821" s="27" t="s">
        <v>3405</v>
      </c>
      <c r="I821" s="18"/>
      <c r="J821" s="25" t="str">
        <f>IFERROR(__xludf.DUMMYFUNCTION("ARRAYFORMULA(REGEXEXTRACT(SPLIT(C821, ""&lt;br&gt;""), ""([가-힣A-Za-z]+)""))"),"깡패")</f>
        <v>깡패</v>
      </c>
      <c r="K821" s="26" t="str">
        <f>IFERROR(__xludf.DUMMYFUNCTION("""COMPUTED_VALUE"""),"테리")</f>
        <v>테리</v>
      </c>
      <c r="L821" s="26" t="str">
        <f>IFERROR(__xludf.DUMMYFUNCTION("""COMPUTED_VALUE"""),"태식")</f>
        <v>태식</v>
      </c>
      <c r="M821" s="26" t="str">
        <f>IFERROR(__xludf.DUMMYFUNCTION("""COMPUTED_VALUE"""),"민우")</f>
        <v>민우</v>
      </c>
      <c r="N821" s="26" t="str">
        <f>IFERROR(__xludf.DUMMYFUNCTION("ARRAYFORMULA(REGEXEXTRACT(SPLIT(E821, ""&lt;br&gt;""), ""([가-힣A-Za-z]+)""))"),"ACDC")</f>
        <v>ACDC</v>
      </c>
      <c r="O821" s="26" t="str">
        <f>IFERROR(__xludf.DUMMYFUNCTION("""COMPUTED_VALUE"""),"노인")</f>
        <v>노인</v>
      </c>
      <c r="P821" s="26" t="str">
        <f>IFERROR(__xludf.DUMMYFUNCTION("""COMPUTED_VALUE"""),"신형만")</f>
        <v>신형만</v>
      </c>
      <c r="Q821" s="26" t="str">
        <f>IFERROR(__xludf.DUMMYFUNCTION("""COMPUTED_VALUE"""),"유망")</f>
        <v>유망</v>
      </c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27" t="s">
        <v>3542</v>
      </c>
      <c r="B822" s="28" t="s">
        <v>3543</v>
      </c>
      <c r="C822" s="27" t="s">
        <v>3544</v>
      </c>
      <c r="D822" s="27">
        <v>5.0</v>
      </c>
      <c r="E822" s="27" t="s">
        <v>3545</v>
      </c>
      <c r="F822" s="27">
        <v>3.0</v>
      </c>
      <c r="G822" s="29">
        <v>45715.02569444444</v>
      </c>
      <c r="H822" s="27" t="s">
        <v>3405</v>
      </c>
      <c r="I822" s="18"/>
      <c r="J822" s="25" t="str">
        <f>IFERROR(__xludf.DUMMYFUNCTION("ARRAYFORMULA(REGEXEXTRACT(SPLIT(C822, ""&lt;br&gt;""), ""([가-힣A-Za-z]+)""))"),"테리")</f>
        <v>테리</v>
      </c>
      <c r="K822" s="26" t="str">
        <f>IFERROR(__xludf.DUMMYFUNCTION("""COMPUTED_VALUE"""),"노인")</f>
        <v>노인</v>
      </c>
      <c r="L822" s="26" t="str">
        <f>IFERROR(__xludf.DUMMYFUNCTION("""COMPUTED_VALUE"""),"태식")</f>
        <v>태식</v>
      </c>
      <c r="M822" s="26" t="str">
        <f>IFERROR(__xludf.DUMMYFUNCTION("""COMPUTED_VALUE"""),"신형만")</f>
        <v>신형만</v>
      </c>
      <c r="N822" s="26" t="str">
        <f>IFERROR(__xludf.DUMMYFUNCTION("ARRAYFORMULA(REGEXEXTRACT(SPLIT(E822, ""&lt;br&gt;""), ""([가-힣A-Za-z]+)""))"),"깡패")</f>
        <v>깡패</v>
      </c>
      <c r="O822" s="26" t="str">
        <f>IFERROR(__xludf.DUMMYFUNCTION("""COMPUTED_VALUE"""),"ACDC")</f>
        <v>ACDC</v>
      </c>
      <c r="P822" s="26" t="str">
        <f>IFERROR(__xludf.DUMMYFUNCTION("""COMPUTED_VALUE"""),"한메")</f>
        <v>한메</v>
      </c>
      <c r="Q822" s="26" t="str">
        <f>IFERROR(__xludf.DUMMYFUNCTION("""COMPUTED_VALUE"""),"유망")</f>
        <v>유망</v>
      </c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27" t="s">
        <v>3546</v>
      </c>
      <c r="B823" s="28" t="s">
        <v>3547</v>
      </c>
      <c r="C823" s="27" t="s">
        <v>3548</v>
      </c>
      <c r="D823" s="27">
        <v>5.0</v>
      </c>
      <c r="E823" s="27" t="s">
        <v>3549</v>
      </c>
      <c r="F823" s="27">
        <v>4.0</v>
      </c>
      <c r="G823" s="29">
        <v>45714.990277777775</v>
      </c>
      <c r="H823" s="27" t="s">
        <v>3405</v>
      </c>
      <c r="I823" s="18"/>
      <c r="J823" s="25" t="str">
        <f>IFERROR(__xludf.DUMMYFUNCTION("ARRAYFORMULA(REGEXEXTRACT(SPLIT(C823, ""&lt;br&gt;""), ""([가-힣A-Za-z]+)""))"),"ACDC")</f>
        <v>ACDC</v>
      </c>
      <c r="K823" s="26" t="str">
        <f>IFERROR(__xludf.DUMMYFUNCTION("""COMPUTED_VALUE"""),"신형만")</f>
        <v>신형만</v>
      </c>
      <c r="L823" s="26" t="str">
        <f>IFERROR(__xludf.DUMMYFUNCTION("""COMPUTED_VALUE"""),"규식")</f>
        <v>규식</v>
      </c>
      <c r="M823" s="26" t="str">
        <f>IFERROR(__xludf.DUMMYFUNCTION("""COMPUTED_VALUE"""),"재우")</f>
        <v>재우</v>
      </c>
      <c r="N823" s="26" t="str">
        <f>IFERROR(__xludf.DUMMYFUNCTION("ARRAYFORMULA(REGEXEXTRACT(SPLIT(E823, ""&lt;br&gt;""), ""([가-힣A-Za-z]+)""))"),"유망")</f>
        <v>유망</v>
      </c>
      <c r="O823" s="26" t="str">
        <f>IFERROR(__xludf.DUMMYFUNCTION("""COMPUTED_VALUE"""),"노인")</f>
        <v>노인</v>
      </c>
      <c r="P823" s="26" t="str">
        <f>IFERROR(__xludf.DUMMYFUNCTION("""COMPUTED_VALUE"""),"태식")</f>
        <v>태식</v>
      </c>
      <c r="Q823" s="26" t="str">
        <f>IFERROR(__xludf.DUMMYFUNCTION("""COMPUTED_VALUE"""),"한메")</f>
        <v>한메</v>
      </c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27" t="s">
        <v>3550</v>
      </c>
      <c r="B824" s="28" t="s">
        <v>3551</v>
      </c>
      <c r="C824" s="27" t="s">
        <v>3552</v>
      </c>
      <c r="D824" s="27">
        <v>5.0</v>
      </c>
      <c r="E824" s="27" t="s">
        <v>3553</v>
      </c>
      <c r="F824" s="27">
        <v>1.0</v>
      </c>
      <c r="G824" s="29">
        <v>45714.941666666666</v>
      </c>
      <c r="H824" s="27" t="s">
        <v>3405</v>
      </c>
      <c r="I824" s="18"/>
      <c r="J824" s="25" t="str">
        <f>IFERROR(__xludf.DUMMYFUNCTION("ARRAYFORMULA(REGEXEXTRACT(SPLIT(C824, ""&lt;br&gt;""), ""([가-힣A-Za-z]+)""))"),"넘버")</f>
        <v>넘버</v>
      </c>
      <c r="K824" s="26" t="str">
        <f>IFERROR(__xludf.DUMMYFUNCTION("""COMPUTED_VALUE"""),"재우")</f>
        <v>재우</v>
      </c>
      <c r="L824" s="26" t="str">
        <f>IFERROR(__xludf.DUMMYFUNCTION("""COMPUTED_VALUE"""),"신형만")</f>
        <v>신형만</v>
      </c>
      <c r="M824" s="26" t="str">
        <f>IFERROR(__xludf.DUMMYFUNCTION("""COMPUTED_VALUE"""),"태식")</f>
        <v>태식</v>
      </c>
      <c r="N824" s="26" t="str">
        <f>IFERROR(__xludf.DUMMYFUNCTION("ARRAYFORMULA(REGEXEXTRACT(SPLIT(E824, ""&lt;br&gt;""), ""([가-힣A-Za-z]+)""))"),"유망")</f>
        <v>유망</v>
      </c>
      <c r="O824" s="26" t="str">
        <f>IFERROR(__xludf.DUMMYFUNCTION("""COMPUTED_VALUE"""),"ACDC")</f>
        <v>ACDC</v>
      </c>
      <c r="P824" s="26" t="str">
        <f>IFERROR(__xludf.DUMMYFUNCTION("""COMPUTED_VALUE"""),"한메")</f>
        <v>한메</v>
      </c>
      <c r="Q824" s="26" t="str">
        <f>IFERROR(__xludf.DUMMYFUNCTION("""COMPUTED_VALUE"""),"규식")</f>
        <v>규식</v>
      </c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27" t="s">
        <v>3554</v>
      </c>
      <c r="B825" s="28" t="s">
        <v>3555</v>
      </c>
      <c r="C825" s="27" t="s">
        <v>3556</v>
      </c>
      <c r="D825" s="27">
        <v>5.0</v>
      </c>
      <c r="E825" s="27" t="s">
        <v>3557</v>
      </c>
      <c r="F825" s="27">
        <v>0.0</v>
      </c>
      <c r="G825" s="29">
        <v>45714.92152777778</v>
      </c>
      <c r="H825" s="27" t="s">
        <v>3405</v>
      </c>
      <c r="I825" s="18"/>
      <c r="J825" s="25" t="str">
        <f>IFERROR(__xludf.DUMMYFUNCTION("ARRAYFORMULA(REGEXEXTRACT(SPLIT(C825, ""&lt;br&gt;""), ""([가-힣A-Za-z]+)""))"),"재우")</f>
        <v>재우</v>
      </c>
      <c r="K825" s="26" t="str">
        <f>IFERROR(__xludf.DUMMYFUNCTION("""COMPUTED_VALUE"""),"노인")</f>
        <v>노인</v>
      </c>
      <c r="L825" s="26" t="str">
        <f>IFERROR(__xludf.DUMMYFUNCTION("""COMPUTED_VALUE"""),"테리")</f>
        <v>테리</v>
      </c>
      <c r="M825" s="26" t="str">
        <f>IFERROR(__xludf.DUMMYFUNCTION("""COMPUTED_VALUE"""),"유망")</f>
        <v>유망</v>
      </c>
      <c r="N825" s="26" t="str">
        <f>IFERROR(__xludf.DUMMYFUNCTION("ARRAYFORMULA(REGEXEXTRACT(SPLIT(E825, ""&lt;br&gt;""), ""([가-힣A-Za-z]+)""))"),"넘버")</f>
        <v>넘버</v>
      </c>
      <c r="O825" s="26" t="str">
        <f>IFERROR(__xludf.DUMMYFUNCTION("""COMPUTED_VALUE"""),"ACDC")</f>
        <v>ACDC</v>
      </c>
      <c r="P825" s="26" t="str">
        <f>IFERROR(__xludf.DUMMYFUNCTION("""COMPUTED_VALUE"""),"신형만")</f>
        <v>신형만</v>
      </c>
      <c r="Q825" s="26" t="str">
        <f>IFERROR(__xludf.DUMMYFUNCTION("""COMPUTED_VALUE"""),"태식")</f>
        <v>태식</v>
      </c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27" t="s">
        <v>3558</v>
      </c>
      <c r="B826" s="28" t="s">
        <v>3559</v>
      </c>
      <c r="C826" s="27" t="s">
        <v>3560</v>
      </c>
      <c r="D826" s="27">
        <v>5.0</v>
      </c>
      <c r="E826" s="27" t="s">
        <v>3561</v>
      </c>
      <c r="F826" s="27">
        <v>4.0</v>
      </c>
      <c r="G826" s="29">
        <v>45714.90625</v>
      </c>
      <c r="H826" s="27" t="s">
        <v>3405</v>
      </c>
      <c r="I826" s="18"/>
      <c r="J826" s="25" t="str">
        <f>IFERROR(__xludf.DUMMYFUNCTION("ARRAYFORMULA(REGEXEXTRACT(SPLIT(C826, ""&lt;br&gt;""), ""([가-힣A-Za-z]+)""))"),"노인")</f>
        <v>노인</v>
      </c>
      <c r="K826" s="26" t="str">
        <f>IFERROR(__xludf.DUMMYFUNCTION("""COMPUTED_VALUE"""),"ACDC")</f>
        <v>ACDC</v>
      </c>
      <c r="L826" s="26" t="str">
        <f>IFERROR(__xludf.DUMMYFUNCTION("""COMPUTED_VALUE"""),"테리")</f>
        <v>테리</v>
      </c>
      <c r="M826" s="26" t="str">
        <f>IFERROR(__xludf.DUMMYFUNCTION("""COMPUTED_VALUE"""),"신형만")</f>
        <v>신형만</v>
      </c>
      <c r="N826" s="26" t="str">
        <f>IFERROR(__xludf.DUMMYFUNCTION("ARRAYFORMULA(REGEXEXTRACT(SPLIT(E826, ""&lt;br&gt;""), ""([가-힣A-Za-z]+)""))"),"재우")</f>
        <v>재우</v>
      </c>
      <c r="O826" s="26" t="str">
        <f>IFERROR(__xludf.DUMMYFUNCTION("""COMPUTED_VALUE"""),"태식")</f>
        <v>태식</v>
      </c>
      <c r="P826" s="26" t="str">
        <f>IFERROR(__xludf.DUMMYFUNCTION("""COMPUTED_VALUE"""),"한메")</f>
        <v>한메</v>
      </c>
      <c r="Q826" s="26" t="str">
        <f>IFERROR(__xludf.DUMMYFUNCTION("""COMPUTED_VALUE"""),"넘버")</f>
        <v>넘버</v>
      </c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27" t="s">
        <v>3562</v>
      </c>
      <c r="B827" s="28" t="s">
        <v>3563</v>
      </c>
      <c r="C827" s="27" t="s">
        <v>3564</v>
      </c>
      <c r="D827" s="27">
        <v>5.0</v>
      </c>
      <c r="E827" s="27" t="s">
        <v>3565</v>
      </c>
      <c r="F827" s="27">
        <v>1.0</v>
      </c>
      <c r="G827" s="29">
        <v>45714.87777777778</v>
      </c>
      <c r="H827" s="27" t="s">
        <v>3405</v>
      </c>
      <c r="I827" s="18"/>
      <c r="J827" s="25" t="str">
        <f>IFERROR(__xludf.DUMMYFUNCTION("ARRAYFORMULA(REGEXEXTRACT(SPLIT(C827, ""&lt;br&gt;""), ""([가-힣A-Za-z]+)""))"),"태식")</f>
        <v>태식</v>
      </c>
      <c r="K827" s="26" t="str">
        <f>IFERROR(__xludf.DUMMYFUNCTION("""COMPUTED_VALUE"""),"테리")</f>
        <v>테리</v>
      </c>
      <c r="L827" s="26" t="str">
        <f>IFERROR(__xludf.DUMMYFUNCTION("""COMPUTED_VALUE"""),"넘버")</f>
        <v>넘버</v>
      </c>
      <c r="M827" s="26" t="str">
        <f>IFERROR(__xludf.DUMMYFUNCTION("""COMPUTED_VALUE"""),"신형만")</f>
        <v>신형만</v>
      </c>
      <c r="N827" s="26" t="str">
        <f>IFERROR(__xludf.DUMMYFUNCTION("ARRAYFORMULA(REGEXEXTRACT(SPLIT(E827, ""&lt;br&gt;""), ""([가-힣A-Za-z]+)""))"),"ACDC")</f>
        <v>ACDC</v>
      </c>
      <c r="O827" s="26" t="str">
        <f>IFERROR(__xludf.DUMMYFUNCTION("""COMPUTED_VALUE"""),"노인")</f>
        <v>노인</v>
      </c>
      <c r="P827" s="26" t="str">
        <f>IFERROR(__xludf.DUMMYFUNCTION("""COMPUTED_VALUE"""),"재우")</f>
        <v>재우</v>
      </c>
      <c r="Q827" s="26" t="str">
        <f>IFERROR(__xludf.DUMMYFUNCTION("""COMPUTED_VALUE"""),"한메")</f>
        <v>한메</v>
      </c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27" t="s">
        <v>3566</v>
      </c>
      <c r="B828" s="28" t="s">
        <v>3567</v>
      </c>
      <c r="C828" s="27" t="s">
        <v>3568</v>
      </c>
      <c r="D828" s="27">
        <v>5.0</v>
      </c>
      <c r="E828" s="27" t="s">
        <v>3569</v>
      </c>
      <c r="F828" s="27">
        <v>2.0</v>
      </c>
      <c r="G828" s="29">
        <v>45714.86041666667</v>
      </c>
      <c r="H828" s="27" t="s">
        <v>3405</v>
      </c>
      <c r="I828" s="18"/>
      <c r="J828" s="25" t="str">
        <f>IFERROR(__xludf.DUMMYFUNCTION("ARRAYFORMULA(REGEXEXTRACT(SPLIT(C828, ""&lt;br&gt;""), ""([가-힣A-Za-z]+)""))"),"한메")</f>
        <v>한메</v>
      </c>
      <c r="K828" s="26" t="str">
        <f>IFERROR(__xludf.DUMMYFUNCTION("""COMPUTED_VALUE"""),"넘버")</f>
        <v>넘버</v>
      </c>
      <c r="L828" s="26" t="str">
        <f>IFERROR(__xludf.DUMMYFUNCTION("""COMPUTED_VALUE"""),"신형만")</f>
        <v>신형만</v>
      </c>
      <c r="M828" s="26" t="str">
        <f>IFERROR(__xludf.DUMMYFUNCTION("""COMPUTED_VALUE"""),"노인")</f>
        <v>노인</v>
      </c>
      <c r="N828" s="26" t="str">
        <f>IFERROR(__xludf.DUMMYFUNCTION("ARRAYFORMULA(REGEXEXTRACT(SPLIT(E828, ""&lt;br&gt;""), ""([가-힣A-Za-z]+)""))"),"테리")</f>
        <v>테리</v>
      </c>
      <c r="O828" s="26" t="str">
        <f>IFERROR(__xludf.DUMMYFUNCTION("""COMPUTED_VALUE"""),"ACDC")</f>
        <v>ACDC</v>
      </c>
      <c r="P828" s="26" t="str">
        <f>IFERROR(__xludf.DUMMYFUNCTION("""COMPUTED_VALUE"""),"재우")</f>
        <v>재우</v>
      </c>
      <c r="Q828" s="26" t="str">
        <f>IFERROR(__xludf.DUMMYFUNCTION("""COMPUTED_VALUE"""),"태식")</f>
        <v>태식</v>
      </c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27" t="s">
        <v>3570</v>
      </c>
      <c r="B829" s="28" t="s">
        <v>3571</v>
      </c>
      <c r="C829" s="27" t="s">
        <v>3572</v>
      </c>
      <c r="D829" s="27">
        <v>5.0</v>
      </c>
      <c r="E829" s="27" t="s">
        <v>3573</v>
      </c>
      <c r="F829" s="27">
        <v>3.0</v>
      </c>
      <c r="G829" s="29">
        <v>45714.433333333334</v>
      </c>
      <c r="H829" s="27" t="s">
        <v>3405</v>
      </c>
      <c r="I829" s="18"/>
      <c r="J829" s="25" t="str">
        <f>IFERROR(__xludf.DUMMYFUNCTION("ARRAYFORMULA(REGEXEXTRACT(SPLIT(C829, ""&lt;br&gt;""), ""([가-힣A-Za-z]+)""))"),"한메")</f>
        <v>한메</v>
      </c>
      <c r="K829" s="26" t="str">
        <f>IFERROR(__xludf.DUMMYFUNCTION("""COMPUTED_VALUE"""),"ACDC")</f>
        <v>ACDC</v>
      </c>
      <c r="L829" s="26" t="str">
        <f>IFERROR(__xludf.DUMMYFUNCTION("""COMPUTED_VALUE"""),"노인")</f>
        <v>노인</v>
      </c>
      <c r="M829" s="26" t="str">
        <f>IFERROR(__xludf.DUMMYFUNCTION("""COMPUTED_VALUE"""),"넘버")</f>
        <v>넘버</v>
      </c>
      <c r="N829" s="26" t="str">
        <f>IFERROR(__xludf.DUMMYFUNCTION("ARRAYFORMULA(REGEXEXTRACT(SPLIT(E829, ""&lt;br&gt;""), ""([가-힣A-Za-z]+)""))"),"재명")</f>
        <v>재명</v>
      </c>
      <c r="O829" s="26" t="str">
        <f>IFERROR(__xludf.DUMMYFUNCTION("""COMPUTED_VALUE"""),"신형만")</f>
        <v>신형만</v>
      </c>
      <c r="P829" s="26" t="str">
        <f>IFERROR(__xludf.DUMMYFUNCTION("""COMPUTED_VALUE"""),"테리")</f>
        <v>테리</v>
      </c>
      <c r="Q829" s="26" t="str">
        <f>IFERROR(__xludf.DUMMYFUNCTION("""COMPUTED_VALUE"""),"태식")</f>
        <v>태식</v>
      </c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27" t="s">
        <v>3574</v>
      </c>
      <c r="B830" s="28" t="s">
        <v>3575</v>
      </c>
      <c r="C830" s="27" t="s">
        <v>3576</v>
      </c>
      <c r="D830" s="27">
        <v>5.0</v>
      </c>
      <c r="E830" s="27" t="s">
        <v>3577</v>
      </c>
      <c r="F830" s="27">
        <v>2.0</v>
      </c>
      <c r="G830" s="29">
        <v>45713.950694444444</v>
      </c>
      <c r="H830" s="27" t="s">
        <v>3405</v>
      </c>
      <c r="I830" s="18"/>
      <c r="J830" s="25" t="str">
        <f>IFERROR(__xludf.DUMMYFUNCTION("ARRAYFORMULA(REGEXEXTRACT(SPLIT(C830, ""&lt;br&gt;""), ""([가-힣A-Za-z]+)""))"),"테리")</f>
        <v>테리</v>
      </c>
      <c r="K830" s="26" t="str">
        <f>IFERROR(__xludf.DUMMYFUNCTION("""COMPUTED_VALUE"""),"신형만")</f>
        <v>신형만</v>
      </c>
      <c r="L830" s="26" t="str">
        <f>IFERROR(__xludf.DUMMYFUNCTION("""COMPUTED_VALUE"""),"민우")</f>
        <v>민우</v>
      </c>
      <c r="M830" s="26" t="str">
        <f>IFERROR(__xludf.DUMMYFUNCTION("""COMPUTED_VALUE"""),"한메")</f>
        <v>한메</v>
      </c>
      <c r="N830" s="26" t="str">
        <f>IFERROR(__xludf.DUMMYFUNCTION("ARRAYFORMULA(REGEXEXTRACT(SPLIT(E830, ""&lt;br&gt;""), ""([가-힣A-Za-z]+)""))"),"노인")</f>
        <v>노인</v>
      </c>
      <c r="O830" s="26" t="str">
        <f>IFERROR(__xludf.DUMMYFUNCTION("""COMPUTED_VALUE"""),"넘버")</f>
        <v>넘버</v>
      </c>
      <c r="P830" s="26" t="str">
        <f>IFERROR(__xludf.DUMMYFUNCTION("""COMPUTED_VALUE"""),"ACDC")</f>
        <v>ACDC</v>
      </c>
      <c r="Q830" s="26" t="str">
        <f>IFERROR(__xludf.DUMMYFUNCTION("""COMPUTED_VALUE"""),"태식")</f>
        <v>태식</v>
      </c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27" t="s">
        <v>3578</v>
      </c>
      <c r="B831" s="28" t="s">
        <v>3579</v>
      </c>
      <c r="C831" s="27" t="s">
        <v>3580</v>
      </c>
      <c r="D831" s="27">
        <v>5.0</v>
      </c>
      <c r="E831" s="27" t="s">
        <v>3581</v>
      </c>
      <c r="F831" s="27">
        <v>1.0</v>
      </c>
      <c r="G831" s="29">
        <v>45713.933333333334</v>
      </c>
      <c r="H831" s="27" t="s">
        <v>3405</v>
      </c>
      <c r="I831" s="18"/>
      <c r="J831" s="25" t="str">
        <f>IFERROR(__xludf.DUMMYFUNCTION("ARRAYFORMULA(REGEXEXTRACT(SPLIT(C831, ""&lt;br&gt;""), ""([가-힣A-Za-z]+)""))"),"테리")</f>
        <v>테리</v>
      </c>
      <c r="K831" s="26" t="str">
        <f>IFERROR(__xludf.DUMMYFUNCTION("""COMPUTED_VALUE"""),"노인")</f>
        <v>노인</v>
      </c>
      <c r="L831" s="26" t="str">
        <f>IFERROR(__xludf.DUMMYFUNCTION("""COMPUTED_VALUE"""),"민우")</f>
        <v>민우</v>
      </c>
      <c r="M831" s="26" t="str">
        <f>IFERROR(__xludf.DUMMYFUNCTION("""COMPUTED_VALUE"""),"넘버")</f>
        <v>넘버</v>
      </c>
      <c r="N831" s="26" t="str">
        <f>IFERROR(__xludf.DUMMYFUNCTION("ARRAYFORMULA(REGEXEXTRACT(SPLIT(E831, ""&lt;br&gt;""), ""([가-힣A-Za-z]+)""))"),"한메")</f>
        <v>한메</v>
      </c>
      <c r="O831" s="26" t="str">
        <f>IFERROR(__xludf.DUMMYFUNCTION("""COMPUTED_VALUE"""),"태식")</f>
        <v>태식</v>
      </c>
      <c r="P831" s="26" t="str">
        <f>IFERROR(__xludf.DUMMYFUNCTION("""COMPUTED_VALUE"""),"ACDC")</f>
        <v>ACDC</v>
      </c>
      <c r="Q831" s="26" t="str">
        <f>IFERROR(__xludf.DUMMYFUNCTION("""COMPUTED_VALUE"""),"신형만")</f>
        <v>신형만</v>
      </c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27" t="s">
        <v>3582</v>
      </c>
      <c r="B832" s="28" t="s">
        <v>3583</v>
      </c>
      <c r="C832" s="27" t="s">
        <v>3584</v>
      </c>
      <c r="D832" s="27">
        <v>5.0</v>
      </c>
      <c r="E832" s="27" t="s">
        <v>3585</v>
      </c>
      <c r="F832" s="27">
        <v>3.0</v>
      </c>
      <c r="G832" s="29">
        <v>45713.910416666666</v>
      </c>
      <c r="H832" s="27" t="s">
        <v>3405</v>
      </c>
      <c r="I832" s="18"/>
      <c r="J832" s="25" t="str">
        <f>IFERROR(__xludf.DUMMYFUNCTION("ARRAYFORMULA(REGEXEXTRACT(SPLIT(C832, ""&lt;br&gt;""), ""([가-힣A-Za-z]+)""))"),"신형만")</f>
        <v>신형만</v>
      </c>
      <c r="K832" s="26" t="str">
        <f>IFERROR(__xludf.DUMMYFUNCTION("""COMPUTED_VALUE"""),"테리")</f>
        <v>테리</v>
      </c>
      <c r="L832" s="26" t="str">
        <f>IFERROR(__xludf.DUMMYFUNCTION("""COMPUTED_VALUE"""),"노인")</f>
        <v>노인</v>
      </c>
      <c r="M832" s="26" t="str">
        <f>IFERROR(__xludf.DUMMYFUNCTION("""COMPUTED_VALUE"""),"한메")</f>
        <v>한메</v>
      </c>
      <c r="N832" s="26" t="str">
        <f>IFERROR(__xludf.DUMMYFUNCTION("ARRAYFORMULA(REGEXEXTRACT(SPLIT(E832, ""&lt;br&gt;""), ""([가-힣A-Za-z]+)""))"),"재명")</f>
        <v>재명</v>
      </c>
      <c r="O832" s="26" t="str">
        <f>IFERROR(__xludf.DUMMYFUNCTION("""COMPUTED_VALUE"""),"ACDC")</f>
        <v>ACDC</v>
      </c>
      <c r="P832" s="26" t="str">
        <f>IFERROR(__xludf.DUMMYFUNCTION("""COMPUTED_VALUE"""),"태식")</f>
        <v>태식</v>
      </c>
      <c r="Q832" s="26" t="str">
        <f>IFERROR(__xludf.DUMMYFUNCTION("""COMPUTED_VALUE"""),"넘버")</f>
        <v>넘버</v>
      </c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27" t="s">
        <v>3586</v>
      </c>
      <c r="B833" s="28" t="s">
        <v>3587</v>
      </c>
      <c r="C833" s="27" t="s">
        <v>3588</v>
      </c>
      <c r="D833" s="27">
        <v>5.0</v>
      </c>
      <c r="E833" s="27" t="s">
        <v>3589</v>
      </c>
      <c r="F833" s="27">
        <v>2.0</v>
      </c>
      <c r="G833" s="29">
        <v>45713.87222222222</v>
      </c>
      <c r="H833" s="27" t="s">
        <v>3405</v>
      </c>
      <c r="I833" s="18"/>
      <c r="J833" s="25" t="str">
        <f>IFERROR(__xludf.DUMMYFUNCTION("ARRAYFORMULA(REGEXEXTRACT(SPLIT(C833, ""&lt;br&gt;""), ""([가-힣A-Za-z]+)""))"),"노인")</f>
        <v>노인</v>
      </c>
      <c r="K833" s="26" t="str">
        <f>IFERROR(__xludf.DUMMYFUNCTION("""COMPUTED_VALUE"""),"테리")</f>
        <v>테리</v>
      </c>
      <c r="L833" s="26" t="str">
        <f>IFERROR(__xludf.DUMMYFUNCTION("""COMPUTED_VALUE"""),"ACDC")</f>
        <v>ACDC</v>
      </c>
      <c r="M833" s="26" t="str">
        <f>IFERROR(__xludf.DUMMYFUNCTION("""COMPUTED_VALUE"""),"태식")</f>
        <v>태식</v>
      </c>
      <c r="N833" s="26" t="str">
        <f>IFERROR(__xludf.DUMMYFUNCTION("ARRAYFORMULA(REGEXEXTRACT(SPLIT(E833, ""&lt;br&gt;""), ""([가-힣A-Za-z]+)""))"),"넘버")</f>
        <v>넘버</v>
      </c>
      <c r="O833" s="26" t="str">
        <f>IFERROR(__xludf.DUMMYFUNCTION("""COMPUTED_VALUE"""),"신형만")</f>
        <v>신형만</v>
      </c>
      <c r="P833" s="26" t="str">
        <f>IFERROR(__xludf.DUMMYFUNCTION("""COMPUTED_VALUE"""),"한메")</f>
        <v>한메</v>
      </c>
      <c r="Q833" s="26" t="str">
        <f>IFERROR(__xludf.DUMMYFUNCTION("""COMPUTED_VALUE"""),"재명")</f>
        <v>재명</v>
      </c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27" t="s">
        <v>3590</v>
      </c>
      <c r="B834" s="28" t="s">
        <v>3591</v>
      </c>
      <c r="C834" s="27" t="s">
        <v>3592</v>
      </c>
      <c r="D834" s="27">
        <v>5.0</v>
      </c>
      <c r="E834" s="27" t="s">
        <v>3593</v>
      </c>
      <c r="F834" s="27">
        <v>2.0</v>
      </c>
      <c r="G834" s="29">
        <v>45713.850694444445</v>
      </c>
      <c r="H834" s="27" t="s">
        <v>3405</v>
      </c>
      <c r="I834" s="18"/>
      <c r="J834" s="25" t="str">
        <f>IFERROR(__xludf.DUMMYFUNCTION("ARRAYFORMULA(REGEXEXTRACT(SPLIT(C834, ""&lt;br&gt;""), ""([가-힣A-Za-z]+)""))"),"ACDC")</f>
        <v>ACDC</v>
      </c>
      <c r="K834" s="26" t="str">
        <f>IFERROR(__xludf.DUMMYFUNCTION("""COMPUTED_VALUE"""),"넘버")</f>
        <v>넘버</v>
      </c>
      <c r="L834" s="26" t="str">
        <f>IFERROR(__xludf.DUMMYFUNCTION("""COMPUTED_VALUE"""),"노인")</f>
        <v>노인</v>
      </c>
      <c r="M834" s="26" t="str">
        <f>IFERROR(__xludf.DUMMYFUNCTION("""COMPUTED_VALUE"""),"한메")</f>
        <v>한메</v>
      </c>
      <c r="N834" s="26" t="str">
        <f>IFERROR(__xludf.DUMMYFUNCTION("ARRAYFORMULA(REGEXEXTRACT(SPLIT(E834, ""&lt;br&gt;""), ""([가-힣A-Za-z]+)""))"),"테리")</f>
        <v>테리</v>
      </c>
      <c r="O834" s="26" t="str">
        <f>IFERROR(__xludf.DUMMYFUNCTION("""COMPUTED_VALUE"""),"태식")</f>
        <v>태식</v>
      </c>
      <c r="P834" s="26" t="str">
        <f>IFERROR(__xludf.DUMMYFUNCTION("""COMPUTED_VALUE"""),"재명")</f>
        <v>재명</v>
      </c>
      <c r="Q834" s="26" t="str">
        <f>IFERROR(__xludf.DUMMYFUNCTION("""COMPUTED_VALUE"""),"신형만")</f>
        <v>신형만</v>
      </c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27" t="s">
        <v>3594</v>
      </c>
      <c r="B835" s="28" t="s">
        <v>3595</v>
      </c>
      <c r="C835" s="27" t="s">
        <v>3596</v>
      </c>
      <c r="D835" s="27">
        <v>5.0</v>
      </c>
      <c r="E835" s="27" t="s">
        <v>3597</v>
      </c>
      <c r="F835" s="27">
        <v>4.0</v>
      </c>
      <c r="G835" s="29">
        <v>45713.00069444445</v>
      </c>
      <c r="H835" s="27" t="s">
        <v>3405</v>
      </c>
      <c r="I835" s="18"/>
      <c r="J835" s="25" t="str">
        <f>IFERROR(__xludf.DUMMYFUNCTION("ARRAYFORMULA(REGEXEXTRACT(SPLIT(C835, ""&lt;br&gt;""), ""([가-힣A-Za-z]+)""))"),"재우")</f>
        <v>재우</v>
      </c>
      <c r="K835" s="26" t="str">
        <f>IFERROR(__xludf.DUMMYFUNCTION("""COMPUTED_VALUE"""),"ACDC")</f>
        <v>ACDC</v>
      </c>
      <c r="L835" s="26" t="str">
        <f>IFERROR(__xludf.DUMMYFUNCTION("""COMPUTED_VALUE"""),"테리")</f>
        <v>테리</v>
      </c>
      <c r="M835" s="26" t="str">
        <f>IFERROR(__xludf.DUMMYFUNCTION("""COMPUTED_VALUE"""),"재명")</f>
        <v>재명</v>
      </c>
      <c r="N835" s="26" t="str">
        <f>IFERROR(__xludf.DUMMYFUNCTION("ARRAYFORMULA(REGEXEXTRACT(SPLIT(E835, ""&lt;br&gt;""), ""([가-힣A-Za-z]+)""))"),"태식")</f>
        <v>태식</v>
      </c>
      <c r="O835" s="26" t="str">
        <f>IFERROR(__xludf.DUMMYFUNCTION("""COMPUTED_VALUE"""),"신형만")</f>
        <v>신형만</v>
      </c>
      <c r="P835" s="26" t="str">
        <f>IFERROR(__xludf.DUMMYFUNCTION("""COMPUTED_VALUE"""),"한메")</f>
        <v>한메</v>
      </c>
      <c r="Q835" s="26" t="str">
        <f>IFERROR(__xludf.DUMMYFUNCTION("""COMPUTED_VALUE"""),"노인")</f>
        <v>노인</v>
      </c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27" t="s">
        <v>3598</v>
      </c>
      <c r="B836" s="28" t="s">
        <v>3599</v>
      </c>
      <c r="C836" s="27" t="s">
        <v>3600</v>
      </c>
      <c r="D836" s="27">
        <v>5.0</v>
      </c>
      <c r="E836" s="27" t="s">
        <v>3601</v>
      </c>
      <c r="F836" s="27">
        <v>4.0</v>
      </c>
      <c r="G836" s="29">
        <v>45712.96041666667</v>
      </c>
      <c r="H836" s="27" t="s">
        <v>3405</v>
      </c>
      <c r="I836" s="18"/>
      <c r="J836" s="25" t="str">
        <f>IFERROR(__xludf.DUMMYFUNCTION("ARRAYFORMULA(REGEXEXTRACT(SPLIT(C836, ""&lt;br&gt;""), ""([가-힣A-Za-z]+)""))"),"ACDC")</f>
        <v>ACDC</v>
      </c>
      <c r="K836" s="26" t="str">
        <f>IFERROR(__xludf.DUMMYFUNCTION("""COMPUTED_VALUE"""),"넘버")</f>
        <v>넘버</v>
      </c>
      <c r="L836" s="26" t="str">
        <f>IFERROR(__xludf.DUMMYFUNCTION("""COMPUTED_VALUE"""),"한메")</f>
        <v>한메</v>
      </c>
      <c r="M836" s="26" t="str">
        <f>IFERROR(__xludf.DUMMYFUNCTION("""COMPUTED_VALUE"""),"재우")</f>
        <v>재우</v>
      </c>
      <c r="N836" s="26" t="str">
        <f>IFERROR(__xludf.DUMMYFUNCTION("ARRAYFORMULA(REGEXEXTRACT(SPLIT(E836, ""&lt;br&gt;""), ""([가-힣A-Za-z]+)""))"),"테리")</f>
        <v>테리</v>
      </c>
      <c r="O836" s="26" t="str">
        <f>IFERROR(__xludf.DUMMYFUNCTION("""COMPUTED_VALUE"""),"태식")</f>
        <v>태식</v>
      </c>
      <c r="P836" s="26" t="str">
        <f>IFERROR(__xludf.DUMMYFUNCTION("""COMPUTED_VALUE"""),"노인")</f>
        <v>노인</v>
      </c>
      <c r="Q836" s="26" t="str">
        <f>IFERROR(__xludf.DUMMYFUNCTION("""COMPUTED_VALUE"""),"재명")</f>
        <v>재명</v>
      </c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27" t="s">
        <v>3602</v>
      </c>
      <c r="B837" s="28" t="s">
        <v>3603</v>
      </c>
      <c r="C837" s="27" t="s">
        <v>3604</v>
      </c>
      <c r="D837" s="27">
        <v>5.0</v>
      </c>
      <c r="E837" s="27" t="s">
        <v>3605</v>
      </c>
      <c r="F837" s="27">
        <v>1.0</v>
      </c>
      <c r="G837" s="29">
        <v>45712.927083333336</v>
      </c>
      <c r="H837" s="27" t="s">
        <v>3405</v>
      </c>
      <c r="I837" s="18"/>
      <c r="J837" s="25" t="str">
        <f>IFERROR(__xludf.DUMMYFUNCTION("ARRAYFORMULA(REGEXEXTRACT(SPLIT(C837, ""&lt;br&gt;""), ""([가-힣A-Za-z]+)""))"),"한메")</f>
        <v>한메</v>
      </c>
      <c r="K837" s="26" t="str">
        <f>IFERROR(__xludf.DUMMYFUNCTION("""COMPUTED_VALUE"""),"테리")</f>
        <v>테리</v>
      </c>
      <c r="L837" s="26" t="str">
        <f>IFERROR(__xludf.DUMMYFUNCTION("""COMPUTED_VALUE"""),"재명")</f>
        <v>재명</v>
      </c>
      <c r="M837" s="26" t="str">
        <f>IFERROR(__xludf.DUMMYFUNCTION("""COMPUTED_VALUE"""),"넘버")</f>
        <v>넘버</v>
      </c>
      <c r="N837" s="26" t="str">
        <f>IFERROR(__xludf.DUMMYFUNCTION("ARRAYFORMULA(REGEXEXTRACT(SPLIT(E837, ""&lt;br&gt;""), ""([가-힣A-Za-z]+)""))"),"재우")</f>
        <v>재우</v>
      </c>
      <c r="O837" s="26" t="str">
        <f>IFERROR(__xludf.DUMMYFUNCTION("""COMPUTED_VALUE"""),"태식")</f>
        <v>태식</v>
      </c>
      <c r="P837" s="26" t="str">
        <f>IFERROR(__xludf.DUMMYFUNCTION("""COMPUTED_VALUE"""),"ACDC")</f>
        <v>ACDC</v>
      </c>
      <c r="Q837" s="26" t="str">
        <f>IFERROR(__xludf.DUMMYFUNCTION("""COMPUTED_VALUE"""),"노인")</f>
        <v>노인</v>
      </c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27" t="s">
        <v>3606</v>
      </c>
      <c r="B838" s="28" t="s">
        <v>3607</v>
      </c>
      <c r="C838" s="27" t="s">
        <v>3608</v>
      </c>
      <c r="D838" s="27">
        <v>5.0</v>
      </c>
      <c r="E838" s="27" t="s">
        <v>3609</v>
      </c>
      <c r="F838" s="27">
        <v>0.0</v>
      </c>
      <c r="G838" s="29">
        <v>45712.902083333334</v>
      </c>
      <c r="H838" s="27" t="s">
        <v>3405</v>
      </c>
      <c r="I838" s="18"/>
      <c r="J838" s="25" t="str">
        <f>IFERROR(__xludf.DUMMYFUNCTION("ARRAYFORMULA(REGEXEXTRACT(SPLIT(C838, ""&lt;br&gt;""), ""([가-힣A-Za-z]+)""))"),"참치")</f>
        <v>참치</v>
      </c>
      <c r="K838" s="26" t="str">
        <f>IFERROR(__xludf.DUMMYFUNCTION("""COMPUTED_VALUE"""),"넘버")</f>
        <v>넘버</v>
      </c>
      <c r="L838" s="26" t="str">
        <f>IFERROR(__xludf.DUMMYFUNCTION("""COMPUTED_VALUE"""),"재우")</f>
        <v>재우</v>
      </c>
      <c r="M838" s="26" t="str">
        <f>IFERROR(__xludf.DUMMYFUNCTION("""COMPUTED_VALUE"""),"원")</f>
        <v>원</v>
      </c>
      <c r="N838" s="26" t="str">
        <f>IFERROR(__xludf.DUMMYFUNCTION("ARRAYFORMULA(REGEXEXTRACT(SPLIT(E838, ""&lt;br&gt;""), ""([가-힣A-Za-z]+)""))"),"노인")</f>
        <v>노인</v>
      </c>
      <c r="O838" s="26" t="str">
        <f>IFERROR(__xludf.DUMMYFUNCTION("""COMPUTED_VALUE"""),"ACDC")</f>
        <v>ACDC</v>
      </c>
      <c r="P838" s="26" t="str">
        <f>IFERROR(__xludf.DUMMYFUNCTION("""COMPUTED_VALUE"""),"테리")</f>
        <v>테리</v>
      </c>
      <c r="Q838" s="26" t="str">
        <f>IFERROR(__xludf.DUMMYFUNCTION("""COMPUTED_VALUE"""),"한메")</f>
        <v>한메</v>
      </c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27" t="s">
        <v>3610</v>
      </c>
      <c r="B839" s="28" t="s">
        <v>3611</v>
      </c>
      <c r="C839" s="27" t="s">
        <v>3612</v>
      </c>
      <c r="D839" s="27">
        <v>5.0</v>
      </c>
      <c r="E839" s="27" t="s">
        <v>3613</v>
      </c>
      <c r="F839" s="27">
        <v>4.0</v>
      </c>
      <c r="G839" s="29">
        <v>45712.88611111111</v>
      </c>
      <c r="H839" s="27" t="s">
        <v>3405</v>
      </c>
      <c r="I839" s="18"/>
      <c r="J839" s="25" t="str">
        <f>IFERROR(__xludf.DUMMYFUNCTION("ARRAYFORMULA(REGEXEXTRACT(SPLIT(C839, ""&lt;br&gt;""), ""([가-힣A-Za-z]+)""))"),"테리")</f>
        <v>테리</v>
      </c>
      <c r="K839" s="26" t="str">
        <f>IFERROR(__xludf.DUMMYFUNCTION("""COMPUTED_VALUE"""),"원")</f>
        <v>원</v>
      </c>
      <c r="L839" s="26" t="str">
        <f>IFERROR(__xludf.DUMMYFUNCTION("""COMPUTED_VALUE"""),"재우")</f>
        <v>재우</v>
      </c>
      <c r="M839" s="26" t="str">
        <f>IFERROR(__xludf.DUMMYFUNCTION("""COMPUTED_VALUE"""),"노인")</f>
        <v>노인</v>
      </c>
      <c r="N839" s="26" t="str">
        <f>IFERROR(__xludf.DUMMYFUNCTION("ARRAYFORMULA(REGEXEXTRACT(SPLIT(E839, ""&lt;br&gt;""), ""([가-힣A-Za-z]+)""))"),"참치")</f>
        <v>참치</v>
      </c>
      <c r="O839" s="26" t="str">
        <f>IFERROR(__xludf.DUMMYFUNCTION("""COMPUTED_VALUE"""),"ACDC")</f>
        <v>ACDC</v>
      </c>
      <c r="P839" s="26" t="str">
        <f>IFERROR(__xludf.DUMMYFUNCTION("""COMPUTED_VALUE"""),"신형만")</f>
        <v>신형만</v>
      </c>
      <c r="Q839" s="26" t="str">
        <f>IFERROR(__xludf.DUMMYFUNCTION("""COMPUTED_VALUE"""),"넘버")</f>
        <v>넘버</v>
      </c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27" t="s">
        <v>3614</v>
      </c>
      <c r="B840" s="28" t="s">
        <v>3615</v>
      </c>
      <c r="C840" s="27" t="s">
        <v>3616</v>
      </c>
      <c r="D840" s="27">
        <v>5.0</v>
      </c>
      <c r="E840" s="27" t="s">
        <v>3617</v>
      </c>
      <c r="F840" s="27">
        <v>4.0</v>
      </c>
      <c r="G840" s="29">
        <v>45712.86319444444</v>
      </c>
      <c r="H840" s="27" t="s">
        <v>3405</v>
      </c>
      <c r="I840" s="18"/>
      <c r="J840" s="25" t="str">
        <f>IFERROR(__xludf.DUMMYFUNCTION("ARRAYFORMULA(REGEXEXTRACT(SPLIT(C840, ""&lt;br&gt;""), ""([가-힣A-Za-z]+)""))"),"ACDC")</f>
        <v>ACDC</v>
      </c>
      <c r="K840" s="26" t="str">
        <f>IFERROR(__xludf.DUMMYFUNCTION("""COMPUTED_VALUE"""),"재우")</f>
        <v>재우</v>
      </c>
      <c r="L840" s="26" t="str">
        <f>IFERROR(__xludf.DUMMYFUNCTION("""COMPUTED_VALUE"""),"넘버")</f>
        <v>넘버</v>
      </c>
      <c r="M840" s="26" t="str">
        <f>IFERROR(__xludf.DUMMYFUNCTION("""COMPUTED_VALUE"""),"원")</f>
        <v>원</v>
      </c>
      <c r="N840" s="26" t="str">
        <f>IFERROR(__xludf.DUMMYFUNCTION("ARRAYFORMULA(REGEXEXTRACT(SPLIT(E840, ""&lt;br&gt;""), ""([가-힣A-Za-z]+)""))"),"테리")</f>
        <v>테리</v>
      </c>
      <c r="O840" s="26" t="str">
        <f>IFERROR(__xludf.DUMMYFUNCTION("""COMPUTED_VALUE"""),"노인")</f>
        <v>노인</v>
      </c>
      <c r="P840" s="26" t="str">
        <f>IFERROR(__xludf.DUMMYFUNCTION("""COMPUTED_VALUE"""),"신형만")</f>
        <v>신형만</v>
      </c>
      <c r="Q840" s="26" t="str">
        <f>IFERROR(__xludf.DUMMYFUNCTION("""COMPUTED_VALUE"""),"참치")</f>
        <v>참치</v>
      </c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27" t="s">
        <v>3618</v>
      </c>
      <c r="B841" s="28" t="s">
        <v>3619</v>
      </c>
      <c r="C841" s="27" t="s">
        <v>3620</v>
      </c>
      <c r="D841" s="27">
        <v>5.0</v>
      </c>
      <c r="E841" s="27" t="s">
        <v>3621</v>
      </c>
      <c r="F841" s="27">
        <v>1.0</v>
      </c>
      <c r="G841" s="29">
        <v>45712.058333333334</v>
      </c>
      <c r="H841" s="27" t="s">
        <v>3405</v>
      </c>
      <c r="I841" s="18"/>
      <c r="J841" s="25" t="str">
        <f>IFERROR(__xludf.DUMMYFUNCTION("ARRAYFORMULA(REGEXEXTRACT(SPLIT(C841, ""&lt;br&gt;""), ""([가-힣A-Za-z]+)""))"),"원")</f>
        <v>원</v>
      </c>
      <c r="K841" s="26" t="str">
        <f>IFERROR(__xludf.DUMMYFUNCTION("""COMPUTED_VALUE"""),"테리")</f>
        <v>테리</v>
      </c>
      <c r="L841" s="26" t="str">
        <f>IFERROR(__xludf.DUMMYFUNCTION("""COMPUTED_VALUE"""),"신형만")</f>
        <v>신형만</v>
      </c>
      <c r="M841" s="26" t="str">
        <f>IFERROR(__xludf.DUMMYFUNCTION("""COMPUTED_VALUE"""),"넘버")</f>
        <v>넘버</v>
      </c>
      <c r="N841" s="26" t="str">
        <f>IFERROR(__xludf.DUMMYFUNCTION("ARRAYFORMULA(REGEXEXTRACT(SPLIT(E841, ""&lt;br&gt;""), ""([가-힣A-Za-z]+)""))"),"민우")</f>
        <v>민우</v>
      </c>
      <c r="O841" s="26" t="str">
        <f>IFERROR(__xludf.DUMMYFUNCTION("""COMPUTED_VALUE"""),"노인")</f>
        <v>노인</v>
      </c>
      <c r="P841" s="26" t="str">
        <f>IFERROR(__xludf.DUMMYFUNCTION("""COMPUTED_VALUE"""),"ACDC")</f>
        <v>ACDC</v>
      </c>
      <c r="Q841" s="26" t="str">
        <f>IFERROR(__xludf.DUMMYFUNCTION("""COMPUTED_VALUE"""),"태식")</f>
        <v>태식</v>
      </c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27" t="s">
        <v>3622</v>
      </c>
      <c r="B842" s="28" t="s">
        <v>3623</v>
      </c>
      <c r="C842" s="27" t="s">
        <v>3624</v>
      </c>
      <c r="D842" s="27">
        <v>5.0</v>
      </c>
      <c r="E842" s="27" t="s">
        <v>3625</v>
      </c>
      <c r="F842" s="27">
        <v>2.0</v>
      </c>
      <c r="G842" s="29">
        <v>45712.04236111111</v>
      </c>
      <c r="H842" s="27" t="s">
        <v>3405</v>
      </c>
      <c r="I842" s="18"/>
      <c r="J842" s="25" t="str">
        <f>IFERROR(__xludf.DUMMYFUNCTION("ARRAYFORMULA(REGEXEXTRACT(SPLIT(C842, ""&lt;br&gt;""), ""([가-힣A-Za-z]+)""))"),"넘버")</f>
        <v>넘버</v>
      </c>
      <c r="K842" s="26" t="str">
        <f>IFERROR(__xludf.DUMMYFUNCTION("""COMPUTED_VALUE"""),"노인")</f>
        <v>노인</v>
      </c>
      <c r="L842" s="26" t="str">
        <f>IFERROR(__xludf.DUMMYFUNCTION("""COMPUTED_VALUE"""),"태식")</f>
        <v>태식</v>
      </c>
      <c r="M842" s="26" t="str">
        <f>IFERROR(__xludf.DUMMYFUNCTION("""COMPUTED_VALUE"""),"원")</f>
        <v>원</v>
      </c>
      <c r="N842" s="26" t="str">
        <f>IFERROR(__xludf.DUMMYFUNCTION("ARRAYFORMULA(REGEXEXTRACT(SPLIT(E842, ""&lt;br&gt;""), ""([가-힣A-Za-z]+)""))"),"테리")</f>
        <v>테리</v>
      </c>
      <c r="O842" s="26" t="str">
        <f>IFERROR(__xludf.DUMMYFUNCTION("""COMPUTED_VALUE"""),"ACDC")</f>
        <v>ACDC</v>
      </c>
      <c r="P842" s="26" t="str">
        <f>IFERROR(__xludf.DUMMYFUNCTION("""COMPUTED_VALUE"""),"신형만")</f>
        <v>신형만</v>
      </c>
      <c r="Q842" s="26" t="str">
        <f>IFERROR(__xludf.DUMMYFUNCTION("""COMPUTED_VALUE"""),"민우")</f>
        <v>민우</v>
      </c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27" t="s">
        <v>3626</v>
      </c>
      <c r="B843" s="28" t="s">
        <v>3627</v>
      </c>
      <c r="C843" s="27" t="s">
        <v>3628</v>
      </c>
      <c r="D843" s="27">
        <v>5.0</v>
      </c>
      <c r="E843" s="27" t="s">
        <v>3629</v>
      </c>
      <c r="F843" s="27">
        <v>1.0</v>
      </c>
      <c r="G843" s="29">
        <v>45712.00069444445</v>
      </c>
      <c r="H843" s="27" t="s">
        <v>3405</v>
      </c>
      <c r="I843" s="18"/>
      <c r="J843" s="25" t="str">
        <f>IFERROR(__xludf.DUMMYFUNCTION("ARRAYFORMULA(REGEXEXTRACT(SPLIT(C843, ""&lt;br&gt;""), ""([가-힣A-Za-z]+)""))"),"노인")</f>
        <v>노인</v>
      </c>
      <c r="K843" s="26" t="str">
        <f>IFERROR(__xludf.DUMMYFUNCTION("""COMPUTED_VALUE"""),"태식")</f>
        <v>태식</v>
      </c>
      <c r="L843" s="26" t="str">
        <f>IFERROR(__xludf.DUMMYFUNCTION("""COMPUTED_VALUE"""),"ACDC")</f>
        <v>ACDC</v>
      </c>
      <c r="M843" s="26" t="str">
        <f>IFERROR(__xludf.DUMMYFUNCTION("""COMPUTED_VALUE"""),"원")</f>
        <v>원</v>
      </c>
      <c r="N843" s="26" t="str">
        <f>IFERROR(__xludf.DUMMYFUNCTION("ARRAYFORMULA(REGEXEXTRACT(SPLIT(E843, ""&lt;br&gt;""), ""([가-힣A-Za-z]+)""))"),"민우")</f>
        <v>민우</v>
      </c>
      <c r="O843" s="26" t="str">
        <f>IFERROR(__xludf.DUMMYFUNCTION("""COMPUTED_VALUE"""),"신형만")</f>
        <v>신형만</v>
      </c>
      <c r="P843" s="26" t="str">
        <f>IFERROR(__xludf.DUMMYFUNCTION("""COMPUTED_VALUE"""),"웅")</f>
        <v>웅</v>
      </c>
      <c r="Q843" s="26" t="str">
        <f>IFERROR(__xludf.DUMMYFUNCTION("""COMPUTED_VALUE"""),"넘버")</f>
        <v>넘버</v>
      </c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27" t="s">
        <v>3630</v>
      </c>
      <c r="B844" s="28" t="s">
        <v>3631</v>
      </c>
      <c r="C844" s="27" t="s">
        <v>3632</v>
      </c>
      <c r="D844" s="27">
        <v>5.0</v>
      </c>
      <c r="E844" s="27" t="s">
        <v>3633</v>
      </c>
      <c r="F844" s="27">
        <v>1.0</v>
      </c>
      <c r="G844" s="29">
        <v>45711.98055555556</v>
      </c>
      <c r="H844" s="27" t="s">
        <v>3405</v>
      </c>
      <c r="I844" s="18"/>
      <c r="J844" s="25" t="str">
        <f>IFERROR(__xludf.DUMMYFUNCTION("ARRAYFORMULA(REGEXEXTRACT(SPLIT(C844, ""&lt;br&gt;""), ""([가-힣A-Za-z]+)""))"),"넘버")</f>
        <v>넘버</v>
      </c>
      <c r="K844" s="26" t="str">
        <f>IFERROR(__xludf.DUMMYFUNCTION("""COMPUTED_VALUE"""),"ACDC")</f>
        <v>ACDC</v>
      </c>
      <c r="L844" s="26" t="str">
        <f>IFERROR(__xludf.DUMMYFUNCTION("""COMPUTED_VALUE"""),"테리")</f>
        <v>테리</v>
      </c>
      <c r="M844" s="26" t="str">
        <f>IFERROR(__xludf.DUMMYFUNCTION("""COMPUTED_VALUE"""),"원")</f>
        <v>원</v>
      </c>
      <c r="N844" s="26" t="str">
        <f>IFERROR(__xludf.DUMMYFUNCTION("ARRAYFORMULA(REGEXEXTRACT(SPLIT(E844, ""&lt;br&gt;""), ""([가-힣A-Za-z]+)""))"),"노인")</f>
        <v>노인</v>
      </c>
      <c r="O844" s="26" t="str">
        <f>IFERROR(__xludf.DUMMYFUNCTION("""COMPUTED_VALUE"""),"태식")</f>
        <v>태식</v>
      </c>
      <c r="P844" s="26" t="str">
        <f>IFERROR(__xludf.DUMMYFUNCTION("""COMPUTED_VALUE"""),"민우")</f>
        <v>민우</v>
      </c>
      <c r="Q844" s="26" t="str">
        <f>IFERROR(__xludf.DUMMYFUNCTION("""COMPUTED_VALUE"""),"신형만")</f>
        <v>신형만</v>
      </c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27" t="s">
        <v>3634</v>
      </c>
      <c r="B845" s="28" t="s">
        <v>3635</v>
      </c>
      <c r="C845" s="27" t="s">
        <v>3636</v>
      </c>
      <c r="D845" s="27">
        <v>5.0</v>
      </c>
      <c r="E845" s="27" t="s">
        <v>3637</v>
      </c>
      <c r="F845" s="27">
        <v>0.0</v>
      </c>
      <c r="G845" s="29">
        <v>45711.94930555556</v>
      </c>
      <c r="H845" s="27" t="s">
        <v>3405</v>
      </c>
      <c r="I845" s="18"/>
      <c r="J845" s="25" t="str">
        <f>IFERROR(__xludf.DUMMYFUNCTION("ARRAYFORMULA(REGEXEXTRACT(SPLIT(C845, ""&lt;br&gt;""), ""([가-힣A-Za-z]+)""))"),"신형만")</f>
        <v>신형만</v>
      </c>
      <c r="K845" s="26" t="str">
        <f>IFERROR(__xludf.DUMMYFUNCTION("""COMPUTED_VALUE"""),"넘버")</f>
        <v>넘버</v>
      </c>
      <c r="L845" s="26" t="str">
        <f>IFERROR(__xludf.DUMMYFUNCTION("""COMPUTED_VALUE"""),"태식")</f>
        <v>태식</v>
      </c>
      <c r="M845" s="26" t="str">
        <f>IFERROR(__xludf.DUMMYFUNCTION("""COMPUTED_VALUE"""),"원")</f>
        <v>원</v>
      </c>
      <c r="N845" s="26" t="str">
        <f>IFERROR(__xludf.DUMMYFUNCTION("ARRAYFORMULA(REGEXEXTRACT(SPLIT(E845, ""&lt;br&gt;""), ""([가-힣A-Za-z]+)""))"),"웅")</f>
        <v>웅</v>
      </c>
      <c r="O845" s="26" t="str">
        <f>IFERROR(__xludf.DUMMYFUNCTION("""COMPUTED_VALUE"""),"테리")</f>
        <v>테리</v>
      </c>
      <c r="P845" s="26" t="str">
        <f>IFERROR(__xludf.DUMMYFUNCTION("""COMPUTED_VALUE"""),"ACDC")</f>
        <v>ACDC</v>
      </c>
      <c r="Q845" s="26" t="str">
        <f>IFERROR(__xludf.DUMMYFUNCTION("""COMPUTED_VALUE"""),"노인")</f>
        <v>노인</v>
      </c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27" t="s">
        <v>3638</v>
      </c>
      <c r="B846" s="28" t="s">
        <v>3639</v>
      </c>
      <c r="C846" s="27" t="s">
        <v>3640</v>
      </c>
      <c r="D846" s="27">
        <v>5.0</v>
      </c>
      <c r="E846" s="27" t="s">
        <v>3641</v>
      </c>
      <c r="F846" s="27">
        <v>3.0</v>
      </c>
      <c r="G846" s="29">
        <v>45711.930555555555</v>
      </c>
      <c r="H846" s="27" t="s">
        <v>3405</v>
      </c>
      <c r="I846" s="18"/>
      <c r="J846" s="25" t="str">
        <f>IFERROR(__xludf.DUMMYFUNCTION("ARRAYFORMULA(REGEXEXTRACT(SPLIT(C846, ""&lt;br&gt;""), ""([가-힣A-Za-z]+)""))"),"노인")</f>
        <v>노인</v>
      </c>
      <c r="K846" s="26" t="str">
        <f>IFERROR(__xludf.DUMMYFUNCTION("""COMPUTED_VALUE"""),"신형만")</f>
        <v>신형만</v>
      </c>
      <c r="L846" s="26" t="str">
        <f>IFERROR(__xludf.DUMMYFUNCTION("""COMPUTED_VALUE"""),"원")</f>
        <v>원</v>
      </c>
      <c r="M846" s="26" t="str">
        <f>IFERROR(__xludf.DUMMYFUNCTION("""COMPUTED_VALUE"""),"재우")</f>
        <v>재우</v>
      </c>
      <c r="N846" s="26" t="str">
        <f>IFERROR(__xludf.DUMMYFUNCTION("ARRAYFORMULA(REGEXEXTRACT(SPLIT(E846, ""&lt;br&gt;""), ""([가-힣A-Za-z]+)""))"),"ACDC")</f>
        <v>ACDC</v>
      </c>
      <c r="O846" s="26" t="str">
        <f>IFERROR(__xludf.DUMMYFUNCTION("""COMPUTED_VALUE"""),"테리")</f>
        <v>테리</v>
      </c>
      <c r="P846" s="26" t="str">
        <f>IFERROR(__xludf.DUMMYFUNCTION("""COMPUTED_VALUE"""),"한메")</f>
        <v>한메</v>
      </c>
      <c r="Q846" s="26" t="str">
        <f>IFERROR(__xludf.DUMMYFUNCTION("""COMPUTED_VALUE"""),"태식")</f>
        <v>태식</v>
      </c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27" t="s">
        <v>3642</v>
      </c>
      <c r="B847" s="28" t="s">
        <v>3643</v>
      </c>
      <c r="C847" s="27" t="s">
        <v>3644</v>
      </c>
      <c r="D847" s="27">
        <v>5.0</v>
      </c>
      <c r="E847" s="27" t="s">
        <v>3645</v>
      </c>
      <c r="F847" s="27">
        <v>3.0</v>
      </c>
      <c r="G847" s="29">
        <v>45711.910416666666</v>
      </c>
      <c r="H847" s="27" t="s">
        <v>3405</v>
      </c>
      <c r="I847" s="18"/>
      <c r="J847" s="25" t="str">
        <f>IFERROR(__xludf.DUMMYFUNCTION("ARRAYFORMULA(REGEXEXTRACT(SPLIT(C847, ""&lt;br&gt;""), ""([가-힣A-Za-z]+)""))"),"테리")</f>
        <v>테리</v>
      </c>
      <c r="K847" s="26" t="str">
        <f>IFERROR(__xludf.DUMMYFUNCTION("""COMPUTED_VALUE"""),"ACDC")</f>
        <v>ACDC</v>
      </c>
      <c r="L847" s="26" t="str">
        <f>IFERROR(__xludf.DUMMYFUNCTION("""COMPUTED_VALUE"""),"재우")</f>
        <v>재우</v>
      </c>
      <c r="M847" s="26" t="str">
        <f>IFERROR(__xludf.DUMMYFUNCTION("""COMPUTED_VALUE"""),"신형만")</f>
        <v>신형만</v>
      </c>
      <c r="N847" s="26" t="str">
        <f>IFERROR(__xludf.DUMMYFUNCTION("ARRAYFORMULA(REGEXEXTRACT(SPLIT(E847, ""&lt;br&gt;""), ""([가-힣A-Za-z]+)""))"),"원")</f>
        <v>원</v>
      </c>
      <c r="O847" s="26" t="str">
        <f>IFERROR(__xludf.DUMMYFUNCTION("""COMPUTED_VALUE"""),"노인")</f>
        <v>노인</v>
      </c>
      <c r="P847" s="26" t="str">
        <f>IFERROR(__xludf.DUMMYFUNCTION("""COMPUTED_VALUE"""),"한메")</f>
        <v>한메</v>
      </c>
      <c r="Q847" s="26" t="str">
        <f>IFERROR(__xludf.DUMMYFUNCTION("""COMPUTED_VALUE"""),"태식")</f>
        <v>태식</v>
      </c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27" t="s">
        <v>3646</v>
      </c>
      <c r="B848" s="28" t="s">
        <v>3647</v>
      </c>
      <c r="C848" s="27" t="s">
        <v>3648</v>
      </c>
      <c r="D848" s="27">
        <v>5.0</v>
      </c>
      <c r="E848" s="27" t="s">
        <v>3649</v>
      </c>
      <c r="F848" s="27">
        <v>4.0</v>
      </c>
      <c r="G848" s="29">
        <v>45711.88680555556</v>
      </c>
      <c r="H848" s="27" t="s">
        <v>3405</v>
      </c>
      <c r="I848" s="18"/>
      <c r="J848" s="25" t="str">
        <f>IFERROR(__xludf.DUMMYFUNCTION("ARRAYFORMULA(REGEXEXTRACT(SPLIT(C848, ""&lt;br&gt;""), ""([가-힣A-Za-z]+)""))"),"전투쥐")</f>
        <v>전투쥐</v>
      </c>
      <c r="K848" s="26" t="str">
        <f>IFERROR(__xludf.DUMMYFUNCTION("""COMPUTED_VALUE"""),"테리")</f>
        <v>테리</v>
      </c>
      <c r="L848" s="26" t="str">
        <f>IFERROR(__xludf.DUMMYFUNCTION("""COMPUTED_VALUE"""),"원")</f>
        <v>원</v>
      </c>
      <c r="M848" s="26" t="str">
        <f>IFERROR(__xludf.DUMMYFUNCTION("""COMPUTED_VALUE"""),"재우")</f>
        <v>재우</v>
      </c>
      <c r="N848" s="26" t="str">
        <f>IFERROR(__xludf.DUMMYFUNCTION("ARRAYFORMULA(REGEXEXTRACT(SPLIT(E848, ""&lt;br&gt;""), ""([가-힣A-Za-z]+)""))"),"한메")</f>
        <v>한메</v>
      </c>
      <c r="O848" s="26" t="str">
        <f>IFERROR(__xludf.DUMMYFUNCTION("""COMPUTED_VALUE"""),"깡패")</f>
        <v>깡패</v>
      </c>
      <c r="P848" s="26" t="str">
        <f>IFERROR(__xludf.DUMMYFUNCTION("""COMPUTED_VALUE"""),"태식")</f>
        <v>태식</v>
      </c>
      <c r="Q848" s="26" t="str">
        <f>IFERROR(__xludf.DUMMYFUNCTION("""COMPUTED_VALUE"""),"신형만")</f>
        <v>신형만</v>
      </c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27" t="s">
        <v>3650</v>
      </c>
      <c r="B849" s="28" t="s">
        <v>3651</v>
      </c>
      <c r="C849" s="27" t="s">
        <v>3652</v>
      </c>
      <c r="D849" s="27">
        <v>5.0</v>
      </c>
      <c r="E849" s="27" t="s">
        <v>3653</v>
      </c>
      <c r="F849" s="27">
        <v>1.0</v>
      </c>
      <c r="G849" s="29">
        <v>45711.865277777775</v>
      </c>
      <c r="H849" s="27" t="s">
        <v>3405</v>
      </c>
      <c r="I849" s="18"/>
      <c r="J849" s="25" t="str">
        <f>IFERROR(__xludf.DUMMYFUNCTION("ARRAYFORMULA(REGEXEXTRACT(SPLIT(C849, ""&lt;br&gt;""), ""([가-힣A-Za-z]+)""))"),"원")</f>
        <v>원</v>
      </c>
      <c r="K849" s="26" t="str">
        <f>IFERROR(__xludf.DUMMYFUNCTION("""COMPUTED_VALUE"""),"재우")</f>
        <v>재우</v>
      </c>
      <c r="L849" s="26" t="str">
        <f>IFERROR(__xludf.DUMMYFUNCTION("""COMPUTED_VALUE"""),"한메")</f>
        <v>한메</v>
      </c>
      <c r="M849" s="26" t="str">
        <f>IFERROR(__xludf.DUMMYFUNCTION("""COMPUTED_VALUE"""),"깡패")</f>
        <v>깡패</v>
      </c>
      <c r="N849" s="26" t="str">
        <f>IFERROR(__xludf.DUMMYFUNCTION("ARRAYFORMULA(REGEXEXTRACT(SPLIT(E849, ""&lt;br&gt;""), ""([가-힣A-Za-z]+)""))"),"테리")</f>
        <v>테리</v>
      </c>
      <c r="O849" s="26" t="str">
        <f>IFERROR(__xludf.DUMMYFUNCTION("""COMPUTED_VALUE"""),"신형만")</f>
        <v>신형만</v>
      </c>
      <c r="P849" s="26" t="str">
        <f>IFERROR(__xludf.DUMMYFUNCTION("""COMPUTED_VALUE"""),"태식")</f>
        <v>태식</v>
      </c>
      <c r="Q849" s="26" t="str">
        <f>IFERROR(__xludf.DUMMYFUNCTION("""COMPUTED_VALUE"""),"전투쥐")</f>
        <v>전투쥐</v>
      </c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27" t="s">
        <v>3654</v>
      </c>
      <c r="B850" s="28" t="s">
        <v>3655</v>
      </c>
      <c r="C850" s="27" t="s">
        <v>3656</v>
      </c>
      <c r="D850" s="27">
        <v>5.0</v>
      </c>
      <c r="E850" s="27" t="s">
        <v>3657</v>
      </c>
      <c r="F850" s="27">
        <v>3.0</v>
      </c>
      <c r="G850" s="29">
        <v>45711.850694444445</v>
      </c>
      <c r="H850" s="27" t="s">
        <v>3405</v>
      </c>
      <c r="I850" s="18"/>
      <c r="J850" s="25" t="str">
        <f>IFERROR(__xludf.DUMMYFUNCTION("ARRAYFORMULA(REGEXEXTRACT(SPLIT(C850, ""&lt;br&gt;""), ""([가-힣A-Za-z]+)""))"),"깡패")</f>
        <v>깡패</v>
      </c>
      <c r="K850" s="26" t="str">
        <f>IFERROR(__xludf.DUMMYFUNCTION("""COMPUTED_VALUE"""),"태식")</f>
        <v>태식</v>
      </c>
      <c r="L850" s="26" t="str">
        <f>IFERROR(__xludf.DUMMYFUNCTION("""COMPUTED_VALUE"""),"원")</f>
        <v>원</v>
      </c>
      <c r="M850" s="26" t="str">
        <f>IFERROR(__xludf.DUMMYFUNCTION("""COMPUTED_VALUE"""),"신형만")</f>
        <v>신형만</v>
      </c>
      <c r="N850" s="26" t="str">
        <f>IFERROR(__xludf.DUMMYFUNCTION("ARRAYFORMULA(REGEXEXTRACT(SPLIT(E850, ""&lt;br&gt;""), ""([가-힣A-Za-z]+)""))"),"재우")</f>
        <v>재우</v>
      </c>
      <c r="O850" s="26" t="str">
        <f>IFERROR(__xludf.DUMMYFUNCTION("""COMPUTED_VALUE"""),"테리")</f>
        <v>테리</v>
      </c>
      <c r="P850" s="26" t="str">
        <f>IFERROR(__xludf.DUMMYFUNCTION("""COMPUTED_VALUE"""),"전투쥐")</f>
        <v>전투쥐</v>
      </c>
      <c r="Q850" s="26" t="str">
        <f>IFERROR(__xludf.DUMMYFUNCTION("""COMPUTED_VALUE"""),"한메")</f>
        <v>한메</v>
      </c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27" t="s">
        <v>3658</v>
      </c>
      <c r="B851" s="28" t="s">
        <v>3659</v>
      </c>
      <c r="C851" s="27" t="s">
        <v>3660</v>
      </c>
      <c r="D851" s="27">
        <v>5.0</v>
      </c>
      <c r="E851" s="27" t="s">
        <v>3661</v>
      </c>
      <c r="F851" s="27">
        <v>3.0</v>
      </c>
      <c r="G851" s="29">
        <v>45711.138194444444</v>
      </c>
      <c r="H851" s="27" t="s">
        <v>3405</v>
      </c>
      <c r="I851" s="18"/>
      <c r="J851" s="25" t="str">
        <f>IFERROR(__xludf.DUMMYFUNCTION("ARRAYFORMULA(REGEXEXTRACT(SPLIT(C851, ""&lt;br&gt;""), ""([가-힣A-Za-z]+)""))"),"유망")</f>
        <v>유망</v>
      </c>
      <c r="K851" s="26" t="str">
        <f>IFERROR(__xludf.DUMMYFUNCTION("""COMPUTED_VALUE"""),"신형만")</f>
        <v>신형만</v>
      </c>
      <c r="L851" s="26" t="str">
        <f>IFERROR(__xludf.DUMMYFUNCTION("""COMPUTED_VALUE"""),"원")</f>
        <v>원</v>
      </c>
      <c r="M851" s="26" t="str">
        <f>IFERROR(__xludf.DUMMYFUNCTION("""COMPUTED_VALUE"""),"넘버")</f>
        <v>넘버</v>
      </c>
      <c r="N851" s="26" t="str">
        <f>IFERROR(__xludf.DUMMYFUNCTION("ARRAYFORMULA(REGEXEXTRACT(SPLIT(E851, ""&lt;br&gt;""), ""([가-힣A-Za-z]+)""))"),"테리")</f>
        <v>테리</v>
      </c>
      <c r="O851" s="26" t="str">
        <f>IFERROR(__xludf.DUMMYFUNCTION("""COMPUTED_VALUE"""),"솔")</f>
        <v>솔</v>
      </c>
      <c r="P851" s="26" t="str">
        <f>IFERROR(__xludf.DUMMYFUNCTION("""COMPUTED_VALUE"""),"태식")</f>
        <v>태식</v>
      </c>
      <c r="Q851" s="26" t="str">
        <f>IFERROR(__xludf.DUMMYFUNCTION("""COMPUTED_VALUE"""),"참치")</f>
        <v>참치</v>
      </c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27" t="s">
        <v>3662</v>
      </c>
      <c r="B852" s="28" t="s">
        <v>3663</v>
      </c>
      <c r="C852" s="27" t="s">
        <v>3664</v>
      </c>
      <c r="D852" s="27">
        <v>5.0</v>
      </c>
      <c r="E852" s="27" t="s">
        <v>3665</v>
      </c>
      <c r="F852" s="27">
        <v>4.0</v>
      </c>
      <c r="G852" s="29">
        <v>45711.120833333334</v>
      </c>
      <c r="H852" s="27" t="s">
        <v>3405</v>
      </c>
      <c r="I852" s="18"/>
      <c r="J852" s="25" t="str">
        <f>IFERROR(__xludf.DUMMYFUNCTION("ARRAYFORMULA(REGEXEXTRACT(SPLIT(C852, ""&lt;br&gt;""), ""([가-힣A-Za-z]+)""))"),"넘버")</f>
        <v>넘버</v>
      </c>
      <c r="K852" s="26" t="str">
        <f>IFERROR(__xludf.DUMMYFUNCTION("""COMPUTED_VALUE"""),"참치")</f>
        <v>참치</v>
      </c>
      <c r="L852" s="26" t="str">
        <f>IFERROR(__xludf.DUMMYFUNCTION("""COMPUTED_VALUE"""),"태식")</f>
        <v>태식</v>
      </c>
      <c r="M852" s="26" t="str">
        <f>IFERROR(__xludf.DUMMYFUNCTION("""COMPUTED_VALUE"""),"원")</f>
        <v>원</v>
      </c>
      <c r="N852" s="26" t="str">
        <f>IFERROR(__xludf.DUMMYFUNCTION("ARRAYFORMULA(REGEXEXTRACT(SPLIT(E852, ""&lt;br&gt;""), ""([가-힣A-Za-z]+)""))"),"유망")</f>
        <v>유망</v>
      </c>
      <c r="O852" s="26" t="str">
        <f>IFERROR(__xludf.DUMMYFUNCTION("""COMPUTED_VALUE"""),"신형만")</f>
        <v>신형만</v>
      </c>
      <c r="P852" s="26" t="str">
        <f>IFERROR(__xludf.DUMMYFUNCTION("""COMPUTED_VALUE"""),"테리")</f>
        <v>테리</v>
      </c>
      <c r="Q852" s="26" t="str">
        <f>IFERROR(__xludf.DUMMYFUNCTION("""COMPUTED_VALUE"""),"솔")</f>
        <v>솔</v>
      </c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27" t="s">
        <v>3666</v>
      </c>
      <c r="B853" s="28" t="s">
        <v>3667</v>
      </c>
      <c r="C853" s="27" t="s">
        <v>3668</v>
      </c>
      <c r="D853" s="27">
        <v>5.0</v>
      </c>
      <c r="E853" s="27" t="s">
        <v>3669</v>
      </c>
      <c r="F853" s="27">
        <v>3.0</v>
      </c>
      <c r="G853" s="29">
        <v>45711.080555555556</v>
      </c>
      <c r="H853" s="27" t="s">
        <v>3405</v>
      </c>
      <c r="I853" s="18"/>
      <c r="J853" s="25" t="str">
        <f>IFERROR(__xludf.DUMMYFUNCTION("ARRAYFORMULA(REGEXEXTRACT(SPLIT(C853, ""&lt;br&gt;""), ""([가-힣A-Za-z]+)""))"),"유망")</f>
        <v>유망</v>
      </c>
      <c r="K853" s="26" t="str">
        <f>IFERROR(__xludf.DUMMYFUNCTION("""COMPUTED_VALUE"""),"태식")</f>
        <v>태식</v>
      </c>
      <c r="L853" s="26" t="str">
        <f>IFERROR(__xludf.DUMMYFUNCTION("""COMPUTED_VALUE"""),"신형만")</f>
        <v>신형만</v>
      </c>
      <c r="M853" s="26" t="str">
        <f>IFERROR(__xludf.DUMMYFUNCTION("""COMPUTED_VALUE"""),"넘버")</f>
        <v>넘버</v>
      </c>
      <c r="N853" s="26" t="str">
        <f>IFERROR(__xludf.DUMMYFUNCTION("ARRAYFORMULA(REGEXEXTRACT(SPLIT(E853, ""&lt;br&gt;""), ""([가-힣A-Za-z]+)""))"),"원")</f>
        <v>원</v>
      </c>
      <c r="O853" s="26" t="str">
        <f>IFERROR(__xludf.DUMMYFUNCTION("""COMPUTED_VALUE"""),"참치")</f>
        <v>참치</v>
      </c>
      <c r="P853" s="26" t="str">
        <f>IFERROR(__xludf.DUMMYFUNCTION("""COMPUTED_VALUE"""),"민우")</f>
        <v>민우</v>
      </c>
      <c r="Q853" s="26" t="str">
        <f>IFERROR(__xludf.DUMMYFUNCTION("""COMPUTED_VALUE"""),"솔")</f>
        <v>솔</v>
      </c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27" t="s">
        <v>3670</v>
      </c>
      <c r="B854" s="28" t="s">
        <v>3671</v>
      </c>
      <c r="C854" s="27" t="s">
        <v>3672</v>
      </c>
      <c r="D854" s="27">
        <v>5.0</v>
      </c>
      <c r="E854" s="27" t="s">
        <v>3673</v>
      </c>
      <c r="F854" s="27">
        <v>1.0</v>
      </c>
      <c r="G854" s="29">
        <v>45711.049305555556</v>
      </c>
      <c r="H854" s="27" t="s">
        <v>3405</v>
      </c>
      <c r="I854" s="18"/>
      <c r="J854" s="25" t="str">
        <f>IFERROR(__xludf.DUMMYFUNCTION("ARRAYFORMULA(REGEXEXTRACT(SPLIT(C854, ""&lt;br&gt;""), ""([가-힣A-Za-z]+)""))"),"신형만")</f>
        <v>신형만</v>
      </c>
      <c r="K854" s="26" t="str">
        <f>IFERROR(__xludf.DUMMYFUNCTION("""COMPUTED_VALUE"""),"원")</f>
        <v>원</v>
      </c>
      <c r="L854" s="26" t="str">
        <f>IFERROR(__xludf.DUMMYFUNCTION("""COMPUTED_VALUE"""),"참치")</f>
        <v>참치</v>
      </c>
      <c r="M854" s="26" t="str">
        <f>IFERROR(__xludf.DUMMYFUNCTION("""COMPUTED_VALUE"""),"유망")</f>
        <v>유망</v>
      </c>
      <c r="N854" s="26" t="str">
        <f>IFERROR(__xludf.DUMMYFUNCTION("ARRAYFORMULA(REGEXEXTRACT(SPLIT(E854, ""&lt;br&gt;""), ""([가-힣A-Za-z]+)""))"),"민우")</f>
        <v>민우</v>
      </c>
      <c r="O854" s="26" t="str">
        <f>IFERROR(__xludf.DUMMYFUNCTION("""COMPUTED_VALUE"""),"솔")</f>
        <v>솔</v>
      </c>
      <c r="P854" s="26" t="str">
        <f>IFERROR(__xludf.DUMMYFUNCTION("""COMPUTED_VALUE"""),"넘버")</f>
        <v>넘버</v>
      </c>
      <c r="Q854" s="26" t="str">
        <f>IFERROR(__xludf.DUMMYFUNCTION("""COMPUTED_VALUE"""),"태식")</f>
        <v>태식</v>
      </c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27" t="s">
        <v>3674</v>
      </c>
      <c r="B855" s="28" t="s">
        <v>3675</v>
      </c>
      <c r="C855" s="27" t="s">
        <v>3676</v>
      </c>
      <c r="D855" s="27">
        <v>5.0</v>
      </c>
      <c r="E855" s="27" t="s">
        <v>3677</v>
      </c>
      <c r="F855" s="27">
        <v>4.0</v>
      </c>
      <c r="G855" s="29">
        <v>45711.02222222222</v>
      </c>
      <c r="H855" s="27" t="s">
        <v>3405</v>
      </c>
      <c r="I855" s="18"/>
      <c r="J855" s="25" t="str">
        <f>IFERROR(__xludf.DUMMYFUNCTION("ARRAYFORMULA(REGEXEXTRACT(SPLIT(C855, ""&lt;br&gt;""), ""([가-힣A-Za-z]+)""))"),"참치")</f>
        <v>참치</v>
      </c>
      <c r="K855" s="26" t="str">
        <f>IFERROR(__xludf.DUMMYFUNCTION("""COMPUTED_VALUE"""),"신형만")</f>
        <v>신형만</v>
      </c>
      <c r="L855" s="26" t="str">
        <f>IFERROR(__xludf.DUMMYFUNCTION("""COMPUTED_VALUE"""),"넘버")</f>
        <v>넘버</v>
      </c>
      <c r="M855" s="26" t="str">
        <f>IFERROR(__xludf.DUMMYFUNCTION("""COMPUTED_VALUE"""),"유망")</f>
        <v>유망</v>
      </c>
      <c r="N855" s="26" t="str">
        <f>IFERROR(__xludf.DUMMYFUNCTION("ARRAYFORMULA(REGEXEXTRACT(SPLIT(E855, ""&lt;br&gt;""), ""([가-힣A-Za-z]+)""))"),"솔")</f>
        <v>솔</v>
      </c>
      <c r="O855" s="26" t="str">
        <f>IFERROR(__xludf.DUMMYFUNCTION("""COMPUTED_VALUE"""),"원")</f>
        <v>원</v>
      </c>
      <c r="P855" s="26" t="str">
        <f>IFERROR(__xludf.DUMMYFUNCTION("""COMPUTED_VALUE"""),"민우")</f>
        <v>민우</v>
      </c>
      <c r="Q855" s="26" t="str">
        <f>IFERROR(__xludf.DUMMYFUNCTION("""COMPUTED_VALUE"""),"태식")</f>
        <v>태식</v>
      </c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27" t="s">
        <v>3678</v>
      </c>
      <c r="B856" s="28" t="s">
        <v>3679</v>
      </c>
      <c r="C856" s="27" t="s">
        <v>3680</v>
      </c>
      <c r="D856" s="27">
        <v>5.0</v>
      </c>
      <c r="E856" s="27" t="s">
        <v>3681</v>
      </c>
      <c r="F856" s="27">
        <v>3.0</v>
      </c>
      <c r="G856" s="29">
        <v>45710.99236111111</v>
      </c>
      <c r="H856" s="27" t="s">
        <v>3405</v>
      </c>
      <c r="I856" s="18"/>
      <c r="J856" s="25" t="str">
        <f>IFERROR(__xludf.DUMMYFUNCTION("ARRAYFORMULA(REGEXEXTRACT(SPLIT(C856, ""&lt;br&gt;""), ""([가-힣A-Za-z]+)""))"),"솔")</f>
        <v>솔</v>
      </c>
      <c r="K856" s="26" t="str">
        <f>IFERROR(__xludf.DUMMYFUNCTION("""COMPUTED_VALUE"""),"넘버")</f>
        <v>넘버</v>
      </c>
      <c r="L856" s="26" t="str">
        <f>IFERROR(__xludf.DUMMYFUNCTION("""COMPUTED_VALUE"""),"민우")</f>
        <v>민우</v>
      </c>
      <c r="M856" s="26" t="str">
        <f>IFERROR(__xludf.DUMMYFUNCTION("""COMPUTED_VALUE"""),"유망")</f>
        <v>유망</v>
      </c>
      <c r="N856" s="26" t="str">
        <f>IFERROR(__xludf.DUMMYFUNCTION("ARRAYFORMULA(REGEXEXTRACT(SPLIT(E856, ""&lt;br&gt;""), ""([가-힣A-Za-z]+)""))"),"원")</f>
        <v>원</v>
      </c>
      <c r="O856" s="26" t="str">
        <f>IFERROR(__xludf.DUMMYFUNCTION("""COMPUTED_VALUE"""),"참치")</f>
        <v>참치</v>
      </c>
      <c r="P856" s="26" t="str">
        <f>IFERROR(__xludf.DUMMYFUNCTION("""COMPUTED_VALUE"""),"신형만")</f>
        <v>신형만</v>
      </c>
      <c r="Q856" s="26" t="str">
        <f>IFERROR(__xludf.DUMMYFUNCTION("""COMPUTED_VALUE"""),"태식")</f>
        <v>태식</v>
      </c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27" t="s">
        <v>3682</v>
      </c>
      <c r="B857" s="28" t="s">
        <v>3683</v>
      </c>
      <c r="C857" s="27" t="s">
        <v>3684</v>
      </c>
      <c r="D857" s="27">
        <v>5.0</v>
      </c>
      <c r="E857" s="27" t="s">
        <v>3685</v>
      </c>
      <c r="F857" s="27">
        <v>3.0</v>
      </c>
      <c r="G857" s="29">
        <v>45710.96388888889</v>
      </c>
      <c r="H857" s="27" t="s">
        <v>3405</v>
      </c>
      <c r="I857" s="18"/>
      <c r="J857" s="25" t="str">
        <f>IFERROR(__xludf.DUMMYFUNCTION("ARRAYFORMULA(REGEXEXTRACT(SPLIT(C857, ""&lt;br&gt;""), ""([가-힣A-Za-z]+)""))"),"테리")</f>
        <v>테리</v>
      </c>
      <c r="K857" s="26" t="str">
        <f>IFERROR(__xludf.DUMMYFUNCTION("""COMPUTED_VALUE"""),"참치")</f>
        <v>참치</v>
      </c>
      <c r="L857" s="26" t="str">
        <f>IFERROR(__xludf.DUMMYFUNCTION("""COMPUTED_VALUE"""),"원")</f>
        <v>원</v>
      </c>
      <c r="M857" s="26" t="str">
        <f>IFERROR(__xludf.DUMMYFUNCTION("""COMPUTED_VALUE"""),"솔")</f>
        <v>솔</v>
      </c>
      <c r="N857" s="26" t="str">
        <f>IFERROR(__xludf.DUMMYFUNCTION("ARRAYFORMULA(REGEXEXTRACT(SPLIT(E857, ""&lt;br&gt;""), ""([가-힣A-Za-z]+)""))"),"유망")</f>
        <v>유망</v>
      </c>
      <c r="O857" s="26" t="str">
        <f>IFERROR(__xludf.DUMMYFUNCTION("""COMPUTED_VALUE"""),"태식")</f>
        <v>태식</v>
      </c>
      <c r="P857" s="26" t="str">
        <f>IFERROR(__xludf.DUMMYFUNCTION("""COMPUTED_VALUE"""),"민우")</f>
        <v>민우</v>
      </c>
      <c r="Q857" s="26" t="str">
        <f>IFERROR(__xludf.DUMMYFUNCTION("""COMPUTED_VALUE"""),"신형만")</f>
        <v>신형만</v>
      </c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27" t="s">
        <v>3686</v>
      </c>
      <c r="B858" s="28" t="s">
        <v>3687</v>
      </c>
      <c r="C858" s="27" t="s">
        <v>3688</v>
      </c>
      <c r="D858" s="27">
        <v>5.0</v>
      </c>
      <c r="E858" s="27" t="s">
        <v>3689</v>
      </c>
      <c r="F858" s="27">
        <v>2.0</v>
      </c>
      <c r="G858" s="29">
        <v>45710.93541666667</v>
      </c>
      <c r="H858" s="27" t="s">
        <v>3405</v>
      </c>
      <c r="I858" s="18"/>
      <c r="J858" s="25" t="str">
        <f>IFERROR(__xludf.DUMMYFUNCTION("ARRAYFORMULA(REGEXEXTRACT(SPLIT(C858, ""&lt;br&gt;""), ""([가-힣A-Za-z]+)""))"),"솔")</f>
        <v>솔</v>
      </c>
      <c r="K858" s="26" t="str">
        <f>IFERROR(__xludf.DUMMYFUNCTION("""COMPUTED_VALUE"""),"태식")</f>
        <v>태식</v>
      </c>
      <c r="L858" s="26" t="str">
        <f>IFERROR(__xludf.DUMMYFUNCTION("""COMPUTED_VALUE"""),"테리")</f>
        <v>테리</v>
      </c>
      <c r="M858" s="26" t="str">
        <f>IFERROR(__xludf.DUMMYFUNCTION("""COMPUTED_VALUE"""),"유망")</f>
        <v>유망</v>
      </c>
      <c r="N858" s="26" t="str">
        <f>IFERROR(__xludf.DUMMYFUNCTION("ARRAYFORMULA(REGEXEXTRACT(SPLIT(E858, ""&lt;br&gt;""), ""([가-힣A-Za-z]+)""))"),"민우")</f>
        <v>민우</v>
      </c>
      <c r="O858" s="26" t="str">
        <f>IFERROR(__xludf.DUMMYFUNCTION("""COMPUTED_VALUE"""),"참치")</f>
        <v>참치</v>
      </c>
      <c r="P858" s="26" t="str">
        <f>IFERROR(__xludf.DUMMYFUNCTION("""COMPUTED_VALUE"""),"원")</f>
        <v>원</v>
      </c>
      <c r="Q858" s="26" t="str">
        <f>IFERROR(__xludf.DUMMYFUNCTION("""COMPUTED_VALUE"""),"신형만")</f>
        <v>신형만</v>
      </c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27" t="s">
        <v>3690</v>
      </c>
      <c r="B859" s="28" t="s">
        <v>3691</v>
      </c>
      <c r="C859" s="27" t="s">
        <v>3692</v>
      </c>
      <c r="D859" s="27">
        <v>5.0</v>
      </c>
      <c r="E859" s="27" t="s">
        <v>3693</v>
      </c>
      <c r="F859" s="27">
        <v>3.0</v>
      </c>
      <c r="G859" s="29">
        <v>45710.90625</v>
      </c>
      <c r="H859" s="27" t="s">
        <v>3405</v>
      </c>
      <c r="I859" s="18"/>
      <c r="J859" s="25" t="str">
        <f>IFERROR(__xludf.DUMMYFUNCTION("ARRAYFORMULA(REGEXEXTRACT(SPLIT(C859, ""&lt;br&gt;""), ""([가-힣A-Za-z]+)""))"),"원")</f>
        <v>원</v>
      </c>
      <c r="K859" s="26" t="str">
        <f>IFERROR(__xludf.DUMMYFUNCTION("""COMPUTED_VALUE"""),"솔")</f>
        <v>솔</v>
      </c>
      <c r="L859" s="26" t="str">
        <f>IFERROR(__xludf.DUMMYFUNCTION("""COMPUTED_VALUE"""),"신형만")</f>
        <v>신형만</v>
      </c>
      <c r="M859" s="26" t="str">
        <f>IFERROR(__xludf.DUMMYFUNCTION("""COMPUTED_VALUE"""),"유망")</f>
        <v>유망</v>
      </c>
      <c r="N859" s="26" t="str">
        <f>IFERROR(__xludf.DUMMYFUNCTION("ARRAYFORMULA(REGEXEXTRACT(SPLIT(E859, ""&lt;br&gt;""), ""([가-힣A-Za-z]+)""))"),"민우")</f>
        <v>민우</v>
      </c>
      <c r="O859" s="26" t="str">
        <f>IFERROR(__xludf.DUMMYFUNCTION("""COMPUTED_VALUE"""),"테리")</f>
        <v>테리</v>
      </c>
      <c r="P859" s="26" t="str">
        <f>IFERROR(__xludf.DUMMYFUNCTION("""COMPUTED_VALUE"""),"태식")</f>
        <v>태식</v>
      </c>
      <c r="Q859" s="26" t="str">
        <f>IFERROR(__xludf.DUMMYFUNCTION("""COMPUTED_VALUE"""),"참치")</f>
        <v>참치</v>
      </c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27" t="s">
        <v>3694</v>
      </c>
      <c r="B860" s="28" t="s">
        <v>3695</v>
      </c>
      <c r="C860" s="27" t="s">
        <v>3696</v>
      </c>
      <c r="D860" s="27">
        <v>5.0</v>
      </c>
      <c r="E860" s="27" t="s">
        <v>3697</v>
      </c>
      <c r="F860" s="27">
        <v>4.0</v>
      </c>
      <c r="G860" s="29">
        <v>45709.03680555556</v>
      </c>
      <c r="H860" s="27" t="s">
        <v>3405</v>
      </c>
      <c r="I860" s="18"/>
      <c r="J860" s="25" t="str">
        <f>IFERROR(__xludf.DUMMYFUNCTION("ARRAYFORMULA(REGEXEXTRACT(SPLIT(C860, ""&lt;br&gt;""), ""([가-힣A-Za-z]+)""))"),"유망")</f>
        <v>유망</v>
      </c>
      <c r="K860" s="26" t="str">
        <f>IFERROR(__xludf.DUMMYFUNCTION("""COMPUTED_VALUE"""),"태식")</f>
        <v>태식</v>
      </c>
      <c r="L860" s="26" t="str">
        <f>IFERROR(__xludf.DUMMYFUNCTION("""COMPUTED_VALUE"""),"신형만")</f>
        <v>신형만</v>
      </c>
      <c r="M860" s="26" t="str">
        <f>IFERROR(__xludf.DUMMYFUNCTION("""COMPUTED_VALUE"""),"규식")</f>
        <v>규식</v>
      </c>
      <c r="N860" s="26" t="str">
        <f>IFERROR(__xludf.DUMMYFUNCTION("ARRAYFORMULA(REGEXEXTRACT(SPLIT(E860, ""&lt;br&gt;""), ""([가-힣A-Za-z]+)""))"),"ACDC")</f>
        <v>ACDC</v>
      </c>
      <c r="O860" s="26" t="str">
        <f>IFERROR(__xludf.DUMMYFUNCTION("""COMPUTED_VALUE"""),"참치")</f>
        <v>참치</v>
      </c>
      <c r="P860" s="26" t="str">
        <f>IFERROR(__xludf.DUMMYFUNCTION("""COMPUTED_VALUE"""),"한메")</f>
        <v>한메</v>
      </c>
      <c r="Q860" s="26" t="str">
        <f>IFERROR(__xludf.DUMMYFUNCTION("""COMPUTED_VALUE"""),"민우")</f>
        <v>민우</v>
      </c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27" t="s">
        <v>3698</v>
      </c>
      <c r="B861" s="28" t="s">
        <v>3699</v>
      </c>
      <c r="C861" s="27" t="s">
        <v>3700</v>
      </c>
      <c r="D861" s="27">
        <v>5.0</v>
      </c>
      <c r="E861" s="27" t="s">
        <v>3701</v>
      </c>
      <c r="F861" s="27">
        <v>4.0</v>
      </c>
      <c r="G861" s="29">
        <v>45709.006944444445</v>
      </c>
      <c r="H861" s="27" t="s">
        <v>3405</v>
      </c>
      <c r="I861" s="18"/>
      <c r="J861" s="25" t="str">
        <f>IFERROR(__xludf.DUMMYFUNCTION("ARRAYFORMULA(REGEXEXTRACT(SPLIT(C861, ""&lt;br&gt;""), ""([가-힣A-Za-z]+)""))"),"민우")</f>
        <v>민우</v>
      </c>
      <c r="K861" s="26" t="str">
        <f>IFERROR(__xludf.DUMMYFUNCTION("""COMPUTED_VALUE"""),"참치")</f>
        <v>참치</v>
      </c>
      <c r="L861" s="26" t="str">
        <f>IFERROR(__xludf.DUMMYFUNCTION("""COMPUTED_VALUE"""),"신형만")</f>
        <v>신형만</v>
      </c>
      <c r="M861" s="26" t="str">
        <f>IFERROR(__xludf.DUMMYFUNCTION("""COMPUTED_VALUE"""),"규식")</f>
        <v>규식</v>
      </c>
      <c r="N861" s="26" t="str">
        <f>IFERROR(__xludf.DUMMYFUNCTION("ARRAYFORMULA(REGEXEXTRACT(SPLIT(E861, ""&lt;br&gt;""), ""([가-힣A-Za-z]+)""))"),"한메")</f>
        <v>한메</v>
      </c>
      <c r="O861" s="26" t="str">
        <f>IFERROR(__xludf.DUMMYFUNCTION("""COMPUTED_VALUE"""),"태식")</f>
        <v>태식</v>
      </c>
      <c r="P861" s="26" t="str">
        <f>IFERROR(__xludf.DUMMYFUNCTION("""COMPUTED_VALUE"""),"ACDC")</f>
        <v>ACDC</v>
      </c>
      <c r="Q861" s="26" t="str">
        <f>IFERROR(__xludf.DUMMYFUNCTION("""COMPUTED_VALUE"""),"유망")</f>
        <v>유망</v>
      </c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27" t="s">
        <v>3702</v>
      </c>
      <c r="B862" s="28" t="s">
        <v>3703</v>
      </c>
      <c r="C862" s="27" t="s">
        <v>3704</v>
      </c>
      <c r="D862" s="27">
        <v>5.0</v>
      </c>
      <c r="E862" s="27" t="s">
        <v>3705</v>
      </c>
      <c r="F862" s="27">
        <v>4.0</v>
      </c>
      <c r="G862" s="29">
        <v>45708.975</v>
      </c>
      <c r="H862" s="27" t="s">
        <v>3405</v>
      </c>
      <c r="I862" s="18"/>
      <c r="J862" s="25" t="str">
        <f>IFERROR(__xludf.DUMMYFUNCTION("ARRAYFORMULA(REGEXEXTRACT(SPLIT(C862, ""&lt;br&gt;""), ""([가-힣A-Za-z]+)""))"),"ACDC")</f>
        <v>ACDC</v>
      </c>
      <c r="K862" s="26" t="str">
        <f>IFERROR(__xludf.DUMMYFUNCTION("""COMPUTED_VALUE"""),"노인")</f>
        <v>노인</v>
      </c>
      <c r="L862" s="26" t="str">
        <f>IFERROR(__xludf.DUMMYFUNCTION("""COMPUTED_VALUE"""),"신형만")</f>
        <v>신형만</v>
      </c>
      <c r="M862" s="26" t="str">
        <f>IFERROR(__xludf.DUMMYFUNCTION("""COMPUTED_VALUE"""),"유망")</f>
        <v>유망</v>
      </c>
      <c r="N862" s="26" t="str">
        <f>IFERROR(__xludf.DUMMYFUNCTION("ARRAYFORMULA(REGEXEXTRACT(SPLIT(E862, ""&lt;br&gt;""), ""([가-힣A-Za-z]+)""))"),"한메")</f>
        <v>한메</v>
      </c>
      <c r="O862" s="26" t="str">
        <f>IFERROR(__xludf.DUMMYFUNCTION("""COMPUTED_VALUE"""),"참치")</f>
        <v>참치</v>
      </c>
      <c r="P862" s="26" t="str">
        <f>IFERROR(__xludf.DUMMYFUNCTION("""COMPUTED_VALUE"""),"태식")</f>
        <v>태식</v>
      </c>
      <c r="Q862" s="26" t="str">
        <f>IFERROR(__xludf.DUMMYFUNCTION("""COMPUTED_VALUE"""),"민우")</f>
        <v>민우</v>
      </c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27" t="s">
        <v>3706</v>
      </c>
      <c r="B863" s="28" t="s">
        <v>3707</v>
      </c>
      <c r="C863" s="27" t="s">
        <v>3708</v>
      </c>
      <c r="D863" s="27">
        <v>5.0</v>
      </c>
      <c r="E863" s="27" t="s">
        <v>3709</v>
      </c>
      <c r="F863" s="27">
        <v>3.0</v>
      </c>
      <c r="G863" s="29">
        <v>45708.933333333334</v>
      </c>
      <c r="H863" s="27" t="s">
        <v>3405</v>
      </c>
      <c r="I863" s="18"/>
      <c r="J863" s="25" t="str">
        <f>IFERROR(__xludf.DUMMYFUNCTION("ARRAYFORMULA(REGEXEXTRACT(SPLIT(C863, ""&lt;br&gt;""), ""([가-힣A-Za-z]+)""))"),"ACDC")</f>
        <v>ACDC</v>
      </c>
      <c r="K863" s="26" t="str">
        <f>IFERROR(__xludf.DUMMYFUNCTION("""COMPUTED_VALUE"""),"테리")</f>
        <v>테리</v>
      </c>
      <c r="L863" s="26" t="str">
        <f>IFERROR(__xludf.DUMMYFUNCTION("""COMPUTED_VALUE"""),"규식")</f>
        <v>규식</v>
      </c>
      <c r="M863" s="26" t="str">
        <f>IFERROR(__xludf.DUMMYFUNCTION("""COMPUTED_VALUE"""),"유망")</f>
        <v>유망</v>
      </c>
      <c r="N863" s="26" t="str">
        <f>IFERROR(__xludf.DUMMYFUNCTION("ARRAYFORMULA(REGEXEXTRACT(SPLIT(E863, ""&lt;br&gt;""), ""([가-힣A-Za-z]+)""))"),"신형만")</f>
        <v>신형만</v>
      </c>
      <c r="O863" s="26" t="str">
        <f>IFERROR(__xludf.DUMMYFUNCTION("""COMPUTED_VALUE"""),"노인")</f>
        <v>노인</v>
      </c>
      <c r="P863" s="26" t="str">
        <f>IFERROR(__xludf.DUMMYFUNCTION("""COMPUTED_VALUE"""),"민우")</f>
        <v>민우</v>
      </c>
      <c r="Q863" s="26" t="str">
        <f>IFERROR(__xludf.DUMMYFUNCTION("""COMPUTED_VALUE"""),"재우")</f>
        <v>재우</v>
      </c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27" t="s">
        <v>3710</v>
      </c>
      <c r="B864" s="28" t="s">
        <v>3711</v>
      </c>
      <c r="C864" s="27" t="s">
        <v>3712</v>
      </c>
      <c r="D864" s="27">
        <v>5.0</v>
      </c>
      <c r="E864" s="27" t="s">
        <v>3713</v>
      </c>
      <c r="F864" s="27">
        <v>2.0</v>
      </c>
      <c r="G864" s="29">
        <v>45708.90972222222</v>
      </c>
      <c r="H864" s="27" t="s">
        <v>3405</v>
      </c>
      <c r="I864" s="18"/>
      <c r="J864" s="25" t="str">
        <f>IFERROR(__xludf.DUMMYFUNCTION("ARRAYFORMULA(REGEXEXTRACT(SPLIT(C864, ""&lt;br&gt;""), ""([가-힣A-Za-z]+)""))"),"유망")</f>
        <v>유망</v>
      </c>
      <c r="K864" s="26" t="str">
        <f>IFERROR(__xludf.DUMMYFUNCTION("""COMPUTED_VALUE"""),"노인")</f>
        <v>노인</v>
      </c>
      <c r="L864" s="26" t="str">
        <f>IFERROR(__xludf.DUMMYFUNCTION("""COMPUTED_VALUE"""),"테리")</f>
        <v>테리</v>
      </c>
      <c r="M864" s="26" t="str">
        <f>IFERROR(__xludf.DUMMYFUNCTION("""COMPUTED_VALUE"""),"태식")</f>
        <v>태식</v>
      </c>
      <c r="N864" s="26" t="str">
        <f>IFERROR(__xludf.DUMMYFUNCTION("ARRAYFORMULA(REGEXEXTRACT(SPLIT(E864, ""&lt;br&gt;""), ""([가-힣A-Za-z]+)""))"),"신형만")</f>
        <v>신형만</v>
      </c>
      <c r="O864" s="26" t="str">
        <f>IFERROR(__xludf.DUMMYFUNCTION("""COMPUTED_VALUE"""),"ACDC")</f>
        <v>ACDC</v>
      </c>
      <c r="P864" s="26" t="str">
        <f>IFERROR(__xludf.DUMMYFUNCTION("""COMPUTED_VALUE"""),"재우")</f>
        <v>재우</v>
      </c>
      <c r="Q864" s="26" t="str">
        <f>IFERROR(__xludf.DUMMYFUNCTION("""COMPUTED_VALUE"""),"규식")</f>
        <v>규식</v>
      </c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27" t="s">
        <v>3714</v>
      </c>
      <c r="B865" s="28" t="s">
        <v>3715</v>
      </c>
      <c r="C865" s="27" t="s">
        <v>3716</v>
      </c>
      <c r="D865" s="27">
        <v>5.0</v>
      </c>
      <c r="E865" s="27" t="s">
        <v>3717</v>
      </c>
      <c r="F865" s="27">
        <v>4.0</v>
      </c>
      <c r="G865" s="29">
        <v>45708.888194444444</v>
      </c>
      <c r="H865" s="27" t="s">
        <v>3405</v>
      </c>
      <c r="I865" s="18"/>
      <c r="J865" s="25" t="str">
        <f>IFERROR(__xludf.DUMMYFUNCTION("ARRAYFORMULA(REGEXEXTRACT(SPLIT(C865, ""&lt;br&gt;""), ""([가-힣A-Za-z]+)""))"),"태식")</f>
        <v>태식</v>
      </c>
      <c r="K865" s="26" t="str">
        <f>IFERROR(__xludf.DUMMYFUNCTION("""COMPUTED_VALUE"""),"규식")</f>
        <v>규식</v>
      </c>
      <c r="L865" s="26" t="str">
        <f>IFERROR(__xludf.DUMMYFUNCTION("""COMPUTED_VALUE"""),"테리")</f>
        <v>테리</v>
      </c>
      <c r="M865" s="26" t="str">
        <f>IFERROR(__xludf.DUMMYFUNCTION("""COMPUTED_VALUE"""),"신형만")</f>
        <v>신형만</v>
      </c>
      <c r="N865" s="26" t="str">
        <f>IFERROR(__xludf.DUMMYFUNCTION("ARRAYFORMULA(REGEXEXTRACT(SPLIT(E865, ""&lt;br&gt;""), ""([가-힣A-Za-z]+)""))"),"노인")</f>
        <v>노인</v>
      </c>
      <c r="O865" s="26" t="str">
        <f>IFERROR(__xludf.DUMMYFUNCTION("""COMPUTED_VALUE"""),"ACDC")</f>
        <v>ACDC</v>
      </c>
      <c r="P865" s="26" t="str">
        <f>IFERROR(__xludf.DUMMYFUNCTION("""COMPUTED_VALUE"""),"재우")</f>
        <v>재우</v>
      </c>
      <c r="Q865" s="26" t="str">
        <f>IFERROR(__xludf.DUMMYFUNCTION("""COMPUTED_VALUE"""),"유망")</f>
        <v>유망</v>
      </c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27" t="s">
        <v>3718</v>
      </c>
      <c r="B866" s="28" t="s">
        <v>3719</v>
      </c>
      <c r="C866" s="27" t="s">
        <v>3720</v>
      </c>
      <c r="D866" s="27">
        <v>5.0</v>
      </c>
      <c r="E866" s="27" t="s">
        <v>3721</v>
      </c>
      <c r="F866" s="27">
        <v>2.0</v>
      </c>
      <c r="G866" s="29">
        <v>45708.06875</v>
      </c>
      <c r="H866" s="27" t="s">
        <v>3405</v>
      </c>
      <c r="I866" s="18"/>
      <c r="J866" s="25" t="str">
        <f>IFERROR(__xludf.DUMMYFUNCTION("ARRAYFORMULA(REGEXEXTRACT(SPLIT(C866, ""&lt;br&gt;""), ""([가-힣A-Za-z]+)""))"),"노인")</f>
        <v>노인</v>
      </c>
      <c r="K866" s="26" t="str">
        <f>IFERROR(__xludf.DUMMYFUNCTION("""COMPUTED_VALUE"""),"테리")</f>
        <v>테리</v>
      </c>
      <c r="L866" s="26" t="str">
        <f>IFERROR(__xludf.DUMMYFUNCTION("""COMPUTED_VALUE"""),"신형만")</f>
        <v>신형만</v>
      </c>
      <c r="M866" s="26" t="str">
        <f>IFERROR(__xludf.DUMMYFUNCTION("""COMPUTED_VALUE"""),"재명")</f>
        <v>재명</v>
      </c>
      <c r="N866" s="26" t="str">
        <f>IFERROR(__xludf.DUMMYFUNCTION("ARRAYFORMULA(REGEXEXTRACT(SPLIT(E866, ""&lt;br&gt;""), ""([가-힣A-Za-z]+)""))"),"강화")</f>
        <v>강화</v>
      </c>
      <c r="O866" s="26" t="str">
        <f>IFERROR(__xludf.DUMMYFUNCTION("""COMPUTED_VALUE"""),"ACDC")</f>
        <v>ACDC</v>
      </c>
      <c r="P866" s="26" t="str">
        <f>IFERROR(__xludf.DUMMYFUNCTION("""COMPUTED_VALUE"""),"깡패")</f>
        <v>깡패</v>
      </c>
      <c r="Q866" s="26" t="str">
        <f>IFERROR(__xludf.DUMMYFUNCTION("""COMPUTED_VALUE"""),"재우")</f>
        <v>재우</v>
      </c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27" t="s">
        <v>3722</v>
      </c>
      <c r="B867" s="28" t="s">
        <v>3723</v>
      </c>
      <c r="C867" s="27" t="s">
        <v>3724</v>
      </c>
      <c r="D867" s="27">
        <v>5.0</v>
      </c>
      <c r="E867" s="27" t="s">
        <v>3725</v>
      </c>
      <c r="F867" s="27">
        <v>3.0</v>
      </c>
      <c r="G867" s="29">
        <v>45708.02361111111</v>
      </c>
      <c r="H867" s="27" t="s">
        <v>3405</v>
      </c>
      <c r="I867" s="18"/>
      <c r="J867" s="25" t="str">
        <f>IFERROR(__xludf.DUMMYFUNCTION("ARRAYFORMULA(REGEXEXTRACT(SPLIT(C867, ""&lt;br&gt;""), ""([가-힣A-Za-z]+)""))"),"신형만")</f>
        <v>신형만</v>
      </c>
      <c r="K867" s="26" t="str">
        <f>IFERROR(__xludf.DUMMYFUNCTION("""COMPUTED_VALUE"""),"깡패")</f>
        <v>깡패</v>
      </c>
      <c r="L867" s="26" t="str">
        <f>IFERROR(__xludf.DUMMYFUNCTION("""COMPUTED_VALUE"""),"재우")</f>
        <v>재우</v>
      </c>
      <c r="M867" s="26" t="str">
        <f>IFERROR(__xludf.DUMMYFUNCTION("""COMPUTED_VALUE"""),"재명")</f>
        <v>재명</v>
      </c>
      <c r="N867" s="26" t="str">
        <f>IFERROR(__xludf.DUMMYFUNCTION("ARRAYFORMULA(REGEXEXTRACT(SPLIT(E867, ""&lt;br&gt;""), ""([가-힣A-Za-z]+)""))"),"테리")</f>
        <v>테리</v>
      </c>
      <c r="O867" s="26" t="str">
        <f>IFERROR(__xludf.DUMMYFUNCTION("""COMPUTED_VALUE"""),"ACDC")</f>
        <v>ACDC</v>
      </c>
      <c r="P867" s="26" t="str">
        <f>IFERROR(__xludf.DUMMYFUNCTION("""COMPUTED_VALUE"""),"노인")</f>
        <v>노인</v>
      </c>
      <c r="Q867" s="26" t="str">
        <f>IFERROR(__xludf.DUMMYFUNCTION("""COMPUTED_VALUE"""),"강화")</f>
        <v>강화</v>
      </c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27" t="s">
        <v>3726</v>
      </c>
      <c r="B868" s="28" t="s">
        <v>3727</v>
      </c>
      <c r="C868" s="27" t="s">
        <v>3728</v>
      </c>
      <c r="D868" s="27">
        <v>5.0</v>
      </c>
      <c r="E868" s="27" t="s">
        <v>3729</v>
      </c>
      <c r="F868" s="27">
        <v>2.0</v>
      </c>
      <c r="G868" s="29">
        <v>45707.99444444444</v>
      </c>
      <c r="H868" s="27" t="s">
        <v>3405</v>
      </c>
      <c r="I868" s="18"/>
      <c r="J868" s="25" t="str">
        <f>IFERROR(__xludf.DUMMYFUNCTION("ARRAYFORMULA(REGEXEXTRACT(SPLIT(C868, ""&lt;br&gt;""), ""([가-힣A-Za-z]+)""))"),"웅")</f>
        <v>웅</v>
      </c>
      <c r="K868" s="26" t="str">
        <f>IFERROR(__xludf.DUMMYFUNCTION("""COMPUTED_VALUE"""),"노인")</f>
        <v>노인</v>
      </c>
      <c r="L868" s="26" t="str">
        <f>IFERROR(__xludf.DUMMYFUNCTION("""COMPUTED_VALUE"""),"태식")</f>
        <v>태식</v>
      </c>
      <c r="M868" s="26" t="str">
        <f>IFERROR(__xludf.DUMMYFUNCTION("""COMPUTED_VALUE"""),"신형만")</f>
        <v>신형만</v>
      </c>
      <c r="N868" s="26" t="str">
        <f>IFERROR(__xludf.DUMMYFUNCTION("ARRAYFORMULA(REGEXEXTRACT(SPLIT(E868, ""&lt;br&gt;""), ""([가-힣A-Za-z]+)""))"),"ACDC")</f>
        <v>ACDC</v>
      </c>
      <c r="O868" s="26" t="str">
        <f>IFERROR(__xludf.DUMMYFUNCTION("""COMPUTED_VALUE"""),"깡패")</f>
        <v>깡패</v>
      </c>
      <c r="P868" s="26" t="str">
        <f>IFERROR(__xludf.DUMMYFUNCTION("""COMPUTED_VALUE"""),"재명")</f>
        <v>재명</v>
      </c>
      <c r="Q868" s="26" t="str">
        <f>IFERROR(__xludf.DUMMYFUNCTION("""COMPUTED_VALUE"""),"강화")</f>
        <v>강화</v>
      </c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27" t="s">
        <v>3730</v>
      </c>
      <c r="B869" s="28" t="s">
        <v>3731</v>
      </c>
      <c r="C869" s="27" t="s">
        <v>3732</v>
      </c>
      <c r="D869" s="27">
        <v>5.0</v>
      </c>
      <c r="E869" s="27" t="s">
        <v>3733</v>
      </c>
      <c r="F869" s="27">
        <v>3.0</v>
      </c>
      <c r="G869" s="29">
        <v>45707.97083333333</v>
      </c>
      <c r="H869" s="27" t="s">
        <v>3405</v>
      </c>
      <c r="I869" s="18"/>
      <c r="J869" s="25" t="str">
        <f>IFERROR(__xludf.DUMMYFUNCTION("ARRAYFORMULA(REGEXEXTRACT(SPLIT(C869, ""&lt;br&gt;""), ""([가-힣A-Za-z]+)""))"),"강화")</f>
        <v>강화</v>
      </c>
      <c r="K869" s="26" t="str">
        <f>IFERROR(__xludf.DUMMYFUNCTION("""COMPUTED_VALUE"""),"신형만")</f>
        <v>신형만</v>
      </c>
      <c r="L869" s="26" t="str">
        <f>IFERROR(__xludf.DUMMYFUNCTION("""COMPUTED_VALUE"""),"재우")</f>
        <v>재우</v>
      </c>
      <c r="M869" s="26" t="str">
        <f>IFERROR(__xludf.DUMMYFUNCTION("""COMPUTED_VALUE"""),"노인")</f>
        <v>노인</v>
      </c>
      <c r="N869" s="26" t="str">
        <f>IFERROR(__xludf.DUMMYFUNCTION("ARRAYFORMULA(REGEXEXTRACT(SPLIT(E869, ""&lt;br&gt;""), ""([가-힣A-Za-z]+)""))"),"ACDC")</f>
        <v>ACDC</v>
      </c>
      <c r="O869" s="26" t="str">
        <f>IFERROR(__xludf.DUMMYFUNCTION("""COMPUTED_VALUE"""),"깡패")</f>
        <v>깡패</v>
      </c>
      <c r="P869" s="26" t="str">
        <f>IFERROR(__xludf.DUMMYFUNCTION("""COMPUTED_VALUE"""),"웅")</f>
        <v>웅</v>
      </c>
      <c r="Q869" s="26" t="str">
        <f>IFERROR(__xludf.DUMMYFUNCTION("""COMPUTED_VALUE"""),"재명")</f>
        <v>재명</v>
      </c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27" t="s">
        <v>3734</v>
      </c>
      <c r="B870" s="28" t="s">
        <v>3735</v>
      </c>
      <c r="C870" s="27" t="s">
        <v>3736</v>
      </c>
      <c r="D870" s="27">
        <v>5.0</v>
      </c>
      <c r="E870" s="27" t="s">
        <v>3737</v>
      </c>
      <c r="F870" s="27">
        <v>2.0</v>
      </c>
      <c r="G870" s="29">
        <v>45707.947222222225</v>
      </c>
      <c r="H870" s="27" t="s">
        <v>3405</v>
      </c>
      <c r="I870" s="18"/>
      <c r="J870" s="25" t="str">
        <f>IFERROR(__xludf.DUMMYFUNCTION("ARRAYFORMULA(REGEXEXTRACT(SPLIT(C870, ""&lt;br&gt;""), ""([가-힣A-Za-z]+)""))"),"강화")</f>
        <v>강화</v>
      </c>
      <c r="K870" s="26" t="str">
        <f>IFERROR(__xludf.DUMMYFUNCTION("""COMPUTED_VALUE"""),"태식")</f>
        <v>태식</v>
      </c>
      <c r="L870" s="26" t="str">
        <f>IFERROR(__xludf.DUMMYFUNCTION("""COMPUTED_VALUE"""),"깡패")</f>
        <v>깡패</v>
      </c>
      <c r="M870" s="26" t="str">
        <f>IFERROR(__xludf.DUMMYFUNCTION("""COMPUTED_VALUE"""),"노인")</f>
        <v>노인</v>
      </c>
      <c r="N870" s="26" t="str">
        <f>IFERROR(__xludf.DUMMYFUNCTION("ARRAYFORMULA(REGEXEXTRACT(SPLIT(E870, ""&lt;br&gt;""), ""([가-힣A-Za-z]+)""))"),"재우")</f>
        <v>재우</v>
      </c>
      <c r="O870" s="26" t="str">
        <f>IFERROR(__xludf.DUMMYFUNCTION("""COMPUTED_VALUE"""),"신형만")</f>
        <v>신형만</v>
      </c>
      <c r="P870" s="26" t="str">
        <f>IFERROR(__xludf.DUMMYFUNCTION("""COMPUTED_VALUE"""),"ACDC")</f>
        <v>ACDC</v>
      </c>
      <c r="Q870" s="26" t="str">
        <f>IFERROR(__xludf.DUMMYFUNCTION("""COMPUTED_VALUE"""),"재명")</f>
        <v>재명</v>
      </c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27" t="s">
        <v>3738</v>
      </c>
      <c r="B871" s="28" t="s">
        <v>3739</v>
      </c>
      <c r="C871" s="27" t="s">
        <v>3740</v>
      </c>
      <c r="D871" s="27">
        <v>5.0</v>
      </c>
      <c r="E871" s="27" t="s">
        <v>3741</v>
      </c>
      <c r="F871" s="27">
        <v>1.0</v>
      </c>
      <c r="G871" s="29">
        <v>45707.91805555556</v>
      </c>
      <c r="H871" s="27" t="s">
        <v>3405</v>
      </c>
      <c r="I871" s="18"/>
      <c r="J871" s="25" t="str">
        <f>IFERROR(__xludf.DUMMYFUNCTION("ARRAYFORMULA(REGEXEXTRACT(SPLIT(C871, ""&lt;br&gt;""), ""([가-힣A-Za-z]+)""))"),"재우")</f>
        <v>재우</v>
      </c>
      <c r="K871" s="26" t="str">
        <f>IFERROR(__xludf.DUMMYFUNCTION("""COMPUTED_VALUE"""),"테리")</f>
        <v>테리</v>
      </c>
      <c r="L871" s="26" t="str">
        <f>IFERROR(__xludf.DUMMYFUNCTION("""COMPUTED_VALUE"""),"태식")</f>
        <v>태식</v>
      </c>
      <c r="M871" s="26" t="str">
        <f>IFERROR(__xludf.DUMMYFUNCTION("""COMPUTED_VALUE"""),"깡패")</f>
        <v>깡패</v>
      </c>
      <c r="N871" s="26" t="str">
        <f>IFERROR(__xludf.DUMMYFUNCTION("ARRAYFORMULA(REGEXEXTRACT(SPLIT(E871, ""&lt;br&gt;""), ""([가-힣A-Za-z]+)""))"),"ACDC")</f>
        <v>ACDC</v>
      </c>
      <c r="O871" s="26" t="str">
        <f>IFERROR(__xludf.DUMMYFUNCTION("""COMPUTED_VALUE"""),"노인")</f>
        <v>노인</v>
      </c>
      <c r="P871" s="26" t="str">
        <f>IFERROR(__xludf.DUMMYFUNCTION("""COMPUTED_VALUE"""),"신형만")</f>
        <v>신형만</v>
      </c>
      <c r="Q871" s="26" t="str">
        <f>IFERROR(__xludf.DUMMYFUNCTION("""COMPUTED_VALUE"""),"강화")</f>
        <v>강화</v>
      </c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27" t="s">
        <v>3742</v>
      </c>
      <c r="B872" s="28" t="s">
        <v>3743</v>
      </c>
      <c r="C872" s="27" t="s">
        <v>3744</v>
      </c>
      <c r="D872" s="27">
        <v>5.0</v>
      </c>
      <c r="E872" s="27" t="s">
        <v>3745</v>
      </c>
      <c r="F872" s="27">
        <v>2.0</v>
      </c>
      <c r="G872" s="29">
        <v>45707.902083333334</v>
      </c>
      <c r="H872" s="27" t="s">
        <v>3405</v>
      </c>
      <c r="I872" s="18"/>
      <c r="J872" s="25" t="str">
        <f>IFERROR(__xludf.DUMMYFUNCTION("ARRAYFORMULA(REGEXEXTRACT(SPLIT(C872, ""&lt;br&gt;""), ""([가-힣A-Za-z]+)""))"),"ACDC")</f>
        <v>ACDC</v>
      </c>
      <c r="K872" s="26" t="str">
        <f>IFERROR(__xludf.DUMMYFUNCTION("""COMPUTED_VALUE"""),"깡패")</f>
        <v>깡패</v>
      </c>
      <c r="L872" s="26" t="str">
        <f>IFERROR(__xludf.DUMMYFUNCTION("""COMPUTED_VALUE"""),"노인")</f>
        <v>노인</v>
      </c>
      <c r="M872" s="26" t="str">
        <f>IFERROR(__xludf.DUMMYFUNCTION("""COMPUTED_VALUE"""),"태식")</f>
        <v>태식</v>
      </c>
      <c r="N872" s="26" t="str">
        <f>IFERROR(__xludf.DUMMYFUNCTION("ARRAYFORMULA(REGEXEXTRACT(SPLIT(E872, ""&lt;br&gt;""), ""([가-힣A-Za-z]+)""))"),"신형만")</f>
        <v>신형만</v>
      </c>
      <c r="O872" s="26" t="str">
        <f>IFERROR(__xludf.DUMMYFUNCTION("""COMPUTED_VALUE"""),"재우")</f>
        <v>재우</v>
      </c>
      <c r="P872" s="26" t="str">
        <f>IFERROR(__xludf.DUMMYFUNCTION("""COMPUTED_VALUE"""),"테리")</f>
        <v>테리</v>
      </c>
      <c r="Q872" s="26" t="str">
        <f>IFERROR(__xludf.DUMMYFUNCTION("""COMPUTED_VALUE"""),"전투쥐")</f>
        <v>전투쥐</v>
      </c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27" t="s">
        <v>3746</v>
      </c>
      <c r="B873" s="28" t="s">
        <v>3747</v>
      </c>
      <c r="C873" s="27" t="s">
        <v>3748</v>
      </c>
      <c r="D873" s="27">
        <v>5.0</v>
      </c>
      <c r="E873" s="27" t="s">
        <v>3749</v>
      </c>
      <c r="F873" s="27">
        <v>4.0</v>
      </c>
      <c r="G873" s="29">
        <v>45707.87569444445</v>
      </c>
      <c r="H873" s="27" t="s">
        <v>3405</v>
      </c>
      <c r="I873" s="18"/>
      <c r="J873" s="25" t="str">
        <f>IFERROR(__xludf.DUMMYFUNCTION("ARRAYFORMULA(REGEXEXTRACT(SPLIT(C873, ""&lt;br&gt;""), ""([가-힣A-Za-z]+)""))"),"테리")</f>
        <v>테리</v>
      </c>
      <c r="K873" s="26" t="str">
        <f>IFERROR(__xludf.DUMMYFUNCTION("""COMPUTED_VALUE"""),"깡패")</f>
        <v>깡패</v>
      </c>
      <c r="L873" s="26" t="str">
        <f>IFERROR(__xludf.DUMMYFUNCTION("""COMPUTED_VALUE"""),"ACDC")</f>
        <v>ACDC</v>
      </c>
      <c r="M873" s="26" t="str">
        <f>IFERROR(__xludf.DUMMYFUNCTION("""COMPUTED_VALUE"""),"재우")</f>
        <v>재우</v>
      </c>
      <c r="N873" s="26" t="str">
        <f>IFERROR(__xludf.DUMMYFUNCTION("ARRAYFORMULA(REGEXEXTRACT(SPLIT(E873, ""&lt;br&gt;""), ""([가-힣A-Za-z]+)""))"),"신형만")</f>
        <v>신형만</v>
      </c>
      <c r="O873" s="26" t="str">
        <f>IFERROR(__xludf.DUMMYFUNCTION("""COMPUTED_VALUE"""),"태식")</f>
        <v>태식</v>
      </c>
      <c r="P873" s="26" t="str">
        <f>IFERROR(__xludf.DUMMYFUNCTION("""COMPUTED_VALUE"""),"노인")</f>
        <v>노인</v>
      </c>
      <c r="Q873" s="26" t="str">
        <f>IFERROR(__xludf.DUMMYFUNCTION("""COMPUTED_VALUE"""),"전투쥐")</f>
        <v>전투쥐</v>
      </c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27" t="s">
        <v>3750</v>
      </c>
      <c r="B874" s="28" t="s">
        <v>3751</v>
      </c>
      <c r="C874" s="27" t="s">
        <v>3752</v>
      </c>
      <c r="D874" s="27">
        <v>5.0</v>
      </c>
      <c r="E874" s="27" t="s">
        <v>3753</v>
      </c>
      <c r="F874" s="27">
        <v>0.0</v>
      </c>
      <c r="G874" s="29">
        <v>45707.84305555555</v>
      </c>
      <c r="H874" s="27" t="s">
        <v>3405</v>
      </c>
      <c r="I874" s="18"/>
      <c r="J874" s="25" t="str">
        <f>IFERROR(__xludf.DUMMYFUNCTION("ARRAYFORMULA(REGEXEXTRACT(SPLIT(C874, ""&lt;br&gt;""), ""([가-힣A-Za-z]+)""))"),"노인")</f>
        <v>노인</v>
      </c>
      <c r="K874" s="26" t="str">
        <f>IFERROR(__xludf.DUMMYFUNCTION("""COMPUTED_VALUE"""),"테리")</f>
        <v>테리</v>
      </c>
      <c r="L874" s="26" t="str">
        <f>IFERROR(__xludf.DUMMYFUNCTION("""COMPUTED_VALUE"""),"깡패")</f>
        <v>깡패</v>
      </c>
      <c r="M874" s="26" t="str">
        <f>IFERROR(__xludf.DUMMYFUNCTION("""COMPUTED_VALUE"""),"신형만")</f>
        <v>신형만</v>
      </c>
      <c r="N874" s="26" t="str">
        <f>IFERROR(__xludf.DUMMYFUNCTION("ARRAYFORMULA(REGEXEXTRACT(SPLIT(E874, ""&lt;br&gt;""), ""([가-힣A-Za-z]+)""))"),"태식")</f>
        <v>태식</v>
      </c>
      <c r="O874" s="26" t="str">
        <f>IFERROR(__xludf.DUMMYFUNCTION("""COMPUTED_VALUE"""),"재우")</f>
        <v>재우</v>
      </c>
      <c r="P874" s="26" t="str">
        <f>IFERROR(__xludf.DUMMYFUNCTION("""COMPUTED_VALUE"""),"ACDC")</f>
        <v>ACDC</v>
      </c>
      <c r="Q874" s="26" t="str">
        <f>IFERROR(__xludf.DUMMYFUNCTION("""COMPUTED_VALUE"""),"전투쥐")</f>
        <v>전투쥐</v>
      </c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27" t="s">
        <v>3754</v>
      </c>
      <c r="B875" s="28" t="s">
        <v>3755</v>
      </c>
      <c r="C875" s="27" t="s">
        <v>3756</v>
      </c>
      <c r="D875" s="27">
        <v>5.0</v>
      </c>
      <c r="E875" s="27" t="s">
        <v>3757</v>
      </c>
      <c r="F875" s="27">
        <v>2.0</v>
      </c>
      <c r="G875" s="29">
        <v>45706.92916666667</v>
      </c>
      <c r="H875" s="27" t="s">
        <v>3405</v>
      </c>
      <c r="I875" s="18"/>
      <c r="J875" s="25" t="str">
        <f>IFERROR(__xludf.DUMMYFUNCTION("ARRAYFORMULA(REGEXEXTRACT(SPLIT(C875, ""&lt;br&gt;""), ""([가-힣A-Za-z]+)""))"),"테리")</f>
        <v>테리</v>
      </c>
      <c r="K875" s="26" t="str">
        <f>IFERROR(__xludf.DUMMYFUNCTION("""COMPUTED_VALUE"""),"참치")</f>
        <v>참치</v>
      </c>
      <c r="L875" s="26" t="str">
        <f>IFERROR(__xludf.DUMMYFUNCTION("""COMPUTED_VALUE"""),"신형만")</f>
        <v>신형만</v>
      </c>
      <c r="M875" s="26" t="str">
        <f>IFERROR(__xludf.DUMMYFUNCTION("""COMPUTED_VALUE"""),"규식")</f>
        <v>규식</v>
      </c>
      <c r="N875" s="26" t="str">
        <f>IFERROR(__xludf.DUMMYFUNCTION("ARRAYFORMULA(REGEXEXTRACT(SPLIT(E875, ""&lt;br&gt;""), ""([가-힣A-Za-z]+)""))"),"웅")</f>
        <v>웅</v>
      </c>
      <c r="O875" s="26" t="str">
        <f>IFERROR(__xludf.DUMMYFUNCTION("""COMPUTED_VALUE"""),"깡패")</f>
        <v>깡패</v>
      </c>
      <c r="P875" s="26" t="str">
        <f>IFERROR(__xludf.DUMMYFUNCTION("""COMPUTED_VALUE"""),"ACDC")</f>
        <v>ACDC</v>
      </c>
      <c r="Q875" s="26" t="str">
        <f>IFERROR(__xludf.DUMMYFUNCTION("""COMPUTED_VALUE"""),"유망")</f>
        <v>유망</v>
      </c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27" t="s">
        <v>3758</v>
      </c>
      <c r="B876" s="28" t="s">
        <v>3759</v>
      </c>
      <c r="C876" s="27" t="s">
        <v>3760</v>
      </c>
      <c r="D876" s="27">
        <v>5.0</v>
      </c>
      <c r="E876" s="27" t="s">
        <v>3761</v>
      </c>
      <c r="F876" s="27">
        <v>2.0</v>
      </c>
      <c r="G876" s="29">
        <v>45706.90694444445</v>
      </c>
      <c r="H876" s="27" t="s">
        <v>3405</v>
      </c>
      <c r="I876" s="18"/>
      <c r="J876" s="25" t="str">
        <f>IFERROR(__xludf.DUMMYFUNCTION("ARRAYFORMULA(REGEXEXTRACT(SPLIT(C876, ""&lt;br&gt;""), ""([가-힣A-Za-z]+)""))"),"테리")</f>
        <v>테리</v>
      </c>
      <c r="K876" s="26" t="str">
        <f>IFERROR(__xludf.DUMMYFUNCTION("""COMPUTED_VALUE"""),"ACDC")</f>
        <v>ACDC</v>
      </c>
      <c r="L876" s="26" t="str">
        <f>IFERROR(__xludf.DUMMYFUNCTION("""COMPUTED_VALUE"""),"참치")</f>
        <v>참치</v>
      </c>
      <c r="M876" s="26" t="str">
        <f>IFERROR(__xludf.DUMMYFUNCTION("""COMPUTED_VALUE"""),"원")</f>
        <v>원</v>
      </c>
      <c r="N876" s="26" t="str">
        <f>IFERROR(__xludf.DUMMYFUNCTION("ARRAYFORMULA(REGEXEXTRACT(SPLIT(E876, ""&lt;br&gt;""), ""([가-힣A-Za-z]+)""))"),"신형만")</f>
        <v>신형만</v>
      </c>
      <c r="O876" s="26" t="str">
        <f>IFERROR(__xludf.DUMMYFUNCTION("""COMPUTED_VALUE"""),"규식")</f>
        <v>규식</v>
      </c>
      <c r="P876" s="26" t="str">
        <f>IFERROR(__xludf.DUMMYFUNCTION("""COMPUTED_VALUE"""),"깡패")</f>
        <v>깡패</v>
      </c>
      <c r="Q876" s="26" t="str">
        <f>IFERROR(__xludf.DUMMYFUNCTION("""COMPUTED_VALUE"""),"유망")</f>
        <v>유망</v>
      </c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27" t="s">
        <v>3762</v>
      </c>
      <c r="B877" s="28" t="s">
        <v>3763</v>
      </c>
      <c r="C877" s="27" t="s">
        <v>3764</v>
      </c>
      <c r="D877" s="27">
        <v>5.0</v>
      </c>
      <c r="E877" s="27" t="s">
        <v>3765</v>
      </c>
      <c r="F877" s="27">
        <v>3.0</v>
      </c>
      <c r="G877" s="29">
        <v>45706.87847222222</v>
      </c>
      <c r="H877" s="27" t="s">
        <v>3405</v>
      </c>
      <c r="I877" s="18"/>
      <c r="J877" s="25" t="str">
        <f>IFERROR(__xludf.DUMMYFUNCTION("ARRAYFORMULA(REGEXEXTRACT(SPLIT(C877, ""&lt;br&gt;""), ""([가-힣A-Za-z]+)""))"),"테리")</f>
        <v>테리</v>
      </c>
      <c r="K877" s="26" t="str">
        <f>IFERROR(__xludf.DUMMYFUNCTION("""COMPUTED_VALUE"""),"규식")</f>
        <v>규식</v>
      </c>
      <c r="L877" s="26" t="str">
        <f>IFERROR(__xludf.DUMMYFUNCTION("""COMPUTED_VALUE"""),"원")</f>
        <v>원</v>
      </c>
      <c r="M877" s="26" t="str">
        <f>IFERROR(__xludf.DUMMYFUNCTION("""COMPUTED_VALUE"""),"유망")</f>
        <v>유망</v>
      </c>
      <c r="N877" s="26" t="str">
        <f>IFERROR(__xludf.DUMMYFUNCTION("ARRAYFORMULA(REGEXEXTRACT(SPLIT(E877, ""&lt;br&gt;""), ""([가-힣A-Za-z]+)""))"),"신형만")</f>
        <v>신형만</v>
      </c>
      <c r="O877" s="26" t="str">
        <f>IFERROR(__xludf.DUMMYFUNCTION("""COMPUTED_VALUE"""),"ACDC")</f>
        <v>ACDC</v>
      </c>
      <c r="P877" s="26" t="str">
        <f>IFERROR(__xludf.DUMMYFUNCTION("""COMPUTED_VALUE"""),"깡패")</f>
        <v>깡패</v>
      </c>
      <c r="Q877" s="26" t="str">
        <f>IFERROR(__xludf.DUMMYFUNCTION("""COMPUTED_VALUE"""),"참치")</f>
        <v>참치</v>
      </c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27" t="s">
        <v>3766</v>
      </c>
      <c r="B878" s="28" t="s">
        <v>3767</v>
      </c>
      <c r="C878" s="27" t="s">
        <v>3768</v>
      </c>
      <c r="D878" s="27">
        <v>5.0</v>
      </c>
      <c r="E878" s="27" t="s">
        <v>3769</v>
      </c>
      <c r="F878" s="27">
        <v>4.0</v>
      </c>
      <c r="G878" s="29">
        <v>45705.99444444444</v>
      </c>
      <c r="H878" s="27" t="s">
        <v>3405</v>
      </c>
      <c r="I878" s="18"/>
      <c r="J878" s="25" t="str">
        <f>IFERROR(__xludf.DUMMYFUNCTION("ARRAYFORMULA(REGEXEXTRACT(SPLIT(C878, ""&lt;br&gt;""), ""([가-힣A-Za-z]+)""))"),"재명")</f>
        <v>재명</v>
      </c>
      <c r="K878" s="26" t="str">
        <f>IFERROR(__xludf.DUMMYFUNCTION("""COMPUTED_VALUE"""),"재우")</f>
        <v>재우</v>
      </c>
      <c r="L878" s="26" t="str">
        <f>IFERROR(__xludf.DUMMYFUNCTION("""COMPUTED_VALUE"""),"깡패")</f>
        <v>깡패</v>
      </c>
      <c r="M878" s="26" t="str">
        <f>IFERROR(__xludf.DUMMYFUNCTION("""COMPUTED_VALUE"""),"태식")</f>
        <v>태식</v>
      </c>
      <c r="N878" s="26" t="str">
        <f>IFERROR(__xludf.DUMMYFUNCTION("ARRAYFORMULA(REGEXEXTRACT(SPLIT(E878, ""&lt;br&gt;""), ""([가-힣A-Za-z]+)""))"),"유망")</f>
        <v>유망</v>
      </c>
      <c r="O878" s="26" t="str">
        <f>IFERROR(__xludf.DUMMYFUNCTION("""COMPUTED_VALUE"""),"노인")</f>
        <v>노인</v>
      </c>
      <c r="P878" s="26" t="str">
        <f>IFERROR(__xludf.DUMMYFUNCTION("""COMPUTED_VALUE"""),"ACDC")</f>
        <v>ACDC</v>
      </c>
      <c r="Q878" s="26" t="str">
        <f>IFERROR(__xludf.DUMMYFUNCTION("""COMPUTED_VALUE"""),"강화")</f>
        <v>강화</v>
      </c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27" t="s">
        <v>3770</v>
      </c>
      <c r="B879" s="28" t="s">
        <v>3771</v>
      </c>
      <c r="C879" s="27" t="s">
        <v>3772</v>
      </c>
      <c r="D879" s="27">
        <v>5.0</v>
      </c>
      <c r="E879" s="27" t="s">
        <v>3773</v>
      </c>
      <c r="F879" s="27">
        <v>1.0</v>
      </c>
      <c r="G879" s="29">
        <v>45705.95625</v>
      </c>
      <c r="H879" s="27" t="s">
        <v>3405</v>
      </c>
      <c r="I879" s="18"/>
      <c r="J879" s="25" t="str">
        <f>IFERROR(__xludf.DUMMYFUNCTION("ARRAYFORMULA(REGEXEXTRACT(SPLIT(C879, ""&lt;br&gt;""), ""([가-힣A-Za-z]+)""))"),"재명")</f>
        <v>재명</v>
      </c>
      <c r="K879" s="26" t="str">
        <f>IFERROR(__xludf.DUMMYFUNCTION("""COMPUTED_VALUE"""),"노인")</f>
        <v>노인</v>
      </c>
      <c r="L879" s="26" t="str">
        <f>IFERROR(__xludf.DUMMYFUNCTION("""COMPUTED_VALUE"""),"강화")</f>
        <v>강화</v>
      </c>
      <c r="M879" s="26" t="str">
        <f>IFERROR(__xludf.DUMMYFUNCTION("""COMPUTED_VALUE"""),"재우")</f>
        <v>재우</v>
      </c>
      <c r="N879" s="26" t="str">
        <f>IFERROR(__xludf.DUMMYFUNCTION("ARRAYFORMULA(REGEXEXTRACT(SPLIT(E879, ""&lt;br&gt;""), ""([가-힣A-Za-z]+)""))"),"깡패")</f>
        <v>깡패</v>
      </c>
      <c r="O879" s="26" t="str">
        <f>IFERROR(__xludf.DUMMYFUNCTION("""COMPUTED_VALUE"""),"ACDC")</f>
        <v>ACDC</v>
      </c>
      <c r="P879" s="26" t="str">
        <f>IFERROR(__xludf.DUMMYFUNCTION("""COMPUTED_VALUE"""),"태식")</f>
        <v>태식</v>
      </c>
      <c r="Q879" s="26" t="str">
        <f>IFERROR(__xludf.DUMMYFUNCTION("""COMPUTED_VALUE"""),"유망")</f>
        <v>유망</v>
      </c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27" t="s">
        <v>3774</v>
      </c>
      <c r="B880" s="28" t="s">
        <v>3775</v>
      </c>
      <c r="C880" s="27" t="s">
        <v>3776</v>
      </c>
      <c r="D880" s="27">
        <v>5.0</v>
      </c>
      <c r="E880" s="27" t="s">
        <v>3777</v>
      </c>
      <c r="F880" s="27">
        <v>4.0</v>
      </c>
      <c r="G880" s="29">
        <v>45705.925</v>
      </c>
      <c r="H880" s="27" t="s">
        <v>3405</v>
      </c>
      <c r="I880" s="18"/>
      <c r="J880" s="25" t="str">
        <f>IFERROR(__xludf.DUMMYFUNCTION("ARRAYFORMULA(REGEXEXTRACT(SPLIT(C880, ""&lt;br&gt;""), ""([가-힣A-Za-z]+)""))"),"태식")</f>
        <v>태식</v>
      </c>
      <c r="K880" s="26" t="str">
        <f>IFERROR(__xludf.DUMMYFUNCTION("""COMPUTED_VALUE"""),"테리")</f>
        <v>테리</v>
      </c>
      <c r="L880" s="26" t="str">
        <f>IFERROR(__xludf.DUMMYFUNCTION("""COMPUTED_VALUE"""),"깡패")</f>
        <v>깡패</v>
      </c>
      <c r="M880" s="26" t="str">
        <f>IFERROR(__xludf.DUMMYFUNCTION("""COMPUTED_VALUE"""),"신형만")</f>
        <v>신형만</v>
      </c>
      <c r="N880" s="26" t="str">
        <f>IFERROR(__xludf.DUMMYFUNCTION("ARRAYFORMULA(REGEXEXTRACT(SPLIT(E880, ""&lt;br&gt;""), ""([가-힣A-Za-z]+)""))"),"ACDC")</f>
        <v>ACDC</v>
      </c>
      <c r="O880" s="26" t="str">
        <f>IFERROR(__xludf.DUMMYFUNCTION("""COMPUTED_VALUE"""),"노인")</f>
        <v>노인</v>
      </c>
      <c r="P880" s="26" t="str">
        <f>IFERROR(__xludf.DUMMYFUNCTION("""COMPUTED_VALUE"""),"재우")</f>
        <v>재우</v>
      </c>
      <c r="Q880" s="26" t="str">
        <f>IFERROR(__xludf.DUMMYFUNCTION("""COMPUTED_VALUE"""),"한메")</f>
        <v>한메</v>
      </c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27" t="s">
        <v>3778</v>
      </c>
      <c r="B881" s="28" t="s">
        <v>3779</v>
      </c>
      <c r="C881" s="27" t="s">
        <v>3780</v>
      </c>
      <c r="D881" s="27">
        <v>5.0</v>
      </c>
      <c r="E881" s="27" t="s">
        <v>3781</v>
      </c>
      <c r="F881" s="27">
        <v>3.0</v>
      </c>
      <c r="G881" s="29">
        <v>45705.9</v>
      </c>
      <c r="H881" s="27" t="s">
        <v>3405</v>
      </c>
      <c r="I881" s="18"/>
      <c r="J881" s="25" t="str">
        <f>IFERROR(__xludf.DUMMYFUNCTION("ARRAYFORMULA(REGEXEXTRACT(SPLIT(C881, ""&lt;br&gt;""), ""([가-힣A-Za-z]+)""))"),"ACDC")</f>
        <v>ACDC</v>
      </c>
      <c r="K881" s="26" t="str">
        <f>IFERROR(__xludf.DUMMYFUNCTION("""COMPUTED_VALUE"""),"규식")</f>
        <v>규식</v>
      </c>
      <c r="L881" s="26" t="str">
        <f>IFERROR(__xludf.DUMMYFUNCTION("""COMPUTED_VALUE"""),"테리")</f>
        <v>테리</v>
      </c>
      <c r="M881" s="26" t="str">
        <f>IFERROR(__xludf.DUMMYFUNCTION("""COMPUTED_VALUE"""),"재우")</f>
        <v>재우</v>
      </c>
      <c r="N881" s="26" t="str">
        <f>IFERROR(__xludf.DUMMYFUNCTION("ARRAYFORMULA(REGEXEXTRACT(SPLIT(E881, ""&lt;br&gt;""), ""([가-힣A-Za-z]+)""))"),"한메")</f>
        <v>한메</v>
      </c>
      <c r="O881" s="26" t="str">
        <f>IFERROR(__xludf.DUMMYFUNCTION("""COMPUTED_VALUE"""),"태식")</f>
        <v>태식</v>
      </c>
      <c r="P881" s="26" t="str">
        <f>IFERROR(__xludf.DUMMYFUNCTION("""COMPUTED_VALUE"""),"신형만")</f>
        <v>신형만</v>
      </c>
      <c r="Q881" s="26" t="str">
        <f>IFERROR(__xludf.DUMMYFUNCTION("""COMPUTED_VALUE"""),"노인")</f>
        <v>노인</v>
      </c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27" t="s">
        <v>3782</v>
      </c>
      <c r="B882" s="28" t="s">
        <v>3783</v>
      </c>
      <c r="C882" s="27" t="s">
        <v>3784</v>
      </c>
      <c r="D882" s="27">
        <v>5.0</v>
      </c>
      <c r="E882" s="27" t="s">
        <v>3785</v>
      </c>
      <c r="F882" s="27">
        <v>1.0</v>
      </c>
      <c r="G882" s="29">
        <v>45705.861805555556</v>
      </c>
      <c r="H882" s="27" t="s">
        <v>3405</v>
      </c>
      <c r="I882" s="18"/>
      <c r="J882" s="25" t="str">
        <f>IFERROR(__xludf.DUMMYFUNCTION("ARRAYFORMULA(REGEXEXTRACT(SPLIT(C882, ""&lt;br&gt;""), ""([가-힣A-Za-z]+)""))"),"한메")</f>
        <v>한메</v>
      </c>
      <c r="K882" s="26" t="str">
        <f>IFERROR(__xludf.DUMMYFUNCTION("""COMPUTED_VALUE"""),"테리")</f>
        <v>테리</v>
      </c>
      <c r="L882" s="26" t="str">
        <f>IFERROR(__xludf.DUMMYFUNCTION("""COMPUTED_VALUE"""),"태식")</f>
        <v>태식</v>
      </c>
      <c r="M882" s="26" t="str">
        <f>IFERROR(__xludf.DUMMYFUNCTION("""COMPUTED_VALUE"""),"재우")</f>
        <v>재우</v>
      </c>
      <c r="N882" s="26" t="str">
        <f>IFERROR(__xludf.DUMMYFUNCTION("ARRAYFORMULA(REGEXEXTRACT(SPLIT(E882, ""&lt;br&gt;""), ""([가-힣A-Za-z]+)""))"),"ACDC")</f>
        <v>ACDC</v>
      </c>
      <c r="O882" s="26" t="str">
        <f>IFERROR(__xludf.DUMMYFUNCTION("""COMPUTED_VALUE"""),"규식")</f>
        <v>규식</v>
      </c>
      <c r="P882" s="26" t="str">
        <f>IFERROR(__xludf.DUMMYFUNCTION("""COMPUTED_VALUE"""),"신형만")</f>
        <v>신형만</v>
      </c>
      <c r="Q882" s="26" t="str">
        <f>IFERROR(__xludf.DUMMYFUNCTION("""COMPUTED_VALUE"""),"노인")</f>
        <v>노인</v>
      </c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27" t="s">
        <v>3786</v>
      </c>
      <c r="B883" s="28" t="s">
        <v>3787</v>
      </c>
      <c r="C883" s="27" t="s">
        <v>3788</v>
      </c>
      <c r="D883" s="27">
        <v>5.0</v>
      </c>
      <c r="E883" s="27" t="s">
        <v>3789</v>
      </c>
      <c r="F883" s="27">
        <v>4.0</v>
      </c>
      <c r="G883" s="29">
        <v>45704.97083333333</v>
      </c>
      <c r="H883" s="27" t="s">
        <v>3405</v>
      </c>
      <c r="I883" s="18"/>
      <c r="J883" s="25" t="str">
        <f>IFERROR(__xludf.DUMMYFUNCTION("ARRAYFORMULA(REGEXEXTRACT(SPLIT(C883, ""&lt;br&gt;""), ""([가-힣A-Za-z]+)""))"),"강화")</f>
        <v>강화</v>
      </c>
      <c r="K883" s="26" t="str">
        <f>IFERROR(__xludf.DUMMYFUNCTION("""COMPUTED_VALUE"""),"태식")</f>
        <v>태식</v>
      </c>
      <c r="L883" s="26" t="str">
        <f>IFERROR(__xludf.DUMMYFUNCTION("""COMPUTED_VALUE"""),"신형만")</f>
        <v>신형만</v>
      </c>
      <c r="M883" s="26" t="str">
        <f>IFERROR(__xludf.DUMMYFUNCTION("""COMPUTED_VALUE"""),"재명")</f>
        <v>재명</v>
      </c>
      <c r="N883" s="26" t="str">
        <f>IFERROR(__xludf.DUMMYFUNCTION("ARRAYFORMULA(REGEXEXTRACT(SPLIT(E883, ""&lt;br&gt;""), ""([가-힣A-Za-z]+)""))"),"ACDC")</f>
        <v>ACDC</v>
      </c>
      <c r="O883" s="26" t="str">
        <f>IFERROR(__xludf.DUMMYFUNCTION("""COMPUTED_VALUE"""),"깡패")</f>
        <v>깡패</v>
      </c>
      <c r="P883" s="26" t="str">
        <f>IFERROR(__xludf.DUMMYFUNCTION("""COMPUTED_VALUE"""),"테리")</f>
        <v>테리</v>
      </c>
      <c r="Q883" s="26" t="str">
        <f>IFERROR(__xludf.DUMMYFUNCTION("""COMPUTED_VALUE"""),"재우")</f>
        <v>재우</v>
      </c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27" t="s">
        <v>3790</v>
      </c>
      <c r="B884" s="28" t="s">
        <v>3791</v>
      </c>
      <c r="C884" s="27" t="s">
        <v>3792</v>
      </c>
      <c r="D884" s="27">
        <v>5.0</v>
      </c>
      <c r="E884" s="27" t="s">
        <v>3793</v>
      </c>
      <c r="F884" s="27">
        <v>1.0</v>
      </c>
      <c r="G884" s="29">
        <v>45704.92916666667</v>
      </c>
      <c r="H884" s="27" t="s">
        <v>3405</v>
      </c>
      <c r="I884" s="18"/>
      <c r="J884" s="25" t="str">
        <f>IFERROR(__xludf.DUMMYFUNCTION("ARRAYFORMULA(REGEXEXTRACT(SPLIT(C884, ""&lt;br&gt;""), ""([가-힣A-Za-z]+)""))"),"깡패")</f>
        <v>깡패</v>
      </c>
      <c r="K884" s="26" t="str">
        <f>IFERROR(__xludf.DUMMYFUNCTION("""COMPUTED_VALUE"""),"신형만")</f>
        <v>신형만</v>
      </c>
      <c r="L884" s="26" t="str">
        <f>IFERROR(__xludf.DUMMYFUNCTION("""COMPUTED_VALUE"""),"태식")</f>
        <v>태식</v>
      </c>
      <c r="M884" s="26" t="str">
        <f>IFERROR(__xludf.DUMMYFUNCTION("""COMPUTED_VALUE"""),"한메")</f>
        <v>한메</v>
      </c>
      <c r="N884" s="26" t="str">
        <f>IFERROR(__xludf.DUMMYFUNCTION("ARRAYFORMULA(REGEXEXTRACT(SPLIT(E884, ""&lt;br&gt;""), ""([가-힣A-Za-z]+)""))"),"재명")</f>
        <v>재명</v>
      </c>
      <c r="O884" s="26" t="str">
        <f>IFERROR(__xludf.DUMMYFUNCTION("""COMPUTED_VALUE"""),"재우")</f>
        <v>재우</v>
      </c>
      <c r="P884" s="26" t="str">
        <f>IFERROR(__xludf.DUMMYFUNCTION("""COMPUTED_VALUE"""),"ACDC")</f>
        <v>ACDC</v>
      </c>
      <c r="Q884" s="26" t="str">
        <f>IFERROR(__xludf.DUMMYFUNCTION("""COMPUTED_VALUE"""),"강화")</f>
        <v>강화</v>
      </c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27" t="s">
        <v>3794</v>
      </c>
      <c r="B885" s="28" t="s">
        <v>3795</v>
      </c>
      <c r="C885" s="27" t="s">
        <v>3796</v>
      </c>
      <c r="D885" s="27">
        <v>5.0</v>
      </c>
      <c r="E885" s="27" t="s">
        <v>3797</v>
      </c>
      <c r="F885" s="27">
        <v>3.0</v>
      </c>
      <c r="G885" s="29">
        <v>45704.91458333333</v>
      </c>
      <c r="H885" s="27" t="s">
        <v>3405</v>
      </c>
      <c r="I885" s="18"/>
      <c r="J885" s="25" t="str">
        <f>IFERROR(__xludf.DUMMYFUNCTION("ARRAYFORMULA(REGEXEXTRACT(SPLIT(C885, ""&lt;br&gt;""), ""([가-힣A-Za-z]+)""))"),"강화")</f>
        <v>강화</v>
      </c>
      <c r="K885" s="26" t="str">
        <f>IFERROR(__xludf.DUMMYFUNCTION("""COMPUTED_VALUE"""),"깡패")</f>
        <v>깡패</v>
      </c>
      <c r="L885" s="26" t="str">
        <f>IFERROR(__xludf.DUMMYFUNCTION("""COMPUTED_VALUE"""),"재우")</f>
        <v>재우</v>
      </c>
      <c r="M885" s="26" t="str">
        <f>IFERROR(__xludf.DUMMYFUNCTION("""COMPUTED_VALUE"""),"한메")</f>
        <v>한메</v>
      </c>
      <c r="N885" s="26" t="str">
        <f>IFERROR(__xludf.DUMMYFUNCTION("ARRAYFORMULA(REGEXEXTRACT(SPLIT(E885, ""&lt;br&gt;""), ""([가-힣A-Za-z]+)""))"),"테리")</f>
        <v>테리</v>
      </c>
      <c r="O885" s="26" t="str">
        <f>IFERROR(__xludf.DUMMYFUNCTION("""COMPUTED_VALUE"""),"ACDC")</f>
        <v>ACDC</v>
      </c>
      <c r="P885" s="26" t="str">
        <f>IFERROR(__xludf.DUMMYFUNCTION("""COMPUTED_VALUE"""),"태식")</f>
        <v>태식</v>
      </c>
      <c r="Q885" s="26" t="str">
        <f>IFERROR(__xludf.DUMMYFUNCTION("""COMPUTED_VALUE"""),"신형만")</f>
        <v>신형만</v>
      </c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27" t="s">
        <v>3798</v>
      </c>
      <c r="B886" s="28" t="s">
        <v>3799</v>
      </c>
      <c r="C886" s="27" t="s">
        <v>3800</v>
      </c>
      <c r="D886" s="27">
        <v>5.0</v>
      </c>
      <c r="E886" s="27" t="s">
        <v>3801</v>
      </c>
      <c r="F886" s="27">
        <v>3.0</v>
      </c>
      <c r="G886" s="29">
        <v>45704.89027777778</v>
      </c>
      <c r="H886" s="27" t="s">
        <v>3405</v>
      </c>
      <c r="I886" s="18"/>
      <c r="J886" s="25" t="str">
        <f>IFERROR(__xludf.DUMMYFUNCTION("ARRAYFORMULA(REGEXEXTRACT(SPLIT(C886, ""&lt;br&gt;""), ""([가-힣A-Za-z]+)""))"),"깡패")</f>
        <v>깡패</v>
      </c>
      <c r="K886" s="26" t="str">
        <f>IFERROR(__xludf.DUMMYFUNCTION("""COMPUTED_VALUE"""),"유즈")</f>
        <v>유즈</v>
      </c>
      <c r="L886" s="26" t="str">
        <f>IFERROR(__xludf.DUMMYFUNCTION("""COMPUTED_VALUE"""),"강화")</f>
        <v>강화</v>
      </c>
      <c r="M886" s="26" t="str">
        <f>IFERROR(__xludf.DUMMYFUNCTION("""COMPUTED_VALUE"""),"태식")</f>
        <v>태식</v>
      </c>
      <c r="N886" s="26" t="str">
        <f>IFERROR(__xludf.DUMMYFUNCTION("ARRAYFORMULA(REGEXEXTRACT(SPLIT(E886, ""&lt;br&gt;""), ""([가-힣A-Za-z]+)""))"),"전투쥐")</f>
        <v>전투쥐</v>
      </c>
      <c r="O886" s="26" t="str">
        <f>IFERROR(__xludf.DUMMYFUNCTION("""COMPUTED_VALUE"""),"테리")</f>
        <v>테리</v>
      </c>
      <c r="P886" s="26" t="str">
        <f>IFERROR(__xludf.DUMMYFUNCTION("""COMPUTED_VALUE"""),"ACDC")</f>
        <v>ACDC</v>
      </c>
      <c r="Q886" s="26" t="str">
        <f>IFERROR(__xludf.DUMMYFUNCTION("""COMPUTED_VALUE"""),"한메")</f>
        <v>한메</v>
      </c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27" t="s">
        <v>3802</v>
      </c>
      <c r="B887" s="28" t="s">
        <v>3803</v>
      </c>
      <c r="C887" s="27" t="s">
        <v>3804</v>
      </c>
      <c r="D887" s="27">
        <v>5.0</v>
      </c>
      <c r="E887" s="27" t="s">
        <v>3805</v>
      </c>
      <c r="F887" s="27">
        <v>3.0</v>
      </c>
      <c r="G887" s="29">
        <v>45704.85555555556</v>
      </c>
      <c r="H887" s="27" t="s">
        <v>3405</v>
      </c>
      <c r="I887" s="18"/>
      <c r="J887" s="25" t="str">
        <f>IFERROR(__xludf.DUMMYFUNCTION("ARRAYFORMULA(REGEXEXTRACT(SPLIT(C887, ""&lt;br&gt;""), ""([가-힣A-Za-z]+)""))"),"강화")</f>
        <v>강화</v>
      </c>
      <c r="K887" s="26" t="str">
        <f>IFERROR(__xludf.DUMMYFUNCTION("""COMPUTED_VALUE"""),"유즈")</f>
        <v>유즈</v>
      </c>
      <c r="L887" s="26" t="str">
        <f>IFERROR(__xludf.DUMMYFUNCTION("""COMPUTED_VALUE"""),"테리")</f>
        <v>테리</v>
      </c>
      <c r="M887" s="26" t="str">
        <f>IFERROR(__xludf.DUMMYFUNCTION("""COMPUTED_VALUE"""),"한메")</f>
        <v>한메</v>
      </c>
      <c r="N887" s="26" t="str">
        <f>IFERROR(__xludf.DUMMYFUNCTION("ARRAYFORMULA(REGEXEXTRACT(SPLIT(E887, ""&lt;br&gt;""), ""([가-힣A-Za-z]+)""))"),"ACDC")</f>
        <v>ACDC</v>
      </c>
      <c r="O887" s="26" t="str">
        <f>IFERROR(__xludf.DUMMYFUNCTION("""COMPUTED_VALUE"""),"태식")</f>
        <v>태식</v>
      </c>
      <c r="P887" s="26" t="str">
        <f>IFERROR(__xludf.DUMMYFUNCTION("""COMPUTED_VALUE"""),"깡패")</f>
        <v>깡패</v>
      </c>
      <c r="Q887" s="26" t="str">
        <f>IFERROR(__xludf.DUMMYFUNCTION("""COMPUTED_VALUE"""),"전투쥐")</f>
        <v>전투쥐</v>
      </c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27" t="s">
        <v>3806</v>
      </c>
      <c r="B888" s="28" t="s">
        <v>3807</v>
      </c>
      <c r="C888" s="27" t="s">
        <v>3808</v>
      </c>
      <c r="D888" s="27">
        <v>5.0</v>
      </c>
      <c r="E888" s="27" t="s">
        <v>3809</v>
      </c>
      <c r="F888" s="27">
        <v>1.0</v>
      </c>
      <c r="G888" s="29">
        <v>45704.7375</v>
      </c>
      <c r="H888" s="27" t="s">
        <v>3405</v>
      </c>
      <c r="I888" s="18"/>
      <c r="J888" s="25" t="str">
        <f>IFERROR(__xludf.DUMMYFUNCTION("ARRAYFORMULA(REGEXEXTRACT(SPLIT(C888, ""&lt;br&gt;""), ""([가-힣A-Za-z]+)""))"),"테리")</f>
        <v>테리</v>
      </c>
      <c r="K888" s="26" t="str">
        <f>IFERROR(__xludf.DUMMYFUNCTION("""COMPUTED_VALUE"""),"깡패")</f>
        <v>깡패</v>
      </c>
      <c r="L888" s="26" t="str">
        <f>IFERROR(__xludf.DUMMYFUNCTION("""COMPUTED_VALUE"""),"원")</f>
        <v>원</v>
      </c>
      <c r="M888" s="26" t="str">
        <f>IFERROR(__xludf.DUMMYFUNCTION("""COMPUTED_VALUE"""),"태식")</f>
        <v>태식</v>
      </c>
      <c r="N888" s="26" t="str">
        <f>IFERROR(__xludf.DUMMYFUNCTION("ARRAYFORMULA(REGEXEXTRACT(SPLIT(E888, ""&lt;br&gt;""), ""([가-힣A-Za-z]+)""))"),"전투쥐")</f>
        <v>전투쥐</v>
      </c>
      <c r="O888" s="26" t="str">
        <f>IFERROR(__xludf.DUMMYFUNCTION("""COMPUTED_VALUE"""),"신형만")</f>
        <v>신형만</v>
      </c>
      <c r="P888" s="26" t="str">
        <f>IFERROR(__xludf.DUMMYFUNCTION("""COMPUTED_VALUE"""),"ACDC")</f>
        <v>ACDC</v>
      </c>
      <c r="Q888" s="26" t="str">
        <f>IFERROR(__xludf.DUMMYFUNCTION("""COMPUTED_VALUE"""),"따")</f>
        <v>따</v>
      </c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27" t="s">
        <v>3810</v>
      </c>
      <c r="B889" s="28" t="s">
        <v>3811</v>
      </c>
      <c r="C889" s="27" t="s">
        <v>3812</v>
      </c>
      <c r="D889" s="27">
        <v>5.0</v>
      </c>
      <c r="E889" s="27" t="s">
        <v>3813</v>
      </c>
      <c r="F889" s="27">
        <v>0.0</v>
      </c>
      <c r="G889" s="29">
        <v>45704.725694444445</v>
      </c>
      <c r="H889" s="27" t="s">
        <v>3405</v>
      </c>
      <c r="I889" s="18"/>
      <c r="J889" s="25" t="str">
        <f>IFERROR(__xludf.DUMMYFUNCTION("ARRAYFORMULA(REGEXEXTRACT(SPLIT(C889, ""&lt;br&gt;""), ""([가-힣A-Za-z]+)""))"),"테리")</f>
        <v>테리</v>
      </c>
      <c r="K889" s="26" t="str">
        <f>IFERROR(__xludf.DUMMYFUNCTION("""COMPUTED_VALUE"""),"신형만")</f>
        <v>신형만</v>
      </c>
      <c r="L889" s="26" t="str">
        <f>IFERROR(__xludf.DUMMYFUNCTION("""COMPUTED_VALUE"""),"전투쥐")</f>
        <v>전투쥐</v>
      </c>
      <c r="M889" s="26" t="str">
        <f>IFERROR(__xludf.DUMMYFUNCTION("""COMPUTED_VALUE"""),"원")</f>
        <v>원</v>
      </c>
      <c r="N889" s="26" t="str">
        <f>IFERROR(__xludf.DUMMYFUNCTION("ARRAYFORMULA(REGEXEXTRACT(SPLIT(E889, ""&lt;br&gt;""), ""([가-힣A-Za-z]+)""))"),"ACDC")</f>
        <v>ACDC</v>
      </c>
      <c r="O889" s="26" t="str">
        <f>IFERROR(__xludf.DUMMYFUNCTION("""COMPUTED_VALUE"""),"깡패")</f>
        <v>깡패</v>
      </c>
      <c r="P889" s="26" t="str">
        <f>IFERROR(__xludf.DUMMYFUNCTION("""COMPUTED_VALUE"""),"따")</f>
        <v>따</v>
      </c>
      <c r="Q889" s="26" t="str">
        <f>IFERROR(__xludf.DUMMYFUNCTION("""COMPUTED_VALUE"""),"태식")</f>
        <v>태식</v>
      </c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27" t="s">
        <v>3814</v>
      </c>
      <c r="B890" s="28" t="s">
        <v>3815</v>
      </c>
      <c r="C890" s="27" t="s">
        <v>3816</v>
      </c>
      <c r="D890" s="27">
        <v>5.0</v>
      </c>
      <c r="E890" s="27" t="s">
        <v>3817</v>
      </c>
      <c r="F890" s="27">
        <v>4.0</v>
      </c>
      <c r="G890" s="29">
        <v>45704.71319444444</v>
      </c>
      <c r="H890" s="27" t="s">
        <v>3405</v>
      </c>
      <c r="I890" s="18"/>
      <c r="J890" s="25" t="str">
        <f>IFERROR(__xludf.DUMMYFUNCTION("ARRAYFORMULA(REGEXEXTRACT(SPLIT(C890, ""&lt;br&gt;""), ""([가-힣A-Za-z]+)""))"),"ACDC")</f>
        <v>ACDC</v>
      </c>
      <c r="K890" s="26" t="str">
        <f>IFERROR(__xludf.DUMMYFUNCTION("""COMPUTED_VALUE"""),"테리")</f>
        <v>테리</v>
      </c>
      <c r="L890" s="26" t="str">
        <f>IFERROR(__xludf.DUMMYFUNCTION("""COMPUTED_VALUE"""),"신형만")</f>
        <v>신형만</v>
      </c>
      <c r="M890" s="26" t="str">
        <f>IFERROR(__xludf.DUMMYFUNCTION("""COMPUTED_VALUE"""),"민우")</f>
        <v>민우</v>
      </c>
      <c r="N890" s="26" t="str">
        <f>IFERROR(__xludf.DUMMYFUNCTION("ARRAYFORMULA(REGEXEXTRACT(SPLIT(E890, ""&lt;br&gt;""), ""([가-힣A-Za-z]+)""))"),"전투쥐")</f>
        <v>전투쥐</v>
      </c>
      <c r="O890" s="26" t="str">
        <f>IFERROR(__xludf.DUMMYFUNCTION("""COMPUTED_VALUE"""),"넘버")</f>
        <v>넘버</v>
      </c>
      <c r="P890" s="26" t="str">
        <f>IFERROR(__xludf.DUMMYFUNCTION("""COMPUTED_VALUE"""),"원")</f>
        <v>원</v>
      </c>
      <c r="Q890" s="26" t="str">
        <f>IFERROR(__xludf.DUMMYFUNCTION("""COMPUTED_VALUE"""),"따")</f>
        <v>따</v>
      </c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27" t="s">
        <v>3818</v>
      </c>
      <c r="B891" s="28" t="s">
        <v>3819</v>
      </c>
      <c r="C891" s="27" t="s">
        <v>3820</v>
      </c>
      <c r="D891" s="27">
        <v>5.0</v>
      </c>
      <c r="E891" s="27" t="s">
        <v>3821</v>
      </c>
      <c r="F891" s="27">
        <v>2.0</v>
      </c>
      <c r="G891" s="29">
        <v>45704.6875</v>
      </c>
      <c r="H891" s="27" t="s">
        <v>3405</v>
      </c>
      <c r="I891" s="18"/>
      <c r="J891" s="25" t="str">
        <f>IFERROR(__xludf.DUMMYFUNCTION("ARRAYFORMULA(REGEXEXTRACT(SPLIT(C891, ""&lt;br&gt;""), ""([가-힣A-Za-z]+)""))"),"ACDC")</f>
        <v>ACDC</v>
      </c>
      <c r="K891" s="26" t="str">
        <f>IFERROR(__xludf.DUMMYFUNCTION("""COMPUTED_VALUE"""),"신형만")</f>
        <v>신형만</v>
      </c>
      <c r="L891" s="26" t="str">
        <f>IFERROR(__xludf.DUMMYFUNCTION("""COMPUTED_VALUE"""),"원")</f>
        <v>원</v>
      </c>
      <c r="M891" s="26" t="str">
        <f>IFERROR(__xludf.DUMMYFUNCTION("""COMPUTED_VALUE"""),"넘버")</f>
        <v>넘버</v>
      </c>
      <c r="N891" s="26" t="str">
        <f>IFERROR(__xludf.DUMMYFUNCTION("ARRAYFORMULA(REGEXEXTRACT(SPLIT(E891, ""&lt;br&gt;""), ""([가-힣A-Za-z]+)""))"),"민우")</f>
        <v>민우</v>
      </c>
      <c r="O891" s="26" t="str">
        <f>IFERROR(__xludf.DUMMYFUNCTION("""COMPUTED_VALUE"""),"따")</f>
        <v>따</v>
      </c>
      <c r="P891" s="26" t="str">
        <f>IFERROR(__xludf.DUMMYFUNCTION("""COMPUTED_VALUE"""),"테리")</f>
        <v>테리</v>
      </c>
      <c r="Q891" s="26" t="str">
        <f>IFERROR(__xludf.DUMMYFUNCTION("""COMPUTED_VALUE"""),"전투쥐")</f>
        <v>전투쥐</v>
      </c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27" t="s">
        <v>3822</v>
      </c>
      <c r="B892" s="28" t="s">
        <v>3823</v>
      </c>
      <c r="C892" s="27" t="s">
        <v>3824</v>
      </c>
      <c r="D892" s="27">
        <v>5.0</v>
      </c>
      <c r="E892" s="27" t="s">
        <v>3825</v>
      </c>
      <c r="F892" s="27">
        <v>0.0</v>
      </c>
      <c r="G892" s="29">
        <v>45704.67083333333</v>
      </c>
      <c r="H892" s="27" t="s">
        <v>3405</v>
      </c>
      <c r="I892" s="18"/>
      <c r="J892" s="25" t="str">
        <f>IFERROR(__xludf.DUMMYFUNCTION("ARRAYFORMULA(REGEXEXTRACT(SPLIT(C892, ""&lt;br&gt;""), ""([가-힣A-Za-z]+)""))"),"원")</f>
        <v>원</v>
      </c>
      <c r="K892" s="26" t="str">
        <f>IFERROR(__xludf.DUMMYFUNCTION("""COMPUTED_VALUE"""),"따")</f>
        <v>따</v>
      </c>
      <c r="L892" s="26" t="str">
        <f>IFERROR(__xludf.DUMMYFUNCTION("""COMPUTED_VALUE"""),"신형만")</f>
        <v>신형만</v>
      </c>
      <c r="M892" s="26" t="str">
        <f>IFERROR(__xludf.DUMMYFUNCTION("""COMPUTED_VALUE"""),"민우")</f>
        <v>민우</v>
      </c>
      <c r="N892" s="26" t="str">
        <f>IFERROR(__xludf.DUMMYFUNCTION("ARRAYFORMULA(REGEXEXTRACT(SPLIT(E892, ""&lt;br&gt;""), ""([가-힣A-Za-z]+)""))"),"테리")</f>
        <v>테리</v>
      </c>
      <c r="O892" s="26" t="str">
        <f>IFERROR(__xludf.DUMMYFUNCTION("""COMPUTED_VALUE"""),"넘버")</f>
        <v>넘버</v>
      </c>
      <c r="P892" s="26" t="str">
        <f>IFERROR(__xludf.DUMMYFUNCTION("""COMPUTED_VALUE"""),"ACDC")</f>
        <v>ACDC</v>
      </c>
      <c r="Q892" s="26" t="str">
        <f>IFERROR(__xludf.DUMMYFUNCTION("""COMPUTED_VALUE"""),"전투쥐")</f>
        <v>전투쥐</v>
      </c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27" t="s">
        <v>3826</v>
      </c>
      <c r="B893" s="28" t="s">
        <v>3827</v>
      </c>
      <c r="C893" s="27" t="s">
        <v>3828</v>
      </c>
      <c r="D893" s="27">
        <v>5.0</v>
      </c>
      <c r="E893" s="27" t="s">
        <v>3829</v>
      </c>
      <c r="F893" s="27">
        <v>3.0</v>
      </c>
      <c r="G893" s="29">
        <v>45704.65902777778</v>
      </c>
      <c r="H893" s="27" t="s">
        <v>3405</v>
      </c>
      <c r="I893" s="18"/>
      <c r="J893" s="25" t="str">
        <f>IFERROR(__xludf.DUMMYFUNCTION("ARRAYFORMULA(REGEXEXTRACT(SPLIT(C893, ""&lt;br&gt;""), ""([가-힣A-Za-z]+)""))"),"전투쥐")</f>
        <v>전투쥐</v>
      </c>
      <c r="K893" s="26" t="str">
        <f>IFERROR(__xludf.DUMMYFUNCTION("""COMPUTED_VALUE"""),"원")</f>
        <v>원</v>
      </c>
      <c r="L893" s="26" t="str">
        <f>IFERROR(__xludf.DUMMYFUNCTION("""COMPUTED_VALUE"""),"테리")</f>
        <v>테리</v>
      </c>
      <c r="M893" s="26" t="str">
        <f>IFERROR(__xludf.DUMMYFUNCTION("""COMPUTED_VALUE"""),"민우")</f>
        <v>민우</v>
      </c>
      <c r="N893" s="26" t="str">
        <f>IFERROR(__xludf.DUMMYFUNCTION("ARRAYFORMULA(REGEXEXTRACT(SPLIT(E893, ""&lt;br&gt;""), ""([가-힣A-Za-z]+)""))"),"ACDC")</f>
        <v>ACDC</v>
      </c>
      <c r="O893" s="26" t="str">
        <f>IFERROR(__xludf.DUMMYFUNCTION("""COMPUTED_VALUE"""),"따")</f>
        <v>따</v>
      </c>
      <c r="P893" s="26" t="str">
        <f>IFERROR(__xludf.DUMMYFUNCTION("""COMPUTED_VALUE"""),"신형만")</f>
        <v>신형만</v>
      </c>
      <c r="Q893" s="26" t="str">
        <f>IFERROR(__xludf.DUMMYFUNCTION("""COMPUTED_VALUE"""),"넘버")</f>
        <v>넘버</v>
      </c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27" t="s">
        <v>3830</v>
      </c>
      <c r="B894" s="28" t="s">
        <v>3831</v>
      </c>
      <c r="C894" s="27" t="s">
        <v>3832</v>
      </c>
      <c r="D894" s="27">
        <v>5.0</v>
      </c>
      <c r="E894" s="27" t="s">
        <v>3833</v>
      </c>
      <c r="F894" s="27">
        <v>1.0</v>
      </c>
      <c r="G894" s="29">
        <v>45704.62569444445</v>
      </c>
      <c r="H894" s="27" t="s">
        <v>3405</v>
      </c>
      <c r="I894" s="18"/>
      <c r="J894" s="25" t="str">
        <f>IFERROR(__xludf.DUMMYFUNCTION("ARRAYFORMULA(REGEXEXTRACT(SPLIT(C894, ""&lt;br&gt;""), ""([가-힣A-Za-z]+)""))"),"ACDC")</f>
        <v>ACDC</v>
      </c>
      <c r="K894" s="26" t="str">
        <f>IFERROR(__xludf.DUMMYFUNCTION("""COMPUTED_VALUE"""),"원")</f>
        <v>원</v>
      </c>
      <c r="L894" s="26" t="str">
        <f>IFERROR(__xludf.DUMMYFUNCTION("""COMPUTED_VALUE"""),"민우")</f>
        <v>민우</v>
      </c>
      <c r="M894" s="26" t="str">
        <f>IFERROR(__xludf.DUMMYFUNCTION("""COMPUTED_VALUE"""),"신형만")</f>
        <v>신형만</v>
      </c>
      <c r="N894" s="26" t="str">
        <f>IFERROR(__xludf.DUMMYFUNCTION("ARRAYFORMULA(REGEXEXTRACT(SPLIT(E894, ""&lt;br&gt;""), ""([가-힣A-Za-z]+)""))"),"전투쥐")</f>
        <v>전투쥐</v>
      </c>
      <c r="O894" s="26" t="str">
        <f>IFERROR(__xludf.DUMMYFUNCTION("""COMPUTED_VALUE"""),"테리")</f>
        <v>테리</v>
      </c>
      <c r="P894" s="26" t="str">
        <f>IFERROR(__xludf.DUMMYFUNCTION("""COMPUTED_VALUE"""),"넘버")</f>
        <v>넘버</v>
      </c>
      <c r="Q894" s="26" t="str">
        <f>IFERROR(__xludf.DUMMYFUNCTION("""COMPUTED_VALUE"""),"따")</f>
        <v>따</v>
      </c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27" t="s">
        <v>3834</v>
      </c>
      <c r="B895" s="28" t="s">
        <v>3835</v>
      </c>
      <c r="C895" s="27" t="s">
        <v>3836</v>
      </c>
      <c r="D895" s="27">
        <v>5.0</v>
      </c>
      <c r="E895" s="27" t="s">
        <v>3837</v>
      </c>
      <c r="F895" s="27">
        <v>1.0</v>
      </c>
      <c r="G895" s="29">
        <v>45703.76666666667</v>
      </c>
      <c r="H895" s="27" t="s">
        <v>3405</v>
      </c>
      <c r="I895" s="18"/>
      <c r="J895" s="25" t="str">
        <f>IFERROR(__xludf.DUMMYFUNCTION("ARRAYFORMULA(REGEXEXTRACT(SPLIT(C895, ""&lt;br&gt;""), ""([가-힣A-Za-z]+)""))"),"전투쥐")</f>
        <v>전투쥐</v>
      </c>
      <c r="K895" s="26" t="str">
        <f>IFERROR(__xludf.DUMMYFUNCTION("""COMPUTED_VALUE"""),"짱구")</f>
        <v>짱구</v>
      </c>
      <c r="L895" s="26" t="str">
        <f>IFERROR(__xludf.DUMMYFUNCTION("""COMPUTED_VALUE"""),"민우")</f>
        <v>민우</v>
      </c>
      <c r="M895" s="26" t="str">
        <f>IFERROR(__xludf.DUMMYFUNCTION("""COMPUTED_VALUE"""),"원")</f>
        <v>원</v>
      </c>
      <c r="N895" s="26" t="str">
        <f>IFERROR(__xludf.DUMMYFUNCTION("ARRAYFORMULA(REGEXEXTRACT(SPLIT(E895, ""&lt;br&gt;""), ""([가-힣A-Za-z]+)""))"),"신형만")</f>
        <v>신형만</v>
      </c>
      <c r="O895" s="26" t="str">
        <f>IFERROR(__xludf.DUMMYFUNCTION("""COMPUTED_VALUE"""),"테리")</f>
        <v>테리</v>
      </c>
      <c r="P895" s="26" t="str">
        <f>IFERROR(__xludf.DUMMYFUNCTION("""COMPUTED_VALUE"""),"태식")</f>
        <v>태식</v>
      </c>
      <c r="Q895" s="26" t="str">
        <f>IFERROR(__xludf.DUMMYFUNCTION("""COMPUTED_VALUE"""),"따")</f>
        <v>따</v>
      </c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27" t="s">
        <v>3838</v>
      </c>
      <c r="B896" s="28" t="s">
        <v>3839</v>
      </c>
      <c r="C896" s="27" t="s">
        <v>3840</v>
      </c>
      <c r="D896" s="27">
        <v>5.0</v>
      </c>
      <c r="E896" s="27" t="s">
        <v>3841</v>
      </c>
      <c r="F896" s="27">
        <v>1.0</v>
      </c>
      <c r="G896" s="29">
        <v>45703.74930555555</v>
      </c>
      <c r="H896" s="27" t="s">
        <v>3405</v>
      </c>
      <c r="I896" s="18"/>
      <c r="J896" s="25" t="str">
        <f>IFERROR(__xludf.DUMMYFUNCTION("ARRAYFORMULA(REGEXEXTRACT(SPLIT(C896, ""&lt;br&gt;""), ""([가-힣A-Za-z]+)""))"),"민우")</f>
        <v>민우</v>
      </c>
      <c r="K896" s="26" t="str">
        <f>IFERROR(__xludf.DUMMYFUNCTION("""COMPUTED_VALUE"""),"짱구")</f>
        <v>짱구</v>
      </c>
      <c r="L896" s="26" t="str">
        <f>IFERROR(__xludf.DUMMYFUNCTION("""COMPUTED_VALUE"""),"신형만")</f>
        <v>신형만</v>
      </c>
      <c r="M896" s="26" t="str">
        <f>IFERROR(__xludf.DUMMYFUNCTION("""COMPUTED_VALUE"""),"따")</f>
        <v>따</v>
      </c>
      <c r="N896" s="26" t="str">
        <f>IFERROR(__xludf.DUMMYFUNCTION("ARRAYFORMULA(REGEXEXTRACT(SPLIT(E896, ""&lt;br&gt;""), ""([가-힣A-Za-z]+)""))"),"원")</f>
        <v>원</v>
      </c>
      <c r="O896" s="26" t="str">
        <f>IFERROR(__xludf.DUMMYFUNCTION("""COMPUTED_VALUE"""),"태식")</f>
        <v>태식</v>
      </c>
      <c r="P896" s="26" t="str">
        <f>IFERROR(__xludf.DUMMYFUNCTION("""COMPUTED_VALUE"""),"테리")</f>
        <v>테리</v>
      </c>
      <c r="Q896" s="26" t="str">
        <f>IFERROR(__xludf.DUMMYFUNCTION("""COMPUTED_VALUE"""),"전투쥐")</f>
        <v>전투쥐</v>
      </c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27" t="s">
        <v>3842</v>
      </c>
      <c r="B897" s="28" t="s">
        <v>3843</v>
      </c>
      <c r="C897" s="27" t="s">
        <v>3844</v>
      </c>
      <c r="D897" s="27">
        <v>5.0</v>
      </c>
      <c r="E897" s="27" t="s">
        <v>3845</v>
      </c>
      <c r="F897" s="27">
        <v>3.0</v>
      </c>
      <c r="G897" s="29">
        <v>45703.70625</v>
      </c>
      <c r="H897" s="27" t="s">
        <v>3405</v>
      </c>
      <c r="I897" s="18"/>
      <c r="J897" s="25" t="str">
        <f>IFERROR(__xludf.DUMMYFUNCTION("ARRAYFORMULA(REGEXEXTRACT(SPLIT(C897, ""&lt;br&gt;""), ""([가-힣A-Za-z]+)""))"),"테리")</f>
        <v>테리</v>
      </c>
      <c r="K897" s="26" t="str">
        <f>IFERROR(__xludf.DUMMYFUNCTION("""COMPUTED_VALUE"""),"신형만")</f>
        <v>신형만</v>
      </c>
      <c r="L897" s="26" t="str">
        <f>IFERROR(__xludf.DUMMYFUNCTION("""COMPUTED_VALUE"""),"짱구")</f>
        <v>짱구</v>
      </c>
      <c r="M897" s="26" t="str">
        <f>IFERROR(__xludf.DUMMYFUNCTION("""COMPUTED_VALUE"""),"전투쥐")</f>
        <v>전투쥐</v>
      </c>
      <c r="N897" s="26" t="str">
        <f>IFERROR(__xludf.DUMMYFUNCTION("ARRAYFORMULA(REGEXEXTRACT(SPLIT(E897, ""&lt;br&gt;""), ""([가-힣A-Za-z]+)""))"),"유즈")</f>
        <v>유즈</v>
      </c>
      <c r="O897" s="26" t="str">
        <f>IFERROR(__xludf.DUMMYFUNCTION("""COMPUTED_VALUE"""),"따")</f>
        <v>따</v>
      </c>
      <c r="P897" s="26" t="str">
        <f>IFERROR(__xludf.DUMMYFUNCTION("""COMPUTED_VALUE"""),"태식")</f>
        <v>태식</v>
      </c>
      <c r="Q897" s="26" t="str">
        <f>IFERROR(__xludf.DUMMYFUNCTION("""COMPUTED_VALUE"""),"민우")</f>
        <v>민우</v>
      </c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27" t="s">
        <v>3846</v>
      </c>
      <c r="B898" s="28" t="s">
        <v>3847</v>
      </c>
      <c r="C898" s="27" t="s">
        <v>3848</v>
      </c>
      <c r="D898" s="27">
        <v>5.0</v>
      </c>
      <c r="E898" s="27" t="s">
        <v>3849</v>
      </c>
      <c r="F898" s="27">
        <v>2.0</v>
      </c>
      <c r="G898" s="29">
        <v>45703.67638888889</v>
      </c>
      <c r="H898" s="27" t="s">
        <v>3405</v>
      </c>
      <c r="I898" s="18"/>
      <c r="J898" s="25" t="str">
        <f>IFERROR(__xludf.DUMMYFUNCTION("ARRAYFORMULA(REGEXEXTRACT(SPLIT(C898, ""&lt;br&gt;""), ""([가-힣A-Za-z]+)""))"),"유즈")</f>
        <v>유즈</v>
      </c>
      <c r="K898" s="26" t="str">
        <f>IFERROR(__xludf.DUMMYFUNCTION("""COMPUTED_VALUE"""),"테리")</f>
        <v>테리</v>
      </c>
      <c r="L898" s="26" t="str">
        <f>IFERROR(__xludf.DUMMYFUNCTION("""COMPUTED_VALUE"""),"규식")</f>
        <v>규식</v>
      </c>
      <c r="M898" s="26" t="str">
        <f>IFERROR(__xludf.DUMMYFUNCTION("""COMPUTED_VALUE"""),"신형만")</f>
        <v>신형만</v>
      </c>
      <c r="N898" s="26" t="str">
        <f>IFERROR(__xludf.DUMMYFUNCTION("ARRAYFORMULA(REGEXEXTRACT(SPLIT(E898, ""&lt;br&gt;""), ""([가-힣A-Za-z]+)""))"),"짱구")</f>
        <v>짱구</v>
      </c>
      <c r="O898" s="26" t="str">
        <f>IFERROR(__xludf.DUMMYFUNCTION("""COMPUTED_VALUE"""),"태식")</f>
        <v>태식</v>
      </c>
      <c r="P898" s="26" t="str">
        <f>IFERROR(__xludf.DUMMYFUNCTION("""COMPUTED_VALUE"""),"따")</f>
        <v>따</v>
      </c>
      <c r="Q898" s="26" t="str">
        <f>IFERROR(__xludf.DUMMYFUNCTION("""COMPUTED_VALUE"""),"전투쥐")</f>
        <v>전투쥐</v>
      </c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27" t="s">
        <v>3850</v>
      </c>
      <c r="B899" s="28" t="s">
        <v>3851</v>
      </c>
      <c r="C899" s="27" t="s">
        <v>3852</v>
      </c>
      <c r="D899" s="27">
        <v>5.0</v>
      </c>
      <c r="E899" s="27" t="s">
        <v>3853</v>
      </c>
      <c r="F899" s="27">
        <v>2.0</v>
      </c>
      <c r="G899" s="29">
        <v>45703.174305555556</v>
      </c>
      <c r="H899" s="27" t="s">
        <v>3405</v>
      </c>
      <c r="I899" s="18"/>
      <c r="J899" s="25" t="str">
        <f>IFERROR(__xludf.DUMMYFUNCTION("ARRAYFORMULA(REGEXEXTRACT(SPLIT(C899, ""&lt;br&gt;""), ""([가-힣A-Za-z]+)""))"),"신형만")</f>
        <v>신형만</v>
      </c>
      <c r="K899" s="26" t="str">
        <f>IFERROR(__xludf.DUMMYFUNCTION("""COMPUTED_VALUE"""),"따")</f>
        <v>따</v>
      </c>
      <c r="L899" s="26" t="str">
        <f>IFERROR(__xludf.DUMMYFUNCTION("""COMPUTED_VALUE"""),"한메")</f>
        <v>한메</v>
      </c>
      <c r="M899" s="26" t="str">
        <f>IFERROR(__xludf.DUMMYFUNCTION("""COMPUTED_VALUE"""),"민우")</f>
        <v>민우</v>
      </c>
      <c r="N899" s="26" t="str">
        <f>IFERROR(__xludf.DUMMYFUNCTION("ARRAYFORMULA(REGEXEXTRACT(SPLIT(E899, ""&lt;br&gt;""), ""([가-힣A-Za-z]+)""))"),"짱구")</f>
        <v>짱구</v>
      </c>
      <c r="O899" s="26" t="str">
        <f>IFERROR(__xludf.DUMMYFUNCTION("""COMPUTED_VALUE"""),"깡패")</f>
        <v>깡패</v>
      </c>
      <c r="P899" s="26" t="str">
        <f>IFERROR(__xludf.DUMMYFUNCTION("""COMPUTED_VALUE"""),"노인")</f>
        <v>노인</v>
      </c>
      <c r="Q899" s="26" t="str">
        <f>IFERROR(__xludf.DUMMYFUNCTION("""COMPUTED_VALUE"""),"규식")</f>
        <v>규식</v>
      </c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27" t="s">
        <v>3854</v>
      </c>
      <c r="B900" s="28" t="s">
        <v>3855</v>
      </c>
      <c r="C900" s="27" t="s">
        <v>3856</v>
      </c>
      <c r="D900" s="27">
        <v>5.0</v>
      </c>
      <c r="E900" s="27" t="s">
        <v>3857</v>
      </c>
      <c r="F900" s="27">
        <v>4.0</v>
      </c>
      <c r="G900" s="29">
        <v>45703.13333333333</v>
      </c>
      <c r="H900" s="27" t="s">
        <v>3405</v>
      </c>
      <c r="I900" s="18"/>
      <c r="J900" s="25" t="str">
        <f>IFERROR(__xludf.DUMMYFUNCTION("ARRAYFORMULA(REGEXEXTRACT(SPLIT(C900, ""&lt;br&gt;""), ""([가-힣A-Za-z]+)""))"),"테리")</f>
        <v>테리</v>
      </c>
      <c r="K900" s="26" t="str">
        <f>IFERROR(__xludf.DUMMYFUNCTION("""COMPUTED_VALUE"""),"짱구")</f>
        <v>짱구</v>
      </c>
      <c r="L900" s="26" t="str">
        <f>IFERROR(__xludf.DUMMYFUNCTION("""COMPUTED_VALUE"""),"강화")</f>
        <v>강화</v>
      </c>
      <c r="M900" s="26" t="str">
        <f>IFERROR(__xludf.DUMMYFUNCTION("""COMPUTED_VALUE"""),"따")</f>
        <v>따</v>
      </c>
      <c r="N900" s="26" t="str">
        <f>IFERROR(__xludf.DUMMYFUNCTION("ARRAYFORMULA(REGEXEXTRACT(SPLIT(E900, ""&lt;br&gt;""), ""([가-힣A-Za-z]+)""))"),"규식")</f>
        <v>규식</v>
      </c>
      <c r="O900" s="26" t="str">
        <f>IFERROR(__xludf.DUMMYFUNCTION("""COMPUTED_VALUE"""),"노인")</f>
        <v>노인</v>
      </c>
      <c r="P900" s="26" t="str">
        <f>IFERROR(__xludf.DUMMYFUNCTION("""COMPUTED_VALUE"""),"신형만")</f>
        <v>신형만</v>
      </c>
      <c r="Q900" s="26" t="str">
        <f>IFERROR(__xludf.DUMMYFUNCTION("""COMPUTED_VALUE"""),"깡패")</f>
        <v>깡패</v>
      </c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27" t="s">
        <v>3858</v>
      </c>
      <c r="B901" s="28" t="s">
        <v>3859</v>
      </c>
      <c r="C901" s="27" t="s">
        <v>3860</v>
      </c>
      <c r="D901" s="27">
        <v>5.0</v>
      </c>
      <c r="E901" s="27" t="s">
        <v>3861</v>
      </c>
      <c r="F901" s="27">
        <v>3.0</v>
      </c>
      <c r="G901" s="29">
        <v>45703.09305555555</v>
      </c>
      <c r="H901" s="27" t="s">
        <v>3405</v>
      </c>
      <c r="I901" s="18"/>
      <c r="J901" s="25" t="str">
        <f>IFERROR(__xludf.DUMMYFUNCTION("ARRAYFORMULA(REGEXEXTRACT(SPLIT(C901, ""&lt;br&gt;""), ""([가-힣A-Za-z]+)""))"),"ACDC")</f>
        <v>ACDC</v>
      </c>
      <c r="K901" s="26" t="str">
        <f>IFERROR(__xludf.DUMMYFUNCTION("""COMPUTED_VALUE"""),"따")</f>
        <v>따</v>
      </c>
      <c r="L901" s="26" t="str">
        <f>IFERROR(__xludf.DUMMYFUNCTION("""COMPUTED_VALUE"""),"짱구")</f>
        <v>짱구</v>
      </c>
      <c r="M901" s="26" t="str">
        <f>IFERROR(__xludf.DUMMYFUNCTION("""COMPUTED_VALUE"""),"깡패")</f>
        <v>깡패</v>
      </c>
      <c r="N901" s="26" t="str">
        <f>IFERROR(__xludf.DUMMYFUNCTION("ARRAYFORMULA(REGEXEXTRACT(SPLIT(E901, ""&lt;br&gt;""), ""([가-힣A-Za-z]+)""))"),"강화")</f>
        <v>강화</v>
      </c>
      <c r="O901" s="26" t="str">
        <f>IFERROR(__xludf.DUMMYFUNCTION("""COMPUTED_VALUE"""),"테리")</f>
        <v>테리</v>
      </c>
      <c r="P901" s="26" t="str">
        <f>IFERROR(__xludf.DUMMYFUNCTION("""COMPUTED_VALUE"""),"신형만")</f>
        <v>신형만</v>
      </c>
      <c r="Q901" s="26" t="str">
        <f>IFERROR(__xludf.DUMMYFUNCTION("""COMPUTED_VALUE"""),"노인")</f>
        <v>노인</v>
      </c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27" t="s">
        <v>3862</v>
      </c>
      <c r="B902" s="28" t="s">
        <v>3863</v>
      </c>
      <c r="C902" s="27" t="s">
        <v>3864</v>
      </c>
      <c r="D902" s="27">
        <v>5.0</v>
      </c>
      <c r="E902" s="27" t="s">
        <v>3865</v>
      </c>
      <c r="F902" s="27">
        <v>0.0</v>
      </c>
      <c r="G902" s="29">
        <v>45703.06597222222</v>
      </c>
      <c r="H902" s="27" t="s">
        <v>3405</v>
      </c>
      <c r="I902" s="18"/>
      <c r="J902" s="25" t="str">
        <f>IFERROR(__xludf.DUMMYFUNCTION("ARRAYFORMULA(REGEXEXTRACT(SPLIT(C902, ""&lt;br&gt;""), ""([가-힣A-Za-z]+)""))"),"테리")</f>
        <v>테리</v>
      </c>
      <c r="K902" s="26" t="str">
        <f>IFERROR(__xludf.DUMMYFUNCTION("""COMPUTED_VALUE"""),"따")</f>
        <v>따</v>
      </c>
      <c r="L902" s="26" t="str">
        <f>IFERROR(__xludf.DUMMYFUNCTION("""COMPUTED_VALUE"""),"짱구")</f>
        <v>짱구</v>
      </c>
      <c r="M902" s="26" t="str">
        <f>IFERROR(__xludf.DUMMYFUNCTION("""COMPUTED_VALUE"""),"노인")</f>
        <v>노인</v>
      </c>
      <c r="N902" s="26" t="str">
        <f>IFERROR(__xludf.DUMMYFUNCTION("ARRAYFORMULA(REGEXEXTRACT(SPLIT(E902, ""&lt;br&gt;""), ""([가-힣A-Za-z]+)""))"),"깡패")</f>
        <v>깡패</v>
      </c>
      <c r="O902" s="26" t="str">
        <f>IFERROR(__xludf.DUMMYFUNCTION("""COMPUTED_VALUE"""),"ACDC")</f>
        <v>ACDC</v>
      </c>
      <c r="P902" s="26" t="str">
        <f>IFERROR(__xludf.DUMMYFUNCTION("""COMPUTED_VALUE"""),"강화")</f>
        <v>강화</v>
      </c>
      <c r="Q902" s="26" t="str">
        <f>IFERROR(__xludf.DUMMYFUNCTION("""COMPUTED_VALUE"""),"신형만")</f>
        <v>신형만</v>
      </c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27" t="s">
        <v>3866</v>
      </c>
      <c r="B903" s="28" t="s">
        <v>3867</v>
      </c>
      <c r="C903" s="27" t="s">
        <v>3868</v>
      </c>
      <c r="D903" s="27">
        <v>5.0</v>
      </c>
      <c r="E903" s="27" t="s">
        <v>3869</v>
      </c>
      <c r="F903" s="27">
        <v>1.0</v>
      </c>
      <c r="G903" s="29">
        <v>45703.052083333336</v>
      </c>
      <c r="H903" s="27" t="s">
        <v>3405</v>
      </c>
      <c r="I903" s="18"/>
      <c r="J903" s="25" t="str">
        <f>IFERROR(__xludf.DUMMYFUNCTION("ARRAYFORMULA(REGEXEXTRACT(SPLIT(C903, ""&lt;br&gt;""), ""([가-힣A-Za-z]+)""))"),"강화")</f>
        <v>강화</v>
      </c>
      <c r="K903" s="26" t="str">
        <f>IFERROR(__xludf.DUMMYFUNCTION("""COMPUTED_VALUE"""),"태식")</f>
        <v>태식</v>
      </c>
      <c r="L903" s="26" t="str">
        <f>IFERROR(__xludf.DUMMYFUNCTION("""COMPUTED_VALUE"""),"신형만")</f>
        <v>신형만</v>
      </c>
      <c r="M903" s="26" t="str">
        <f>IFERROR(__xludf.DUMMYFUNCTION("""COMPUTED_VALUE"""),"노인")</f>
        <v>노인</v>
      </c>
      <c r="N903" s="26" t="str">
        <f>IFERROR(__xludf.DUMMYFUNCTION("ARRAYFORMULA(REGEXEXTRACT(SPLIT(E903, ""&lt;br&gt;""), ""([가-힣A-Za-z]+)""))"),"짱구")</f>
        <v>짱구</v>
      </c>
      <c r="O903" s="26" t="str">
        <f>IFERROR(__xludf.DUMMYFUNCTION("""COMPUTED_VALUE"""),"ACDC")</f>
        <v>ACDC</v>
      </c>
      <c r="P903" s="26" t="str">
        <f>IFERROR(__xludf.DUMMYFUNCTION("""COMPUTED_VALUE"""),"깡패")</f>
        <v>깡패</v>
      </c>
      <c r="Q903" s="26" t="str">
        <f>IFERROR(__xludf.DUMMYFUNCTION("""COMPUTED_VALUE"""),"전투쥐")</f>
        <v>전투쥐</v>
      </c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27" t="s">
        <v>3870</v>
      </c>
      <c r="B904" s="28" t="s">
        <v>3871</v>
      </c>
      <c r="C904" s="27" t="s">
        <v>3872</v>
      </c>
      <c r="D904" s="27">
        <v>5.0</v>
      </c>
      <c r="E904" s="27" t="s">
        <v>3873</v>
      </c>
      <c r="F904" s="27">
        <v>1.0</v>
      </c>
      <c r="G904" s="29">
        <v>45703.027083333334</v>
      </c>
      <c r="H904" s="27" t="s">
        <v>3405</v>
      </c>
      <c r="I904" s="18"/>
      <c r="J904" s="25" t="str">
        <f>IFERROR(__xludf.DUMMYFUNCTION("ARRAYFORMULA(REGEXEXTRACT(SPLIT(C904, ""&lt;br&gt;""), ""([가-힣A-Za-z]+)""))"),"강화")</f>
        <v>강화</v>
      </c>
      <c r="K904" s="26" t="str">
        <f>IFERROR(__xludf.DUMMYFUNCTION("""COMPUTED_VALUE"""),"노인")</f>
        <v>노인</v>
      </c>
      <c r="L904" s="26" t="str">
        <f>IFERROR(__xludf.DUMMYFUNCTION("""COMPUTED_VALUE"""),"깡패")</f>
        <v>깡패</v>
      </c>
      <c r="M904" s="26" t="str">
        <f>IFERROR(__xludf.DUMMYFUNCTION("""COMPUTED_VALUE"""),"전투쥐")</f>
        <v>전투쥐</v>
      </c>
      <c r="N904" s="26" t="str">
        <f>IFERROR(__xludf.DUMMYFUNCTION("ARRAYFORMULA(REGEXEXTRACT(SPLIT(E904, ""&lt;br&gt;""), ""([가-힣A-Za-z]+)""))"),"짱구")</f>
        <v>짱구</v>
      </c>
      <c r="O904" s="26" t="str">
        <f>IFERROR(__xludf.DUMMYFUNCTION("""COMPUTED_VALUE"""),"ACDC")</f>
        <v>ACDC</v>
      </c>
      <c r="P904" s="26" t="str">
        <f>IFERROR(__xludf.DUMMYFUNCTION("""COMPUTED_VALUE"""),"한메")</f>
        <v>한메</v>
      </c>
      <c r="Q904" s="26" t="str">
        <f>IFERROR(__xludf.DUMMYFUNCTION("""COMPUTED_VALUE"""),"신형만")</f>
        <v>신형만</v>
      </c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27" t="s">
        <v>3874</v>
      </c>
      <c r="B905" s="28" t="s">
        <v>3875</v>
      </c>
      <c r="C905" s="27" t="s">
        <v>3876</v>
      </c>
      <c r="D905" s="27">
        <v>5.0</v>
      </c>
      <c r="E905" s="27" t="s">
        <v>3877</v>
      </c>
      <c r="F905" s="27">
        <v>1.0</v>
      </c>
      <c r="G905" s="29">
        <v>45703.00763888889</v>
      </c>
      <c r="H905" s="27" t="s">
        <v>3405</v>
      </c>
      <c r="I905" s="18"/>
      <c r="J905" s="25" t="str">
        <f>IFERROR(__xludf.DUMMYFUNCTION("ARRAYFORMULA(REGEXEXTRACT(SPLIT(C905, ""&lt;br&gt;""), ""([가-힣A-Za-z]+)""))"),"한메")</f>
        <v>한메</v>
      </c>
      <c r="K905" s="26" t="str">
        <f>IFERROR(__xludf.DUMMYFUNCTION("""COMPUTED_VALUE"""),"짱구")</f>
        <v>짱구</v>
      </c>
      <c r="L905" s="26" t="str">
        <f>IFERROR(__xludf.DUMMYFUNCTION("""COMPUTED_VALUE"""),"전투쥐")</f>
        <v>전투쥐</v>
      </c>
      <c r="M905" s="26" t="str">
        <f>IFERROR(__xludf.DUMMYFUNCTION("""COMPUTED_VALUE"""),"노인")</f>
        <v>노인</v>
      </c>
      <c r="N905" s="26" t="str">
        <f>IFERROR(__xludf.DUMMYFUNCTION("ARRAYFORMULA(REGEXEXTRACT(SPLIT(E905, ""&lt;br&gt;""), ""([가-힣A-Za-z]+)""))"),"ACDC")</f>
        <v>ACDC</v>
      </c>
      <c r="O905" s="26" t="str">
        <f>IFERROR(__xludf.DUMMYFUNCTION("""COMPUTED_VALUE"""),"신형만")</f>
        <v>신형만</v>
      </c>
      <c r="P905" s="26" t="str">
        <f>IFERROR(__xludf.DUMMYFUNCTION("""COMPUTED_VALUE"""),"깡패")</f>
        <v>깡패</v>
      </c>
      <c r="Q905" s="26" t="str">
        <f>IFERROR(__xludf.DUMMYFUNCTION("""COMPUTED_VALUE"""),"강화")</f>
        <v>강화</v>
      </c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27" t="s">
        <v>3878</v>
      </c>
      <c r="B906" s="28" t="s">
        <v>3879</v>
      </c>
      <c r="C906" s="27" t="s">
        <v>3880</v>
      </c>
      <c r="D906" s="27">
        <v>5.0</v>
      </c>
      <c r="E906" s="27" t="s">
        <v>3881</v>
      </c>
      <c r="F906" s="27">
        <v>0.0</v>
      </c>
      <c r="G906" s="29">
        <v>45702.989583333336</v>
      </c>
      <c r="H906" s="27" t="s">
        <v>3405</v>
      </c>
      <c r="I906" s="18"/>
      <c r="J906" s="25" t="str">
        <f>IFERROR(__xludf.DUMMYFUNCTION("ARRAYFORMULA(REGEXEXTRACT(SPLIT(C906, ""&lt;br&gt;""), ""([가-힣A-Za-z]+)""))"),"강화")</f>
        <v>강화</v>
      </c>
      <c r="K906" s="26" t="str">
        <f>IFERROR(__xludf.DUMMYFUNCTION("""COMPUTED_VALUE"""),"깡패")</f>
        <v>깡패</v>
      </c>
      <c r="L906" s="26" t="str">
        <f>IFERROR(__xludf.DUMMYFUNCTION("""COMPUTED_VALUE"""),"노인")</f>
        <v>노인</v>
      </c>
      <c r="M906" s="26" t="str">
        <f>IFERROR(__xludf.DUMMYFUNCTION("""COMPUTED_VALUE"""),"한메")</f>
        <v>한메</v>
      </c>
      <c r="N906" s="26" t="str">
        <f>IFERROR(__xludf.DUMMYFUNCTION("ARRAYFORMULA(REGEXEXTRACT(SPLIT(E906, ""&lt;br&gt;""), ""([가-힣A-Za-z]+)""))"),"웅")</f>
        <v>웅</v>
      </c>
      <c r="O906" s="26" t="str">
        <f>IFERROR(__xludf.DUMMYFUNCTION("""COMPUTED_VALUE"""),"ACDC")</f>
        <v>ACDC</v>
      </c>
      <c r="P906" s="26" t="str">
        <f>IFERROR(__xludf.DUMMYFUNCTION("""COMPUTED_VALUE"""),"짱구")</f>
        <v>짱구</v>
      </c>
      <c r="Q906" s="26" t="str">
        <f>IFERROR(__xludf.DUMMYFUNCTION("""COMPUTED_VALUE"""),"전투쥐")</f>
        <v>전투쥐</v>
      </c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27" t="s">
        <v>3882</v>
      </c>
      <c r="B907" s="28" t="s">
        <v>3883</v>
      </c>
      <c r="C907" s="27" t="s">
        <v>3884</v>
      </c>
      <c r="D907" s="27">
        <v>5.0</v>
      </c>
      <c r="E907" s="27" t="s">
        <v>3885</v>
      </c>
      <c r="F907" s="27">
        <v>3.0</v>
      </c>
      <c r="G907" s="29">
        <v>45702.97638888889</v>
      </c>
      <c r="H907" s="27" t="s">
        <v>3405</v>
      </c>
      <c r="I907" s="18"/>
      <c r="J907" s="25" t="str">
        <f>IFERROR(__xludf.DUMMYFUNCTION("ARRAYFORMULA(REGEXEXTRACT(SPLIT(C907, ""&lt;br&gt;""), ""([가-힣A-Za-z]+)""))"),"한메")</f>
        <v>한메</v>
      </c>
      <c r="K907" s="26" t="str">
        <f>IFERROR(__xludf.DUMMYFUNCTION("""COMPUTED_VALUE"""),"ACDC")</f>
        <v>ACDC</v>
      </c>
      <c r="L907" s="26" t="str">
        <f>IFERROR(__xludf.DUMMYFUNCTION("""COMPUTED_VALUE"""),"짱구")</f>
        <v>짱구</v>
      </c>
      <c r="M907" s="26" t="str">
        <f>IFERROR(__xludf.DUMMYFUNCTION("""COMPUTED_VALUE"""),"노인")</f>
        <v>노인</v>
      </c>
      <c r="N907" s="26" t="str">
        <f>IFERROR(__xludf.DUMMYFUNCTION("ARRAYFORMULA(REGEXEXTRACT(SPLIT(E907, ""&lt;br&gt;""), ""([가-힣A-Za-z]+)""))"),"전투쥐")</f>
        <v>전투쥐</v>
      </c>
      <c r="O907" s="26" t="str">
        <f>IFERROR(__xludf.DUMMYFUNCTION("""COMPUTED_VALUE"""),"깡패")</f>
        <v>깡패</v>
      </c>
      <c r="P907" s="26" t="str">
        <f>IFERROR(__xludf.DUMMYFUNCTION("""COMPUTED_VALUE"""),"웅")</f>
        <v>웅</v>
      </c>
      <c r="Q907" s="26" t="str">
        <f>IFERROR(__xludf.DUMMYFUNCTION("""COMPUTED_VALUE"""),"강화")</f>
        <v>강화</v>
      </c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27" t="s">
        <v>3886</v>
      </c>
      <c r="B908" s="28" t="s">
        <v>3887</v>
      </c>
      <c r="C908" s="27" t="s">
        <v>3888</v>
      </c>
      <c r="D908" s="27">
        <v>5.0</v>
      </c>
      <c r="E908" s="27" t="s">
        <v>3889</v>
      </c>
      <c r="F908" s="27">
        <v>4.0</v>
      </c>
      <c r="G908" s="29">
        <v>45702.95</v>
      </c>
      <c r="H908" s="27" t="s">
        <v>3405</v>
      </c>
      <c r="I908" s="18"/>
      <c r="J908" s="25" t="str">
        <f>IFERROR(__xludf.DUMMYFUNCTION("ARRAYFORMULA(REGEXEXTRACT(SPLIT(C908, ""&lt;br&gt;""), ""([가-힣A-Za-z]+)""))"),"ACDC")</f>
        <v>ACDC</v>
      </c>
      <c r="K908" s="26" t="str">
        <f>IFERROR(__xludf.DUMMYFUNCTION("""COMPUTED_VALUE"""),"깡패")</f>
        <v>깡패</v>
      </c>
      <c r="L908" s="26" t="str">
        <f>IFERROR(__xludf.DUMMYFUNCTION("""COMPUTED_VALUE"""),"노인")</f>
        <v>노인</v>
      </c>
      <c r="M908" s="26" t="str">
        <f>IFERROR(__xludf.DUMMYFUNCTION("""COMPUTED_VALUE"""),"강화")</f>
        <v>강화</v>
      </c>
      <c r="N908" s="26" t="str">
        <f>IFERROR(__xludf.DUMMYFUNCTION("ARRAYFORMULA(REGEXEXTRACT(SPLIT(E908, ""&lt;br&gt;""), ""([가-힣A-Za-z]+)""))"),"전투쥐")</f>
        <v>전투쥐</v>
      </c>
      <c r="O908" s="26" t="str">
        <f>IFERROR(__xludf.DUMMYFUNCTION("""COMPUTED_VALUE"""),"짱구")</f>
        <v>짱구</v>
      </c>
      <c r="P908" s="26" t="str">
        <f>IFERROR(__xludf.DUMMYFUNCTION("""COMPUTED_VALUE"""),"노픽업")</f>
        <v>노픽업</v>
      </c>
      <c r="Q908" s="26" t="str">
        <f>IFERROR(__xludf.DUMMYFUNCTION("""COMPUTED_VALUE"""),"따")</f>
        <v>따</v>
      </c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27" t="s">
        <v>3890</v>
      </c>
      <c r="B909" s="28" t="s">
        <v>3891</v>
      </c>
      <c r="C909" s="27" t="s">
        <v>3892</v>
      </c>
      <c r="D909" s="27">
        <v>5.0</v>
      </c>
      <c r="E909" s="27" t="s">
        <v>3893</v>
      </c>
      <c r="F909" s="27">
        <v>2.0</v>
      </c>
      <c r="G909" s="29">
        <v>45702.913194444445</v>
      </c>
      <c r="H909" s="27" t="s">
        <v>3405</v>
      </c>
      <c r="I909" s="18"/>
      <c r="J909" s="25" t="str">
        <f>IFERROR(__xludf.DUMMYFUNCTION("ARRAYFORMULA(REGEXEXTRACT(SPLIT(C909, ""&lt;br&gt;""), ""([가-힣A-Za-z]+)""))"),"노인")</f>
        <v>노인</v>
      </c>
      <c r="K909" s="26" t="str">
        <f>IFERROR(__xludf.DUMMYFUNCTION("""COMPUTED_VALUE"""),"따")</f>
        <v>따</v>
      </c>
      <c r="L909" s="26" t="str">
        <f>IFERROR(__xludf.DUMMYFUNCTION("""COMPUTED_VALUE"""),"뼈해장국")</f>
        <v>뼈해장국</v>
      </c>
      <c r="M909" s="26" t="str">
        <f>IFERROR(__xludf.DUMMYFUNCTION("""COMPUTED_VALUE"""),"전투쥐")</f>
        <v>전투쥐</v>
      </c>
      <c r="N909" s="26" t="str">
        <f>IFERROR(__xludf.DUMMYFUNCTION("ARRAYFORMULA(REGEXEXTRACT(SPLIT(E909, ""&lt;br&gt;""), ""([가-힣A-Za-z]+)""))"),"ACDC")</f>
        <v>ACDC</v>
      </c>
      <c r="O909" s="26" t="str">
        <f>IFERROR(__xludf.DUMMYFUNCTION("""COMPUTED_VALUE"""),"신형만")</f>
        <v>신형만</v>
      </c>
      <c r="P909" s="26" t="str">
        <f>IFERROR(__xludf.DUMMYFUNCTION("""COMPUTED_VALUE"""),"깡패")</f>
        <v>깡패</v>
      </c>
      <c r="Q909" s="26" t="str">
        <f>IFERROR(__xludf.DUMMYFUNCTION("""COMPUTED_VALUE"""),"강화")</f>
        <v>강화</v>
      </c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27" t="s">
        <v>3894</v>
      </c>
      <c r="B910" s="28" t="s">
        <v>3895</v>
      </c>
      <c r="C910" s="27" t="s">
        <v>3896</v>
      </c>
      <c r="D910" s="27">
        <v>5.0</v>
      </c>
      <c r="E910" s="27" t="s">
        <v>3897</v>
      </c>
      <c r="F910" s="27">
        <v>1.0</v>
      </c>
      <c r="G910" s="29">
        <v>45702.902083333334</v>
      </c>
      <c r="H910" s="27" t="s">
        <v>3405</v>
      </c>
      <c r="I910" s="18"/>
      <c r="J910" s="25" t="str">
        <f>IFERROR(__xludf.DUMMYFUNCTION("ARRAYFORMULA(REGEXEXTRACT(SPLIT(C910, ""&lt;br&gt;""), ""([가-힣A-Za-z]+)""))"),"깡패")</f>
        <v>깡패</v>
      </c>
      <c r="K910" s="26" t="str">
        <f>IFERROR(__xludf.DUMMYFUNCTION("""COMPUTED_VALUE"""),"신형만")</f>
        <v>신형만</v>
      </c>
      <c r="L910" s="26" t="str">
        <f>IFERROR(__xludf.DUMMYFUNCTION("""COMPUTED_VALUE"""),"노인")</f>
        <v>노인</v>
      </c>
      <c r="M910" s="26" t="str">
        <f>IFERROR(__xludf.DUMMYFUNCTION("""COMPUTED_VALUE"""),"따")</f>
        <v>따</v>
      </c>
      <c r="N910" s="26" t="str">
        <f>IFERROR(__xludf.DUMMYFUNCTION("ARRAYFORMULA(REGEXEXTRACT(SPLIT(E910, ""&lt;br&gt;""), ""([가-힣A-Za-z]+)""))"),"전투쥐")</f>
        <v>전투쥐</v>
      </c>
      <c r="O910" s="26" t="str">
        <f>IFERROR(__xludf.DUMMYFUNCTION("""COMPUTED_VALUE"""),"ACDC")</f>
        <v>ACDC</v>
      </c>
      <c r="P910" s="26" t="str">
        <f>IFERROR(__xludf.DUMMYFUNCTION("""COMPUTED_VALUE"""),"뼈해장국")</f>
        <v>뼈해장국</v>
      </c>
      <c r="Q910" s="26" t="str">
        <f>IFERROR(__xludf.DUMMYFUNCTION("""COMPUTED_VALUE"""),"강화")</f>
        <v>강화</v>
      </c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27" t="s">
        <v>3898</v>
      </c>
      <c r="B911" s="28" t="s">
        <v>3899</v>
      </c>
      <c r="C911" s="27" t="s">
        <v>3900</v>
      </c>
      <c r="D911" s="27">
        <v>5.0</v>
      </c>
      <c r="E911" s="27" t="s">
        <v>3901</v>
      </c>
      <c r="F911" s="27">
        <v>2.0</v>
      </c>
      <c r="G911" s="29">
        <v>45702.07361111111</v>
      </c>
      <c r="H911" s="27" t="s">
        <v>3405</v>
      </c>
      <c r="I911" s="18"/>
      <c r="J911" s="25" t="str">
        <f>IFERROR(__xludf.DUMMYFUNCTION("ARRAYFORMULA(REGEXEXTRACT(SPLIT(C911, ""&lt;br&gt;""), ""([가-힣A-Za-z]+)""))"),"한메")</f>
        <v>한메</v>
      </c>
      <c r="K911" s="26" t="str">
        <f>IFERROR(__xludf.DUMMYFUNCTION("""COMPUTED_VALUE"""),"짱구")</f>
        <v>짱구</v>
      </c>
      <c r="L911" s="26" t="str">
        <f>IFERROR(__xludf.DUMMYFUNCTION("""COMPUTED_VALUE"""),"참치")</f>
        <v>참치</v>
      </c>
      <c r="M911" s="26" t="str">
        <f>IFERROR(__xludf.DUMMYFUNCTION("""COMPUTED_VALUE"""),"따")</f>
        <v>따</v>
      </c>
      <c r="N911" s="26" t="str">
        <f>IFERROR(__xludf.DUMMYFUNCTION("ARRAYFORMULA(REGEXEXTRACT(SPLIT(E911, ""&lt;br&gt;""), ""([가-힣A-Za-z]+)""))"),"유망")</f>
        <v>유망</v>
      </c>
      <c r="O911" s="26" t="str">
        <f>IFERROR(__xludf.DUMMYFUNCTION("""COMPUTED_VALUE"""),"노인")</f>
        <v>노인</v>
      </c>
      <c r="P911" s="26" t="str">
        <f>IFERROR(__xludf.DUMMYFUNCTION("""COMPUTED_VALUE"""),"강화")</f>
        <v>강화</v>
      </c>
      <c r="Q911" s="26" t="str">
        <f>IFERROR(__xludf.DUMMYFUNCTION("""COMPUTED_VALUE"""),"깡패")</f>
        <v>깡패</v>
      </c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27" t="s">
        <v>3902</v>
      </c>
      <c r="B912" s="28" t="s">
        <v>3903</v>
      </c>
      <c r="C912" s="27" t="s">
        <v>3904</v>
      </c>
      <c r="D912" s="27">
        <v>5.0</v>
      </c>
      <c r="E912" s="27" t="s">
        <v>3905</v>
      </c>
      <c r="F912" s="27">
        <v>4.0</v>
      </c>
      <c r="G912" s="29">
        <v>45702.072916666664</v>
      </c>
      <c r="H912" s="27" t="s">
        <v>3405</v>
      </c>
      <c r="I912" s="18"/>
      <c r="J912" s="25" t="str">
        <f>IFERROR(__xludf.DUMMYFUNCTION("ARRAYFORMULA(REGEXEXTRACT(SPLIT(C912, ""&lt;br&gt;""), ""([가-힣A-Za-z]+)""))"),"한메")</f>
        <v>한메</v>
      </c>
      <c r="K912" s="26" t="str">
        <f>IFERROR(__xludf.DUMMYFUNCTION("""COMPUTED_VALUE"""),"노인")</f>
        <v>노인</v>
      </c>
      <c r="L912" s="26" t="str">
        <f>IFERROR(__xludf.DUMMYFUNCTION("""COMPUTED_VALUE"""),"따")</f>
        <v>따</v>
      </c>
      <c r="M912" s="26" t="str">
        <f>IFERROR(__xludf.DUMMYFUNCTION("""COMPUTED_VALUE"""),"유망")</f>
        <v>유망</v>
      </c>
      <c r="N912" s="26" t="str">
        <f>IFERROR(__xludf.DUMMYFUNCTION("ARRAYFORMULA(REGEXEXTRACT(SPLIT(E912, ""&lt;br&gt;""), ""([가-힣A-Za-z]+)""))"),"강화")</f>
        <v>강화</v>
      </c>
      <c r="O912" s="26" t="str">
        <f>IFERROR(__xludf.DUMMYFUNCTION("""COMPUTED_VALUE"""),"깡패")</f>
        <v>깡패</v>
      </c>
      <c r="P912" s="26" t="str">
        <f>IFERROR(__xludf.DUMMYFUNCTION("""COMPUTED_VALUE"""),"짱구")</f>
        <v>짱구</v>
      </c>
      <c r="Q912" s="26" t="str">
        <f>IFERROR(__xludf.DUMMYFUNCTION("""COMPUTED_VALUE"""),"참치")</f>
        <v>참치</v>
      </c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27" t="s">
        <v>3906</v>
      </c>
      <c r="B913" s="28" t="s">
        <v>3907</v>
      </c>
      <c r="C913" s="27" t="s">
        <v>3908</v>
      </c>
      <c r="D913" s="27">
        <v>5.0</v>
      </c>
      <c r="E913" s="27" t="s">
        <v>3909</v>
      </c>
      <c r="F913" s="27">
        <v>2.0</v>
      </c>
      <c r="G913" s="29">
        <v>45702.024305555555</v>
      </c>
      <c r="H913" s="27" t="s">
        <v>3405</v>
      </c>
      <c r="I913" s="18"/>
      <c r="J913" s="25" t="str">
        <f>IFERROR(__xludf.DUMMYFUNCTION("ARRAYFORMULA(REGEXEXTRACT(SPLIT(C913, ""&lt;br&gt;""), ""([가-힣A-Za-z]+)""))"),"한메")</f>
        <v>한메</v>
      </c>
      <c r="K913" s="26" t="str">
        <f>IFERROR(__xludf.DUMMYFUNCTION("""COMPUTED_VALUE"""),"참치")</f>
        <v>참치</v>
      </c>
      <c r="L913" s="26" t="str">
        <f>IFERROR(__xludf.DUMMYFUNCTION("""COMPUTED_VALUE"""),"신형만")</f>
        <v>신형만</v>
      </c>
      <c r="M913" s="26" t="str">
        <f>IFERROR(__xludf.DUMMYFUNCTION("""COMPUTED_VALUE"""),"깡패")</f>
        <v>깡패</v>
      </c>
      <c r="N913" s="26" t="str">
        <f>IFERROR(__xludf.DUMMYFUNCTION("ARRAYFORMULA(REGEXEXTRACT(SPLIT(E913, ""&lt;br&gt;""), ""([가-힣A-Za-z]+)""))"),"강화")</f>
        <v>강화</v>
      </c>
      <c r="O913" s="26" t="str">
        <f>IFERROR(__xludf.DUMMYFUNCTION("""COMPUTED_VALUE"""),"짱구")</f>
        <v>짱구</v>
      </c>
      <c r="P913" s="26" t="str">
        <f>IFERROR(__xludf.DUMMYFUNCTION("""COMPUTED_VALUE"""),"따")</f>
        <v>따</v>
      </c>
      <c r="Q913" s="26" t="str">
        <f>IFERROR(__xludf.DUMMYFUNCTION("""COMPUTED_VALUE"""),"유망")</f>
        <v>유망</v>
      </c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27" t="s">
        <v>3910</v>
      </c>
      <c r="B914" s="28" t="s">
        <v>3911</v>
      </c>
      <c r="C914" s="27" t="s">
        <v>3912</v>
      </c>
      <c r="D914" s="27">
        <v>5.0</v>
      </c>
      <c r="E914" s="27" t="s">
        <v>3913</v>
      </c>
      <c r="F914" s="27">
        <v>2.0</v>
      </c>
      <c r="G914" s="29">
        <v>45701.995833333334</v>
      </c>
      <c r="H914" s="27" t="s">
        <v>3405</v>
      </c>
      <c r="I914" s="18"/>
      <c r="J914" s="25" t="str">
        <f>IFERROR(__xludf.DUMMYFUNCTION("ARRAYFORMULA(REGEXEXTRACT(SPLIT(C914, ""&lt;br&gt;""), ""([가-힣A-Za-z]+)""))"),"신형만")</f>
        <v>신형만</v>
      </c>
      <c r="K914" s="26" t="str">
        <f>IFERROR(__xludf.DUMMYFUNCTION("""COMPUTED_VALUE"""),"깡패")</f>
        <v>깡패</v>
      </c>
      <c r="L914" s="26" t="str">
        <f>IFERROR(__xludf.DUMMYFUNCTION("""COMPUTED_VALUE"""),"강화")</f>
        <v>강화</v>
      </c>
      <c r="M914" s="26" t="str">
        <f>IFERROR(__xludf.DUMMYFUNCTION("""COMPUTED_VALUE"""),"따")</f>
        <v>따</v>
      </c>
      <c r="N914" s="26" t="str">
        <f>IFERROR(__xludf.DUMMYFUNCTION("ARRAYFORMULA(REGEXEXTRACT(SPLIT(E914, ""&lt;br&gt;""), ""([가-힣A-Za-z]+)""))"),"유망")</f>
        <v>유망</v>
      </c>
      <c r="O914" s="26" t="str">
        <f>IFERROR(__xludf.DUMMYFUNCTION("""COMPUTED_VALUE"""),"참치")</f>
        <v>참치</v>
      </c>
      <c r="P914" s="26" t="str">
        <f>IFERROR(__xludf.DUMMYFUNCTION("""COMPUTED_VALUE"""),"짱구")</f>
        <v>짱구</v>
      </c>
      <c r="Q914" s="26" t="str">
        <f>IFERROR(__xludf.DUMMYFUNCTION("""COMPUTED_VALUE"""),"한메")</f>
        <v>한메</v>
      </c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27" t="s">
        <v>3914</v>
      </c>
      <c r="B915" s="28" t="s">
        <v>3915</v>
      </c>
      <c r="C915" s="27" t="s">
        <v>3916</v>
      </c>
      <c r="D915" s="27">
        <v>5.0</v>
      </c>
      <c r="E915" s="27" t="s">
        <v>3917</v>
      </c>
      <c r="F915" s="27">
        <v>1.0</v>
      </c>
      <c r="G915" s="29">
        <v>45701.97361111111</v>
      </c>
      <c r="H915" s="27" t="s">
        <v>3405</v>
      </c>
      <c r="I915" s="18"/>
      <c r="J915" s="25" t="str">
        <f>IFERROR(__xludf.DUMMYFUNCTION("ARRAYFORMULA(REGEXEXTRACT(SPLIT(C915, ""&lt;br&gt;""), ""([가-힣A-Za-z]+)""))"),"짱구")</f>
        <v>짱구</v>
      </c>
      <c r="K915" s="26" t="str">
        <f>IFERROR(__xludf.DUMMYFUNCTION("""COMPUTED_VALUE"""),"신형만")</f>
        <v>신형만</v>
      </c>
      <c r="L915" s="26" t="str">
        <f>IFERROR(__xludf.DUMMYFUNCTION("""COMPUTED_VALUE"""),"유망")</f>
        <v>유망</v>
      </c>
      <c r="M915" s="26" t="str">
        <f>IFERROR(__xludf.DUMMYFUNCTION("""COMPUTED_VALUE"""),"강화")</f>
        <v>강화</v>
      </c>
      <c r="N915" s="26" t="str">
        <f>IFERROR(__xludf.DUMMYFUNCTION("ARRAYFORMULA(REGEXEXTRACT(SPLIT(E915, ""&lt;br&gt;""), ""([가-힣A-Za-z]+)""))"),"한메")</f>
        <v>한메</v>
      </c>
      <c r="O915" s="26" t="str">
        <f>IFERROR(__xludf.DUMMYFUNCTION("""COMPUTED_VALUE"""),"재우")</f>
        <v>재우</v>
      </c>
      <c r="P915" s="26" t="str">
        <f>IFERROR(__xludf.DUMMYFUNCTION("""COMPUTED_VALUE"""),"깡패")</f>
        <v>깡패</v>
      </c>
      <c r="Q915" s="26" t="str">
        <f>IFERROR(__xludf.DUMMYFUNCTION("""COMPUTED_VALUE"""),"전투쥐")</f>
        <v>전투쥐</v>
      </c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27" t="s">
        <v>3918</v>
      </c>
      <c r="B916" s="28" t="s">
        <v>3919</v>
      </c>
      <c r="C916" s="27" t="s">
        <v>3920</v>
      </c>
      <c r="D916" s="27">
        <v>5.0</v>
      </c>
      <c r="E916" s="27" t="s">
        <v>3921</v>
      </c>
      <c r="F916" s="27">
        <v>1.0</v>
      </c>
      <c r="G916" s="29">
        <v>45701.950694444444</v>
      </c>
      <c r="H916" s="27" t="s">
        <v>3405</v>
      </c>
      <c r="I916" s="18"/>
      <c r="J916" s="25" t="str">
        <f>IFERROR(__xludf.DUMMYFUNCTION("ARRAYFORMULA(REGEXEXTRACT(SPLIT(C916, ""&lt;br&gt;""), ""([가-힣A-Za-z]+)""))"),"전투쥐")</f>
        <v>전투쥐</v>
      </c>
      <c r="K916" s="26" t="str">
        <f>IFERROR(__xludf.DUMMYFUNCTION("""COMPUTED_VALUE"""),"짱구")</f>
        <v>짱구</v>
      </c>
      <c r="L916" s="26" t="str">
        <f>IFERROR(__xludf.DUMMYFUNCTION("""COMPUTED_VALUE"""),"태식")</f>
        <v>태식</v>
      </c>
      <c r="M916" s="26" t="str">
        <f>IFERROR(__xludf.DUMMYFUNCTION("""COMPUTED_VALUE"""),"재우")</f>
        <v>재우</v>
      </c>
      <c r="N916" s="26" t="str">
        <f>IFERROR(__xludf.DUMMYFUNCTION("ARRAYFORMULA(REGEXEXTRACT(SPLIT(E916, ""&lt;br&gt;""), ""([가-힣A-Za-z]+)""))"),"강화")</f>
        <v>강화</v>
      </c>
      <c r="O916" s="26" t="str">
        <f>IFERROR(__xludf.DUMMYFUNCTION("""COMPUTED_VALUE"""),"신형만")</f>
        <v>신형만</v>
      </c>
      <c r="P916" s="26" t="str">
        <f>IFERROR(__xludf.DUMMYFUNCTION("""COMPUTED_VALUE"""),"깡패")</f>
        <v>깡패</v>
      </c>
      <c r="Q916" s="26" t="str">
        <f>IFERROR(__xludf.DUMMYFUNCTION("""COMPUTED_VALUE"""),"한메")</f>
        <v>한메</v>
      </c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27" t="s">
        <v>3922</v>
      </c>
      <c r="B917" s="28" t="s">
        <v>3923</v>
      </c>
      <c r="C917" s="27" t="s">
        <v>3924</v>
      </c>
      <c r="D917" s="27">
        <v>5.0</v>
      </c>
      <c r="E917" s="27" t="s">
        <v>3925</v>
      </c>
      <c r="F917" s="27">
        <v>2.0</v>
      </c>
      <c r="G917" s="29">
        <v>45701.936111111114</v>
      </c>
      <c r="H917" s="27" t="s">
        <v>3405</v>
      </c>
      <c r="I917" s="18"/>
      <c r="J917" s="25" t="str">
        <f>IFERROR(__xludf.DUMMYFUNCTION("ARRAYFORMULA(REGEXEXTRACT(SPLIT(C917, ""&lt;br&gt;""), ""([가-힣A-Za-z]+)""))"),"태식")</f>
        <v>태식</v>
      </c>
      <c r="K917" s="26" t="str">
        <f>IFERROR(__xludf.DUMMYFUNCTION("""COMPUTED_VALUE"""),"신형만")</f>
        <v>신형만</v>
      </c>
      <c r="L917" s="26" t="str">
        <f>IFERROR(__xludf.DUMMYFUNCTION("""COMPUTED_VALUE"""),"재우")</f>
        <v>재우</v>
      </c>
      <c r="M917" s="26" t="str">
        <f>IFERROR(__xludf.DUMMYFUNCTION("""COMPUTED_VALUE"""),"깡패")</f>
        <v>깡패</v>
      </c>
      <c r="N917" s="26" t="str">
        <f>IFERROR(__xludf.DUMMYFUNCTION("ARRAYFORMULA(REGEXEXTRACT(SPLIT(E917, ""&lt;br&gt;""), ""([가-힣A-Za-z]+)""))"),"강화")</f>
        <v>강화</v>
      </c>
      <c r="O917" s="26" t="str">
        <f>IFERROR(__xludf.DUMMYFUNCTION("""COMPUTED_VALUE"""),"노인")</f>
        <v>노인</v>
      </c>
      <c r="P917" s="26" t="str">
        <f>IFERROR(__xludf.DUMMYFUNCTION("""COMPUTED_VALUE"""),"짱구")</f>
        <v>짱구</v>
      </c>
      <c r="Q917" s="26" t="str">
        <f>IFERROR(__xludf.DUMMYFUNCTION("""COMPUTED_VALUE"""),"전투쥐")</f>
        <v>전투쥐</v>
      </c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27" t="s">
        <v>3926</v>
      </c>
      <c r="B918" s="28" t="s">
        <v>3927</v>
      </c>
      <c r="C918" s="27" t="s">
        <v>3928</v>
      </c>
      <c r="D918" s="27">
        <v>5.0</v>
      </c>
      <c r="E918" s="27" t="s">
        <v>3929</v>
      </c>
      <c r="F918" s="27">
        <v>0.0</v>
      </c>
      <c r="G918" s="29">
        <v>45701.92222222222</v>
      </c>
      <c r="H918" s="27" t="s">
        <v>3405</v>
      </c>
      <c r="I918" s="18"/>
      <c r="J918" s="25" t="str">
        <f>IFERROR(__xludf.DUMMYFUNCTION("ARRAYFORMULA(REGEXEXTRACT(SPLIT(C918, ""&lt;br&gt;""), ""([가-힣A-Za-z]+)""))"),"테리")</f>
        <v>테리</v>
      </c>
      <c r="K918" s="26" t="str">
        <f>IFERROR(__xludf.DUMMYFUNCTION("""COMPUTED_VALUE"""),"신형만")</f>
        <v>신형만</v>
      </c>
      <c r="L918" s="26" t="str">
        <f>IFERROR(__xludf.DUMMYFUNCTION("""COMPUTED_VALUE"""),"노인")</f>
        <v>노인</v>
      </c>
      <c r="M918" s="26" t="str">
        <f>IFERROR(__xludf.DUMMYFUNCTION("""COMPUTED_VALUE"""),"태식")</f>
        <v>태식</v>
      </c>
      <c r="N918" s="26" t="str">
        <f>IFERROR(__xludf.DUMMYFUNCTION("ARRAYFORMULA(REGEXEXTRACT(SPLIT(E918, ""&lt;br&gt;""), ""([가-힣A-Za-z]+)""))"),"짱구")</f>
        <v>짱구</v>
      </c>
      <c r="O918" s="26" t="str">
        <f>IFERROR(__xludf.DUMMYFUNCTION("""COMPUTED_VALUE"""),"깡패")</f>
        <v>깡패</v>
      </c>
      <c r="P918" s="26" t="str">
        <f>IFERROR(__xludf.DUMMYFUNCTION("""COMPUTED_VALUE"""),"재우")</f>
        <v>재우</v>
      </c>
      <c r="Q918" s="26" t="str">
        <f>IFERROR(__xludf.DUMMYFUNCTION("""COMPUTED_VALUE"""),"전투쥐")</f>
        <v>전투쥐</v>
      </c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27" t="s">
        <v>3930</v>
      </c>
      <c r="B919" s="28" t="s">
        <v>3931</v>
      </c>
      <c r="C919" s="27" t="s">
        <v>3932</v>
      </c>
      <c r="D919" s="27">
        <v>5.0</v>
      </c>
      <c r="E919" s="27" t="s">
        <v>3933</v>
      </c>
      <c r="F919" s="27">
        <v>3.0</v>
      </c>
      <c r="G919" s="29">
        <v>45701.90972222222</v>
      </c>
      <c r="H919" s="27" t="s">
        <v>3405</v>
      </c>
      <c r="I919" s="18"/>
      <c r="J919" s="25" t="str">
        <f>IFERROR(__xludf.DUMMYFUNCTION("ARRAYFORMULA(REGEXEXTRACT(SPLIT(C919, ""&lt;br&gt;""), ""([가-힣A-Za-z]+)""))"),"신형만")</f>
        <v>신형만</v>
      </c>
      <c r="K919" s="26" t="str">
        <f>IFERROR(__xludf.DUMMYFUNCTION("""COMPUTED_VALUE"""),"짱구")</f>
        <v>짱구</v>
      </c>
      <c r="L919" s="26" t="str">
        <f>IFERROR(__xludf.DUMMYFUNCTION("""COMPUTED_VALUE"""),"깡패")</f>
        <v>깡패</v>
      </c>
      <c r="M919" s="26" t="str">
        <f>IFERROR(__xludf.DUMMYFUNCTION("""COMPUTED_VALUE"""),"노인")</f>
        <v>노인</v>
      </c>
      <c r="N919" s="26" t="str">
        <f>IFERROR(__xludf.DUMMYFUNCTION("ARRAYFORMULA(REGEXEXTRACT(SPLIT(E919, ""&lt;br&gt;""), ""([가-힣A-Za-z]+)""))"),"재우")</f>
        <v>재우</v>
      </c>
      <c r="O919" s="26" t="str">
        <f>IFERROR(__xludf.DUMMYFUNCTION("""COMPUTED_VALUE"""),"테리")</f>
        <v>테리</v>
      </c>
      <c r="P919" s="26" t="str">
        <f>IFERROR(__xludf.DUMMYFUNCTION("""COMPUTED_VALUE"""),"전투쥐")</f>
        <v>전투쥐</v>
      </c>
      <c r="Q919" s="26" t="str">
        <f>IFERROR(__xludf.DUMMYFUNCTION("""COMPUTED_VALUE"""),"태식")</f>
        <v>태식</v>
      </c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27" t="s">
        <v>3934</v>
      </c>
      <c r="B920" s="28" t="s">
        <v>3935</v>
      </c>
      <c r="C920" s="27" t="s">
        <v>3936</v>
      </c>
      <c r="D920" s="27">
        <v>5.0</v>
      </c>
      <c r="E920" s="27" t="s">
        <v>3937</v>
      </c>
      <c r="F920" s="27">
        <v>1.0</v>
      </c>
      <c r="G920" s="29">
        <v>45701.89097222222</v>
      </c>
      <c r="H920" s="27" t="s">
        <v>3405</v>
      </c>
      <c r="I920" s="18"/>
      <c r="J920" s="25" t="str">
        <f>IFERROR(__xludf.DUMMYFUNCTION("ARRAYFORMULA(REGEXEXTRACT(SPLIT(C920, ""&lt;br&gt;""), ""([가-힣A-Za-z]+)""))"),"재우")</f>
        <v>재우</v>
      </c>
      <c r="K920" s="26" t="str">
        <f>IFERROR(__xludf.DUMMYFUNCTION("""COMPUTED_VALUE"""),"테리")</f>
        <v>테리</v>
      </c>
      <c r="L920" s="26" t="str">
        <f>IFERROR(__xludf.DUMMYFUNCTION("""COMPUTED_VALUE"""),"짱구")</f>
        <v>짱구</v>
      </c>
      <c r="M920" s="26" t="str">
        <f>IFERROR(__xludf.DUMMYFUNCTION("""COMPUTED_VALUE"""),"깡패")</f>
        <v>깡패</v>
      </c>
      <c r="N920" s="26" t="str">
        <f>IFERROR(__xludf.DUMMYFUNCTION("ARRAYFORMULA(REGEXEXTRACT(SPLIT(E920, ""&lt;br&gt;""), ""([가-힣A-Za-z]+)""))"),"신형만")</f>
        <v>신형만</v>
      </c>
      <c r="O920" s="26" t="str">
        <f>IFERROR(__xludf.DUMMYFUNCTION("""COMPUTED_VALUE"""),"태식")</f>
        <v>태식</v>
      </c>
      <c r="P920" s="26" t="str">
        <f>IFERROR(__xludf.DUMMYFUNCTION("""COMPUTED_VALUE"""),"전투쥐")</f>
        <v>전투쥐</v>
      </c>
      <c r="Q920" s="26" t="str">
        <f>IFERROR(__xludf.DUMMYFUNCTION("""COMPUTED_VALUE"""),"노인")</f>
        <v>노인</v>
      </c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27" t="s">
        <v>3938</v>
      </c>
      <c r="B921" s="28" t="s">
        <v>3939</v>
      </c>
      <c r="C921" s="27" t="s">
        <v>3940</v>
      </c>
      <c r="D921" s="27">
        <v>5.0</v>
      </c>
      <c r="E921" s="27" t="s">
        <v>3941</v>
      </c>
      <c r="F921" s="27">
        <v>3.0</v>
      </c>
      <c r="G921" s="29">
        <v>45701.873611111114</v>
      </c>
      <c r="H921" s="27" t="s">
        <v>3405</v>
      </c>
      <c r="I921" s="18"/>
      <c r="J921" s="25" t="str">
        <f>IFERROR(__xludf.DUMMYFUNCTION("ARRAYFORMULA(REGEXEXTRACT(SPLIT(C921, ""&lt;br&gt;""), ""([가-힣A-Za-z]+)""))"),"재우")</f>
        <v>재우</v>
      </c>
      <c r="K921" s="26" t="str">
        <f>IFERROR(__xludf.DUMMYFUNCTION("""COMPUTED_VALUE"""),"테리")</f>
        <v>테리</v>
      </c>
      <c r="L921" s="26" t="str">
        <f>IFERROR(__xludf.DUMMYFUNCTION("""COMPUTED_VALUE"""),"노인")</f>
        <v>노인</v>
      </c>
      <c r="M921" s="26" t="str">
        <f>IFERROR(__xludf.DUMMYFUNCTION("""COMPUTED_VALUE"""),"전투쥐")</f>
        <v>전투쥐</v>
      </c>
      <c r="N921" s="26" t="str">
        <f>IFERROR(__xludf.DUMMYFUNCTION("ARRAYFORMULA(REGEXEXTRACT(SPLIT(E921, ""&lt;br&gt;""), ""([가-힣A-Za-z]+)""))"),"깡패")</f>
        <v>깡패</v>
      </c>
      <c r="O921" s="26" t="str">
        <f>IFERROR(__xludf.DUMMYFUNCTION("""COMPUTED_VALUE"""),"태식")</f>
        <v>태식</v>
      </c>
      <c r="P921" s="26" t="str">
        <f>IFERROR(__xludf.DUMMYFUNCTION("""COMPUTED_VALUE"""),"짱구")</f>
        <v>짱구</v>
      </c>
      <c r="Q921" s="26" t="str">
        <f>IFERROR(__xludf.DUMMYFUNCTION("""COMPUTED_VALUE"""),"신형만")</f>
        <v>신형만</v>
      </c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27" t="s">
        <v>3942</v>
      </c>
      <c r="B922" s="28" t="s">
        <v>3943</v>
      </c>
      <c r="C922" s="27" t="s">
        <v>3944</v>
      </c>
      <c r="D922" s="27">
        <v>5.0</v>
      </c>
      <c r="E922" s="27" t="s">
        <v>3945</v>
      </c>
      <c r="F922" s="27">
        <v>2.0</v>
      </c>
      <c r="G922" s="29">
        <v>45701.85138888889</v>
      </c>
      <c r="H922" s="27" t="s">
        <v>3405</v>
      </c>
      <c r="I922" s="18"/>
      <c r="J922" s="25" t="str">
        <f>IFERROR(__xludf.DUMMYFUNCTION("ARRAYFORMULA(REGEXEXTRACT(SPLIT(C922, ""&lt;br&gt;""), ""([가-힣A-Za-z]+)""))"),"깡패")</f>
        <v>깡패</v>
      </c>
      <c r="K922" s="26" t="str">
        <f>IFERROR(__xludf.DUMMYFUNCTION("""COMPUTED_VALUE"""),"테리")</f>
        <v>테리</v>
      </c>
      <c r="L922" s="26" t="str">
        <f>IFERROR(__xludf.DUMMYFUNCTION("""COMPUTED_VALUE"""),"짱구")</f>
        <v>짱구</v>
      </c>
      <c r="M922" s="26" t="str">
        <f>IFERROR(__xludf.DUMMYFUNCTION("""COMPUTED_VALUE"""),"노인")</f>
        <v>노인</v>
      </c>
      <c r="N922" s="26" t="str">
        <f>IFERROR(__xludf.DUMMYFUNCTION("ARRAYFORMULA(REGEXEXTRACT(SPLIT(E922, ""&lt;br&gt;""), ""([가-힣A-Za-z]+)""))"),"재우")</f>
        <v>재우</v>
      </c>
      <c r="O922" s="26" t="str">
        <f>IFERROR(__xludf.DUMMYFUNCTION("""COMPUTED_VALUE"""),"신형만")</f>
        <v>신형만</v>
      </c>
      <c r="P922" s="26" t="str">
        <f>IFERROR(__xludf.DUMMYFUNCTION("""COMPUTED_VALUE"""),"전투쥐")</f>
        <v>전투쥐</v>
      </c>
      <c r="Q922" s="26" t="str">
        <f>IFERROR(__xludf.DUMMYFUNCTION("""COMPUTED_VALUE"""),"태식")</f>
        <v>태식</v>
      </c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27" t="s">
        <v>3946</v>
      </c>
      <c r="B923" s="28" t="s">
        <v>3947</v>
      </c>
      <c r="C923" s="27" t="s">
        <v>3948</v>
      </c>
      <c r="D923" s="27">
        <v>5.0</v>
      </c>
      <c r="E923" s="27" t="s">
        <v>3949</v>
      </c>
      <c r="F923" s="27">
        <v>3.0</v>
      </c>
      <c r="G923" s="29">
        <v>45701.75208333333</v>
      </c>
      <c r="H923" s="27" t="s">
        <v>3405</v>
      </c>
      <c r="I923" s="18"/>
      <c r="J923" s="25" t="str">
        <f>IFERROR(__xludf.DUMMYFUNCTION("ARRAYFORMULA(REGEXEXTRACT(SPLIT(C923, ""&lt;br&gt;""), ""([가-힣A-Za-z]+)""))"),"한메")</f>
        <v>한메</v>
      </c>
      <c r="K923" s="26" t="str">
        <f>IFERROR(__xludf.DUMMYFUNCTION("""COMPUTED_VALUE"""),"따")</f>
        <v>따</v>
      </c>
      <c r="L923" s="26" t="str">
        <f>IFERROR(__xludf.DUMMYFUNCTION("""COMPUTED_VALUE"""),"테리")</f>
        <v>테리</v>
      </c>
      <c r="M923" s="26" t="str">
        <f>IFERROR(__xludf.DUMMYFUNCTION("""COMPUTED_VALUE"""),"노인")</f>
        <v>노인</v>
      </c>
      <c r="N923" s="26" t="str">
        <f>IFERROR(__xludf.DUMMYFUNCTION("ARRAYFORMULA(REGEXEXTRACT(SPLIT(E923, ""&lt;br&gt;""), ""([가-힣A-Za-z]+)""))"),"짱구")</f>
        <v>짱구</v>
      </c>
      <c r="O923" s="26" t="str">
        <f>IFERROR(__xludf.DUMMYFUNCTION("""COMPUTED_VALUE"""),"재명")</f>
        <v>재명</v>
      </c>
      <c r="P923" s="26" t="str">
        <f>IFERROR(__xludf.DUMMYFUNCTION("""COMPUTED_VALUE"""),"깡패")</f>
        <v>깡패</v>
      </c>
      <c r="Q923" s="26" t="str">
        <f>IFERROR(__xludf.DUMMYFUNCTION("""COMPUTED_VALUE"""),"신형만")</f>
        <v>신형만</v>
      </c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27" t="s">
        <v>3950</v>
      </c>
      <c r="B924" s="28" t="s">
        <v>3951</v>
      </c>
      <c r="C924" s="27" t="s">
        <v>3952</v>
      </c>
      <c r="D924" s="27">
        <v>5.0</v>
      </c>
      <c r="E924" s="27" t="s">
        <v>3953</v>
      </c>
      <c r="F924" s="27">
        <v>0.0</v>
      </c>
      <c r="G924" s="29">
        <v>45701.72986111111</v>
      </c>
      <c r="H924" s="27" t="s">
        <v>3405</v>
      </c>
      <c r="I924" s="18"/>
      <c r="J924" s="25" t="str">
        <f>IFERROR(__xludf.DUMMYFUNCTION("ARRAYFORMULA(REGEXEXTRACT(SPLIT(C924, ""&lt;br&gt;""), ""([가-힣A-Za-z]+)""))"),"노인")</f>
        <v>노인</v>
      </c>
      <c r="K924" s="26" t="str">
        <f>IFERROR(__xludf.DUMMYFUNCTION("""COMPUTED_VALUE"""),"따")</f>
        <v>따</v>
      </c>
      <c r="L924" s="26" t="str">
        <f>IFERROR(__xludf.DUMMYFUNCTION("""COMPUTED_VALUE"""),"짱구")</f>
        <v>짱구</v>
      </c>
      <c r="M924" s="26" t="str">
        <f>IFERROR(__xludf.DUMMYFUNCTION("""COMPUTED_VALUE"""),"신형만")</f>
        <v>신형만</v>
      </c>
      <c r="N924" s="26" t="str">
        <f>IFERROR(__xludf.DUMMYFUNCTION("ARRAYFORMULA(REGEXEXTRACT(SPLIT(E924, ""&lt;br&gt;""), ""([가-힣A-Za-z]+)""))"),"한메")</f>
        <v>한메</v>
      </c>
      <c r="O924" s="26" t="str">
        <f>IFERROR(__xludf.DUMMYFUNCTION("""COMPUTED_VALUE"""),"테리")</f>
        <v>테리</v>
      </c>
      <c r="P924" s="26" t="str">
        <f>IFERROR(__xludf.DUMMYFUNCTION("""COMPUTED_VALUE"""),"재명")</f>
        <v>재명</v>
      </c>
      <c r="Q924" s="26" t="str">
        <f>IFERROR(__xludf.DUMMYFUNCTION("""COMPUTED_VALUE"""),"깡패")</f>
        <v>깡패</v>
      </c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27" t="s">
        <v>3954</v>
      </c>
      <c r="B925" s="28" t="s">
        <v>3955</v>
      </c>
      <c r="C925" s="27" t="s">
        <v>3956</v>
      </c>
      <c r="D925" s="27">
        <v>5.0</v>
      </c>
      <c r="E925" s="27" t="s">
        <v>3957</v>
      </c>
      <c r="F925" s="27">
        <v>1.0</v>
      </c>
      <c r="G925" s="29">
        <v>45701.71944444445</v>
      </c>
      <c r="H925" s="27" t="s">
        <v>3405</v>
      </c>
      <c r="I925" s="18"/>
      <c r="J925" s="25" t="str">
        <f>IFERROR(__xludf.DUMMYFUNCTION("ARRAYFORMULA(REGEXEXTRACT(SPLIT(C925, ""&lt;br&gt;""), ""([가-힣A-Za-z]+)""))"),"신형만")</f>
        <v>신형만</v>
      </c>
      <c r="K925" s="26" t="str">
        <f>IFERROR(__xludf.DUMMYFUNCTION("""COMPUTED_VALUE"""),"짱구")</f>
        <v>짱구</v>
      </c>
      <c r="L925" s="26" t="str">
        <f>IFERROR(__xludf.DUMMYFUNCTION("""COMPUTED_VALUE"""),"한메")</f>
        <v>한메</v>
      </c>
      <c r="M925" s="26" t="str">
        <f>IFERROR(__xludf.DUMMYFUNCTION("""COMPUTED_VALUE"""),"깡패")</f>
        <v>깡패</v>
      </c>
      <c r="N925" s="26" t="str">
        <f>IFERROR(__xludf.DUMMYFUNCTION("ARRAYFORMULA(REGEXEXTRACT(SPLIT(E925, ""&lt;br&gt;""), ""([가-힣A-Za-z]+)""))"),"노인")</f>
        <v>노인</v>
      </c>
      <c r="O925" s="26" t="str">
        <f>IFERROR(__xludf.DUMMYFUNCTION("""COMPUTED_VALUE"""),"재명")</f>
        <v>재명</v>
      </c>
      <c r="P925" s="26" t="str">
        <f>IFERROR(__xludf.DUMMYFUNCTION("""COMPUTED_VALUE"""),"테리")</f>
        <v>테리</v>
      </c>
      <c r="Q925" s="26" t="str">
        <f>IFERROR(__xludf.DUMMYFUNCTION("""COMPUTED_VALUE"""),"따")</f>
        <v>따</v>
      </c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27" t="s">
        <v>3958</v>
      </c>
      <c r="B926" s="28" t="s">
        <v>3959</v>
      </c>
      <c r="C926" s="27" t="s">
        <v>3960</v>
      </c>
      <c r="D926" s="27">
        <v>5.0</v>
      </c>
      <c r="E926" s="27" t="s">
        <v>3961</v>
      </c>
      <c r="F926" s="27">
        <v>0.0</v>
      </c>
      <c r="G926" s="29">
        <v>45701.70277777778</v>
      </c>
      <c r="H926" s="27" t="s">
        <v>3405</v>
      </c>
      <c r="I926" s="18"/>
      <c r="J926" s="25" t="str">
        <f>IFERROR(__xludf.DUMMYFUNCTION("ARRAYFORMULA(REGEXEXTRACT(SPLIT(C926, ""&lt;br&gt;""), ""([가-힣A-Za-z]+)""))"),"테리")</f>
        <v>테리</v>
      </c>
      <c r="K926" s="26" t="str">
        <f>IFERROR(__xludf.DUMMYFUNCTION("""COMPUTED_VALUE"""),"짱구")</f>
        <v>짱구</v>
      </c>
      <c r="L926" s="26" t="str">
        <f>IFERROR(__xludf.DUMMYFUNCTION("""COMPUTED_VALUE"""),"재명")</f>
        <v>재명</v>
      </c>
      <c r="M926" s="26" t="str">
        <f>IFERROR(__xludf.DUMMYFUNCTION("""COMPUTED_VALUE"""),"한메")</f>
        <v>한메</v>
      </c>
      <c r="N926" s="26" t="str">
        <f>IFERROR(__xludf.DUMMYFUNCTION("ARRAYFORMULA(REGEXEXTRACT(SPLIT(E926, ""&lt;br&gt;""), ""([가-힣A-Za-z]+)""))"),"깡패")</f>
        <v>깡패</v>
      </c>
      <c r="O926" s="26" t="str">
        <f>IFERROR(__xludf.DUMMYFUNCTION("""COMPUTED_VALUE"""),"신형만")</f>
        <v>신형만</v>
      </c>
      <c r="P926" s="26" t="str">
        <f>IFERROR(__xludf.DUMMYFUNCTION("""COMPUTED_VALUE"""),"따")</f>
        <v>따</v>
      </c>
      <c r="Q926" s="26" t="str">
        <f>IFERROR(__xludf.DUMMYFUNCTION("""COMPUTED_VALUE"""),"노인")</f>
        <v>노인</v>
      </c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27" t="s">
        <v>3962</v>
      </c>
      <c r="B927" s="28" t="s">
        <v>3963</v>
      </c>
      <c r="C927" s="27" t="s">
        <v>3964</v>
      </c>
      <c r="D927" s="27">
        <v>5.0</v>
      </c>
      <c r="E927" s="27" t="s">
        <v>3965</v>
      </c>
      <c r="F927" s="27">
        <v>4.0</v>
      </c>
      <c r="G927" s="29">
        <v>45700.89444444444</v>
      </c>
      <c r="H927" s="27" t="s">
        <v>3405</v>
      </c>
      <c r="I927" s="18"/>
      <c r="J927" s="25" t="str">
        <f>IFERROR(__xludf.DUMMYFUNCTION("ARRAYFORMULA(REGEXEXTRACT(SPLIT(C927, ""&lt;br&gt;""), ""([가-힣A-Za-z]+)""))"),"규식")</f>
        <v>규식</v>
      </c>
      <c r="K927" s="26" t="str">
        <f>IFERROR(__xludf.DUMMYFUNCTION("""COMPUTED_VALUE"""),"민우")</f>
        <v>민우</v>
      </c>
      <c r="L927" s="26" t="str">
        <f>IFERROR(__xludf.DUMMYFUNCTION("""COMPUTED_VALUE"""),"ACDC")</f>
        <v>ACDC</v>
      </c>
      <c r="M927" s="26" t="str">
        <f>IFERROR(__xludf.DUMMYFUNCTION("""COMPUTED_VALUE"""),"따")</f>
        <v>따</v>
      </c>
      <c r="N927" s="26" t="str">
        <f>IFERROR(__xludf.DUMMYFUNCTION("ARRAYFORMULA(REGEXEXTRACT(SPLIT(E927, ""&lt;br&gt;""), ""([가-힣A-Za-z]+)""))"),"깡패")</f>
        <v>깡패</v>
      </c>
      <c r="O927" s="26" t="str">
        <f>IFERROR(__xludf.DUMMYFUNCTION("""COMPUTED_VALUE"""),"뼈해장국")</f>
        <v>뼈해장국</v>
      </c>
      <c r="P927" s="26" t="str">
        <f>IFERROR(__xludf.DUMMYFUNCTION("""COMPUTED_VALUE"""),"강화")</f>
        <v>강화</v>
      </c>
      <c r="Q927" s="26" t="str">
        <f>IFERROR(__xludf.DUMMYFUNCTION("""COMPUTED_VALUE"""),"재우")</f>
        <v>재우</v>
      </c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27" t="s">
        <v>3966</v>
      </c>
      <c r="B928" s="28" t="s">
        <v>3967</v>
      </c>
      <c r="C928" s="27" t="s">
        <v>3968</v>
      </c>
      <c r="D928" s="27">
        <v>5.0</v>
      </c>
      <c r="E928" s="27" t="s">
        <v>3969</v>
      </c>
      <c r="F928" s="27">
        <v>1.0</v>
      </c>
      <c r="G928" s="29">
        <v>45700.85625</v>
      </c>
      <c r="H928" s="27" t="s">
        <v>3405</v>
      </c>
      <c r="I928" s="18"/>
      <c r="J928" s="25" t="str">
        <f>IFERROR(__xludf.DUMMYFUNCTION("ARRAYFORMULA(REGEXEXTRACT(SPLIT(C928, ""&lt;br&gt;""), ""([가-힣A-Za-z]+)""))"),"재우")</f>
        <v>재우</v>
      </c>
      <c r="K928" s="26" t="str">
        <f>IFERROR(__xludf.DUMMYFUNCTION("""COMPUTED_VALUE"""),"규식")</f>
        <v>규식</v>
      </c>
      <c r="L928" s="26" t="str">
        <f>IFERROR(__xludf.DUMMYFUNCTION("""COMPUTED_VALUE"""),"뼈해장국")</f>
        <v>뼈해장국</v>
      </c>
      <c r="M928" s="26" t="str">
        <f>IFERROR(__xludf.DUMMYFUNCTION("""COMPUTED_VALUE"""),"따")</f>
        <v>따</v>
      </c>
      <c r="N928" s="26" t="str">
        <f>IFERROR(__xludf.DUMMYFUNCTION("ARRAYFORMULA(REGEXEXTRACT(SPLIT(E928, ""&lt;br&gt;""), ""([가-힣A-Za-z]+)""))"),"ACDC")</f>
        <v>ACDC</v>
      </c>
      <c r="O928" s="26" t="str">
        <f>IFERROR(__xludf.DUMMYFUNCTION("""COMPUTED_VALUE"""),"민우")</f>
        <v>민우</v>
      </c>
      <c r="P928" s="26" t="str">
        <f>IFERROR(__xludf.DUMMYFUNCTION("""COMPUTED_VALUE"""),"깡패")</f>
        <v>깡패</v>
      </c>
      <c r="Q928" s="26" t="str">
        <f>IFERROR(__xludf.DUMMYFUNCTION("""COMPUTED_VALUE"""),"강화")</f>
        <v>강화</v>
      </c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27" t="s">
        <v>3970</v>
      </c>
      <c r="B929" s="28" t="s">
        <v>3971</v>
      </c>
      <c r="C929" s="27" t="s">
        <v>3972</v>
      </c>
      <c r="D929" s="27">
        <v>5.0</v>
      </c>
      <c r="E929" s="27" t="s">
        <v>3973</v>
      </c>
      <c r="F929" s="27">
        <v>3.0</v>
      </c>
      <c r="G929" s="29">
        <v>45700.001388888886</v>
      </c>
      <c r="H929" s="27" t="s">
        <v>3405</v>
      </c>
      <c r="I929" s="18"/>
      <c r="J929" s="25" t="str">
        <f>IFERROR(__xludf.DUMMYFUNCTION("ARRAYFORMULA(REGEXEXTRACT(SPLIT(C929, ""&lt;br&gt;""), ""([가-힣A-Za-z]+)""))"),"노인")</f>
        <v>노인</v>
      </c>
      <c r="K929" s="26" t="str">
        <f>IFERROR(__xludf.DUMMYFUNCTION("""COMPUTED_VALUE"""),"신형만")</f>
        <v>신형만</v>
      </c>
      <c r="L929" s="26" t="str">
        <f>IFERROR(__xludf.DUMMYFUNCTION("""COMPUTED_VALUE"""),"깡패")</f>
        <v>깡패</v>
      </c>
      <c r="M929" s="26" t="str">
        <f>IFERROR(__xludf.DUMMYFUNCTION("""COMPUTED_VALUE"""),"참치")</f>
        <v>참치</v>
      </c>
      <c r="N929" s="26" t="str">
        <f>IFERROR(__xludf.DUMMYFUNCTION("ARRAYFORMULA(REGEXEXTRACT(SPLIT(E929, ""&lt;br&gt;""), ""([가-힣A-Za-z]+)""))"),"웅")</f>
        <v>웅</v>
      </c>
      <c r="O929" s="26" t="str">
        <f>IFERROR(__xludf.DUMMYFUNCTION("""COMPUTED_VALUE"""),"규식")</f>
        <v>규식</v>
      </c>
      <c r="P929" s="26" t="str">
        <f>IFERROR(__xludf.DUMMYFUNCTION("""COMPUTED_VALUE"""),"유망")</f>
        <v>유망</v>
      </c>
      <c r="Q929" s="26" t="str">
        <f>IFERROR(__xludf.DUMMYFUNCTION("""COMPUTED_VALUE"""),"따")</f>
        <v>따</v>
      </c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27" t="s">
        <v>3974</v>
      </c>
      <c r="B930" s="28" t="s">
        <v>3975</v>
      </c>
      <c r="C930" s="27" t="s">
        <v>3976</v>
      </c>
      <c r="D930" s="27">
        <v>5.0</v>
      </c>
      <c r="E930" s="27" t="s">
        <v>3977</v>
      </c>
      <c r="F930" s="27">
        <v>4.0</v>
      </c>
      <c r="G930" s="29">
        <v>45699.919444444444</v>
      </c>
      <c r="H930" s="27" t="s">
        <v>3405</v>
      </c>
      <c r="I930" s="18"/>
      <c r="J930" s="25" t="str">
        <f>IFERROR(__xludf.DUMMYFUNCTION("ARRAYFORMULA(REGEXEXTRACT(SPLIT(C930, ""&lt;br&gt;""), ""([가-힣A-Za-z]+)""))"),"참치")</f>
        <v>참치</v>
      </c>
      <c r="K930" s="26" t="str">
        <f>IFERROR(__xludf.DUMMYFUNCTION("""COMPUTED_VALUE"""),"노인")</f>
        <v>노인</v>
      </c>
      <c r="L930" s="26" t="str">
        <f>IFERROR(__xludf.DUMMYFUNCTION("""COMPUTED_VALUE"""),"신형만")</f>
        <v>신형만</v>
      </c>
      <c r="M930" s="26" t="str">
        <f>IFERROR(__xludf.DUMMYFUNCTION("""COMPUTED_VALUE"""),"규식")</f>
        <v>규식</v>
      </c>
      <c r="N930" s="26" t="str">
        <f>IFERROR(__xludf.DUMMYFUNCTION("ARRAYFORMULA(REGEXEXTRACT(SPLIT(E930, ""&lt;br&gt;""), ""([가-힣A-Za-z]+)""))"),"유망")</f>
        <v>유망</v>
      </c>
      <c r="O930" s="26" t="str">
        <f>IFERROR(__xludf.DUMMYFUNCTION("""COMPUTED_VALUE"""),"태식")</f>
        <v>태식</v>
      </c>
      <c r="P930" s="26" t="str">
        <f>IFERROR(__xludf.DUMMYFUNCTION("""COMPUTED_VALUE"""),"ACDC")</f>
        <v>ACDC</v>
      </c>
      <c r="Q930" s="26" t="str">
        <f>IFERROR(__xludf.DUMMYFUNCTION("""COMPUTED_VALUE"""),"깡패")</f>
        <v>깡패</v>
      </c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27" t="s">
        <v>3978</v>
      </c>
      <c r="B931" s="28" t="s">
        <v>3979</v>
      </c>
      <c r="C931" s="27" t="s">
        <v>3980</v>
      </c>
      <c r="D931" s="27">
        <v>5.0</v>
      </c>
      <c r="E931" s="27" t="s">
        <v>3981</v>
      </c>
      <c r="F931" s="27">
        <v>1.0</v>
      </c>
      <c r="G931" s="29">
        <v>45699.87569444445</v>
      </c>
      <c r="H931" s="27" t="s">
        <v>3405</v>
      </c>
      <c r="I931" s="18"/>
      <c r="J931" s="25" t="str">
        <f>IFERROR(__xludf.DUMMYFUNCTION("ARRAYFORMULA(REGEXEXTRACT(SPLIT(C931, ""&lt;br&gt;""), ""([가-힣A-Za-z]+)""))"),"참치")</f>
        <v>참치</v>
      </c>
      <c r="K931" s="26" t="str">
        <f>IFERROR(__xludf.DUMMYFUNCTION("""COMPUTED_VALUE"""),"신형만")</f>
        <v>신형만</v>
      </c>
      <c r="L931" s="26" t="str">
        <f>IFERROR(__xludf.DUMMYFUNCTION("""COMPUTED_VALUE"""),"깡패")</f>
        <v>깡패</v>
      </c>
      <c r="M931" s="26" t="str">
        <f>IFERROR(__xludf.DUMMYFUNCTION("""COMPUTED_VALUE"""),"유망")</f>
        <v>유망</v>
      </c>
      <c r="N931" s="26" t="str">
        <f>IFERROR(__xludf.DUMMYFUNCTION("ARRAYFORMULA(REGEXEXTRACT(SPLIT(E931, ""&lt;br&gt;""), ""([가-힣A-Za-z]+)""))"),"ACDC")</f>
        <v>ACDC</v>
      </c>
      <c r="O931" s="26" t="str">
        <f>IFERROR(__xludf.DUMMYFUNCTION("""COMPUTED_VALUE"""),"규식")</f>
        <v>규식</v>
      </c>
      <c r="P931" s="26" t="str">
        <f>IFERROR(__xludf.DUMMYFUNCTION("""COMPUTED_VALUE"""),"태식")</f>
        <v>태식</v>
      </c>
      <c r="Q931" s="26" t="str">
        <f>IFERROR(__xludf.DUMMYFUNCTION("""COMPUTED_VALUE"""),"노인")</f>
        <v>노인</v>
      </c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27" t="s">
        <v>3982</v>
      </c>
      <c r="B932" s="28" t="s">
        <v>3983</v>
      </c>
      <c r="C932" s="27" t="s">
        <v>3984</v>
      </c>
      <c r="D932" s="27">
        <v>5.0</v>
      </c>
      <c r="E932" s="27" t="s">
        <v>3985</v>
      </c>
      <c r="F932" s="27">
        <v>3.0</v>
      </c>
      <c r="G932" s="29">
        <v>45699.86041666667</v>
      </c>
      <c r="H932" s="27" t="s">
        <v>3405</v>
      </c>
      <c r="I932" s="18"/>
      <c r="J932" s="25" t="str">
        <f>IFERROR(__xludf.DUMMYFUNCTION("ARRAYFORMULA(REGEXEXTRACT(SPLIT(C932, ""&lt;br&gt;""), ""([가-힣A-Za-z]+)""))"),"규식")</f>
        <v>규식</v>
      </c>
      <c r="K932" s="26" t="str">
        <f>IFERROR(__xludf.DUMMYFUNCTION("""COMPUTED_VALUE"""),"신형만")</f>
        <v>신형만</v>
      </c>
      <c r="L932" s="26" t="str">
        <f>IFERROR(__xludf.DUMMYFUNCTION("""COMPUTED_VALUE"""),"노인")</f>
        <v>노인</v>
      </c>
      <c r="M932" s="26" t="str">
        <f>IFERROR(__xludf.DUMMYFUNCTION("""COMPUTED_VALUE"""),"유망")</f>
        <v>유망</v>
      </c>
      <c r="N932" s="26" t="str">
        <f>IFERROR(__xludf.DUMMYFUNCTION("ARRAYFORMULA(REGEXEXTRACT(SPLIT(E932, ""&lt;br&gt;""), ""([가-힣A-Za-z]+)""))"),"ACDC")</f>
        <v>ACDC</v>
      </c>
      <c r="O932" s="26" t="str">
        <f>IFERROR(__xludf.DUMMYFUNCTION("""COMPUTED_VALUE"""),"깡패")</f>
        <v>깡패</v>
      </c>
      <c r="P932" s="26" t="str">
        <f>IFERROR(__xludf.DUMMYFUNCTION("""COMPUTED_VALUE"""),"태식")</f>
        <v>태식</v>
      </c>
      <c r="Q932" s="26" t="str">
        <f>IFERROR(__xludf.DUMMYFUNCTION("""COMPUTED_VALUE"""),"참치")</f>
        <v>참치</v>
      </c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27" t="s">
        <v>3986</v>
      </c>
      <c r="B933" s="28" t="s">
        <v>3987</v>
      </c>
      <c r="C933" s="27" t="s">
        <v>3988</v>
      </c>
      <c r="D933" s="27">
        <v>5.0</v>
      </c>
      <c r="E933" s="27" t="s">
        <v>3989</v>
      </c>
      <c r="F933" s="27">
        <v>3.0</v>
      </c>
      <c r="G933" s="29">
        <v>45699.01666666667</v>
      </c>
      <c r="H933" s="27" t="s">
        <v>3405</v>
      </c>
      <c r="I933" s="18"/>
      <c r="J933" s="25" t="str">
        <f>IFERROR(__xludf.DUMMYFUNCTION("ARRAYFORMULA(REGEXEXTRACT(SPLIT(C933, ""&lt;br&gt;""), ""([가-힣A-Za-z]+)""))"),"노인")</f>
        <v>노인</v>
      </c>
      <c r="K933" s="26" t="str">
        <f>IFERROR(__xludf.DUMMYFUNCTION("""COMPUTED_VALUE"""),"ACDC")</f>
        <v>ACDC</v>
      </c>
      <c r="L933" s="26" t="str">
        <f>IFERROR(__xludf.DUMMYFUNCTION("""COMPUTED_VALUE"""),"신형만")</f>
        <v>신형만</v>
      </c>
      <c r="M933" s="26" t="str">
        <f>IFERROR(__xludf.DUMMYFUNCTION("""COMPUTED_VALUE"""),"유망")</f>
        <v>유망</v>
      </c>
      <c r="N933" s="26" t="str">
        <f>IFERROR(__xludf.DUMMYFUNCTION("ARRAYFORMULA(REGEXEXTRACT(SPLIT(E933, ""&lt;br&gt;""), ""([가-힣A-Za-z]+)""))"),"태식")</f>
        <v>태식</v>
      </c>
      <c r="O933" s="26" t="str">
        <f>IFERROR(__xludf.DUMMYFUNCTION("""COMPUTED_VALUE"""),"깡패")</f>
        <v>깡패</v>
      </c>
      <c r="P933" s="26" t="str">
        <f>IFERROR(__xludf.DUMMYFUNCTION("""COMPUTED_VALUE"""),"따")</f>
        <v>따</v>
      </c>
      <c r="Q933" s="26" t="str">
        <f>IFERROR(__xludf.DUMMYFUNCTION("""COMPUTED_VALUE"""),"참치")</f>
        <v>참치</v>
      </c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27" t="s">
        <v>3990</v>
      </c>
      <c r="B934" s="28" t="s">
        <v>3991</v>
      </c>
      <c r="C934" s="27" t="s">
        <v>3992</v>
      </c>
      <c r="D934" s="27">
        <v>5.0</v>
      </c>
      <c r="E934" s="27" t="s">
        <v>3993</v>
      </c>
      <c r="F934" s="27">
        <v>3.0</v>
      </c>
      <c r="G934" s="29">
        <v>45698.995833333334</v>
      </c>
      <c r="H934" s="27" t="s">
        <v>3405</v>
      </c>
      <c r="I934" s="18"/>
      <c r="J934" s="25" t="str">
        <f>IFERROR(__xludf.DUMMYFUNCTION("ARRAYFORMULA(REGEXEXTRACT(SPLIT(C934, ""&lt;br&gt;""), ""([가-힣A-Za-z]+)""))"),"깡패")</f>
        <v>깡패</v>
      </c>
      <c r="K934" s="26" t="str">
        <f>IFERROR(__xludf.DUMMYFUNCTION("""COMPUTED_VALUE"""),"태식")</f>
        <v>태식</v>
      </c>
      <c r="L934" s="26" t="str">
        <f>IFERROR(__xludf.DUMMYFUNCTION("""COMPUTED_VALUE"""),"신형만")</f>
        <v>신형만</v>
      </c>
      <c r="M934" s="26" t="str">
        <f>IFERROR(__xludf.DUMMYFUNCTION("""COMPUTED_VALUE"""),"유망")</f>
        <v>유망</v>
      </c>
      <c r="N934" s="26" t="str">
        <f>IFERROR(__xludf.DUMMYFUNCTION("ARRAYFORMULA(REGEXEXTRACT(SPLIT(E934, ""&lt;br&gt;""), ""([가-힣A-Za-z]+)""))"),"참치")</f>
        <v>참치</v>
      </c>
      <c r="O934" s="26" t="str">
        <f>IFERROR(__xludf.DUMMYFUNCTION("""COMPUTED_VALUE"""),"따")</f>
        <v>따</v>
      </c>
      <c r="P934" s="26" t="str">
        <f>IFERROR(__xludf.DUMMYFUNCTION("""COMPUTED_VALUE"""),"ACDC")</f>
        <v>ACDC</v>
      </c>
      <c r="Q934" s="26" t="str">
        <f>IFERROR(__xludf.DUMMYFUNCTION("""COMPUTED_VALUE"""),"노인")</f>
        <v>노인</v>
      </c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27" t="s">
        <v>3994</v>
      </c>
      <c r="B935" s="28" t="s">
        <v>3995</v>
      </c>
      <c r="C935" s="27" t="s">
        <v>3996</v>
      </c>
      <c r="D935" s="27">
        <v>5.0</v>
      </c>
      <c r="E935" s="27" t="s">
        <v>3997</v>
      </c>
      <c r="F935" s="27">
        <v>0.0</v>
      </c>
      <c r="G935" s="29">
        <v>45698.96319444444</v>
      </c>
      <c r="H935" s="27" t="s">
        <v>3405</v>
      </c>
      <c r="I935" s="18"/>
      <c r="J935" s="25" t="str">
        <f>IFERROR(__xludf.DUMMYFUNCTION("ARRAYFORMULA(REGEXEXTRACT(SPLIT(C935, ""&lt;br&gt;""), ""([가-힣A-Za-z]+)""))"),"ACDC")</f>
        <v>ACDC</v>
      </c>
      <c r="K935" s="26" t="str">
        <f>IFERROR(__xludf.DUMMYFUNCTION("""COMPUTED_VALUE"""),"깡패")</f>
        <v>깡패</v>
      </c>
      <c r="L935" s="26" t="str">
        <f>IFERROR(__xludf.DUMMYFUNCTION("""COMPUTED_VALUE"""),"유망")</f>
        <v>유망</v>
      </c>
      <c r="M935" s="26" t="str">
        <f>IFERROR(__xludf.DUMMYFUNCTION("""COMPUTED_VALUE"""),"노인")</f>
        <v>노인</v>
      </c>
      <c r="N935" s="26" t="str">
        <f>IFERROR(__xludf.DUMMYFUNCTION("ARRAYFORMULA(REGEXEXTRACT(SPLIT(E935, ""&lt;br&gt;""), ""([가-힣A-Za-z]+)""))"),"태식")</f>
        <v>태식</v>
      </c>
      <c r="O935" s="26" t="str">
        <f>IFERROR(__xludf.DUMMYFUNCTION("""COMPUTED_VALUE"""),"신형만")</f>
        <v>신형만</v>
      </c>
      <c r="P935" s="26" t="str">
        <f>IFERROR(__xludf.DUMMYFUNCTION("""COMPUTED_VALUE"""),"참치")</f>
        <v>참치</v>
      </c>
      <c r="Q935" s="26" t="str">
        <f>IFERROR(__xludf.DUMMYFUNCTION("""COMPUTED_VALUE"""),"전투쥐")</f>
        <v>전투쥐</v>
      </c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27" t="s">
        <v>3998</v>
      </c>
      <c r="B936" s="28" t="s">
        <v>3999</v>
      </c>
      <c r="C936" s="27" t="s">
        <v>4000</v>
      </c>
      <c r="D936" s="27">
        <v>5.0</v>
      </c>
      <c r="E936" s="27" t="s">
        <v>4001</v>
      </c>
      <c r="F936" s="27">
        <v>4.0</v>
      </c>
      <c r="G936" s="29">
        <v>45698.94861111111</v>
      </c>
      <c r="H936" s="27" t="s">
        <v>3405</v>
      </c>
      <c r="I936" s="18"/>
      <c r="J936" s="25" t="str">
        <f>IFERROR(__xludf.DUMMYFUNCTION("ARRAYFORMULA(REGEXEXTRACT(SPLIT(C936, ""&lt;br&gt;""), ""([가-힣A-Za-z]+)""))"),"ACDC")</f>
        <v>ACDC</v>
      </c>
      <c r="K936" s="26" t="str">
        <f>IFERROR(__xludf.DUMMYFUNCTION("""COMPUTED_VALUE"""),"깡패")</f>
        <v>깡패</v>
      </c>
      <c r="L936" s="26" t="str">
        <f>IFERROR(__xludf.DUMMYFUNCTION("""COMPUTED_VALUE"""),"노인")</f>
        <v>노인</v>
      </c>
      <c r="M936" s="26" t="str">
        <f>IFERROR(__xludf.DUMMYFUNCTION("""COMPUTED_VALUE"""),"한메")</f>
        <v>한메</v>
      </c>
      <c r="N936" s="26" t="str">
        <f>IFERROR(__xludf.DUMMYFUNCTION("ARRAYFORMULA(REGEXEXTRACT(SPLIT(E936, ""&lt;br&gt;""), ""([가-힣A-Za-z]+)""))"),"재우")</f>
        <v>재우</v>
      </c>
      <c r="O936" s="26" t="str">
        <f>IFERROR(__xludf.DUMMYFUNCTION("""COMPUTED_VALUE"""),"태식")</f>
        <v>태식</v>
      </c>
      <c r="P936" s="26" t="str">
        <f>IFERROR(__xludf.DUMMYFUNCTION("""COMPUTED_VALUE"""),"신형만")</f>
        <v>신형만</v>
      </c>
      <c r="Q936" s="26" t="str">
        <f>IFERROR(__xludf.DUMMYFUNCTION("""COMPUTED_VALUE"""),"전투쥐")</f>
        <v>전투쥐</v>
      </c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27" t="s">
        <v>4002</v>
      </c>
      <c r="B937" s="28" t="s">
        <v>4003</v>
      </c>
      <c r="C937" s="27" t="s">
        <v>4004</v>
      </c>
      <c r="D937" s="27">
        <v>5.0</v>
      </c>
      <c r="E937" s="27" t="s">
        <v>4005</v>
      </c>
      <c r="F937" s="27">
        <v>2.0</v>
      </c>
      <c r="G937" s="29">
        <v>45698.919444444444</v>
      </c>
      <c r="H937" s="27" t="s">
        <v>3405</v>
      </c>
      <c r="I937" s="18"/>
      <c r="J937" s="25" t="str">
        <f>IFERROR(__xludf.DUMMYFUNCTION("ARRAYFORMULA(REGEXEXTRACT(SPLIT(C937, ""&lt;br&gt;""), ""([가-힣A-Za-z]+)""))"),"노인")</f>
        <v>노인</v>
      </c>
      <c r="K937" s="26" t="str">
        <f>IFERROR(__xludf.DUMMYFUNCTION("""COMPUTED_VALUE"""),"신형만")</f>
        <v>신형만</v>
      </c>
      <c r="L937" s="26" t="str">
        <f>IFERROR(__xludf.DUMMYFUNCTION("""COMPUTED_VALUE"""),"한메")</f>
        <v>한메</v>
      </c>
      <c r="M937" s="26" t="str">
        <f>IFERROR(__xludf.DUMMYFUNCTION("""COMPUTED_VALUE"""),"재우")</f>
        <v>재우</v>
      </c>
      <c r="N937" s="26" t="str">
        <f>IFERROR(__xludf.DUMMYFUNCTION("ARRAYFORMULA(REGEXEXTRACT(SPLIT(E937, ""&lt;br&gt;""), ""([가-힣A-Za-z]+)""))"),"태식")</f>
        <v>태식</v>
      </c>
      <c r="O937" s="26" t="str">
        <f>IFERROR(__xludf.DUMMYFUNCTION("""COMPUTED_VALUE"""),"ACDC")</f>
        <v>ACDC</v>
      </c>
      <c r="P937" s="26" t="str">
        <f>IFERROR(__xludf.DUMMYFUNCTION("""COMPUTED_VALUE"""),"깡패")</f>
        <v>깡패</v>
      </c>
      <c r="Q937" s="26" t="str">
        <f>IFERROR(__xludf.DUMMYFUNCTION("""COMPUTED_VALUE"""),"전투쥐")</f>
        <v>전투쥐</v>
      </c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27" t="s">
        <v>4006</v>
      </c>
      <c r="B938" s="28" t="s">
        <v>4007</v>
      </c>
      <c r="C938" s="27" t="s">
        <v>4008</v>
      </c>
      <c r="D938" s="27">
        <v>5.0</v>
      </c>
      <c r="E938" s="27" t="s">
        <v>4009</v>
      </c>
      <c r="F938" s="27">
        <v>2.0</v>
      </c>
      <c r="G938" s="29">
        <v>45698.89861111111</v>
      </c>
      <c r="H938" s="27" t="s">
        <v>3405</v>
      </c>
      <c r="I938" s="18"/>
      <c r="J938" s="25" t="str">
        <f>IFERROR(__xludf.DUMMYFUNCTION("ARRAYFORMULA(REGEXEXTRACT(SPLIT(C938, ""&lt;br&gt;""), ""([가-힣A-Za-z]+)""))"),"ACDC")</f>
        <v>ACDC</v>
      </c>
      <c r="K938" s="26" t="str">
        <f>IFERROR(__xludf.DUMMYFUNCTION("""COMPUTED_VALUE"""),"재우")</f>
        <v>재우</v>
      </c>
      <c r="L938" s="26" t="str">
        <f>IFERROR(__xludf.DUMMYFUNCTION("""COMPUTED_VALUE"""),"테리")</f>
        <v>테리</v>
      </c>
      <c r="M938" s="26" t="str">
        <f>IFERROR(__xludf.DUMMYFUNCTION("""COMPUTED_VALUE"""),"신형만")</f>
        <v>신형만</v>
      </c>
      <c r="N938" s="26" t="str">
        <f>IFERROR(__xludf.DUMMYFUNCTION("ARRAYFORMULA(REGEXEXTRACT(SPLIT(E938, ""&lt;br&gt;""), ""([가-힣A-Za-z]+)""))"),"깡패")</f>
        <v>깡패</v>
      </c>
      <c r="O938" s="26" t="str">
        <f>IFERROR(__xludf.DUMMYFUNCTION("""COMPUTED_VALUE"""),"노인")</f>
        <v>노인</v>
      </c>
      <c r="P938" s="26" t="str">
        <f>IFERROR(__xludf.DUMMYFUNCTION("""COMPUTED_VALUE"""),"한메")</f>
        <v>한메</v>
      </c>
      <c r="Q938" s="26" t="str">
        <f>IFERROR(__xludf.DUMMYFUNCTION("""COMPUTED_VALUE"""),"전투쥐")</f>
        <v>전투쥐</v>
      </c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27" t="s">
        <v>4010</v>
      </c>
      <c r="B939" s="28" t="s">
        <v>4011</v>
      </c>
      <c r="C939" s="27" t="s">
        <v>4012</v>
      </c>
      <c r="D939" s="27">
        <v>5.0</v>
      </c>
      <c r="E939" s="27" t="s">
        <v>4013</v>
      </c>
      <c r="F939" s="27">
        <v>2.0</v>
      </c>
      <c r="G939" s="29">
        <v>45698.87708333333</v>
      </c>
      <c r="H939" s="27" t="s">
        <v>3405</v>
      </c>
      <c r="I939" s="18"/>
      <c r="J939" s="25" t="str">
        <f>IFERROR(__xludf.DUMMYFUNCTION("ARRAYFORMULA(REGEXEXTRACT(SPLIT(C939, ""&lt;br&gt;""), ""([가-힣A-Za-z]+)""))"),"테리")</f>
        <v>테리</v>
      </c>
      <c r="K939" s="26" t="str">
        <f>IFERROR(__xludf.DUMMYFUNCTION("""COMPUTED_VALUE"""),"깡패")</f>
        <v>깡패</v>
      </c>
      <c r="L939" s="26" t="str">
        <f>IFERROR(__xludf.DUMMYFUNCTION("""COMPUTED_VALUE"""),"재우")</f>
        <v>재우</v>
      </c>
      <c r="M939" s="26" t="str">
        <f>IFERROR(__xludf.DUMMYFUNCTION("""COMPUTED_VALUE"""),"한메")</f>
        <v>한메</v>
      </c>
      <c r="N939" s="26" t="str">
        <f>IFERROR(__xludf.DUMMYFUNCTION("ARRAYFORMULA(REGEXEXTRACT(SPLIT(E939, ""&lt;br&gt;""), ""([가-힣A-Za-z]+)""))"),"전투쥐")</f>
        <v>전투쥐</v>
      </c>
      <c r="O939" s="26" t="str">
        <f>IFERROR(__xludf.DUMMYFUNCTION("""COMPUTED_VALUE"""),"ACDC")</f>
        <v>ACDC</v>
      </c>
      <c r="P939" s="26" t="str">
        <f>IFERROR(__xludf.DUMMYFUNCTION("""COMPUTED_VALUE"""),"신형만")</f>
        <v>신형만</v>
      </c>
      <c r="Q939" s="26" t="str">
        <f>IFERROR(__xludf.DUMMYFUNCTION("""COMPUTED_VALUE"""),"노인")</f>
        <v>노인</v>
      </c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27" t="s">
        <v>4014</v>
      </c>
      <c r="B940" s="28" t="s">
        <v>4015</v>
      </c>
      <c r="C940" s="27" t="s">
        <v>4016</v>
      </c>
      <c r="D940" s="27">
        <v>5.0</v>
      </c>
      <c r="E940" s="27" t="s">
        <v>4017</v>
      </c>
      <c r="F940" s="27">
        <v>2.0</v>
      </c>
      <c r="G940" s="29">
        <v>45698.85902777778</v>
      </c>
      <c r="H940" s="27" t="s">
        <v>3405</v>
      </c>
      <c r="I940" s="18"/>
      <c r="J940" s="25" t="str">
        <f>IFERROR(__xludf.DUMMYFUNCTION("ARRAYFORMULA(REGEXEXTRACT(SPLIT(C940, ""&lt;br&gt;""), ""([가-힣A-Za-z]+)""))"),"노인")</f>
        <v>노인</v>
      </c>
      <c r="K940" s="26" t="str">
        <f>IFERROR(__xludf.DUMMYFUNCTION("""COMPUTED_VALUE"""),"재우")</f>
        <v>재우</v>
      </c>
      <c r="L940" s="26" t="str">
        <f>IFERROR(__xludf.DUMMYFUNCTION("""COMPUTED_VALUE"""),"테리")</f>
        <v>테리</v>
      </c>
      <c r="M940" s="26" t="str">
        <f>IFERROR(__xludf.DUMMYFUNCTION("""COMPUTED_VALUE"""),"신형만")</f>
        <v>신형만</v>
      </c>
      <c r="N940" s="26" t="str">
        <f>IFERROR(__xludf.DUMMYFUNCTION("ARRAYFORMULA(REGEXEXTRACT(SPLIT(E940, ""&lt;br&gt;""), ""([가-힣A-Za-z]+)""))"),"전투쥐")</f>
        <v>전투쥐</v>
      </c>
      <c r="O940" s="26" t="str">
        <f>IFERROR(__xludf.DUMMYFUNCTION("""COMPUTED_VALUE"""),"ACDC")</f>
        <v>ACDC</v>
      </c>
      <c r="P940" s="26" t="str">
        <f>IFERROR(__xludf.DUMMYFUNCTION("""COMPUTED_VALUE"""),"깡패")</f>
        <v>깡패</v>
      </c>
      <c r="Q940" s="26" t="str">
        <f>IFERROR(__xludf.DUMMYFUNCTION("""COMPUTED_VALUE"""),"한메")</f>
        <v>한메</v>
      </c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27" t="s">
        <v>4018</v>
      </c>
      <c r="B941" s="28" t="s">
        <v>4019</v>
      </c>
      <c r="C941" s="27" t="s">
        <v>4020</v>
      </c>
      <c r="D941" s="27">
        <v>5.0</v>
      </c>
      <c r="E941" s="27" t="s">
        <v>4021</v>
      </c>
      <c r="F941" s="27">
        <v>1.0</v>
      </c>
      <c r="G941" s="29">
        <v>45695.77638888889</v>
      </c>
      <c r="H941" s="27" t="s">
        <v>3405</v>
      </c>
      <c r="I941" s="18"/>
      <c r="J941" s="25" t="str">
        <f>IFERROR(__xludf.DUMMYFUNCTION("ARRAYFORMULA(REGEXEXTRACT(SPLIT(C941, ""&lt;br&gt;""), ""([가-힣A-Za-z]+)""))"),"필찌")</f>
        <v>필찌</v>
      </c>
      <c r="K941" s="26" t="str">
        <f>IFERROR(__xludf.DUMMYFUNCTION("""COMPUTED_VALUE"""),"테리")</f>
        <v>테리</v>
      </c>
      <c r="L941" s="26" t="str">
        <f>IFERROR(__xludf.DUMMYFUNCTION("""COMPUTED_VALUE"""),"민우")</f>
        <v>민우</v>
      </c>
      <c r="M941" s="26" t="str">
        <f>IFERROR(__xludf.DUMMYFUNCTION("""COMPUTED_VALUE"""),"깡패")</f>
        <v>깡패</v>
      </c>
      <c r="N941" s="26" t="str">
        <f>IFERROR(__xludf.DUMMYFUNCTION("ARRAYFORMULA(REGEXEXTRACT(SPLIT(E941, ""&lt;br&gt;""), ""([가-힣A-Za-z]+)""))"),"ACDC")</f>
        <v>ACDC</v>
      </c>
      <c r="O941" s="26" t="str">
        <f>IFERROR(__xludf.DUMMYFUNCTION("""COMPUTED_VALUE"""),"따")</f>
        <v>따</v>
      </c>
      <c r="P941" s="26" t="str">
        <f>IFERROR(__xludf.DUMMYFUNCTION("""COMPUTED_VALUE"""),"한메")</f>
        <v>한메</v>
      </c>
      <c r="Q941" s="26" t="str">
        <f>IFERROR(__xludf.DUMMYFUNCTION("""COMPUTED_VALUE"""),"태식")</f>
        <v>태식</v>
      </c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27" t="s">
        <v>4022</v>
      </c>
      <c r="B942" s="28" t="s">
        <v>4023</v>
      </c>
      <c r="C942" s="27" t="s">
        <v>4024</v>
      </c>
      <c r="D942" s="27">
        <v>5.0</v>
      </c>
      <c r="E942" s="27" t="s">
        <v>4025</v>
      </c>
      <c r="F942" s="27">
        <v>0.0</v>
      </c>
      <c r="G942" s="29">
        <v>45695.75763888889</v>
      </c>
      <c r="H942" s="27" t="s">
        <v>3405</v>
      </c>
      <c r="I942" s="18"/>
      <c r="J942" s="25" t="str">
        <f>IFERROR(__xludf.DUMMYFUNCTION("ARRAYFORMULA(REGEXEXTRACT(SPLIT(C942, ""&lt;br&gt;""), ""([가-힣A-Za-z]+)""))"),"한메")</f>
        <v>한메</v>
      </c>
      <c r="K942" s="26" t="str">
        <f>IFERROR(__xludf.DUMMYFUNCTION("""COMPUTED_VALUE"""),"태식")</f>
        <v>태식</v>
      </c>
      <c r="L942" s="26" t="str">
        <f>IFERROR(__xludf.DUMMYFUNCTION("""COMPUTED_VALUE"""),"테리")</f>
        <v>테리</v>
      </c>
      <c r="M942" s="26" t="str">
        <f>IFERROR(__xludf.DUMMYFUNCTION("""COMPUTED_VALUE"""),"깡패")</f>
        <v>깡패</v>
      </c>
      <c r="N942" s="26" t="str">
        <f>IFERROR(__xludf.DUMMYFUNCTION("ARRAYFORMULA(REGEXEXTRACT(SPLIT(E942, ""&lt;br&gt;""), ""([가-힣A-Za-z]+)""))"),"필찌")</f>
        <v>필찌</v>
      </c>
      <c r="O942" s="26" t="str">
        <f>IFERROR(__xludf.DUMMYFUNCTION("""COMPUTED_VALUE"""),"ACDC")</f>
        <v>ACDC</v>
      </c>
      <c r="P942" s="26" t="str">
        <f>IFERROR(__xludf.DUMMYFUNCTION("""COMPUTED_VALUE"""),"따")</f>
        <v>따</v>
      </c>
      <c r="Q942" s="26" t="str">
        <f>IFERROR(__xludf.DUMMYFUNCTION("""COMPUTED_VALUE"""),"민우")</f>
        <v>민우</v>
      </c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27" t="s">
        <v>4026</v>
      </c>
      <c r="B943" s="28" t="s">
        <v>4027</v>
      </c>
      <c r="C943" s="27" t="s">
        <v>4028</v>
      </c>
      <c r="D943" s="27">
        <v>5.0</v>
      </c>
      <c r="E943" s="27" t="s">
        <v>4029</v>
      </c>
      <c r="F943" s="27">
        <v>0.0</v>
      </c>
      <c r="G943" s="29">
        <v>45695.725694444445</v>
      </c>
      <c r="H943" s="27" t="s">
        <v>3405</v>
      </c>
      <c r="I943" s="18"/>
      <c r="J943" s="25" t="str">
        <f>IFERROR(__xludf.DUMMYFUNCTION("ARRAYFORMULA(REGEXEXTRACT(SPLIT(C943, ""&lt;br&gt;""), ""([가-힣A-Za-z]+)""))"),"깡패")</f>
        <v>깡패</v>
      </c>
      <c r="K943" s="26" t="str">
        <f>IFERROR(__xludf.DUMMYFUNCTION("""COMPUTED_VALUE"""),"테리")</f>
        <v>테리</v>
      </c>
      <c r="L943" s="26" t="str">
        <f>IFERROR(__xludf.DUMMYFUNCTION("""COMPUTED_VALUE"""),"ACDC")</f>
        <v>ACDC</v>
      </c>
      <c r="M943" s="26" t="str">
        <f>IFERROR(__xludf.DUMMYFUNCTION("""COMPUTED_VALUE"""),"민우")</f>
        <v>민우</v>
      </c>
      <c r="N943" s="26" t="str">
        <f>IFERROR(__xludf.DUMMYFUNCTION("ARRAYFORMULA(REGEXEXTRACT(SPLIT(E943, ""&lt;br&gt;""), ""([가-힣A-Za-z]+)""))"),"유즈")</f>
        <v>유즈</v>
      </c>
      <c r="O943" s="26" t="str">
        <f>IFERROR(__xludf.DUMMYFUNCTION("""COMPUTED_VALUE"""),"노인")</f>
        <v>노인</v>
      </c>
      <c r="P943" s="26" t="str">
        <f>IFERROR(__xludf.DUMMYFUNCTION("""COMPUTED_VALUE"""),"따")</f>
        <v>따</v>
      </c>
      <c r="Q943" s="26" t="str">
        <f>IFERROR(__xludf.DUMMYFUNCTION("""COMPUTED_VALUE"""),"한메")</f>
        <v>한메</v>
      </c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27" t="s">
        <v>4030</v>
      </c>
      <c r="B944" s="28" t="s">
        <v>4031</v>
      </c>
      <c r="C944" s="27" t="s">
        <v>4032</v>
      </c>
      <c r="D944" s="27">
        <v>5.0</v>
      </c>
      <c r="E944" s="27" t="s">
        <v>4033</v>
      </c>
      <c r="F944" s="27">
        <v>4.0</v>
      </c>
      <c r="G944" s="29">
        <v>45695.145833333336</v>
      </c>
      <c r="H944" s="27" t="s">
        <v>3405</v>
      </c>
      <c r="I944" s="18"/>
      <c r="J944" s="25" t="str">
        <f>IFERROR(__xludf.DUMMYFUNCTION("ARRAYFORMULA(REGEXEXTRACT(SPLIT(C944, ""&lt;br&gt;""), ""([가-힣A-Za-z]+)""))"),"유망")</f>
        <v>유망</v>
      </c>
      <c r="K944" s="26" t="str">
        <f>IFERROR(__xludf.DUMMYFUNCTION("""COMPUTED_VALUE"""),"테리")</f>
        <v>테리</v>
      </c>
      <c r="L944" s="26" t="str">
        <f>IFERROR(__xludf.DUMMYFUNCTION("""COMPUTED_VALUE"""),"ACDC")</f>
        <v>ACDC</v>
      </c>
      <c r="M944" s="26" t="str">
        <f>IFERROR(__xludf.DUMMYFUNCTION("""COMPUTED_VALUE"""),"따")</f>
        <v>따</v>
      </c>
      <c r="N944" s="26" t="str">
        <f>IFERROR(__xludf.DUMMYFUNCTION("ARRAYFORMULA(REGEXEXTRACT(SPLIT(E944, ""&lt;br&gt;""), ""([가-힣A-Za-z]+)""))"),"신형만")</f>
        <v>신형만</v>
      </c>
      <c r="O944" s="26" t="str">
        <f>IFERROR(__xludf.DUMMYFUNCTION("""COMPUTED_VALUE"""),"노인")</f>
        <v>노인</v>
      </c>
      <c r="P944" s="26" t="str">
        <f>IFERROR(__xludf.DUMMYFUNCTION("""COMPUTED_VALUE"""),"한메")</f>
        <v>한메</v>
      </c>
      <c r="Q944" s="26" t="str">
        <f>IFERROR(__xludf.DUMMYFUNCTION("""COMPUTED_VALUE"""),"깡패")</f>
        <v>깡패</v>
      </c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27" t="s">
        <v>4034</v>
      </c>
      <c r="B945" s="28" t="s">
        <v>4035</v>
      </c>
      <c r="C945" s="27" t="s">
        <v>4036</v>
      </c>
      <c r="D945" s="27">
        <v>5.0</v>
      </c>
      <c r="E945" s="27" t="s">
        <v>4037</v>
      </c>
      <c r="F945" s="27">
        <v>1.0</v>
      </c>
      <c r="G945" s="29">
        <v>45695.11111111111</v>
      </c>
      <c r="H945" s="27" t="s">
        <v>3405</v>
      </c>
      <c r="I945" s="18"/>
      <c r="J945" s="25" t="str">
        <f>IFERROR(__xludf.DUMMYFUNCTION("ARRAYFORMULA(REGEXEXTRACT(SPLIT(C945, ""&lt;br&gt;""), ""([가-힣A-Za-z]+)""))"),"신형만")</f>
        <v>신형만</v>
      </c>
      <c r="K945" s="26" t="str">
        <f>IFERROR(__xludf.DUMMYFUNCTION("""COMPUTED_VALUE"""),"깡패")</f>
        <v>깡패</v>
      </c>
      <c r="L945" s="26" t="str">
        <f>IFERROR(__xludf.DUMMYFUNCTION("""COMPUTED_VALUE"""),"ACDC")</f>
        <v>ACDC</v>
      </c>
      <c r="M945" s="26" t="str">
        <f>IFERROR(__xludf.DUMMYFUNCTION("""COMPUTED_VALUE"""),"따")</f>
        <v>따</v>
      </c>
      <c r="N945" s="26" t="str">
        <f>IFERROR(__xludf.DUMMYFUNCTION("ARRAYFORMULA(REGEXEXTRACT(SPLIT(E945, ""&lt;br&gt;""), ""([가-힣A-Za-z]+)""))"),"테리")</f>
        <v>테리</v>
      </c>
      <c r="O945" s="26" t="str">
        <f>IFERROR(__xludf.DUMMYFUNCTION("""COMPUTED_VALUE"""),"노인")</f>
        <v>노인</v>
      </c>
      <c r="P945" s="26" t="str">
        <f>IFERROR(__xludf.DUMMYFUNCTION("""COMPUTED_VALUE"""),"한메")</f>
        <v>한메</v>
      </c>
      <c r="Q945" s="26" t="str">
        <f>IFERROR(__xludf.DUMMYFUNCTION("""COMPUTED_VALUE"""),"박서")</f>
        <v>박서</v>
      </c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27" t="s">
        <v>4038</v>
      </c>
      <c r="B946" s="28" t="s">
        <v>4039</v>
      </c>
      <c r="C946" s="27" t="s">
        <v>4040</v>
      </c>
      <c r="D946" s="27">
        <v>5.0</v>
      </c>
      <c r="E946" s="27" t="s">
        <v>4041</v>
      </c>
      <c r="F946" s="27">
        <v>1.0</v>
      </c>
      <c r="G946" s="29">
        <v>45694.913194444445</v>
      </c>
      <c r="H946" s="27" t="s">
        <v>3405</v>
      </c>
      <c r="I946" s="18"/>
      <c r="J946" s="25" t="str">
        <f>IFERROR(__xludf.DUMMYFUNCTION("ARRAYFORMULA(REGEXEXTRACT(SPLIT(C946, ""&lt;br&gt;""), ""([가-힣A-Za-z]+)""))"),"테리")</f>
        <v>테리</v>
      </c>
      <c r="K946" s="26" t="str">
        <f>IFERROR(__xludf.DUMMYFUNCTION("""COMPUTED_VALUE"""),"노인")</f>
        <v>노인</v>
      </c>
      <c r="L946" s="26" t="str">
        <f>IFERROR(__xludf.DUMMYFUNCTION("""COMPUTED_VALUE"""),"깡패")</f>
        <v>깡패</v>
      </c>
      <c r="M946" s="26" t="str">
        <f>IFERROR(__xludf.DUMMYFUNCTION("""COMPUTED_VALUE"""),"한메")</f>
        <v>한메</v>
      </c>
      <c r="N946" s="26" t="str">
        <f>IFERROR(__xludf.DUMMYFUNCTION("ARRAYFORMULA(REGEXEXTRACT(SPLIT(E946, ""&lt;br&gt;""), ""([가-힣A-Za-z]+)""))"),"ACDC")</f>
        <v>ACDC</v>
      </c>
      <c r="O946" s="26" t="str">
        <f>IFERROR(__xludf.DUMMYFUNCTION("""COMPUTED_VALUE"""),"신형만")</f>
        <v>신형만</v>
      </c>
      <c r="P946" s="26" t="str">
        <f>IFERROR(__xludf.DUMMYFUNCTION("""COMPUTED_VALUE"""),"전투쥐")</f>
        <v>전투쥐</v>
      </c>
      <c r="Q946" s="26" t="str">
        <f>IFERROR(__xludf.DUMMYFUNCTION("""COMPUTED_VALUE"""),"태식")</f>
        <v>태식</v>
      </c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27" t="s">
        <v>4042</v>
      </c>
      <c r="B947" s="28" t="s">
        <v>4043</v>
      </c>
      <c r="C947" s="27" t="s">
        <v>4044</v>
      </c>
      <c r="D947" s="27">
        <v>5.0</v>
      </c>
      <c r="E947" s="27" t="s">
        <v>4045</v>
      </c>
      <c r="F947" s="27">
        <v>0.0</v>
      </c>
      <c r="G947" s="29">
        <v>45694.88680555556</v>
      </c>
      <c r="H947" s="27" t="s">
        <v>3405</v>
      </c>
      <c r="I947" s="18"/>
      <c r="J947" s="25" t="str">
        <f>IFERROR(__xludf.DUMMYFUNCTION("ARRAYFORMULA(REGEXEXTRACT(SPLIT(C947, ""&lt;br&gt;""), ""([가-힣A-Za-z]+)""))"),"깡패")</f>
        <v>깡패</v>
      </c>
      <c r="K947" s="26" t="str">
        <f>IFERROR(__xludf.DUMMYFUNCTION("""COMPUTED_VALUE"""),"테리")</f>
        <v>테리</v>
      </c>
      <c r="L947" s="26" t="str">
        <f>IFERROR(__xludf.DUMMYFUNCTION("""COMPUTED_VALUE"""),"태식")</f>
        <v>태식</v>
      </c>
      <c r="M947" s="26" t="str">
        <f>IFERROR(__xludf.DUMMYFUNCTION("""COMPUTED_VALUE"""),"신형만")</f>
        <v>신형만</v>
      </c>
      <c r="N947" s="26" t="str">
        <f>IFERROR(__xludf.DUMMYFUNCTION("ARRAYFORMULA(REGEXEXTRACT(SPLIT(E947, ""&lt;br&gt;""), ""([가-힣A-Za-z]+)""))"),"전투쥐")</f>
        <v>전투쥐</v>
      </c>
      <c r="O947" s="26" t="str">
        <f>IFERROR(__xludf.DUMMYFUNCTION("""COMPUTED_VALUE"""),"노인")</f>
        <v>노인</v>
      </c>
      <c r="P947" s="26" t="str">
        <f>IFERROR(__xludf.DUMMYFUNCTION("""COMPUTED_VALUE"""),"ACDC")</f>
        <v>ACDC</v>
      </c>
      <c r="Q947" s="26" t="str">
        <f>IFERROR(__xludf.DUMMYFUNCTION("""COMPUTED_VALUE"""),"한메")</f>
        <v>한메</v>
      </c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27" t="s">
        <v>4046</v>
      </c>
      <c r="B948" s="28" t="s">
        <v>4047</v>
      </c>
      <c r="C948" s="27" t="s">
        <v>4048</v>
      </c>
      <c r="D948" s="27">
        <v>5.0</v>
      </c>
      <c r="E948" s="27" t="s">
        <v>4049</v>
      </c>
      <c r="F948" s="27">
        <v>0.0</v>
      </c>
      <c r="G948" s="29">
        <v>45694.875</v>
      </c>
      <c r="H948" s="27" t="s">
        <v>3405</v>
      </c>
      <c r="I948" s="18"/>
      <c r="J948" s="25" t="str">
        <f>IFERROR(__xludf.DUMMYFUNCTION("ARRAYFORMULA(REGEXEXTRACT(SPLIT(C948, ""&lt;br&gt;""), ""([가-힣A-Za-z]+)""))"),"신형만")</f>
        <v>신형만</v>
      </c>
      <c r="K948" s="26" t="str">
        <f>IFERROR(__xludf.DUMMYFUNCTION("""COMPUTED_VALUE"""),"규식")</f>
        <v>규식</v>
      </c>
      <c r="L948" s="26" t="str">
        <f>IFERROR(__xludf.DUMMYFUNCTION("""COMPUTED_VALUE"""),"전투쥐")</f>
        <v>전투쥐</v>
      </c>
      <c r="M948" s="26" t="str">
        <f>IFERROR(__xludf.DUMMYFUNCTION("""COMPUTED_VALUE"""),"노인")</f>
        <v>노인</v>
      </c>
      <c r="N948" s="26" t="str">
        <f>IFERROR(__xludf.DUMMYFUNCTION("ARRAYFORMULA(REGEXEXTRACT(SPLIT(E948, ""&lt;br&gt;""), ""([가-힣A-Za-z]+)""))"),"테리")</f>
        <v>테리</v>
      </c>
      <c r="O948" s="26" t="str">
        <f>IFERROR(__xludf.DUMMYFUNCTION("""COMPUTED_VALUE"""),"ACDC")</f>
        <v>ACDC</v>
      </c>
      <c r="P948" s="26" t="str">
        <f>IFERROR(__xludf.DUMMYFUNCTION("""COMPUTED_VALUE"""),"한메")</f>
        <v>한메</v>
      </c>
      <c r="Q948" s="26" t="str">
        <f>IFERROR(__xludf.DUMMYFUNCTION("""COMPUTED_VALUE"""),"깡패")</f>
        <v>깡패</v>
      </c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27" t="s">
        <v>4050</v>
      </c>
      <c r="B949" s="28" t="s">
        <v>4051</v>
      </c>
      <c r="C949" s="27" t="s">
        <v>4052</v>
      </c>
      <c r="D949" s="27">
        <v>5.0</v>
      </c>
      <c r="E949" s="27" t="s">
        <v>4053</v>
      </c>
      <c r="F949" s="27">
        <v>1.0</v>
      </c>
      <c r="G949" s="29">
        <v>45694.85833333333</v>
      </c>
      <c r="H949" s="27" t="s">
        <v>3405</v>
      </c>
      <c r="I949" s="18"/>
      <c r="J949" s="25" t="str">
        <f>IFERROR(__xludf.DUMMYFUNCTION("ARRAYFORMULA(REGEXEXTRACT(SPLIT(C949, ""&lt;br&gt;""), ""([가-힣A-Za-z]+)""))"),"노인")</f>
        <v>노인</v>
      </c>
      <c r="K949" s="26" t="str">
        <f>IFERROR(__xludf.DUMMYFUNCTION("""COMPUTED_VALUE"""),"규식")</f>
        <v>규식</v>
      </c>
      <c r="L949" s="26" t="str">
        <f>IFERROR(__xludf.DUMMYFUNCTION("""COMPUTED_VALUE"""),"한메")</f>
        <v>한메</v>
      </c>
      <c r="M949" s="26" t="str">
        <f>IFERROR(__xludf.DUMMYFUNCTION("""COMPUTED_VALUE"""),"깡패")</f>
        <v>깡패</v>
      </c>
      <c r="N949" s="26" t="str">
        <f>IFERROR(__xludf.DUMMYFUNCTION("ARRAYFORMULA(REGEXEXTRACT(SPLIT(E949, ""&lt;br&gt;""), ""([가-힣A-Za-z]+)""))"),"신형만")</f>
        <v>신형만</v>
      </c>
      <c r="O949" s="26" t="str">
        <f>IFERROR(__xludf.DUMMYFUNCTION("""COMPUTED_VALUE"""),"ACDC")</f>
        <v>ACDC</v>
      </c>
      <c r="P949" s="26" t="str">
        <f>IFERROR(__xludf.DUMMYFUNCTION("""COMPUTED_VALUE"""),"테리")</f>
        <v>테리</v>
      </c>
      <c r="Q949" s="26" t="str">
        <f>IFERROR(__xludf.DUMMYFUNCTION("""COMPUTED_VALUE"""),"전투쥐")</f>
        <v>전투쥐</v>
      </c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27" t="s">
        <v>4054</v>
      </c>
      <c r="B950" s="28" t="s">
        <v>4055</v>
      </c>
      <c r="C950" s="27" t="s">
        <v>4056</v>
      </c>
      <c r="D950" s="27">
        <v>5.0</v>
      </c>
      <c r="E950" s="27" t="s">
        <v>4057</v>
      </c>
      <c r="F950" s="27">
        <v>1.0</v>
      </c>
      <c r="G950" s="29">
        <v>45694.14166666667</v>
      </c>
      <c r="H950" s="27" t="s">
        <v>3405</v>
      </c>
      <c r="I950" s="18"/>
      <c r="J950" s="25" t="str">
        <f>IFERROR(__xludf.DUMMYFUNCTION("ARRAYFORMULA(REGEXEXTRACT(SPLIT(C950, ""&lt;br&gt;""), ""([가-힣A-Za-z]+)""))"),"깡패")</f>
        <v>깡패</v>
      </c>
      <c r="K950" s="26" t="str">
        <f>IFERROR(__xludf.DUMMYFUNCTION("""COMPUTED_VALUE"""),"테리")</f>
        <v>테리</v>
      </c>
      <c r="L950" s="26" t="str">
        <f>IFERROR(__xludf.DUMMYFUNCTION("""COMPUTED_VALUE"""),"ACDC")</f>
        <v>ACDC</v>
      </c>
      <c r="M950" s="26" t="str">
        <f>IFERROR(__xludf.DUMMYFUNCTION("""COMPUTED_VALUE"""),"따")</f>
        <v>따</v>
      </c>
      <c r="N950" s="26" t="str">
        <f>IFERROR(__xludf.DUMMYFUNCTION("ARRAYFORMULA(REGEXEXTRACT(SPLIT(E950, ""&lt;br&gt;""), ""([가-힣A-Za-z]+)""))"),"신형만")</f>
        <v>신형만</v>
      </c>
      <c r="O950" s="26" t="str">
        <f>IFERROR(__xludf.DUMMYFUNCTION("""COMPUTED_VALUE"""),"노인")</f>
        <v>노인</v>
      </c>
      <c r="P950" s="26" t="str">
        <f>IFERROR(__xludf.DUMMYFUNCTION("""COMPUTED_VALUE"""),"민우")</f>
        <v>민우</v>
      </c>
      <c r="Q950" s="26" t="str">
        <f>IFERROR(__xludf.DUMMYFUNCTION("""COMPUTED_VALUE"""),"하리보")</f>
        <v>하리보</v>
      </c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27" t="s">
        <v>4058</v>
      </c>
      <c r="B951" s="28" t="s">
        <v>4059</v>
      </c>
      <c r="C951" s="27" t="s">
        <v>4060</v>
      </c>
      <c r="D951" s="27">
        <v>5.0</v>
      </c>
      <c r="E951" s="27" t="s">
        <v>4061</v>
      </c>
      <c r="F951" s="27">
        <v>2.0</v>
      </c>
      <c r="G951" s="29">
        <v>45694.12222222222</v>
      </c>
      <c r="H951" s="27" t="s">
        <v>3405</v>
      </c>
      <c r="I951" s="18"/>
      <c r="J951" s="25" t="str">
        <f>IFERROR(__xludf.DUMMYFUNCTION("ARRAYFORMULA(REGEXEXTRACT(SPLIT(C951, ""&lt;br&gt;""), ""([가-힣A-Za-z]+)""))"),"민우")</f>
        <v>민우</v>
      </c>
      <c r="K951" s="26" t="str">
        <f>IFERROR(__xludf.DUMMYFUNCTION("""COMPUTED_VALUE"""),"노인")</f>
        <v>노인</v>
      </c>
      <c r="L951" s="26" t="str">
        <f>IFERROR(__xludf.DUMMYFUNCTION("""COMPUTED_VALUE"""),"테리")</f>
        <v>테리</v>
      </c>
      <c r="M951" s="26" t="str">
        <f>IFERROR(__xludf.DUMMYFUNCTION("""COMPUTED_VALUE"""),"따")</f>
        <v>따</v>
      </c>
      <c r="N951" s="26" t="str">
        <f>IFERROR(__xludf.DUMMYFUNCTION("ARRAYFORMULA(REGEXEXTRACT(SPLIT(E951, ""&lt;br&gt;""), ""([가-힣A-Za-z]+)""))"),"ACDC")</f>
        <v>ACDC</v>
      </c>
      <c r="O951" s="26" t="str">
        <f>IFERROR(__xludf.DUMMYFUNCTION("""COMPUTED_VALUE"""),"깡패")</f>
        <v>깡패</v>
      </c>
      <c r="P951" s="26" t="str">
        <f>IFERROR(__xludf.DUMMYFUNCTION("""COMPUTED_VALUE"""),"신형만")</f>
        <v>신형만</v>
      </c>
      <c r="Q951" s="26" t="str">
        <f>IFERROR(__xludf.DUMMYFUNCTION("""COMPUTED_VALUE"""),"하리보")</f>
        <v>하리보</v>
      </c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27" t="s">
        <v>4062</v>
      </c>
      <c r="B952" s="28" t="s">
        <v>4063</v>
      </c>
      <c r="C952" s="27" t="s">
        <v>4064</v>
      </c>
      <c r="D952" s="27">
        <v>5.0</v>
      </c>
      <c r="E952" s="27" t="s">
        <v>4065</v>
      </c>
      <c r="F952" s="27">
        <v>4.0</v>
      </c>
      <c r="G952" s="29">
        <v>45694.0625</v>
      </c>
      <c r="H952" s="27" t="s">
        <v>3405</v>
      </c>
      <c r="I952" s="18"/>
      <c r="J952" s="25" t="str">
        <f>IFERROR(__xludf.DUMMYFUNCTION("ARRAYFORMULA(REGEXEXTRACT(SPLIT(C952, ""&lt;br&gt;""), ""([가-힣A-Za-z]+)""))"),"강화")</f>
        <v>강화</v>
      </c>
      <c r="K952" s="26" t="str">
        <f>IFERROR(__xludf.DUMMYFUNCTION("""COMPUTED_VALUE"""),"따")</f>
        <v>따</v>
      </c>
      <c r="L952" s="26" t="str">
        <f>IFERROR(__xludf.DUMMYFUNCTION("""COMPUTED_VALUE"""),"한메")</f>
        <v>한메</v>
      </c>
      <c r="M952" s="26" t="str">
        <f>IFERROR(__xludf.DUMMYFUNCTION("""COMPUTED_VALUE"""),"유망")</f>
        <v>유망</v>
      </c>
      <c r="N952" s="26" t="str">
        <f>IFERROR(__xludf.DUMMYFUNCTION("ARRAYFORMULA(REGEXEXTRACT(SPLIT(E952, ""&lt;br&gt;""), ""([가-힣A-Za-z]+)""))"),"깡패")</f>
        <v>깡패</v>
      </c>
      <c r="O952" s="26" t="str">
        <f>IFERROR(__xludf.DUMMYFUNCTION("""COMPUTED_VALUE"""),"노인")</f>
        <v>노인</v>
      </c>
      <c r="P952" s="26" t="str">
        <f>IFERROR(__xludf.DUMMYFUNCTION("""COMPUTED_VALUE"""),"신형만")</f>
        <v>신형만</v>
      </c>
      <c r="Q952" s="26" t="str">
        <f>IFERROR(__xludf.DUMMYFUNCTION("""COMPUTED_VALUE"""),"ACDC")</f>
        <v>ACDC</v>
      </c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27" t="s">
        <v>4066</v>
      </c>
      <c r="B953" s="28" t="s">
        <v>4067</v>
      </c>
      <c r="C953" s="27" t="s">
        <v>4068</v>
      </c>
      <c r="D953" s="27">
        <v>5.0</v>
      </c>
      <c r="E953" s="27" t="s">
        <v>4069</v>
      </c>
      <c r="F953" s="27">
        <v>4.0</v>
      </c>
      <c r="G953" s="29">
        <v>45694.03125</v>
      </c>
      <c r="H953" s="27" t="s">
        <v>3405</v>
      </c>
      <c r="I953" s="18"/>
      <c r="J953" s="25" t="str">
        <f>IFERROR(__xludf.DUMMYFUNCTION("ARRAYFORMULA(REGEXEXTRACT(SPLIT(C953, ""&lt;br&gt;""), ""([가-힣A-Za-z]+)""))"),"유망")</f>
        <v>유망</v>
      </c>
      <c r="K953" s="26" t="str">
        <f>IFERROR(__xludf.DUMMYFUNCTION("""COMPUTED_VALUE"""),"깡패")</f>
        <v>깡패</v>
      </c>
      <c r="L953" s="26" t="str">
        <f>IFERROR(__xludf.DUMMYFUNCTION("""COMPUTED_VALUE"""),"원")</f>
        <v>원</v>
      </c>
      <c r="M953" s="26" t="str">
        <f>IFERROR(__xludf.DUMMYFUNCTION("""COMPUTED_VALUE"""),"따")</f>
        <v>따</v>
      </c>
      <c r="N953" s="26" t="str">
        <f>IFERROR(__xludf.DUMMYFUNCTION("ARRAYFORMULA(REGEXEXTRACT(SPLIT(E953, ""&lt;br&gt;""), ""([가-힣A-Za-z]+)""))"),"신형만")</f>
        <v>신형만</v>
      </c>
      <c r="O953" s="26" t="str">
        <f>IFERROR(__xludf.DUMMYFUNCTION("""COMPUTED_VALUE"""),"노인")</f>
        <v>노인</v>
      </c>
      <c r="P953" s="26" t="str">
        <f>IFERROR(__xludf.DUMMYFUNCTION("""COMPUTED_VALUE"""),"테리")</f>
        <v>테리</v>
      </c>
      <c r="Q953" s="26" t="str">
        <f>IFERROR(__xludf.DUMMYFUNCTION("""COMPUTED_VALUE"""),"ACDC")</f>
        <v>ACDC</v>
      </c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27" t="s">
        <v>4070</v>
      </c>
      <c r="B954" s="28" t="s">
        <v>4071</v>
      </c>
      <c r="C954" s="27" t="s">
        <v>4072</v>
      </c>
      <c r="D954" s="27">
        <v>5.0</v>
      </c>
      <c r="E954" s="27" t="s">
        <v>4073</v>
      </c>
      <c r="F954" s="27">
        <v>2.0</v>
      </c>
      <c r="G954" s="29">
        <v>45694.00277777778</v>
      </c>
      <c r="H954" s="27" t="s">
        <v>3405</v>
      </c>
      <c r="I954" s="18"/>
      <c r="J954" s="25" t="str">
        <f>IFERROR(__xludf.DUMMYFUNCTION("ARRAYFORMULA(REGEXEXTRACT(SPLIT(C954, ""&lt;br&gt;""), ""([가-힣A-Za-z]+)""))"),"테리")</f>
        <v>테리</v>
      </c>
      <c r="K954" s="26" t="str">
        <f>IFERROR(__xludf.DUMMYFUNCTION("""COMPUTED_VALUE"""),"원")</f>
        <v>원</v>
      </c>
      <c r="L954" s="26" t="str">
        <f>IFERROR(__xludf.DUMMYFUNCTION("""COMPUTED_VALUE"""),"노인")</f>
        <v>노인</v>
      </c>
      <c r="M954" s="26" t="str">
        <f>IFERROR(__xludf.DUMMYFUNCTION("""COMPUTED_VALUE"""),"유망")</f>
        <v>유망</v>
      </c>
      <c r="N954" s="26" t="str">
        <f>IFERROR(__xludf.DUMMYFUNCTION("ARRAYFORMULA(REGEXEXTRACT(SPLIT(E954, ""&lt;br&gt;""), ""([가-힣A-Za-z]+)""))"),"ACDC")</f>
        <v>ACDC</v>
      </c>
      <c r="O954" s="26" t="str">
        <f>IFERROR(__xludf.DUMMYFUNCTION("""COMPUTED_VALUE"""),"깡패")</f>
        <v>깡패</v>
      </c>
      <c r="P954" s="26" t="str">
        <f>IFERROR(__xludf.DUMMYFUNCTION("""COMPUTED_VALUE"""),"신형만")</f>
        <v>신형만</v>
      </c>
      <c r="Q954" s="26" t="str">
        <f>IFERROR(__xludf.DUMMYFUNCTION("""COMPUTED_VALUE"""),"따")</f>
        <v>따</v>
      </c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27" t="s">
        <v>4074</v>
      </c>
      <c r="B955" s="28" t="s">
        <v>4075</v>
      </c>
      <c r="C955" s="27" t="s">
        <v>4076</v>
      </c>
      <c r="D955" s="27">
        <v>5.0</v>
      </c>
      <c r="E955" s="27" t="s">
        <v>4077</v>
      </c>
      <c r="F955" s="27">
        <v>4.0</v>
      </c>
      <c r="G955" s="29">
        <v>45693.978472222225</v>
      </c>
      <c r="H955" s="27" t="s">
        <v>3405</v>
      </c>
      <c r="I955" s="18"/>
      <c r="J955" s="25" t="str">
        <f>IFERROR(__xludf.DUMMYFUNCTION("ARRAYFORMULA(REGEXEXTRACT(SPLIT(C955, ""&lt;br&gt;""), ""([가-힣A-Za-z]+)""))"),"깡패")</f>
        <v>깡패</v>
      </c>
      <c r="K955" s="26" t="str">
        <f>IFERROR(__xludf.DUMMYFUNCTION("""COMPUTED_VALUE"""),"신형만")</f>
        <v>신형만</v>
      </c>
      <c r="L955" s="26" t="str">
        <f>IFERROR(__xludf.DUMMYFUNCTION("""COMPUTED_VALUE"""),"태식")</f>
        <v>태식</v>
      </c>
      <c r="M955" s="26" t="str">
        <f>IFERROR(__xludf.DUMMYFUNCTION("""COMPUTED_VALUE"""),"노인")</f>
        <v>노인</v>
      </c>
      <c r="N955" s="26" t="str">
        <f>IFERROR(__xludf.DUMMYFUNCTION("ARRAYFORMULA(REGEXEXTRACT(SPLIT(E955, ""&lt;br&gt;""), ""([가-힣A-Za-z]+)""))"),"ACDC")</f>
        <v>ACDC</v>
      </c>
      <c r="O955" s="26" t="str">
        <f>IFERROR(__xludf.DUMMYFUNCTION("""COMPUTED_VALUE"""),"원")</f>
        <v>원</v>
      </c>
      <c r="P955" s="26" t="str">
        <f>IFERROR(__xludf.DUMMYFUNCTION("""COMPUTED_VALUE"""),"재우")</f>
        <v>재우</v>
      </c>
      <c r="Q955" s="26" t="str">
        <f>IFERROR(__xludf.DUMMYFUNCTION("""COMPUTED_VALUE"""),"한메")</f>
        <v>한메</v>
      </c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27" t="s">
        <v>4078</v>
      </c>
      <c r="B956" s="28" t="s">
        <v>4079</v>
      </c>
      <c r="C956" s="27" t="s">
        <v>4080</v>
      </c>
      <c r="D956" s="27">
        <v>5.0</v>
      </c>
      <c r="E956" s="27" t="s">
        <v>4081</v>
      </c>
      <c r="F956" s="27">
        <v>1.0</v>
      </c>
      <c r="G956" s="29">
        <v>45693.947916666664</v>
      </c>
      <c r="H956" s="27" t="s">
        <v>3405</v>
      </c>
      <c r="I956" s="18"/>
      <c r="J956" s="25" t="str">
        <f>IFERROR(__xludf.DUMMYFUNCTION("ARRAYFORMULA(REGEXEXTRACT(SPLIT(C956, ""&lt;br&gt;""), ""([가-힣A-Za-z]+)""))"),"깡패")</f>
        <v>깡패</v>
      </c>
      <c r="K956" s="26" t="str">
        <f>IFERROR(__xludf.DUMMYFUNCTION("""COMPUTED_VALUE"""),"신형만")</f>
        <v>신형만</v>
      </c>
      <c r="L956" s="26" t="str">
        <f>IFERROR(__xludf.DUMMYFUNCTION("""COMPUTED_VALUE"""),"원")</f>
        <v>원</v>
      </c>
      <c r="M956" s="26" t="str">
        <f>IFERROR(__xludf.DUMMYFUNCTION("""COMPUTED_VALUE"""),"재우")</f>
        <v>재우</v>
      </c>
      <c r="N956" s="26" t="str">
        <f>IFERROR(__xludf.DUMMYFUNCTION("ARRAYFORMULA(REGEXEXTRACT(SPLIT(E956, ""&lt;br&gt;""), ""([가-힣A-Za-z]+)""))"),"한메")</f>
        <v>한메</v>
      </c>
      <c r="O956" s="26" t="str">
        <f>IFERROR(__xludf.DUMMYFUNCTION("""COMPUTED_VALUE"""),"태식")</f>
        <v>태식</v>
      </c>
      <c r="P956" s="26" t="str">
        <f>IFERROR(__xludf.DUMMYFUNCTION("""COMPUTED_VALUE"""),"ACDC")</f>
        <v>ACDC</v>
      </c>
      <c r="Q956" s="26" t="str">
        <f>IFERROR(__xludf.DUMMYFUNCTION("""COMPUTED_VALUE"""),"노인")</f>
        <v>노인</v>
      </c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27" t="s">
        <v>4082</v>
      </c>
      <c r="B957" s="28" t="s">
        <v>4083</v>
      </c>
      <c r="C957" s="27" t="s">
        <v>4084</v>
      </c>
      <c r="D957" s="27">
        <v>5.0</v>
      </c>
      <c r="E957" s="27" t="s">
        <v>4085</v>
      </c>
      <c r="F957" s="27">
        <v>3.0</v>
      </c>
      <c r="G957" s="29">
        <v>45693.92569444444</v>
      </c>
      <c r="H957" s="27" t="s">
        <v>3405</v>
      </c>
      <c r="I957" s="18"/>
      <c r="J957" s="25" t="str">
        <f>IFERROR(__xludf.DUMMYFUNCTION("ARRAYFORMULA(REGEXEXTRACT(SPLIT(C957, ""&lt;br&gt;""), ""([가-힣A-Za-z]+)""))"),"원")</f>
        <v>원</v>
      </c>
      <c r="K957" s="26" t="str">
        <f>IFERROR(__xludf.DUMMYFUNCTION("""COMPUTED_VALUE"""),"깡패")</f>
        <v>깡패</v>
      </c>
      <c r="L957" s="26" t="str">
        <f>IFERROR(__xludf.DUMMYFUNCTION("""COMPUTED_VALUE"""),"신형만")</f>
        <v>신형만</v>
      </c>
      <c r="M957" s="26" t="str">
        <f>IFERROR(__xludf.DUMMYFUNCTION("""COMPUTED_VALUE"""),"ACDC")</f>
        <v>ACDC</v>
      </c>
      <c r="N957" s="26" t="str">
        <f>IFERROR(__xludf.DUMMYFUNCTION("ARRAYFORMULA(REGEXEXTRACT(SPLIT(E957, ""&lt;br&gt;""), ""([가-힣A-Za-z]+)""))"),"테리")</f>
        <v>테리</v>
      </c>
      <c r="O957" s="26" t="str">
        <f>IFERROR(__xludf.DUMMYFUNCTION("""COMPUTED_VALUE"""),"태식")</f>
        <v>태식</v>
      </c>
      <c r="P957" s="26" t="str">
        <f>IFERROR(__xludf.DUMMYFUNCTION("""COMPUTED_VALUE"""),"전투쥐")</f>
        <v>전투쥐</v>
      </c>
      <c r="Q957" s="26" t="str">
        <f>IFERROR(__xludf.DUMMYFUNCTION("""COMPUTED_VALUE"""),"한메")</f>
        <v>한메</v>
      </c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27" t="s">
        <v>4086</v>
      </c>
      <c r="B958" s="28" t="s">
        <v>4087</v>
      </c>
      <c r="C958" s="27" t="s">
        <v>4088</v>
      </c>
      <c r="D958" s="27">
        <v>5.0</v>
      </c>
      <c r="E958" s="27" t="s">
        <v>4089</v>
      </c>
      <c r="F958" s="27">
        <v>2.0</v>
      </c>
      <c r="G958" s="29">
        <v>45693.89375</v>
      </c>
      <c r="H958" s="27" t="s">
        <v>3405</v>
      </c>
      <c r="I958" s="18"/>
      <c r="J958" s="25" t="str">
        <f>IFERROR(__xludf.DUMMYFUNCTION("ARRAYFORMULA(REGEXEXTRACT(SPLIT(C958, ""&lt;br&gt;""), ""([가-힣A-Za-z]+)""))"),"전투쥐")</f>
        <v>전투쥐</v>
      </c>
      <c r="K958" s="26" t="str">
        <f>IFERROR(__xludf.DUMMYFUNCTION("""COMPUTED_VALUE"""),"테리")</f>
        <v>테리</v>
      </c>
      <c r="L958" s="26" t="str">
        <f>IFERROR(__xludf.DUMMYFUNCTION("""COMPUTED_VALUE"""),"노인")</f>
        <v>노인</v>
      </c>
      <c r="M958" s="26" t="str">
        <f>IFERROR(__xludf.DUMMYFUNCTION("""COMPUTED_VALUE"""),"규식")</f>
        <v>규식</v>
      </c>
      <c r="N958" s="26" t="str">
        <f>IFERROR(__xludf.DUMMYFUNCTION("ARRAYFORMULA(REGEXEXTRACT(SPLIT(E958, ""&lt;br&gt;""), ""([가-힣A-Za-z]+)""))"),"ACDC")</f>
        <v>ACDC</v>
      </c>
      <c r="O958" s="26" t="str">
        <f>IFERROR(__xludf.DUMMYFUNCTION("""COMPUTED_VALUE"""),"재명")</f>
        <v>재명</v>
      </c>
      <c r="P958" s="26" t="str">
        <f>IFERROR(__xludf.DUMMYFUNCTION("""COMPUTED_VALUE"""),"태식")</f>
        <v>태식</v>
      </c>
      <c r="Q958" s="26" t="str">
        <f>IFERROR(__xludf.DUMMYFUNCTION("""COMPUTED_VALUE"""),"깡패")</f>
        <v>깡패</v>
      </c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27" t="s">
        <v>4090</v>
      </c>
      <c r="B959" s="28" t="s">
        <v>4091</v>
      </c>
      <c r="C959" s="27" t="s">
        <v>4092</v>
      </c>
      <c r="D959" s="27">
        <v>5.0</v>
      </c>
      <c r="E959" s="27" t="s">
        <v>4093</v>
      </c>
      <c r="F959" s="27">
        <v>0.0</v>
      </c>
      <c r="G959" s="29">
        <v>45693.86666666667</v>
      </c>
      <c r="H959" s="27" t="s">
        <v>3405</v>
      </c>
      <c r="I959" s="18"/>
      <c r="J959" s="25" t="str">
        <f>IFERROR(__xludf.DUMMYFUNCTION("ARRAYFORMULA(REGEXEXTRACT(SPLIT(C959, ""&lt;br&gt;""), ""([가-힣A-Za-z]+)""))"),"테리")</f>
        <v>테리</v>
      </c>
      <c r="K959" s="26" t="str">
        <f>IFERROR(__xludf.DUMMYFUNCTION("""COMPUTED_VALUE"""),"태식")</f>
        <v>태식</v>
      </c>
      <c r="L959" s="26" t="str">
        <f>IFERROR(__xludf.DUMMYFUNCTION("""COMPUTED_VALUE"""),"노인")</f>
        <v>노인</v>
      </c>
      <c r="M959" s="26" t="str">
        <f>IFERROR(__xludf.DUMMYFUNCTION("""COMPUTED_VALUE"""),"깡패")</f>
        <v>깡패</v>
      </c>
      <c r="N959" s="26" t="str">
        <f>IFERROR(__xludf.DUMMYFUNCTION("ARRAYFORMULA(REGEXEXTRACT(SPLIT(E959, ""&lt;br&gt;""), ""([가-힣A-Za-z]+)""))"),"규식")</f>
        <v>규식</v>
      </c>
      <c r="O959" s="26" t="str">
        <f>IFERROR(__xludf.DUMMYFUNCTION("""COMPUTED_VALUE"""),"재명")</f>
        <v>재명</v>
      </c>
      <c r="P959" s="26" t="str">
        <f>IFERROR(__xludf.DUMMYFUNCTION("""COMPUTED_VALUE"""),"ACDC")</f>
        <v>ACDC</v>
      </c>
      <c r="Q959" s="26" t="str">
        <f>IFERROR(__xludf.DUMMYFUNCTION("""COMPUTED_VALUE"""),"전투쥐")</f>
        <v>전투쥐</v>
      </c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27" t="s">
        <v>4094</v>
      </c>
      <c r="B960" s="28" t="s">
        <v>4095</v>
      </c>
      <c r="C960" s="27" t="s">
        <v>4096</v>
      </c>
      <c r="D960" s="27">
        <v>5.0</v>
      </c>
      <c r="E960" s="27" t="s">
        <v>4097</v>
      </c>
      <c r="F960" s="27">
        <v>3.0</v>
      </c>
      <c r="G960" s="29">
        <v>45693.069444444445</v>
      </c>
      <c r="H960" s="27" t="s">
        <v>3405</v>
      </c>
      <c r="I960" s="18"/>
      <c r="J960" s="25" t="str">
        <f>IFERROR(__xludf.DUMMYFUNCTION("ARRAYFORMULA(REGEXEXTRACT(SPLIT(C960, ""&lt;br&gt;""), ""([가-힣A-Za-z]+)""))"),"노인")</f>
        <v>노인</v>
      </c>
      <c r="K960" s="26" t="str">
        <f>IFERROR(__xludf.DUMMYFUNCTION("""COMPUTED_VALUE"""),"신형만")</f>
        <v>신형만</v>
      </c>
      <c r="L960" s="26" t="str">
        <f>IFERROR(__xludf.DUMMYFUNCTION("""COMPUTED_VALUE"""),"유망")</f>
        <v>유망</v>
      </c>
      <c r="M960" s="26" t="str">
        <f>IFERROR(__xludf.DUMMYFUNCTION("""COMPUTED_VALUE"""),"한메")</f>
        <v>한메</v>
      </c>
      <c r="N960" s="26" t="str">
        <f>IFERROR(__xludf.DUMMYFUNCTION("ARRAYFORMULA(REGEXEXTRACT(SPLIT(E960, ""&lt;br&gt;""), ""([가-힣A-Za-z]+)""))"),"참치")</f>
        <v>참치</v>
      </c>
      <c r="O960" s="26" t="str">
        <f>IFERROR(__xludf.DUMMYFUNCTION("""COMPUTED_VALUE"""),"규식")</f>
        <v>규식</v>
      </c>
      <c r="P960" s="26" t="str">
        <f>IFERROR(__xludf.DUMMYFUNCTION("""COMPUTED_VALUE"""),"ACDC")</f>
        <v>ACDC</v>
      </c>
      <c r="Q960" s="26" t="str">
        <f>IFERROR(__xludf.DUMMYFUNCTION("""COMPUTED_VALUE"""),"깡패")</f>
        <v>깡패</v>
      </c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27" t="s">
        <v>4098</v>
      </c>
      <c r="B961" s="28" t="s">
        <v>4099</v>
      </c>
      <c r="C961" s="27" t="s">
        <v>4100</v>
      </c>
      <c r="D961" s="27">
        <v>5.0</v>
      </c>
      <c r="E961" s="27" t="s">
        <v>4101</v>
      </c>
      <c r="F961" s="27">
        <v>4.0</v>
      </c>
      <c r="G961" s="29">
        <v>45693.04583333333</v>
      </c>
      <c r="H961" s="27" t="s">
        <v>3405</v>
      </c>
      <c r="I961" s="18"/>
      <c r="J961" s="25" t="str">
        <f>IFERROR(__xludf.DUMMYFUNCTION("ARRAYFORMULA(REGEXEXTRACT(SPLIT(C961, ""&lt;br&gt;""), ""([가-힣A-Za-z]+)""))"),"노인")</f>
        <v>노인</v>
      </c>
      <c r="K961" s="26" t="str">
        <f>IFERROR(__xludf.DUMMYFUNCTION("""COMPUTED_VALUE"""),"깡패")</f>
        <v>깡패</v>
      </c>
      <c r="L961" s="26" t="str">
        <f>IFERROR(__xludf.DUMMYFUNCTION("""COMPUTED_VALUE"""),"신형만")</f>
        <v>신형만</v>
      </c>
      <c r="M961" s="26" t="str">
        <f>IFERROR(__xludf.DUMMYFUNCTION("""COMPUTED_VALUE"""),"ACDC")</f>
        <v>ACDC</v>
      </c>
      <c r="N961" s="26" t="str">
        <f>IFERROR(__xludf.DUMMYFUNCTION("ARRAYFORMULA(REGEXEXTRACT(SPLIT(E961, ""&lt;br&gt;""), ""([가-힣A-Za-z]+)""))"),"한메")</f>
        <v>한메</v>
      </c>
      <c r="O961" s="26" t="str">
        <f>IFERROR(__xludf.DUMMYFUNCTION("""COMPUTED_VALUE"""),"규식")</f>
        <v>규식</v>
      </c>
      <c r="P961" s="26" t="str">
        <f>IFERROR(__xludf.DUMMYFUNCTION("""COMPUTED_VALUE"""),"유망")</f>
        <v>유망</v>
      </c>
      <c r="Q961" s="26" t="str">
        <f>IFERROR(__xludf.DUMMYFUNCTION("""COMPUTED_VALUE"""),"참치")</f>
        <v>참치</v>
      </c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27" t="s">
        <v>4102</v>
      </c>
      <c r="B962" s="28" t="s">
        <v>4103</v>
      </c>
      <c r="C962" s="27" t="s">
        <v>4104</v>
      </c>
      <c r="D962" s="27">
        <v>5.0</v>
      </c>
      <c r="E962" s="27" t="s">
        <v>4105</v>
      </c>
      <c r="F962" s="27">
        <v>2.0</v>
      </c>
      <c r="G962" s="29">
        <v>45693.00763888889</v>
      </c>
      <c r="H962" s="27" t="s">
        <v>3405</v>
      </c>
      <c r="I962" s="18"/>
      <c r="J962" s="25" t="str">
        <f>IFERROR(__xludf.DUMMYFUNCTION("ARRAYFORMULA(REGEXEXTRACT(SPLIT(C962, ""&lt;br&gt;""), ""([가-힣A-Za-z]+)""))"),"신형만")</f>
        <v>신형만</v>
      </c>
      <c r="K962" s="26" t="str">
        <f>IFERROR(__xludf.DUMMYFUNCTION("""COMPUTED_VALUE"""),"ACDC")</f>
        <v>ACDC</v>
      </c>
      <c r="L962" s="26" t="str">
        <f>IFERROR(__xludf.DUMMYFUNCTION("""COMPUTED_VALUE"""),"유망")</f>
        <v>유망</v>
      </c>
      <c r="M962" s="26" t="str">
        <f>IFERROR(__xludf.DUMMYFUNCTION("""COMPUTED_VALUE"""),"규식")</f>
        <v>규식</v>
      </c>
      <c r="N962" s="26" t="str">
        <f>IFERROR(__xludf.DUMMYFUNCTION("ARRAYFORMULA(REGEXEXTRACT(SPLIT(E962, ""&lt;br&gt;""), ""([가-힣A-Za-z]+)""))"),"강화")</f>
        <v>강화</v>
      </c>
      <c r="O962" s="26" t="str">
        <f>IFERROR(__xludf.DUMMYFUNCTION("""COMPUTED_VALUE"""),"참치")</f>
        <v>참치</v>
      </c>
      <c r="P962" s="26" t="str">
        <f>IFERROR(__xludf.DUMMYFUNCTION("""COMPUTED_VALUE"""),"한메")</f>
        <v>한메</v>
      </c>
      <c r="Q962" s="26" t="str">
        <f>IFERROR(__xludf.DUMMYFUNCTION("""COMPUTED_VALUE"""),"깡패")</f>
        <v>깡패</v>
      </c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27" t="s">
        <v>4106</v>
      </c>
      <c r="B963" s="28" t="s">
        <v>4107</v>
      </c>
      <c r="C963" s="27" t="s">
        <v>4108</v>
      </c>
      <c r="D963" s="27">
        <v>5.0</v>
      </c>
      <c r="E963" s="27" t="s">
        <v>4109</v>
      </c>
      <c r="F963" s="27">
        <v>1.0</v>
      </c>
      <c r="G963" s="29">
        <v>45692.98472222222</v>
      </c>
      <c r="H963" s="27" t="s">
        <v>3405</v>
      </c>
      <c r="I963" s="18"/>
      <c r="J963" s="25" t="str">
        <f>IFERROR(__xludf.DUMMYFUNCTION("ARRAYFORMULA(REGEXEXTRACT(SPLIT(C963, ""&lt;br&gt;""), ""([가-힣A-Za-z]+)""))"),"유망")</f>
        <v>유망</v>
      </c>
      <c r="K963" s="26" t="str">
        <f>IFERROR(__xludf.DUMMYFUNCTION("""COMPUTED_VALUE"""),"깡패")</f>
        <v>깡패</v>
      </c>
      <c r="L963" s="26" t="str">
        <f>IFERROR(__xludf.DUMMYFUNCTION("""COMPUTED_VALUE"""),"재우")</f>
        <v>재우</v>
      </c>
      <c r="M963" s="26" t="str">
        <f>IFERROR(__xludf.DUMMYFUNCTION("""COMPUTED_VALUE"""),"강화")</f>
        <v>강화</v>
      </c>
      <c r="N963" s="26" t="str">
        <f>IFERROR(__xludf.DUMMYFUNCTION("ARRAYFORMULA(REGEXEXTRACT(SPLIT(E963, ""&lt;br&gt;""), ""([가-힣A-Za-z]+)""))"),"한메")</f>
        <v>한메</v>
      </c>
      <c r="O963" s="26" t="str">
        <f>IFERROR(__xludf.DUMMYFUNCTION("""COMPUTED_VALUE"""),"참치")</f>
        <v>참치</v>
      </c>
      <c r="P963" s="26" t="str">
        <f>IFERROR(__xludf.DUMMYFUNCTION("""COMPUTED_VALUE"""),"규식")</f>
        <v>규식</v>
      </c>
      <c r="Q963" s="26" t="str">
        <f>IFERROR(__xludf.DUMMYFUNCTION("""COMPUTED_VALUE"""),"ACDC")</f>
        <v>ACDC</v>
      </c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27" t="s">
        <v>4110</v>
      </c>
      <c r="B964" s="28" t="s">
        <v>4111</v>
      </c>
      <c r="C964" s="27" t="s">
        <v>4112</v>
      </c>
      <c r="D964" s="27">
        <v>5.0</v>
      </c>
      <c r="E964" s="27" t="s">
        <v>4113</v>
      </c>
      <c r="F964" s="27">
        <v>1.0</v>
      </c>
      <c r="G964" s="29">
        <v>45692.95486111111</v>
      </c>
      <c r="H964" s="27" t="s">
        <v>3405</v>
      </c>
      <c r="I964" s="18"/>
      <c r="J964" s="25" t="str">
        <f>IFERROR(__xludf.DUMMYFUNCTION("ARRAYFORMULA(REGEXEXTRACT(SPLIT(C964, ""&lt;br&gt;""), ""([가-힣A-Za-z]+)""))"),"참치")</f>
        <v>참치</v>
      </c>
      <c r="K964" s="26" t="str">
        <f>IFERROR(__xludf.DUMMYFUNCTION("""COMPUTED_VALUE"""),"테리")</f>
        <v>테리</v>
      </c>
      <c r="L964" s="26" t="str">
        <f>IFERROR(__xludf.DUMMYFUNCTION("""COMPUTED_VALUE"""),"규식")</f>
        <v>규식</v>
      </c>
      <c r="M964" s="26" t="str">
        <f>IFERROR(__xludf.DUMMYFUNCTION("""COMPUTED_VALUE"""),"강화")</f>
        <v>강화</v>
      </c>
      <c r="N964" s="26" t="str">
        <f>IFERROR(__xludf.DUMMYFUNCTION("ARRAYFORMULA(REGEXEXTRACT(SPLIT(E964, ""&lt;br&gt;""), ""([가-힣A-Za-z]+)""))"),"한메")</f>
        <v>한메</v>
      </c>
      <c r="O964" s="26" t="str">
        <f>IFERROR(__xludf.DUMMYFUNCTION("""COMPUTED_VALUE"""),"깡패")</f>
        <v>깡패</v>
      </c>
      <c r="P964" s="26" t="str">
        <f>IFERROR(__xludf.DUMMYFUNCTION("""COMPUTED_VALUE"""),"재우")</f>
        <v>재우</v>
      </c>
      <c r="Q964" s="26" t="str">
        <f>IFERROR(__xludf.DUMMYFUNCTION("""COMPUTED_VALUE"""),"ACDC")</f>
        <v>ACDC</v>
      </c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27" t="s">
        <v>4114</v>
      </c>
      <c r="B965" s="28" t="s">
        <v>4115</v>
      </c>
      <c r="C965" s="27" t="s">
        <v>4116</v>
      </c>
      <c r="D965" s="27">
        <v>5.0</v>
      </c>
      <c r="E965" s="27" t="s">
        <v>4117</v>
      </c>
      <c r="F965" s="27">
        <v>4.0</v>
      </c>
      <c r="G965" s="29">
        <v>45692.927777777775</v>
      </c>
      <c r="H965" s="27" t="s">
        <v>3405</v>
      </c>
      <c r="I965" s="18"/>
      <c r="J965" s="25" t="str">
        <f>IFERROR(__xludf.DUMMYFUNCTION("ARRAYFORMULA(REGEXEXTRACT(SPLIT(C965, ""&lt;br&gt;""), ""([가-힣A-Za-z]+)""))"),"재우")</f>
        <v>재우</v>
      </c>
      <c r="K965" s="26" t="str">
        <f>IFERROR(__xludf.DUMMYFUNCTION("""COMPUTED_VALUE"""),"깡패")</f>
        <v>깡패</v>
      </c>
      <c r="L965" s="26" t="str">
        <f>IFERROR(__xludf.DUMMYFUNCTION("""COMPUTED_VALUE"""),"테리")</f>
        <v>테리</v>
      </c>
      <c r="M965" s="26" t="str">
        <f>IFERROR(__xludf.DUMMYFUNCTION("""COMPUTED_VALUE"""),"ACDC")</f>
        <v>ACDC</v>
      </c>
      <c r="N965" s="26" t="str">
        <f>IFERROR(__xludf.DUMMYFUNCTION("ARRAYFORMULA(REGEXEXTRACT(SPLIT(E965, ""&lt;br&gt;""), ""([가-힣A-Za-z]+)""))"),"강화")</f>
        <v>강화</v>
      </c>
      <c r="O965" s="26" t="str">
        <f>IFERROR(__xludf.DUMMYFUNCTION("""COMPUTED_VALUE"""),"노인")</f>
        <v>노인</v>
      </c>
      <c r="P965" s="26" t="str">
        <f>IFERROR(__xludf.DUMMYFUNCTION("""COMPUTED_VALUE"""),"신형만")</f>
        <v>신형만</v>
      </c>
      <c r="Q965" s="26" t="str">
        <f>IFERROR(__xludf.DUMMYFUNCTION("""COMPUTED_VALUE"""),"재명")</f>
        <v>재명</v>
      </c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27" t="s">
        <v>4118</v>
      </c>
      <c r="B966" s="28" t="s">
        <v>4119</v>
      </c>
      <c r="C966" s="27" t="s">
        <v>4120</v>
      </c>
      <c r="D966" s="27">
        <v>5.0</v>
      </c>
      <c r="E966" s="27" t="s">
        <v>4121</v>
      </c>
      <c r="F966" s="27">
        <v>3.0</v>
      </c>
      <c r="G966" s="29">
        <v>45692.04027777778</v>
      </c>
      <c r="H966" s="27" t="s">
        <v>3405</v>
      </c>
      <c r="I966" s="18"/>
      <c r="J966" s="25" t="str">
        <f>IFERROR(__xludf.DUMMYFUNCTION("ARRAYFORMULA(REGEXEXTRACT(SPLIT(C966, ""&lt;br&gt;""), ""([가-힣A-Za-z]+)""))"),"참치")</f>
        <v>참치</v>
      </c>
      <c r="K966" s="26" t="str">
        <f>IFERROR(__xludf.DUMMYFUNCTION("""COMPUTED_VALUE"""),"깡패")</f>
        <v>깡패</v>
      </c>
      <c r="L966" s="26" t="str">
        <f>IFERROR(__xludf.DUMMYFUNCTION("""COMPUTED_VALUE"""),"ACDC")</f>
        <v>ACDC</v>
      </c>
      <c r="M966" s="26" t="str">
        <f>IFERROR(__xludf.DUMMYFUNCTION("""COMPUTED_VALUE"""),"따")</f>
        <v>따</v>
      </c>
      <c r="N966" s="26" t="str">
        <f>IFERROR(__xludf.DUMMYFUNCTION("ARRAYFORMULA(REGEXEXTRACT(SPLIT(E966, ""&lt;br&gt;""), ""([가-힣A-Za-z]+)""))"),"테리")</f>
        <v>테리</v>
      </c>
      <c r="O966" s="26" t="str">
        <f>IFERROR(__xludf.DUMMYFUNCTION("""COMPUTED_VALUE"""),"노인")</f>
        <v>노인</v>
      </c>
      <c r="P966" s="26" t="str">
        <f>IFERROR(__xludf.DUMMYFUNCTION("""COMPUTED_VALUE"""),"유망")</f>
        <v>유망</v>
      </c>
      <c r="Q966" s="26" t="str">
        <f>IFERROR(__xludf.DUMMYFUNCTION("""COMPUTED_VALUE"""),"한메")</f>
        <v>한메</v>
      </c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27" t="s">
        <v>4122</v>
      </c>
      <c r="B967" s="28" t="s">
        <v>4123</v>
      </c>
      <c r="C967" s="27" t="s">
        <v>4124</v>
      </c>
      <c r="D967" s="27">
        <v>5.0</v>
      </c>
      <c r="E967" s="27" t="s">
        <v>4125</v>
      </c>
      <c r="F967" s="27">
        <v>4.0</v>
      </c>
      <c r="G967" s="29">
        <v>45692.009722222225</v>
      </c>
      <c r="H967" s="27" t="s">
        <v>3405</v>
      </c>
      <c r="I967" s="18"/>
      <c r="J967" s="25" t="str">
        <f>IFERROR(__xludf.DUMMYFUNCTION("ARRAYFORMULA(REGEXEXTRACT(SPLIT(C967, ""&lt;br&gt;""), ""([가-힣A-Za-z]+)""))"),"유망")</f>
        <v>유망</v>
      </c>
      <c r="K967" s="26" t="str">
        <f>IFERROR(__xludf.DUMMYFUNCTION("""COMPUTED_VALUE"""),"ACDC")</f>
        <v>ACDC</v>
      </c>
      <c r="L967" s="26" t="str">
        <f>IFERROR(__xludf.DUMMYFUNCTION("""COMPUTED_VALUE"""),"참치")</f>
        <v>참치</v>
      </c>
      <c r="M967" s="26" t="str">
        <f>IFERROR(__xludf.DUMMYFUNCTION("""COMPUTED_VALUE"""),"노인")</f>
        <v>노인</v>
      </c>
      <c r="N967" s="26" t="str">
        <f>IFERROR(__xludf.DUMMYFUNCTION("ARRAYFORMULA(REGEXEXTRACT(SPLIT(E967, ""&lt;br&gt;""), ""([가-힣A-Za-z]+)""))"),"깡패")</f>
        <v>깡패</v>
      </c>
      <c r="O967" s="26" t="str">
        <f>IFERROR(__xludf.DUMMYFUNCTION("""COMPUTED_VALUE"""),"따")</f>
        <v>따</v>
      </c>
      <c r="P967" s="26" t="str">
        <f>IFERROR(__xludf.DUMMYFUNCTION("""COMPUTED_VALUE"""),"테리")</f>
        <v>테리</v>
      </c>
      <c r="Q967" s="26" t="str">
        <f>IFERROR(__xludf.DUMMYFUNCTION("""COMPUTED_VALUE"""),"한메")</f>
        <v>한메</v>
      </c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27" t="s">
        <v>4126</v>
      </c>
      <c r="B968" s="28" t="s">
        <v>4127</v>
      </c>
      <c r="C968" s="27" t="s">
        <v>4128</v>
      </c>
      <c r="D968" s="27">
        <v>5.0</v>
      </c>
      <c r="E968" s="27" t="s">
        <v>4129</v>
      </c>
      <c r="F968" s="27">
        <v>4.0</v>
      </c>
      <c r="G968" s="29">
        <v>45691.94583333333</v>
      </c>
      <c r="H968" s="27" t="s">
        <v>3405</v>
      </c>
      <c r="I968" s="18"/>
      <c r="J968" s="25" t="str">
        <f>IFERROR(__xludf.DUMMYFUNCTION("ARRAYFORMULA(REGEXEXTRACT(SPLIT(C968, ""&lt;br&gt;""), ""([가-힣A-Za-z]+)""))"),"테리")</f>
        <v>테리</v>
      </c>
      <c r="K968" s="26" t="str">
        <f>IFERROR(__xludf.DUMMYFUNCTION("""COMPUTED_VALUE"""),"ACDC")</f>
        <v>ACDC</v>
      </c>
      <c r="L968" s="26" t="str">
        <f>IFERROR(__xludf.DUMMYFUNCTION("""COMPUTED_VALUE"""),"규식")</f>
        <v>규식</v>
      </c>
      <c r="M968" s="26" t="str">
        <f>IFERROR(__xludf.DUMMYFUNCTION("""COMPUTED_VALUE"""),"신형만")</f>
        <v>신형만</v>
      </c>
      <c r="N968" s="26" t="str">
        <f>IFERROR(__xludf.DUMMYFUNCTION("ARRAYFORMULA(REGEXEXTRACT(SPLIT(E968, ""&lt;br&gt;""), ""([가-힣A-Za-z]+)""))"),"참치")</f>
        <v>참치</v>
      </c>
      <c r="O968" s="26" t="str">
        <f>IFERROR(__xludf.DUMMYFUNCTION("""COMPUTED_VALUE"""),"노인")</f>
        <v>노인</v>
      </c>
      <c r="P968" s="26" t="str">
        <f>IFERROR(__xludf.DUMMYFUNCTION("""COMPUTED_VALUE"""),"한메")</f>
        <v>한메</v>
      </c>
      <c r="Q968" s="26" t="str">
        <f>IFERROR(__xludf.DUMMYFUNCTION("""COMPUTED_VALUE"""),"깡패")</f>
        <v>깡패</v>
      </c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27" t="s">
        <v>4130</v>
      </c>
      <c r="B969" s="28" t="s">
        <v>4131</v>
      </c>
      <c r="C969" s="27" t="s">
        <v>4132</v>
      </c>
      <c r="D969" s="27">
        <v>5.0</v>
      </c>
      <c r="E969" s="27" t="s">
        <v>4133</v>
      </c>
      <c r="F969" s="27">
        <v>4.0</v>
      </c>
      <c r="G969" s="29">
        <v>45691.90625</v>
      </c>
      <c r="H969" s="27" t="s">
        <v>3405</v>
      </c>
      <c r="I969" s="18"/>
      <c r="J969" s="25" t="str">
        <f>IFERROR(__xludf.DUMMYFUNCTION("ARRAYFORMULA(REGEXEXTRACT(SPLIT(C969, ""&lt;br&gt;""), ""([가-힣A-Za-z]+)""))"),"테리")</f>
        <v>테리</v>
      </c>
      <c r="K969" s="26" t="str">
        <f>IFERROR(__xludf.DUMMYFUNCTION("""COMPUTED_VALUE"""),"참치")</f>
        <v>참치</v>
      </c>
      <c r="L969" s="26" t="str">
        <f>IFERROR(__xludf.DUMMYFUNCTION("""COMPUTED_VALUE"""),"ACDC")</f>
        <v>ACDC</v>
      </c>
      <c r="M969" s="26" t="str">
        <f>IFERROR(__xludf.DUMMYFUNCTION("""COMPUTED_VALUE"""),"한메")</f>
        <v>한메</v>
      </c>
      <c r="N969" s="26" t="str">
        <f>IFERROR(__xludf.DUMMYFUNCTION("ARRAYFORMULA(REGEXEXTRACT(SPLIT(E969, ""&lt;br&gt;""), ""([가-힣A-Za-z]+)""))"),"규식")</f>
        <v>규식</v>
      </c>
      <c r="O969" s="26" t="str">
        <f>IFERROR(__xludf.DUMMYFUNCTION("""COMPUTED_VALUE"""),"노인")</f>
        <v>노인</v>
      </c>
      <c r="P969" s="26" t="str">
        <f>IFERROR(__xludf.DUMMYFUNCTION("""COMPUTED_VALUE"""),"신형만")</f>
        <v>신형만</v>
      </c>
      <c r="Q969" s="26" t="str">
        <f>IFERROR(__xludf.DUMMYFUNCTION("""COMPUTED_VALUE"""),"깡패")</f>
        <v>깡패</v>
      </c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27" t="s">
        <v>4134</v>
      </c>
      <c r="B970" s="28" t="s">
        <v>4135</v>
      </c>
      <c r="C970" s="27" t="s">
        <v>4136</v>
      </c>
      <c r="D970" s="27">
        <v>5.0</v>
      </c>
      <c r="E970" s="27" t="s">
        <v>4137</v>
      </c>
      <c r="F970" s="27">
        <v>3.0</v>
      </c>
      <c r="G970" s="29">
        <v>45691.864583333336</v>
      </c>
      <c r="H970" s="27" t="s">
        <v>3405</v>
      </c>
      <c r="I970" s="18"/>
      <c r="J970" s="25" t="str">
        <f>IFERROR(__xludf.DUMMYFUNCTION("ARRAYFORMULA(REGEXEXTRACT(SPLIT(C970, ""&lt;br&gt;""), ""([가-힣A-Za-z]+)""))"),"노인")</f>
        <v>노인</v>
      </c>
      <c r="K970" s="26" t="str">
        <f>IFERROR(__xludf.DUMMYFUNCTION("""COMPUTED_VALUE"""),"신형만")</f>
        <v>신형만</v>
      </c>
      <c r="L970" s="26" t="str">
        <f>IFERROR(__xludf.DUMMYFUNCTION("""COMPUTED_VALUE"""),"한메")</f>
        <v>한메</v>
      </c>
      <c r="M970" s="26" t="str">
        <f>IFERROR(__xludf.DUMMYFUNCTION("""COMPUTED_VALUE"""),"참치")</f>
        <v>참치</v>
      </c>
      <c r="N970" s="26" t="str">
        <f>IFERROR(__xludf.DUMMYFUNCTION("ARRAYFORMULA(REGEXEXTRACT(SPLIT(E970, ""&lt;br&gt;""), ""([가-힣A-Za-z]+)""))"),"테리")</f>
        <v>테리</v>
      </c>
      <c r="O970" s="26" t="str">
        <f>IFERROR(__xludf.DUMMYFUNCTION("""COMPUTED_VALUE"""),"깡패")</f>
        <v>깡패</v>
      </c>
      <c r="P970" s="26" t="str">
        <f>IFERROR(__xludf.DUMMYFUNCTION("""COMPUTED_VALUE"""),"규식")</f>
        <v>규식</v>
      </c>
      <c r="Q970" s="26" t="str">
        <f>IFERROR(__xludf.DUMMYFUNCTION("""COMPUTED_VALUE"""),"ACDC")</f>
        <v>ACDC</v>
      </c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27" t="s">
        <v>4138</v>
      </c>
      <c r="B971" s="28" t="s">
        <v>4139</v>
      </c>
      <c r="C971" s="27" t="s">
        <v>4140</v>
      </c>
      <c r="D971" s="27">
        <v>5.0</v>
      </c>
      <c r="E971" s="27" t="s">
        <v>4141</v>
      </c>
      <c r="F971" s="27">
        <v>0.0</v>
      </c>
      <c r="G971" s="29">
        <v>45690.76458333333</v>
      </c>
      <c r="H971" s="27" t="s">
        <v>3405</v>
      </c>
      <c r="I971" s="18"/>
      <c r="J971" s="25" t="str">
        <f>IFERROR(__xludf.DUMMYFUNCTION("ARRAYFORMULA(REGEXEXTRACT(SPLIT(C971, ""&lt;br&gt;""), ""([가-힣A-Za-z]+)""))"),"신형만")</f>
        <v>신형만</v>
      </c>
      <c r="K971" s="26" t="str">
        <f>IFERROR(__xludf.DUMMYFUNCTION("""COMPUTED_VALUE"""),"노인")</f>
        <v>노인</v>
      </c>
      <c r="L971" s="26" t="str">
        <f>IFERROR(__xludf.DUMMYFUNCTION("""COMPUTED_VALUE"""),"따")</f>
        <v>따</v>
      </c>
      <c r="M971" s="26" t="str">
        <f>IFERROR(__xludf.DUMMYFUNCTION("""COMPUTED_VALUE"""),"참치")</f>
        <v>참치</v>
      </c>
      <c r="N971" s="26" t="str">
        <f>IFERROR(__xludf.DUMMYFUNCTION("ARRAYFORMULA(REGEXEXTRACT(SPLIT(E971, ""&lt;br&gt;""), ""([가-힣A-Za-z]+)""))"),"짱구")</f>
        <v>짱구</v>
      </c>
      <c r="O971" s="26" t="str">
        <f>IFERROR(__xludf.DUMMYFUNCTION("""COMPUTED_VALUE"""),"깡패")</f>
        <v>깡패</v>
      </c>
      <c r="P971" s="26" t="str">
        <f>IFERROR(__xludf.DUMMYFUNCTION("""COMPUTED_VALUE"""),"원")</f>
        <v>원</v>
      </c>
      <c r="Q971" s="26" t="str">
        <f>IFERROR(__xludf.DUMMYFUNCTION("""COMPUTED_VALUE"""),"강화")</f>
        <v>강화</v>
      </c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27" t="s">
        <v>4142</v>
      </c>
      <c r="B972" s="28" t="s">
        <v>4143</v>
      </c>
      <c r="C972" s="27" t="s">
        <v>4144</v>
      </c>
      <c r="D972" s="27">
        <v>5.0</v>
      </c>
      <c r="E972" s="27" t="s">
        <v>4145</v>
      </c>
      <c r="F972" s="27">
        <v>2.0</v>
      </c>
      <c r="G972" s="29">
        <v>45690.75</v>
      </c>
      <c r="H972" s="27" t="s">
        <v>3405</v>
      </c>
      <c r="I972" s="18"/>
      <c r="J972" s="25" t="str">
        <f>IFERROR(__xludf.DUMMYFUNCTION("ARRAYFORMULA(REGEXEXTRACT(SPLIT(C972, ""&lt;br&gt;""), ""([가-힣A-Za-z]+)""))"),"짱구")</f>
        <v>짱구</v>
      </c>
      <c r="K972" s="26" t="str">
        <f>IFERROR(__xludf.DUMMYFUNCTION("""COMPUTED_VALUE"""),"깡패")</f>
        <v>깡패</v>
      </c>
      <c r="L972" s="26" t="str">
        <f>IFERROR(__xludf.DUMMYFUNCTION("""COMPUTED_VALUE"""),"노인")</f>
        <v>노인</v>
      </c>
      <c r="M972" s="26" t="str">
        <f>IFERROR(__xludf.DUMMYFUNCTION("""COMPUTED_VALUE"""),"따")</f>
        <v>따</v>
      </c>
      <c r="N972" s="26" t="str">
        <f>IFERROR(__xludf.DUMMYFUNCTION("ARRAYFORMULA(REGEXEXTRACT(SPLIT(E972, ""&lt;br&gt;""), ""([가-힣A-Za-z]+)""))"),"전투쥐")</f>
        <v>전투쥐</v>
      </c>
      <c r="O972" s="26" t="str">
        <f>IFERROR(__xludf.DUMMYFUNCTION("""COMPUTED_VALUE"""),"원")</f>
        <v>원</v>
      </c>
      <c r="P972" s="26" t="str">
        <f>IFERROR(__xludf.DUMMYFUNCTION("""COMPUTED_VALUE"""),"신형만")</f>
        <v>신형만</v>
      </c>
      <c r="Q972" s="26" t="str">
        <f>IFERROR(__xludf.DUMMYFUNCTION("""COMPUTED_VALUE"""),"강화")</f>
        <v>강화</v>
      </c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27" t="s">
        <v>4146</v>
      </c>
      <c r="B973" s="28" t="s">
        <v>4147</v>
      </c>
      <c r="C973" s="27" t="s">
        <v>4148</v>
      </c>
      <c r="D973" s="27">
        <v>5.0</v>
      </c>
      <c r="E973" s="27" t="s">
        <v>4149</v>
      </c>
      <c r="F973" s="27">
        <v>0.0</v>
      </c>
      <c r="G973" s="29">
        <v>45690.73055555556</v>
      </c>
      <c r="H973" s="27" t="s">
        <v>3405</v>
      </c>
      <c r="I973" s="18"/>
      <c r="J973" s="25" t="str">
        <f>IFERROR(__xludf.DUMMYFUNCTION("ARRAYFORMULA(REGEXEXTRACT(SPLIT(C973, ""&lt;br&gt;""), ""([가-힣A-Za-z]+)""))"),"강화")</f>
        <v>강화</v>
      </c>
      <c r="K973" s="26" t="str">
        <f>IFERROR(__xludf.DUMMYFUNCTION("""COMPUTED_VALUE"""),"노인")</f>
        <v>노인</v>
      </c>
      <c r="L973" s="26" t="str">
        <f>IFERROR(__xludf.DUMMYFUNCTION("""COMPUTED_VALUE"""),"원")</f>
        <v>원</v>
      </c>
      <c r="M973" s="26" t="str">
        <f>IFERROR(__xludf.DUMMYFUNCTION("""COMPUTED_VALUE"""),"따")</f>
        <v>따</v>
      </c>
      <c r="N973" s="26" t="str">
        <f>IFERROR(__xludf.DUMMYFUNCTION("ARRAYFORMULA(REGEXEXTRACT(SPLIT(E973, ""&lt;br&gt;""), ""([가-힣A-Za-z]+)""))"),"전투쥐")</f>
        <v>전투쥐</v>
      </c>
      <c r="O973" s="26" t="str">
        <f>IFERROR(__xludf.DUMMYFUNCTION("""COMPUTED_VALUE"""),"짱구")</f>
        <v>짱구</v>
      </c>
      <c r="P973" s="26" t="str">
        <f>IFERROR(__xludf.DUMMYFUNCTION("""COMPUTED_VALUE"""),"깡패")</f>
        <v>깡패</v>
      </c>
      <c r="Q973" s="26" t="str">
        <f>IFERROR(__xludf.DUMMYFUNCTION("""COMPUTED_VALUE"""),"신형만")</f>
        <v>신형만</v>
      </c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27" t="s">
        <v>4150</v>
      </c>
      <c r="B974" s="28" t="s">
        <v>4151</v>
      </c>
      <c r="C974" s="27" t="s">
        <v>4152</v>
      </c>
      <c r="D974" s="27">
        <v>5.0</v>
      </c>
      <c r="E974" s="27" t="s">
        <v>4153</v>
      </c>
      <c r="F974" s="27">
        <v>3.0</v>
      </c>
      <c r="G974" s="29">
        <v>45690.71527777778</v>
      </c>
      <c r="H974" s="27" t="s">
        <v>3405</v>
      </c>
      <c r="I974" s="18"/>
      <c r="J974" s="25" t="str">
        <f>IFERROR(__xludf.DUMMYFUNCTION("ARRAYFORMULA(REGEXEXTRACT(SPLIT(C974, ""&lt;br&gt;""), ""([가-힣A-Za-z]+)""))"),"노인")</f>
        <v>노인</v>
      </c>
      <c r="K974" s="26" t="str">
        <f>IFERROR(__xludf.DUMMYFUNCTION("""COMPUTED_VALUE"""),"짱구")</f>
        <v>짱구</v>
      </c>
      <c r="L974" s="26" t="str">
        <f>IFERROR(__xludf.DUMMYFUNCTION("""COMPUTED_VALUE"""),"따")</f>
        <v>따</v>
      </c>
      <c r="M974" s="26" t="str">
        <f>IFERROR(__xludf.DUMMYFUNCTION("""COMPUTED_VALUE"""),"전투쥐")</f>
        <v>전투쥐</v>
      </c>
      <c r="N974" s="26" t="str">
        <f>IFERROR(__xludf.DUMMYFUNCTION("ARRAYFORMULA(REGEXEXTRACT(SPLIT(E974, ""&lt;br&gt;""), ""([가-힣A-Za-z]+)""))"),"깡패")</f>
        <v>깡패</v>
      </c>
      <c r="O974" s="26" t="str">
        <f>IFERROR(__xludf.DUMMYFUNCTION("""COMPUTED_VALUE"""),"신형만")</f>
        <v>신형만</v>
      </c>
      <c r="P974" s="26" t="str">
        <f>IFERROR(__xludf.DUMMYFUNCTION("""COMPUTED_VALUE"""),"강화")</f>
        <v>강화</v>
      </c>
      <c r="Q974" s="26" t="str">
        <f>IFERROR(__xludf.DUMMYFUNCTION("""COMPUTED_VALUE"""),"원")</f>
        <v>원</v>
      </c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27" t="s">
        <v>4154</v>
      </c>
      <c r="B975" s="28" t="s">
        <v>4155</v>
      </c>
      <c r="C975" s="27" t="s">
        <v>4156</v>
      </c>
      <c r="D975" s="27">
        <v>5.0</v>
      </c>
      <c r="E975" s="27" t="s">
        <v>4157</v>
      </c>
      <c r="F975" s="27">
        <v>4.0</v>
      </c>
      <c r="G975" s="29">
        <v>45690.69027777778</v>
      </c>
      <c r="H975" s="27" t="s">
        <v>3405</v>
      </c>
      <c r="I975" s="18"/>
      <c r="J975" s="25" t="str">
        <f>IFERROR(__xludf.DUMMYFUNCTION("ARRAYFORMULA(REGEXEXTRACT(SPLIT(C975, ""&lt;br&gt;""), ""([가-힣A-Za-z]+)""))"),"신형만")</f>
        <v>신형만</v>
      </c>
      <c r="K975" s="26" t="str">
        <f>IFERROR(__xludf.DUMMYFUNCTION("""COMPUTED_VALUE"""),"원")</f>
        <v>원</v>
      </c>
      <c r="L975" s="26" t="str">
        <f>IFERROR(__xludf.DUMMYFUNCTION("""COMPUTED_VALUE"""),"노인")</f>
        <v>노인</v>
      </c>
      <c r="M975" s="26" t="str">
        <f>IFERROR(__xludf.DUMMYFUNCTION("""COMPUTED_VALUE"""),"전투쥐")</f>
        <v>전투쥐</v>
      </c>
      <c r="N975" s="26" t="str">
        <f>IFERROR(__xludf.DUMMYFUNCTION("ARRAYFORMULA(REGEXEXTRACT(SPLIT(E975, ""&lt;br&gt;""), ""([가-힣A-Za-z]+)""))"),"한메")</f>
        <v>한메</v>
      </c>
      <c r="O975" s="26" t="str">
        <f>IFERROR(__xludf.DUMMYFUNCTION("""COMPUTED_VALUE"""),"테리")</f>
        <v>테리</v>
      </c>
      <c r="P975" s="26" t="str">
        <f>IFERROR(__xludf.DUMMYFUNCTION("""COMPUTED_VALUE"""),"강화")</f>
        <v>강화</v>
      </c>
      <c r="Q975" s="26" t="str">
        <f>IFERROR(__xludf.DUMMYFUNCTION("""COMPUTED_VALUE"""),"깡패")</f>
        <v>깡패</v>
      </c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27" t="s">
        <v>4158</v>
      </c>
      <c r="B976" s="28" t="s">
        <v>4159</v>
      </c>
      <c r="C976" s="27" t="s">
        <v>4160</v>
      </c>
      <c r="D976" s="27">
        <v>5.0</v>
      </c>
      <c r="E976" s="27" t="s">
        <v>4161</v>
      </c>
      <c r="F976" s="27">
        <v>2.0</v>
      </c>
      <c r="G976" s="29">
        <v>45690.65902777778</v>
      </c>
      <c r="H976" s="27" t="s">
        <v>3405</v>
      </c>
      <c r="I976" s="18"/>
      <c r="J976" s="25" t="str">
        <f>IFERROR(__xludf.DUMMYFUNCTION("ARRAYFORMULA(REGEXEXTRACT(SPLIT(C976, ""&lt;br&gt;""), ""([가-힣A-Za-z]+)""))"),"한메")</f>
        <v>한메</v>
      </c>
      <c r="K976" s="26" t="str">
        <f>IFERROR(__xludf.DUMMYFUNCTION("""COMPUTED_VALUE"""),"테리")</f>
        <v>테리</v>
      </c>
      <c r="L976" s="26" t="str">
        <f>IFERROR(__xludf.DUMMYFUNCTION("""COMPUTED_VALUE"""),"신형만")</f>
        <v>신형만</v>
      </c>
      <c r="M976" s="26" t="str">
        <f>IFERROR(__xludf.DUMMYFUNCTION("""COMPUTED_VALUE"""),"전투쥐")</f>
        <v>전투쥐</v>
      </c>
      <c r="N976" s="26" t="str">
        <f>IFERROR(__xludf.DUMMYFUNCTION("ARRAYFORMULA(REGEXEXTRACT(SPLIT(E976, ""&lt;br&gt;""), ""([가-힣A-Za-z]+)""))"),"노인")</f>
        <v>노인</v>
      </c>
      <c r="O976" s="26" t="str">
        <f>IFERROR(__xludf.DUMMYFUNCTION("""COMPUTED_VALUE"""),"원")</f>
        <v>원</v>
      </c>
      <c r="P976" s="26" t="str">
        <f>IFERROR(__xludf.DUMMYFUNCTION("""COMPUTED_VALUE"""),"짱구")</f>
        <v>짱구</v>
      </c>
      <c r="Q976" s="26" t="str">
        <f>IFERROR(__xludf.DUMMYFUNCTION("""COMPUTED_VALUE"""),"강화")</f>
        <v>강화</v>
      </c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27" t="s">
        <v>4162</v>
      </c>
      <c r="B977" s="28" t="s">
        <v>4163</v>
      </c>
      <c r="C977" s="27" t="s">
        <v>4164</v>
      </c>
      <c r="D977" s="27">
        <v>5.0</v>
      </c>
      <c r="E977" s="27" t="s">
        <v>4165</v>
      </c>
      <c r="F977" s="27">
        <v>1.0</v>
      </c>
      <c r="G977" s="29">
        <v>45690.631944444445</v>
      </c>
      <c r="H977" s="27" t="s">
        <v>3405</v>
      </c>
      <c r="I977" s="18"/>
      <c r="J977" s="25" t="str">
        <f>IFERROR(__xludf.DUMMYFUNCTION("ARRAYFORMULA(REGEXEXTRACT(SPLIT(C977, ""&lt;br&gt;""), ""([가-힣A-Za-z]+)""))"),"노인")</f>
        <v>노인</v>
      </c>
      <c r="K977" s="26" t="str">
        <f>IFERROR(__xludf.DUMMYFUNCTION("""COMPUTED_VALUE"""),"짱구")</f>
        <v>짱구</v>
      </c>
      <c r="L977" s="26" t="str">
        <f>IFERROR(__xludf.DUMMYFUNCTION("""COMPUTED_VALUE"""),"테리")</f>
        <v>테리</v>
      </c>
      <c r="M977" s="26" t="str">
        <f>IFERROR(__xludf.DUMMYFUNCTION("""COMPUTED_VALUE"""),"한메")</f>
        <v>한메</v>
      </c>
      <c r="N977" s="26" t="str">
        <f>IFERROR(__xludf.DUMMYFUNCTION("ARRAYFORMULA(REGEXEXTRACT(SPLIT(E977, ""&lt;br&gt;""), ""([가-힣A-Za-z]+)""))"),"신형만")</f>
        <v>신형만</v>
      </c>
      <c r="O977" s="26" t="str">
        <f>IFERROR(__xludf.DUMMYFUNCTION("""COMPUTED_VALUE"""),"원")</f>
        <v>원</v>
      </c>
      <c r="P977" s="26" t="str">
        <f>IFERROR(__xludf.DUMMYFUNCTION("""COMPUTED_VALUE"""),"강화")</f>
        <v>강화</v>
      </c>
      <c r="Q977" s="26" t="str">
        <f>IFERROR(__xludf.DUMMYFUNCTION("""COMPUTED_VALUE"""),"전투쥐")</f>
        <v>전투쥐</v>
      </c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27" t="s">
        <v>4166</v>
      </c>
      <c r="B978" s="28" t="s">
        <v>4167</v>
      </c>
      <c r="C978" s="27" t="s">
        <v>4168</v>
      </c>
      <c r="D978" s="27">
        <v>5.0</v>
      </c>
      <c r="E978" s="27" t="s">
        <v>4169</v>
      </c>
      <c r="F978" s="27">
        <v>3.0</v>
      </c>
      <c r="G978" s="29">
        <v>45690.61875</v>
      </c>
      <c r="H978" s="27" t="s">
        <v>3405</v>
      </c>
      <c r="I978" s="18"/>
      <c r="J978" s="25" t="str">
        <f>IFERROR(__xludf.DUMMYFUNCTION("ARRAYFORMULA(REGEXEXTRACT(SPLIT(C978, ""&lt;br&gt;""), ""([가-힣A-Za-z]+)""))"),"전투쥐")</f>
        <v>전투쥐</v>
      </c>
      <c r="K978" s="26" t="str">
        <f>IFERROR(__xludf.DUMMYFUNCTION("""COMPUTED_VALUE"""),"테리")</f>
        <v>테리</v>
      </c>
      <c r="L978" s="26" t="str">
        <f>IFERROR(__xludf.DUMMYFUNCTION("""COMPUTED_VALUE"""),"신형만")</f>
        <v>신형만</v>
      </c>
      <c r="M978" s="26" t="str">
        <f>IFERROR(__xludf.DUMMYFUNCTION("""COMPUTED_VALUE"""),"한메")</f>
        <v>한메</v>
      </c>
      <c r="N978" s="26" t="str">
        <f>IFERROR(__xludf.DUMMYFUNCTION("ARRAYFORMULA(REGEXEXTRACT(SPLIT(E978, ""&lt;br&gt;""), ""([가-힣A-Za-z]+)""))"),"노인")</f>
        <v>노인</v>
      </c>
      <c r="O978" s="26" t="str">
        <f>IFERROR(__xludf.DUMMYFUNCTION("""COMPUTED_VALUE"""),"짱구")</f>
        <v>짱구</v>
      </c>
      <c r="P978" s="26" t="str">
        <f>IFERROR(__xludf.DUMMYFUNCTION("""COMPUTED_VALUE"""),"강화")</f>
        <v>강화</v>
      </c>
      <c r="Q978" s="26" t="str">
        <f>IFERROR(__xludf.DUMMYFUNCTION("""COMPUTED_VALUE"""),"원")</f>
        <v>원</v>
      </c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27" t="s">
        <v>4170</v>
      </c>
      <c r="B979" s="28" t="s">
        <v>4171</v>
      </c>
      <c r="C979" s="27" t="s">
        <v>4172</v>
      </c>
      <c r="D979" s="27">
        <v>5.0</v>
      </c>
      <c r="E979" s="27" t="s">
        <v>4173</v>
      </c>
      <c r="F979" s="27">
        <v>4.0</v>
      </c>
      <c r="G979" s="29">
        <v>45690.020833333336</v>
      </c>
      <c r="H979" s="27" t="s">
        <v>3405</v>
      </c>
      <c r="I979" s="18"/>
      <c r="J979" s="25" t="str">
        <f>IFERROR(__xludf.DUMMYFUNCTION("ARRAYFORMULA(REGEXEXTRACT(SPLIT(C979, ""&lt;br&gt;""), ""([가-힣A-Za-z]+)""))"),"재명")</f>
        <v>재명</v>
      </c>
      <c r="K979" s="26" t="str">
        <f>IFERROR(__xludf.DUMMYFUNCTION("""COMPUTED_VALUE"""),"재우")</f>
        <v>재우</v>
      </c>
      <c r="L979" s="26" t="str">
        <f>IFERROR(__xludf.DUMMYFUNCTION("""COMPUTED_VALUE"""),"따")</f>
        <v>따</v>
      </c>
      <c r="M979" s="26" t="str">
        <f>IFERROR(__xludf.DUMMYFUNCTION("""COMPUTED_VALUE"""),"노인")</f>
        <v>노인</v>
      </c>
      <c r="N979" s="26" t="str">
        <f>IFERROR(__xludf.DUMMYFUNCTION("ARRAYFORMULA(REGEXEXTRACT(SPLIT(E979, ""&lt;br&gt;""), ""([가-힣A-Za-z]+)""))"),"강화")</f>
        <v>강화</v>
      </c>
      <c r="O979" s="26" t="str">
        <f>IFERROR(__xludf.DUMMYFUNCTION("""COMPUTED_VALUE"""),"신형만")</f>
        <v>신형만</v>
      </c>
      <c r="P979" s="26" t="str">
        <f>IFERROR(__xludf.DUMMYFUNCTION("""COMPUTED_VALUE"""),"전투쥐")</f>
        <v>전투쥐</v>
      </c>
      <c r="Q979" s="26" t="str">
        <f>IFERROR(__xludf.DUMMYFUNCTION("""COMPUTED_VALUE"""),"ACDC")</f>
        <v>ACDC</v>
      </c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27" t="s">
        <v>4174</v>
      </c>
      <c r="B980" s="28" t="s">
        <v>4175</v>
      </c>
      <c r="C980" s="27" t="s">
        <v>4176</v>
      </c>
      <c r="D980" s="27">
        <v>5.0</v>
      </c>
      <c r="E980" s="27" t="s">
        <v>4177</v>
      </c>
      <c r="F980" s="27">
        <v>1.0</v>
      </c>
      <c r="G980" s="29">
        <v>45689.99097222222</v>
      </c>
      <c r="H980" s="27" t="s">
        <v>3405</v>
      </c>
      <c r="I980" s="18"/>
      <c r="J980" s="25" t="str">
        <f>IFERROR(__xludf.DUMMYFUNCTION("ARRAYFORMULA(REGEXEXTRACT(SPLIT(C980, ""&lt;br&gt;""), ""([가-힣A-Za-z]+)""))"),"노인")</f>
        <v>노인</v>
      </c>
      <c r="K980" s="26" t="str">
        <f>IFERROR(__xludf.DUMMYFUNCTION("""COMPUTED_VALUE"""),"재명")</f>
        <v>재명</v>
      </c>
      <c r="L980" s="26" t="str">
        <f>IFERROR(__xludf.DUMMYFUNCTION("""COMPUTED_VALUE"""),"ACDC")</f>
        <v>ACDC</v>
      </c>
      <c r="M980" s="26" t="str">
        <f>IFERROR(__xludf.DUMMYFUNCTION("""COMPUTED_VALUE"""),"신형만")</f>
        <v>신형만</v>
      </c>
      <c r="N980" s="26" t="str">
        <f>IFERROR(__xludf.DUMMYFUNCTION("ARRAYFORMULA(REGEXEXTRACT(SPLIT(E980, ""&lt;br&gt;""), ""([가-힣A-Za-z]+)""))"),"재우")</f>
        <v>재우</v>
      </c>
      <c r="O980" s="26" t="str">
        <f>IFERROR(__xludf.DUMMYFUNCTION("""COMPUTED_VALUE"""),"따")</f>
        <v>따</v>
      </c>
      <c r="P980" s="26" t="str">
        <f>IFERROR(__xludf.DUMMYFUNCTION("""COMPUTED_VALUE"""),"전투쥐")</f>
        <v>전투쥐</v>
      </c>
      <c r="Q980" s="26" t="str">
        <f>IFERROR(__xludf.DUMMYFUNCTION("""COMPUTED_VALUE"""),"강화")</f>
        <v>강화</v>
      </c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27" t="s">
        <v>4178</v>
      </c>
      <c r="B981" s="28" t="s">
        <v>4179</v>
      </c>
      <c r="C981" s="27" t="s">
        <v>4180</v>
      </c>
      <c r="D981" s="27">
        <v>5.0</v>
      </c>
      <c r="E981" s="27" t="s">
        <v>4181</v>
      </c>
      <c r="F981" s="27">
        <v>2.0</v>
      </c>
      <c r="G981" s="29">
        <v>45689.97777777778</v>
      </c>
      <c r="H981" s="27" t="s">
        <v>3405</v>
      </c>
      <c r="I981" s="18"/>
      <c r="J981" s="25" t="str">
        <f>IFERROR(__xludf.DUMMYFUNCTION("ARRAYFORMULA(REGEXEXTRACT(SPLIT(C981, ""&lt;br&gt;""), ""([가-힣A-Za-z]+)""))"),"노인")</f>
        <v>노인</v>
      </c>
      <c r="K981" s="26" t="str">
        <f>IFERROR(__xludf.DUMMYFUNCTION("""COMPUTED_VALUE"""),"따")</f>
        <v>따</v>
      </c>
      <c r="L981" s="26" t="str">
        <f>IFERROR(__xludf.DUMMYFUNCTION("""COMPUTED_VALUE"""),"ACDC")</f>
        <v>ACDC</v>
      </c>
      <c r="M981" s="26" t="str">
        <f>IFERROR(__xludf.DUMMYFUNCTION("""COMPUTED_VALUE"""),"전투쥐")</f>
        <v>전투쥐</v>
      </c>
      <c r="N981" s="26" t="str">
        <f>IFERROR(__xludf.DUMMYFUNCTION("ARRAYFORMULA(REGEXEXTRACT(SPLIT(E981, ""&lt;br&gt;""), ""([가-힣A-Za-z]+)""))"),"신형만")</f>
        <v>신형만</v>
      </c>
      <c r="O981" s="26" t="str">
        <f>IFERROR(__xludf.DUMMYFUNCTION("""COMPUTED_VALUE"""),"재우")</f>
        <v>재우</v>
      </c>
      <c r="P981" s="26" t="str">
        <f>IFERROR(__xludf.DUMMYFUNCTION("""COMPUTED_VALUE"""),"재명")</f>
        <v>재명</v>
      </c>
      <c r="Q981" s="26" t="str">
        <f>IFERROR(__xludf.DUMMYFUNCTION("""COMPUTED_VALUE"""),"강화")</f>
        <v>강화</v>
      </c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27" t="s">
        <v>4182</v>
      </c>
      <c r="B982" s="28" t="s">
        <v>4183</v>
      </c>
      <c r="C982" s="27" t="s">
        <v>4184</v>
      </c>
      <c r="D982" s="27">
        <v>5.0</v>
      </c>
      <c r="E982" s="27" t="s">
        <v>4185</v>
      </c>
      <c r="F982" s="27">
        <v>0.0</v>
      </c>
      <c r="G982" s="29">
        <v>45689.95138888889</v>
      </c>
      <c r="H982" s="27" t="s">
        <v>3405</v>
      </c>
      <c r="I982" s="18"/>
      <c r="J982" s="25" t="str">
        <f>IFERROR(__xludf.DUMMYFUNCTION("ARRAYFORMULA(REGEXEXTRACT(SPLIT(C982, ""&lt;br&gt;""), ""([가-힣A-Za-z]+)""))"),"노인")</f>
        <v>노인</v>
      </c>
      <c r="K982" s="26" t="str">
        <f>IFERROR(__xludf.DUMMYFUNCTION("""COMPUTED_VALUE"""),"따")</f>
        <v>따</v>
      </c>
      <c r="L982" s="26" t="str">
        <f>IFERROR(__xludf.DUMMYFUNCTION("""COMPUTED_VALUE"""),"신형만")</f>
        <v>신형만</v>
      </c>
      <c r="M982" s="26" t="str">
        <f>IFERROR(__xludf.DUMMYFUNCTION("""COMPUTED_VALUE"""),"재명")</f>
        <v>재명</v>
      </c>
      <c r="N982" s="26" t="str">
        <f>IFERROR(__xludf.DUMMYFUNCTION("ARRAYFORMULA(REGEXEXTRACT(SPLIT(E982, ""&lt;br&gt;""), ""([가-힣A-Za-z]+)""))"),"재우")</f>
        <v>재우</v>
      </c>
      <c r="O982" s="26" t="str">
        <f>IFERROR(__xludf.DUMMYFUNCTION("""COMPUTED_VALUE"""),"ACDC")</f>
        <v>ACDC</v>
      </c>
      <c r="P982" s="26" t="str">
        <f>IFERROR(__xludf.DUMMYFUNCTION("""COMPUTED_VALUE"""),"전투쥐")</f>
        <v>전투쥐</v>
      </c>
      <c r="Q982" s="26" t="str">
        <f>IFERROR(__xludf.DUMMYFUNCTION("""COMPUTED_VALUE"""),"강화")</f>
        <v>강화</v>
      </c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27" t="s">
        <v>4186</v>
      </c>
      <c r="B983" s="28" t="s">
        <v>4187</v>
      </c>
      <c r="C983" s="27" t="s">
        <v>4188</v>
      </c>
      <c r="D983" s="27">
        <v>5.0</v>
      </c>
      <c r="E983" s="27" t="s">
        <v>4189</v>
      </c>
      <c r="F983" s="27">
        <v>0.0</v>
      </c>
      <c r="G983" s="29">
        <v>45689.00902777778</v>
      </c>
      <c r="H983" s="27" t="s">
        <v>3405</v>
      </c>
      <c r="I983" s="18"/>
      <c r="J983" s="25" t="str">
        <f>IFERROR(__xludf.DUMMYFUNCTION("ARRAYFORMULA(REGEXEXTRACT(SPLIT(C983, ""&lt;br&gt;""), ""([가-힣A-Za-z]+)""))"),"깡패")</f>
        <v>깡패</v>
      </c>
      <c r="K983" s="26" t="str">
        <f>IFERROR(__xludf.DUMMYFUNCTION("""COMPUTED_VALUE"""),"테리")</f>
        <v>테리</v>
      </c>
      <c r="L983" s="26" t="str">
        <f>IFERROR(__xludf.DUMMYFUNCTION("""COMPUTED_VALUE"""),"유망")</f>
        <v>유망</v>
      </c>
      <c r="M983" s="26" t="str">
        <f>IFERROR(__xludf.DUMMYFUNCTION("""COMPUTED_VALUE"""),"신형만")</f>
        <v>신형만</v>
      </c>
      <c r="N983" s="26" t="str">
        <f>IFERROR(__xludf.DUMMYFUNCTION("ARRAYFORMULA(REGEXEXTRACT(SPLIT(E983, ""&lt;br&gt;""), ""([가-힣A-Za-z]+)""))"),"태식")</f>
        <v>태식</v>
      </c>
      <c r="O983" s="26" t="str">
        <f>IFERROR(__xludf.DUMMYFUNCTION("""COMPUTED_VALUE"""),"ACDC")</f>
        <v>ACDC</v>
      </c>
      <c r="P983" s="26" t="str">
        <f>IFERROR(__xludf.DUMMYFUNCTION("""COMPUTED_VALUE"""),"강화")</f>
        <v>강화</v>
      </c>
      <c r="Q983" s="26" t="str">
        <f>IFERROR(__xludf.DUMMYFUNCTION("""COMPUTED_VALUE"""),"전투쥐")</f>
        <v>전투쥐</v>
      </c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27" t="s">
        <v>4190</v>
      </c>
      <c r="B984" s="28" t="s">
        <v>4191</v>
      </c>
      <c r="C984" s="27" t="s">
        <v>4192</v>
      </c>
      <c r="D984" s="27">
        <v>5.0</v>
      </c>
      <c r="E984" s="27" t="s">
        <v>4193</v>
      </c>
      <c r="F984" s="27">
        <v>4.0</v>
      </c>
      <c r="G984" s="29">
        <v>45688.99930555555</v>
      </c>
      <c r="H984" s="27" t="s">
        <v>3405</v>
      </c>
      <c r="I984" s="18"/>
      <c r="J984" s="25" t="str">
        <f>IFERROR(__xludf.DUMMYFUNCTION("ARRAYFORMULA(REGEXEXTRACT(SPLIT(C984, ""&lt;br&gt;""), ""([가-힣A-Za-z]+)""))"),"신형만")</f>
        <v>신형만</v>
      </c>
      <c r="K984" s="26" t="str">
        <f>IFERROR(__xludf.DUMMYFUNCTION("""COMPUTED_VALUE"""),"태식")</f>
        <v>태식</v>
      </c>
      <c r="L984" s="26" t="str">
        <f>IFERROR(__xludf.DUMMYFUNCTION("""COMPUTED_VALUE"""),"강화")</f>
        <v>강화</v>
      </c>
      <c r="M984" s="26" t="str">
        <f>IFERROR(__xludf.DUMMYFUNCTION("""COMPUTED_VALUE"""),"유망")</f>
        <v>유망</v>
      </c>
      <c r="N984" s="26" t="str">
        <f>IFERROR(__xludf.DUMMYFUNCTION("ARRAYFORMULA(REGEXEXTRACT(SPLIT(E984, ""&lt;br&gt;""), ""([가-힣A-Za-z]+)""))"),"테리")</f>
        <v>테리</v>
      </c>
      <c r="O984" s="26" t="str">
        <f>IFERROR(__xludf.DUMMYFUNCTION("""COMPUTED_VALUE"""),"ACDC")</f>
        <v>ACDC</v>
      </c>
      <c r="P984" s="26" t="str">
        <f>IFERROR(__xludf.DUMMYFUNCTION("""COMPUTED_VALUE"""),"전투쥐")</f>
        <v>전투쥐</v>
      </c>
      <c r="Q984" s="26" t="str">
        <f>IFERROR(__xludf.DUMMYFUNCTION("""COMPUTED_VALUE"""),"깡패")</f>
        <v>깡패</v>
      </c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27" t="s">
        <v>4194</v>
      </c>
      <c r="B985" s="28" t="s">
        <v>4195</v>
      </c>
      <c r="C985" s="27" t="s">
        <v>4196</v>
      </c>
      <c r="D985" s="27">
        <v>5.0</v>
      </c>
      <c r="E985" s="27" t="s">
        <v>4197</v>
      </c>
      <c r="F985" s="27">
        <v>0.0</v>
      </c>
      <c r="G985" s="29">
        <v>45688.96527777778</v>
      </c>
      <c r="H985" s="27" t="s">
        <v>3405</v>
      </c>
      <c r="I985" s="18"/>
      <c r="J985" s="25" t="str">
        <f>IFERROR(__xludf.DUMMYFUNCTION("ARRAYFORMULA(REGEXEXTRACT(SPLIT(C985, ""&lt;br&gt;""), ""([가-힣A-Za-z]+)""))"),"ACDC")</f>
        <v>ACDC</v>
      </c>
      <c r="K985" s="26" t="str">
        <f>IFERROR(__xludf.DUMMYFUNCTION("""COMPUTED_VALUE"""),"태식")</f>
        <v>태식</v>
      </c>
      <c r="L985" s="26" t="str">
        <f>IFERROR(__xludf.DUMMYFUNCTION("""COMPUTED_VALUE"""),"테리")</f>
        <v>테리</v>
      </c>
      <c r="M985" s="26" t="str">
        <f>IFERROR(__xludf.DUMMYFUNCTION("""COMPUTED_VALUE"""),"따")</f>
        <v>따</v>
      </c>
      <c r="N985" s="26" t="str">
        <f>IFERROR(__xludf.DUMMYFUNCTION("ARRAYFORMULA(REGEXEXTRACT(SPLIT(E985, ""&lt;br&gt;""), ""([가-힣A-Za-z]+)""))"),"전투쥐")</f>
        <v>전투쥐</v>
      </c>
      <c r="O985" s="26" t="str">
        <f>IFERROR(__xludf.DUMMYFUNCTION("""COMPUTED_VALUE"""),"신형만")</f>
        <v>신형만</v>
      </c>
      <c r="P985" s="26" t="str">
        <f>IFERROR(__xludf.DUMMYFUNCTION("""COMPUTED_VALUE"""),"강화")</f>
        <v>강화</v>
      </c>
      <c r="Q985" s="26" t="str">
        <f>IFERROR(__xludf.DUMMYFUNCTION("""COMPUTED_VALUE"""),"깡패")</f>
        <v>깡패</v>
      </c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27" t="s">
        <v>4198</v>
      </c>
      <c r="B986" s="28" t="s">
        <v>4199</v>
      </c>
      <c r="C986" s="27" t="s">
        <v>4200</v>
      </c>
      <c r="D986" s="27">
        <v>5.0</v>
      </c>
      <c r="E986" s="27" t="s">
        <v>4201</v>
      </c>
      <c r="F986" s="27">
        <v>2.0</v>
      </c>
      <c r="G986" s="29">
        <v>45688.95</v>
      </c>
      <c r="H986" s="27" t="s">
        <v>3405</v>
      </c>
      <c r="I986" s="18"/>
      <c r="J986" s="25" t="str">
        <f>IFERROR(__xludf.DUMMYFUNCTION("ARRAYFORMULA(REGEXEXTRACT(SPLIT(C986, ""&lt;br&gt;""), ""([가-힣A-Za-z]+)""))"),"테리")</f>
        <v>테리</v>
      </c>
      <c r="K986" s="26" t="str">
        <f>IFERROR(__xludf.DUMMYFUNCTION("""COMPUTED_VALUE"""),"신형만")</f>
        <v>신형만</v>
      </c>
      <c r="L986" s="26" t="str">
        <f>IFERROR(__xludf.DUMMYFUNCTION("""COMPUTED_VALUE"""),"태식")</f>
        <v>태식</v>
      </c>
      <c r="M986" s="26" t="str">
        <f>IFERROR(__xludf.DUMMYFUNCTION("""COMPUTED_VALUE"""),"강화")</f>
        <v>강화</v>
      </c>
      <c r="N986" s="26" t="str">
        <f>IFERROR(__xludf.DUMMYFUNCTION("ARRAYFORMULA(REGEXEXTRACT(SPLIT(E986, ""&lt;br&gt;""), ""([가-힣A-Za-z]+)""))"),"재명")</f>
        <v>재명</v>
      </c>
      <c r="O986" s="26" t="str">
        <f>IFERROR(__xludf.DUMMYFUNCTION("""COMPUTED_VALUE"""),"깡패")</f>
        <v>깡패</v>
      </c>
      <c r="P986" s="26" t="str">
        <f>IFERROR(__xludf.DUMMYFUNCTION("""COMPUTED_VALUE"""),"ACDC")</f>
        <v>ACDC</v>
      </c>
      <c r="Q986" s="26" t="str">
        <f>IFERROR(__xludf.DUMMYFUNCTION("""COMPUTED_VALUE"""),"전투쥐")</f>
        <v>전투쥐</v>
      </c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27" t="s">
        <v>4202</v>
      </c>
      <c r="B987" s="28" t="s">
        <v>4203</v>
      </c>
      <c r="C987" s="27" t="s">
        <v>4204</v>
      </c>
      <c r="D987" s="27">
        <v>5.0</v>
      </c>
      <c r="E987" s="27" t="s">
        <v>4205</v>
      </c>
      <c r="F987" s="27">
        <v>3.0</v>
      </c>
      <c r="G987" s="29">
        <v>45688.927777777775</v>
      </c>
      <c r="H987" s="27" t="s">
        <v>3405</v>
      </c>
      <c r="I987" s="18"/>
      <c r="J987" s="25" t="str">
        <f>IFERROR(__xludf.DUMMYFUNCTION("ARRAYFORMULA(REGEXEXTRACT(SPLIT(C987, ""&lt;br&gt;""), ""([가-힣A-Za-z]+)""))"),"깡패")</f>
        <v>깡패</v>
      </c>
      <c r="K987" s="26" t="str">
        <f>IFERROR(__xludf.DUMMYFUNCTION("""COMPUTED_VALUE"""),"태식")</f>
        <v>태식</v>
      </c>
      <c r="L987" s="26" t="str">
        <f>IFERROR(__xludf.DUMMYFUNCTION("""COMPUTED_VALUE"""),"재명")</f>
        <v>재명</v>
      </c>
      <c r="M987" s="26" t="str">
        <f>IFERROR(__xludf.DUMMYFUNCTION("""COMPUTED_VALUE"""),"강화")</f>
        <v>강화</v>
      </c>
      <c r="N987" s="26" t="str">
        <f>IFERROR(__xludf.DUMMYFUNCTION("ARRAYFORMULA(REGEXEXTRACT(SPLIT(E987, ""&lt;br&gt;""), ""([가-힣A-Za-z]+)""))"),"전투쥐")</f>
        <v>전투쥐</v>
      </c>
      <c r="O987" s="26" t="str">
        <f>IFERROR(__xludf.DUMMYFUNCTION("""COMPUTED_VALUE"""),"한메")</f>
        <v>한메</v>
      </c>
      <c r="P987" s="26" t="str">
        <f>IFERROR(__xludf.DUMMYFUNCTION("""COMPUTED_VALUE"""),"ACDC")</f>
        <v>ACDC</v>
      </c>
      <c r="Q987" s="26" t="str">
        <f>IFERROR(__xludf.DUMMYFUNCTION("""COMPUTED_VALUE"""),"신형만")</f>
        <v>신형만</v>
      </c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27" t="s">
        <v>4206</v>
      </c>
      <c r="B988" s="28" t="s">
        <v>4207</v>
      </c>
      <c r="C988" s="27" t="s">
        <v>4208</v>
      </c>
      <c r="D988" s="27">
        <v>5.0</v>
      </c>
      <c r="E988" s="27" t="s">
        <v>4209</v>
      </c>
      <c r="F988" s="27">
        <v>3.0</v>
      </c>
      <c r="G988" s="29">
        <v>45688.90277777778</v>
      </c>
      <c r="H988" s="27" t="s">
        <v>3405</v>
      </c>
      <c r="I988" s="18"/>
      <c r="J988" s="25" t="str">
        <f>IFERROR(__xludf.DUMMYFUNCTION("ARRAYFORMULA(REGEXEXTRACT(SPLIT(C988, ""&lt;br&gt;""), ""([가-힣A-Za-z]+)""))"),"태식")</f>
        <v>태식</v>
      </c>
      <c r="K988" s="26" t="str">
        <f>IFERROR(__xludf.DUMMYFUNCTION("""COMPUTED_VALUE"""),"깡패")</f>
        <v>깡패</v>
      </c>
      <c r="L988" s="26" t="str">
        <f>IFERROR(__xludf.DUMMYFUNCTION("""COMPUTED_VALUE"""),"신형만")</f>
        <v>신형만</v>
      </c>
      <c r="M988" s="26" t="str">
        <f>IFERROR(__xludf.DUMMYFUNCTION("""COMPUTED_VALUE"""),"ACDC")</f>
        <v>ACDC</v>
      </c>
      <c r="N988" s="26" t="str">
        <f>IFERROR(__xludf.DUMMYFUNCTION("ARRAYFORMULA(REGEXEXTRACT(SPLIT(E988, ""&lt;br&gt;""), ""([가-힣A-Za-z]+)""))"),"전투쥐")</f>
        <v>전투쥐</v>
      </c>
      <c r="O988" s="26" t="str">
        <f>IFERROR(__xludf.DUMMYFUNCTION("""COMPUTED_VALUE"""),"한메")</f>
        <v>한메</v>
      </c>
      <c r="P988" s="26" t="str">
        <f>IFERROR(__xludf.DUMMYFUNCTION("""COMPUTED_VALUE"""),"재명")</f>
        <v>재명</v>
      </c>
      <c r="Q988" s="26" t="str">
        <f>IFERROR(__xludf.DUMMYFUNCTION("""COMPUTED_VALUE"""),"강화")</f>
        <v>강화</v>
      </c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27" t="s">
        <v>4210</v>
      </c>
      <c r="B989" s="28" t="s">
        <v>4211</v>
      </c>
      <c r="C989" s="27" t="s">
        <v>4212</v>
      </c>
      <c r="D989" s="27">
        <v>5.0</v>
      </c>
      <c r="E989" s="27" t="s">
        <v>4213</v>
      </c>
      <c r="F989" s="27">
        <v>3.0</v>
      </c>
      <c r="G989" s="29">
        <v>45688.8875</v>
      </c>
      <c r="H989" s="27" t="s">
        <v>3405</v>
      </c>
      <c r="I989" s="18"/>
      <c r="J989" s="25" t="str">
        <f>IFERROR(__xludf.DUMMYFUNCTION("ARRAYFORMULA(REGEXEXTRACT(SPLIT(C989, ""&lt;br&gt;""), ""([가-힣A-Za-z]+)""))"),"전투쥐")</f>
        <v>전투쥐</v>
      </c>
      <c r="K989" s="26" t="str">
        <f>IFERROR(__xludf.DUMMYFUNCTION("""COMPUTED_VALUE"""),"깡패")</f>
        <v>깡패</v>
      </c>
      <c r="L989" s="26" t="str">
        <f>IFERROR(__xludf.DUMMYFUNCTION("""COMPUTED_VALUE"""),"테리")</f>
        <v>테리</v>
      </c>
      <c r="M989" s="26" t="str">
        <f>IFERROR(__xludf.DUMMYFUNCTION("""COMPUTED_VALUE"""),"신형만")</f>
        <v>신형만</v>
      </c>
      <c r="N989" s="26" t="str">
        <f>IFERROR(__xludf.DUMMYFUNCTION("ARRAYFORMULA(REGEXEXTRACT(SPLIT(E989, ""&lt;br&gt;""), ""([가-힣A-Za-z]+)""))"),"강화")</f>
        <v>강화</v>
      </c>
      <c r="O989" s="26" t="str">
        <f>IFERROR(__xludf.DUMMYFUNCTION("""COMPUTED_VALUE"""),"태식")</f>
        <v>태식</v>
      </c>
      <c r="P989" s="26" t="str">
        <f>IFERROR(__xludf.DUMMYFUNCTION("""COMPUTED_VALUE"""),"한메")</f>
        <v>한메</v>
      </c>
      <c r="Q989" s="26" t="str">
        <f>IFERROR(__xludf.DUMMYFUNCTION("""COMPUTED_VALUE"""),"ACDC")</f>
        <v>ACDC</v>
      </c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27" t="s">
        <v>4214</v>
      </c>
      <c r="B990" s="28" t="s">
        <v>4215</v>
      </c>
      <c r="C990" s="27" t="s">
        <v>4216</v>
      </c>
      <c r="D990" s="27">
        <v>5.0</v>
      </c>
      <c r="E990" s="27" t="s">
        <v>4217</v>
      </c>
      <c r="F990" s="27">
        <v>0.0</v>
      </c>
      <c r="G990" s="29">
        <v>45688.86041666667</v>
      </c>
      <c r="H990" s="27" t="s">
        <v>3405</v>
      </c>
      <c r="I990" s="18"/>
      <c r="J990" s="25" t="str">
        <f>IFERROR(__xludf.DUMMYFUNCTION("ARRAYFORMULA(REGEXEXTRACT(SPLIT(C990, ""&lt;br&gt;""), ""([가-힣A-Za-z]+)""))"),"강화")</f>
        <v>강화</v>
      </c>
      <c r="K990" s="26" t="str">
        <f>IFERROR(__xludf.DUMMYFUNCTION("""COMPUTED_VALUE"""),"테리")</f>
        <v>테리</v>
      </c>
      <c r="L990" s="26" t="str">
        <f>IFERROR(__xludf.DUMMYFUNCTION("""COMPUTED_VALUE"""),"한메")</f>
        <v>한메</v>
      </c>
      <c r="M990" s="26" t="str">
        <f>IFERROR(__xludf.DUMMYFUNCTION("""COMPUTED_VALUE"""),"전투쥐")</f>
        <v>전투쥐</v>
      </c>
      <c r="N990" s="26" t="str">
        <f>IFERROR(__xludf.DUMMYFUNCTION("ARRAYFORMULA(REGEXEXTRACT(SPLIT(E990, ""&lt;br&gt;""), ""([가-힣A-Za-z]+)""))"),"ACDC")</f>
        <v>ACDC</v>
      </c>
      <c r="O990" s="26" t="str">
        <f>IFERROR(__xludf.DUMMYFUNCTION("""COMPUTED_VALUE"""),"신형만")</f>
        <v>신형만</v>
      </c>
      <c r="P990" s="26" t="str">
        <f>IFERROR(__xludf.DUMMYFUNCTION("""COMPUTED_VALUE"""),"태식")</f>
        <v>태식</v>
      </c>
      <c r="Q990" s="26" t="str">
        <f>IFERROR(__xludf.DUMMYFUNCTION("""COMPUTED_VALUE"""),"깡패")</f>
        <v>깡패</v>
      </c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27" t="s">
        <v>4218</v>
      </c>
      <c r="B991" s="28" t="s">
        <v>4219</v>
      </c>
      <c r="C991" s="27" t="s">
        <v>4220</v>
      </c>
      <c r="D991" s="27">
        <v>5.0</v>
      </c>
      <c r="E991" s="27" t="s">
        <v>4221</v>
      </c>
      <c r="F991" s="27">
        <v>3.0</v>
      </c>
      <c r="G991" s="29">
        <v>45687.86875</v>
      </c>
      <c r="H991" s="27" t="s">
        <v>3405</v>
      </c>
      <c r="I991" s="18"/>
      <c r="J991" s="25" t="str">
        <f>IFERROR(__xludf.DUMMYFUNCTION("ARRAYFORMULA(REGEXEXTRACT(SPLIT(C991, ""&lt;br&gt;""), ""([가-힣A-Za-z]+)""))"),"테리")</f>
        <v>테리</v>
      </c>
      <c r="K991" s="26" t="str">
        <f>IFERROR(__xludf.DUMMYFUNCTION("""COMPUTED_VALUE"""),"노인")</f>
        <v>노인</v>
      </c>
      <c r="L991" s="26" t="str">
        <f>IFERROR(__xludf.DUMMYFUNCTION("""COMPUTED_VALUE"""),"ACDC")</f>
        <v>ACDC</v>
      </c>
      <c r="M991" s="26" t="str">
        <f>IFERROR(__xludf.DUMMYFUNCTION("""COMPUTED_VALUE"""),"전투쥐")</f>
        <v>전투쥐</v>
      </c>
      <c r="N991" s="26" t="str">
        <f>IFERROR(__xludf.DUMMYFUNCTION("ARRAYFORMULA(REGEXEXTRACT(SPLIT(E991, ""&lt;br&gt;""), ""([가-힣A-Za-z]+)""))"),"강화")</f>
        <v>강화</v>
      </c>
      <c r="O991" s="26" t="str">
        <f>IFERROR(__xludf.DUMMYFUNCTION("""COMPUTED_VALUE"""),"깡패")</f>
        <v>깡패</v>
      </c>
      <c r="P991" s="26" t="str">
        <f>IFERROR(__xludf.DUMMYFUNCTION("""COMPUTED_VALUE"""),"신형만")</f>
        <v>신형만</v>
      </c>
      <c r="Q991" s="26" t="str">
        <f>IFERROR(__xludf.DUMMYFUNCTION("""COMPUTED_VALUE"""),"태식")</f>
        <v>태식</v>
      </c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27" t="s">
        <v>4222</v>
      </c>
      <c r="B992" s="28" t="s">
        <v>4223</v>
      </c>
      <c r="C992" s="27" t="s">
        <v>4224</v>
      </c>
      <c r="D992" s="27">
        <v>5.0</v>
      </c>
      <c r="E992" s="27" t="s">
        <v>4225</v>
      </c>
      <c r="F992" s="27">
        <v>1.0</v>
      </c>
      <c r="G992" s="29">
        <v>45687.84444444445</v>
      </c>
      <c r="H992" s="27" t="s">
        <v>3405</v>
      </c>
      <c r="I992" s="18"/>
      <c r="J992" s="25" t="str">
        <f>IFERROR(__xludf.DUMMYFUNCTION("ARRAYFORMULA(REGEXEXTRACT(SPLIT(C992, ""&lt;br&gt;""), ""([가-힣A-Za-z]+)""))"),"노인")</f>
        <v>노인</v>
      </c>
      <c r="K992" s="26" t="str">
        <f>IFERROR(__xludf.DUMMYFUNCTION("""COMPUTED_VALUE"""),"태식")</f>
        <v>태식</v>
      </c>
      <c r="L992" s="26" t="str">
        <f>IFERROR(__xludf.DUMMYFUNCTION("""COMPUTED_VALUE"""),"전투쥐")</f>
        <v>전투쥐</v>
      </c>
      <c r="M992" s="26" t="str">
        <f>IFERROR(__xludf.DUMMYFUNCTION("""COMPUTED_VALUE"""),"깡패")</f>
        <v>깡패</v>
      </c>
      <c r="N992" s="26" t="str">
        <f>IFERROR(__xludf.DUMMYFUNCTION("ARRAYFORMULA(REGEXEXTRACT(SPLIT(E992, ""&lt;br&gt;""), ""([가-힣A-Za-z]+)""))"),"강화")</f>
        <v>강화</v>
      </c>
      <c r="O992" s="26" t="str">
        <f>IFERROR(__xludf.DUMMYFUNCTION("""COMPUTED_VALUE"""),"테리")</f>
        <v>테리</v>
      </c>
      <c r="P992" s="26" t="str">
        <f>IFERROR(__xludf.DUMMYFUNCTION("""COMPUTED_VALUE"""),"ACDC")</f>
        <v>ACDC</v>
      </c>
      <c r="Q992" s="26" t="str">
        <f>IFERROR(__xludf.DUMMYFUNCTION("""COMPUTED_VALUE"""),"신형만")</f>
        <v>신형만</v>
      </c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27" t="s">
        <v>4226</v>
      </c>
      <c r="B993" s="28" t="s">
        <v>4227</v>
      </c>
      <c r="C993" s="27" t="s">
        <v>4228</v>
      </c>
      <c r="D993" s="27">
        <v>5.0</v>
      </c>
      <c r="E993" s="27" t="s">
        <v>4229</v>
      </c>
      <c r="F993" s="27">
        <v>4.0</v>
      </c>
      <c r="G993" s="29">
        <v>45687.82916666667</v>
      </c>
      <c r="H993" s="27" t="s">
        <v>3405</v>
      </c>
      <c r="I993" s="18"/>
      <c r="J993" s="25" t="str">
        <f>IFERROR(__xludf.DUMMYFUNCTION("ARRAYFORMULA(REGEXEXTRACT(SPLIT(C993, ""&lt;br&gt;""), ""([가-힣A-Za-z]+)""))"),"테리")</f>
        <v>테리</v>
      </c>
      <c r="K993" s="26" t="str">
        <f>IFERROR(__xludf.DUMMYFUNCTION("""COMPUTED_VALUE"""),"ACDC")</f>
        <v>ACDC</v>
      </c>
      <c r="L993" s="26" t="str">
        <f>IFERROR(__xludf.DUMMYFUNCTION("""COMPUTED_VALUE"""),"태식")</f>
        <v>태식</v>
      </c>
      <c r="M993" s="26" t="str">
        <f>IFERROR(__xludf.DUMMYFUNCTION("""COMPUTED_VALUE"""),"깡패")</f>
        <v>깡패</v>
      </c>
      <c r="N993" s="26" t="str">
        <f>IFERROR(__xludf.DUMMYFUNCTION("ARRAYFORMULA(REGEXEXTRACT(SPLIT(E993, ""&lt;br&gt;""), ""([가-힣A-Za-z]+)""))"),"신형만")</f>
        <v>신형만</v>
      </c>
      <c r="O993" s="26" t="str">
        <f>IFERROR(__xludf.DUMMYFUNCTION("""COMPUTED_VALUE"""),"노인")</f>
        <v>노인</v>
      </c>
      <c r="P993" s="26" t="str">
        <f>IFERROR(__xludf.DUMMYFUNCTION("""COMPUTED_VALUE"""),"전투쥐")</f>
        <v>전투쥐</v>
      </c>
      <c r="Q993" s="26" t="str">
        <f>IFERROR(__xludf.DUMMYFUNCTION("""COMPUTED_VALUE"""),"강화")</f>
        <v>강화</v>
      </c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27" t="s">
        <v>4230</v>
      </c>
      <c r="B994" s="28" t="s">
        <v>4231</v>
      </c>
      <c r="C994" s="27" t="s">
        <v>4232</v>
      </c>
      <c r="D994" s="27">
        <v>5.0</v>
      </c>
      <c r="E994" s="27" t="s">
        <v>4233</v>
      </c>
      <c r="F994" s="27">
        <v>0.0</v>
      </c>
      <c r="G994" s="29">
        <v>45687.73611111111</v>
      </c>
      <c r="H994" s="27" t="s">
        <v>3405</v>
      </c>
      <c r="I994" s="18"/>
      <c r="J994" s="25" t="str">
        <f>IFERROR(__xludf.DUMMYFUNCTION("ARRAYFORMULA(REGEXEXTRACT(SPLIT(C994, ""&lt;br&gt;""), ""([가-힣A-Za-z]+)""))"),"신형만")</f>
        <v>신형만</v>
      </c>
      <c r="K994" s="26" t="str">
        <f>IFERROR(__xludf.DUMMYFUNCTION("""COMPUTED_VALUE"""),"테리")</f>
        <v>테리</v>
      </c>
      <c r="L994" s="26" t="str">
        <f>IFERROR(__xludf.DUMMYFUNCTION("""COMPUTED_VALUE"""),"깡패")</f>
        <v>깡패</v>
      </c>
      <c r="M994" s="26" t="str">
        <f>IFERROR(__xludf.DUMMYFUNCTION("""COMPUTED_VALUE"""),"한메")</f>
        <v>한메</v>
      </c>
      <c r="N994" s="26" t="str">
        <f>IFERROR(__xludf.DUMMYFUNCTION("ARRAYFORMULA(REGEXEXTRACT(SPLIT(E994, ""&lt;br&gt;""), ""([가-힣A-Za-z]+)""))"),"전투쥐")</f>
        <v>전투쥐</v>
      </c>
      <c r="O994" s="26" t="str">
        <f>IFERROR(__xludf.DUMMYFUNCTION("""COMPUTED_VALUE"""),"ACDC")</f>
        <v>ACDC</v>
      </c>
      <c r="P994" s="26" t="str">
        <f>IFERROR(__xludf.DUMMYFUNCTION("""COMPUTED_VALUE"""),"강화")</f>
        <v>강화</v>
      </c>
      <c r="Q994" s="26" t="str">
        <f>IFERROR(__xludf.DUMMYFUNCTION("""COMPUTED_VALUE"""),"따")</f>
        <v>따</v>
      </c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27" t="s">
        <v>4234</v>
      </c>
      <c r="B995" s="28" t="s">
        <v>4235</v>
      </c>
      <c r="C995" s="27" t="s">
        <v>4236</v>
      </c>
      <c r="D995" s="27">
        <v>5.0</v>
      </c>
      <c r="E995" s="27" t="s">
        <v>4237</v>
      </c>
      <c r="F995" s="27">
        <v>3.0</v>
      </c>
      <c r="G995" s="29">
        <v>45687.72708333333</v>
      </c>
      <c r="H995" s="27" t="s">
        <v>3405</v>
      </c>
      <c r="I995" s="18"/>
      <c r="J995" s="25" t="str">
        <f>IFERROR(__xludf.DUMMYFUNCTION("ARRAYFORMULA(REGEXEXTRACT(SPLIT(C995, ""&lt;br&gt;""), ""([가-힣A-Za-z]+)""))"),"신형만")</f>
        <v>신형만</v>
      </c>
      <c r="K995" s="26" t="str">
        <f>IFERROR(__xludf.DUMMYFUNCTION("""COMPUTED_VALUE"""),"ACDC")</f>
        <v>ACDC</v>
      </c>
      <c r="L995" s="26" t="str">
        <f>IFERROR(__xludf.DUMMYFUNCTION("""COMPUTED_VALUE"""),"따")</f>
        <v>따</v>
      </c>
      <c r="M995" s="26" t="str">
        <f>IFERROR(__xludf.DUMMYFUNCTION("""COMPUTED_VALUE"""),"한메")</f>
        <v>한메</v>
      </c>
      <c r="N995" s="26" t="str">
        <f>IFERROR(__xludf.DUMMYFUNCTION("ARRAYFORMULA(REGEXEXTRACT(SPLIT(E995, ""&lt;br&gt;""), ""([가-힣A-Za-z]+)""))"),"강화")</f>
        <v>강화</v>
      </c>
      <c r="O995" s="26" t="str">
        <f>IFERROR(__xludf.DUMMYFUNCTION("""COMPUTED_VALUE"""),"테리")</f>
        <v>테리</v>
      </c>
      <c r="P995" s="26" t="str">
        <f>IFERROR(__xludf.DUMMYFUNCTION("""COMPUTED_VALUE"""),"깡패")</f>
        <v>깡패</v>
      </c>
      <c r="Q995" s="26" t="str">
        <f>IFERROR(__xludf.DUMMYFUNCTION("""COMPUTED_VALUE"""),"전투쥐")</f>
        <v>전투쥐</v>
      </c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27" t="s">
        <v>4238</v>
      </c>
      <c r="B996" s="28" t="s">
        <v>4239</v>
      </c>
      <c r="C996" s="27" t="s">
        <v>4240</v>
      </c>
      <c r="D996" s="27">
        <v>5.0</v>
      </c>
      <c r="E996" s="27" t="s">
        <v>4241</v>
      </c>
      <c r="F996" s="27">
        <v>3.0</v>
      </c>
      <c r="G996" s="29">
        <v>45687.69930555556</v>
      </c>
      <c r="H996" s="27" t="s">
        <v>3405</v>
      </c>
      <c r="I996" s="18"/>
      <c r="J996" s="25" t="str">
        <f>IFERROR(__xludf.DUMMYFUNCTION("ARRAYFORMULA(REGEXEXTRACT(SPLIT(C996, ""&lt;br&gt;""), ""([가-힣A-Za-z]+)""))"),"테리")</f>
        <v>테리</v>
      </c>
      <c r="K996" s="26" t="str">
        <f>IFERROR(__xludf.DUMMYFUNCTION("""COMPUTED_VALUE"""),"한메")</f>
        <v>한메</v>
      </c>
      <c r="L996" s="26" t="str">
        <f>IFERROR(__xludf.DUMMYFUNCTION("""COMPUTED_VALUE"""),"전투쥐")</f>
        <v>전투쥐</v>
      </c>
      <c r="M996" s="26" t="str">
        <f>IFERROR(__xludf.DUMMYFUNCTION("""COMPUTED_VALUE"""),"따")</f>
        <v>따</v>
      </c>
      <c r="N996" s="26" t="str">
        <f>IFERROR(__xludf.DUMMYFUNCTION("ARRAYFORMULA(REGEXEXTRACT(SPLIT(E996, ""&lt;br&gt;""), ""([가-힣A-Za-z]+)""))"),"신형만")</f>
        <v>신형만</v>
      </c>
      <c r="O996" s="26" t="str">
        <f>IFERROR(__xludf.DUMMYFUNCTION("""COMPUTED_VALUE"""),"ACDC")</f>
        <v>ACDC</v>
      </c>
      <c r="P996" s="26" t="str">
        <f>IFERROR(__xludf.DUMMYFUNCTION("""COMPUTED_VALUE"""),"깡패")</f>
        <v>깡패</v>
      </c>
      <c r="Q996" s="26" t="str">
        <f>IFERROR(__xludf.DUMMYFUNCTION("""COMPUTED_VALUE"""),"강화")</f>
        <v>강화</v>
      </c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27" t="s">
        <v>4242</v>
      </c>
      <c r="B997" s="28" t="s">
        <v>4243</v>
      </c>
      <c r="C997" s="27" t="s">
        <v>2361</v>
      </c>
      <c r="D997" s="27">
        <v>5.0</v>
      </c>
      <c r="E997" s="27" t="s">
        <v>4244</v>
      </c>
      <c r="F997" s="27">
        <v>4.0</v>
      </c>
      <c r="G997" s="29">
        <v>45687.67361111111</v>
      </c>
      <c r="H997" s="27" t="s">
        <v>3405</v>
      </c>
      <c r="I997" s="18"/>
      <c r="J997" s="25" t="str">
        <f>IFERROR(__xludf.DUMMYFUNCTION("ARRAYFORMULA(REGEXEXTRACT(SPLIT(C997, ""&lt;br&gt;""), ""([가-힣A-Za-z]+)""))"),"테리")</f>
        <v>테리</v>
      </c>
      <c r="K997" s="26" t="str">
        <f>IFERROR(__xludf.DUMMYFUNCTION("""COMPUTED_VALUE"""),"유즈")</f>
        <v>유즈</v>
      </c>
      <c r="L997" s="26" t="str">
        <f>IFERROR(__xludf.DUMMYFUNCTION("""COMPUTED_VALUE"""),"한메")</f>
        <v>한메</v>
      </c>
      <c r="M997" s="26" t="str">
        <f>IFERROR(__xludf.DUMMYFUNCTION("""COMPUTED_VALUE"""),"깡패")</f>
        <v>깡패</v>
      </c>
      <c r="N997" s="26" t="str">
        <f>IFERROR(__xludf.DUMMYFUNCTION("ARRAYFORMULA(REGEXEXTRACT(SPLIT(E997, ""&lt;br&gt;""), ""([가-힣A-Za-z]+)""))"),"신형만")</f>
        <v>신형만</v>
      </c>
      <c r="O997" s="26" t="str">
        <f>IFERROR(__xludf.DUMMYFUNCTION("""COMPUTED_VALUE"""),"따")</f>
        <v>따</v>
      </c>
      <c r="P997" s="26" t="str">
        <f>IFERROR(__xludf.DUMMYFUNCTION("""COMPUTED_VALUE"""),"강화")</f>
        <v>강화</v>
      </c>
      <c r="Q997" s="26" t="str">
        <f>IFERROR(__xludf.DUMMYFUNCTION("""COMPUTED_VALUE"""),"전투쥐")</f>
        <v>전투쥐</v>
      </c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27" t="s">
        <v>4245</v>
      </c>
      <c r="B998" s="28" t="s">
        <v>4246</v>
      </c>
      <c r="C998" s="27" t="s">
        <v>4247</v>
      </c>
      <c r="D998" s="27">
        <v>5.0</v>
      </c>
      <c r="E998" s="27" t="s">
        <v>4248</v>
      </c>
      <c r="F998" s="27">
        <v>0.0</v>
      </c>
      <c r="G998" s="29">
        <v>45687.635416666664</v>
      </c>
      <c r="H998" s="27" t="s">
        <v>3405</v>
      </c>
      <c r="I998" s="18"/>
      <c r="J998" s="25" t="str">
        <f>IFERROR(__xludf.DUMMYFUNCTION("ARRAYFORMULA(REGEXEXTRACT(SPLIT(C998, ""&lt;br&gt;""), ""([가-힣A-Za-z]+)""))"),"신형만")</f>
        <v>신형만</v>
      </c>
      <c r="K998" s="26" t="str">
        <f>IFERROR(__xludf.DUMMYFUNCTION("""COMPUTED_VALUE"""),"유즈")</f>
        <v>유즈</v>
      </c>
      <c r="L998" s="26" t="str">
        <f>IFERROR(__xludf.DUMMYFUNCTION("""COMPUTED_VALUE"""),"테리")</f>
        <v>테리</v>
      </c>
      <c r="M998" s="26" t="str">
        <f>IFERROR(__xludf.DUMMYFUNCTION("""COMPUTED_VALUE"""),"전투쥐")</f>
        <v>전투쥐</v>
      </c>
      <c r="N998" s="26" t="str">
        <f>IFERROR(__xludf.DUMMYFUNCTION("ARRAYFORMULA(REGEXEXTRACT(SPLIT(E998, ""&lt;br&gt;""), ""([가-힣A-Za-z]+)""))"),"한메")</f>
        <v>한메</v>
      </c>
      <c r="O998" s="26" t="str">
        <f>IFERROR(__xludf.DUMMYFUNCTION("""COMPUTED_VALUE"""),"따")</f>
        <v>따</v>
      </c>
      <c r="P998" s="26" t="str">
        <f>IFERROR(__xludf.DUMMYFUNCTION("""COMPUTED_VALUE"""),"강화")</f>
        <v>강화</v>
      </c>
      <c r="Q998" s="26" t="str">
        <f>IFERROR(__xludf.DUMMYFUNCTION("""COMPUTED_VALUE"""),"깡패")</f>
        <v>깡패</v>
      </c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27" t="s">
        <v>4249</v>
      </c>
      <c r="B999" s="28" t="s">
        <v>4250</v>
      </c>
      <c r="C999" s="27" t="s">
        <v>4251</v>
      </c>
      <c r="D999" s="27">
        <v>5.0</v>
      </c>
      <c r="E999" s="27" t="s">
        <v>4252</v>
      </c>
      <c r="F999" s="27">
        <v>1.0</v>
      </c>
      <c r="G999" s="29">
        <v>45687.615277777775</v>
      </c>
      <c r="H999" s="27" t="s">
        <v>3405</v>
      </c>
      <c r="I999" s="18"/>
      <c r="J999" s="25" t="str">
        <f>IFERROR(__xludf.DUMMYFUNCTION("ARRAYFORMULA(REGEXEXTRACT(SPLIT(C999, ""&lt;br&gt;""), ""([가-힣A-Za-z]+)""))"),"한메")</f>
        <v>한메</v>
      </c>
      <c r="K999" s="26" t="str">
        <f>IFERROR(__xludf.DUMMYFUNCTION("""COMPUTED_VALUE"""),"테리")</f>
        <v>테리</v>
      </c>
      <c r="L999" s="26" t="str">
        <f>IFERROR(__xludf.DUMMYFUNCTION("""COMPUTED_VALUE"""),"전투쥐")</f>
        <v>전투쥐</v>
      </c>
      <c r="M999" s="26" t="str">
        <f>IFERROR(__xludf.DUMMYFUNCTION("""COMPUTED_VALUE"""),"따")</f>
        <v>따</v>
      </c>
      <c r="N999" s="26" t="str">
        <f>IFERROR(__xludf.DUMMYFUNCTION("ARRAYFORMULA(REGEXEXTRACT(SPLIT(E999, ""&lt;br&gt;""), ""([가-힣A-Za-z]+)""))"),"유즈")</f>
        <v>유즈</v>
      </c>
      <c r="O999" s="26" t="str">
        <f>IFERROR(__xludf.DUMMYFUNCTION("""COMPUTED_VALUE"""),"신형만")</f>
        <v>신형만</v>
      </c>
      <c r="P999" s="26" t="str">
        <f>IFERROR(__xludf.DUMMYFUNCTION("""COMPUTED_VALUE"""),"강화")</f>
        <v>강화</v>
      </c>
      <c r="Q999" s="26" t="str">
        <f>IFERROR(__xludf.DUMMYFUNCTION("""COMPUTED_VALUE"""),"깡패")</f>
        <v>깡패</v>
      </c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A1000" s="27" t="s">
        <v>4253</v>
      </c>
      <c r="B1000" s="28" t="s">
        <v>4254</v>
      </c>
      <c r="C1000" s="27" t="s">
        <v>4255</v>
      </c>
      <c r="D1000" s="27">
        <v>5.0</v>
      </c>
      <c r="E1000" s="27" t="s">
        <v>4256</v>
      </c>
      <c r="F1000" s="27">
        <v>4.0</v>
      </c>
      <c r="G1000" s="29">
        <v>45684.05972222222</v>
      </c>
      <c r="H1000" s="27" t="s">
        <v>4257</v>
      </c>
      <c r="I1000" s="18"/>
      <c r="J1000" s="25" t="str">
        <f>IFERROR(__xludf.DUMMYFUNCTION("ARRAYFORMULA(REGEXEXTRACT(SPLIT(C1000, ""&lt;br&gt;""), ""([가-힣A-Za-z]+)""))"),"규식")</f>
        <v>규식</v>
      </c>
      <c r="K1000" s="26" t="str">
        <f>IFERROR(__xludf.DUMMYFUNCTION("""COMPUTED_VALUE"""),"신형만")</f>
        <v>신형만</v>
      </c>
      <c r="L1000" s="26" t="str">
        <f>IFERROR(__xludf.DUMMYFUNCTION("""COMPUTED_VALUE"""),"깡패")</f>
        <v>깡패</v>
      </c>
      <c r="M1000" s="26" t="str">
        <f>IFERROR(__xludf.DUMMYFUNCTION("""COMPUTED_VALUE"""),"재우")</f>
        <v>재우</v>
      </c>
      <c r="N1000" s="26" t="str">
        <f>IFERROR(__xludf.DUMMYFUNCTION("ARRAYFORMULA(REGEXEXTRACT(SPLIT(E1000, ""&lt;br&gt;""), ""([가-힣A-Za-z]+)""))"),"유망")</f>
        <v>유망</v>
      </c>
      <c r="O1000" s="26" t="str">
        <f>IFERROR(__xludf.DUMMYFUNCTION("""COMPUTED_VALUE"""),"노인")</f>
        <v>노인</v>
      </c>
      <c r="P1000" s="26" t="str">
        <f>IFERROR(__xludf.DUMMYFUNCTION("""COMPUTED_VALUE"""),"따")</f>
        <v>따</v>
      </c>
      <c r="Q1000" s="26" t="str">
        <f>IFERROR(__xludf.DUMMYFUNCTION("""COMPUTED_VALUE"""),"태식")</f>
        <v>태식</v>
      </c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>
      <c r="A1001" s="27" t="s">
        <v>4258</v>
      </c>
      <c r="B1001" s="28" t="s">
        <v>4259</v>
      </c>
      <c r="C1001" s="27" t="s">
        <v>4260</v>
      </c>
      <c r="D1001" s="27">
        <v>5.0</v>
      </c>
      <c r="E1001" s="27" t="s">
        <v>4261</v>
      </c>
      <c r="F1001" s="27">
        <v>4.0</v>
      </c>
      <c r="G1001" s="29">
        <v>45684.02847222222</v>
      </c>
      <c r="H1001" s="27" t="s">
        <v>4257</v>
      </c>
      <c r="I1001" s="18"/>
      <c r="J1001" s="25" t="str">
        <f>IFERROR(__xludf.DUMMYFUNCTION("ARRAYFORMULA(REGEXEXTRACT(SPLIT(C1001, ""&lt;br&gt;""), ""([가-힣A-Za-z]+)""))"),"깡패")</f>
        <v>깡패</v>
      </c>
      <c r="K1001" s="26" t="str">
        <f>IFERROR(__xludf.DUMMYFUNCTION("""COMPUTED_VALUE"""),"태식")</f>
        <v>태식</v>
      </c>
      <c r="L1001" s="26" t="str">
        <f>IFERROR(__xludf.DUMMYFUNCTION("""COMPUTED_VALUE"""),"유망")</f>
        <v>유망</v>
      </c>
      <c r="M1001" s="26" t="str">
        <f>IFERROR(__xludf.DUMMYFUNCTION("""COMPUTED_VALUE"""),"신형만")</f>
        <v>신형만</v>
      </c>
      <c r="N1001" s="26" t="str">
        <f>IFERROR(__xludf.DUMMYFUNCTION("ARRAYFORMULA(REGEXEXTRACT(SPLIT(E1001, ""&lt;br&gt;""), ""([가-힣A-Za-z]+)""))"),"재우")</f>
        <v>재우</v>
      </c>
      <c r="O1001" s="26" t="str">
        <f>IFERROR(__xludf.DUMMYFUNCTION("""COMPUTED_VALUE"""),"참치")</f>
        <v>참치</v>
      </c>
      <c r="P1001" s="26" t="str">
        <f>IFERROR(__xludf.DUMMYFUNCTION("""COMPUTED_VALUE"""),"따")</f>
        <v>따</v>
      </c>
      <c r="Q1001" s="26" t="str">
        <f>IFERROR(__xludf.DUMMYFUNCTION("""COMPUTED_VALUE"""),"노인")</f>
        <v>노인</v>
      </c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  <row r="1002">
      <c r="A1002" s="27" t="s">
        <v>4262</v>
      </c>
      <c r="B1002" s="28" t="s">
        <v>4263</v>
      </c>
      <c r="C1002" s="27" t="s">
        <v>4264</v>
      </c>
      <c r="D1002" s="27">
        <v>5.0</v>
      </c>
      <c r="E1002" s="27" t="s">
        <v>4265</v>
      </c>
      <c r="F1002" s="27">
        <v>1.0</v>
      </c>
      <c r="G1002" s="29">
        <v>45684.00208333333</v>
      </c>
      <c r="H1002" s="27" t="s">
        <v>4257</v>
      </c>
      <c r="I1002" s="18"/>
      <c r="J1002" s="25" t="str">
        <f>IFERROR(__xludf.DUMMYFUNCTION("ARRAYFORMULA(REGEXEXTRACT(SPLIT(C1002, ""&lt;br&gt;""), ""([가-힣A-Za-z]+)""))"),"신형만")</f>
        <v>신형만</v>
      </c>
      <c r="K1002" s="26" t="str">
        <f>IFERROR(__xludf.DUMMYFUNCTION("""COMPUTED_VALUE"""),"재우")</f>
        <v>재우</v>
      </c>
      <c r="L1002" s="26" t="str">
        <f>IFERROR(__xludf.DUMMYFUNCTION("""COMPUTED_VALUE"""),"따")</f>
        <v>따</v>
      </c>
      <c r="M1002" s="26" t="str">
        <f>IFERROR(__xludf.DUMMYFUNCTION("""COMPUTED_VALUE"""),"태식")</f>
        <v>태식</v>
      </c>
      <c r="N1002" s="26" t="str">
        <f>IFERROR(__xludf.DUMMYFUNCTION("ARRAYFORMULA(REGEXEXTRACT(SPLIT(E1002, ""&lt;br&gt;""), ""([가-힣A-Za-z]+)""))"),"노인")</f>
        <v>노인</v>
      </c>
      <c r="O1002" s="26" t="str">
        <f>IFERROR(__xludf.DUMMYFUNCTION("""COMPUTED_VALUE"""),"참치")</f>
        <v>참치</v>
      </c>
      <c r="P1002" s="26" t="str">
        <f>IFERROR(__xludf.DUMMYFUNCTION("""COMPUTED_VALUE"""),"유망")</f>
        <v>유망</v>
      </c>
      <c r="Q1002" s="26" t="str">
        <f>IFERROR(__xludf.DUMMYFUNCTION("""COMPUTED_VALUE"""),"깡패")</f>
        <v>깡패</v>
      </c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</row>
    <row r="1003">
      <c r="A1003" s="27" t="s">
        <v>4266</v>
      </c>
      <c r="B1003" s="28" t="s">
        <v>4267</v>
      </c>
      <c r="C1003" s="27" t="s">
        <v>4268</v>
      </c>
      <c r="D1003" s="27">
        <v>5.0</v>
      </c>
      <c r="E1003" s="27" t="s">
        <v>4269</v>
      </c>
      <c r="F1003" s="27">
        <v>3.0</v>
      </c>
      <c r="G1003" s="29">
        <v>45683.981944444444</v>
      </c>
      <c r="H1003" s="27" t="s">
        <v>4257</v>
      </c>
      <c r="I1003" s="18"/>
      <c r="J1003" s="25" t="str">
        <f>IFERROR(__xludf.DUMMYFUNCTION("ARRAYFORMULA(REGEXEXTRACT(SPLIT(C1003, ""&lt;br&gt;""), ""([가-힣A-Za-z]+)""))"),"참치")</f>
        <v>참치</v>
      </c>
      <c r="K1003" s="26" t="str">
        <f>IFERROR(__xludf.DUMMYFUNCTION("""COMPUTED_VALUE"""),"신형만")</f>
        <v>신형만</v>
      </c>
      <c r="L1003" s="26" t="str">
        <f>IFERROR(__xludf.DUMMYFUNCTION("""COMPUTED_VALUE"""),"깡패")</f>
        <v>깡패</v>
      </c>
      <c r="M1003" s="26" t="str">
        <f>IFERROR(__xludf.DUMMYFUNCTION("""COMPUTED_VALUE"""),"태식")</f>
        <v>태식</v>
      </c>
      <c r="N1003" s="26" t="str">
        <f>IFERROR(__xludf.DUMMYFUNCTION("ARRAYFORMULA(REGEXEXTRACT(SPLIT(E1003, ""&lt;br&gt;""), ""([가-힣A-Za-z]+)""))"),"유망")</f>
        <v>유망</v>
      </c>
      <c r="O1003" s="26" t="str">
        <f>IFERROR(__xludf.DUMMYFUNCTION("""COMPUTED_VALUE"""),"재우")</f>
        <v>재우</v>
      </c>
      <c r="P1003" s="26" t="str">
        <f>IFERROR(__xludf.DUMMYFUNCTION("""COMPUTED_VALUE"""),"따")</f>
        <v>따</v>
      </c>
      <c r="Q1003" s="26" t="str">
        <f>IFERROR(__xludf.DUMMYFUNCTION("""COMPUTED_VALUE"""),"노인")</f>
        <v>노인</v>
      </c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</row>
    <row r="1004">
      <c r="A1004" s="27" t="s">
        <v>4270</v>
      </c>
      <c r="B1004" s="28" t="s">
        <v>4271</v>
      </c>
      <c r="C1004" s="27" t="s">
        <v>4272</v>
      </c>
      <c r="D1004" s="27">
        <v>5.0</v>
      </c>
      <c r="E1004" s="27" t="s">
        <v>4273</v>
      </c>
      <c r="F1004" s="27">
        <v>3.0</v>
      </c>
      <c r="G1004" s="29">
        <v>45683.95972222222</v>
      </c>
      <c r="H1004" s="27" t="s">
        <v>4257</v>
      </c>
      <c r="I1004" s="18"/>
      <c r="J1004" s="25" t="str">
        <f>IFERROR(__xludf.DUMMYFUNCTION("ARRAYFORMULA(REGEXEXTRACT(SPLIT(C1004, ""&lt;br&gt;""), ""([가-힣A-Za-z]+)""))"),"재우")</f>
        <v>재우</v>
      </c>
      <c r="K1004" s="26" t="str">
        <f>IFERROR(__xludf.DUMMYFUNCTION("""COMPUTED_VALUE"""),"태식")</f>
        <v>태식</v>
      </c>
      <c r="L1004" s="26" t="str">
        <f>IFERROR(__xludf.DUMMYFUNCTION("""COMPUTED_VALUE"""),"따")</f>
        <v>따</v>
      </c>
      <c r="M1004" s="26" t="str">
        <f>IFERROR(__xludf.DUMMYFUNCTION("""COMPUTED_VALUE"""),"깡패")</f>
        <v>깡패</v>
      </c>
      <c r="N1004" s="26" t="str">
        <f>IFERROR(__xludf.DUMMYFUNCTION("ARRAYFORMULA(REGEXEXTRACT(SPLIT(E1004, ""&lt;br&gt;""), ""([가-힣A-Za-z]+)""))"),"유망")</f>
        <v>유망</v>
      </c>
      <c r="O1004" s="26" t="str">
        <f>IFERROR(__xludf.DUMMYFUNCTION("""COMPUTED_VALUE"""),"신형만")</f>
        <v>신형만</v>
      </c>
      <c r="P1004" s="26" t="str">
        <f>IFERROR(__xludf.DUMMYFUNCTION("""COMPUTED_VALUE"""),"노인")</f>
        <v>노인</v>
      </c>
      <c r="Q1004" s="26" t="str">
        <f>IFERROR(__xludf.DUMMYFUNCTION("""COMPUTED_VALUE"""),"참치")</f>
        <v>참치</v>
      </c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</row>
    <row r="1005">
      <c r="A1005" s="27" t="s">
        <v>4274</v>
      </c>
      <c r="B1005" s="28" t="s">
        <v>4275</v>
      </c>
      <c r="C1005" s="27" t="s">
        <v>4276</v>
      </c>
      <c r="D1005" s="27">
        <v>5.0</v>
      </c>
      <c r="E1005" s="27" t="s">
        <v>4277</v>
      </c>
      <c r="F1005" s="27">
        <v>1.0</v>
      </c>
      <c r="G1005" s="29">
        <v>45683.9375</v>
      </c>
      <c r="H1005" s="27" t="s">
        <v>4257</v>
      </c>
      <c r="I1005" s="18"/>
      <c r="J1005" s="25" t="str">
        <f>IFERROR(__xludf.DUMMYFUNCTION("ARRAYFORMULA(REGEXEXTRACT(SPLIT(C1005, ""&lt;br&gt;""), ""([가-힣A-Za-z]+)""))"),"노인")</f>
        <v>노인</v>
      </c>
      <c r="K1005" s="26" t="str">
        <f>IFERROR(__xludf.DUMMYFUNCTION("""COMPUTED_VALUE"""),"깡패")</f>
        <v>깡패</v>
      </c>
      <c r="L1005" s="26" t="str">
        <f>IFERROR(__xludf.DUMMYFUNCTION("""COMPUTED_VALUE"""),"참치")</f>
        <v>참치</v>
      </c>
      <c r="M1005" s="26" t="str">
        <f>IFERROR(__xludf.DUMMYFUNCTION("""COMPUTED_VALUE"""),"태식")</f>
        <v>태식</v>
      </c>
      <c r="N1005" s="26" t="str">
        <f>IFERROR(__xludf.DUMMYFUNCTION("ARRAYFORMULA(REGEXEXTRACT(SPLIT(E1005, ""&lt;br&gt;""), ""([가-힣A-Za-z]+)""))"),"재우")</f>
        <v>재우</v>
      </c>
      <c r="O1005" s="26" t="str">
        <f>IFERROR(__xludf.DUMMYFUNCTION("""COMPUTED_VALUE"""),"신형만")</f>
        <v>신형만</v>
      </c>
      <c r="P1005" s="26" t="str">
        <f>IFERROR(__xludf.DUMMYFUNCTION("""COMPUTED_VALUE"""),"유망")</f>
        <v>유망</v>
      </c>
      <c r="Q1005" s="26" t="str">
        <f>IFERROR(__xludf.DUMMYFUNCTION("""COMPUTED_VALUE"""),"따")</f>
        <v>따</v>
      </c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</row>
    <row r="1006">
      <c r="A1006" s="27" t="s">
        <v>4278</v>
      </c>
      <c r="B1006" s="28" t="s">
        <v>4279</v>
      </c>
      <c r="C1006" s="27" t="s">
        <v>4280</v>
      </c>
      <c r="D1006" s="27">
        <v>5.0</v>
      </c>
      <c r="E1006" s="27" t="s">
        <v>4281</v>
      </c>
      <c r="F1006" s="27">
        <v>4.0</v>
      </c>
      <c r="G1006" s="29">
        <v>45683.907638888886</v>
      </c>
      <c r="H1006" s="27" t="s">
        <v>4257</v>
      </c>
      <c r="I1006" s="18"/>
      <c r="J1006" s="25" t="str">
        <f>IFERROR(__xludf.DUMMYFUNCTION("ARRAYFORMULA(REGEXEXTRACT(SPLIT(C1006, ""&lt;br&gt;""), ""([가-힣A-Za-z]+)""))"),"태식")</f>
        <v>태식</v>
      </c>
      <c r="K1006" s="26" t="str">
        <f>IFERROR(__xludf.DUMMYFUNCTION("""COMPUTED_VALUE"""),"참치")</f>
        <v>참치</v>
      </c>
      <c r="L1006" s="26" t="str">
        <f>IFERROR(__xludf.DUMMYFUNCTION("""COMPUTED_VALUE"""),"한메")</f>
        <v>한메</v>
      </c>
      <c r="M1006" s="26" t="str">
        <f>IFERROR(__xludf.DUMMYFUNCTION("""COMPUTED_VALUE"""),"재우")</f>
        <v>재우</v>
      </c>
      <c r="N1006" s="26" t="str">
        <f>IFERROR(__xludf.DUMMYFUNCTION("ARRAYFORMULA(REGEXEXTRACT(SPLIT(E1006, ""&lt;br&gt;""), ""([가-힣A-Za-z]+)""))"),"깡패")</f>
        <v>깡패</v>
      </c>
      <c r="O1006" s="26" t="str">
        <f>IFERROR(__xludf.DUMMYFUNCTION("""COMPUTED_VALUE"""),"신형만")</f>
        <v>신형만</v>
      </c>
      <c r="P1006" s="26" t="str">
        <f>IFERROR(__xludf.DUMMYFUNCTION("""COMPUTED_VALUE"""),"노인")</f>
        <v>노인</v>
      </c>
      <c r="Q1006" s="26" t="str">
        <f>IFERROR(__xludf.DUMMYFUNCTION("""COMPUTED_VALUE"""),"유망")</f>
        <v>유망</v>
      </c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</row>
    <row r="1007">
      <c r="A1007" s="27" t="s">
        <v>4282</v>
      </c>
      <c r="B1007" s="28" t="s">
        <v>4283</v>
      </c>
      <c r="C1007" s="27" t="s">
        <v>4284</v>
      </c>
      <c r="D1007" s="27">
        <v>5.0</v>
      </c>
      <c r="E1007" s="27" t="s">
        <v>4285</v>
      </c>
      <c r="F1007" s="27">
        <v>4.0</v>
      </c>
      <c r="G1007" s="29">
        <v>45683.7625</v>
      </c>
      <c r="H1007" s="27" t="s">
        <v>4257</v>
      </c>
      <c r="I1007" s="18"/>
      <c r="J1007" s="25" t="str">
        <f>IFERROR(__xludf.DUMMYFUNCTION("ARRAYFORMULA(REGEXEXTRACT(SPLIT(C1007, ""&lt;br&gt;""), ""([가-힣A-Za-z]+)""))"),"전투쥐")</f>
        <v>전투쥐</v>
      </c>
      <c r="K1007" s="26" t="str">
        <f>IFERROR(__xludf.DUMMYFUNCTION("""COMPUTED_VALUE"""),"테리")</f>
        <v>테리</v>
      </c>
      <c r="L1007" s="26" t="str">
        <f>IFERROR(__xludf.DUMMYFUNCTION("""COMPUTED_VALUE"""),"한메")</f>
        <v>한메</v>
      </c>
      <c r="M1007" s="26" t="str">
        <f>IFERROR(__xludf.DUMMYFUNCTION("""COMPUTED_VALUE"""),"강화")</f>
        <v>강화</v>
      </c>
      <c r="N1007" s="26" t="str">
        <f>IFERROR(__xludf.DUMMYFUNCTION("ARRAYFORMULA(REGEXEXTRACT(SPLIT(E1007, ""&lt;br&gt;""), ""([가-힣A-Za-z]+)""))"),"시아")</f>
        <v>시아</v>
      </c>
      <c r="O1007" s="26" t="str">
        <f>IFERROR(__xludf.DUMMYFUNCTION("""COMPUTED_VALUE"""),"따")</f>
        <v>따</v>
      </c>
      <c r="P1007" s="26" t="str">
        <f>IFERROR(__xludf.DUMMYFUNCTION("""COMPUTED_VALUE"""),"태식")</f>
        <v>태식</v>
      </c>
      <c r="Q1007" s="26" t="str">
        <f>IFERROR(__xludf.DUMMYFUNCTION("""COMPUTED_VALUE"""),"신형만")</f>
        <v>신형만</v>
      </c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</row>
    <row r="1008">
      <c r="A1008" s="27" t="s">
        <v>4286</v>
      </c>
      <c r="B1008" s="28" t="s">
        <v>4287</v>
      </c>
      <c r="C1008" s="27" t="s">
        <v>4288</v>
      </c>
      <c r="D1008" s="27">
        <v>5.0</v>
      </c>
      <c r="E1008" s="27" t="s">
        <v>4289</v>
      </c>
      <c r="F1008" s="27">
        <v>4.0</v>
      </c>
      <c r="G1008" s="29">
        <v>45683.72430555556</v>
      </c>
      <c r="H1008" s="27" t="s">
        <v>4257</v>
      </c>
      <c r="I1008" s="18"/>
      <c r="J1008" s="25" t="str">
        <f>IFERROR(__xludf.DUMMYFUNCTION("ARRAYFORMULA(REGEXEXTRACT(SPLIT(C1008, ""&lt;br&gt;""), ""([가-힣A-Za-z]+)""))"),"신형만")</f>
        <v>신형만</v>
      </c>
      <c r="K1008" s="26" t="str">
        <f>IFERROR(__xludf.DUMMYFUNCTION("""COMPUTED_VALUE"""),"테리")</f>
        <v>테리</v>
      </c>
      <c r="L1008" s="26" t="str">
        <f>IFERROR(__xludf.DUMMYFUNCTION("""COMPUTED_VALUE"""),"강화")</f>
        <v>강화</v>
      </c>
      <c r="M1008" s="26" t="str">
        <f>IFERROR(__xludf.DUMMYFUNCTION("""COMPUTED_VALUE"""),"따")</f>
        <v>따</v>
      </c>
      <c r="N1008" s="26" t="str">
        <f>IFERROR(__xludf.DUMMYFUNCTION("ARRAYFORMULA(REGEXEXTRACT(SPLIT(E1008, ""&lt;br&gt;""), ""([가-힣A-Za-z]+)""))"),"시아")</f>
        <v>시아</v>
      </c>
      <c r="O1008" s="26" t="str">
        <f>IFERROR(__xludf.DUMMYFUNCTION("""COMPUTED_VALUE"""),"태식")</f>
        <v>태식</v>
      </c>
      <c r="P1008" s="26" t="str">
        <f>IFERROR(__xludf.DUMMYFUNCTION("""COMPUTED_VALUE"""),"전투쥐")</f>
        <v>전투쥐</v>
      </c>
      <c r="Q1008" s="26" t="str">
        <f>IFERROR(__xludf.DUMMYFUNCTION("""COMPUTED_VALUE"""),"한메")</f>
        <v>한메</v>
      </c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</row>
    <row r="1009">
      <c r="A1009" s="27" t="s">
        <v>4290</v>
      </c>
      <c r="B1009" s="28" t="s">
        <v>4291</v>
      </c>
      <c r="C1009" s="27" t="s">
        <v>4292</v>
      </c>
      <c r="D1009" s="27">
        <v>5.0</v>
      </c>
      <c r="E1009" s="27" t="s">
        <v>4293</v>
      </c>
      <c r="F1009" s="27">
        <v>0.0</v>
      </c>
      <c r="G1009" s="29">
        <v>45683.70208333333</v>
      </c>
      <c r="H1009" s="27" t="s">
        <v>4257</v>
      </c>
      <c r="I1009" s="18"/>
      <c r="J1009" s="25" t="str">
        <f>IFERROR(__xludf.DUMMYFUNCTION("ARRAYFORMULA(REGEXEXTRACT(SPLIT(C1009, ""&lt;br&gt;""), ""([가-힣A-Za-z]+)""))"),"한메")</f>
        <v>한메</v>
      </c>
      <c r="K1009" s="26" t="str">
        <f>IFERROR(__xludf.DUMMYFUNCTION("""COMPUTED_VALUE"""),"시아")</f>
        <v>시아</v>
      </c>
      <c r="L1009" s="26" t="str">
        <f>IFERROR(__xludf.DUMMYFUNCTION("""COMPUTED_VALUE"""),"테리")</f>
        <v>테리</v>
      </c>
      <c r="M1009" s="26" t="str">
        <f>IFERROR(__xludf.DUMMYFUNCTION("""COMPUTED_VALUE"""),"따")</f>
        <v>따</v>
      </c>
      <c r="N1009" s="26" t="str">
        <f>IFERROR(__xludf.DUMMYFUNCTION("ARRAYFORMULA(REGEXEXTRACT(SPLIT(E1009, ""&lt;br&gt;""), ""([가-힣A-Za-z]+)""))"),"전투쥐")</f>
        <v>전투쥐</v>
      </c>
      <c r="O1009" s="26" t="str">
        <f>IFERROR(__xludf.DUMMYFUNCTION("""COMPUTED_VALUE"""),"신형만")</f>
        <v>신형만</v>
      </c>
      <c r="P1009" s="26" t="str">
        <f>IFERROR(__xludf.DUMMYFUNCTION("""COMPUTED_VALUE"""),"태식")</f>
        <v>태식</v>
      </c>
      <c r="Q1009" s="26" t="str">
        <f>IFERROR(__xludf.DUMMYFUNCTION("""COMPUTED_VALUE"""),"강화")</f>
        <v>강화</v>
      </c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</row>
    <row r="1010">
      <c r="A1010" s="27" t="s">
        <v>4294</v>
      </c>
      <c r="B1010" s="28" t="s">
        <v>4295</v>
      </c>
      <c r="C1010" s="27" t="s">
        <v>4296</v>
      </c>
      <c r="D1010" s="27">
        <v>5.0</v>
      </c>
      <c r="E1010" s="27" t="s">
        <v>4297</v>
      </c>
      <c r="F1010" s="27">
        <v>1.0</v>
      </c>
      <c r="G1010" s="29">
        <v>45683.69097222222</v>
      </c>
      <c r="H1010" s="27" t="s">
        <v>4257</v>
      </c>
      <c r="I1010" s="18"/>
      <c r="J1010" s="25" t="str">
        <f>IFERROR(__xludf.DUMMYFUNCTION("ARRAYFORMULA(REGEXEXTRACT(SPLIT(C1010, ""&lt;br&gt;""), ""([가-힣A-Za-z]+)""))"),"강화")</f>
        <v>강화</v>
      </c>
      <c r="K1010" s="26" t="str">
        <f>IFERROR(__xludf.DUMMYFUNCTION("""COMPUTED_VALUE"""),"태식")</f>
        <v>태식</v>
      </c>
      <c r="L1010" s="26" t="str">
        <f>IFERROR(__xludf.DUMMYFUNCTION("""COMPUTED_VALUE"""),"테리")</f>
        <v>테리</v>
      </c>
      <c r="M1010" s="26" t="str">
        <f>IFERROR(__xludf.DUMMYFUNCTION("""COMPUTED_VALUE"""),"따")</f>
        <v>따</v>
      </c>
      <c r="N1010" s="26" t="str">
        <f>IFERROR(__xludf.DUMMYFUNCTION("ARRAYFORMULA(REGEXEXTRACT(SPLIT(E1010, ""&lt;br&gt;""), ""([가-힣A-Za-z]+)""))"),"전투쥐")</f>
        <v>전투쥐</v>
      </c>
      <c r="O1010" s="26" t="str">
        <f>IFERROR(__xludf.DUMMYFUNCTION("""COMPUTED_VALUE"""),"신형만")</f>
        <v>신형만</v>
      </c>
      <c r="P1010" s="26" t="str">
        <f>IFERROR(__xludf.DUMMYFUNCTION("""COMPUTED_VALUE"""),"시아")</f>
        <v>시아</v>
      </c>
      <c r="Q1010" s="26" t="str">
        <f>IFERROR(__xludf.DUMMYFUNCTION("""COMPUTED_VALUE"""),"한메")</f>
        <v>한메</v>
      </c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</row>
    <row r="1011">
      <c r="A1011" s="27" t="s">
        <v>4298</v>
      </c>
      <c r="B1011" s="28" t="s">
        <v>4299</v>
      </c>
      <c r="C1011" s="27" t="s">
        <v>4300</v>
      </c>
      <c r="D1011" s="27">
        <v>5.0</v>
      </c>
      <c r="E1011" s="27" t="s">
        <v>4301</v>
      </c>
      <c r="F1011" s="27">
        <v>4.0</v>
      </c>
      <c r="G1011" s="29">
        <v>45683.67638888889</v>
      </c>
      <c r="H1011" s="27" t="s">
        <v>4257</v>
      </c>
      <c r="I1011" s="18"/>
      <c r="J1011" s="25" t="str">
        <f>IFERROR(__xludf.DUMMYFUNCTION("ARRAYFORMULA(REGEXEXTRACT(SPLIT(C1011, ""&lt;br&gt;""), ""([가-힣A-Za-z]+)""))"),"한메")</f>
        <v>한메</v>
      </c>
      <c r="K1011" s="26" t="str">
        <f>IFERROR(__xludf.DUMMYFUNCTION("""COMPUTED_VALUE"""),"테리")</f>
        <v>테리</v>
      </c>
      <c r="L1011" s="26" t="str">
        <f>IFERROR(__xludf.DUMMYFUNCTION("""COMPUTED_VALUE"""),"전투쥐")</f>
        <v>전투쥐</v>
      </c>
      <c r="M1011" s="26" t="str">
        <f>IFERROR(__xludf.DUMMYFUNCTION("""COMPUTED_VALUE"""),"따")</f>
        <v>따</v>
      </c>
      <c r="N1011" s="26" t="str">
        <f>IFERROR(__xludf.DUMMYFUNCTION("ARRAYFORMULA(REGEXEXTRACT(SPLIT(E1011, ""&lt;br&gt;""), ""([가-힣A-Za-z]+)""))"),"시아")</f>
        <v>시아</v>
      </c>
      <c r="O1011" s="26" t="str">
        <f>IFERROR(__xludf.DUMMYFUNCTION("""COMPUTED_VALUE"""),"태식")</f>
        <v>태식</v>
      </c>
      <c r="P1011" s="26" t="str">
        <f>IFERROR(__xludf.DUMMYFUNCTION("""COMPUTED_VALUE"""),"신형만")</f>
        <v>신형만</v>
      </c>
      <c r="Q1011" s="26" t="str">
        <f>IFERROR(__xludf.DUMMYFUNCTION("""COMPUTED_VALUE"""),"강화")</f>
        <v>강화</v>
      </c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</row>
    <row r="1012">
      <c r="A1012" s="27" t="s">
        <v>4302</v>
      </c>
      <c r="B1012" s="28" t="s">
        <v>4303</v>
      </c>
      <c r="C1012" s="27" t="s">
        <v>4304</v>
      </c>
      <c r="D1012" s="27">
        <v>5.0</v>
      </c>
      <c r="E1012" s="27" t="s">
        <v>4305</v>
      </c>
      <c r="F1012" s="27">
        <v>0.0</v>
      </c>
      <c r="G1012" s="29">
        <v>45683.65138888889</v>
      </c>
      <c r="H1012" s="27" t="s">
        <v>4257</v>
      </c>
      <c r="I1012" s="18"/>
      <c r="J1012" s="25" t="str">
        <f>IFERROR(__xludf.DUMMYFUNCTION("ARRAYFORMULA(REGEXEXTRACT(SPLIT(C1012, ""&lt;br&gt;""), ""([가-힣A-Za-z]+)""))"),"한메")</f>
        <v>한메</v>
      </c>
      <c r="K1012" s="26" t="str">
        <f>IFERROR(__xludf.DUMMYFUNCTION("""COMPUTED_VALUE"""),"테리")</f>
        <v>테리</v>
      </c>
      <c r="L1012" s="26" t="str">
        <f>IFERROR(__xludf.DUMMYFUNCTION("""COMPUTED_VALUE"""),"신형만")</f>
        <v>신형만</v>
      </c>
      <c r="M1012" s="26" t="str">
        <f>IFERROR(__xludf.DUMMYFUNCTION("""COMPUTED_VALUE"""),"태식")</f>
        <v>태식</v>
      </c>
      <c r="N1012" s="26" t="str">
        <f>IFERROR(__xludf.DUMMYFUNCTION("ARRAYFORMULA(REGEXEXTRACT(SPLIT(E1012, ""&lt;br&gt;""), ""([가-힣A-Za-z]+)""))"),"전투쥐")</f>
        <v>전투쥐</v>
      </c>
      <c r="O1012" s="26" t="str">
        <f>IFERROR(__xludf.DUMMYFUNCTION("""COMPUTED_VALUE"""),"따")</f>
        <v>따</v>
      </c>
      <c r="P1012" s="26" t="str">
        <f>IFERROR(__xludf.DUMMYFUNCTION("""COMPUTED_VALUE"""),"시아")</f>
        <v>시아</v>
      </c>
      <c r="Q1012" s="26" t="str">
        <f>IFERROR(__xludf.DUMMYFUNCTION("""COMPUTED_VALUE"""),"강화")</f>
        <v>강화</v>
      </c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</row>
    <row r="1013">
      <c r="A1013" s="27" t="s">
        <v>4306</v>
      </c>
      <c r="B1013" s="28" t="s">
        <v>4307</v>
      </c>
      <c r="C1013" s="27" t="s">
        <v>4308</v>
      </c>
      <c r="D1013" s="27">
        <v>5.0</v>
      </c>
      <c r="E1013" s="27" t="s">
        <v>4309</v>
      </c>
      <c r="F1013" s="27">
        <v>2.0</v>
      </c>
      <c r="G1013" s="29">
        <v>45683.64236111111</v>
      </c>
      <c r="H1013" s="27" t="s">
        <v>4257</v>
      </c>
      <c r="I1013" s="18"/>
      <c r="J1013" s="25" t="str">
        <f>IFERROR(__xludf.DUMMYFUNCTION("ARRAYFORMULA(REGEXEXTRACT(SPLIT(C1013, ""&lt;br&gt;""), ""([가-힣A-Za-z]+)""))"),"전투쥐")</f>
        <v>전투쥐</v>
      </c>
      <c r="K1013" s="26" t="str">
        <f>IFERROR(__xludf.DUMMYFUNCTION("""COMPUTED_VALUE"""),"따")</f>
        <v>따</v>
      </c>
      <c r="L1013" s="26" t="str">
        <f>IFERROR(__xludf.DUMMYFUNCTION("""COMPUTED_VALUE"""),"테리")</f>
        <v>테리</v>
      </c>
      <c r="M1013" s="26" t="str">
        <f>IFERROR(__xludf.DUMMYFUNCTION("""COMPUTED_VALUE"""),"신형만")</f>
        <v>신형만</v>
      </c>
      <c r="N1013" s="26" t="str">
        <f>IFERROR(__xludf.DUMMYFUNCTION("ARRAYFORMULA(REGEXEXTRACT(SPLIT(E1013, ""&lt;br&gt;""), ""([가-힣A-Za-z]+)""))"),"태식")</f>
        <v>태식</v>
      </c>
      <c r="O1013" s="26" t="str">
        <f>IFERROR(__xludf.DUMMYFUNCTION("""COMPUTED_VALUE"""),"시아")</f>
        <v>시아</v>
      </c>
      <c r="P1013" s="26" t="str">
        <f>IFERROR(__xludf.DUMMYFUNCTION("""COMPUTED_VALUE"""),"한메")</f>
        <v>한메</v>
      </c>
      <c r="Q1013" s="26" t="str">
        <f>IFERROR(__xludf.DUMMYFUNCTION("""COMPUTED_VALUE"""),"강화")</f>
        <v>강화</v>
      </c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</row>
    <row r="1014">
      <c r="A1014" s="27" t="s">
        <v>4310</v>
      </c>
      <c r="B1014" s="28" t="s">
        <v>4311</v>
      </c>
      <c r="C1014" s="27" t="s">
        <v>4312</v>
      </c>
      <c r="D1014" s="27">
        <v>5.0</v>
      </c>
      <c r="E1014" s="27" t="s">
        <v>4313</v>
      </c>
      <c r="F1014" s="27">
        <v>0.0</v>
      </c>
      <c r="G1014" s="29">
        <v>45683.61736111111</v>
      </c>
      <c r="H1014" s="27" t="s">
        <v>4257</v>
      </c>
      <c r="I1014" s="18"/>
      <c r="J1014" s="25" t="str">
        <f>IFERROR(__xludf.DUMMYFUNCTION("ARRAYFORMULA(REGEXEXTRACT(SPLIT(C1014, ""&lt;br&gt;""), ""([가-힣A-Za-z]+)""))"),"강화")</f>
        <v>강화</v>
      </c>
      <c r="K1014" s="26" t="str">
        <f>IFERROR(__xludf.DUMMYFUNCTION("""COMPUTED_VALUE"""),"테리")</f>
        <v>테리</v>
      </c>
      <c r="L1014" s="26" t="str">
        <f>IFERROR(__xludf.DUMMYFUNCTION("""COMPUTED_VALUE"""),"신형만")</f>
        <v>신형만</v>
      </c>
      <c r="M1014" s="26" t="str">
        <f>IFERROR(__xludf.DUMMYFUNCTION("""COMPUTED_VALUE"""),"태식")</f>
        <v>태식</v>
      </c>
      <c r="N1014" s="26" t="str">
        <f>IFERROR(__xludf.DUMMYFUNCTION("ARRAYFORMULA(REGEXEXTRACT(SPLIT(E1014, ""&lt;br&gt;""), ""([가-힣A-Za-z]+)""))"),"시아")</f>
        <v>시아</v>
      </c>
      <c r="O1014" s="26" t="str">
        <f>IFERROR(__xludf.DUMMYFUNCTION("""COMPUTED_VALUE"""),"따")</f>
        <v>따</v>
      </c>
      <c r="P1014" s="26" t="str">
        <f>IFERROR(__xludf.DUMMYFUNCTION("""COMPUTED_VALUE"""),"전투쥐")</f>
        <v>전투쥐</v>
      </c>
      <c r="Q1014" s="26" t="str">
        <f>IFERROR(__xludf.DUMMYFUNCTION("""COMPUTED_VALUE"""),"한메")</f>
        <v>한메</v>
      </c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</row>
    <row r="1015">
      <c r="A1015" s="27" t="s">
        <v>4314</v>
      </c>
      <c r="B1015" s="28" t="s">
        <v>4315</v>
      </c>
      <c r="C1015" s="27" t="s">
        <v>4316</v>
      </c>
      <c r="D1015" s="27">
        <v>5.0</v>
      </c>
      <c r="E1015" s="27" t="s">
        <v>4317</v>
      </c>
      <c r="F1015" s="27">
        <v>3.0</v>
      </c>
      <c r="G1015" s="29">
        <v>45682.12291666667</v>
      </c>
      <c r="H1015" s="27" t="s">
        <v>4257</v>
      </c>
      <c r="I1015" s="18"/>
      <c r="J1015" s="25" t="str">
        <f>IFERROR(__xludf.DUMMYFUNCTION("ARRAYFORMULA(REGEXEXTRACT(SPLIT(C1015, ""&lt;br&gt;""), ""([가-힣A-Za-z]+)""))"),"유망")</f>
        <v>유망</v>
      </c>
      <c r="K1015" s="26" t="str">
        <f>IFERROR(__xludf.DUMMYFUNCTION("""COMPUTED_VALUE"""),"짱구")</f>
        <v>짱구</v>
      </c>
      <c r="L1015" s="26" t="str">
        <f>IFERROR(__xludf.DUMMYFUNCTION("""COMPUTED_VALUE"""),"테리")</f>
        <v>테리</v>
      </c>
      <c r="M1015" s="26" t="str">
        <f>IFERROR(__xludf.DUMMYFUNCTION("""COMPUTED_VALUE"""),"따")</f>
        <v>따</v>
      </c>
      <c r="N1015" s="26" t="str">
        <f>IFERROR(__xludf.DUMMYFUNCTION("ARRAYFORMULA(REGEXEXTRACT(SPLIT(E1015, ""&lt;br&gt;""), ""([가-힣A-Za-z]+)""))"),"깡패")</f>
        <v>깡패</v>
      </c>
      <c r="O1015" s="26" t="str">
        <f>IFERROR(__xludf.DUMMYFUNCTION("""COMPUTED_VALUE"""),"신형만")</f>
        <v>신형만</v>
      </c>
      <c r="P1015" s="26" t="str">
        <f>IFERROR(__xludf.DUMMYFUNCTION("""COMPUTED_VALUE"""),"노인")</f>
        <v>노인</v>
      </c>
      <c r="Q1015" s="26" t="str">
        <f>IFERROR(__xludf.DUMMYFUNCTION("""COMPUTED_VALUE"""),"박서")</f>
        <v>박서</v>
      </c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</row>
    <row r="1016">
      <c r="A1016" s="27" t="s">
        <v>4318</v>
      </c>
      <c r="B1016" s="28" t="s">
        <v>4319</v>
      </c>
      <c r="C1016" s="27" t="s">
        <v>4320</v>
      </c>
      <c r="D1016" s="27">
        <v>5.0</v>
      </c>
      <c r="E1016" s="27" t="s">
        <v>4321</v>
      </c>
      <c r="F1016" s="27">
        <v>2.0</v>
      </c>
      <c r="G1016" s="29">
        <v>45682.09444444445</v>
      </c>
      <c r="H1016" s="27" t="s">
        <v>4257</v>
      </c>
      <c r="I1016" s="18"/>
      <c r="J1016" s="25" t="str">
        <f>IFERROR(__xludf.DUMMYFUNCTION("ARRAYFORMULA(REGEXEXTRACT(SPLIT(C1016, ""&lt;br&gt;""), ""([가-힣A-Za-z]+)""))"),"유망")</f>
        <v>유망</v>
      </c>
      <c r="K1016" s="26" t="str">
        <f>IFERROR(__xludf.DUMMYFUNCTION("""COMPUTED_VALUE"""),"노인")</f>
        <v>노인</v>
      </c>
      <c r="L1016" s="26" t="str">
        <f>IFERROR(__xludf.DUMMYFUNCTION("""COMPUTED_VALUE"""),"짱구")</f>
        <v>짱구</v>
      </c>
      <c r="M1016" s="26" t="str">
        <f>IFERROR(__xludf.DUMMYFUNCTION("""COMPUTED_VALUE"""),"박서")</f>
        <v>박서</v>
      </c>
      <c r="N1016" s="26" t="str">
        <f>IFERROR(__xludf.DUMMYFUNCTION("ARRAYFORMULA(REGEXEXTRACT(SPLIT(E1016, ""&lt;br&gt;""), ""([가-힣A-Za-z]+)""))"),"테리")</f>
        <v>테리</v>
      </c>
      <c r="O1016" s="26" t="str">
        <f>IFERROR(__xludf.DUMMYFUNCTION("""COMPUTED_VALUE"""),"신형만")</f>
        <v>신형만</v>
      </c>
      <c r="P1016" s="26" t="str">
        <f>IFERROR(__xludf.DUMMYFUNCTION("""COMPUTED_VALUE"""),"깡패")</f>
        <v>깡패</v>
      </c>
      <c r="Q1016" s="26" t="str">
        <f>IFERROR(__xludf.DUMMYFUNCTION("""COMPUTED_VALUE"""),"따")</f>
        <v>따</v>
      </c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</row>
    <row r="1017">
      <c r="A1017" s="27" t="s">
        <v>4322</v>
      </c>
      <c r="B1017" s="28" t="s">
        <v>4323</v>
      </c>
      <c r="C1017" s="27" t="s">
        <v>4324</v>
      </c>
      <c r="D1017" s="27">
        <v>5.0</v>
      </c>
      <c r="E1017" s="27" t="s">
        <v>4325</v>
      </c>
      <c r="F1017" s="27">
        <v>2.0</v>
      </c>
      <c r="G1017" s="29">
        <v>45682.06041666667</v>
      </c>
      <c r="H1017" s="27" t="s">
        <v>4257</v>
      </c>
      <c r="I1017" s="18"/>
      <c r="J1017" s="25" t="str">
        <f>IFERROR(__xludf.DUMMYFUNCTION("ARRAYFORMULA(REGEXEXTRACT(SPLIT(C1017, ""&lt;br&gt;""), ""([가-힣A-Za-z]+)""))"),"테리")</f>
        <v>테리</v>
      </c>
      <c r="K1017" s="26" t="str">
        <f>IFERROR(__xludf.DUMMYFUNCTION("""COMPUTED_VALUE"""),"짱구")</f>
        <v>짱구</v>
      </c>
      <c r="L1017" s="26" t="str">
        <f>IFERROR(__xludf.DUMMYFUNCTION("""COMPUTED_VALUE"""),"따")</f>
        <v>따</v>
      </c>
      <c r="M1017" s="26" t="str">
        <f>IFERROR(__xludf.DUMMYFUNCTION("""COMPUTED_VALUE"""),"유망")</f>
        <v>유망</v>
      </c>
      <c r="N1017" s="26" t="str">
        <f>IFERROR(__xludf.DUMMYFUNCTION("ARRAYFORMULA(REGEXEXTRACT(SPLIT(E1017, ""&lt;br&gt;""), ""([가-힣A-Za-z]+)""))"),"노인")</f>
        <v>노인</v>
      </c>
      <c r="O1017" s="26" t="str">
        <f>IFERROR(__xludf.DUMMYFUNCTION("""COMPUTED_VALUE"""),"재우")</f>
        <v>재우</v>
      </c>
      <c r="P1017" s="26" t="str">
        <f>IFERROR(__xludf.DUMMYFUNCTION("""COMPUTED_VALUE"""),"깡패")</f>
        <v>깡패</v>
      </c>
      <c r="Q1017" s="26" t="str">
        <f>IFERROR(__xludf.DUMMYFUNCTION("""COMPUTED_VALUE"""),"신형만")</f>
        <v>신형만</v>
      </c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</row>
    <row r="1018">
      <c r="A1018" s="27" t="s">
        <v>4326</v>
      </c>
      <c r="B1018" s="28" t="s">
        <v>4327</v>
      </c>
      <c r="C1018" s="27" t="s">
        <v>4328</v>
      </c>
      <c r="D1018" s="27">
        <v>5.0</v>
      </c>
      <c r="E1018" s="27" t="s">
        <v>4329</v>
      </c>
      <c r="F1018" s="27">
        <v>0.0</v>
      </c>
      <c r="G1018" s="29">
        <v>45682.041666666664</v>
      </c>
      <c r="H1018" s="27" t="s">
        <v>4257</v>
      </c>
      <c r="I1018" s="18"/>
      <c r="J1018" s="25" t="str">
        <f>IFERROR(__xludf.DUMMYFUNCTION("ARRAYFORMULA(REGEXEXTRACT(SPLIT(C1018, ""&lt;br&gt;""), ""([가-힣A-Za-z]+)""))"),"테리")</f>
        <v>테리</v>
      </c>
      <c r="K1018" s="26" t="str">
        <f>IFERROR(__xludf.DUMMYFUNCTION("""COMPUTED_VALUE"""),"깡패")</f>
        <v>깡패</v>
      </c>
      <c r="L1018" s="26" t="str">
        <f>IFERROR(__xludf.DUMMYFUNCTION("""COMPUTED_VALUE"""),"유망")</f>
        <v>유망</v>
      </c>
      <c r="M1018" s="26" t="str">
        <f>IFERROR(__xludf.DUMMYFUNCTION("""COMPUTED_VALUE"""),"재우")</f>
        <v>재우</v>
      </c>
      <c r="N1018" s="26" t="str">
        <f>IFERROR(__xludf.DUMMYFUNCTION("ARRAYFORMULA(REGEXEXTRACT(SPLIT(E1018, ""&lt;br&gt;""), ""([가-힣A-Za-z]+)""))"),"짱구")</f>
        <v>짱구</v>
      </c>
      <c r="O1018" s="26" t="str">
        <f>IFERROR(__xludf.DUMMYFUNCTION("""COMPUTED_VALUE"""),"노인")</f>
        <v>노인</v>
      </c>
      <c r="P1018" s="26" t="str">
        <f>IFERROR(__xludf.DUMMYFUNCTION("""COMPUTED_VALUE"""),"따")</f>
        <v>따</v>
      </c>
      <c r="Q1018" s="26" t="str">
        <f>IFERROR(__xludf.DUMMYFUNCTION("""COMPUTED_VALUE"""),"신형만")</f>
        <v>신형만</v>
      </c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</row>
    <row r="1019">
      <c r="A1019" s="27" t="s">
        <v>4330</v>
      </c>
      <c r="B1019" s="28" t="s">
        <v>4331</v>
      </c>
      <c r="C1019" s="27" t="s">
        <v>4332</v>
      </c>
      <c r="D1019" s="27">
        <v>5.0</v>
      </c>
      <c r="E1019" s="27" t="s">
        <v>4333</v>
      </c>
      <c r="F1019" s="27">
        <v>4.0</v>
      </c>
      <c r="G1019" s="29">
        <v>45682.02847222222</v>
      </c>
      <c r="H1019" s="27" t="s">
        <v>4257</v>
      </c>
      <c r="I1019" s="18"/>
      <c r="J1019" s="25" t="str">
        <f>IFERROR(__xludf.DUMMYFUNCTION("ARRAYFORMULA(REGEXEXTRACT(SPLIT(C1019, ""&lt;br&gt;""), ""([가-힣A-Za-z]+)""))"),"재우")</f>
        <v>재우</v>
      </c>
      <c r="K1019" s="26" t="str">
        <f>IFERROR(__xludf.DUMMYFUNCTION("""COMPUTED_VALUE"""),"따")</f>
        <v>따</v>
      </c>
      <c r="L1019" s="26" t="str">
        <f>IFERROR(__xludf.DUMMYFUNCTION("""COMPUTED_VALUE"""),"짱구")</f>
        <v>짱구</v>
      </c>
      <c r="M1019" s="26" t="str">
        <f>IFERROR(__xludf.DUMMYFUNCTION("""COMPUTED_VALUE"""),"유망")</f>
        <v>유망</v>
      </c>
      <c r="N1019" s="26" t="str">
        <f>IFERROR(__xludf.DUMMYFUNCTION("ARRAYFORMULA(REGEXEXTRACT(SPLIT(E1019, ""&lt;br&gt;""), ""([가-힣A-Za-z]+)""))"),"노인")</f>
        <v>노인</v>
      </c>
      <c r="O1019" s="26" t="str">
        <f>IFERROR(__xludf.DUMMYFUNCTION("""COMPUTED_VALUE"""),"테리")</f>
        <v>테리</v>
      </c>
      <c r="P1019" s="26" t="str">
        <f>IFERROR(__xludf.DUMMYFUNCTION("""COMPUTED_VALUE"""),"신형만")</f>
        <v>신형만</v>
      </c>
      <c r="Q1019" s="26" t="str">
        <f>IFERROR(__xludf.DUMMYFUNCTION("""COMPUTED_VALUE"""),"깡패")</f>
        <v>깡패</v>
      </c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</row>
    <row r="1020">
      <c r="A1020" s="27" t="s">
        <v>4334</v>
      </c>
      <c r="B1020" s="28" t="s">
        <v>4335</v>
      </c>
      <c r="C1020" s="27" t="s">
        <v>4336</v>
      </c>
      <c r="D1020" s="27">
        <v>5.0</v>
      </c>
      <c r="E1020" s="27" t="s">
        <v>4337</v>
      </c>
      <c r="F1020" s="27">
        <v>2.0</v>
      </c>
      <c r="G1020" s="29">
        <v>45681.99166666667</v>
      </c>
      <c r="H1020" s="27" t="s">
        <v>4257</v>
      </c>
      <c r="I1020" s="18"/>
      <c r="J1020" s="25" t="str">
        <f>IFERROR(__xludf.DUMMYFUNCTION("ARRAYFORMULA(REGEXEXTRACT(SPLIT(C1020, ""&lt;br&gt;""), ""([가-힣A-Za-z]+)""))"),"재우")</f>
        <v>재우</v>
      </c>
      <c r="K1020" s="26" t="str">
        <f>IFERROR(__xludf.DUMMYFUNCTION("""COMPUTED_VALUE"""),"테리")</f>
        <v>테리</v>
      </c>
      <c r="L1020" s="26" t="str">
        <f>IFERROR(__xludf.DUMMYFUNCTION("""COMPUTED_VALUE"""),"짱구")</f>
        <v>짱구</v>
      </c>
      <c r="M1020" s="26" t="str">
        <f>IFERROR(__xludf.DUMMYFUNCTION("""COMPUTED_VALUE"""),"신형만")</f>
        <v>신형만</v>
      </c>
      <c r="N1020" s="26" t="str">
        <f>IFERROR(__xludf.DUMMYFUNCTION("ARRAYFORMULA(REGEXEXTRACT(SPLIT(E1020, ""&lt;br&gt;""), ""([가-힣A-Za-z]+)""))"),"원")</f>
        <v>원</v>
      </c>
      <c r="O1020" s="26" t="str">
        <f>IFERROR(__xludf.DUMMYFUNCTION("""COMPUTED_VALUE"""),"노인")</f>
        <v>노인</v>
      </c>
      <c r="P1020" s="26" t="str">
        <f>IFERROR(__xludf.DUMMYFUNCTION("""COMPUTED_VALUE"""),"따")</f>
        <v>따</v>
      </c>
      <c r="Q1020" s="26" t="str">
        <f>IFERROR(__xludf.DUMMYFUNCTION("""COMPUTED_VALUE"""),"깡패")</f>
        <v>깡패</v>
      </c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</row>
    <row r="1021">
      <c r="A1021" s="27" t="s">
        <v>4338</v>
      </c>
      <c r="B1021" s="28" t="s">
        <v>4339</v>
      </c>
      <c r="C1021" s="27" t="s">
        <v>4340</v>
      </c>
      <c r="D1021" s="27">
        <v>5.0</v>
      </c>
      <c r="E1021" s="27" t="s">
        <v>4341</v>
      </c>
      <c r="F1021" s="27">
        <v>1.0</v>
      </c>
      <c r="G1021" s="29">
        <v>45681.97083333333</v>
      </c>
      <c r="H1021" s="27" t="s">
        <v>4257</v>
      </c>
      <c r="I1021" s="18"/>
      <c r="J1021" s="25" t="str">
        <f>IFERROR(__xludf.DUMMYFUNCTION("ARRAYFORMULA(REGEXEXTRACT(SPLIT(C1021, ""&lt;br&gt;""), ""([가-힣A-Za-z]+)""))"),"신형만")</f>
        <v>신형만</v>
      </c>
      <c r="K1021" s="26" t="str">
        <f>IFERROR(__xludf.DUMMYFUNCTION("""COMPUTED_VALUE"""),"짱구")</f>
        <v>짱구</v>
      </c>
      <c r="L1021" s="26" t="str">
        <f>IFERROR(__xludf.DUMMYFUNCTION("""COMPUTED_VALUE"""),"원")</f>
        <v>원</v>
      </c>
      <c r="M1021" s="26" t="str">
        <f>IFERROR(__xludf.DUMMYFUNCTION("""COMPUTED_VALUE"""),"깡패")</f>
        <v>깡패</v>
      </c>
      <c r="N1021" s="26" t="str">
        <f>IFERROR(__xludf.DUMMYFUNCTION("ARRAYFORMULA(REGEXEXTRACT(SPLIT(E1021, ""&lt;br&gt;""), ""([가-힣A-Za-z]+)""))"),"테리")</f>
        <v>테리</v>
      </c>
      <c r="O1021" s="26" t="str">
        <f>IFERROR(__xludf.DUMMYFUNCTION("""COMPUTED_VALUE"""),"재우")</f>
        <v>재우</v>
      </c>
      <c r="P1021" s="26" t="str">
        <f>IFERROR(__xludf.DUMMYFUNCTION("""COMPUTED_VALUE"""),"따")</f>
        <v>따</v>
      </c>
      <c r="Q1021" s="26" t="str">
        <f>IFERROR(__xludf.DUMMYFUNCTION("""COMPUTED_VALUE"""),"노인")</f>
        <v>노인</v>
      </c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</row>
    <row r="1022">
      <c r="A1022" s="27" t="s">
        <v>4342</v>
      </c>
      <c r="B1022" s="28" t="s">
        <v>4343</v>
      </c>
      <c r="C1022" s="27" t="s">
        <v>4344</v>
      </c>
      <c r="D1022" s="27">
        <v>5.0</v>
      </c>
      <c r="E1022" s="27" t="s">
        <v>4345</v>
      </c>
      <c r="F1022" s="27">
        <v>1.0</v>
      </c>
      <c r="G1022" s="29">
        <v>45681.95486111111</v>
      </c>
      <c r="H1022" s="27" t="s">
        <v>4257</v>
      </c>
      <c r="I1022" s="18"/>
      <c r="J1022" s="25" t="str">
        <f>IFERROR(__xludf.DUMMYFUNCTION("ARRAYFORMULA(REGEXEXTRACT(SPLIT(C1022, ""&lt;br&gt;""), ""([가-힣A-Za-z]+)""))"),"원")</f>
        <v>원</v>
      </c>
      <c r="K1022" s="26" t="str">
        <f>IFERROR(__xludf.DUMMYFUNCTION("""COMPUTED_VALUE"""),"짱구")</f>
        <v>짱구</v>
      </c>
      <c r="L1022" s="26" t="str">
        <f>IFERROR(__xludf.DUMMYFUNCTION("""COMPUTED_VALUE"""),"따")</f>
        <v>따</v>
      </c>
      <c r="M1022" s="26" t="str">
        <f>IFERROR(__xludf.DUMMYFUNCTION("""COMPUTED_VALUE"""),"박서")</f>
        <v>박서</v>
      </c>
      <c r="N1022" s="26" t="str">
        <f>IFERROR(__xludf.DUMMYFUNCTION("ARRAYFORMULA(REGEXEXTRACT(SPLIT(E1022, ""&lt;br&gt;""), ""([가-힣A-Za-z]+)""))"),"테리")</f>
        <v>테리</v>
      </c>
      <c r="O1022" s="26" t="str">
        <f>IFERROR(__xludf.DUMMYFUNCTION("""COMPUTED_VALUE"""),"재우")</f>
        <v>재우</v>
      </c>
      <c r="P1022" s="26" t="str">
        <f>IFERROR(__xludf.DUMMYFUNCTION("""COMPUTED_VALUE"""),"신형만")</f>
        <v>신형만</v>
      </c>
      <c r="Q1022" s="26" t="str">
        <f>IFERROR(__xludf.DUMMYFUNCTION("""COMPUTED_VALUE"""),"깡패")</f>
        <v>깡패</v>
      </c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</row>
    <row r="1023">
      <c r="A1023" s="27" t="s">
        <v>4346</v>
      </c>
      <c r="B1023" s="28" t="s">
        <v>4347</v>
      </c>
      <c r="C1023" s="27" t="s">
        <v>4348</v>
      </c>
      <c r="D1023" s="27">
        <v>5.0</v>
      </c>
      <c r="E1023" s="27" t="s">
        <v>4349</v>
      </c>
      <c r="F1023" s="27">
        <v>2.0</v>
      </c>
      <c r="G1023" s="29">
        <v>45677.080555555556</v>
      </c>
      <c r="H1023" s="27" t="s">
        <v>4257</v>
      </c>
      <c r="I1023" s="18"/>
      <c r="J1023" s="25" t="str">
        <f>IFERROR(__xludf.DUMMYFUNCTION("ARRAYFORMULA(REGEXEXTRACT(SPLIT(C1023, ""&lt;br&gt;""), ""([가-힣A-Za-z]+)""))"),"노인")</f>
        <v>노인</v>
      </c>
      <c r="K1023" s="26" t="str">
        <f>IFERROR(__xludf.DUMMYFUNCTION("""COMPUTED_VALUE"""),"테리")</f>
        <v>테리</v>
      </c>
      <c r="L1023" s="26" t="str">
        <f>IFERROR(__xludf.DUMMYFUNCTION("""COMPUTED_VALUE"""),"강화")</f>
        <v>강화</v>
      </c>
      <c r="M1023" s="26" t="str">
        <f>IFERROR(__xludf.DUMMYFUNCTION("""COMPUTED_VALUE"""),"박서")</f>
        <v>박서</v>
      </c>
      <c r="N1023" s="26" t="str">
        <f>IFERROR(__xludf.DUMMYFUNCTION("ARRAYFORMULA(REGEXEXTRACT(SPLIT(E1023, ""&lt;br&gt;""), ""([가-힣A-Za-z]+)""))"),"깡패")</f>
        <v>깡패</v>
      </c>
      <c r="O1023" s="26" t="str">
        <f>IFERROR(__xludf.DUMMYFUNCTION("""COMPUTED_VALUE"""),"재우")</f>
        <v>재우</v>
      </c>
      <c r="P1023" s="26" t="str">
        <f>IFERROR(__xludf.DUMMYFUNCTION("""COMPUTED_VALUE"""),"따")</f>
        <v>따</v>
      </c>
      <c r="Q1023" s="26" t="str">
        <f>IFERROR(__xludf.DUMMYFUNCTION("""COMPUTED_VALUE"""),"신형만")</f>
        <v>신형만</v>
      </c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</row>
    <row r="1024">
      <c r="A1024" s="27" t="s">
        <v>4350</v>
      </c>
      <c r="B1024" s="28" t="s">
        <v>4351</v>
      </c>
      <c r="C1024" s="27" t="s">
        <v>4352</v>
      </c>
      <c r="D1024" s="27">
        <v>5.0</v>
      </c>
      <c r="E1024" s="27" t="s">
        <v>4353</v>
      </c>
      <c r="F1024" s="27">
        <v>3.0</v>
      </c>
      <c r="G1024" s="29">
        <v>45677.063888888886</v>
      </c>
      <c r="H1024" s="27" t="s">
        <v>4257</v>
      </c>
      <c r="I1024" s="18"/>
      <c r="J1024" s="25" t="str">
        <f>IFERROR(__xludf.DUMMYFUNCTION("ARRAYFORMULA(REGEXEXTRACT(SPLIT(C1024, ""&lt;br&gt;""), ""([가-힣A-Za-z]+)""))"),"노인")</f>
        <v>노인</v>
      </c>
      <c r="K1024" s="26" t="str">
        <f>IFERROR(__xludf.DUMMYFUNCTION("""COMPUTED_VALUE"""),"따")</f>
        <v>따</v>
      </c>
      <c r="L1024" s="26" t="str">
        <f>IFERROR(__xludf.DUMMYFUNCTION("""COMPUTED_VALUE"""),"깡패")</f>
        <v>깡패</v>
      </c>
      <c r="M1024" s="26" t="str">
        <f>IFERROR(__xludf.DUMMYFUNCTION("""COMPUTED_VALUE"""),"박서")</f>
        <v>박서</v>
      </c>
      <c r="N1024" s="26" t="str">
        <f>IFERROR(__xludf.DUMMYFUNCTION("ARRAYFORMULA(REGEXEXTRACT(SPLIT(E1024, ""&lt;br&gt;""), ""([가-힣A-Za-z]+)""))"),"강화")</f>
        <v>강화</v>
      </c>
      <c r="O1024" s="26" t="str">
        <f>IFERROR(__xludf.DUMMYFUNCTION("""COMPUTED_VALUE"""),"재우")</f>
        <v>재우</v>
      </c>
      <c r="P1024" s="26" t="str">
        <f>IFERROR(__xludf.DUMMYFUNCTION("""COMPUTED_VALUE"""),"테리")</f>
        <v>테리</v>
      </c>
      <c r="Q1024" s="26" t="str">
        <f>IFERROR(__xludf.DUMMYFUNCTION("""COMPUTED_VALUE"""),"신형만")</f>
        <v>신형만</v>
      </c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</row>
    <row r="1025">
      <c r="A1025" s="27" t="s">
        <v>4354</v>
      </c>
      <c r="B1025" s="28" t="s">
        <v>4355</v>
      </c>
      <c r="C1025" s="27" t="s">
        <v>4356</v>
      </c>
      <c r="D1025" s="27">
        <v>5.0</v>
      </c>
      <c r="E1025" s="27" t="s">
        <v>4357</v>
      </c>
      <c r="F1025" s="27">
        <v>3.0</v>
      </c>
      <c r="G1025" s="29">
        <v>45677.02569444444</v>
      </c>
      <c r="H1025" s="27" t="s">
        <v>4257</v>
      </c>
      <c r="I1025" s="18"/>
      <c r="J1025" s="25" t="str">
        <f>IFERROR(__xludf.DUMMYFUNCTION("ARRAYFORMULA(REGEXEXTRACT(SPLIT(C1025, ""&lt;br&gt;""), ""([가-힣A-Za-z]+)""))"),"재우")</f>
        <v>재우</v>
      </c>
      <c r="K1025" s="26" t="str">
        <f>IFERROR(__xludf.DUMMYFUNCTION("""COMPUTED_VALUE"""),"노인")</f>
        <v>노인</v>
      </c>
      <c r="L1025" s="26" t="str">
        <f>IFERROR(__xludf.DUMMYFUNCTION("""COMPUTED_VALUE"""),"테리")</f>
        <v>테리</v>
      </c>
      <c r="M1025" s="26" t="str">
        <f>IFERROR(__xludf.DUMMYFUNCTION("""COMPUTED_VALUE"""),"깡패")</f>
        <v>깡패</v>
      </c>
      <c r="N1025" s="26" t="str">
        <f>IFERROR(__xludf.DUMMYFUNCTION("ARRAYFORMULA(REGEXEXTRACT(SPLIT(E1025, ""&lt;br&gt;""), ""([가-힣A-Za-z]+)""))"),"강화")</f>
        <v>강화</v>
      </c>
      <c r="O1025" s="26" t="str">
        <f>IFERROR(__xludf.DUMMYFUNCTION("""COMPUTED_VALUE"""),"따")</f>
        <v>따</v>
      </c>
      <c r="P1025" s="26" t="str">
        <f>IFERROR(__xludf.DUMMYFUNCTION("""COMPUTED_VALUE"""),"신형만")</f>
        <v>신형만</v>
      </c>
      <c r="Q1025" s="26" t="str">
        <f>IFERROR(__xludf.DUMMYFUNCTION("""COMPUTED_VALUE"""),"박서")</f>
        <v>박서</v>
      </c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</row>
    <row r="1026">
      <c r="A1026" s="27" t="s">
        <v>4358</v>
      </c>
      <c r="B1026" s="28" t="s">
        <v>4359</v>
      </c>
      <c r="C1026" s="27" t="s">
        <v>4360</v>
      </c>
      <c r="D1026" s="27">
        <v>5.0</v>
      </c>
      <c r="E1026" s="27" t="s">
        <v>4361</v>
      </c>
      <c r="F1026" s="27">
        <v>3.0</v>
      </c>
      <c r="G1026" s="29">
        <v>45676.99097222222</v>
      </c>
      <c r="H1026" s="27" t="s">
        <v>4257</v>
      </c>
      <c r="I1026" s="18"/>
      <c r="J1026" s="25" t="str">
        <f>IFERROR(__xludf.DUMMYFUNCTION("ARRAYFORMULA(REGEXEXTRACT(SPLIT(C1026, ""&lt;br&gt;""), ""([가-힣A-Za-z]+)""))"),"깡패")</f>
        <v>깡패</v>
      </c>
      <c r="K1026" s="26" t="str">
        <f>IFERROR(__xludf.DUMMYFUNCTION("""COMPUTED_VALUE"""),"신형만")</f>
        <v>신형만</v>
      </c>
      <c r="L1026" s="26" t="str">
        <f>IFERROR(__xludf.DUMMYFUNCTION("""COMPUTED_VALUE"""),"테리")</f>
        <v>테리</v>
      </c>
      <c r="M1026" s="26" t="str">
        <f>IFERROR(__xludf.DUMMYFUNCTION("""COMPUTED_VALUE"""),"박서")</f>
        <v>박서</v>
      </c>
      <c r="N1026" s="26" t="str">
        <f>IFERROR(__xludf.DUMMYFUNCTION("ARRAYFORMULA(REGEXEXTRACT(SPLIT(E1026, ""&lt;br&gt;""), ""([가-힣A-Za-z]+)""))"),"강화")</f>
        <v>강화</v>
      </c>
      <c r="O1026" s="26" t="str">
        <f>IFERROR(__xludf.DUMMYFUNCTION("""COMPUTED_VALUE"""),"재우")</f>
        <v>재우</v>
      </c>
      <c r="P1026" s="26" t="str">
        <f>IFERROR(__xludf.DUMMYFUNCTION("""COMPUTED_VALUE"""),"짱구")</f>
        <v>짱구</v>
      </c>
      <c r="Q1026" s="26" t="str">
        <f>IFERROR(__xludf.DUMMYFUNCTION("""COMPUTED_VALUE"""),"랄")</f>
        <v>랄</v>
      </c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</row>
    <row r="1027">
      <c r="A1027" s="27" t="s">
        <v>4362</v>
      </c>
      <c r="B1027" s="28" t="s">
        <v>4363</v>
      </c>
      <c r="C1027" s="27" t="s">
        <v>4364</v>
      </c>
      <c r="D1027" s="27">
        <v>5.0</v>
      </c>
      <c r="E1027" s="27" t="s">
        <v>4365</v>
      </c>
      <c r="F1027" s="27">
        <v>3.0</v>
      </c>
      <c r="G1027" s="29">
        <v>45676.96666666667</v>
      </c>
      <c r="H1027" s="27" t="s">
        <v>4257</v>
      </c>
      <c r="I1027" s="18"/>
      <c r="J1027" s="25" t="str">
        <f>IFERROR(__xludf.DUMMYFUNCTION("ARRAYFORMULA(REGEXEXTRACT(SPLIT(C1027, ""&lt;br&gt;""), ""([가-힣A-Za-z]+)""))"),"재우")</f>
        <v>재우</v>
      </c>
      <c r="K1027" s="26" t="str">
        <f>IFERROR(__xludf.DUMMYFUNCTION("""COMPUTED_VALUE"""),"테리")</f>
        <v>테리</v>
      </c>
      <c r="L1027" s="26" t="str">
        <f>IFERROR(__xludf.DUMMYFUNCTION("""COMPUTED_VALUE"""),"랄")</f>
        <v>랄</v>
      </c>
      <c r="M1027" s="26" t="str">
        <f>IFERROR(__xludf.DUMMYFUNCTION("""COMPUTED_VALUE"""),"박서")</f>
        <v>박서</v>
      </c>
      <c r="N1027" s="26" t="str">
        <f>IFERROR(__xludf.DUMMYFUNCTION("ARRAYFORMULA(REGEXEXTRACT(SPLIT(E1027, ""&lt;br&gt;""), ""([가-힣A-Za-z]+)""))"),"깡패")</f>
        <v>깡패</v>
      </c>
      <c r="O1027" s="26" t="str">
        <f>IFERROR(__xludf.DUMMYFUNCTION("""COMPUTED_VALUE"""),"짱구")</f>
        <v>짱구</v>
      </c>
      <c r="P1027" s="26" t="str">
        <f>IFERROR(__xludf.DUMMYFUNCTION("""COMPUTED_VALUE"""),"신형만")</f>
        <v>신형만</v>
      </c>
      <c r="Q1027" s="26" t="str">
        <f>IFERROR(__xludf.DUMMYFUNCTION("""COMPUTED_VALUE"""),"강화")</f>
        <v>강화</v>
      </c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</row>
    <row r="1028">
      <c r="A1028" s="27" t="s">
        <v>4366</v>
      </c>
      <c r="B1028" s="28" t="s">
        <v>4367</v>
      </c>
      <c r="C1028" s="27" t="s">
        <v>4368</v>
      </c>
      <c r="D1028" s="27">
        <v>5.0</v>
      </c>
      <c r="E1028" s="27" t="s">
        <v>4369</v>
      </c>
      <c r="F1028" s="27">
        <v>3.0</v>
      </c>
      <c r="G1028" s="29">
        <v>45676.91736111111</v>
      </c>
      <c r="H1028" s="27" t="s">
        <v>4257</v>
      </c>
      <c r="I1028" s="18"/>
      <c r="J1028" s="25" t="str">
        <f>IFERROR(__xludf.DUMMYFUNCTION("ARRAYFORMULA(REGEXEXTRACT(SPLIT(C1028, ""&lt;br&gt;""), ""([가-힣A-Za-z]+)""))"),"재우")</f>
        <v>재우</v>
      </c>
      <c r="K1028" s="26" t="str">
        <f>IFERROR(__xludf.DUMMYFUNCTION("""COMPUTED_VALUE"""),"테리")</f>
        <v>테리</v>
      </c>
      <c r="L1028" s="26" t="str">
        <f>IFERROR(__xludf.DUMMYFUNCTION("""COMPUTED_VALUE"""),"깡패")</f>
        <v>깡패</v>
      </c>
      <c r="M1028" s="26" t="str">
        <f>IFERROR(__xludf.DUMMYFUNCTION("""COMPUTED_VALUE"""),"유망")</f>
        <v>유망</v>
      </c>
      <c r="N1028" s="26" t="str">
        <f>IFERROR(__xludf.DUMMYFUNCTION("ARRAYFORMULA(REGEXEXTRACT(SPLIT(E1028, ""&lt;br&gt;""), ""([가-힣A-Za-z]+)""))"),"태식")</f>
        <v>태식</v>
      </c>
      <c r="O1028" s="26" t="str">
        <f>IFERROR(__xludf.DUMMYFUNCTION("""COMPUTED_VALUE"""),"노인")</f>
        <v>노인</v>
      </c>
      <c r="P1028" s="26" t="str">
        <f>IFERROR(__xludf.DUMMYFUNCTION("""COMPUTED_VALUE"""),"짱구")</f>
        <v>짱구</v>
      </c>
      <c r="Q1028" s="26" t="str">
        <f>IFERROR(__xludf.DUMMYFUNCTION("""COMPUTED_VALUE"""),"신형만")</f>
        <v>신형만</v>
      </c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</row>
    <row r="1029">
      <c r="A1029" s="27" t="s">
        <v>4370</v>
      </c>
      <c r="B1029" s="28" t="s">
        <v>4371</v>
      </c>
      <c r="C1029" s="27" t="s">
        <v>4372</v>
      </c>
      <c r="D1029" s="27">
        <v>5.0</v>
      </c>
      <c r="E1029" s="27" t="s">
        <v>4373</v>
      </c>
      <c r="F1029" s="27">
        <v>4.0</v>
      </c>
      <c r="G1029" s="29">
        <v>45676.885416666664</v>
      </c>
      <c r="H1029" s="27" t="s">
        <v>4257</v>
      </c>
      <c r="I1029" s="18"/>
      <c r="J1029" s="25" t="str">
        <f>IFERROR(__xludf.DUMMYFUNCTION("ARRAYFORMULA(REGEXEXTRACT(SPLIT(C1029, ""&lt;br&gt;""), ""([가-힣A-Za-z]+)""))"),"테리")</f>
        <v>테리</v>
      </c>
      <c r="K1029" s="26" t="str">
        <f>IFERROR(__xludf.DUMMYFUNCTION("""COMPUTED_VALUE"""),"깡패")</f>
        <v>깡패</v>
      </c>
      <c r="L1029" s="26" t="str">
        <f>IFERROR(__xludf.DUMMYFUNCTION("""COMPUTED_VALUE"""),"태식")</f>
        <v>태식</v>
      </c>
      <c r="M1029" s="26" t="str">
        <f>IFERROR(__xludf.DUMMYFUNCTION("""COMPUTED_VALUE"""),"신형만")</f>
        <v>신형만</v>
      </c>
      <c r="N1029" s="26" t="str">
        <f>IFERROR(__xludf.DUMMYFUNCTION("ARRAYFORMULA(REGEXEXTRACT(SPLIT(E1029, ""&lt;br&gt;""), ""([가-힣A-Za-z]+)""))"),"노인")</f>
        <v>노인</v>
      </c>
      <c r="O1029" s="26" t="str">
        <f>IFERROR(__xludf.DUMMYFUNCTION("""COMPUTED_VALUE"""),"짱구")</f>
        <v>짱구</v>
      </c>
      <c r="P1029" s="26" t="str">
        <f>IFERROR(__xludf.DUMMYFUNCTION("""COMPUTED_VALUE"""),"유망")</f>
        <v>유망</v>
      </c>
      <c r="Q1029" s="26" t="str">
        <f>IFERROR(__xludf.DUMMYFUNCTION("""COMPUTED_VALUE"""),"재우")</f>
        <v>재우</v>
      </c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</row>
    <row r="1030">
      <c r="A1030" s="27" t="s">
        <v>4374</v>
      </c>
      <c r="B1030" s="28" t="s">
        <v>4375</v>
      </c>
      <c r="C1030" s="27" t="s">
        <v>4376</v>
      </c>
      <c r="D1030" s="27">
        <v>5.0</v>
      </c>
      <c r="E1030" s="27" t="s">
        <v>4377</v>
      </c>
      <c r="F1030" s="27">
        <v>3.0</v>
      </c>
      <c r="G1030" s="29">
        <v>45675.072222222225</v>
      </c>
      <c r="H1030" s="27" t="s">
        <v>4257</v>
      </c>
      <c r="I1030" s="18"/>
      <c r="J1030" s="25" t="str">
        <f>IFERROR(__xludf.DUMMYFUNCTION("ARRAYFORMULA(REGEXEXTRACT(SPLIT(C1030, ""&lt;br&gt;""), ""([가-힣A-Za-z]+)""))"),"참치")</f>
        <v>참치</v>
      </c>
      <c r="K1030" s="26" t="str">
        <f>IFERROR(__xludf.DUMMYFUNCTION("""COMPUTED_VALUE"""),"테리")</f>
        <v>테리</v>
      </c>
      <c r="L1030" s="26" t="str">
        <f>IFERROR(__xludf.DUMMYFUNCTION("""COMPUTED_VALUE"""),"노인")</f>
        <v>노인</v>
      </c>
      <c r="M1030" s="26" t="str">
        <f>IFERROR(__xludf.DUMMYFUNCTION("""COMPUTED_VALUE"""),"신형만")</f>
        <v>신형만</v>
      </c>
      <c r="N1030" s="26" t="str">
        <f>IFERROR(__xludf.DUMMYFUNCTION("ARRAYFORMULA(REGEXEXTRACT(SPLIT(E1030, ""&lt;br&gt;""), ""([가-힣A-Za-z]+)""))"),"강화")</f>
        <v>강화</v>
      </c>
      <c r="O1030" s="26" t="str">
        <f>IFERROR(__xludf.DUMMYFUNCTION("""COMPUTED_VALUE"""),"깡패")</f>
        <v>깡패</v>
      </c>
      <c r="P1030" s="26" t="str">
        <f>IFERROR(__xludf.DUMMYFUNCTION("""COMPUTED_VALUE"""),"짱구")</f>
        <v>짱구</v>
      </c>
      <c r="Q1030" s="26" t="str">
        <f>IFERROR(__xludf.DUMMYFUNCTION("""COMPUTED_VALUE"""),"유망")</f>
        <v>유망</v>
      </c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</row>
    <row r="1031">
      <c r="A1031" s="27" t="s">
        <v>4378</v>
      </c>
      <c r="B1031" s="28" t="s">
        <v>4379</v>
      </c>
      <c r="C1031" s="27" t="s">
        <v>4380</v>
      </c>
      <c r="D1031" s="27">
        <v>5.0</v>
      </c>
      <c r="E1031" s="27" t="s">
        <v>4381</v>
      </c>
      <c r="F1031" s="27">
        <v>1.0</v>
      </c>
      <c r="G1031" s="29">
        <v>45675.052083333336</v>
      </c>
      <c r="H1031" s="27" t="s">
        <v>4257</v>
      </c>
      <c r="I1031" s="18"/>
      <c r="J1031" s="25" t="str">
        <f>IFERROR(__xludf.DUMMYFUNCTION("ARRAYFORMULA(REGEXEXTRACT(SPLIT(C1031, ""&lt;br&gt;""), ""([가-힣A-Za-z]+)""))"),"참치")</f>
        <v>참치</v>
      </c>
      <c r="K1031" s="26" t="str">
        <f>IFERROR(__xludf.DUMMYFUNCTION("""COMPUTED_VALUE"""),"테리")</f>
        <v>테리</v>
      </c>
      <c r="L1031" s="26" t="str">
        <f>IFERROR(__xludf.DUMMYFUNCTION("""COMPUTED_VALUE"""),"짱구")</f>
        <v>짱구</v>
      </c>
      <c r="M1031" s="26" t="str">
        <f>IFERROR(__xludf.DUMMYFUNCTION("""COMPUTED_VALUE"""),"유망")</f>
        <v>유망</v>
      </c>
      <c r="N1031" s="26" t="str">
        <f>IFERROR(__xludf.DUMMYFUNCTION("ARRAYFORMULA(REGEXEXTRACT(SPLIT(E1031, ""&lt;br&gt;""), ""([가-힣A-Za-z]+)""))"),"강화")</f>
        <v>강화</v>
      </c>
      <c r="O1031" s="26" t="str">
        <f>IFERROR(__xludf.DUMMYFUNCTION("""COMPUTED_VALUE"""),"깡패")</f>
        <v>깡패</v>
      </c>
      <c r="P1031" s="26" t="str">
        <f>IFERROR(__xludf.DUMMYFUNCTION("""COMPUTED_VALUE"""),"노인")</f>
        <v>노인</v>
      </c>
      <c r="Q1031" s="26" t="str">
        <f>IFERROR(__xludf.DUMMYFUNCTION("""COMPUTED_VALUE"""),"신형만")</f>
        <v>신형만</v>
      </c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</row>
    <row r="1032">
      <c r="A1032" s="27" t="s">
        <v>4382</v>
      </c>
      <c r="B1032" s="28" t="s">
        <v>4383</v>
      </c>
      <c r="C1032" s="27" t="s">
        <v>4384</v>
      </c>
      <c r="D1032" s="27">
        <v>5.0</v>
      </c>
      <c r="E1032" s="27" t="s">
        <v>4385</v>
      </c>
      <c r="F1032" s="27">
        <v>4.0</v>
      </c>
      <c r="G1032" s="29">
        <v>45675.03472222222</v>
      </c>
      <c r="H1032" s="27" t="s">
        <v>4257</v>
      </c>
      <c r="I1032" s="18"/>
      <c r="J1032" s="25" t="str">
        <f>IFERROR(__xludf.DUMMYFUNCTION("ARRAYFORMULA(REGEXEXTRACT(SPLIT(C1032, ""&lt;br&gt;""), ""([가-힣A-Za-z]+)""))"),"재우")</f>
        <v>재우</v>
      </c>
      <c r="K1032" s="26" t="str">
        <f>IFERROR(__xludf.DUMMYFUNCTION("""COMPUTED_VALUE"""),"짱구")</f>
        <v>짱구</v>
      </c>
      <c r="L1032" s="26" t="str">
        <f>IFERROR(__xludf.DUMMYFUNCTION("""COMPUTED_VALUE"""),"강화")</f>
        <v>강화</v>
      </c>
      <c r="M1032" s="26" t="str">
        <f>IFERROR(__xludf.DUMMYFUNCTION("""COMPUTED_VALUE"""),"깡패")</f>
        <v>깡패</v>
      </c>
      <c r="N1032" s="26" t="str">
        <f>IFERROR(__xludf.DUMMYFUNCTION("ARRAYFORMULA(REGEXEXTRACT(SPLIT(E1032, ""&lt;br&gt;""), ""([가-힣A-Za-z]+)""))"),"노인")</f>
        <v>노인</v>
      </c>
      <c r="O1032" s="26" t="str">
        <f>IFERROR(__xludf.DUMMYFUNCTION("""COMPUTED_VALUE"""),"참치")</f>
        <v>참치</v>
      </c>
      <c r="P1032" s="26" t="str">
        <f>IFERROR(__xludf.DUMMYFUNCTION("""COMPUTED_VALUE"""),"신형만")</f>
        <v>신형만</v>
      </c>
      <c r="Q1032" s="26" t="str">
        <f>IFERROR(__xludf.DUMMYFUNCTION("""COMPUTED_VALUE"""),"유망")</f>
        <v>유망</v>
      </c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</row>
    <row r="1033">
      <c r="A1033" s="27" t="s">
        <v>4386</v>
      </c>
      <c r="B1033" s="28" t="s">
        <v>4387</v>
      </c>
      <c r="C1033" s="27" t="s">
        <v>4388</v>
      </c>
      <c r="D1033" s="27">
        <v>5.0</v>
      </c>
      <c r="E1033" s="27" t="s">
        <v>4389</v>
      </c>
      <c r="F1033" s="27">
        <v>0.0</v>
      </c>
      <c r="G1033" s="29">
        <v>45675.00833333333</v>
      </c>
      <c r="H1033" s="27" t="s">
        <v>4257</v>
      </c>
      <c r="I1033" s="18"/>
      <c r="J1033" s="25" t="str">
        <f>IFERROR(__xludf.DUMMYFUNCTION("ARRAYFORMULA(REGEXEXTRACT(SPLIT(C1033, ""&lt;br&gt;""), ""([가-힣A-Za-z]+)""))"),"노인")</f>
        <v>노인</v>
      </c>
      <c r="K1033" s="26" t="str">
        <f>IFERROR(__xludf.DUMMYFUNCTION("""COMPUTED_VALUE"""),"짱구")</f>
        <v>짱구</v>
      </c>
      <c r="L1033" s="26" t="str">
        <f>IFERROR(__xludf.DUMMYFUNCTION("""COMPUTED_VALUE"""),"신형만")</f>
        <v>신형만</v>
      </c>
      <c r="M1033" s="26" t="str">
        <f>IFERROR(__xludf.DUMMYFUNCTION("""COMPUTED_VALUE"""),"깡패")</f>
        <v>깡패</v>
      </c>
      <c r="N1033" s="26" t="str">
        <f>IFERROR(__xludf.DUMMYFUNCTION("ARRAYFORMULA(REGEXEXTRACT(SPLIT(E1033, ""&lt;br&gt;""), ""([가-힣A-Za-z]+)""))"),"강화")</f>
        <v>강화</v>
      </c>
      <c r="O1033" s="26" t="str">
        <f>IFERROR(__xludf.DUMMYFUNCTION("""COMPUTED_VALUE"""),"재우")</f>
        <v>재우</v>
      </c>
      <c r="P1033" s="26" t="str">
        <f>IFERROR(__xludf.DUMMYFUNCTION("""COMPUTED_VALUE"""),"유망")</f>
        <v>유망</v>
      </c>
      <c r="Q1033" s="26" t="str">
        <f>IFERROR(__xludf.DUMMYFUNCTION("""COMPUTED_VALUE"""),"원")</f>
        <v>원</v>
      </c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</row>
    <row r="1034">
      <c r="A1034" s="27" t="s">
        <v>4390</v>
      </c>
      <c r="B1034" s="28" t="s">
        <v>4391</v>
      </c>
      <c r="C1034" s="27" t="s">
        <v>4392</v>
      </c>
      <c r="D1034" s="27">
        <v>5.0</v>
      </c>
      <c r="E1034" s="27" t="s">
        <v>4393</v>
      </c>
      <c r="F1034" s="27">
        <v>4.0</v>
      </c>
      <c r="G1034" s="29">
        <v>45674.99722222222</v>
      </c>
      <c r="H1034" s="27" t="s">
        <v>4257</v>
      </c>
      <c r="I1034" s="18"/>
      <c r="J1034" s="25" t="str">
        <f>IFERROR(__xludf.DUMMYFUNCTION("ARRAYFORMULA(REGEXEXTRACT(SPLIT(C1034, ""&lt;br&gt;""), ""([가-힣A-Za-z]+)""))"),"테리")</f>
        <v>테리</v>
      </c>
      <c r="K1034" s="26" t="str">
        <f>IFERROR(__xludf.DUMMYFUNCTION("""COMPUTED_VALUE"""),"재우")</f>
        <v>재우</v>
      </c>
      <c r="L1034" s="26" t="str">
        <f>IFERROR(__xludf.DUMMYFUNCTION("""COMPUTED_VALUE"""),"짱구")</f>
        <v>짱구</v>
      </c>
      <c r="M1034" s="26" t="str">
        <f>IFERROR(__xludf.DUMMYFUNCTION("""COMPUTED_VALUE"""),"깡패")</f>
        <v>깡패</v>
      </c>
      <c r="N1034" s="26" t="str">
        <f>IFERROR(__xludf.DUMMYFUNCTION("ARRAYFORMULA(REGEXEXTRACT(SPLIT(E1034, ""&lt;br&gt;""), ""([가-힣A-Za-z]+)""))"),"노인")</f>
        <v>노인</v>
      </c>
      <c r="O1034" s="26" t="str">
        <f>IFERROR(__xludf.DUMMYFUNCTION("""COMPUTED_VALUE"""),"신형만")</f>
        <v>신형만</v>
      </c>
      <c r="P1034" s="26" t="str">
        <f>IFERROR(__xludf.DUMMYFUNCTION("""COMPUTED_VALUE"""),"원")</f>
        <v>원</v>
      </c>
      <c r="Q1034" s="26" t="str">
        <f>IFERROR(__xludf.DUMMYFUNCTION("""COMPUTED_VALUE"""),"강화")</f>
        <v>강화</v>
      </c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</row>
    <row r="1035">
      <c r="A1035" s="27" t="s">
        <v>4394</v>
      </c>
      <c r="B1035" s="28" t="s">
        <v>4395</v>
      </c>
      <c r="C1035" s="27" t="s">
        <v>4396</v>
      </c>
      <c r="D1035" s="27">
        <v>5.0</v>
      </c>
      <c r="E1035" s="27" t="s">
        <v>4397</v>
      </c>
      <c r="F1035" s="27">
        <v>0.0</v>
      </c>
      <c r="G1035" s="29">
        <v>45674.96597222222</v>
      </c>
      <c r="H1035" s="27" t="s">
        <v>4257</v>
      </c>
      <c r="I1035" s="18"/>
      <c r="J1035" s="25" t="str">
        <f>IFERROR(__xludf.DUMMYFUNCTION("ARRAYFORMULA(REGEXEXTRACT(SPLIT(C1035, ""&lt;br&gt;""), ""([가-힣A-Za-z]+)""))"),"재우")</f>
        <v>재우</v>
      </c>
      <c r="K1035" s="26" t="str">
        <f>IFERROR(__xludf.DUMMYFUNCTION("""COMPUTED_VALUE"""),"짱구")</f>
        <v>짱구</v>
      </c>
      <c r="L1035" s="26" t="str">
        <f>IFERROR(__xludf.DUMMYFUNCTION("""COMPUTED_VALUE"""),"노인")</f>
        <v>노인</v>
      </c>
      <c r="M1035" s="26" t="str">
        <f>IFERROR(__xludf.DUMMYFUNCTION("""COMPUTED_VALUE"""),"원")</f>
        <v>원</v>
      </c>
      <c r="N1035" s="26" t="str">
        <f>IFERROR(__xludf.DUMMYFUNCTION("ARRAYFORMULA(REGEXEXTRACT(SPLIT(E1035, ""&lt;br&gt;""), ""([가-힣A-Za-z]+)""))"),"깡패")</f>
        <v>깡패</v>
      </c>
      <c r="O1035" s="26" t="str">
        <f>IFERROR(__xludf.DUMMYFUNCTION("""COMPUTED_VALUE"""),"테리")</f>
        <v>테리</v>
      </c>
      <c r="P1035" s="26" t="str">
        <f>IFERROR(__xludf.DUMMYFUNCTION("""COMPUTED_VALUE"""),"신형만")</f>
        <v>신형만</v>
      </c>
      <c r="Q1035" s="26" t="str">
        <f>IFERROR(__xludf.DUMMYFUNCTION("""COMPUTED_VALUE"""),"참치")</f>
        <v>참치</v>
      </c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</row>
    <row r="1036">
      <c r="A1036" s="27" t="s">
        <v>4398</v>
      </c>
      <c r="B1036" s="28" t="s">
        <v>4399</v>
      </c>
      <c r="C1036" s="27" t="s">
        <v>4400</v>
      </c>
      <c r="D1036" s="27">
        <v>5.0</v>
      </c>
      <c r="E1036" s="27" t="s">
        <v>4401</v>
      </c>
      <c r="F1036" s="27">
        <v>3.0</v>
      </c>
      <c r="G1036" s="29">
        <v>45674.95486111111</v>
      </c>
      <c r="H1036" s="27" t="s">
        <v>4257</v>
      </c>
      <c r="I1036" s="18"/>
      <c r="J1036" s="25" t="str">
        <f>IFERROR(__xludf.DUMMYFUNCTION("ARRAYFORMULA(REGEXEXTRACT(SPLIT(C1036, ""&lt;br&gt;""), ""([가-힣A-Za-z]+)""))"),"테리")</f>
        <v>테리</v>
      </c>
      <c r="K1036" s="26" t="str">
        <f>IFERROR(__xludf.DUMMYFUNCTION("""COMPUTED_VALUE"""),"노인")</f>
        <v>노인</v>
      </c>
      <c r="L1036" s="26" t="str">
        <f>IFERROR(__xludf.DUMMYFUNCTION("""COMPUTED_VALUE"""),"짱구")</f>
        <v>짱구</v>
      </c>
      <c r="M1036" s="26" t="str">
        <f>IFERROR(__xludf.DUMMYFUNCTION("""COMPUTED_VALUE"""),"참치")</f>
        <v>참치</v>
      </c>
      <c r="N1036" s="26" t="str">
        <f>IFERROR(__xludf.DUMMYFUNCTION("ARRAYFORMULA(REGEXEXTRACT(SPLIT(E1036, ""&lt;br&gt;""), ""([가-힣A-Za-z]+)""))"),"신형만")</f>
        <v>신형만</v>
      </c>
      <c r="O1036" s="26" t="str">
        <f>IFERROR(__xludf.DUMMYFUNCTION("""COMPUTED_VALUE"""),"재우")</f>
        <v>재우</v>
      </c>
      <c r="P1036" s="26" t="str">
        <f>IFERROR(__xludf.DUMMYFUNCTION("""COMPUTED_VALUE"""),"깡패")</f>
        <v>깡패</v>
      </c>
      <c r="Q1036" s="26" t="str">
        <f>IFERROR(__xludf.DUMMYFUNCTION("""COMPUTED_VALUE"""),"원")</f>
        <v>원</v>
      </c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</row>
    <row r="1037">
      <c r="A1037" s="27" t="s">
        <v>4402</v>
      </c>
      <c r="B1037" s="28" t="s">
        <v>4403</v>
      </c>
      <c r="C1037" s="27" t="s">
        <v>4404</v>
      </c>
      <c r="D1037" s="27">
        <v>5.0</v>
      </c>
      <c r="E1037" s="27" t="s">
        <v>4405</v>
      </c>
      <c r="F1037" s="27">
        <v>4.0</v>
      </c>
      <c r="G1037" s="29">
        <v>45674.92986111111</v>
      </c>
      <c r="H1037" s="27" t="s">
        <v>4257</v>
      </c>
      <c r="I1037" s="18"/>
      <c r="J1037" s="25" t="str">
        <f>IFERROR(__xludf.DUMMYFUNCTION("ARRAYFORMULA(REGEXEXTRACT(SPLIT(C1037, ""&lt;br&gt;""), ""([가-힣A-Za-z]+)""))"),"깡패")</f>
        <v>깡패</v>
      </c>
      <c r="K1037" s="26" t="str">
        <f>IFERROR(__xludf.DUMMYFUNCTION("""COMPUTED_VALUE"""),"짱구")</f>
        <v>짱구</v>
      </c>
      <c r="L1037" s="26" t="str">
        <f>IFERROR(__xludf.DUMMYFUNCTION("""COMPUTED_VALUE"""),"참치")</f>
        <v>참치</v>
      </c>
      <c r="M1037" s="26" t="str">
        <f>IFERROR(__xludf.DUMMYFUNCTION("""COMPUTED_VALUE"""),"재우")</f>
        <v>재우</v>
      </c>
      <c r="N1037" s="26" t="str">
        <f>IFERROR(__xludf.DUMMYFUNCTION("ARRAYFORMULA(REGEXEXTRACT(SPLIT(E1037, ""&lt;br&gt;""), ""([가-힣A-Za-z]+)""))"),"테리")</f>
        <v>테리</v>
      </c>
      <c r="O1037" s="26" t="str">
        <f>IFERROR(__xludf.DUMMYFUNCTION("""COMPUTED_VALUE"""),"노인")</f>
        <v>노인</v>
      </c>
      <c r="P1037" s="26" t="str">
        <f>IFERROR(__xludf.DUMMYFUNCTION("""COMPUTED_VALUE"""),"신형만")</f>
        <v>신형만</v>
      </c>
      <c r="Q1037" s="26" t="str">
        <f>IFERROR(__xludf.DUMMYFUNCTION("""COMPUTED_VALUE"""),"원")</f>
        <v>원</v>
      </c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</row>
    <row r="1038">
      <c r="A1038" s="27" t="s">
        <v>4406</v>
      </c>
      <c r="B1038" s="28" t="s">
        <v>4407</v>
      </c>
      <c r="C1038" s="27" t="s">
        <v>4408</v>
      </c>
      <c r="D1038" s="27">
        <v>5.0</v>
      </c>
      <c r="E1038" s="27" t="s">
        <v>4409</v>
      </c>
      <c r="F1038" s="27">
        <v>1.0</v>
      </c>
      <c r="G1038" s="29">
        <v>45674.89513888889</v>
      </c>
      <c r="H1038" s="27" t="s">
        <v>4257</v>
      </c>
      <c r="I1038" s="18"/>
      <c r="J1038" s="25" t="str">
        <f>IFERROR(__xludf.DUMMYFUNCTION("ARRAYFORMULA(REGEXEXTRACT(SPLIT(C1038, ""&lt;br&gt;""), ""([가-힣A-Za-z]+)""))"),"원")</f>
        <v>원</v>
      </c>
      <c r="K1038" s="26" t="str">
        <f>IFERROR(__xludf.DUMMYFUNCTION("""COMPUTED_VALUE"""),"신형만")</f>
        <v>신형만</v>
      </c>
      <c r="L1038" s="26" t="str">
        <f>IFERROR(__xludf.DUMMYFUNCTION("""COMPUTED_VALUE"""),"깡패")</f>
        <v>깡패</v>
      </c>
      <c r="M1038" s="26" t="str">
        <f>IFERROR(__xludf.DUMMYFUNCTION("""COMPUTED_VALUE"""),"참치")</f>
        <v>참치</v>
      </c>
      <c r="N1038" s="26" t="str">
        <f>IFERROR(__xludf.DUMMYFUNCTION("ARRAYFORMULA(REGEXEXTRACT(SPLIT(E1038, ""&lt;br&gt;""), ""([가-힣A-Za-z]+)""))"),"짱구")</f>
        <v>짱구</v>
      </c>
      <c r="O1038" s="26" t="str">
        <f>IFERROR(__xludf.DUMMYFUNCTION("""COMPUTED_VALUE"""),"재우")</f>
        <v>재우</v>
      </c>
      <c r="P1038" s="26" t="str">
        <f>IFERROR(__xludf.DUMMYFUNCTION("""COMPUTED_VALUE"""),"테리")</f>
        <v>테리</v>
      </c>
      <c r="Q1038" s="26" t="str">
        <f>IFERROR(__xludf.DUMMYFUNCTION("""COMPUTED_VALUE"""),"노인")</f>
        <v>노인</v>
      </c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</row>
    <row r="1039">
      <c r="A1039" s="27" t="s">
        <v>4410</v>
      </c>
      <c r="B1039" s="28" t="s">
        <v>4411</v>
      </c>
      <c r="C1039" s="27" t="s">
        <v>4412</v>
      </c>
      <c r="D1039" s="27">
        <v>5.0</v>
      </c>
      <c r="E1039" s="27" t="s">
        <v>4413</v>
      </c>
      <c r="F1039" s="27">
        <v>4.0</v>
      </c>
      <c r="G1039" s="29">
        <v>45673.990277777775</v>
      </c>
      <c r="H1039" s="27" t="s">
        <v>4257</v>
      </c>
      <c r="I1039" s="18"/>
      <c r="J1039" s="25" t="str">
        <f>IFERROR(__xludf.DUMMYFUNCTION("ARRAYFORMULA(REGEXEXTRACT(SPLIT(C1039, ""&lt;br&gt;""), ""([가-힣A-Za-z]+)""))"),"유망")</f>
        <v>유망</v>
      </c>
      <c r="K1039" s="26" t="str">
        <f>IFERROR(__xludf.DUMMYFUNCTION("""COMPUTED_VALUE"""),"노인")</f>
        <v>노인</v>
      </c>
      <c r="L1039" s="26" t="str">
        <f>IFERROR(__xludf.DUMMYFUNCTION("""COMPUTED_VALUE"""),"깡패")</f>
        <v>깡패</v>
      </c>
      <c r="M1039" s="26" t="str">
        <f>IFERROR(__xludf.DUMMYFUNCTION("""COMPUTED_VALUE"""),"참치")</f>
        <v>참치</v>
      </c>
      <c r="N1039" s="26" t="str">
        <f>IFERROR(__xludf.DUMMYFUNCTION("ARRAYFORMULA(REGEXEXTRACT(SPLIT(E1039, ""&lt;br&gt;""), ""([가-힣A-Za-z]+)""))"),"짱구")</f>
        <v>짱구</v>
      </c>
      <c r="O1039" s="26" t="str">
        <f>IFERROR(__xludf.DUMMYFUNCTION("""COMPUTED_VALUE"""),"테리")</f>
        <v>테리</v>
      </c>
      <c r="P1039" s="26" t="str">
        <f>IFERROR(__xludf.DUMMYFUNCTION("""COMPUTED_VALUE"""),"원")</f>
        <v>원</v>
      </c>
      <c r="Q1039" s="26" t="str">
        <f>IFERROR(__xludf.DUMMYFUNCTION("""COMPUTED_VALUE"""),"태식")</f>
        <v>태식</v>
      </c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</row>
    <row r="1040">
      <c r="A1040" s="27" t="s">
        <v>4414</v>
      </c>
      <c r="B1040" s="28" t="s">
        <v>4415</v>
      </c>
      <c r="C1040" s="27" t="s">
        <v>4416</v>
      </c>
      <c r="D1040" s="27">
        <v>5.0</v>
      </c>
      <c r="E1040" s="27" t="s">
        <v>4417</v>
      </c>
      <c r="F1040" s="27">
        <v>1.0</v>
      </c>
      <c r="G1040" s="29">
        <v>45673.955555555556</v>
      </c>
      <c r="H1040" s="27" t="s">
        <v>4257</v>
      </c>
      <c r="I1040" s="18"/>
      <c r="J1040" s="25" t="str">
        <f>IFERROR(__xludf.DUMMYFUNCTION("ARRAYFORMULA(REGEXEXTRACT(SPLIT(C1040, ""&lt;br&gt;""), ""([가-힣A-Za-z]+)""))"),"유망")</f>
        <v>유망</v>
      </c>
      <c r="K1040" s="26" t="str">
        <f>IFERROR(__xludf.DUMMYFUNCTION("""COMPUTED_VALUE"""),"짱구")</f>
        <v>짱구</v>
      </c>
      <c r="L1040" s="26" t="str">
        <f>IFERROR(__xludf.DUMMYFUNCTION("""COMPUTED_VALUE"""),"원")</f>
        <v>원</v>
      </c>
      <c r="M1040" s="26" t="str">
        <f>IFERROR(__xludf.DUMMYFUNCTION("""COMPUTED_VALUE"""),"참치")</f>
        <v>참치</v>
      </c>
      <c r="N1040" s="26" t="str">
        <f>IFERROR(__xludf.DUMMYFUNCTION("ARRAYFORMULA(REGEXEXTRACT(SPLIT(E1040, ""&lt;br&gt;""), ""([가-힣A-Za-z]+)""))"),"한메")</f>
        <v>한메</v>
      </c>
      <c r="O1040" s="26" t="str">
        <f>IFERROR(__xludf.DUMMYFUNCTION("""COMPUTED_VALUE"""),"노인")</f>
        <v>노인</v>
      </c>
      <c r="P1040" s="26" t="str">
        <f>IFERROR(__xludf.DUMMYFUNCTION("""COMPUTED_VALUE"""),"태식")</f>
        <v>태식</v>
      </c>
      <c r="Q1040" s="26" t="str">
        <f>IFERROR(__xludf.DUMMYFUNCTION("""COMPUTED_VALUE"""),"깡패")</f>
        <v>깡패</v>
      </c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</row>
    <row r="1041">
      <c r="A1041" s="27" t="s">
        <v>4418</v>
      </c>
      <c r="B1041" s="28" t="s">
        <v>4419</v>
      </c>
      <c r="C1041" s="27" t="s">
        <v>4420</v>
      </c>
      <c r="D1041" s="27">
        <v>5.0</v>
      </c>
      <c r="E1041" s="27" t="s">
        <v>4421</v>
      </c>
      <c r="F1041" s="27">
        <v>3.0</v>
      </c>
      <c r="G1041" s="29">
        <v>45673.936111111114</v>
      </c>
      <c r="H1041" s="27" t="s">
        <v>4257</v>
      </c>
      <c r="I1041" s="18"/>
      <c r="J1041" s="25" t="str">
        <f>IFERROR(__xludf.DUMMYFUNCTION("ARRAYFORMULA(REGEXEXTRACT(SPLIT(C1041, ""&lt;br&gt;""), ""([가-힣A-Za-z]+)""))"),"짱구")</f>
        <v>짱구</v>
      </c>
      <c r="K1041" s="26" t="str">
        <f>IFERROR(__xludf.DUMMYFUNCTION("""COMPUTED_VALUE"""),"테리")</f>
        <v>테리</v>
      </c>
      <c r="L1041" s="26" t="str">
        <f>IFERROR(__xludf.DUMMYFUNCTION("""COMPUTED_VALUE"""),"원")</f>
        <v>원</v>
      </c>
      <c r="M1041" s="26" t="str">
        <f>IFERROR(__xludf.DUMMYFUNCTION("""COMPUTED_VALUE"""),"노인")</f>
        <v>노인</v>
      </c>
      <c r="N1041" s="26" t="str">
        <f>IFERROR(__xludf.DUMMYFUNCTION("ARRAYFORMULA(REGEXEXTRACT(SPLIT(E1041, ""&lt;br&gt;""), ""([가-힣A-Za-z]+)""))"),"깡패")</f>
        <v>깡패</v>
      </c>
      <c r="O1041" s="26" t="str">
        <f>IFERROR(__xludf.DUMMYFUNCTION("""COMPUTED_VALUE"""),"참치")</f>
        <v>참치</v>
      </c>
      <c r="P1041" s="26" t="str">
        <f>IFERROR(__xludf.DUMMYFUNCTION("""COMPUTED_VALUE"""),"태식")</f>
        <v>태식</v>
      </c>
      <c r="Q1041" s="26" t="str">
        <f>IFERROR(__xludf.DUMMYFUNCTION("""COMPUTED_VALUE"""),"유망")</f>
        <v>유망</v>
      </c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</row>
    <row r="1042">
      <c r="A1042" s="27" t="s">
        <v>4422</v>
      </c>
      <c r="B1042" s="28" t="s">
        <v>4423</v>
      </c>
      <c r="C1042" s="27" t="s">
        <v>4424</v>
      </c>
      <c r="D1042" s="27">
        <v>5.0</v>
      </c>
      <c r="E1042" s="27" t="s">
        <v>4425</v>
      </c>
      <c r="F1042" s="27">
        <v>0.0</v>
      </c>
      <c r="G1042" s="29">
        <v>45673.90694444445</v>
      </c>
      <c r="H1042" s="27" t="s">
        <v>4257</v>
      </c>
      <c r="I1042" s="18"/>
      <c r="J1042" s="25" t="str">
        <f>IFERROR(__xludf.DUMMYFUNCTION("ARRAYFORMULA(REGEXEXTRACT(SPLIT(C1042, ""&lt;br&gt;""), ""([가-힣A-Za-z]+)""))"),"테리")</f>
        <v>테리</v>
      </c>
      <c r="K1042" s="26" t="str">
        <f>IFERROR(__xludf.DUMMYFUNCTION("""COMPUTED_VALUE"""),"태식")</f>
        <v>태식</v>
      </c>
      <c r="L1042" s="26" t="str">
        <f>IFERROR(__xludf.DUMMYFUNCTION("""COMPUTED_VALUE"""),"깡패")</f>
        <v>깡패</v>
      </c>
      <c r="M1042" s="26" t="str">
        <f>IFERROR(__xludf.DUMMYFUNCTION("""COMPUTED_VALUE"""),"원")</f>
        <v>원</v>
      </c>
      <c r="N1042" s="26" t="str">
        <f>IFERROR(__xludf.DUMMYFUNCTION("ARRAYFORMULA(REGEXEXTRACT(SPLIT(E1042, ""&lt;br&gt;""), ""([가-힣A-Za-z]+)""))"),"노인")</f>
        <v>노인</v>
      </c>
      <c r="O1042" s="26" t="str">
        <f>IFERROR(__xludf.DUMMYFUNCTION("""COMPUTED_VALUE"""),"참치")</f>
        <v>참치</v>
      </c>
      <c r="P1042" s="26" t="str">
        <f>IFERROR(__xludf.DUMMYFUNCTION("""COMPUTED_VALUE"""),"신형만")</f>
        <v>신형만</v>
      </c>
      <c r="Q1042" s="26" t="str">
        <f>IFERROR(__xludf.DUMMYFUNCTION("""COMPUTED_VALUE"""),"유망")</f>
        <v>유망</v>
      </c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</row>
    <row r="1043">
      <c r="A1043" s="27" t="s">
        <v>4426</v>
      </c>
      <c r="B1043" s="28" t="s">
        <v>4427</v>
      </c>
      <c r="C1043" s="27" t="s">
        <v>4428</v>
      </c>
      <c r="D1043" s="27">
        <v>5.0</v>
      </c>
      <c r="E1043" s="27" t="s">
        <v>4429</v>
      </c>
      <c r="F1043" s="27">
        <v>3.0</v>
      </c>
      <c r="G1043" s="29">
        <v>45673.89375</v>
      </c>
      <c r="H1043" s="27" t="s">
        <v>4257</v>
      </c>
      <c r="I1043" s="18"/>
      <c r="J1043" s="25" t="str">
        <f>IFERROR(__xludf.DUMMYFUNCTION("ARRAYFORMULA(REGEXEXTRACT(SPLIT(C1043, ""&lt;br&gt;""), ""([가-힣A-Za-z]+)""))"),"태식")</f>
        <v>태식</v>
      </c>
      <c r="K1043" s="26" t="str">
        <f>IFERROR(__xludf.DUMMYFUNCTION("""COMPUTED_VALUE"""),"노인")</f>
        <v>노인</v>
      </c>
      <c r="L1043" s="26" t="str">
        <f>IFERROR(__xludf.DUMMYFUNCTION("""COMPUTED_VALUE"""),"신형만")</f>
        <v>신형만</v>
      </c>
      <c r="M1043" s="26" t="str">
        <f>IFERROR(__xludf.DUMMYFUNCTION("""COMPUTED_VALUE"""),"원")</f>
        <v>원</v>
      </c>
      <c r="N1043" s="26" t="str">
        <f>IFERROR(__xludf.DUMMYFUNCTION("ARRAYFORMULA(REGEXEXTRACT(SPLIT(E1043, ""&lt;br&gt;""), ""([가-힣A-Za-z]+)""))"),"깡패")</f>
        <v>깡패</v>
      </c>
      <c r="O1043" s="26" t="str">
        <f>IFERROR(__xludf.DUMMYFUNCTION("""COMPUTED_VALUE"""),"참치")</f>
        <v>참치</v>
      </c>
      <c r="P1043" s="26" t="str">
        <f>IFERROR(__xludf.DUMMYFUNCTION("""COMPUTED_VALUE"""),"오딘")</f>
        <v>오딘</v>
      </c>
      <c r="Q1043" s="26" t="str">
        <f>IFERROR(__xludf.DUMMYFUNCTION("""COMPUTED_VALUE"""),"유망")</f>
        <v>유망</v>
      </c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</row>
    <row r="1044">
      <c r="A1044" s="27" t="s">
        <v>4430</v>
      </c>
      <c r="B1044" s="28" t="s">
        <v>4431</v>
      </c>
      <c r="C1044" s="27" t="s">
        <v>4432</v>
      </c>
      <c r="D1044" s="27">
        <v>5.0</v>
      </c>
      <c r="E1044" s="27" t="s">
        <v>4433</v>
      </c>
      <c r="F1044" s="27">
        <v>4.0</v>
      </c>
      <c r="G1044" s="29">
        <v>45672.99097222222</v>
      </c>
      <c r="H1044" s="27" t="s">
        <v>4257</v>
      </c>
      <c r="I1044" s="18"/>
      <c r="J1044" s="25" t="str">
        <f>IFERROR(__xludf.DUMMYFUNCTION("ARRAYFORMULA(REGEXEXTRACT(SPLIT(C1044, ""&lt;br&gt;""), ""([가-힣A-Za-z]+)""))"),"재우")</f>
        <v>재우</v>
      </c>
      <c r="K1044" s="26" t="str">
        <f>IFERROR(__xludf.DUMMYFUNCTION("""COMPUTED_VALUE"""),"태식")</f>
        <v>태식</v>
      </c>
      <c r="L1044" s="26" t="str">
        <f>IFERROR(__xludf.DUMMYFUNCTION("""COMPUTED_VALUE"""),"참치")</f>
        <v>참치</v>
      </c>
      <c r="M1044" s="26" t="str">
        <f>IFERROR(__xludf.DUMMYFUNCTION("""COMPUTED_VALUE"""),"한메")</f>
        <v>한메</v>
      </c>
      <c r="N1044" s="26" t="str">
        <f>IFERROR(__xludf.DUMMYFUNCTION("ARRAYFORMULA(REGEXEXTRACT(SPLIT(E1044, ""&lt;br&gt;""), ""([가-힣A-Za-z]+)""))"),"깡패")</f>
        <v>깡패</v>
      </c>
      <c r="O1044" s="26" t="str">
        <f>IFERROR(__xludf.DUMMYFUNCTION("""COMPUTED_VALUE"""),"노인")</f>
        <v>노인</v>
      </c>
      <c r="P1044" s="26" t="str">
        <f>IFERROR(__xludf.DUMMYFUNCTION("""COMPUTED_VALUE"""),"원")</f>
        <v>원</v>
      </c>
      <c r="Q1044" s="26" t="str">
        <f>IFERROR(__xludf.DUMMYFUNCTION("""COMPUTED_VALUE"""),"유망")</f>
        <v>유망</v>
      </c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</row>
    <row r="1045">
      <c r="A1045" s="27" t="s">
        <v>4434</v>
      </c>
      <c r="B1045" s="28" t="s">
        <v>4435</v>
      </c>
      <c r="C1045" s="27" t="s">
        <v>4436</v>
      </c>
      <c r="D1045" s="27">
        <v>5.0</v>
      </c>
      <c r="E1045" s="27" t="s">
        <v>4437</v>
      </c>
      <c r="F1045" s="27">
        <v>0.0</v>
      </c>
      <c r="G1045" s="29">
        <v>45672.93194444444</v>
      </c>
      <c r="H1045" s="27" t="s">
        <v>4257</v>
      </c>
      <c r="I1045" s="18"/>
      <c r="J1045" s="25" t="str">
        <f>IFERROR(__xludf.DUMMYFUNCTION("ARRAYFORMULA(REGEXEXTRACT(SPLIT(C1045, ""&lt;br&gt;""), ""([가-힣A-Za-z]+)""))"),"원")</f>
        <v>원</v>
      </c>
      <c r="K1045" s="26" t="str">
        <f>IFERROR(__xludf.DUMMYFUNCTION("""COMPUTED_VALUE"""),"노인")</f>
        <v>노인</v>
      </c>
      <c r="L1045" s="26" t="str">
        <f>IFERROR(__xludf.DUMMYFUNCTION("""COMPUTED_VALUE"""),"한메")</f>
        <v>한메</v>
      </c>
      <c r="M1045" s="26" t="str">
        <f>IFERROR(__xludf.DUMMYFUNCTION("""COMPUTED_VALUE"""),"참치")</f>
        <v>참치</v>
      </c>
      <c r="N1045" s="26" t="str">
        <f>IFERROR(__xludf.DUMMYFUNCTION("ARRAYFORMULA(REGEXEXTRACT(SPLIT(E1045, ""&lt;br&gt;""), ""([가-힣A-Za-z]+)""))"),"유망")</f>
        <v>유망</v>
      </c>
      <c r="O1045" s="26" t="str">
        <f>IFERROR(__xludf.DUMMYFUNCTION("""COMPUTED_VALUE"""),"깡패")</f>
        <v>깡패</v>
      </c>
      <c r="P1045" s="26" t="str">
        <f>IFERROR(__xludf.DUMMYFUNCTION("""COMPUTED_VALUE"""),"태식")</f>
        <v>태식</v>
      </c>
      <c r="Q1045" s="26" t="str">
        <f>IFERROR(__xludf.DUMMYFUNCTION("""COMPUTED_VALUE"""),"재우")</f>
        <v>재우</v>
      </c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</row>
    <row r="1046">
      <c r="A1046" s="27" t="s">
        <v>4438</v>
      </c>
      <c r="B1046" s="28" t="s">
        <v>4439</v>
      </c>
      <c r="C1046" s="27" t="s">
        <v>4440</v>
      </c>
      <c r="D1046" s="27">
        <v>5.0</v>
      </c>
      <c r="E1046" s="27" t="s">
        <v>4441</v>
      </c>
      <c r="F1046" s="27">
        <v>4.0</v>
      </c>
      <c r="G1046" s="29">
        <v>45672.91527777778</v>
      </c>
      <c r="H1046" s="27" t="s">
        <v>4257</v>
      </c>
      <c r="I1046" s="18"/>
      <c r="J1046" s="25" t="str">
        <f>IFERROR(__xludf.DUMMYFUNCTION("ARRAYFORMULA(REGEXEXTRACT(SPLIT(C1046, ""&lt;br&gt;""), ""([가-힣A-Za-z]+)""))"),"원")</f>
        <v>원</v>
      </c>
      <c r="K1046" s="26" t="str">
        <f>IFERROR(__xludf.DUMMYFUNCTION("""COMPUTED_VALUE"""),"깡패")</f>
        <v>깡패</v>
      </c>
      <c r="L1046" s="26" t="str">
        <f>IFERROR(__xludf.DUMMYFUNCTION("""COMPUTED_VALUE"""),"한메")</f>
        <v>한메</v>
      </c>
      <c r="M1046" s="26" t="str">
        <f>IFERROR(__xludf.DUMMYFUNCTION("""COMPUTED_VALUE"""),"재우")</f>
        <v>재우</v>
      </c>
      <c r="N1046" s="26" t="str">
        <f>IFERROR(__xludf.DUMMYFUNCTION("ARRAYFORMULA(REGEXEXTRACT(SPLIT(E1046, ""&lt;br&gt;""), ""([가-힣A-Za-z]+)""))"),"태식")</f>
        <v>태식</v>
      </c>
      <c r="O1046" s="26" t="str">
        <f>IFERROR(__xludf.DUMMYFUNCTION("""COMPUTED_VALUE"""),"노인")</f>
        <v>노인</v>
      </c>
      <c r="P1046" s="26" t="str">
        <f>IFERROR(__xludf.DUMMYFUNCTION("""COMPUTED_VALUE"""),"테리")</f>
        <v>테리</v>
      </c>
      <c r="Q1046" s="26" t="str">
        <f>IFERROR(__xludf.DUMMYFUNCTION("""COMPUTED_VALUE"""),"유망")</f>
        <v>유망</v>
      </c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</row>
    <row r="1047">
      <c r="A1047" s="27" t="s">
        <v>4442</v>
      </c>
      <c r="B1047" s="28" t="s">
        <v>4443</v>
      </c>
      <c r="C1047" s="27" t="s">
        <v>4444</v>
      </c>
      <c r="D1047" s="27">
        <v>5.0</v>
      </c>
      <c r="E1047" s="27" t="s">
        <v>4445</v>
      </c>
      <c r="F1047" s="27">
        <v>2.0</v>
      </c>
      <c r="G1047" s="29">
        <v>45672.88402777778</v>
      </c>
      <c r="H1047" s="27" t="s">
        <v>4257</v>
      </c>
      <c r="I1047" s="18"/>
      <c r="J1047" s="25" t="str">
        <f>IFERROR(__xludf.DUMMYFUNCTION("ARRAYFORMULA(REGEXEXTRACT(SPLIT(C1047, ""&lt;br&gt;""), ""([가-힣A-Za-z]+)""))"),"테리")</f>
        <v>테리</v>
      </c>
      <c r="K1047" s="26" t="str">
        <f>IFERROR(__xludf.DUMMYFUNCTION("""COMPUTED_VALUE"""),"원")</f>
        <v>원</v>
      </c>
      <c r="L1047" s="26" t="str">
        <f>IFERROR(__xludf.DUMMYFUNCTION("""COMPUTED_VALUE"""),"태식")</f>
        <v>태식</v>
      </c>
      <c r="M1047" s="26" t="str">
        <f>IFERROR(__xludf.DUMMYFUNCTION("""COMPUTED_VALUE"""),"재우")</f>
        <v>재우</v>
      </c>
      <c r="N1047" s="26" t="str">
        <f>IFERROR(__xludf.DUMMYFUNCTION("ARRAYFORMULA(REGEXEXTRACT(SPLIT(E1047, ""&lt;br&gt;""), ""([가-힣A-Za-z]+)""))"),"깡패")</f>
        <v>깡패</v>
      </c>
      <c r="O1047" s="26" t="str">
        <f>IFERROR(__xludf.DUMMYFUNCTION("""COMPUTED_VALUE"""),"노인")</f>
        <v>노인</v>
      </c>
      <c r="P1047" s="26" t="str">
        <f>IFERROR(__xludf.DUMMYFUNCTION("""COMPUTED_VALUE"""),"한메")</f>
        <v>한메</v>
      </c>
      <c r="Q1047" s="26" t="str">
        <f>IFERROR(__xludf.DUMMYFUNCTION("""COMPUTED_VALUE"""),"유망")</f>
        <v>유망</v>
      </c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</row>
    <row r="1048">
      <c r="A1048" s="27" t="s">
        <v>4446</v>
      </c>
      <c r="B1048" s="28" t="s">
        <v>4447</v>
      </c>
      <c r="C1048" s="27" t="s">
        <v>4448</v>
      </c>
      <c r="D1048" s="27">
        <v>5.0</v>
      </c>
      <c r="E1048" s="27" t="s">
        <v>4449</v>
      </c>
      <c r="F1048" s="27">
        <v>3.0</v>
      </c>
      <c r="G1048" s="29">
        <v>45671.04305555556</v>
      </c>
      <c r="H1048" s="27" t="s">
        <v>4257</v>
      </c>
      <c r="I1048" s="18"/>
      <c r="J1048" s="25" t="str">
        <f>IFERROR(__xludf.DUMMYFUNCTION("ARRAYFORMULA(REGEXEXTRACT(SPLIT(C1048, ""&lt;br&gt;""), ""([가-힣A-Za-z]+)""))"),"깡패")</f>
        <v>깡패</v>
      </c>
      <c r="K1048" s="26" t="str">
        <f>IFERROR(__xludf.DUMMYFUNCTION("""COMPUTED_VALUE"""),"노인")</f>
        <v>노인</v>
      </c>
      <c r="L1048" s="26" t="str">
        <f>IFERROR(__xludf.DUMMYFUNCTION("""COMPUTED_VALUE"""),"테리")</f>
        <v>테리</v>
      </c>
      <c r="M1048" s="26" t="str">
        <f>IFERROR(__xludf.DUMMYFUNCTION("""COMPUTED_VALUE"""),"오크")</f>
        <v>오크</v>
      </c>
      <c r="N1048" s="26" t="str">
        <f>IFERROR(__xludf.DUMMYFUNCTION("ARRAYFORMULA(REGEXEXTRACT(SPLIT(E1048, ""&lt;br&gt;""), ""([가-힣A-Za-z]+)""))"),"한메")</f>
        <v>한메</v>
      </c>
      <c r="O1048" s="26" t="str">
        <f>IFERROR(__xludf.DUMMYFUNCTION("""COMPUTED_VALUE"""),"참치")</f>
        <v>참치</v>
      </c>
      <c r="P1048" s="26" t="str">
        <f>IFERROR(__xludf.DUMMYFUNCTION("""COMPUTED_VALUE"""),"따")</f>
        <v>따</v>
      </c>
      <c r="Q1048" s="26" t="str">
        <f>IFERROR(__xludf.DUMMYFUNCTION("""COMPUTED_VALUE"""),"신형만")</f>
        <v>신형만</v>
      </c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</row>
    <row r="1049">
      <c r="A1049" s="27" t="s">
        <v>4450</v>
      </c>
      <c r="B1049" s="28" t="s">
        <v>4451</v>
      </c>
      <c r="C1049" s="27" t="s">
        <v>4452</v>
      </c>
      <c r="D1049" s="27">
        <v>5.0</v>
      </c>
      <c r="E1049" s="27" t="s">
        <v>4453</v>
      </c>
      <c r="F1049" s="27">
        <v>1.0</v>
      </c>
      <c r="G1049" s="29">
        <v>45671.009722222225</v>
      </c>
      <c r="H1049" s="27" t="s">
        <v>4257</v>
      </c>
      <c r="I1049" s="18"/>
      <c r="J1049" s="25" t="str">
        <f>IFERROR(__xludf.DUMMYFUNCTION("ARRAYFORMULA(REGEXEXTRACT(SPLIT(C1049, ""&lt;br&gt;""), ""([가-힣A-Za-z]+)""))"),"깡패")</f>
        <v>깡패</v>
      </c>
      <c r="K1049" s="26" t="str">
        <f>IFERROR(__xludf.DUMMYFUNCTION("""COMPUTED_VALUE"""),"테리")</f>
        <v>테리</v>
      </c>
      <c r="L1049" s="26" t="str">
        <f>IFERROR(__xludf.DUMMYFUNCTION("""COMPUTED_VALUE"""),"신형만")</f>
        <v>신형만</v>
      </c>
      <c r="M1049" s="26" t="str">
        <f>IFERROR(__xludf.DUMMYFUNCTION("""COMPUTED_VALUE"""),"한메")</f>
        <v>한메</v>
      </c>
      <c r="N1049" s="26" t="str">
        <f>IFERROR(__xludf.DUMMYFUNCTION("ARRAYFORMULA(REGEXEXTRACT(SPLIT(E1049, ""&lt;br&gt;""), ""([가-힣A-Za-z]+)""))"),"노인")</f>
        <v>노인</v>
      </c>
      <c r="O1049" s="26" t="str">
        <f>IFERROR(__xludf.DUMMYFUNCTION("""COMPUTED_VALUE"""),"따")</f>
        <v>따</v>
      </c>
      <c r="P1049" s="26" t="str">
        <f>IFERROR(__xludf.DUMMYFUNCTION("""COMPUTED_VALUE"""),"참치")</f>
        <v>참치</v>
      </c>
      <c r="Q1049" s="26" t="str">
        <f>IFERROR(__xludf.DUMMYFUNCTION("""COMPUTED_VALUE"""),"오크")</f>
        <v>오크</v>
      </c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</row>
    <row r="1050">
      <c r="A1050" s="27" t="s">
        <v>4454</v>
      </c>
      <c r="B1050" s="28" t="s">
        <v>4455</v>
      </c>
      <c r="C1050" s="27" t="s">
        <v>4456</v>
      </c>
      <c r="D1050" s="27">
        <v>5.0</v>
      </c>
      <c r="E1050" s="27" t="s">
        <v>4457</v>
      </c>
      <c r="F1050" s="27">
        <v>1.0</v>
      </c>
      <c r="G1050" s="29">
        <v>45670.989583333336</v>
      </c>
      <c r="H1050" s="27" t="s">
        <v>4257</v>
      </c>
      <c r="I1050" s="18"/>
      <c r="J1050" s="25" t="str">
        <f>IFERROR(__xludf.DUMMYFUNCTION("ARRAYFORMULA(REGEXEXTRACT(SPLIT(C1050, ""&lt;br&gt;""), ""([가-힣A-Za-z]+)""))"),"기재")</f>
        <v>기재</v>
      </c>
      <c r="K1050" s="26" t="str">
        <f>IFERROR(__xludf.DUMMYFUNCTION("""COMPUTED_VALUE"""),"깡패")</f>
        <v>깡패</v>
      </c>
      <c r="L1050" s="26" t="str">
        <f>IFERROR(__xludf.DUMMYFUNCTION("""COMPUTED_VALUE"""),"따")</f>
        <v>따</v>
      </c>
      <c r="M1050" s="26" t="str">
        <f>IFERROR(__xludf.DUMMYFUNCTION("""COMPUTED_VALUE"""),"원")</f>
        <v>원</v>
      </c>
      <c r="N1050" s="26" t="str">
        <f>IFERROR(__xludf.DUMMYFUNCTION("ARRAYFORMULA(REGEXEXTRACT(SPLIT(E1050, ""&lt;br&gt;""), ""([가-힣A-Za-z]+)""))"),"유망")</f>
        <v>유망</v>
      </c>
      <c r="O1050" s="26" t="str">
        <f>IFERROR(__xludf.DUMMYFUNCTION("""COMPUTED_VALUE"""),"짱구")</f>
        <v>짱구</v>
      </c>
      <c r="P1050" s="26" t="str">
        <f>IFERROR(__xludf.DUMMYFUNCTION("""COMPUTED_VALUE"""),"신형만")</f>
        <v>신형만</v>
      </c>
      <c r="Q1050" s="26" t="str">
        <f>IFERROR(__xludf.DUMMYFUNCTION("""COMPUTED_VALUE"""),"참치")</f>
        <v>참치</v>
      </c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</row>
    <row r="1051">
      <c r="A1051" s="27" t="s">
        <v>4458</v>
      </c>
      <c r="B1051" s="28" t="s">
        <v>4459</v>
      </c>
      <c r="C1051" s="27" t="s">
        <v>4460</v>
      </c>
      <c r="D1051" s="27">
        <v>5.0</v>
      </c>
      <c r="E1051" s="27" t="s">
        <v>4461</v>
      </c>
      <c r="F1051" s="27">
        <v>3.0</v>
      </c>
      <c r="G1051" s="29">
        <v>45670.972916666666</v>
      </c>
      <c r="H1051" s="27" t="s">
        <v>4257</v>
      </c>
      <c r="I1051" s="18"/>
      <c r="J1051" s="25" t="str">
        <f>IFERROR(__xludf.DUMMYFUNCTION("ARRAYFORMULA(REGEXEXTRACT(SPLIT(C1051, ""&lt;br&gt;""), ""([가-힣A-Za-z]+)""))"),"기재")</f>
        <v>기재</v>
      </c>
      <c r="K1051" s="26" t="str">
        <f>IFERROR(__xludf.DUMMYFUNCTION("""COMPUTED_VALUE"""),"참치")</f>
        <v>참치</v>
      </c>
      <c r="L1051" s="26" t="str">
        <f>IFERROR(__xludf.DUMMYFUNCTION("""COMPUTED_VALUE"""),"유망")</f>
        <v>유망</v>
      </c>
      <c r="M1051" s="26" t="str">
        <f>IFERROR(__xludf.DUMMYFUNCTION("""COMPUTED_VALUE"""),"따")</f>
        <v>따</v>
      </c>
      <c r="N1051" s="26" t="str">
        <f>IFERROR(__xludf.DUMMYFUNCTION("ARRAYFORMULA(REGEXEXTRACT(SPLIT(E1051, ""&lt;br&gt;""), ""([가-힣A-Za-z]+)""))"),"짱구")</f>
        <v>짱구</v>
      </c>
      <c r="O1051" s="26" t="str">
        <f>IFERROR(__xludf.DUMMYFUNCTION("""COMPUTED_VALUE"""),"깡패")</f>
        <v>깡패</v>
      </c>
      <c r="P1051" s="26" t="str">
        <f>IFERROR(__xludf.DUMMYFUNCTION("""COMPUTED_VALUE"""),"원")</f>
        <v>원</v>
      </c>
      <c r="Q1051" s="26" t="str">
        <f>IFERROR(__xludf.DUMMYFUNCTION("""COMPUTED_VALUE"""),"신형만")</f>
        <v>신형만</v>
      </c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</row>
    <row r="1052">
      <c r="A1052" s="27" t="s">
        <v>4462</v>
      </c>
      <c r="B1052" s="28" t="s">
        <v>4463</v>
      </c>
      <c r="C1052" s="27" t="s">
        <v>4464</v>
      </c>
      <c r="D1052" s="27">
        <v>5.0</v>
      </c>
      <c r="E1052" s="27" t="s">
        <v>4465</v>
      </c>
      <c r="F1052" s="27">
        <v>0.0</v>
      </c>
      <c r="G1052" s="29">
        <v>45670.94236111111</v>
      </c>
      <c r="H1052" s="27" t="s">
        <v>4257</v>
      </c>
      <c r="I1052" s="18"/>
      <c r="J1052" s="25" t="str">
        <f>IFERROR(__xludf.DUMMYFUNCTION("ARRAYFORMULA(REGEXEXTRACT(SPLIT(C1052, ""&lt;br&gt;""), ""([가-힣A-Za-z]+)""))"),"신형만")</f>
        <v>신형만</v>
      </c>
      <c r="K1052" s="26" t="str">
        <f>IFERROR(__xludf.DUMMYFUNCTION("""COMPUTED_VALUE"""),"짱구")</f>
        <v>짱구</v>
      </c>
      <c r="L1052" s="26" t="str">
        <f>IFERROR(__xludf.DUMMYFUNCTION("""COMPUTED_VALUE"""),"원")</f>
        <v>원</v>
      </c>
      <c r="M1052" s="26" t="str">
        <f>IFERROR(__xludf.DUMMYFUNCTION("""COMPUTED_VALUE"""),"태식")</f>
        <v>태식</v>
      </c>
      <c r="N1052" s="26" t="str">
        <f>IFERROR(__xludf.DUMMYFUNCTION("ARRAYFORMULA(REGEXEXTRACT(SPLIT(E1052, ""&lt;br&gt;""), ""([가-힣A-Za-z]+)""))"),"깡패")</f>
        <v>깡패</v>
      </c>
      <c r="O1052" s="26" t="str">
        <f>IFERROR(__xludf.DUMMYFUNCTION("""COMPUTED_VALUE"""),"참치")</f>
        <v>참치</v>
      </c>
      <c r="P1052" s="26" t="str">
        <f>IFERROR(__xludf.DUMMYFUNCTION("""COMPUTED_VALUE"""),"뼈해장국")</f>
        <v>뼈해장국</v>
      </c>
      <c r="Q1052" s="26" t="str">
        <f>IFERROR(__xludf.DUMMYFUNCTION("""COMPUTED_VALUE"""),"한메")</f>
        <v>한메</v>
      </c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</row>
    <row r="1053">
      <c r="A1053" s="27" t="s">
        <v>4466</v>
      </c>
      <c r="B1053" s="28" t="s">
        <v>4467</v>
      </c>
      <c r="C1053" s="27" t="s">
        <v>4468</v>
      </c>
      <c r="D1053" s="27">
        <v>5.0</v>
      </c>
      <c r="E1053" s="27" t="s">
        <v>4469</v>
      </c>
      <c r="F1053" s="27">
        <v>1.0</v>
      </c>
      <c r="G1053" s="29">
        <v>45670.93194444444</v>
      </c>
      <c r="H1053" s="27" t="s">
        <v>4257</v>
      </c>
      <c r="I1053" s="18"/>
      <c r="J1053" s="25" t="str">
        <f>IFERROR(__xludf.DUMMYFUNCTION("ARRAYFORMULA(REGEXEXTRACT(SPLIT(C1053, ""&lt;br&gt;""), ""([가-힣A-Za-z]+)""))"),"신형만")</f>
        <v>신형만</v>
      </c>
      <c r="K1053" s="26" t="str">
        <f>IFERROR(__xludf.DUMMYFUNCTION("""COMPUTED_VALUE"""),"원")</f>
        <v>원</v>
      </c>
      <c r="L1053" s="26" t="str">
        <f>IFERROR(__xludf.DUMMYFUNCTION("""COMPUTED_VALUE"""),"뼈해장국")</f>
        <v>뼈해장국</v>
      </c>
      <c r="M1053" s="26" t="str">
        <f>IFERROR(__xludf.DUMMYFUNCTION("""COMPUTED_VALUE"""),"참치")</f>
        <v>참치</v>
      </c>
      <c r="N1053" s="26" t="str">
        <f>IFERROR(__xludf.DUMMYFUNCTION("ARRAYFORMULA(REGEXEXTRACT(SPLIT(E1053, ""&lt;br&gt;""), ""([가-힣A-Za-z]+)""))"),"태식")</f>
        <v>태식</v>
      </c>
      <c r="O1053" s="26" t="str">
        <f>IFERROR(__xludf.DUMMYFUNCTION("""COMPUTED_VALUE"""),"짱구")</f>
        <v>짱구</v>
      </c>
      <c r="P1053" s="26" t="str">
        <f>IFERROR(__xludf.DUMMYFUNCTION("""COMPUTED_VALUE"""),"한메")</f>
        <v>한메</v>
      </c>
      <c r="Q1053" s="26" t="str">
        <f>IFERROR(__xludf.DUMMYFUNCTION("""COMPUTED_VALUE"""),"깡패")</f>
        <v>깡패</v>
      </c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</row>
    <row r="1054">
      <c r="A1054" s="27" t="s">
        <v>4470</v>
      </c>
      <c r="B1054" s="28" t="s">
        <v>4471</v>
      </c>
      <c r="C1054" s="27" t="s">
        <v>4472</v>
      </c>
      <c r="D1054" s="27">
        <v>5.0</v>
      </c>
      <c r="E1054" s="27" t="s">
        <v>4473</v>
      </c>
      <c r="F1054" s="27">
        <v>2.0</v>
      </c>
      <c r="G1054" s="29">
        <v>45670.90277777778</v>
      </c>
      <c r="H1054" s="27" t="s">
        <v>4257</v>
      </c>
      <c r="I1054" s="18"/>
      <c r="J1054" s="25" t="str">
        <f>IFERROR(__xludf.DUMMYFUNCTION("ARRAYFORMULA(REGEXEXTRACT(SPLIT(C1054, ""&lt;br&gt;""), ""([가-힣A-Za-z]+)""))"),"참치")</f>
        <v>참치</v>
      </c>
      <c r="K1054" s="26" t="str">
        <f>IFERROR(__xludf.DUMMYFUNCTION("""COMPUTED_VALUE"""),"신형만")</f>
        <v>신형만</v>
      </c>
      <c r="L1054" s="26" t="str">
        <f>IFERROR(__xludf.DUMMYFUNCTION("""COMPUTED_VALUE"""),"짱구")</f>
        <v>짱구</v>
      </c>
      <c r="M1054" s="26" t="str">
        <f>IFERROR(__xludf.DUMMYFUNCTION("""COMPUTED_VALUE"""),"깡패")</f>
        <v>깡패</v>
      </c>
      <c r="N1054" s="26" t="str">
        <f>IFERROR(__xludf.DUMMYFUNCTION("ARRAYFORMULA(REGEXEXTRACT(SPLIT(E1054, ""&lt;br&gt;""), ""([가-힣A-Za-z]+)""))"),"테리")</f>
        <v>테리</v>
      </c>
      <c r="O1054" s="26" t="str">
        <f>IFERROR(__xludf.DUMMYFUNCTION("""COMPUTED_VALUE"""),"원")</f>
        <v>원</v>
      </c>
      <c r="P1054" s="26" t="str">
        <f>IFERROR(__xludf.DUMMYFUNCTION("""COMPUTED_VALUE"""),"한메")</f>
        <v>한메</v>
      </c>
      <c r="Q1054" s="26" t="str">
        <f>IFERROR(__xludf.DUMMYFUNCTION("""COMPUTED_VALUE"""),"태식")</f>
        <v>태식</v>
      </c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</row>
    <row r="1055">
      <c r="A1055" s="27" t="s">
        <v>4474</v>
      </c>
      <c r="B1055" s="28" t="s">
        <v>4475</v>
      </c>
      <c r="C1055" s="27" t="s">
        <v>4476</v>
      </c>
      <c r="D1055" s="27">
        <v>5.0</v>
      </c>
      <c r="E1055" s="27" t="s">
        <v>4477</v>
      </c>
      <c r="F1055" s="27">
        <v>2.0</v>
      </c>
      <c r="G1055" s="29">
        <v>45670.884722222225</v>
      </c>
      <c r="H1055" s="27" t="s">
        <v>4257</v>
      </c>
      <c r="I1055" s="18"/>
      <c r="J1055" s="25" t="str">
        <f>IFERROR(__xludf.DUMMYFUNCTION("ARRAYFORMULA(REGEXEXTRACT(SPLIT(C1055, ""&lt;br&gt;""), ""([가-힣A-Za-z]+)""))"),"한메")</f>
        <v>한메</v>
      </c>
      <c r="K1055" s="26" t="str">
        <f>IFERROR(__xludf.DUMMYFUNCTION("""COMPUTED_VALUE"""),"테리")</f>
        <v>테리</v>
      </c>
      <c r="L1055" s="26" t="str">
        <f>IFERROR(__xludf.DUMMYFUNCTION("""COMPUTED_VALUE"""),"태식")</f>
        <v>태식</v>
      </c>
      <c r="M1055" s="26" t="str">
        <f>IFERROR(__xludf.DUMMYFUNCTION("""COMPUTED_VALUE"""),"원")</f>
        <v>원</v>
      </c>
      <c r="N1055" s="26" t="str">
        <f>IFERROR(__xludf.DUMMYFUNCTION("ARRAYFORMULA(REGEXEXTRACT(SPLIT(E1055, ""&lt;br&gt;""), ""([가-힣A-Za-z]+)""))"),"깡패")</f>
        <v>깡패</v>
      </c>
      <c r="O1055" s="26" t="str">
        <f>IFERROR(__xludf.DUMMYFUNCTION("""COMPUTED_VALUE"""),"짱구")</f>
        <v>짱구</v>
      </c>
      <c r="P1055" s="26" t="str">
        <f>IFERROR(__xludf.DUMMYFUNCTION("""COMPUTED_VALUE"""),"참치")</f>
        <v>참치</v>
      </c>
      <c r="Q1055" s="26" t="str">
        <f>IFERROR(__xludf.DUMMYFUNCTION("""COMPUTED_VALUE"""),"신형만")</f>
        <v>신형만</v>
      </c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</row>
    <row r="1056">
      <c r="A1056" s="27" t="s">
        <v>4478</v>
      </c>
      <c r="B1056" s="28" t="s">
        <v>4479</v>
      </c>
      <c r="C1056" s="27" t="s">
        <v>4480</v>
      </c>
      <c r="D1056" s="27">
        <v>5.0</v>
      </c>
      <c r="E1056" s="27" t="s">
        <v>4481</v>
      </c>
      <c r="F1056" s="27">
        <v>2.0</v>
      </c>
      <c r="G1056" s="29">
        <v>45670.88333333333</v>
      </c>
      <c r="H1056" s="27" t="s">
        <v>4257</v>
      </c>
      <c r="I1056" s="18"/>
      <c r="J1056" s="25" t="str">
        <f>IFERROR(__xludf.DUMMYFUNCTION("ARRAYFORMULA(REGEXEXTRACT(SPLIT(C1056, ""&lt;br&gt;""), ""([가-힣A-Za-z]+)""))"),"테리")</f>
        <v>테리</v>
      </c>
      <c r="K1056" s="26" t="str">
        <f>IFERROR(__xludf.DUMMYFUNCTION("""COMPUTED_VALUE"""),"태식")</f>
        <v>태식</v>
      </c>
      <c r="L1056" s="26" t="str">
        <f>IFERROR(__xludf.DUMMYFUNCTION("""COMPUTED_VALUE"""),"짱구")</f>
        <v>짱구</v>
      </c>
      <c r="M1056" s="26" t="str">
        <f>IFERROR(__xludf.DUMMYFUNCTION("""COMPUTED_VALUE"""),"깡패")</f>
        <v>깡패</v>
      </c>
      <c r="N1056" s="26" t="str">
        <f>IFERROR(__xludf.DUMMYFUNCTION("ARRAYFORMULA(REGEXEXTRACT(SPLIT(E1056, ""&lt;br&gt;""), ""([가-힣A-Za-z]+)""))"),"한메")</f>
        <v>한메</v>
      </c>
      <c r="O1056" s="26" t="str">
        <f>IFERROR(__xludf.DUMMYFUNCTION("""COMPUTED_VALUE"""),"신형만")</f>
        <v>신형만</v>
      </c>
      <c r="P1056" s="26" t="str">
        <f>IFERROR(__xludf.DUMMYFUNCTION("""COMPUTED_VALUE"""),"원")</f>
        <v>원</v>
      </c>
      <c r="Q1056" s="26" t="str">
        <f>IFERROR(__xludf.DUMMYFUNCTION("""COMPUTED_VALUE"""),"참치")</f>
        <v>참치</v>
      </c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</row>
    <row r="1057">
      <c r="A1057" s="27" t="s">
        <v>4482</v>
      </c>
      <c r="B1057" s="28" t="s">
        <v>4483</v>
      </c>
      <c r="C1057" s="27" t="s">
        <v>4484</v>
      </c>
      <c r="D1057" s="27">
        <v>5.0</v>
      </c>
      <c r="E1057" s="27" t="s">
        <v>4485</v>
      </c>
      <c r="F1057" s="27">
        <v>1.0</v>
      </c>
      <c r="G1057" s="29">
        <v>45670.02777777778</v>
      </c>
      <c r="H1057" s="27" t="s">
        <v>4257</v>
      </c>
      <c r="I1057" s="18"/>
      <c r="J1057" s="25" t="str">
        <f>IFERROR(__xludf.DUMMYFUNCTION("ARRAYFORMULA(REGEXEXTRACT(SPLIT(C1057, ""&lt;br&gt;""), ""([가-힣A-Za-z]+)""))"),"깡패")</f>
        <v>깡패</v>
      </c>
      <c r="K1057" s="26" t="str">
        <f>IFERROR(__xludf.DUMMYFUNCTION("""COMPUTED_VALUE"""),"짱구")</f>
        <v>짱구</v>
      </c>
      <c r="L1057" s="26" t="str">
        <f>IFERROR(__xludf.DUMMYFUNCTION("""COMPUTED_VALUE"""),"따")</f>
        <v>따</v>
      </c>
      <c r="M1057" s="26" t="str">
        <f>IFERROR(__xludf.DUMMYFUNCTION("""COMPUTED_VALUE"""),"강화")</f>
        <v>강화</v>
      </c>
      <c r="N1057" s="26" t="str">
        <f>IFERROR(__xludf.DUMMYFUNCTION("ARRAYFORMULA(REGEXEXTRACT(SPLIT(E1057, ""&lt;br&gt;""), ""([가-힣A-Za-z]+)""))"),"태식")</f>
        <v>태식</v>
      </c>
      <c r="O1057" s="26" t="str">
        <f>IFERROR(__xludf.DUMMYFUNCTION("""COMPUTED_VALUE"""),"신형만")</f>
        <v>신형만</v>
      </c>
      <c r="P1057" s="26" t="str">
        <f>IFERROR(__xludf.DUMMYFUNCTION("""COMPUTED_VALUE"""),"테리")</f>
        <v>테리</v>
      </c>
      <c r="Q1057" s="26" t="str">
        <f>IFERROR(__xludf.DUMMYFUNCTION("""COMPUTED_VALUE"""),"노인")</f>
        <v>노인</v>
      </c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</row>
    <row r="1058">
      <c r="A1058" s="27" t="s">
        <v>4486</v>
      </c>
      <c r="B1058" s="28" t="s">
        <v>4487</v>
      </c>
      <c r="C1058" s="27" t="s">
        <v>4488</v>
      </c>
      <c r="D1058" s="27">
        <v>5.0</v>
      </c>
      <c r="E1058" s="27" t="s">
        <v>4489</v>
      </c>
      <c r="F1058" s="27">
        <v>2.0</v>
      </c>
      <c r="G1058" s="29">
        <v>45670.00833333333</v>
      </c>
      <c r="H1058" s="27" t="s">
        <v>4257</v>
      </c>
      <c r="I1058" s="18"/>
      <c r="J1058" s="25" t="str">
        <f>IFERROR(__xludf.DUMMYFUNCTION("ARRAYFORMULA(REGEXEXTRACT(SPLIT(C1058, ""&lt;br&gt;""), ""([가-힣A-Za-z]+)""))"),"짱구")</f>
        <v>짱구</v>
      </c>
      <c r="K1058" s="26" t="str">
        <f>IFERROR(__xludf.DUMMYFUNCTION("""COMPUTED_VALUE"""),"신형만")</f>
        <v>신형만</v>
      </c>
      <c r="L1058" s="26" t="str">
        <f>IFERROR(__xludf.DUMMYFUNCTION("""COMPUTED_VALUE"""),"노인")</f>
        <v>노인</v>
      </c>
      <c r="M1058" s="26" t="str">
        <f>IFERROR(__xludf.DUMMYFUNCTION("""COMPUTED_VALUE"""),"따")</f>
        <v>따</v>
      </c>
      <c r="N1058" s="26" t="str">
        <f>IFERROR(__xludf.DUMMYFUNCTION("ARRAYFORMULA(REGEXEXTRACT(SPLIT(E1058, ""&lt;br&gt;""), ""([가-힣A-Za-z]+)""))"),"태식")</f>
        <v>태식</v>
      </c>
      <c r="O1058" s="26" t="str">
        <f>IFERROR(__xludf.DUMMYFUNCTION("""COMPUTED_VALUE"""),"테리")</f>
        <v>테리</v>
      </c>
      <c r="P1058" s="26" t="str">
        <f>IFERROR(__xludf.DUMMYFUNCTION("""COMPUTED_VALUE"""),"깡패")</f>
        <v>깡패</v>
      </c>
      <c r="Q1058" s="26" t="str">
        <f>IFERROR(__xludf.DUMMYFUNCTION("""COMPUTED_VALUE"""),"강화")</f>
        <v>강화</v>
      </c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</row>
    <row r="1059">
      <c r="A1059" s="27" t="s">
        <v>4490</v>
      </c>
      <c r="B1059" s="28" t="s">
        <v>4491</v>
      </c>
      <c r="C1059" s="27" t="s">
        <v>4492</v>
      </c>
      <c r="D1059" s="27">
        <v>5.0</v>
      </c>
      <c r="E1059" s="27" t="s">
        <v>4493</v>
      </c>
      <c r="F1059" s="27">
        <v>3.0</v>
      </c>
      <c r="G1059" s="29">
        <v>45669.989583333336</v>
      </c>
      <c r="H1059" s="27" t="s">
        <v>4257</v>
      </c>
      <c r="I1059" s="18"/>
      <c r="J1059" s="25" t="str">
        <f>IFERROR(__xludf.DUMMYFUNCTION("ARRAYFORMULA(REGEXEXTRACT(SPLIT(C1059, ""&lt;br&gt;""), ""([가-힣A-Za-z]+)""))"),"짱구")</f>
        <v>짱구</v>
      </c>
      <c r="K1059" s="26" t="str">
        <f>IFERROR(__xludf.DUMMYFUNCTION("""COMPUTED_VALUE"""),"노인")</f>
        <v>노인</v>
      </c>
      <c r="L1059" s="26" t="str">
        <f>IFERROR(__xludf.DUMMYFUNCTION("""COMPUTED_VALUE"""),"테리")</f>
        <v>테리</v>
      </c>
      <c r="M1059" s="26" t="str">
        <f>IFERROR(__xludf.DUMMYFUNCTION("""COMPUTED_VALUE"""),"태식")</f>
        <v>태식</v>
      </c>
      <c r="N1059" s="26" t="str">
        <f>IFERROR(__xludf.DUMMYFUNCTION("ARRAYFORMULA(REGEXEXTRACT(SPLIT(E1059, ""&lt;br&gt;""), ""([가-힣A-Za-z]+)""))"),"강화")</f>
        <v>강화</v>
      </c>
      <c r="O1059" s="26" t="str">
        <f>IFERROR(__xludf.DUMMYFUNCTION("""COMPUTED_VALUE"""),"깡패")</f>
        <v>깡패</v>
      </c>
      <c r="P1059" s="26" t="str">
        <f>IFERROR(__xludf.DUMMYFUNCTION("""COMPUTED_VALUE"""),"신형만")</f>
        <v>신형만</v>
      </c>
      <c r="Q1059" s="26" t="str">
        <f>IFERROR(__xludf.DUMMYFUNCTION("""COMPUTED_VALUE"""),"따")</f>
        <v>따</v>
      </c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</row>
    <row r="1060">
      <c r="A1060" s="27" t="s">
        <v>4494</v>
      </c>
      <c r="B1060" s="28" t="s">
        <v>4495</v>
      </c>
      <c r="C1060" s="27" t="s">
        <v>4496</v>
      </c>
      <c r="D1060" s="27">
        <v>5.0</v>
      </c>
      <c r="E1060" s="27" t="s">
        <v>4497</v>
      </c>
      <c r="F1060" s="27">
        <v>1.0</v>
      </c>
      <c r="G1060" s="29">
        <v>45669.92569444444</v>
      </c>
      <c r="H1060" s="27" t="s">
        <v>4257</v>
      </c>
      <c r="I1060" s="18"/>
      <c r="J1060" s="25" t="str">
        <f>IFERROR(__xludf.DUMMYFUNCTION("ARRAYFORMULA(REGEXEXTRACT(SPLIT(C1060, ""&lt;br&gt;""), ""([가-힣A-Za-z]+)""))"),"짱구")</f>
        <v>짱구</v>
      </c>
      <c r="K1060" s="26" t="str">
        <f>IFERROR(__xludf.DUMMYFUNCTION("""COMPUTED_VALUE"""),"태식")</f>
        <v>태식</v>
      </c>
      <c r="L1060" s="26" t="str">
        <f>IFERROR(__xludf.DUMMYFUNCTION("""COMPUTED_VALUE"""),"테리")</f>
        <v>테리</v>
      </c>
      <c r="M1060" s="26" t="str">
        <f>IFERROR(__xludf.DUMMYFUNCTION("""COMPUTED_VALUE"""),"신형만")</f>
        <v>신형만</v>
      </c>
      <c r="N1060" s="26" t="str">
        <f>IFERROR(__xludf.DUMMYFUNCTION("ARRAYFORMULA(REGEXEXTRACT(SPLIT(E1060, ""&lt;br&gt;""), ""([가-힣A-Za-z]+)""))"),"ACDC")</f>
        <v>ACDC</v>
      </c>
      <c r="O1060" s="26" t="str">
        <f>IFERROR(__xludf.DUMMYFUNCTION("""COMPUTED_VALUE"""),"깡패")</f>
        <v>깡패</v>
      </c>
      <c r="P1060" s="26" t="str">
        <f>IFERROR(__xludf.DUMMYFUNCTION("""COMPUTED_VALUE"""),"강화")</f>
        <v>강화</v>
      </c>
      <c r="Q1060" s="26" t="str">
        <f>IFERROR(__xludf.DUMMYFUNCTION("""COMPUTED_VALUE"""),"노인")</f>
        <v>노인</v>
      </c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</row>
    <row r="1061">
      <c r="A1061" s="27" t="s">
        <v>4498</v>
      </c>
      <c r="B1061" s="28" t="s">
        <v>4499</v>
      </c>
      <c r="C1061" s="27" t="s">
        <v>4500</v>
      </c>
      <c r="D1061" s="27">
        <v>5.0</v>
      </c>
      <c r="E1061" s="27" t="s">
        <v>4501</v>
      </c>
      <c r="F1061" s="27">
        <v>1.0</v>
      </c>
      <c r="G1061" s="29">
        <v>45669.907638888886</v>
      </c>
      <c r="H1061" s="27" t="s">
        <v>4257</v>
      </c>
      <c r="I1061" s="18"/>
      <c r="J1061" s="25" t="str">
        <f>IFERROR(__xludf.DUMMYFUNCTION("ARRAYFORMULA(REGEXEXTRACT(SPLIT(C1061, ""&lt;br&gt;""), ""([가-힣A-Za-z]+)""))"),"테리")</f>
        <v>테리</v>
      </c>
      <c r="K1061" s="26" t="str">
        <f>IFERROR(__xludf.DUMMYFUNCTION("""COMPUTED_VALUE"""),"노인")</f>
        <v>노인</v>
      </c>
      <c r="L1061" s="26" t="str">
        <f>IFERROR(__xludf.DUMMYFUNCTION("""COMPUTED_VALUE"""),"깡패")</f>
        <v>깡패</v>
      </c>
      <c r="M1061" s="26" t="str">
        <f>IFERROR(__xludf.DUMMYFUNCTION("""COMPUTED_VALUE"""),"신형만")</f>
        <v>신형만</v>
      </c>
      <c r="N1061" s="26" t="str">
        <f>IFERROR(__xludf.DUMMYFUNCTION("ARRAYFORMULA(REGEXEXTRACT(SPLIT(E1061, ""&lt;br&gt;""), ""([가-힣A-Za-z]+)""))"),"강화")</f>
        <v>강화</v>
      </c>
      <c r="O1061" s="26" t="str">
        <f>IFERROR(__xludf.DUMMYFUNCTION("""COMPUTED_VALUE"""),"짱구")</f>
        <v>짱구</v>
      </c>
      <c r="P1061" s="26" t="str">
        <f>IFERROR(__xludf.DUMMYFUNCTION("""COMPUTED_VALUE"""),"태식")</f>
        <v>태식</v>
      </c>
      <c r="Q1061" s="26" t="str">
        <f>IFERROR(__xludf.DUMMYFUNCTION("""COMPUTED_VALUE"""),"ACDC")</f>
        <v>ACDC</v>
      </c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</row>
    <row r="1062">
      <c r="A1062" s="27" t="s">
        <v>4502</v>
      </c>
      <c r="B1062" s="28" t="s">
        <v>4503</v>
      </c>
      <c r="C1062" s="27" t="s">
        <v>4504</v>
      </c>
      <c r="D1062" s="27">
        <v>5.0</v>
      </c>
      <c r="E1062" s="27" t="s">
        <v>4505</v>
      </c>
      <c r="F1062" s="27">
        <v>3.0</v>
      </c>
      <c r="G1062" s="29">
        <v>45669.89097222222</v>
      </c>
      <c r="H1062" s="27" t="s">
        <v>4257</v>
      </c>
      <c r="I1062" s="18"/>
      <c r="J1062" s="25" t="str">
        <f>IFERROR(__xludf.DUMMYFUNCTION("ARRAYFORMULA(REGEXEXTRACT(SPLIT(C1062, ""&lt;br&gt;""), ""([가-힣A-Za-z]+)""))"),"테리")</f>
        <v>테리</v>
      </c>
      <c r="K1062" s="26" t="str">
        <f>IFERROR(__xludf.DUMMYFUNCTION("""COMPUTED_VALUE"""),"신형만")</f>
        <v>신형만</v>
      </c>
      <c r="L1062" s="26" t="str">
        <f>IFERROR(__xludf.DUMMYFUNCTION("""COMPUTED_VALUE"""),"짱구")</f>
        <v>짱구</v>
      </c>
      <c r="M1062" s="26" t="str">
        <f>IFERROR(__xludf.DUMMYFUNCTION("""COMPUTED_VALUE"""),"강화")</f>
        <v>강화</v>
      </c>
      <c r="N1062" s="26" t="str">
        <f>IFERROR(__xludf.DUMMYFUNCTION("ARRAYFORMULA(REGEXEXTRACT(SPLIT(E1062, ""&lt;br&gt;""), ""([가-힣A-Za-z]+)""))"),"태식")</f>
        <v>태식</v>
      </c>
      <c r="O1062" s="26" t="str">
        <f>IFERROR(__xludf.DUMMYFUNCTION("""COMPUTED_VALUE"""),"노인")</f>
        <v>노인</v>
      </c>
      <c r="P1062" s="26" t="str">
        <f>IFERROR(__xludf.DUMMYFUNCTION("""COMPUTED_VALUE"""),"한메")</f>
        <v>한메</v>
      </c>
      <c r="Q1062" s="26" t="str">
        <f>IFERROR(__xludf.DUMMYFUNCTION("""COMPUTED_VALUE"""),"깡패")</f>
        <v>깡패</v>
      </c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</row>
    <row r="1063">
      <c r="A1063" s="27" t="s">
        <v>4506</v>
      </c>
      <c r="B1063" s="28" t="s">
        <v>4507</v>
      </c>
      <c r="C1063" s="27" t="s">
        <v>4508</v>
      </c>
      <c r="D1063" s="27">
        <v>5.0</v>
      </c>
      <c r="E1063" s="27" t="s">
        <v>4509</v>
      </c>
      <c r="F1063" s="27">
        <v>1.0</v>
      </c>
      <c r="G1063" s="29">
        <v>45669.86111111111</v>
      </c>
      <c r="H1063" s="27" t="s">
        <v>4257</v>
      </c>
      <c r="I1063" s="18"/>
      <c r="J1063" s="25" t="str">
        <f>IFERROR(__xludf.DUMMYFUNCTION("ARRAYFORMULA(REGEXEXTRACT(SPLIT(C1063, ""&lt;br&gt;""), ""([가-힣A-Za-z]+)""))"),"깡패")</f>
        <v>깡패</v>
      </c>
      <c r="K1063" s="26" t="str">
        <f>IFERROR(__xludf.DUMMYFUNCTION("""COMPUTED_VALUE"""),"테리")</f>
        <v>테리</v>
      </c>
      <c r="L1063" s="26" t="str">
        <f>IFERROR(__xludf.DUMMYFUNCTION("""COMPUTED_VALUE"""),"짱구")</f>
        <v>짱구</v>
      </c>
      <c r="M1063" s="26" t="str">
        <f>IFERROR(__xludf.DUMMYFUNCTION("""COMPUTED_VALUE"""),"한메")</f>
        <v>한메</v>
      </c>
      <c r="N1063" s="26" t="str">
        <f>IFERROR(__xludf.DUMMYFUNCTION("ARRAYFORMULA(REGEXEXTRACT(SPLIT(E1063, ""&lt;br&gt;""), ""([가-힣A-Za-z]+)""))"),"노인")</f>
        <v>노인</v>
      </c>
      <c r="O1063" s="26" t="str">
        <f>IFERROR(__xludf.DUMMYFUNCTION("""COMPUTED_VALUE"""),"신형만")</f>
        <v>신형만</v>
      </c>
      <c r="P1063" s="26" t="str">
        <f>IFERROR(__xludf.DUMMYFUNCTION("""COMPUTED_VALUE"""),"강화")</f>
        <v>강화</v>
      </c>
      <c r="Q1063" s="26" t="str">
        <f>IFERROR(__xludf.DUMMYFUNCTION("""COMPUTED_VALUE"""),"태식")</f>
        <v>태식</v>
      </c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</row>
    <row r="1064">
      <c r="A1064" s="27" t="s">
        <v>4510</v>
      </c>
      <c r="B1064" s="28" t="s">
        <v>4511</v>
      </c>
      <c r="C1064" s="27" t="s">
        <v>4512</v>
      </c>
      <c r="D1064" s="27">
        <v>5.0</v>
      </c>
      <c r="E1064" s="27" t="s">
        <v>4513</v>
      </c>
      <c r="F1064" s="27">
        <v>3.0</v>
      </c>
      <c r="G1064" s="29">
        <v>45668.09027777778</v>
      </c>
      <c r="H1064" s="27" t="s">
        <v>4257</v>
      </c>
      <c r="I1064" s="18"/>
      <c r="J1064" s="25" t="str">
        <f>IFERROR(__xludf.DUMMYFUNCTION("ARRAYFORMULA(REGEXEXTRACT(SPLIT(C1064, ""&lt;br&gt;""), ""([가-힣A-Za-z]+)""))"),"한메")</f>
        <v>한메</v>
      </c>
      <c r="K1064" s="26" t="str">
        <f>IFERROR(__xludf.DUMMYFUNCTION("""COMPUTED_VALUE"""),"짱구")</f>
        <v>짱구</v>
      </c>
      <c r="L1064" s="26" t="str">
        <f>IFERROR(__xludf.DUMMYFUNCTION("""COMPUTED_VALUE"""),"깡패")</f>
        <v>깡패</v>
      </c>
      <c r="M1064" s="26" t="str">
        <f>IFERROR(__xludf.DUMMYFUNCTION("""COMPUTED_VALUE"""),"재우")</f>
        <v>재우</v>
      </c>
      <c r="N1064" s="26" t="str">
        <f>IFERROR(__xludf.DUMMYFUNCTION("ARRAYFORMULA(REGEXEXTRACT(SPLIT(E1064, ""&lt;br&gt;""), ""([가-힣A-Za-z]+)""))"),"터미")</f>
        <v>터미</v>
      </c>
      <c r="O1064" s="26" t="str">
        <f>IFERROR(__xludf.DUMMYFUNCTION("""COMPUTED_VALUE"""),"테리")</f>
        <v>테리</v>
      </c>
      <c r="P1064" s="26" t="str">
        <f>IFERROR(__xludf.DUMMYFUNCTION("""COMPUTED_VALUE"""),"ACDC")</f>
        <v>ACDC</v>
      </c>
      <c r="Q1064" s="26" t="str">
        <f>IFERROR(__xludf.DUMMYFUNCTION("""COMPUTED_VALUE"""),"신형만")</f>
        <v>신형만</v>
      </c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</row>
    <row r="1065">
      <c r="A1065" s="27" t="s">
        <v>4514</v>
      </c>
      <c r="B1065" s="28" t="s">
        <v>4515</v>
      </c>
      <c r="C1065" s="27" t="s">
        <v>4516</v>
      </c>
      <c r="D1065" s="27">
        <v>5.0</v>
      </c>
      <c r="E1065" s="27" t="s">
        <v>4517</v>
      </c>
      <c r="F1065" s="27">
        <v>2.0</v>
      </c>
      <c r="G1065" s="29">
        <v>45668.063888888886</v>
      </c>
      <c r="H1065" s="27" t="s">
        <v>4257</v>
      </c>
      <c r="I1065" s="18"/>
      <c r="J1065" s="25" t="str">
        <f>IFERROR(__xludf.DUMMYFUNCTION("ARRAYFORMULA(REGEXEXTRACT(SPLIT(C1065, ""&lt;br&gt;""), ""([가-힣A-Za-z]+)""))"),"신형만")</f>
        <v>신형만</v>
      </c>
      <c r="K1065" s="26" t="str">
        <f>IFERROR(__xludf.DUMMYFUNCTION("""COMPUTED_VALUE"""),"재우")</f>
        <v>재우</v>
      </c>
      <c r="L1065" s="26" t="str">
        <f>IFERROR(__xludf.DUMMYFUNCTION("""COMPUTED_VALUE"""),"터미")</f>
        <v>터미</v>
      </c>
      <c r="M1065" s="26" t="str">
        <f>IFERROR(__xludf.DUMMYFUNCTION("""COMPUTED_VALUE"""),"한메")</f>
        <v>한메</v>
      </c>
      <c r="N1065" s="26" t="str">
        <f>IFERROR(__xludf.DUMMYFUNCTION("ARRAYFORMULA(REGEXEXTRACT(SPLIT(E1065, ""&lt;br&gt;""), ""([가-힣A-Za-z]+)""))"),"테리")</f>
        <v>테리</v>
      </c>
      <c r="O1065" s="26" t="str">
        <f>IFERROR(__xludf.DUMMYFUNCTION("""COMPUTED_VALUE"""),"깡패")</f>
        <v>깡패</v>
      </c>
      <c r="P1065" s="26" t="str">
        <f>IFERROR(__xludf.DUMMYFUNCTION("""COMPUTED_VALUE"""),"따")</f>
        <v>따</v>
      </c>
      <c r="Q1065" s="26" t="str">
        <f>IFERROR(__xludf.DUMMYFUNCTION("""COMPUTED_VALUE"""),"ACDC")</f>
        <v>ACDC</v>
      </c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</row>
    <row r="1066">
      <c r="A1066" s="27" t="s">
        <v>4518</v>
      </c>
      <c r="B1066" s="28" t="s">
        <v>4519</v>
      </c>
      <c r="C1066" s="27" t="s">
        <v>4520</v>
      </c>
      <c r="D1066" s="27">
        <v>5.0</v>
      </c>
      <c r="E1066" s="27" t="s">
        <v>4521</v>
      </c>
      <c r="F1066" s="27">
        <v>0.0</v>
      </c>
      <c r="G1066" s="29">
        <v>45668.03333333333</v>
      </c>
      <c r="H1066" s="27" t="s">
        <v>4257</v>
      </c>
      <c r="I1066" s="18"/>
      <c r="J1066" s="25" t="str">
        <f>IFERROR(__xludf.DUMMYFUNCTION("ARRAYFORMULA(REGEXEXTRACT(SPLIT(C1066, ""&lt;br&gt;""), ""([가-힣A-Za-z]+)""))"),"재우")</f>
        <v>재우</v>
      </c>
      <c r="K1066" s="26" t="str">
        <f>IFERROR(__xludf.DUMMYFUNCTION("""COMPUTED_VALUE"""),"테리")</f>
        <v>테리</v>
      </c>
      <c r="L1066" s="26" t="str">
        <f>IFERROR(__xludf.DUMMYFUNCTION("""COMPUTED_VALUE"""),"한메")</f>
        <v>한메</v>
      </c>
      <c r="M1066" s="26" t="str">
        <f>IFERROR(__xludf.DUMMYFUNCTION("""COMPUTED_VALUE"""),"ACDC")</f>
        <v>ACDC</v>
      </c>
      <c r="N1066" s="26" t="str">
        <f>IFERROR(__xludf.DUMMYFUNCTION("ARRAYFORMULA(REGEXEXTRACT(SPLIT(E1066, ""&lt;br&gt;""), ""([가-힣A-Za-z]+)""))"),"유망")</f>
        <v>유망</v>
      </c>
      <c r="O1066" s="26" t="str">
        <f>IFERROR(__xludf.DUMMYFUNCTION("""COMPUTED_VALUE"""),"따")</f>
        <v>따</v>
      </c>
      <c r="P1066" s="26" t="str">
        <f>IFERROR(__xludf.DUMMYFUNCTION("""COMPUTED_VALUE"""),"신형만")</f>
        <v>신형만</v>
      </c>
      <c r="Q1066" s="26" t="str">
        <f>IFERROR(__xludf.DUMMYFUNCTION("""COMPUTED_VALUE"""),"깡패")</f>
        <v>깡패</v>
      </c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</row>
    <row r="1067">
      <c r="A1067" s="27" t="s">
        <v>4522</v>
      </c>
      <c r="B1067" s="28" t="s">
        <v>4523</v>
      </c>
      <c r="C1067" s="27" t="s">
        <v>4524</v>
      </c>
      <c r="D1067" s="27">
        <v>5.0</v>
      </c>
      <c r="E1067" s="27" t="s">
        <v>4525</v>
      </c>
      <c r="F1067" s="27">
        <v>2.0</v>
      </c>
      <c r="G1067" s="29">
        <v>45668.010416666664</v>
      </c>
      <c r="H1067" s="27" t="s">
        <v>4257</v>
      </c>
      <c r="I1067" s="18"/>
      <c r="J1067" s="25" t="str">
        <f>IFERROR(__xludf.DUMMYFUNCTION("ARRAYFORMULA(REGEXEXTRACT(SPLIT(C1067, ""&lt;br&gt;""), ""([가-힣A-Za-z]+)""))"),"테리")</f>
        <v>테리</v>
      </c>
      <c r="K1067" s="26" t="str">
        <f>IFERROR(__xludf.DUMMYFUNCTION("""COMPUTED_VALUE"""),"깡패")</f>
        <v>깡패</v>
      </c>
      <c r="L1067" s="26" t="str">
        <f>IFERROR(__xludf.DUMMYFUNCTION("""COMPUTED_VALUE"""),"유망")</f>
        <v>유망</v>
      </c>
      <c r="M1067" s="26" t="str">
        <f>IFERROR(__xludf.DUMMYFUNCTION("""COMPUTED_VALUE"""),"ACDC")</f>
        <v>ACDC</v>
      </c>
      <c r="N1067" s="26" t="str">
        <f>IFERROR(__xludf.DUMMYFUNCTION("ARRAYFORMULA(REGEXEXTRACT(SPLIT(E1067, ""&lt;br&gt;""), ""([가-힣A-Za-z]+)""))"),"신형만")</f>
        <v>신형만</v>
      </c>
      <c r="O1067" s="26" t="str">
        <f>IFERROR(__xludf.DUMMYFUNCTION("""COMPUTED_VALUE"""),"따")</f>
        <v>따</v>
      </c>
      <c r="P1067" s="26" t="str">
        <f>IFERROR(__xludf.DUMMYFUNCTION("""COMPUTED_VALUE"""),"뼈해장국")</f>
        <v>뼈해장국</v>
      </c>
      <c r="Q1067" s="26" t="str">
        <f>IFERROR(__xludf.DUMMYFUNCTION("""COMPUTED_VALUE"""),"재우")</f>
        <v>재우</v>
      </c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</row>
    <row r="1068">
      <c r="A1068" s="27" t="s">
        <v>4526</v>
      </c>
      <c r="B1068" s="28" t="s">
        <v>4527</v>
      </c>
      <c r="C1068" s="27" t="s">
        <v>4528</v>
      </c>
      <c r="D1068" s="27">
        <v>5.0</v>
      </c>
      <c r="E1068" s="27" t="s">
        <v>4529</v>
      </c>
      <c r="F1068" s="27">
        <v>3.0</v>
      </c>
      <c r="G1068" s="29">
        <v>45667.98611111111</v>
      </c>
      <c r="H1068" s="27" t="s">
        <v>4257</v>
      </c>
      <c r="I1068" s="18"/>
      <c r="J1068" s="25" t="str">
        <f>IFERROR(__xludf.DUMMYFUNCTION("ARRAYFORMULA(REGEXEXTRACT(SPLIT(C1068, ""&lt;br&gt;""), ""([가-힣A-Za-z]+)""))"),"재우")</f>
        <v>재우</v>
      </c>
      <c r="K1068" s="26" t="str">
        <f>IFERROR(__xludf.DUMMYFUNCTION("""COMPUTED_VALUE"""),"테리")</f>
        <v>테리</v>
      </c>
      <c r="L1068" s="26" t="str">
        <f>IFERROR(__xludf.DUMMYFUNCTION("""COMPUTED_VALUE"""),"유망")</f>
        <v>유망</v>
      </c>
      <c r="M1068" s="26" t="str">
        <f>IFERROR(__xludf.DUMMYFUNCTION("""COMPUTED_VALUE"""),"신형만")</f>
        <v>신형만</v>
      </c>
      <c r="N1068" s="26" t="str">
        <f>IFERROR(__xludf.DUMMYFUNCTION("ARRAYFORMULA(REGEXEXTRACT(SPLIT(E1068, ""&lt;br&gt;""), ""([가-힣A-Za-z]+)""))"),"깡패")</f>
        <v>깡패</v>
      </c>
      <c r="O1068" s="26" t="str">
        <f>IFERROR(__xludf.DUMMYFUNCTION("""COMPUTED_VALUE"""),"뼈해장국")</f>
        <v>뼈해장국</v>
      </c>
      <c r="P1068" s="26" t="str">
        <f>IFERROR(__xludf.DUMMYFUNCTION("""COMPUTED_VALUE"""),"따")</f>
        <v>따</v>
      </c>
      <c r="Q1068" s="26" t="str">
        <f>IFERROR(__xludf.DUMMYFUNCTION("""COMPUTED_VALUE"""),"ACDC")</f>
        <v>ACDC</v>
      </c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</row>
    <row r="1069">
      <c r="A1069" s="27" t="s">
        <v>4530</v>
      </c>
      <c r="B1069" s="28" t="s">
        <v>4531</v>
      </c>
      <c r="C1069" s="27" t="s">
        <v>4532</v>
      </c>
      <c r="D1069" s="27">
        <v>5.0</v>
      </c>
      <c r="E1069" s="27" t="s">
        <v>4533</v>
      </c>
      <c r="F1069" s="27">
        <v>4.0</v>
      </c>
      <c r="G1069" s="29">
        <v>45667.95486111111</v>
      </c>
      <c r="H1069" s="27" t="s">
        <v>4257</v>
      </c>
      <c r="I1069" s="18"/>
      <c r="J1069" s="25" t="str">
        <f>IFERROR(__xludf.DUMMYFUNCTION("ARRAYFORMULA(REGEXEXTRACT(SPLIT(C1069, ""&lt;br&gt;""), ""([가-힣A-Za-z]+)""))"),"테리")</f>
        <v>테리</v>
      </c>
      <c r="K1069" s="26" t="str">
        <f>IFERROR(__xludf.DUMMYFUNCTION("""COMPUTED_VALUE"""),"신형만")</f>
        <v>신형만</v>
      </c>
      <c r="L1069" s="26" t="str">
        <f>IFERROR(__xludf.DUMMYFUNCTION("""COMPUTED_VALUE"""),"한메")</f>
        <v>한메</v>
      </c>
      <c r="M1069" s="26" t="str">
        <f>IFERROR(__xludf.DUMMYFUNCTION("""COMPUTED_VALUE"""),"재우")</f>
        <v>재우</v>
      </c>
      <c r="N1069" s="26" t="str">
        <f>IFERROR(__xludf.DUMMYFUNCTION("ARRAYFORMULA(REGEXEXTRACT(SPLIT(E1069, ""&lt;br&gt;""), ""([가-힣A-Za-z]+)""))"),"엘더")</f>
        <v>엘더</v>
      </c>
      <c r="O1069" s="26" t="str">
        <f>IFERROR(__xludf.DUMMYFUNCTION("""COMPUTED_VALUE"""),"따")</f>
        <v>따</v>
      </c>
      <c r="P1069" s="26" t="str">
        <f>IFERROR(__xludf.DUMMYFUNCTION("""COMPUTED_VALUE"""),"ACDC")</f>
        <v>ACDC</v>
      </c>
      <c r="Q1069" s="26" t="str">
        <f>IFERROR(__xludf.DUMMYFUNCTION("""COMPUTED_VALUE"""),"깡패")</f>
        <v>깡패</v>
      </c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</row>
    <row r="1070">
      <c r="A1070" s="27" t="s">
        <v>4534</v>
      </c>
      <c r="B1070" s="28" t="s">
        <v>4535</v>
      </c>
      <c r="C1070" s="27" t="s">
        <v>4536</v>
      </c>
      <c r="D1070" s="27">
        <v>5.0</v>
      </c>
      <c r="E1070" s="27" t="s">
        <v>4537</v>
      </c>
      <c r="F1070" s="27">
        <v>3.0</v>
      </c>
      <c r="G1070" s="29">
        <v>45666.05</v>
      </c>
      <c r="H1070" s="27" t="s">
        <v>4257</v>
      </c>
      <c r="I1070" s="18"/>
      <c r="J1070" s="25" t="str">
        <f>IFERROR(__xludf.DUMMYFUNCTION("ARRAYFORMULA(REGEXEXTRACT(SPLIT(C1070, ""&lt;br&gt;""), ""([가-힣A-Za-z]+)""))"),"깡패")</f>
        <v>깡패</v>
      </c>
      <c r="K1070" s="26" t="str">
        <f>IFERROR(__xludf.DUMMYFUNCTION("""COMPUTED_VALUE"""),"따")</f>
        <v>따</v>
      </c>
      <c r="L1070" s="26" t="str">
        <f>IFERROR(__xludf.DUMMYFUNCTION("""COMPUTED_VALUE"""),"테리")</f>
        <v>테리</v>
      </c>
      <c r="M1070" s="26" t="str">
        <f>IFERROR(__xludf.DUMMYFUNCTION("""COMPUTED_VALUE"""),"재우")</f>
        <v>재우</v>
      </c>
      <c r="N1070" s="26" t="str">
        <f>IFERROR(__xludf.DUMMYFUNCTION("ARRAYFORMULA(REGEXEXTRACT(SPLIT(E1070, ""&lt;br&gt;""), ""([가-힣A-Za-z]+)""))"),"ACDC")</f>
        <v>ACDC</v>
      </c>
      <c r="O1070" s="26" t="str">
        <f>IFERROR(__xludf.DUMMYFUNCTION("""COMPUTED_VALUE"""),"노인")</f>
        <v>노인</v>
      </c>
      <c r="P1070" s="26" t="str">
        <f>IFERROR(__xludf.DUMMYFUNCTION("""COMPUTED_VALUE"""),"신형만")</f>
        <v>신형만</v>
      </c>
      <c r="Q1070" s="26" t="str">
        <f>IFERROR(__xludf.DUMMYFUNCTION("""COMPUTED_VALUE"""),"미등록")</f>
        <v>미등록</v>
      </c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</row>
    <row r="1071">
      <c r="A1071" s="27" t="s">
        <v>4538</v>
      </c>
      <c r="B1071" s="28" t="s">
        <v>4539</v>
      </c>
      <c r="C1071" s="27" t="s">
        <v>4540</v>
      </c>
      <c r="D1071" s="27">
        <v>5.0</v>
      </c>
      <c r="E1071" s="27" t="s">
        <v>4541</v>
      </c>
      <c r="F1071" s="27">
        <v>1.0</v>
      </c>
      <c r="G1071" s="29">
        <v>45665.01875</v>
      </c>
      <c r="H1071" s="27" t="s">
        <v>4257</v>
      </c>
      <c r="I1071" s="18"/>
      <c r="J1071" s="25" t="str">
        <f>IFERROR(__xludf.DUMMYFUNCTION("ARRAYFORMULA(REGEXEXTRACT(SPLIT(C1071, ""&lt;br&gt;""), ""([가-힣A-Za-z]+)""))"),"짱구")</f>
        <v>짱구</v>
      </c>
      <c r="K1071" s="26" t="str">
        <f>IFERROR(__xludf.DUMMYFUNCTION("""COMPUTED_VALUE"""),"테리")</f>
        <v>테리</v>
      </c>
      <c r="L1071" s="26" t="str">
        <f>IFERROR(__xludf.DUMMYFUNCTION("""COMPUTED_VALUE"""),"신형만")</f>
        <v>신형만</v>
      </c>
      <c r="M1071" s="26" t="str">
        <f>IFERROR(__xludf.DUMMYFUNCTION("""COMPUTED_VALUE"""),"유망")</f>
        <v>유망</v>
      </c>
      <c r="N1071" s="26" t="str">
        <f>IFERROR(__xludf.DUMMYFUNCTION("ARRAYFORMULA(REGEXEXTRACT(SPLIT(E1071, ""&lt;br&gt;""), ""([가-힣A-Za-z]+)""))"),"재우")</f>
        <v>재우</v>
      </c>
      <c r="O1071" s="26" t="str">
        <f>IFERROR(__xludf.DUMMYFUNCTION("""COMPUTED_VALUE"""),"깡패")</f>
        <v>깡패</v>
      </c>
      <c r="P1071" s="26" t="str">
        <f>IFERROR(__xludf.DUMMYFUNCTION("""COMPUTED_VALUE"""),"한메")</f>
        <v>한메</v>
      </c>
      <c r="Q1071" s="26" t="str">
        <f>IFERROR(__xludf.DUMMYFUNCTION("""COMPUTED_VALUE"""),"ACDC")</f>
        <v>ACDC</v>
      </c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</row>
    <row r="1072">
      <c r="A1072" s="27" t="s">
        <v>4542</v>
      </c>
      <c r="B1072" s="28" t="s">
        <v>4543</v>
      </c>
      <c r="C1072" s="27" t="s">
        <v>4544</v>
      </c>
      <c r="D1072" s="27">
        <v>5.0</v>
      </c>
      <c r="E1072" s="27" t="s">
        <v>4545</v>
      </c>
      <c r="F1072" s="27">
        <v>3.0</v>
      </c>
      <c r="G1072" s="29">
        <v>45665.00486111111</v>
      </c>
      <c r="H1072" s="27" t="s">
        <v>4257</v>
      </c>
      <c r="I1072" s="18"/>
      <c r="J1072" s="25" t="str">
        <f>IFERROR(__xludf.DUMMYFUNCTION("ARRAYFORMULA(REGEXEXTRACT(SPLIT(C1072, ""&lt;br&gt;""), ""([가-힣A-Za-z]+)""))"),"한메")</f>
        <v>한메</v>
      </c>
      <c r="K1072" s="26" t="str">
        <f>IFERROR(__xludf.DUMMYFUNCTION("""COMPUTED_VALUE"""),"짱구")</f>
        <v>짱구</v>
      </c>
      <c r="L1072" s="26" t="str">
        <f>IFERROR(__xludf.DUMMYFUNCTION("""COMPUTED_VALUE"""),"신형만")</f>
        <v>신형만</v>
      </c>
      <c r="M1072" s="26" t="str">
        <f>IFERROR(__xludf.DUMMYFUNCTION("""COMPUTED_VALUE"""),"재우")</f>
        <v>재우</v>
      </c>
      <c r="N1072" s="26" t="str">
        <f>IFERROR(__xludf.DUMMYFUNCTION("ARRAYFORMULA(REGEXEXTRACT(SPLIT(E1072, ""&lt;br&gt;""), ""([가-힣A-Za-z]+)""))"),"깡패")</f>
        <v>깡패</v>
      </c>
      <c r="O1072" s="26" t="str">
        <f>IFERROR(__xludf.DUMMYFUNCTION("""COMPUTED_VALUE"""),"테리")</f>
        <v>테리</v>
      </c>
      <c r="P1072" s="26" t="str">
        <f>IFERROR(__xludf.DUMMYFUNCTION("""COMPUTED_VALUE"""),"유망")</f>
        <v>유망</v>
      </c>
      <c r="Q1072" s="26" t="str">
        <f>IFERROR(__xludf.DUMMYFUNCTION("""COMPUTED_VALUE"""),"ACDC")</f>
        <v>ACDC</v>
      </c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</row>
    <row r="1073">
      <c r="A1073" s="27" t="s">
        <v>4546</v>
      </c>
      <c r="B1073" s="28" t="s">
        <v>4547</v>
      </c>
      <c r="C1073" s="27" t="s">
        <v>4548</v>
      </c>
      <c r="D1073" s="27">
        <v>5.0</v>
      </c>
      <c r="E1073" s="27" t="s">
        <v>4549</v>
      </c>
      <c r="F1073" s="27">
        <v>3.0</v>
      </c>
      <c r="G1073" s="29">
        <v>45664.978472222225</v>
      </c>
      <c r="H1073" s="27" t="s">
        <v>4257</v>
      </c>
      <c r="I1073" s="18"/>
      <c r="J1073" s="25" t="str">
        <f>IFERROR(__xludf.DUMMYFUNCTION("ARRAYFORMULA(REGEXEXTRACT(SPLIT(C1073, ""&lt;br&gt;""), ""([가-힣A-Za-z]+)""))"),"짱구")</f>
        <v>짱구</v>
      </c>
      <c r="K1073" s="26" t="str">
        <f>IFERROR(__xludf.DUMMYFUNCTION("""COMPUTED_VALUE"""),"재우")</f>
        <v>재우</v>
      </c>
      <c r="L1073" s="26" t="str">
        <f>IFERROR(__xludf.DUMMYFUNCTION("""COMPUTED_VALUE"""),"유망")</f>
        <v>유망</v>
      </c>
      <c r="M1073" s="26" t="str">
        <f>IFERROR(__xludf.DUMMYFUNCTION("""COMPUTED_VALUE"""),"원")</f>
        <v>원</v>
      </c>
      <c r="N1073" s="26" t="str">
        <f>IFERROR(__xludf.DUMMYFUNCTION("ARRAYFORMULA(REGEXEXTRACT(SPLIT(E1073, ""&lt;br&gt;""), ""([가-힣A-Za-z]+)""))"),"신형만")</f>
        <v>신형만</v>
      </c>
      <c r="O1073" s="26" t="str">
        <f>IFERROR(__xludf.DUMMYFUNCTION("""COMPUTED_VALUE"""),"깡패")</f>
        <v>깡패</v>
      </c>
      <c r="P1073" s="26" t="str">
        <f>IFERROR(__xludf.DUMMYFUNCTION("""COMPUTED_VALUE"""),"ACDC")</f>
        <v>ACDC</v>
      </c>
      <c r="Q1073" s="26" t="str">
        <f>IFERROR(__xludf.DUMMYFUNCTION("""COMPUTED_VALUE"""),"한메")</f>
        <v>한메</v>
      </c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</row>
    <row r="1074">
      <c r="A1074" s="27" t="s">
        <v>4550</v>
      </c>
      <c r="B1074" s="28" t="s">
        <v>4551</v>
      </c>
      <c r="C1074" s="27" t="s">
        <v>4552</v>
      </c>
      <c r="D1074" s="27">
        <v>5.0</v>
      </c>
      <c r="E1074" s="27" t="s">
        <v>4553</v>
      </c>
      <c r="F1074" s="27">
        <v>2.0</v>
      </c>
      <c r="G1074" s="29">
        <v>45664.94930555556</v>
      </c>
      <c r="H1074" s="27" t="s">
        <v>4257</v>
      </c>
      <c r="I1074" s="18"/>
      <c r="J1074" s="25" t="str">
        <f>IFERROR(__xludf.DUMMYFUNCTION("ARRAYFORMULA(REGEXEXTRACT(SPLIT(C1074, ""&lt;br&gt;""), ""([가-힣A-Za-z]+)""))"),"재우")</f>
        <v>재우</v>
      </c>
      <c r="K1074" s="26" t="str">
        <f>IFERROR(__xludf.DUMMYFUNCTION("""COMPUTED_VALUE"""),"원")</f>
        <v>원</v>
      </c>
      <c r="L1074" s="26" t="str">
        <f>IFERROR(__xludf.DUMMYFUNCTION("""COMPUTED_VALUE"""),"한메")</f>
        <v>한메</v>
      </c>
      <c r="M1074" s="26" t="str">
        <f>IFERROR(__xludf.DUMMYFUNCTION("""COMPUTED_VALUE"""),"ACDC")</f>
        <v>ACDC</v>
      </c>
      <c r="N1074" s="26" t="str">
        <f>IFERROR(__xludf.DUMMYFUNCTION("ARRAYFORMULA(REGEXEXTRACT(SPLIT(E1074, ""&lt;br&gt;""), ""([가-힣A-Za-z]+)""))"),"신형만")</f>
        <v>신형만</v>
      </c>
      <c r="O1074" s="26" t="str">
        <f>IFERROR(__xludf.DUMMYFUNCTION("""COMPUTED_VALUE"""),"재명")</f>
        <v>재명</v>
      </c>
      <c r="P1074" s="26" t="str">
        <f>IFERROR(__xludf.DUMMYFUNCTION("""COMPUTED_VALUE"""),"유망")</f>
        <v>유망</v>
      </c>
      <c r="Q1074" s="26" t="str">
        <f>IFERROR(__xludf.DUMMYFUNCTION("""COMPUTED_VALUE"""),"깡패")</f>
        <v>깡패</v>
      </c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</row>
    <row r="1075">
      <c r="A1075" s="27" t="s">
        <v>4554</v>
      </c>
      <c r="B1075" s="28" t="s">
        <v>4555</v>
      </c>
      <c r="C1075" s="27" t="s">
        <v>4556</v>
      </c>
      <c r="D1075" s="27">
        <v>5.0</v>
      </c>
      <c r="E1075" s="27" t="s">
        <v>4557</v>
      </c>
      <c r="F1075" s="27">
        <v>1.0</v>
      </c>
      <c r="G1075" s="29">
        <v>45664.92638888889</v>
      </c>
      <c r="H1075" s="27" t="s">
        <v>4257</v>
      </c>
      <c r="I1075" s="18"/>
      <c r="J1075" s="25" t="str">
        <f>IFERROR(__xludf.DUMMYFUNCTION("ARRAYFORMULA(REGEXEXTRACT(SPLIT(C1075, ""&lt;br&gt;""), ""([가-힣A-Za-z]+)""))"),"유망")</f>
        <v>유망</v>
      </c>
      <c r="K1075" s="26" t="str">
        <f>IFERROR(__xludf.DUMMYFUNCTION("""COMPUTED_VALUE"""),"원")</f>
        <v>원</v>
      </c>
      <c r="L1075" s="26" t="str">
        <f>IFERROR(__xludf.DUMMYFUNCTION("""COMPUTED_VALUE"""),"신형만")</f>
        <v>신형만</v>
      </c>
      <c r="M1075" s="26" t="str">
        <f>IFERROR(__xludf.DUMMYFUNCTION("""COMPUTED_VALUE"""),"한메")</f>
        <v>한메</v>
      </c>
      <c r="N1075" s="26" t="str">
        <f>IFERROR(__xludf.DUMMYFUNCTION("ARRAYFORMULA(REGEXEXTRACT(SPLIT(E1075, ""&lt;br&gt;""), ""([가-힣A-Za-z]+)""))"),"재우")</f>
        <v>재우</v>
      </c>
      <c r="O1075" s="26" t="str">
        <f>IFERROR(__xludf.DUMMYFUNCTION("""COMPUTED_VALUE"""),"깡패")</f>
        <v>깡패</v>
      </c>
      <c r="P1075" s="26" t="str">
        <f>IFERROR(__xludf.DUMMYFUNCTION("""COMPUTED_VALUE"""),"재명")</f>
        <v>재명</v>
      </c>
      <c r="Q1075" s="26" t="str">
        <f>IFERROR(__xludf.DUMMYFUNCTION("""COMPUTED_VALUE"""),"ACDC")</f>
        <v>ACDC</v>
      </c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</row>
    <row r="1076">
      <c r="A1076" s="27" t="s">
        <v>4558</v>
      </c>
      <c r="B1076" s="28" t="s">
        <v>4559</v>
      </c>
      <c r="C1076" s="27" t="s">
        <v>4560</v>
      </c>
      <c r="D1076" s="27">
        <v>5.0</v>
      </c>
      <c r="E1076" s="27" t="s">
        <v>4561</v>
      </c>
      <c r="F1076" s="27">
        <v>3.0</v>
      </c>
      <c r="G1076" s="29">
        <v>45664.910416666666</v>
      </c>
      <c r="H1076" s="27" t="s">
        <v>4257</v>
      </c>
      <c r="I1076" s="18"/>
      <c r="J1076" s="25" t="str">
        <f>IFERROR(__xludf.DUMMYFUNCTION("ARRAYFORMULA(REGEXEXTRACT(SPLIT(C1076, ""&lt;br&gt;""), ""([가-힣A-Za-z]+)""))"),"신형만")</f>
        <v>신형만</v>
      </c>
      <c r="K1076" s="26" t="str">
        <f>IFERROR(__xludf.DUMMYFUNCTION("""COMPUTED_VALUE"""),"원")</f>
        <v>원</v>
      </c>
      <c r="L1076" s="26" t="str">
        <f>IFERROR(__xludf.DUMMYFUNCTION("""COMPUTED_VALUE"""),"깡패")</f>
        <v>깡패</v>
      </c>
      <c r="M1076" s="26" t="str">
        <f>IFERROR(__xludf.DUMMYFUNCTION("""COMPUTED_VALUE"""),"ACDC")</f>
        <v>ACDC</v>
      </c>
      <c r="N1076" s="26" t="str">
        <f>IFERROR(__xludf.DUMMYFUNCTION("ARRAYFORMULA(REGEXEXTRACT(SPLIT(E1076, ""&lt;br&gt;""), ""([가-힣A-Za-z]+)""))"),"재우")</f>
        <v>재우</v>
      </c>
      <c r="O1076" s="26" t="str">
        <f>IFERROR(__xludf.DUMMYFUNCTION("""COMPUTED_VALUE"""),"재명")</f>
        <v>재명</v>
      </c>
      <c r="P1076" s="26" t="str">
        <f>IFERROR(__xludf.DUMMYFUNCTION("""COMPUTED_VALUE"""),"테리")</f>
        <v>테리</v>
      </c>
      <c r="Q1076" s="26" t="str">
        <f>IFERROR(__xludf.DUMMYFUNCTION("""COMPUTED_VALUE"""),"한메")</f>
        <v>한메</v>
      </c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</row>
    <row r="1077">
      <c r="A1077" s="27" t="s">
        <v>4562</v>
      </c>
      <c r="B1077" s="28" t="s">
        <v>4563</v>
      </c>
      <c r="C1077" s="27" t="s">
        <v>4564</v>
      </c>
      <c r="D1077" s="27">
        <v>5.0</v>
      </c>
      <c r="E1077" s="27" t="s">
        <v>4565</v>
      </c>
      <c r="F1077" s="27">
        <v>4.0</v>
      </c>
      <c r="G1077" s="29">
        <v>45663.989583333336</v>
      </c>
      <c r="H1077" s="27" t="s">
        <v>4257</v>
      </c>
      <c r="I1077" s="18"/>
      <c r="J1077" s="25" t="str">
        <f>IFERROR(__xludf.DUMMYFUNCTION("ARRAYFORMULA(REGEXEXTRACT(SPLIT(C1077, ""&lt;br&gt;""), ""([가-힣A-Za-z]+)""))"),"원")</f>
        <v>원</v>
      </c>
      <c r="K1077" s="26" t="str">
        <f>IFERROR(__xludf.DUMMYFUNCTION("""COMPUTED_VALUE"""),"신형만")</f>
        <v>신형만</v>
      </c>
      <c r="L1077" s="26" t="str">
        <f>IFERROR(__xludf.DUMMYFUNCTION("""COMPUTED_VALUE"""),"ACDC")</f>
        <v>ACDC</v>
      </c>
      <c r="M1077" s="26" t="str">
        <f>IFERROR(__xludf.DUMMYFUNCTION("""COMPUTED_VALUE"""),"참치")</f>
        <v>참치</v>
      </c>
      <c r="N1077" s="26" t="str">
        <f>IFERROR(__xludf.DUMMYFUNCTION("ARRAYFORMULA(REGEXEXTRACT(SPLIT(E1077, ""&lt;br&gt;""), ""([가-힣A-Za-z]+)""))"),"유망")</f>
        <v>유망</v>
      </c>
      <c r="O1077" s="26" t="str">
        <f>IFERROR(__xludf.DUMMYFUNCTION("""COMPUTED_VALUE"""),"테리")</f>
        <v>테리</v>
      </c>
      <c r="P1077" s="26" t="str">
        <f>IFERROR(__xludf.DUMMYFUNCTION("""COMPUTED_VALUE"""),"깡패")</f>
        <v>깡패</v>
      </c>
      <c r="Q1077" s="26" t="str">
        <f>IFERROR(__xludf.DUMMYFUNCTION("""COMPUTED_VALUE"""),"노인")</f>
        <v>노인</v>
      </c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</row>
    <row r="1078">
      <c r="A1078" s="27" t="s">
        <v>4566</v>
      </c>
      <c r="B1078" s="28" t="s">
        <v>4567</v>
      </c>
      <c r="C1078" s="27" t="s">
        <v>4568</v>
      </c>
      <c r="D1078" s="27">
        <v>5.0</v>
      </c>
      <c r="E1078" s="27" t="s">
        <v>4569</v>
      </c>
      <c r="F1078" s="27">
        <v>2.0</v>
      </c>
      <c r="G1078" s="29">
        <v>45663.95416666667</v>
      </c>
      <c r="H1078" s="27" t="s">
        <v>4257</v>
      </c>
      <c r="I1078" s="18"/>
      <c r="J1078" s="25" t="str">
        <f>IFERROR(__xludf.DUMMYFUNCTION("ARRAYFORMULA(REGEXEXTRACT(SPLIT(C1078, ""&lt;br&gt;""), ""([가-힣A-Za-z]+)""))"),"깡패")</f>
        <v>깡패</v>
      </c>
      <c r="K1078" s="26" t="str">
        <f>IFERROR(__xludf.DUMMYFUNCTION("""COMPUTED_VALUE"""),"신형만")</f>
        <v>신형만</v>
      </c>
      <c r="L1078" s="26" t="str">
        <f>IFERROR(__xludf.DUMMYFUNCTION("""COMPUTED_VALUE"""),"원")</f>
        <v>원</v>
      </c>
      <c r="M1078" s="26" t="str">
        <f>IFERROR(__xludf.DUMMYFUNCTION("""COMPUTED_VALUE"""),"한메")</f>
        <v>한메</v>
      </c>
      <c r="N1078" s="26" t="str">
        <f>IFERROR(__xludf.DUMMYFUNCTION("ARRAYFORMULA(REGEXEXTRACT(SPLIT(E1078, ""&lt;br&gt;""), ""([가-힣A-Za-z]+)""))"),"노인")</f>
        <v>노인</v>
      </c>
      <c r="O1078" s="26" t="str">
        <f>IFERROR(__xludf.DUMMYFUNCTION("""COMPUTED_VALUE"""),"참치")</f>
        <v>참치</v>
      </c>
      <c r="P1078" s="26" t="str">
        <f>IFERROR(__xludf.DUMMYFUNCTION("""COMPUTED_VALUE"""),"유망")</f>
        <v>유망</v>
      </c>
      <c r="Q1078" s="26" t="str">
        <f>IFERROR(__xludf.DUMMYFUNCTION("""COMPUTED_VALUE"""),"ACDC")</f>
        <v>ACDC</v>
      </c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</row>
    <row r="1079">
      <c r="A1079" s="27" t="s">
        <v>4570</v>
      </c>
      <c r="B1079" s="28" t="s">
        <v>4571</v>
      </c>
      <c r="C1079" s="27" t="s">
        <v>4572</v>
      </c>
      <c r="D1079" s="27">
        <v>5.0</v>
      </c>
      <c r="E1079" s="27" t="s">
        <v>4573</v>
      </c>
      <c r="F1079" s="27">
        <v>1.0</v>
      </c>
      <c r="G1079" s="29">
        <v>45663.930555555555</v>
      </c>
      <c r="H1079" s="27" t="s">
        <v>4257</v>
      </c>
      <c r="I1079" s="18"/>
      <c r="J1079" s="25" t="str">
        <f>IFERROR(__xludf.DUMMYFUNCTION("ARRAYFORMULA(REGEXEXTRACT(SPLIT(C1079, ""&lt;br&gt;""), ""([가-힣A-Za-z]+)""))"),"깡패")</f>
        <v>깡패</v>
      </c>
      <c r="K1079" s="26" t="str">
        <f>IFERROR(__xludf.DUMMYFUNCTION("""COMPUTED_VALUE"""),"노인")</f>
        <v>노인</v>
      </c>
      <c r="L1079" s="26" t="str">
        <f>IFERROR(__xludf.DUMMYFUNCTION("""COMPUTED_VALUE"""),"유망")</f>
        <v>유망</v>
      </c>
      <c r="M1079" s="26" t="str">
        <f>IFERROR(__xludf.DUMMYFUNCTION("""COMPUTED_VALUE"""),"원")</f>
        <v>원</v>
      </c>
      <c r="N1079" s="26" t="str">
        <f>IFERROR(__xludf.DUMMYFUNCTION("ARRAYFORMULA(REGEXEXTRACT(SPLIT(E1079, ""&lt;br&gt;""), ""([가-힣A-Za-z]+)""))"),"참치")</f>
        <v>참치</v>
      </c>
      <c r="O1079" s="26" t="str">
        <f>IFERROR(__xludf.DUMMYFUNCTION("""COMPUTED_VALUE"""),"테리")</f>
        <v>테리</v>
      </c>
      <c r="P1079" s="26" t="str">
        <f>IFERROR(__xludf.DUMMYFUNCTION("""COMPUTED_VALUE"""),"한메")</f>
        <v>한메</v>
      </c>
      <c r="Q1079" s="26" t="str">
        <f>IFERROR(__xludf.DUMMYFUNCTION("""COMPUTED_VALUE"""),"신형만")</f>
        <v>신형만</v>
      </c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</row>
    <row r="1080">
      <c r="A1080" s="27" t="s">
        <v>4574</v>
      </c>
      <c r="B1080" s="28" t="s">
        <v>4575</v>
      </c>
      <c r="C1080" s="27" t="s">
        <v>4576</v>
      </c>
      <c r="D1080" s="27">
        <v>5.0</v>
      </c>
      <c r="E1080" s="27" t="s">
        <v>4577</v>
      </c>
      <c r="F1080" s="27">
        <v>2.0</v>
      </c>
      <c r="G1080" s="29">
        <v>45663.90833333333</v>
      </c>
      <c r="H1080" s="27" t="s">
        <v>4257</v>
      </c>
      <c r="I1080" s="18"/>
      <c r="J1080" s="25" t="str">
        <f>IFERROR(__xludf.DUMMYFUNCTION("ARRAYFORMULA(REGEXEXTRACT(SPLIT(C1080, ""&lt;br&gt;""), ""([가-힣A-Za-z]+)""))"),"참치")</f>
        <v>참치</v>
      </c>
      <c r="K1080" s="26" t="str">
        <f>IFERROR(__xludf.DUMMYFUNCTION("""COMPUTED_VALUE"""),"깡패")</f>
        <v>깡패</v>
      </c>
      <c r="L1080" s="26" t="str">
        <f>IFERROR(__xludf.DUMMYFUNCTION("""COMPUTED_VALUE"""),"테리")</f>
        <v>테리</v>
      </c>
      <c r="M1080" s="26" t="str">
        <f>IFERROR(__xludf.DUMMYFUNCTION("""COMPUTED_VALUE"""),"원")</f>
        <v>원</v>
      </c>
      <c r="N1080" s="26" t="str">
        <f>IFERROR(__xludf.DUMMYFUNCTION("ARRAYFORMULA(REGEXEXTRACT(SPLIT(E1080, ""&lt;br&gt;""), ""([가-힣A-Za-z]+)""))"),"한메")</f>
        <v>한메</v>
      </c>
      <c r="O1080" s="26" t="str">
        <f>IFERROR(__xludf.DUMMYFUNCTION("""COMPUTED_VALUE"""),"노인")</f>
        <v>노인</v>
      </c>
      <c r="P1080" s="26" t="str">
        <f>IFERROR(__xludf.DUMMYFUNCTION("""COMPUTED_VALUE"""),"신형만")</f>
        <v>신형만</v>
      </c>
      <c r="Q1080" s="26" t="str">
        <f>IFERROR(__xludf.DUMMYFUNCTION("""COMPUTED_VALUE"""),"하리보")</f>
        <v>하리보</v>
      </c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</row>
    <row r="1081">
      <c r="A1081" s="27" t="s">
        <v>4578</v>
      </c>
      <c r="B1081" s="28" t="s">
        <v>4579</v>
      </c>
      <c r="C1081" s="27" t="s">
        <v>4580</v>
      </c>
      <c r="D1081" s="27">
        <v>5.0</v>
      </c>
      <c r="E1081" s="27" t="s">
        <v>4581</v>
      </c>
      <c r="F1081" s="27">
        <v>0.0</v>
      </c>
      <c r="G1081" s="29">
        <v>45663.881944444445</v>
      </c>
      <c r="H1081" s="27" t="s">
        <v>4257</v>
      </c>
      <c r="I1081" s="18"/>
      <c r="J1081" s="25" t="str">
        <f>IFERROR(__xludf.DUMMYFUNCTION("ARRAYFORMULA(REGEXEXTRACT(SPLIT(C1081, ""&lt;br&gt;""), ""([가-힣A-Za-z]+)""))"),"신형만")</f>
        <v>신형만</v>
      </c>
      <c r="K1081" s="26" t="str">
        <f>IFERROR(__xludf.DUMMYFUNCTION("""COMPUTED_VALUE"""),"원")</f>
        <v>원</v>
      </c>
      <c r="L1081" s="26" t="str">
        <f>IFERROR(__xludf.DUMMYFUNCTION("""COMPUTED_VALUE"""),"테리")</f>
        <v>테리</v>
      </c>
      <c r="M1081" s="26" t="str">
        <f>IFERROR(__xludf.DUMMYFUNCTION("""COMPUTED_VALUE"""),"한메")</f>
        <v>한메</v>
      </c>
      <c r="N1081" s="26" t="str">
        <f>IFERROR(__xludf.DUMMYFUNCTION("ARRAYFORMULA(REGEXEXTRACT(SPLIT(E1081, ""&lt;br&gt;""), ""([가-힣A-Za-z]+)""))"),"하리보")</f>
        <v>하리보</v>
      </c>
      <c r="O1081" s="26" t="str">
        <f>IFERROR(__xludf.DUMMYFUNCTION("""COMPUTED_VALUE"""),"노인")</f>
        <v>노인</v>
      </c>
      <c r="P1081" s="26" t="str">
        <f>IFERROR(__xludf.DUMMYFUNCTION("""COMPUTED_VALUE"""),"참치")</f>
        <v>참치</v>
      </c>
      <c r="Q1081" s="26" t="str">
        <f>IFERROR(__xludf.DUMMYFUNCTION("""COMPUTED_VALUE"""),"깡패")</f>
        <v>깡패</v>
      </c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</row>
    <row r="1082">
      <c r="A1082" s="27" t="s">
        <v>4582</v>
      </c>
      <c r="B1082" s="28" t="s">
        <v>4583</v>
      </c>
      <c r="C1082" s="27" t="s">
        <v>4584</v>
      </c>
      <c r="D1082" s="27">
        <v>5.0</v>
      </c>
      <c r="E1082" s="27" t="s">
        <v>4585</v>
      </c>
      <c r="F1082" s="27">
        <v>1.0</v>
      </c>
      <c r="G1082" s="29">
        <v>45663.035416666666</v>
      </c>
      <c r="H1082" s="27" t="s">
        <v>4257</v>
      </c>
      <c r="I1082" s="18"/>
      <c r="J1082" s="25" t="str">
        <f>IFERROR(__xludf.DUMMYFUNCTION("ARRAYFORMULA(REGEXEXTRACT(SPLIT(C1082, ""&lt;br&gt;""), ""([가-힣A-Za-z]+)""))"),"신형만")</f>
        <v>신형만</v>
      </c>
      <c r="K1082" s="26" t="str">
        <f>IFERROR(__xludf.DUMMYFUNCTION("""COMPUTED_VALUE"""),"테리")</f>
        <v>테리</v>
      </c>
      <c r="L1082" s="26" t="str">
        <f>IFERROR(__xludf.DUMMYFUNCTION("""COMPUTED_VALUE"""),"노인")</f>
        <v>노인</v>
      </c>
      <c r="M1082" s="26" t="str">
        <f>IFERROR(__xludf.DUMMYFUNCTION("""COMPUTED_VALUE"""),"깡패")</f>
        <v>깡패</v>
      </c>
      <c r="N1082" s="26" t="str">
        <f>IFERROR(__xludf.DUMMYFUNCTION("ARRAYFORMULA(REGEXEXTRACT(SPLIT(E1082, ""&lt;br&gt;""), ""([가-힣A-Za-z]+)""))"),"참치")</f>
        <v>참치</v>
      </c>
      <c r="O1082" s="26" t="str">
        <f>IFERROR(__xludf.DUMMYFUNCTION("""COMPUTED_VALUE"""),"재우")</f>
        <v>재우</v>
      </c>
      <c r="P1082" s="26" t="str">
        <f>IFERROR(__xludf.DUMMYFUNCTION("""COMPUTED_VALUE"""),"짱구")</f>
        <v>짱구</v>
      </c>
      <c r="Q1082" s="26" t="str">
        <f>IFERROR(__xludf.DUMMYFUNCTION("""COMPUTED_VALUE"""),"ACDC")</f>
        <v>ACDC</v>
      </c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</row>
    <row r="1083">
      <c r="A1083" s="27" t="s">
        <v>4586</v>
      </c>
      <c r="B1083" s="28" t="s">
        <v>4587</v>
      </c>
      <c r="C1083" s="27" t="s">
        <v>4588</v>
      </c>
      <c r="D1083" s="27">
        <v>5.0</v>
      </c>
      <c r="E1083" s="27" t="s">
        <v>4589</v>
      </c>
      <c r="F1083" s="27">
        <v>4.0</v>
      </c>
      <c r="G1083" s="29">
        <v>45663.013194444444</v>
      </c>
      <c r="H1083" s="27" t="s">
        <v>4257</v>
      </c>
      <c r="I1083" s="18"/>
      <c r="J1083" s="25" t="str">
        <f>IFERROR(__xludf.DUMMYFUNCTION("ARRAYFORMULA(REGEXEXTRACT(SPLIT(C1083, ""&lt;br&gt;""), ""([가-힣A-Za-z]+)""))"),"짱구")</f>
        <v>짱구</v>
      </c>
      <c r="K1083" s="26" t="str">
        <f>IFERROR(__xludf.DUMMYFUNCTION("""COMPUTED_VALUE"""),"태식")</f>
        <v>태식</v>
      </c>
      <c r="L1083" s="26" t="str">
        <f>IFERROR(__xludf.DUMMYFUNCTION("""COMPUTED_VALUE"""),"원")</f>
        <v>원</v>
      </c>
      <c r="M1083" s="26" t="str">
        <f>IFERROR(__xludf.DUMMYFUNCTION("""COMPUTED_VALUE"""),"신형만")</f>
        <v>신형만</v>
      </c>
      <c r="N1083" s="26" t="str">
        <f>IFERROR(__xludf.DUMMYFUNCTION("ARRAYFORMULA(REGEXEXTRACT(SPLIT(E1083, ""&lt;br&gt;""), ""([가-힣A-Za-z]+)""))"),"재우")</f>
        <v>재우</v>
      </c>
      <c r="O1083" s="26" t="str">
        <f>IFERROR(__xludf.DUMMYFUNCTION("""COMPUTED_VALUE"""),"테리")</f>
        <v>테리</v>
      </c>
      <c r="P1083" s="26" t="str">
        <f>IFERROR(__xludf.DUMMYFUNCTION("""COMPUTED_VALUE"""),"깡패")</f>
        <v>깡패</v>
      </c>
      <c r="Q1083" s="26" t="str">
        <f>IFERROR(__xludf.DUMMYFUNCTION("""COMPUTED_VALUE"""),"노인")</f>
        <v>노인</v>
      </c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</row>
    <row r="1084">
      <c r="A1084" s="27" t="s">
        <v>4590</v>
      </c>
      <c r="B1084" s="28" t="s">
        <v>4591</v>
      </c>
      <c r="C1084" s="27" t="s">
        <v>4592</v>
      </c>
      <c r="D1084" s="27">
        <v>5.0</v>
      </c>
      <c r="E1084" s="27" t="s">
        <v>4593</v>
      </c>
      <c r="F1084" s="27">
        <v>0.0</v>
      </c>
      <c r="G1084" s="29">
        <v>45662.98611111111</v>
      </c>
      <c r="H1084" s="27" t="s">
        <v>4257</v>
      </c>
      <c r="I1084" s="18"/>
      <c r="J1084" s="25" t="str">
        <f>IFERROR(__xludf.DUMMYFUNCTION("ARRAYFORMULA(REGEXEXTRACT(SPLIT(C1084, ""&lt;br&gt;""), ""([가-힣A-Za-z]+)""))"),"신형만")</f>
        <v>신형만</v>
      </c>
      <c r="K1084" s="26" t="str">
        <f>IFERROR(__xludf.DUMMYFUNCTION("""COMPUTED_VALUE"""),"테리")</f>
        <v>테리</v>
      </c>
      <c r="L1084" s="26" t="str">
        <f>IFERROR(__xludf.DUMMYFUNCTION("""COMPUTED_VALUE"""),"깡패")</f>
        <v>깡패</v>
      </c>
      <c r="M1084" s="26" t="str">
        <f>IFERROR(__xludf.DUMMYFUNCTION("""COMPUTED_VALUE"""),"원")</f>
        <v>원</v>
      </c>
      <c r="N1084" s="26" t="str">
        <f>IFERROR(__xludf.DUMMYFUNCTION("ARRAYFORMULA(REGEXEXTRACT(SPLIT(E1084, ""&lt;br&gt;""), ""([가-힣A-Za-z]+)""))"),"태식")</f>
        <v>태식</v>
      </c>
      <c r="O1084" s="26" t="str">
        <f>IFERROR(__xludf.DUMMYFUNCTION("""COMPUTED_VALUE"""),"짱구")</f>
        <v>짱구</v>
      </c>
      <c r="P1084" s="26" t="str">
        <f>IFERROR(__xludf.DUMMYFUNCTION("""COMPUTED_VALUE"""),"노인")</f>
        <v>노인</v>
      </c>
      <c r="Q1084" s="26" t="str">
        <f>IFERROR(__xludf.DUMMYFUNCTION("""COMPUTED_VALUE"""),"재우")</f>
        <v>재우</v>
      </c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</row>
    <row r="1085">
      <c r="A1085" s="27" t="s">
        <v>4594</v>
      </c>
      <c r="B1085" s="28" t="s">
        <v>4595</v>
      </c>
      <c r="C1085" s="27" t="s">
        <v>4596</v>
      </c>
      <c r="D1085" s="27">
        <v>5.0</v>
      </c>
      <c r="E1085" s="27" t="s">
        <v>4597</v>
      </c>
      <c r="F1085" s="27">
        <v>4.0</v>
      </c>
      <c r="G1085" s="29">
        <v>45662.96944444445</v>
      </c>
      <c r="H1085" s="27" t="s">
        <v>4257</v>
      </c>
      <c r="I1085" s="18"/>
      <c r="J1085" s="25" t="str">
        <f>IFERROR(__xludf.DUMMYFUNCTION("ARRAYFORMULA(REGEXEXTRACT(SPLIT(C1085, ""&lt;br&gt;""), ""([가-힣A-Za-z]+)""))"),"원")</f>
        <v>원</v>
      </c>
      <c r="K1085" s="26" t="str">
        <f>IFERROR(__xludf.DUMMYFUNCTION("""COMPUTED_VALUE"""),"짱구")</f>
        <v>짱구</v>
      </c>
      <c r="L1085" s="26" t="str">
        <f>IFERROR(__xludf.DUMMYFUNCTION("""COMPUTED_VALUE"""),"태식")</f>
        <v>태식</v>
      </c>
      <c r="M1085" s="26" t="str">
        <f>IFERROR(__xludf.DUMMYFUNCTION("""COMPUTED_VALUE"""),"깡패")</f>
        <v>깡패</v>
      </c>
      <c r="N1085" s="26" t="str">
        <f>IFERROR(__xludf.DUMMYFUNCTION("ARRAYFORMULA(REGEXEXTRACT(SPLIT(E1085, ""&lt;br&gt;""), ""([가-힣A-Za-z]+)""))"),"신형만")</f>
        <v>신형만</v>
      </c>
      <c r="O1085" s="26" t="str">
        <f>IFERROR(__xludf.DUMMYFUNCTION("""COMPUTED_VALUE"""),"테리")</f>
        <v>테리</v>
      </c>
      <c r="P1085" s="26" t="str">
        <f>IFERROR(__xludf.DUMMYFUNCTION("""COMPUTED_VALUE"""),"노인")</f>
        <v>노인</v>
      </c>
      <c r="Q1085" s="26" t="str">
        <f>IFERROR(__xludf.DUMMYFUNCTION("""COMPUTED_VALUE"""),"강화")</f>
        <v>강화</v>
      </c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</row>
    <row r="1086">
      <c r="A1086" s="27" t="s">
        <v>4598</v>
      </c>
      <c r="B1086" s="28" t="s">
        <v>4599</v>
      </c>
      <c r="C1086" s="27" t="s">
        <v>4600</v>
      </c>
      <c r="D1086" s="27">
        <v>5.0</v>
      </c>
      <c r="E1086" s="27" t="s">
        <v>4601</v>
      </c>
      <c r="F1086" s="27">
        <v>2.0</v>
      </c>
      <c r="G1086" s="29">
        <v>45662.9375</v>
      </c>
      <c r="H1086" s="27" t="s">
        <v>4257</v>
      </c>
      <c r="I1086" s="18"/>
      <c r="J1086" s="25" t="str">
        <f>IFERROR(__xludf.DUMMYFUNCTION("ARRAYFORMULA(REGEXEXTRACT(SPLIT(C1086, ""&lt;br&gt;""), ""([가-힣A-Za-z]+)""))"),"테리")</f>
        <v>테리</v>
      </c>
      <c r="K1086" s="26" t="str">
        <f>IFERROR(__xludf.DUMMYFUNCTION("""COMPUTED_VALUE"""),"원")</f>
        <v>원</v>
      </c>
      <c r="L1086" s="26" t="str">
        <f>IFERROR(__xludf.DUMMYFUNCTION("""COMPUTED_VALUE"""),"깡패")</f>
        <v>깡패</v>
      </c>
      <c r="M1086" s="26" t="str">
        <f>IFERROR(__xludf.DUMMYFUNCTION("""COMPUTED_VALUE"""),"노인")</f>
        <v>노인</v>
      </c>
      <c r="N1086" s="26" t="str">
        <f>IFERROR(__xludf.DUMMYFUNCTION("ARRAYFORMULA(REGEXEXTRACT(SPLIT(E1086, ""&lt;br&gt;""), ""([가-힣A-Za-z]+)""))"),"태식")</f>
        <v>태식</v>
      </c>
      <c r="O1086" s="26" t="str">
        <f>IFERROR(__xludf.DUMMYFUNCTION("""COMPUTED_VALUE"""),"신형만")</f>
        <v>신형만</v>
      </c>
      <c r="P1086" s="26" t="str">
        <f>IFERROR(__xludf.DUMMYFUNCTION("""COMPUTED_VALUE"""),"짱구")</f>
        <v>짱구</v>
      </c>
      <c r="Q1086" s="26" t="str">
        <f>IFERROR(__xludf.DUMMYFUNCTION("""COMPUTED_VALUE"""),"강화")</f>
        <v>강화</v>
      </c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</row>
    <row r="1087">
      <c r="A1087" s="27" t="s">
        <v>4602</v>
      </c>
      <c r="B1087" s="28" t="s">
        <v>4603</v>
      </c>
      <c r="C1087" s="27" t="s">
        <v>4604</v>
      </c>
      <c r="D1087" s="27">
        <v>5.0</v>
      </c>
      <c r="E1087" s="27" t="s">
        <v>4605</v>
      </c>
      <c r="F1087" s="27">
        <v>1.0</v>
      </c>
      <c r="G1087" s="29">
        <v>45662.91527777778</v>
      </c>
      <c r="H1087" s="27" t="s">
        <v>4257</v>
      </c>
      <c r="I1087" s="18"/>
      <c r="J1087" s="25" t="str">
        <f>IFERROR(__xludf.DUMMYFUNCTION("ARRAYFORMULA(REGEXEXTRACT(SPLIT(C1087, ""&lt;br&gt;""), ""([가-힣A-Za-z]+)""))"),"깡패")</f>
        <v>깡패</v>
      </c>
      <c r="K1087" s="26" t="str">
        <f>IFERROR(__xludf.DUMMYFUNCTION("""COMPUTED_VALUE"""),"신형만")</f>
        <v>신형만</v>
      </c>
      <c r="L1087" s="26" t="str">
        <f>IFERROR(__xludf.DUMMYFUNCTION("""COMPUTED_VALUE"""),"테리")</f>
        <v>테리</v>
      </c>
      <c r="M1087" s="26" t="str">
        <f>IFERROR(__xludf.DUMMYFUNCTION("""COMPUTED_VALUE"""),"강화")</f>
        <v>강화</v>
      </c>
      <c r="N1087" s="26" t="str">
        <f>IFERROR(__xludf.DUMMYFUNCTION("ARRAYFORMULA(REGEXEXTRACT(SPLIT(E1087, ""&lt;br&gt;""), ""([가-힣A-Za-z]+)""))"),"태식")</f>
        <v>태식</v>
      </c>
      <c r="O1087" s="26" t="str">
        <f>IFERROR(__xludf.DUMMYFUNCTION("""COMPUTED_VALUE"""),"짱구")</f>
        <v>짱구</v>
      </c>
      <c r="P1087" s="26" t="str">
        <f>IFERROR(__xludf.DUMMYFUNCTION("""COMPUTED_VALUE"""),"원")</f>
        <v>원</v>
      </c>
      <c r="Q1087" s="26" t="str">
        <f>IFERROR(__xludf.DUMMYFUNCTION("""COMPUTED_VALUE"""),"노인")</f>
        <v>노인</v>
      </c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</row>
    <row r="1088">
      <c r="A1088" s="27" t="s">
        <v>4606</v>
      </c>
      <c r="B1088" s="28" t="s">
        <v>4607</v>
      </c>
      <c r="C1088" s="27" t="s">
        <v>4608</v>
      </c>
      <c r="D1088" s="27">
        <v>5.0</v>
      </c>
      <c r="E1088" s="27" t="s">
        <v>4609</v>
      </c>
      <c r="F1088" s="27">
        <v>0.0</v>
      </c>
      <c r="G1088" s="29">
        <v>45662.893055555556</v>
      </c>
      <c r="H1088" s="27" t="s">
        <v>4257</v>
      </c>
      <c r="I1088" s="18"/>
      <c r="J1088" s="25" t="str">
        <f>IFERROR(__xludf.DUMMYFUNCTION("ARRAYFORMULA(REGEXEXTRACT(SPLIT(C1088, ""&lt;br&gt;""), ""([가-힣A-Za-z]+)""))"),"강화")</f>
        <v>강화</v>
      </c>
      <c r="K1088" s="26" t="str">
        <f>IFERROR(__xludf.DUMMYFUNCTION("""COMPUTED_VALUE"""),"깡패")</f>
        <v>깡패</v>
      </c>
      <c r="L1088" s="26" t="str">
        <f>IFERROR(__xludf.DUMMYFUNCTION("""COMPUTED_VALUE"""),"짱구")</f>
        <v>짱구</v>
      </c>
      <c r="M1088" s="26" t="str">
        <f>IFERROR(__xludf.DUMMYFUNCTION("""COMPUTED_VALUE"""),"원")</f>
        <v>원</v>
      </c>
      <c r="N1088" s="26" t="str">
        <f>IFERROR(__xludf.DUMMYFUNCTION("ARRAYFORMULA(REGEXEXTRACT(SPLIT(E1088, ""&lt;br&gt;""), ""([가-힣A-Za-z]+)""))"),"노인")</f>
        <v>노인</v>
      </c>
      <c r="O1088" s="26" t="str">
        <f>IFERROR(__xludf.DUMMYFUNCTION("""COMPUTED_VALUE"""),"테리")</f>
        <v>테리</v>
      </c>
      <c r="P1088" s="26" t="str">
        <f>IFERROR(__xludf.DUMMYFUNCTION("""COMPUTED_VALUE"""),"신형만")</f>
        <v>신형만</v>
      </c>
      <c r="Q1088" s="26" t="str">
        <f>IFERROR(__xludf.DUMMYFUNCTION("""COMPUTED_VALUE"""),"태식")</f>
        <v>태식</v>
      </c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</row>
    <row r="1089">
      <c r="A1089" s="27" t="s">
        <v>4610</v>
      </c>
      <c r="B1089" s="28" t="s">
        <v>4611</v>
      </c>
      <c r="C1089" s="27" t="s">
        <v>4612</v>
      </c>
      <c r="D1089" s="27">
        <v>5.0</v>
      </c>
      <c r="E1089" s="27" t="s">
        <v>4613</v>
      </c>
      <c r="F1089" s="27">
        <v>2.0</v>
      </c>
      <c r="G1089" s="29">
        <v>45661.08472222222</v>
      </c>
      <c r="H1089" s="27" t="s">
        <v>4257</v>
      </c>
      <c r="I1089" s="18"/>
      <c r="J1089" s="25" t="str">
        <f>IFERROR(__xludf.DUMMYFUNCTION("ARRAYFORMULA(REGEXEXTRACT(SPLIT(C1089, ""&lt;br&gt;""), ""([가-힣A-Za-z]+)""))"),"원")</f>
        <v>원</v>
      </c>
      <c r="K1089" s="26" t="str">
        <f>IFERROR(__xludf.DUMMYFUNCTION("""COMPUTED_VALUE"""),"짱구")</f>
        <v>짱구</v>
      </c>
      <c r="L1089" s="26" t="str">
        <f>IFERROR(__xludf.DUMMYFUNCTION("""COMPUTED_VALUE"""),"신형만")</f>
        <v>신형만</v>
      </c>
      <c r="M1089" s="26" t="str">
        <f>IFERROR(__xludf.DUMMYFUNCTION("""COMPUTED_VALUE"""),"재우")</f>
        <v>재우</v>
      </c>
      <c r="N1089" s="26" t="str">
        <f>IFERROR(__xludf.DUMMYFUNCTION("ARRAYFORMULA(REGEXEXTRACT(SPLIT(E1089, ""&lt;br&gt;""), ""([가-힣A-Za-z]+)""))"),"태식")</f>
        <v>태식</v>
      </c>
      <c r="O1089" s="26" t="str">
        <f>IFERROR(__xludf.DUMMYFUNCTION("""COMPUTED_VALUE"""),"테리")</f>
        <v>테리</v>
      </c>
      <c r="P1089" s="26" t="str">
        <f>IFERROR(__xludf.DUMMYFUNCTION("""COMPUTED_VALUE"""),"참치")</f>
        <v>참치</v>
      </c>
      <c r="Q1089" s="26" t="str">
        <f>IFERROR(__xludf.DUMMYFUNCTION("""COMPUTED_VALUE"""),"깡패")</f>
        <v>깡패</v>
      </c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</row>
    <row r="1090">
      <c r="A1090" s="27" t="s">
        <v>4614</v>
      </c>
      <c r="B1090" s="28" t="s">
        <v>4615</v>
      </c>
      <c r="C1090" s="27" t="s">
        <v>4616</v>
      </c>
      <c r="D1090" s="27">
        <v>5.0</v>
      </c>
      <c r="E1090" s="27" t="s">
        <v>4617</v>
      </c>
      <c r="F1090" s="27">
        <v>0.0</v>
      </c>
      <c r="G1090" s="29">
        <v>45661.06805555556</v>
      </c>
      <c r="H1090" s="27" t="s">
        <v>4257</v>
      </c>
      <c r="I1090" s="18"/>
      <c r="J1090" s="25" t="str">
        <f>IFERROR(__xludf.DUMMYFUNCTION("ARRAYFORMULA(REGEXEXTRACT(SPLIT(C1090, ""&lt;br&gt;""), ""([가-힣A-Za-z]+)""))"),"태식")</f>
        <v>태식</v>
      </c>
      <c r="K1090" s="26" t="str">
        <f>IFERROR(__xludf.DUMMYFUNCTION("""COMPUTED_VALUE"""),"원")</f>
        <v>원</v>
      </c>
      <c r="L1090" s="26" t="str">
        <f>IFERROR(__xludf.DUMMYFUNCTION("""COMPUTED_VALUE"""),"참치")</f>
        <v>참치</v>
      </c>
      <c r="M1090" s="26" t="str">
        <f>IFERROR(__xludf.DUMMYFUNCTION("""COMPUTED_VALUE"""),"재우")</f>
        <v>재우</v>
      </c>
      <c r="N1090" s="26" t="str">
        <f>IFERROR(__xludf.DUMMYFUNCTION("ARRAYFORMULA(REGEXEXTRACT(SPLIT(E1090, ""&lt;br&gt;""), ""([가-힣A-Za-z]+)""))"),"짱구")</f>
        <v>짱구</v>
      </c>
      <c r="O1090" s="26" t="str">
        <f>IFERROR(__xludf.DUMMYFUNCTION("""COMPUTED_VALUE"""),"테리")</f>
        <v>테리</v>
      </c>
      <c r="P1090" s="26" t="str">
        <f>IFERROR(__xludf.DUMMYFUNCTION("""COMPUTED_VALUE"""),"신형만")</f>
        <v>신형만</v>
      </c>
      <c r="Q1090" s="26" t="str">
        <f>IFERROR(__xludf.DUMMYFUNCTION("""COMPUTED_VALUE"""),"깡패")</f>
        <v>깡패</v>
      </c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</row>
    <row r="1091">
      <c r="A1091" s="27" t="s">
        <v>4618</v>
      </c>
      <c r="B1091" s="28" t="s">
        <v>4619</v>
      </c>
      <c r="C1091" s="27" t="s">
        <v>4620</v>
      </c>
      <c r="D1091" s="27">
        <v>5.0</v>
      </c>
      <c r="E1091" s="27" t="s">
        <v>4621</v>
      </c>
      <c r="F1091" s="27">
        <v>1.0</v>
      </c>
      <c r="G1091" s="29">
        <v>45661.05</v>
      </c>
      <c r="H1091" s="27" t="s">
        <v>4257</v>
      </c>
      <c r="I1091" s="18"/>
      <c r="J1091" s="25" t="str">
        <f>IFERROR(__xludf.DUMMYFUNCTION("ARRAYFORMULA(REGEXEXTRACT(SPLIT(C1091, ""&lt;br&gt;""), ""([가-힣A-Za-z]+)""))"),"재우")</f>
        <v>재우</v>
      </c>
      <c r="K1091" s="26" t="str">
        <f>IFERROR(__xludf.DUMMYFUNCTION("""COMPUTED_VALUE"""),"짱구")</f>
        <v>짱구</v>
      </c>
      <c r="L1091" s="26" t="str">
        <f>IFERROR(__xludf.DUMMYFUNCTION("""COMPUTED_VALUE"""),"원")</f>
        <v>원</v>
      </c>
      <c r="M1091" s="26" t="str">
        <f>IFERROR(__xludf.DUMMYFUNCTION("""COMPUTED_VALUE"""),"신형만")</f>
        <v>신형만</v>
      </c>
      <c r="N1091" s="26" t="str">
        <f>IFERROR(__xludf.DUMMYFUNCTION("ARRAYFORMULA(REGEXEXTRACT(SPLIT(E1091, ""&lt;br&gt;""), ""([가-힣A-Za-z]+)""))"),"테리")</f>
        <v>테리</v>
      </c>
      <c r="O1091" s="26" t="str">
        <f>IFERROR(__xludf.DUMMYFUNCTION("""COMPUTED_VALUE"""),"참치")</f>
        <v>참치</v>
      </c>
      <c r="P1091" s="26" t="str">
        <f>IFERROR(__xludf.DUMMYFUNCTION("""COMPUTED_VALUE"""),"재명")</f>
        <v>재명</v>
      </c>
      <c r="Q1091" s="26" t="str">
        <f>IFERROR(__xludf.DUMMYFUNCTION("""COMPUTED_VALUE"""),"깡패")</f>
        <v>깡패</v>
      </c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</row>
    <row r="1092">
      <c r="A1092" s="27" t="s">
        <v>4622</v>
      </c>
      <c r="B1092" s="28" t="s">
        <v>4623</v>
      </c>
      <c r="C1092" s="27" t="s">
        <v>4624</v>
      </c>
      <c r="D1092" s="27">
        <v>5.0</v>
      </c>
      <c r="E1092" s="27" t="s">
        <v>4625</v>
      </c>
      <c r="F1092" s="27">
        <v>4.0</v>
      </c>
      <c r="G1092" s="29">
        <v>45661.02847222222</v>
      </c>
      <c r="H1092" s="27" t="s">
        <v>4257</v>
      </c>
      <c r="I1092" s="18"/>
      <c r="J1092" s="25" t="str">
        <f>IFERROR(__xludf.DUMMYFUNCTION("ARRAYFORMULA(REGEXEXTRACT(SPLIT(C1092, ""&lt;br&gt;""), ""([가-힣A-Za-z]+)""))"),"재우")</f>
        <v>재우</v>
      </c>
      <c r="K1092" s="26" t="str">
        <f>IFERROR(__xludf.DUMMYFUNCTION("""COMPUTED_VALUE"""),"테리")</f>
        <v>테리</v>
      </c>
      <c r="L1092" s="26" t="str">
        <f>IFERROR(__xludf.DUMMYFUNCTION("""COMPUTED_VALUE"""),"재명")</f>
        <v>재명</v>
      </c>
      <c r="M1092" s="26" t="str">
        <f>IFERROR(__xludf.DUMMYFUNCTION("""COMPUTED_VALUE"""),"원")</f>
        <v>원</v>
      </c>
      <c r="N1092" s="26" t="str">
        <f>IFERROR(__xludf.DUMMYFUNCTION("ARRAYFORMULA(REGEXEXTRACT(SPLIT(E1092, ""&lt;br&gt;""), ""([가-힣A-Za-z]+)""))"),"깡패")</f>
        <v>깡패</v>
      </c>
      <c r="O1092" s="26" t="str">
        <f>IFERROR(__xludf.DUMMYFUNCTION("""COMPUTED_VALUE"""),"짱구")</f>
        <v>짱구</v>
      </c>
      <c r="P1092" s="26" t="str">
        <f>IFERROR(__xludf.DUMMYFUNCTION("""COMPUTED_VALUE"""),"신형만")</f>
        <v>신형만</v>
      </c>
      <c r="Q1092" s="26" t="str">
        <f>IFERROR(__xludf.DUMMYFUNCTION("""COMPUTED_VALUE"""),"참치")</f>
        <v>참치</v>
      </c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</row>
    <row r="1093">
      <c r="A1093" s="27" t="s">
        <v>4626</v>
      </c>
      <c r="B1093" s="28" t="s">
        <v>4627</v>
      </c>
      <c r="C1093" s="27" t="s">
        <v>4628</v>
      </c>
      <c r="D1093" s="27">
        <v>5.0</v>
      </c>
      <c r="E1093" s="27" t="s">
        <v>4629</v>
      </c>
      <c r="F1093" s="27">
        <v>2.0</v>
      </c>
      <c r="G1093" s="29">
        <v>45660.99236111111</v>
      </c>
      <c r="H1093" s="27" t="s">
        <v>4257</v>
      </c>
      <c r="I1093" s="18"/>
      <c r="J1093" s="25" t="str">
        <f>IFERROR(__xludf.DUMMYFUNCTION("ARRAYFORMULA(REGEXEXTRACT(SPLIT(C1093, ""&lt;br&gt;""), ""([가-힣A-Za-z]+)""))"),"재우")</f>
        <v>재우</v>
      </c>
      <c r="K1093" s="26" t="str">
        <f>IFERROR(__xludf.DUMMYFUNCTION("""COMPUTED_VALUE"""),"깡패")</f>
        <v>깡패</v>
      </c>
      <c r="L1093" s="26" t="str">
        <f>IFERROR(__xludf.DUMMYFUNCTION("""COMPUTED_VALUE"""),"태식")</f>
        <v>태식</v>
      </c>
      <c r="M1093" s="26" t="str">
        <f>IFERROR(__xludf.DUMMYFUNCTION("""COMPUTED_VALUE"""),"원")</f>
        <v>원</v>
      </c>
      <c r="N1093" s="26" t="str">
        <f>IFERROR(__xludf.DUMMYFUNCTION("ARRAYFORMULA(REGEXEXTRACT(SPLIT(E1093, ""&lt;br&gt;""), ""([가-힣A-Za-z]+)""))"),"짱구")</f>
        <v>짱구</v>
      </c>
      <c r="O1093" s="26" t="str">
        <f>IFERROR(__xludf.DUMMYFUNCTION("""COMPUTED_VALUE"""),"참치")</f>
        <v>참치</v>
      </c>
      <c r="P1093" s="26" t="str">
        <f>IFERROR(__xludf.DUMMYFUNCTION("""COMPUTED_VALUE"""),"테리")</f>
        <v>테리</v>
      </c>
      <c r="Q1093" s="26" t="str">
        <f>IFERROR(__xludf.DUMMYFUNCTION("""COMPUTED_VALUE"""),"재명")</f>
        <v>재명</v>
      </c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</row>
    <row r="1094">
      <c r="A1094" s="27" t="s">
        <v>4630</v>
      </c>
      <c r="B1094" s="28" t="s">
        <v>4631</v>
      </c>
      <c r="C1094" s="27" t="s">
        <v>4632</v>
      </c>
      <c r="D1094" s="27">
        <v>5.0</v>
      </c>
      <c r="E1094" s="27" t="s">
        <v>4633</v>
      </c>
      <c r="F1094" s="27">
        <v>4.0</v>
      </c>
      <c r="G1094" s="29">
        <v>45660.96666666667</v>
      </c>
      <c r="H1094" s="27" t="s">
        <v>4257</v>
      </c>
      <c r="I1094" s="18"/>
      <c r="J1094" s="25" t="str">
        <f>IFERROR(__xludf.DUMMYFUNCTION("ARRAYFORMULA(REGEXEXTRACT(SPLIT(C1094, ""&lt;br&gt;""), ""([가-힣A-Za-z]+)""))"),"태식")</f>
        <v>태식</v>
      </c>
      <c r="K1094" s="26" t="str">
        <f>IFERROR(__xludf.DUMMYFUNCTION("""COMPUTED_VALUE"""),"짱구")</f>
        <v>짱구</v>
      </c>
      <c r="L1094" s="26" t="str">
        <f>IFERROR(__xludf.DUMMYFUNCTION("""COMPUTED_VALUE"""),"참치")</f>
        <v>참치</v>
      </c>
      <c r="M1094" s="26" t="str">
        <f>IFERROR(__xludf.DUMMYFUNCTION("""COMPUTED_VALUE"""),"깡패")</f>
        <v>깡패</v>
      </c>
      <c r="N1094" s="26" t="str">
        <f>IFERROR(__xludf.DUMMYFUNCTION("ARRAYFORMULA(REGEXEXTRACT(SPLIT(E1094, ""&lt;br&gt;""), ""([가-힣A-Za-z]+)""))"),"테리")</f>
        <v>테리</v>
      </c>
      <c r="O1094" s="26" t="str">
        <f>IFERROR(__xludf.DUMMYFUNCTION("""COMPUTED_VALUE"""),"원")</f>
        <v>원</v>
      </c>
      <c r="P1094" s="26" t="str">
        <f>IFERROR(__xludf.DUMMYFUNCTION("""COMPUTED_VALUE"""),"신형만")</f>
        <v>신형만</v>
      </c>
      <c r="Q1094" s="26" t="str">
        <f>IFERROR(__xludf.DUMMYFUNCTION("""COMPUTED_VALUE"""),"재우")</f>
        <v>재우</v>
      </c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</row>
    <row r="1095">
      <c r="A1095" s="27" t="s">
        <v>4634</v>
      </c>
      <c r="B1095" s="28" t="s">
        <v>4635</v>
      </c>
      <c r="C1095" s="27" t="s">
        <v>4636</v>
      </c>
      <c r="D1095" s="27">
        <v>5.0</v>
      </c>
      <c r="E1095" s="27" t="s">
        <v>4637</v>
      </c>
      <c r="F1095" s="27">
        <v>2.0</v>
      </c>
      <c r="G1095" s="29">
        <v>45660.919444444444</v>
      </c>
      <c r="H1095" s="27" t="s">
        <v>4257</v>
      </c>
      <c r="I1095" s="18"/>
      <c r="J1095" s="25" t="str">
        <f>IFERROR(__xludf.DUMMYFUNCTION("ARRAYFORMULA(REGEXEXTRACT(SPLIT(C1095, ""&lt;br&gt;""), ""([가-힣A-Za-z]+)""))"),"깡패")</f>
        <v>깡패</v>
      </c>
      <c r="K1095" s="26" t="str">
        <f>IFERROR(__xludf.DUMMYFUNCTION("""COMPUTED_VALUE"""),"오딘")</f>
        <v>오딘</v>
      </c>
      <c r="L1095" s="26" t="str">
        <f>IFERROR(__xludf.DUMMYFUNCTION("""COMPUTED_VALUE"""),"짱구")</f>
        <v>짱구</v>
      </c>
      <c r="M1095" s="26" t="str">
        <f>IFERROR(__xludf.DUMMYFUNCTION("""COMPUTED_VALUE"""),"랄")</f>
        <v>랄</v>
      </c>
      <c r="N1095" s="26" t="str">
        <f>IFERROR(__xludf.DUMMYFUNCTION("ARRAYFORMULA(REGEXEXTRACT(SPLIT(E1095, ""&lt;br&gt;""), ""([가-힣A-Za-z]+)""))"),"재우")</f>
        <v>재우</v>
      </c>
      <c r="O1095" s="26" t="str">
        <f>IFERROR(__xludf.DUMMYFUNCTION("""COMPUTED_VALUE"""),"태식")</f>
        <v>태식</v>
      </c>
      <c r="P1095" s="26" t="str">
        <f>IFERROR(__xludf.DUMMYFUNCTION("""COMPUTED_VALUE"""),"재명")</f>
        <v>재명</v>
      </c>
      <c r="Q1095" s="26" t="str">
        <f>IFERROR(__xludf.DUMMYFUNCTION("""COMPUTED_VALUE"""),"ACDC")</f>
        <v>ACDC</v>
      </c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</row>
    <row r="1096">
      <c r="A1096" s="27" t="s">
        <v>4638</v>
      </c>
      <c r="B1096" s="28" t="s">
        <v>4639</v>
      </c>
      <c r="C1096" s="27" t="s">
        <v>4640</v>
      </c>
      <c r="D1096" s="27">
        <v>5.0</v>
      </c>
      <c r="E1096" s="27" t="s">
        <v>4641</v>
      </c>
      <c r="F1096" s="27">
        <v>2.0</v>
      </c>
      <c r="G1096" s="29">
        <v>45660.89097222222</v>
      </c>
      <c r="H1096" s="27" t="s">
        <v>4257</v>
      </c>
      <c r="I1096" s="18"/>
      <c r="J1096" s="25" t="str">
        <f>IFERROR(__xludf.DUMMYFUNCTION("ARRAYFORMULA(REGEXEXTRACT(SPLIT(C1096, ""&lt;br&gt;""), ""([가-힣A-Za-z]+)""))"),"재우")</f>
        <v>재우</v>
      </c>
      <c r="K1096" s="26" t="str">
        <f>IFERROR(__xludf.DUMMYFUNCTION("""COMPUTED_VALUE"""),"뼈해장국")</f>
        <v>뼈해장국</v>
      </c>
      <c r="L1096" s="26" t="str">
        <f>IFERROR(__xludf.DUMMYFUNCTION("""COMPUTED_VALUE"""),"재명")</f>
        <v>재명</v>
      </c>
      <c r="M1096" s="26" t="str">
        <f>IFERROR(__xludf.DUMMYFUNCTION("""COMPUTED_VALUE"""),"깡패")</f>
        <v>깡패</v>
      </c>
      <c r="N1096" s="26" t="str">
        <f>IFERROR(__xludf.DUMMYFUNCTION("ARRAYFORMULA(REGEXEXTRACT(SPLIT(E1096, ""&lt;br&gt;""), ""([가-힣A-Za-z]+)""))"),"ACDC")</f>
        <v>ACDC</v>
      </c>
      <c r="O1096" s="26" t="str">
        <f>IFERROR(__xludf.DUMMYFUNCTION("""COMPUTED_VALUE"""),"오딘")</f>
        <v>오딘</v>
      </c>
      <c r="P1096" s="26" t="str">
        <f>IFERROR(__xludf.DUMMYFUNCTION("""COMPUTED_VALUE"""),"태식")</f>
        <v>태식</v>
      </c>
      <c r="Q1096" s="26" t="str">
        <f>IFERROR(__xludf.DUMMYFUNCTION("""COMPUTED_VALUE"""),"랄")</f>
        <v>랄</v>
      </c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</row>
    <row r="1097">
      <c r="A1097" s="27" t="s">
        <v>4642</v>
      </c>
      <c r="B1097" s="28" t="s">
        <v>4643</v>
      </c>
      <c r="C1097" s="27" t="s">
        <v>4644</v>
      </c>
      <c r="D1097" s="27">
        <v>5.0</v>
      </c>
      <c r="E1097" s="27" t="s">
        <v>4645</v>
      </c>
      <c r="F1097" s="27">
        <v>3.0</v>
      </c>
      <c r="G1097" s="29">
        <v>45660.04791666667</v>
      </c>
      <c r="H1097" s="27" t="s">
        <v>4257</v>
      </c>
      <c r="I1097" s="18"/>
      <c r="J1097" s="25" t="str">
        <f>IFERROR(__xludf.DUMMYFUNCTION("ARRAYFORMULA(REGEXEXTRACT(SPLIT(C1097, ""&lt;br&gt;""), ""([가-힣A-Za-z]+)""))"),"테리")</f>
        <v>테리</v>
      </c>
      <c r="K1097" s="26" t="str">
        <f>IFERROR(__xludf.DUMMYFUNCTION("""COMPUTED_VALUE"""),"깡패")</f>
        <v>깡패</v>
      </c>
      <c r="L1097" s="26" t="str">
        <f>IFERROR(__xludf.DUMMYFUNCTION("""COMPUTED_VALUE"""),"짱구")</f>
        <v>짱구</v>
      </c>
      <c r="M1097" s="26" t="str">
        <f>IFERROR(__xludf.DUMMYFUNCTION("""COMPUTED_VALUE"""),"한메")</f>
        <v>한메</v>
      </c>
      <c r="N1097" s="26" t="str">
        <f>IFERROR(__xludf.DUMMYFUNCTION("ARRAYFORMULA(REGEXEXTRACT(SPLIT(E1097, ""&lt;br&gt;""), ""([가-힣A-Za-z]+)""))"),"노인")</f>
        <v>노인</v>
      </c>
      <c r="O1097" s="26" t="str">
        <f>IFERROR(__xludf.DUMMYFUNCTION("""COMPUTED_VALUE"""),"따")</f>
        <v>따</v>
      </c>
      <c r="P1097" s="26" t="str">
        <f>IFERROR(__xludf.DUMMYFUNCTION("""COMPUTED_VALUE"""),"신형만")</f>
        <v>신형만</v>
      </c>
      <c r="Q1097" s="26" t="str">
        <f>IFERROR(__xludf.DUMMYFUNCTION("""COMPUTED_VALUE"""),"재우")</f>
        <v>재우</v>
      </c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</row>
    <row r="1098">
      <c r="A1098" s="27" t="s">
        <v>4646</v>
      </c>
      <c r="B1098" s="28" t="s">
        <v>4647</v>
      </c>
      <c r="C1098" s="27" t="s">
        <v>4648</v>
      </c>
      <c r="D1098" s="27">
        <v>5.0</v>
      </c>
      <c r="E1098" s="27" t="s">
        <v>4649</v>
      </c>
      <c r="F1098" s="27">
        <v>3.0</v>
      </c>
      <c r="G1098" s="29">
        <v>45660.01388888889</v>
      </c>
      <c r="H1098" s="27" t="s">
        <v>4257</v>
      </c>
      <c r="I1098" s="18"/>
      <c r="J1098" s="25" t="str">
        <f>IFERROR(__xludf.DUMMYFUNCTION("ARRAYFORMULA(REGEXEXTRACT(SPLIT(C1098, ""&lt;br&gt;""), ""([가-힣A-Za-z]+)""))"),"테리")</f>
        <v>테리</v>
      </c>
      <c r="K1098" s="26" t="str">
        <f>IFERROR(__xludf.DUMMYFUNCTION("""COMPUTED_VALUE"""),"노인")</f>
        <v>노인</v>
      </c>
      <c r="L1098" s="26" t="str">
        <f>IFERROR(__xludf.DUMMYFUNCTION("""COMPUTED_VALUE"""),"짱구")</f>
        <v>짱구</v>
      </c>
      <c r="M1098" s="26" t="str">
        <f>IFERROR(__xludf.DUMMYFUNCTION("""COMPUTED_VALUE"""),"재우")</f>
        <v>재우</v>
      </c>
      <c r="N1098" s="26" t="str">
        <f>IFERROR(__xludf.DUMMYFUNCTION("ARRAYFORMULA(REGEXEXTRACT(SPLIT(E1098, ""&lt;br&gt;""), ""([가-힣A-Za-z]+)""))"),"깡패")</f>
        <v>깡패</v>
      </c>
      <c r="O1098" s="26" t="str">
        <f>IFERROR(__xludf.DUMMYFUNCTION("""COMPUTED_VALUE"""),"신형만")</f>
        <v>신형만</v>
      </c>
      <c r="P1098" s="26" t="str">
        <f>IFERROR(__xludf.DUMMYFUNCTION("""COMPUTED_VALUE"""),"한메")</f>
        <v>한메</v>
      </c>
      <c r="Q1098" s="26" t="str">
        <f>IFERROR(__xludf.DUMMYFUNCTION("""COMPUTED_VALUE"""),"따")</f>
        <v>따</v>
      </c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</row>
    <row r="1099">
      <c r="A1099" s="27" t="s">
        <v>4650</v>
      </c>
      <c r="B1099" s="28" t="s">
        <v>4651</v>
      </c>
      <c r="C1099" s="27" t="s">
        <v>4652</v>
      </c>
      <c r="D1099" s="27">
        <v>5.0</v>
      </c>
      <c r="E1099" s="27" t="s">
        <v>4653</v>
      </c>
      <c r="F1099" s="27">
        <v>0.0</v>
      </c>
      <c r="G1099" s="29">
        <v>45659.993055555555</v>
      </c>
      <c r="H1099" s="27" t="s">
        <v>4257</v>
      </c>
      <c r="I1099" s="18"/>
      <c r="J1099" s="25" t="str">
        <f>IFERROR(__xludf.DUMMYFUNCTION("ARRAYFORMULA(REGEXEXTRACT(SPLIT(C1099, ""&lt;br&gt;""), ""([가-힣A-Za-z]+)""))"),"테리")</f>
        <v>테리</v>
      </c>
      <c r="K1099" s="26" t="str">
        <f>IFERROR(__xludf.DUMMYFUNCTION("""COMPUTED_VALUE"""),"짱구")</f>
        <v>짱구</v>
      </c>
      <c r="L1099" s="26" t="str">
        <f>IFERROR(__xludf.DUMMYFUNCTION("""COMPUTED_VALUE"""),"깡패")</f>
        <v>깡패</v>
      </c>
      <c r="M1099" s="26" t="str">
        <f>IFERROR(__xludf.DUMMYFUNCTION("""COMPUTED_VALUE"""),"한메")</f>
        <v>한메</v>
      </c>
      <c r="N1099" s="26" t="str">
        <f>IFERROR(__xludf.DUMMYFUNCTION("ARRAYFORMULA(REGEXEXTRACT(SPLIT(E1099, ""&lt;br&gt;""), ""([가-힣A-Za-z]+)""))"),"ACDC")</f>
        <v>ACDC</v>
      </c>
      <c r="O1099" s="26" t="str">
        <f>IFERROR(__xludf.DUMMYFUNCTION("""COMPUTED_VALUE"""),"노인")</f>
        <v>노인</v>
      </c>
      <c r="P1099" s="26" t="str">
        <f>IFERROR(__xludf.DUMMYFUNCTION("""COMPUTED_VALUE"""),"신형만")</f>
        <v>신형만</v>
      </c>
      <c r="Q1099" s="26" t="str">
        <f>IFERROR(__xludf.DUMMYFUNCTION("""COMPUTED_VALUE"""),"재우")</f>
        <v>재우</v>
      </c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</row>
    <row r="1100">
      <c r="A1100" s="27" t="s">
        <v>4654</v>
      </c>
      <c r="B1100" s="28" t="s">
        <v>4655</v>
      </c>
      <c r="C1100" s="27" t="s">
        <v>4656</v>
      </c>
      <c r="D1100" s="27">
        <v>5.0</v>
      </c>
      <c r="E1100" s="27" t="s">
        <v>4657</v>
      </c>
      <c r="F1100" s="27">
        <v>0.0</v>
      </c>
      <c r="G1100" s="29">
        <v>45659.97152777778</v>
      </c>
      <c r="H1100" s="27" t="s">
        <v>4257</v>
      </c>
      <c r="I1100" s="18"/>
      <c r="J1100" s="25" t="str">
        <f>IFERROR(__xludf.DUMMYFUNCTION("ARRAYFORMULA(REGEXEXTRACT(SPLIT(C1100, ""&lt;br&gt;""), ""([가-힣A-Za-z]+)""))"),"태식")</f>
        <v>태식</v>
      </c>
      <c r="K1100" s="26" t="str">
        <f>IFERROR(__xludf.DUMMYFUNCTION("""COMPUTED_VALUE"""),"신형만")</f>
        <v>신형만</v>
      </c>
      <c r="L1100" s="26" t="str">
        <f>IFERROR(__xludf.DUMMYFUNCTION("""COMPUTED_VALUE"""),"한메")</f>
        <v>한메</v>
      </c>
      <c r="M1100" s="26" t="str">
        <f>IFERROR(__xludf.DUMMYFUNCTION("""COMPUTED_VALUE"""),"재우")</f>
        <v>재우</v>
      </c>
      <c r="N1100" s="26" t="str">
        <f>IFERROR(__xludf.DUMMYFUNCTION("ARRAYFORMULA(REGEXEXTRACT(SPLIT(E1100, ""&lt;br&gt;""), ""([가-힣A-Za-z]+)""))"),"노인")</f>
        <v>노인</v>
      </c>
      <c r="O1100" s="26" t="str">
        <f>IFERROR(__xludf.DUMMYFUNCTION("""COMPUTED_VALUE"""),"테리")</f>
        <v>테리</v>
      </c>
      <c r="P1100" s="26" t="str">
        <f>IFERROR(__xludf.DUMMYFUNCTION("""COMPUTED_VALUE"""),"ACDC")</f>
        <v>ACDC</v>
      </c>
      <c r="Q1100" s="26" t="str">
        <f>IFERROR(__xludf.DUMMYFUNCTION("""COMPUTED_VALUE"""),"깡패")</f>
        <v>깡패</v>
      </c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</row>
    <row r="1101">
      <c r="A1101" s="27" t="s">
        <v>4658</v>
      </c>
      <c r="B1101" s="28" t="s">
        <v>4659</v>
      </c>
      <c r="C1101" s="27" t="s">
        <v>4660</v>
      </c>
      <c r="D1101" s="27">
        <v>5.0</v>
      </c>
      <c r="E1101" s="27" t="s">
        <v>2843</v>
      </c>
      <c r="F1101" s="27">
        <v>1.0</v>
      </c>
      <c r="G1101" s="29">
        <v>45659.95694444444</v>
      </c>
      <c r="H1101" s="27" t="s">
        <v>4257</v>
      </c>
      <c r="I1101" s="18"/>
      <c r="J1101" s="25" t="str">
        <f>IFERROR(__xludf.DUMMYFUNCTION("ARRAYFORMULA(REGEXEXTRACT(SPLIT(C1101, ""&lt;br&gt;""), ""([가-힣A-Za-z]+)""))"),"깡패")</f>
        <v>깡패</v>
      </c>
      <c r="K1101" s="26" t="str">
        <f>IFERROR(__xludf.DUMMYFUNCTION("""COMPUTED_VALUE"""),"짱구")</f>
        <v>짱구</v>
      </c>
      <c r="L1101" s="26" t="str">
        <f>IFERROR(__xludf.DUMMYFUNCTION("""COMPUTED_VALUE"""),"태식")</f>
        <v>태식</v>
      </c>
      <c r="M1101" s="26" t="str">
        <f>IFERROR(__xludf.DUMMYFUNCTION("""COMPUTED_VALUE"""),"재우")</f>
        <v>재우</v>
      </c>
      <c r="N1101" s="26" t="str">
        <f>IFERROR(__xludf.DUMMYFUNCTION("ARRAYFORMULA(REGEXEXTRACT(SPLIT(E1101, ""&lt;br&gt;""), ""([가-힣A-Za-z]+)""))"),"신형만")</f>
        <v>신형만</v>
      </c>
      <c r="O1101" s="26" t="str">
        <f>IFERROR(__xludf.DUMMYFUNCTION("""COMPUTED_VALUE"""),"노인")</f>
        <v>노인</v>
      </c>
      <c r="P1101" s="26" t="str">
        <f>IFERROR(__xludf.DUMMYFUNCTION("""COMPUTED_VALUE"""),"ACDC")</f>
        <v>ACDC</v>
      </c>
      <c r="Q1101" s="26" t="str">
        <f>IFERROR(__xludf.DUMMYFUNCTION("""COMPUTED_VALUE"""),"한메")</f>
        <v>한메</v>
      </c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</row>
    <row r="1102">
      <c r="A1102" s="27" t="s">
        <v>4661</v>
      </c>
      <c r="B1102" s="28" t="s">
        <v>4662</v>
      </c>
      <c r="C1102" s="27" t="s">
        <v>4663</v>
      </c>
      <c r="D1102" s="27">
        <v>5.0</v>
      </c>
      <c r="E1102" s="27" t="s">
        <v>4664</v>
      </c>
      <c r="F1102" s="27">
        <v>3.0</v>
      </c>
      <c r="G1102" s="29">
        <v>45659.93541666667</v>
      </c>
      <c r="H1102" s="27" t="s">
        <v>4257</v>
      </c>
      <c r="I1102" s="18"/>
      <c r="J1102" s="25" t="str">
        <f>IFERROR(__xludf.DUMMYFUNCTION("ARRAYFORMULA(REGEXEXTRACT(SPLIT(C1102, ""&lt;br&gt;""), ""([가-힣A-Za-z]+)""))"),"깡패")</f>
        <v>깡패</v>
      </c>
      <c r="K1102" s="26" t="str">
        <f>IFERROR(__xludf.DUMMYFUNCTION("""COMPUTED_VALUE"""),"노인")</f>
        <v>노인</v>
      </c>
      <c r="L1102" s="26" t="str">
        <f>IFERROR(__xludf.DUMMYFUNCTION("""COMPUTED_VALUE"""),"테리")</f>
        <v>테리</v>
      </c>
      <c r="M1102" s="26" t="str">
        <f>IFERROR(__xludf.DUMMYFUNCTION("""COMPUTED_VALUE"""),"한메")</f>
        <v>한메</v>
      </c>
      <c r="N1102" s="26" t="str">
        <f>IFERROR(__xludf.DUMMYFUNCTION("ARRAYFORMULA(REGEXEXTRACT(SPLIT(E1102, ""&lt;br&gt;""), ""([가-힣A-Za-z]+)""))"),"ACDC")</f>
        <v>ACDC</v>
      </c>
      <c r="O1102" s="26" t="str">
        <f>IFERROR(__xludf.DUMMYFUNCTION("""COMPUTED_VALUE"""),"신형만")</f>
        <v>신형만</v>
      </c>
      <c r="P1102" s="26" t="str">
        <f>IFERROR(__xludf.DUMMYFUNCTION("""COMPUTED_VALUE"""),"짱구")</f>
        <v>짱구</v>
      </c>
      <c r="Q1102" s="26" t="str">
        <f>IFERROR(__xludf.DUMMYFUNCTION("""COMPUTED_VALUE"""),"재우")</f>
        <v>재우</v>
      </c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</row>
    <row r="1103">
      <c r="A1103" s="27" t="s">
        <v>4665</v>
      </c>
      <c r="B1103" s="28" t="s">
        <v>4666</v>
      </c>
      <c r="C1103" s="27" t="s">
        <v>4667</v>
      </c>
      <c r="D1103" s="27">
        <v>5.0</v>
      </c>
      <c r="E1103" s="27" t="s">
        <v>4668</v>
      </c>
      <c r="F1103" s="27">
        <v>3.0</v>
      </c>
      <c r="G1103" s="29">
        <v>45659.90972222222</v>
      </c>
      <c r="H1103" s="27" t="s">
        <v>4257</v>
      </c>
      <c r="I1103" s="18"/>
      <c r="J1103" s="25" t="str">
        <f>IFERROR(__xludf.DUMMYFUNCTION("ARRAYFORMULA(REGEXEXTRACT(SPLIT(C1103, ""&lt;br&gt;""), ""([가-힣A-Za-z]+)""))"),"노인")</f>
        <v>노인</v>
      </c>
      <c r="K1103" s="26" t="str">
        <f>IFERROR(__xludf.DUMMYFUNCTION("""COMPUTED_VALUE"""),"짱구")</f>
        <v>짱구</v>
      </c>
      <c r="L1103" s="26" t="str">
        <f>IFERROR(__xludf.DUMMYFUNCTION("""COMPUTED_VALUE"""),"한메")</f>
        <v>한메</v>
      </c>
      <c r="M1103" s="26" t="str">
        <f>IFERROR(__xludf.DUMMYFUNCTION("""COMPUTED_VALUE"""),"ACDC")</f>
        <v>ACDC</v>
      </c>
      <c r="N1103" s="26" t="str">
        <f>IFERROR(__xludf.DUMMYFUNCTION("ARRAYFORMULA(REGEXEXTRACT(SPLIT(E1103, ""&lt;br&gt;""), ""([가-힣A-Za-z]+)""))"),"테리")</f>
        <v>테리</v>
      </c>
      <c r="O1103" s="26" t="str">
        <f>IFERROR(__xludf.DUMMYFUNCTION("""COMPUTED_VALUE"""),"신형만")</f>
        <v>신형만</v>
      </c>
      <c r="P1103" s="26" t="str">
        <f>IFERROR(__xludf.DUMMYFUNCTION("""COMPUTED_VALUE"""),"깡패")</f>
        <v>깡패</v>
      </c>
      <c r="Q1103" s="26" t="str">
        <f>IFERROR(__xludf.DUMMYFUNCTION("""COMPUTED_VALUE"""),"재우")</f>
        <v>재우</v>
      </c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</row>
    <row r="1104">
      <c r="A1104" s="27" t="s">
        <v>4669</v>
      </c>
      <c r="B1104" s="28" t="s">
        <v>4670</v>
      </c>
      <c r="C1104" s="27" t="s">
        <v>4671</v>
      </c>
      <c r="D1104" s="27">
        <v>5.0</v>
      </c>
      <c r="E1104" s="27" t="s">
        <v>4672</v>
      </c>
      <c r="F1104" s="27">
        <v>3.0</v>
      </c>
      <c r="G1104" s="29">
        <v>45659.875</v>
      </c>
      <c r="H1104" s="27" t="s">
        <v>4257</v>
      </c>
      <c r="I1104" s="18"/>
      <c r="J1104" s="25" t="str">
        <f>IFERROR(__xludf.DUMMYFUNCTION("ARRAYFORMULA(REGEXEXTRACT(SPLIT(C1104, ""&lt;br&gt;""), ""([가-힣A-Za-z]+)""))"),"깡패")</f>
        <v>깡패</v>
      </c>
      <c r="K1104" s="26" t="str">
        <f>IFERROR(__xludf.DUMMYFUNCTION("""COMPUTED_VALUE"""),"짱구")</f>
        <v>짱구</v>
      </c>
      <c r="L1104" s="26" t="str">
        <f>IFERROR(__xludf.DUMMYFUNCTION("""COMPUTED_VALUE"""),"ACDC")</f>
        <v>ACDC</v>
      </c>
      <c r="M1104" s="26" t="str">
        <f>IFERROR(__xludf.DUMMYFUNCTION("""COMPUTED_VALUE"""),"신형만")</f>
        <v>신형만</v>
      </c>
      <c r="N1104" s="26" t="str">
        <f>IFERROR(__xludf.DUMMYFUNCTION("ARRAYFORMULA(REGEXEXTRACT(SPLIT(E1104, ""&lt;br&gt;""), ""([가-힣A-Za-z]+)""))"),"한메")</f>
        <v>한메</v>
      </c>
      <c r="O1104" s="26" t="str">
        <f>IFERROR(__xludf.DUMMYFUNCTION("""COMPUTED_VALUE"""),"테리")</f>
        <v>테리</v>
      </c>
      <c r="P1104" s="26" t="str">
        <f>IFERROR(__xludf.DUMMYFUNCTION("""COMPUTED_VALUE"""),"노인")</f>
        <v>노인</v>
      </c>
      <c r="Q1104" s="26" t="str">
        <f>IFERROR(__xludf.DUMMYFUNCTION("""COMPUTED_VALUE"""),"재우")</f>
        <v>재우</v>
      </c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</row>
    <row r="1105">
      <c r="A1105" s="27" t="s">
        <v>4673</v>
      </c>
      <c r="B1105" s="28" t="s">
        <v>4674</v>
      </c>
      <c r="C1105" s="27" t="s">
        <v>4675</v>
      </c>
      <c r="D1105" s="27">
        <v>5.0</v>
      </c>
      <c r="E1105" s="27" t="s">
        <v>4676</v>
      </c>
      <c r="F1105" s="27">
        <v>0.0</v>
      </c>
      <c r="G1105" s="29">
        <v>45659.85208333333</v>
      </c>
      <c r="H1105" s="27" t="s">
        <v>4257</v>
      </c>
      <c r="I1105" s="18"/>
      <c r="J1105" s="25" t="str">
        <f>IFERROR(__xludf.DUMMYFUNCTION("ARRAYFORMULA(REGEXEXTRACT(SPLIT(C1105, ""&lt;br&gt;""), ""([가-힣A-Za-z]+)""))"),"신형만")</f>
        <v>신형만</v>
      </c>
      <c r="K1105" s="26" t="str">
        <f>IFERROR(__xludf.DUMMYFUNCTION("""COMPUTED_VALUE"""),"짱구")</f>
        <v>짱구</v>
      </c>
      <c r="L1105" s="26" t="str">
        <f>IFERROR(__xludf.DUMMYFUNCTION("""COMPUTED_VALUE"""),"한메")</f>
        <v>한메</v>
      </c>
      <c r="M1105" s="26" t="str">
        <f>IFERROR(__xludf.DUMMYFUNCTION("""COMPUTED_VALUE"""),"노인")</f>
        <v>노인</v>
      </c>
      <c r="N1105" s="26" t="str">
        <f>IFERROR(__xludf.DUMMYFUNCTION("ARRAYFORMULA(REGEXEXTRACT(SPLIT(E1105, ""&lt;br&gt;""), ""([가-힣A-Za-z]+)""))"),"ACDC")</f>
        <v>ACDC</v>
      </c>
      <c r="O1105" s="26" t="str">
        <f>IFERROR(__xludf.DUMMYFUNCTION("""COMPUTED_VALUE"""),"테리")</f>
        <v>테리</v>
      </c>
      <c r="P1105" s="26" t="str">
        <f>IFERROR(__xludf.DUMMYFUNCTION("""COMPUTED_VALUE"""),"깡패")</f>
        <v>깡패</v>
      </c>
      <c r="Q1105" s="26" t="str">
        <f>IFERROR(__xludf.DUMMYFUNCTION("""COMPUTED_VALUE"""),"재우")</f>
        <v>재우</v>
      </c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</row>
    <row r="1106">
      <c r="A1106" s="27" t="s">
        <v>4677</v>
      </c>
      <c r="B1106" s="28" t="s">
        <v>4678</v>
      </c>
      <c r="C1106" s="27" t="s">
        <v>4679</v>
      </c>
      <c r="D1106" s="27">
        <v>5.0</v>
      </c>
      <c r="E1106" s="27" t="s">
        <v>4680</v>
      </c>
      <c r="F1106" s="27">
        <v>3.0</v>
      </c>
      <c r="G1106" s="29">
        <v>45657.10625</v>
      </c>
      <c r="H1106" s="27" t="s">
        <v>4257</v>
      </c>
      <c r="I1106" s="18"/>
      <c r="J1106" s="25" t="str">
        <f>IFERROR(__xludf.DUMMYFUNCTION("ARRAYFORMULA(REGEXEXTRACT(SPLIT(C1106, ""&lt;br&gt;""), ""([가-힣A-Za-z]+)""))"),"노인")</f>
        <v>노인</v>
      </c>
      <c r="K1106" s="26" t="str">
        <f>IFERROR(__xludf.DUMMYFUNCTION("""COMPUTED_VALUE"""),"테리")</f>
        <v>테리</v>
      </c>
      <c r="L1106" s="26" t="str">
        <f>IFERROR(__xludf.DUMMYFUNCTION("""COMPUTED_VALUE"""),"따")</f>
        <v>따</v>
      </c>
      <c r="M1106" s="26" t="str">
        <f>IFERROR(__xludf.DUMMYFUNCTION("""COMPUTED_VALUE"""),"단수")</f>
        <v>단수</v>
      </c>
      <c r="N1106" s="26" t="str">
        <f>IFERROR(__xludf.DUMMYFUNCTION("ARRAYFORMULA(REGEXEXTRACT(SPLIT(E1106, ""&lt;br&gt;""), ""([가-힣A-Za-z]+)""))"),"짱구")</f>
        <v>짱구</v>
      </c>
      <c r="O1106" s="26" t="str">
        <f>IFERROR(__xludf.DUMMYFUNCTION("""COMPUTED_VALUE"""),"뼈해장국")</f>
        <v>뼈해장국</v>
      </c>
      <c r="P1106" s="26" t="str">
        <f>IFERROR(__xludf.DUMMYFUNCTION("""COMPUTED_VALUE"""),"깡패")</f>
        <v>깡패</v>
      </c>
      <c r="Q1106" s="26" t="str">
        <f>IFERROR(__xludf.DUMMYFUNCTION("""COMPUTED_VALUE"""),"한메")</f>
        <v>한메</v>
      </c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</row>
    <row r="1107">
      <c r="A1107" s="27" t="s">
        <v>4681</v>
      </c>
      <c r="B1107" s="28" t="s">
        <v>4682</v>
      </c>
      <c r="C1107" s="27" t="s">
        <v>4683</v>
      </c>
      <c r="D1107" s="27">
        <v>5.0</v>
      </c>
      <c r="E1107" s="27" t="s">
        <v>4684</v>
      </c>
      <c r="F1107" s="27">
        <v>4.0</v>
      </c>
      <c r="G1107" s="29">
        <v>45657.07638888889</v>
      </c>
      <c r="H1107" s="27" t="s">
        <v>4257</v>
      </c>
      <c r="I1107" s="18"/>
      <c r="J1107" s="25" t="str">
        <f>IFERROR(__xludf.DUMMYFUNCTION("ARRAYFORMULA(REGEXEXTRACT(SPLIT(C1107, ""&lt;br&gt;""), ""([가-힣A-Za-z]+)""))"),"노인")</f>
        <v>노인</v>
      </c>
      <c r="K1107" s="26" t="str">
        <f>IFERROR(__xludf.DUMMYFUNCTION("""COMPUTED_VALUE"""),"뼈해장국")</f>
        <v>뼈해장국</v>
      </c>
      <c r="L1107" s="26" t="str">
        <f>IFERROR(__xludf.DUMMYFUNCTION("""COMPUTED_VALUE"""),"짱구")</f>
        <v>짱구</v>
      </c>
      <c r="M1107" s="26" t="str">
        <f>IFERROR(__xludf.DUMMYFUNCTION("""COMPUTED_VALUE"""),"따")</f>
        <v>따</v>
      </c>
      <c r="N1107" s="26" t="str">
        <f>IFERROR(__xludf.DUMMYFUNCTION("ARRAYFORMULA(REGEXEXTRACT(SPLIT(E1107, ""&lt;br&gt;""), ""([가-힣A-Za-z]+)""))"),"한메")</f>
        <v>한메</v>
      </c>
      <c r="O1107" s="26" t="str">
        <f>IFERROR(__xludf.DUMMYFUNCTION("""COMPUTED_VALUE"""),"깡패")</f>
        <v>깡패</v>
      </c>
      <c r="P1107" s="26" t="str">
        <f>IFERROR(__xludf.DUMMYFUNCTION("""COMPUTED_VALUE"""),"테리")</f>
        <v>테리</v>
      </c>
      <c r="Q1107" s="26" t="str">
        <f>IFERROR(__xludf.DUMMYFUNCTION("""COMPUTED_VALUE"""),"단수")</f>
        <v>단수</v>
      </c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</row>
    <row r="1108">
      <c r="A1108" s="27" t="s">
        <v>4685</v>
      </c>
      <c r="B1108" s="28" t="s">
        <v>4686</v>
      </c>
      <c r="C1108" s="27" t="s">
        <v>4687</v>
      </c>
      <c r="D1108" s="27">
        <v>5.0</v>
      </c>
      <c r="E1108" s="27" t="s">
        <v>4688</v>
      </c>
      <c r="F1108" s="27">
        <v>1.0</v>
      </c>
      <c r="G1108" s="29">
        <v>45657.006944444445</v>
      </c>
      <c r="H1108" s="27" t="s">
        <v>4257</v>
      </c>
      <c r="I1108" s="18"/>
      <c r="J1108" s="25" t="str">
        <f>IFERROR(__xludf.DUMMYFUNCTION("ARRAYFORMULA(REGEXEXTRACT(SPLIT(C1108, ""&lt;br&gt;""), ""([가-힣A-Za-z]+)""))"),"한메")</f>
        <v>한메</v>
      </c>
      <c r="K1108" s="26" t="str">
        <f>IFERROR(__xludf.DUMMYFUNCTION("""COMPUTED_VALUE"""),"짱구")</f>
        <v>짱구</v>
      </c>
      <c r="L1108" s="26" t="str">
        <f>IFERROR(__xludf.DUMMYFUNCTION("""COMPUTED_VALUE"""),"신형만")</f>
        <v>신형만</v>
      </c>
      <c r="M1108" s="26" t="str">
        <f>IFERROR(__xludf.DUMMYFUNCTION("""COMPUTED_VALUE"""),"원")</f>
        <v>원</v>
      </c>
      <c r="N1108" s="26" t="str">
        <f>IFERROR(__xludf.DUMMYFUNCTION("ARRAYFORMULA(REGEXEXTRACT(SPLIT(E1108, ""&lt;br&gt;""), ""([가-힣A-Za-z]+)""))"),"노인")</f>
        <v>노인</v>
      </c>
      <c r="O1108" s="26" t="str">
        <f>IFERROR(__xludf.DUMMYFUNCTION("""COMPUTED_VALUE"""),"테리")</f>
        <v>테리</v>
      </c>
      <c r="P1108" s="26" t="str">
        <f>IFERROR(__xludf.DUMMYFUNCTION("""COMPUTED_VALUE"""),"깡패")</f>
        <v>깡패</v>
      </c>
      <c r="Q1108" s="26" t="str">
        <f>IFERROR(__xludf.DUMMYFUNCTION("""COMPUTED_VALUE"""),"미등록")</f>
        <v>미등록</v>
      </c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</row>
    <row r="1109">
      <c r="A1109" s="27" t="s">
        <v>4689</v>
      </c>
      <c r="B1109" s="28" t="s">
        <v>4690</v>
      </c>
      <c r="C1109" s="27" t="s">
        <v>4691</v>
      </c>
      <c r="D1109" s="27">
        <v>5.0</v>
      </c>
      <c r="E1109" s="27" t="s">
        <v>4692</v>
      </c>
      <c r="F1109" s="27">
        <v>4.0</v>
      </c>
      <c r="G1109" s="29">
        <v>45656.96041666667</v>
      </c>
      <c r="H1109" s="27" t="s">
        <v>4257</v>
      </c>
      <c r="I1109" s="18"/>
      <c r="J1109" s="25" t="str">
        <f>IFERROR(__xludf.DUMMYFUNCTION("ARRAYFORMULA(REGEXEXTRACT(SPLIT(C1109, ""&lt;br&gt;""), ""([가-힣A-Za-z]+)""))"),"태식")</f>
        <v>태식</v>
      </c>
      <c r="K1109" s="26" t="str">
        <f>IFERROR(__xludf.DUMMYFUNCTION("""COMPUTED_VALUE"""),"짱구")</f>
        <v>짱구</v>
      </c>
      <c r="L1109" s="26" t="str">
        <f>IFERROR(__xludf.DUMMYFUNCTION("""COMPUTED_VALUE"""),"노인")</f>
        <v>노인</v>
      </c>
      <c r="M1109" s="26" t="str">
        <f>IFERROR(__xludf.DUMMYFUNCTION("""COMPUTED_VALUE"""),"신형만")</f>
        <v>신형만</v>
      </c>
      <c r="N1109" s="26" t="str">
        <f>IFERROR(__xludf.DUMMYFUNCTION("ARRAYFORMULA(REGEXEXTRACT(SPLIT(E1109, ""&lt;br&gt;""), ""([가-힣A-Za-z]+)""))"),"테리")</f>
        <v>테리</v>
      </c>
      <c r="O1109" s="26" t="str">
        <f>IFERROR(__xludf.DUMMYFUNCTION("""COMPUTED_VALUE"""),"원")</f>
        <v>원</v>
      </c>
      <c r="P1109" s="26" t="str">
        <f>IFERROR(__xludf.DUMMYFUNCTION("""COMPUTED_VALUE"""),"ACDC")</f>
        <v>ACDC</v>
      </c>
      <c r="Q1109" s="26" t="str">
        <f>IFERROR(__xludf.DUMMYFUNCTION("""COMPUTED_VALUE"""),"깡패")</f>
        <v>깡패</v>
      </c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</row>
    <row r="1110">
      <c r="A1110" s="27" t="s">
        <v>4693</v>
      </c>
      <c r="B1110" s="28" t="s">
        <v>4694</v>
      </c>
      <c r="C1110" s="27" t="s">
        <v>4695</v>
      </c>
      <c r="D1110" s="27">
        <v>5.0</v>
      </c>
      <c r="E1110" s="27" t="s">
        <v>4696</v>
      </c>
      <c r="F1110" s="27">
        <v>4.0</v>
      </c>
      <c r="G1110" s="29">
        <v>45656.93680555555</v>
      </c>
      <c r="H1110" s="27" t="s">
        <v>4257</v>
      </c>
      <c r="I1110" s="18"/>
      <c r="J1110" s="25" t="str">
        <f>IFERROR(__xludf.DUMMYFUNCTION("ARRAYFORMULA(REGEXEXTRACT(SPLIT(C1110, ""&lt;br&gt;""), ""([가-힣A-Za-z]+)""))"),"ACDC")</f>
        <v>ACDC</v>
      </c>
      <c r="K1110" s="26" t="str">
        <f>IFERROR(__xludf.DUMMYFUNCTION("""COMPUTED_VALUE"""),"노인")</f>
        <v>노인</v>
      </c>
      <c r="L1110" s="26" t="str">
        <f>IFERROR(__xludf.DUMMYFUNCTION("""COMPUTED_VALUE"""),"태식")</f>
        <v>태식</v>
      </c>
      <c r="M1110" s="26" t="str">
        <f>IFERROR(__xludf.DUMMYFUNCTION("""COMPUTED_VALUE"""),"원")</f>
        <v>원</v>
      </c>
      <c r="N1110" s="26" t="str">
        <f>IFERROR(__xludf.DUMMYFUNCTION("ARRAYFORMULA(REGEXEXTRACT(SPLIT(E1110, ""&lt;br&gt;""), ""([가-힣A-Za-z]+)""))"),"한메")</f>
        <v>한메</v>
      </c>
      <c r="O1110" s="26" t="str">
        <f>IFERROR(__xludf.DUMMYFUNCTION("""COMPUTED_VALUE"""),"테리")</f>
        <v>테리</v>
      </c>
      <c r="P1110" s="26" t="str">
        <f>IFERROR(__xludf.DUMMYFUNCTION("""COMPUTED_VALUE"""),"신형만")</f>
        <v>신형만</v>
      </c>
      <c r="Q1110" s="26" t="str">
        <f>IFERROR(__xludf.DUMMYFUNCTION("""COMPUTED_VALUE"""),"깡패")</f>
        <v>깡패</v>
      </c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</row>
    <row r="1111">
      <c r="A1111" s="27" t="s">
        <v>4697</v>
      </c>
      <c r="B1111" s="28" t="s">
        <v>4698</v>
      </c>
      <c r="C1111" s="27" t="s">
        <v>4699</v>
      </c>
      <c r="D1111" s="27">
        <v>5.0</v>
      </c>
      <c r="E1111" s="27" t="s">
        <v>4700</v>
      </c>
      <c r="F1111" s="27">
        <v>3.0</v>
      </c>
      <c r="G1111" s="29">
        <v>45656.902083333334</v>
      </c>
      <c r="H1111" s="27" t="s">
        <v>4257</v>
      </c>
      <c r="I1111" s="18"/>
      <c r="J1111" s="25" t="str">
        <f>IFERROR(__xludf.DUMMYFUNCTION("ARRAYFORMULA(REGEXEXTRACT(SPLIT(C1111, ""&lt;br&gt;""), ""([가-힣A-Za-z]+)""))"),"원")</f>
        <v>원</v>
      </c>
      <c r="K1111" s="26" t="str">
        <f>IFERROR(__xludf.DUMMYFUNCTION("""COMPUTED_VALUE"""),"노인")</f>
        <v>노인</v>
      </c>
      <c r="L1111" s="26" t="str">
        <f>IFERROR(__xludf.DUMMYFUNCTION("""COMPUTED_VALUE"""),"한메")</f>
        <v>한메</v>
      </c>
      <c r="M1111" s="26" t="str">
        <f>IFERROR(__xludf.DUMMYFUNCTION("""COMPUTED_VALUE"""),"신형만")</f>
        <v>신형만</v>
      </c>
      <c r="N1111" s="26" t="str">
        <f>IFERROR(__xludf.DUMMYFUNCTION("ARRAYFORMULA(REGEXEXTRACT(SPLIT(E1111, ""&lt;br&gt;""), ""([가-힣A-Za-z]+)""))"),"ACDC")</f>
        <v>ACDC</v>
      </c>
      <c r="O1111" s="26" t="str">
        <f>IFERROR(__xludf.DUMMYFUNCTION("""COMPUTED_VALUE"""),"테리")</f>
        <v>테리</v>
      </c>
      <c r="P1111" s="26" t="str">
        <f>IFERROR(__xludf.DUMMYFUNCTION("""COMPUTED_VALUE"""),"태식")</f>
        <v>태식</v>
      </c>
      <c r="Q1111" s="26" t="str">
        <f>IFERROR(__xludf.DUMMYFUNCTION("""COMPUTED_VALUE"""),"깡패")</f>
        <v>깡패</v>
      </c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</row>
    <row r="1112">
      <c r="A1112" s="27" t="s">
        <v>4701</v>
      </c>
      <c r="B1112" s="28" t="s">
        <v>4702</v>
      </c>
      <c r="C1112" s="27" t="s">
        <v>4703</v>
      </c>
      <c r="D1112" s="27">
        <v>5.0</v>
      </c>
      <c r="E1112" s="27" t="s">
        <v>4704</v>
      </c>
      <c r="F1112" s="27">
        <v>3.0</v>
      </c>
      <c r="G1112" s="29">
        <v>45656.87847222222</v>
      </c>
      <c r="H1112" s="27" t="s">
        <v>4257</v>
      </c>
      <c r="I1112" s="18"/>
      <c r="J1112" s="25" t="str">
        <f>IFERROR(__xludf.DUMMYFUNCTION("ARRAYFORMULA(REGEXEXTRACT(SPLIT(C1112, ""&lt;br&gt;""), ""([가-힣A-Za-z]+)""))"),"태식")</f>
        <v>태식</v>
      </c>
      <c r="K1112" s="26" t="str">
        <f>IFERROR(__xludf.DUMMYFUNCTION("""COMPUTED_VALUE"""),"원")</f>
        <v>원</v>
      </c>
      <c r="L1112" s="26" t="str">
        <f>IFERROR(__xludf.DUMMYFUNCTION("""COMPUTED_VALUE"""),"한메")</f>
        <v>한메</v>
      </c>
      <c r="M1112" s="26" t="str">
        <f>IFERROR(__xludf.DUMMYFUNCTION("""COMPUTED_VALUE"""),"깡패")</f>
        <v>깡패</v>
      </c>
      <c r="N1112" s="26" t="str">
        <f>IFERROR(__xludf.DUMMYFUNCTION("ARRAYFORMULA(REGEXEXTRACT(SPLIT(E1112, ""&lt;br&gt;""), ""([가-힣A-Za-z]+)""))"),"ACDC")</f>
        <v>ACDC</v>
      </c>
      <c r="O1112" s="26" t="str">
        <f>IFERROR(__xludf.DUMMYFUNCTION("""COMPUTED_VALUE"""),"신형만")</f>
        <v>신형만</v>
      </c>
      <c r="P1112" s="26" t="str">
        <f>IFERROR(__xludf.DUMMYFUNCTION("""COMPUTED_VALUE"""),"테리")</f>
        <v>테리</v>
      </c>
      <c r="Q1112" s="26" t="str">
        <f>IFERROR(__xludf.DUMMYFUNCTION("""COMPUTED_VALUE"""),"노인")</f>
        <v>노인</v>
      </c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</row>
    <row r="1113">
      <c r="A1113" s="27" t="s">
        <v>4705</v>
      </c>
      <c r="B1113" s="28" t="s">
        <v>4706</v>
      </c>
      <c r="C1113" s="27" t="s">
        <v>4707</v>
      </c>
      <c r="D1113" s="27">
        <v>5.0</v>
      </c>
      <c r="E1113" s="27" t="s">
        <v>4708</v>
      </c>
      <c r="F1113" s="27">
        <v>1.0</v>
      </c>
      <c r="G1113" s="29">
        <v>45656.07430555556</v>
      </c>
      <c r="H1113" s="27" t="s">
        <v>4257</v>
      </c>
      <c r="I1113" s="18"/>
      <c r="J1113" s="25" t="str">
        <f>IFERROR(__xludf.DUMMYFUNCTION("ARRAYFORMULA(REGEXEXTRACT(SPLIT(C1113, ""&lt;br&gt;""), ""([가-힣A-Za-z]+)""))"),"깡패")</f>
        <v>깡패</v>
      </c>
      <c r="K1113" s="26" t="str">
        <f>IFERROR(__xludf.DUMMYFUNCTION("""COMPUTED_VALUE"""),"태식")</f>
        <v>태식</v>
      </c>
      <c r="L1113" s="26" t="str">
        <f>IFERROR(__xludf.DUMMYFUNCTION("""COMPUTED_VALUE"""),"원")</f>
        <v>원</v>
      </c>
      <c r="M1113" s="26" t="str">
        <f>IFERROR(__xludf.DUMMYFUNCTION("""COMPUTED_VALUE"""),"노인")</f>
        <v>노인</v>
      </c>
      <c r="N1113" s="26" t="str">
        <f>IFERROR(__xludf.DUMMYFUNCTION("ARRAYFORMULA(REGEXEXTRACT(SPLIT(E1113, ""&lt;br&gt;""), ""([가-힣A-Za-z]+)""))"),"ACDC")</f>
        <v>ACDC</v>
      </c>
      <c r="O1113" s="26" t="str">
        <f>IFERROR(__xludf.DUMMYFUNCTION("""COMPUTED_VALUE"""),"짱구")</f>
        <v>짱구</v>
      </c>
      <c r="P1113" s="26" t="str">
        <f>IFERROR(__xludf.DUMMYFUNCTION("""COMPUTED_VALUE"""),"신형만")</f>
        <v>신형만</v>
      </c>
      <c r="Q1113" s="26" t="str">
        <f>IFERROR(__xludf.DUMMYFUNCTION("""COMPUTED_VALUE"""),"한메")</f>
        <v>한메</v>
      </c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</row>
    <row r="1114">
      <c r="A1114" s="27" t="s">
        <v>4709</v>
      </c>
      <c r="B1114" s="28" t="s">
        <v>4710</v>
      </c>
      <c r="C1114" s="27" t="s">
        <v>4711</v>
      </c>
      <c r="D1114" s="27">
        <v>5.0</v>
      </c>
      <c r="E1114" s="27" t="s">
        <v>4712</v>
      </c>
      <c r="F1114" s="27">
        <v>2.0</v>
      </c>
      <c r="G1114" s="29">
        <v>45656.04861111111</v>
      </c>
      <c r="H1114" s="27" t="s">
        <v>4257</v>
      </c>
      <c r="I1114" s="18"/>
      <c r="J1114" s="25" t="str">
        <f>IFERROR(__xludf.DUMMYFUNCTION("ARRAYFORMULA(REGEXEXTRACT(SPLIT(C1114, ""&lt;br&gt;""), ""([가-힣A-Za-z]+)""))"),"태식")</f>
        <v>태식</v>
      </c>
      <c r="K1114" s="26" t="str">
        <f>IFERROR(__xludf.DUMMYFUNCTION("""COMPUTED_VALUE"""),"신형만")</f>
        <v>신형만</v>
      </c>
      <c r="L1114" s="26" t="str">
        <f>IFERROR(__xludf.DUMMYFUNCTION("""COMPUTED_VALUE"""),"깡패")</f>
        <v>깡패</v>
      </c>
      <c r="M1114" s="26" t="str">
        <f>IFERROR(__xludf.DUMMYFUNCTION("""COMPUTED_VALUE"""),"한메")</f>
        <v>한메</v>
      </c>
      <c r="N1114" s="26" t="str">
        <f>IFERROR(__xludf.DUMMYFUNCTION("ARRAYFORMULA(REGEXEXTRACT(SPLIT(E1114, ""&lt;br&gt;""), ""([가-힣A-Za-z]+)""))"),"짱구")</f>
        <v>짱구</v>
      </c>
      <c r="O1114" s="26" t="str">
        <f>IFERROR(__xludf.DUMMYFUNCTION("""COMPUTED_VALUE"""),"원")</f>
        <v>원</v>
      </c>
      <c r="P1114" s="26" t="str">
        <f>IFERROR(__xludf.DUMMYFUNCTION("""COMPUTED_VALUE"""),"노인")</f>
        <v>노인</v>
      </c>
      <c r="Q1114" s="26" t="str">
        <f>IFERROR(__xludf.DUMMYFUNCTION("""COMPUTED_VALUE"""),"ACDC")</f>
        <v>ACDC</v>
      </c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</row>
    <row r="1115">
      <c r="A1115" s="27" t="s">
        <v>4713</v>
      </c>
      <c r="B1115" s="28" t="s">
        <v>4714</v>
      </c>
      <c r="C1115" s="27" t="s">
        <v>4715</v>
      </c>
      <c r="D1115" s="27">
        <v>5.0</v>
      </c>
      <c r="E1115" s="27" t="s">
        <v>4716</v>
      </c>
      <c r="F1115" s="27">
        <v>2.0</v>
      </c>
      <c r="G1115" s="29">
        <v>45656.029861111114</v>
      </c>
      <c r="H1115" s="27" t="s">
        <v>4257</v>
      </c>
      <c r="I1115" s="18"/>
      <c r="J1115" s="25" t="str">
        <f>IFERROR(__xludf.DUMMYFUNCTION("ARRAYFORMULA(REGEXEXTRACT(SPLIT(C1115, ""&lt;br&gt;""), ""([가-힣A-Za-z]+)""))"),"ACDC")</f>
        <v>ACDC</v>
      </c>
      <c r="K1115" s="26" t="str">
        <f>IFERROR(__xludf.DUMMYFUNCTION("""COMPUTED_VALUE"""),"태식")</f>
        <v>태식</v>
      </c>
      <c r="L1115" s="26" t="str">
        <f>IFERROR(__xludf.DUMMYFUNCTION("""COMPUTED_VALUE"""),"짱구")</f>
        <v>짱구</v>
      </c>
      <c r="M1115" s="26" t="str">
        <f>IFERROR(__xludf.DUMMYFUNCTION("""COMPUTED_VALUE"""),"한메")</f>
        <v>한메</v>
      </c>
      <c r="N1115" s="26" t="str">
        <f>IFERROR(__xludf.DUMMYFUNCTION("ARRAYFORMULA(REGEXEXTRACT(SPLIT(E1115, ""&lt;br&gt;""), ""([가-힣A-Za-z]+)""))"),"원")</f>
        <v>원</v>
      </c>
      <c r="O1115" s="26" t="str">
        <f>IFERROR(__xludf.DUMMYFUNCTION("""COMPUTED_VALUE"""),"신형만")</f>
        <v>신형만</v>
      </c>
      <c r="P1115" s="26" t="str">
        <f>IFERROR(__xludf.DUMMYFUNCTION("""COMPUTED_VALUE"""),"노인")</f>
        <v>노인</v>
      </c>
      <c r="Q1115" s="26" t="str">
        <f>IFERROR(__xludf.DUMMYFUNCTION("""COMPUTED_VALUE"""),"깡패")</f>
        <v>깡패</v>
      </c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</row>
    <row r="1116">
      <c r="A1116" s="27" t="s">
        <v>4717</v>
      </c>
      <c r="B1116" s="28" t="s">
        <v>4718</v>
      </c>
      <c r="C1116" s="27" t="s">
        <v>4719</v>
      </c>
      <c r="D1116" s="27">
        <v>5.0</v>
      </c>
      <c r="E1116" s="27" t="s">
        <v>4720</v>
      </c>
      <c r="F1116" s="27">
        <v>2.0</v>
      </c>
      <c r="G1116" s="29">
        <v>45656.010416666664</v>
      </c>
      <c r="H1116" s="27" t="s">
        <v>4257</v>
      </c>
      <c r="I1116" s="18"/>
      <c r="J1116" s="25" t="str">
        <f>IFERROR(__xludf.DUMMYFUNCTION("ARRAYFORMULA(REGEXEXTRACT(SPLIT(C1116, ""&lt;br&gt;""), ""([가-힣A-Za-z]+)""))"),"신형만")</f>
        <v>신형만</v>
      </c>
      <c r="K1116" s="26" t="str">
        <f>IFERROR(__xludf.DUMMYFUNCTION("""COMPUTED_VALUE"""),"짱구")</f>
        <v>짱구</v>
      </c>
      <c r="L1116" s="26" t="str">
        <f>IFERROR(__xludf.DUMMYFUNCTION("""COMPUTED_VALUE"""),"테리")</f>
        <v>테리</v>
      </c>
      <c r="M1116" s="26" t="str">
        <f>IFERROR(__xludf.DUMMYFUNCTION("""COMPUTED_VALUE"""),"원")</f>
        <v>원</v>
      </c>
      <c r="N1116" s="26" t="str">
        <f>IFERROR(__xludf.DUMMYFUNCTION("ARRAYFORMULA(REGEXEXTRACT(SPLIT(E1116, ""&lt;br&gt;""), ""([가-힣A-Za-z]+)""))"),"ACDC")</f>
        <v>ACDC</v>
      </c>
      <c r="O1116" s="26" t="str">
        <f>IFERROR(__xludf.DUMMYFUNCTION("""COMPUTED_VALUE"""),"태식")</f>
        <v>태식</v>
      </c>
      <c r="P1116" s="26" t="str">
        <f>IFERROR(__xludf.DUMMYFUNCTION("""COMPUTED_VALUE"""),"노인")</f>
        <v>노인</v>
      </c>
      <c r="Q1116" s="26" t="str">
        <f>IFERROR(__xludf.DUMMYFUNCTION("""COMPUTED_VALUE"""),"깡패")</f>
        <v>깡패</v>
      </c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</row>
    <row r="1117">
      <c r="A1117" s="27" t="s">
        <v>4721</v>
      </c>
      <c r="B1117" s="28" t="s">
        <v>4722</v>
      </c>
      <c r="C1117" s="27" t="s">
        <v>4723</v>
      </c>
      <c r="D1117" s="27">
        <v>5.0</v>
      </c>
      <c r="E1117" s="27" t="s">
        <v>4724</v>
      </c>
      <c r="F1117" s="27">
        <v>4.0</v>
      </c>
      <c r="G1117" s="29">
        <v>45655.97083333333</v>
      </c>
      <c r="H1117" s="27" t="s">
        <v>4257</v>
      </c>
      <c r="I1117" s="18"/>
      <c r="J1117" s="25" t="str">
        <f>IFERROR(__xludf.DUMMYFUNCTION("ARRAYFORMULA(REGEXEXTRACT(SPLIT(C1117, ""&lt;br&gt;""), ""([가-힣A-Za-z]+)""))"),"신형만")</f>
        <v>신형만</v>
      </c>
      <c r="K1117" s="26" t="str">
        <f>IFERROR(__xludf.DUMMYFUNCTION("""COMPUTED_VALUE"""),"태식")</f>
        <v>태식</v>
      </c>
      <c r="L1117" s="26" t="str">
        <f>IFERROR(__xludf.DUMMYFUNCTION("""COMPUTED_VALUE"""),"깡패")</f>
        <v>깡패</v>
      </c>
      <c r="M1117" s="26" t="str">
        <f>IFERROR(__xludf.DUMMYFUNCTION("""COMPUTED_VALUE"""),"강화")</f>
        <v>강화</v>
      </c>
      <c r="N1117" s="26" t="str">
        <f>IFERROR(__xludf.DUMMYFUNCTION("ARRAYFORMULA(REGEXEXTRACT(SPLIT(E1117, ""&lt;br&gt;""), ""([가-힣A-Za-z]+)""))"),"원")</f>
        <v>원</v>
      </c>
      <c r="O1117" s="26" t="str">
        <f>IFERROR(__xludf.DUMMYFUNCTION("""COMPUTED_VALUE"""),"짱구")</f>
        <v>짱구</v>
      </c>
      <c r="P1117" s="26" t="str">
        <f>IFERROR(__xludf.DUMMYFUNCTION("""COMPUTED_VALUE"""),"노인")</f>
        <v>노인</v>
      </c>
      <c r="Q1117" s="26" t="str">
        <f>IFERROR(__xludf.DUMMYFUNCTION("""COMPUTED_VALUE"""),"ACDC")</f>
        <v>ACDC</v>
      </c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</row>
    <row r="1118">
      <c r="A1118" s="27" t="s">
        <v>4725</v>
      </c>
      <c r="B1118" s="28" t="s">
        <v>4726</v>
      </c>
      <c r="C1118" s="27" t="s">
        <v>4727</v>
      </c>
      <c r="D1118" s="27">
        <v>5.0</v>
      </c>
      <c r="E1118" s="27" t="s">
        <v>4728</v>
      </c>
      <c r="F1118" s="27">
        <v>4.0</v>
      </c>
      <c r="G1118" s="29">
        <v>45655.944444444445</v>
      </c>
      <c r="H1118" s="27" t="s">
        <v>4257</v>
      </c>
      <c r="I1118" s="18"/>
      <c r="J1118" s="25" t="str">
        <f>IFERROR(__xludf.DUMMYFUNCTION("ARRAYFORMULA(REGEXEXTRACT(SPLIT(C1118, ""&lt;br&gt;""), ""([가-힣A-Za-z]+)""))"),"노인")</f>
        <v>노인</v>
      </c>
      <c r="K1118" s="26" t="str">
        <f>IFERROR(__xludf.DUMMYFUNCTION("""COMPUTED_VALUE"""),"원")</f>
        <v>원</v>
      </c>
      <c r="L1118" s="26" t="str">
        <f>IFERROR(__xludf.DUMMYFUNCTION("""COMPUTED_VALUE"""),"강화")</f>
        <v>강화</v>
      </c>
      <c r="M1118" s="26" t="str">
        <f>IFERROR(__xludf.DUMMYFUNCTION("""COMPUTED_VALUE"""),"신형만")</f>
        <v>신형만</v>
      </c>
      <c r="N1118" s="26" t="str">
        <f>IFERROR(__xludf.DUMMYFUNCTION("ARRAYFORMULA(REGEXEXTRACT(SPLIT(E1118, ""&lt;br&gt;""), ""([가-힣A-Za-z]+)""))"),"ACDC")</f>
        <v>ACDC</v>
      </c>
      <c r="O1118" s="26" t="str">
        <f>IFERROR(__xludf.DUMMYFUNCTION("""COMPUTED_VALUE"""),"짱구")</f>
        <v>짱구</v>
      </c>
      <c r="P1118" s="26" t="str">
        <f>IFERROR(__xludf.DUMMYFUNCTION("""COMPUTED_VALUE"""),"태식")</f>
        <v>태식</v>
      </c>
      <c r="Q1118" s="26" t="str">
        <f>IFERROR(__xludf.DUMMYFUNCTION("""COMPUTED_VALUE"""),"깡패")</f>
        <v>깡패</v>
      </c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</row>
    <row r="1119">
      <c r="A1119" s="27" t="s">
        <v>4729</v>
      </c>
      <c r="B1119" s="28" t="s">
        <v>4730</v>
      </c>
      <c r="C1119" s="27" t="s">
        <v>4731</v>
      </c>
      <c r="D1119" s="27">
        <v>5.0</v>
      </c>
      <c r="E1119" s="27" t="s">
        <v>4732</v>
      </c>
      <c r="F1119" s="27">
        <v>4.0</v>
      </c>
      <c r="G1119" s="29">
        <v>45655.92916666667</v>
      </c>
      <c r="H1119" s="27" t="s">
        <v>4257</v>
      </c>
      <c r="I1119" s="18"/>
      <c r="J1119" s="25" t="str">
        <f>IFERROR(__xludf.DUMMYFUNCTION("ARRAYFORMULA(REGEXEXTRACT(SPLIT(C1119, ""&lt;br&gt;""), ""([가-힣A-Za-z]+)""))"),"노인")</f>
        <v>노인</v>
      </c>
      <c r="K1119" s="26" t="str">
        <f>IFERROR(__xludf.DUMMYFUNCTION("""COMPUTED_VALUE"""),"원")</f>
        <v>원</v>
      </c>
      <c r="L1119" s="26" t="str">
        <f>IFERROR(__xludf.DUMMYFUNCTION("""COMPUTED_VALUE"""),"짱구")</f>
        <v>짱구</v>
      </c>
      <c r="M1119" s="26" t="str">
        <f>IFERROR(__xludf.DUMMYFUNCTION("""COMPUTED_VALUE"""),"태식")</f>
        <v>태식</v>
      </c>
      <c r="N1119" s="26" t="str">
        <f>IFERROR(__xludf.DUMMYFUNCTION("ARRAYFORMULA(REGEXEXTRACT(SPLIT(E1119, ""&lt;br&gt;""), ""([가-힣A-Za-z]+)""))"),"깡패")</f>
        <v>깡패</v>
      </c>
      <c r="O1119" s="26" t="str">
        <f>IFERROR(__xludf.DUMMYFUNCTION("""COMPUTED_VALUE"""),"신형만")</f>
        <v>신형만</v>
      </c>
      <c r="P1119" s="26" t="str">
        <f>IFERROR(__xludf.DUMMYFUNCTION("""COMPUTED_VALUE"""),"테리")</f>
        <v>테리</v>
      </c>
      <c r="Q1119" s="26" t="str">
        <f>IFERROR(__xludf.DUMMYFUNCTION("""COMPUTED_VALUE"""),"강화")</f>
        <v>강화</v>
      </c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</row>
    <row r="1120">
      <c r="A1120" s="27" t="s">
        <v>4733</v>
      </c>
      <c r="B1120" s="28" t="s">
        <v>4734</v>
      </c>
      <c r="C1120" s="27" t="s">
        <v>4735</v>
      </c>
      <c r="D1120" s="27">
        <v>5.0</v>
      </c>
      <c r="E1120" s="27" t="s">
        <v>4736</v>
      </c>
      <c r="F1120" s="27">
        <v>4.0</v>
      </c>
      <c r="G1120" s="29">
        <v>45649.03472222222</v>
      </c>
      <c r="H1120" s="27" t="s">
        <v>4737</v>
      </c>
      <c r="I1120" s="18"/>
      <c r="J1120" s="25" t="str">
        <f>IFERROR(__xludf.DUMMYFUNCTION("ARRAYFORMULA(REGEXEXTRACT(SPLIT(C1120, ""&lt;br&gt;""), ""([가-힣A-Za-z]+)""))"),"테리")</f>
        <v>테리</v>
      </c>
      <c r="K1120" s="26" t="str">
        <f>IFERROR(__xludf.DUMMYFUNCTION("""COMPUTED_VALUE"""),"짱구")</f>
        <v>짱구</v>
      </c>
      <c r="L1120" s="26" t="str">
        <f>IFERROR(__xludf.DUMMYFUNCTION("""COMPUTED_VALUE"""),"원")</f>
        <v>원</v>
      </c>
      <c r="M1120" s="26" t="str">
        <f>IFERROR(__xludf.DUMMYFUNCTION("""COMPUTED_VALUE"""),"깡패")</f>
        <v>깡패</v>
      </c>
      <c r="N1120" s="26" t="str">
        <f>IFERROR(__xludf.DUMMYFUNCTION("ARRAYFORMULA(REGEXEXTRACT(SPLIT(E1120, ""&lt;br&gt;""), ""([가-힣A-Za-z]+)""))"),"노인")</f>
        <v>노인</v>
      </c>
      <c r="O1120" s="26" t="str">
        <f>IFERROR(__xludf.DUMMYFUNCTION("""COMPUTED_VALUE"""),"재우")</f>
        <v>재우</v>
      </c>
      <c r="P1120" s="26" t="str">
        <f>IFERROR(__xludf.DUMMYFUNCTION("""COMPUTED_VALUE"""),"신형만")</f>
        <v>신형만</v>
      </c>
      <c r="Q1120" s="26" t="str">
        <f>IFERROR(__xludf.DUMMYFUNCTION("""COMPUTED_VALUE"""),"태식")</f>
        <v>태식</v>
      </c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</row>
    <row r="1121">
      <c r="A1121" s="27" t="s">
        <v>4738</v>
      </c>
      <c r="B1121" s="28" t="s">
        <v>4739</v>
      </c>
      <c r="C1121" s="27" t="s">
        <v>4740</v>
      </c>
      <c r="D1121" s="27">
        <v>5.0</v>
      </c>
      <c r="E1121" s="27" t="s">
        <v>4741</v>
      </c>
      <c r="F1121" s="27">
        <v>0.0</v>
      </c>
      <c r="G1121" s="29">
        <v>45648.98611111111</v>
      </c>
      <c r="H1121" s="27" t="s">
        <v>4737</v>
      </c>
      <c r="I1121" s="18"/>
      <c r="J1121" s="25" t="str">
        <f>IFERROR(__xludf.DUMMYFUNCTION("ARRAYFORMULA(REGEXEXTRACT(SPLIT(C1121, ""&lt;br&gt;""), ""([가-힣A-Za-z]+)""))"),"원")</f>
        <v>원</v>
      </c>
      <c r="K1121" s="26" t="str">
        <f>IFERROR(__xludf.DUMMYFUNCTION("""COMPUTED_VALUE"""),"짱구")</f>
        <v>짱구</v>
      </c>
      <c r="L1121" s="26" t="str">
        <f>IFERROR(__xludf.DUMMYFUNCTION("""COMPUTED_VALUE"""),"신형만")</f>
        <v>신형만</v>
      </c>
      <c r="M1121" s="26" t="str">
        <f>IFERROR(__xludf.DUMMYFUNCTION("""COMPUTED_VALUE"""),"노인")</f>
        <v>노인</v>
      </c>
      <c r="N1121" s="26" t="str">
        <f>IFERROR(__xludf.DUMMYFUNCTION("ARRAYFORMULA(REGEXEXTRACT(SPLIT(E1121, ""&lt;br&gt;""), ""([가-힣A-Za-z]+)""))"),"테리")</f>
        <v>테리</v>
      </c>
      <c r="O1121" s="26" t="str">
        <f>IFERROR(__xludf.DUMMYFUNCTION("""COMPUTED_VALUE"""),"재우")</f>
        <v>재우</v>
      </c>
      <c r="P1121" s="26" t="str">
        <f>IFERROR(__xludf.DUMMYFUNCTION("""COMPUTED_VALUE"""),"깡패")</f>
        <v>깡패</v>
      </c>
      <c r="Q1121" s="26" t="str">
        <f>IFERROR(__xludf.DUMMYFUNCTION("""COMPUTED_VALUE"""),"태식")</f>
        <v>태식</v>
      </c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</row>
    <row r="1122">
      <c r="A1122" s="27" t="s">
        <v>4742</v>
      </c>
      <c r="B1122" s="28" t="s">
        <v>4743</v>
      </c>
      <c r="C1122" s="27" t="s">
        <v>4744</v>
      </c>
      <c r="D1122" s="27">
        <v>5.0</v>
      </c>
      <c r="E1122" s="27" t="s">
        <v>4745</v>
      </c>
      <c r="F1122" s="27">
        <v>4.0</v>
      </c>
      <c r="G1122" s="29">
        <v>45648.97222222222</v>
      </c>
      <c r="H1122" s="27" t="s">
        <v>4737</v>
      </c>
      <c r="I1122" s="18"/>
      <c r="J1122" s="25" t="str">
        <f>IFERROR(__xludf.DUMMYFUNCTION("ARRAYFORMULA(REGEXEXTRACT(SPLIT(C1122, ""&lt;br&gt;""), ""([가-힣A-Za-z]+)""))"),"짱구")</f>
        <v>짱구</v>
      </c>
      <c r="K1122" s="26" t="str">
        <f>IFERROR(__xludf.DUMMYFUNCTION("""COMPUTED_VALUE"""),"테리")</f>
        <v>테리</v>
      </c>
      <c r="L1122" s="26" t="str">
        <f>IFERROR(__xludf.DUMMYFUNCTION("""COMPUTED_VALUE"""),"신형만")</f>
        <v>신형만</v>
      </c>
      <c r="M1122" s="26" t="str">
        <f>IFERROR(__xludf.DUMMYFUNCTION("""COMPUTED_VALUE"""),"재우")</f>
        <v>재우</v>
      </c>
      <c r="N1122" s="26" t="str">
        <f>IFERROR(__xludf.DUMMYFUNCTION("ARRAYFORMULA(REGEXEXTRACT(SPLIT(E1122, ""&lt;br&gt;""), ""([가-힣A-Za-z]+)""))"),"태식")</f>
        <v>태식</v>
      </c>
      <c r="O1122" s="26" t="str">
        <f>IFERROR(__xludf.DUMMYFUNCTION("""COMPUTED_VALUE"""),"깡패")</f>
        <v>깡패</v>
      </c>
      <c r="P1122" s="26" t="str">
        <f>IFERROR(__xludf.DUMMYFUNCTION("""COMPUTED_VALUE"""),"노인")</f>
        <v>노인</v>
      </c>
      <c r="Q1122" s="26" t="str">
        <f>IFERROR(__xludf.DUMMYFUNCTION("""COMPUTED_VALUE"""),"원")</f>
        <v>원</v>
      </c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</row>
    <row r="1123">
      <c r="A1123" s="27" t="s">
        <v>4746</v>
      </c>
      <c r="B1123" s="28" t="s">
        <v>4747</v>
      </c>
      <c r="C1123" s="27" t="s">
        <v>4748</v>
      </c>
      <c r="D1123" s="27">
        <v>5.0</v>
      </c>
      <c r="E1123" s="27" t="s">
        <v>4749</v>
      </c>
      <c r="F1123" s="27">
        <v>4.0</v>
      </c>
      <c r="G1123" s="29">
        <v>45648.9375</v>
      </c>
      <c r="H1123" s="27" t="s">
        <v>4737</v>
      </c>
      <c r="I1123" s="18"/>
      <c r="J1123" s="25" t="str">
        <f>IFERROR(__xludf.DUMMYFUNCTION("ARRAYFORMULA(REGEXEXTRACT(SPLIT(C1123, ""&lt;br&gt;""), ""([가-힣A-Za-z]+)""))"),"테리")</f>
        <v>테리</v>
      </c>
      <c r="K1123" s="26" t="str">
        <f>IFERROR(__xludf.DUMMYFUNCTION("""COMPUTED_VALUE"""),"원")</f>
        <v>원</v>
      </c>
      <c r="L1123" s="26" t="str">
        <f>IFERROR(__xludf.DUMMYFUNCTION("""COMPUTED_VALUE"""),"짱구")</f>
        <v>짱구</v>
      </c>
      <c r="M1123" s="26" t="str">
        <f>IFERROR(__xludf.DUMMYFUNCTION("""COMPUTED_VALUE"""),"태식")</f>
        <v>태식</v>
      </c>
      <c r="N1123" s="26" t="str">
        <f>IFERROR(__xludf.DUMMYFUNCTION("ARRAYFORMULA(REGEXEXTRACT(SPLIT(E1123, ""&lt;br&gt;""), ""([가-힣A-Za-z]+)""))"),"신형만")</f>
        <v>신형만</v>
      </c>
      <c r="O1123" s="26" t="str">
        <f>IFERROR(__xludf.DUMMYFUNCTION("""COMPUTED_VALUE"""),"노인")</f>
        <v>노인</v>
      </c>
      <c r="P1123" s="26" t="str">
        <f>IFERROR(__xludf.DUMMYFUNCTION("""COMPUTED_VALUE"""),"깡패")</f>
        <v>깡패</v>
      </c>
      <c r="Q1123" s="26" t="str">
        <f>IFERROR(__xludf.DUMMYFUNCTION("""COMPUTED_VALUE"""),"재우")</f>
        <v>재우</v>
      </c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</row>
    <row r="1124">
      <c r="A1124" s="27" t="s">
        <v>4750</v>
      </c>
      <c r="B1124" s="28" t="s">
        <v>4751</v>
      </c>
      <c r="C1124" s="27" t="s">
        <v>4752</v>
      </c>
      <c r="D1124" s="27">
        <v>5.0</v>
      </c>
      <c r="E1124" s="27" t="s">
        <v>4753</v>
      </c>
      <c r="F1124" s="27">
        <v>3.0</v>
      </c>
      <c r="G1124" s="29">
        <v>45648.902083333334</v>
      </c>
      <c r="H1124" s="27" t="s">
        <v>4737</v>
      </c>
      <c r="I1124" s="18"/>
      <c r="J1124" s="25" t="str">
        <f>IFERROR(__xludf.DUMMYFUNCTION("ARRAYFORMULA(REGEXEXTRACT(SPLIT(C1124, ""&lt;br&gt;""), ""([가-힣A-Za-z]+)""))"),"태식")</f>
        <v>태식</v>
      </c>
      <c r="K1124" s="26" t="str">
        <f>IFERROR(__xludf.DUMMYFUNCTION("""COMPUTED_VALUE"""),"원")</f>
        <v>원</v>
      </c>
      <c r="L1124" s="26" t="str">
        <f>IFERROR(__xludf.DUMMYFUNCTION("""COMPUTED_VALUE"""),"깡패")</f>
        <v>깡패</v>
      </c>
      <c r="M1124" s="26" t="str">
        <f>IFERROR(__xludf.DUMMYFUNCTION("""COMPUTED_VALUE"""),"신형만")</f>
        <v>신형만</v>
      </c>
      <c r="N1124" s="26" t="str">
        <f>IFERROR(__xludf.DUMMYFUNCTION("ARRAYFORMULA(REGEXEXTRACT(SPLIT(E1124, ""&lt;br&gt;""), ""([가-힣A-Za-z]+)""))"),"짱구")</f>
        <v>짱구</v>
      </c>
      <c r="O1124" s="26" t="str">
        <f>IFERROR(__xludf.DUMMYFUNCTION("""COMPUTED_VALUE"""),"테리")</f>
        <v>테리</v>
      </c>
      <c r="P1124" s="26" t="str">
        <f>IFERROR(__xludf.DUMMYFUNCTION("""COMPUTED_VALUE"""),"노인")</f>
        <v>노인</v>
      </c>
      <c r="Q1124" s="26" t="str">
        <f>IFERROR(__xludf.DUMMYFUNCTION("""COMPUTED_VALUE"""),"재우")</f>
        <v>재우</v>
      </c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</row>
    <row r="1125">
      <c r="A1125" s="27" t="s">
        <v>4754</v>
      </c>
      <c r="B1125" s="28" t="s">
        <v>4755</v>
      </c>
      <c r="C1125" s="27" t="s">
        <v>4756</v>
      </c>
      <c r="D1125" s="27">
        <v>5.0</v>
      </c>
      <c r="E1125" s="27" t="s">
        <v>4757</v>
      </c>
      <c r="F1125" s="27">
        <v>4.0</v>
      </c>
      <c r="G1125" s="29">
        <v>45648.87569444445</v>
      </c>
      <c r="H1125" s="27" t="s">
        <v>4737</v>
      </c>
      <c r="I1125" s="18"/>
      <c r="J1125" s="25" t="str">
        <f>IFERROR(__xludf.DUMMYFUNCTION("ARRAYFORMULA(REGEXEXTRACT(SPLIT(C1125, ""&lt;br&gt;""), ""([가-힣A-Za-z]+)""))"),"깡패")</f>
        <v>깡패</v>
      </c>
      <c r="K1125" s="26" t="str">
        <f>IFERROR(__xludf.DUMMYFUNCTION("""COMPUTED_VALUE"""),"재우")</f>
        <v>재우</v>
      </c>
      <c r="L1125" s="26" t="str">
        <f>IFERROR(__xludf.DUMMYFUNCTION("""COMPUTED_VALUE"""),"테리")</f>
        <v>테리</v>
      </c>
      <c r="M1125" s="26" t="str">
        <f>IFERROR(__xludf.DUMMYFUNCTION("""COMPUTED_VALUE"""),"신형만")</f>
        <v>신형만</v>
      </c>
      <c r="N1125" s="26" t="str">
        <f>IFERROR(__xludf.DUMMYFUNCTION("ARRAYFORMULA(REGEXEXTRACT(SPLIT(E1125, ""&lt;br&gt;""), ""([가-힣A-Za-z]+)""))"),"원")</f>
        <v>원</v>
      </c>
      <c r="O1125" s="26" t="str">
        <f>IFERROR(__xludf.DUMMYFUNCTION("""COMPUTED_VALUE"""),"짱구")</f>
        <v>짱구</v>
      </c>
      <c r="P1125" s="26" t="str">
        <f>IFERROR(__xludf.DUMMYFUNCTION("""COMPUTED_VALUE"""),"태식")</f>
        <v>태식</v>
      </c>
      <c r="Q1125" s="26" t="str">
        <f>IFERROR(__xludf.DUMMYFUNCTION("""COMPUTED_VALUE"""),"노인")</f>
        <v>노인</v>
      </c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</row>
    <row r="1126">
      <c r="A1126" s="27" t="s">
        <v>4758</v>
      </c>
      <c r="B1126" s="28" t="s">
        <v>4759</v>
      </c>
      <c r="C1126" s="27" t="s">
        <v>4760</v>
      </c>
      <c r="D1126" s="27">
        <v>5.0</v>
      </c>
      <c r="E1126" s="27" t="s">
        <v>4761</v>
      </c>
      <c r="F1126" s="27">
        <v>3.0</v>
      </c>
      <c r="G1126" s="29">
        <v>45647.111805555556</v>
      </c>
      <c r="H1126" s="27" t="s">
        <v>4737</v>
      </c>
      <c r="I1126" s="18"/>
      <c r="J1126" s="25" t="str">
        <f>IFERROR(__xludf.DUMMYFUNCTION("ARRAYFORMULA(REGEXEXTRACT(SPLIT(C1126, ""&lt;br&gt;""), ""([가-힣A-Za-z]+)""))"),"ACDC")</f>
        <v>ACDC</v>
      </c>
      <c r="K1126" s="26" t="str">
        <f>IFERROR(__xludf.DUMMYFUNCTION("""COMPUTED_VALUE"""),"짱구")</f>
        <v>짱구</v>
      </c>
      <c r="L1126" s="26" t="str">
        <f>IFERROR(__xludf.DUMMYFUNCTION("""COMPUTED_VALUE"""),"테리")</f>
        <v>테리</v>
      </c>
      <c r="M1126" s="26" t="str">
        <f>IFERROR(__xludf.DUMMYFUNCTION("""COMPUTED_VALUE"""),"노인")</f>
        <v>노인</v>
      </c>
      <c r="N1126" s="26" t="str">
        <f>IFERROR(__xludf.DUMMYFUNCTION("ARRAYFORMULA(REGEXEXTRACT(SPLIT(E1126, ""&lt;br&gt;""), ""([가-힣A-Za-z]+)""))"),"태식")</f>
        <v>태식</v>
      </c>
      <c r="O1126" s="26" t="str">
        <f>IFERROR(__xludf.DUMMYFUNCTION("""COMPUTED_VALUE"""),"깡패")</f>
        <v>깡패</v>
      </c>
      <c r="P1126" s="26" t="str">
        <f>IFERROR(__xludf.DUMMYFUNCTION("""COMPUTED_VALUE"""),"신형만")</f>
        <v>신형만</v>
      </c>
      <c r="Q1126" s="26" t="str">
        <f>IFERROR(__xludf.DUMMYFUNCTION("""COMPUTED_VALUE"""),"따")</f>
        <v>따</v>
      </c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</row>
    <row r="1127">
      <c r="A1127" s="27" t="s">
        <v>4762</v>
      </c>
      <c r="B1127" s="28" t="s">
        <v>4763</v>
      </c>
      <c r="C1127" s="27" t="s">
        <v>4764</v>
      </c>
      <c r="D1127" s="27">
        <v>5.0</v>
      </c>
      <c r="E1127" s="27" t="s">
        <v>4765</v>
      </c>
      <c r="F1127" s="27">
        <v>1.0</v>
      </c>
      <c r="G1127" s="29">
        <v>45647.07152777778</v>
      </c>
      <c r="H1127" s="27" t="s">
        <v>4737</v>
      </c>
      <c r="I1127" s="18"/>
      <c r="J1127" s="25" t="str">
        <f>IFERROR(__xludf.DUMMYFUNCTION("ARRAYFORMULA(REGEXEXTRACT(SPLIT(C1127, ""&lt;br&gt;""), ""([가-힣A-Za-z]+)""))"),"테리")</f>
        <v>테리</v>
      </c>
      <c r="K1127" s="26" t="str">
        <f>IFERROR(__xludf.DUMMYFUNCTION("""COMPUTED_VALUE"""),"따")</f>
        <v>따</v>
      </c>
      <c r="L1127" s="26" t="str">
        <f>IFERROR(__xludf.DUMMYFUNCTION("""COMPUTED_VALUE"""),"노인")</f>
        <v>노인</v>
      </c>
      <c r="M1127" s="26" t="str">
        <f>IFERROR(__xludf.DUMMYFUNCTION("""COMPUTED_VALUE"""),"깡패")</f>
        <v>깡패</v>
      </c>
      <c r="N1127" s="26" t="str">
        <f>IFERROR(__xludf.DUMMYFUNCTION("ARRAYFORMULA(REGEXEXTRACT(SPLIT(E1127, ""&lt;br&gt;""), ""([가-힣A-Za-z]+)""))"),"태식")</f>
        <v>태식</v>
      </c>
      <c r="O1127" s="26" t="str">
        <f>IFERROR(__xludf.DUMMYFUNCTION("""COMPUTED_VALUE"""),"짱구")</f>
        <v>짱구</v>
      </c>
      <c r="P1127" s="26" t="str">
        <f>IFERROR(__xludf.DUMMYFUNCTION("""COMPUTED_VALUE"""),"신형만")</f>
        <v>신형만</v>
      </c>
      <c r="Q1127" s="26" t="str">
        <f>IFERROR(__xludf.DUMMYFUNCTION("""COMPUTED_VALUE"""),"ACDC")</f>
        <v>ACDC</v>
      </c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</row>
    <row r="1128">
      <c r="A1128" s="27" t="s">
        <v>4766</v>
      </c>
      <c r="B1128" s="28" t="s">
        <v>4767</v>
      </c>
      <c r="C1128" s="27" t="s">
        <v>4768</v>
      </c>
      <c r="D1128" s="27">
        <v>5.0</v>
      </c>
      <c r="E1128" s="27" t="s">
        <v>4769</v>
      </c>
      <c r="F1128" s="27">
        <v>3.0</v>
      </c>
      <c r="G1128" s="29">
        <v>45647.0375</v>
      </c>
      <c r="H1128" s="27" t="s">
        <v>4737</v>
      </c>
      <c r="I1128" s="18"/>
      <c r="J1128" s="25" t="str">
        <f>IFERROR(__xludf.DUMMYFUNCTION("ARRAYFORMULA(REGEXEXTRACT(SPLIT(C1128, ""&lt;br&gt;""), ""([가-힣A-Za-z]+)""))"),"테리")</f>
        <v>테리</v>
      </c>
      <c r="K1128" s="26" t="str">
        <f>IFERROR(__xludf.DUMMYFUNCTION("""COMPUTED_VALUE"""),"따")</f>
        <v>따</v>
      </c>
      <c r="L1128" s="26" t="str">
        <f>IFERROR(__xludf.DUMMYFUNCTION("""COMPUTED_VALUE"""),"짱구")</f>
        <v>짱구</v>
      </c>
      <c r="M1128" s="26" t="str">
        <f>IFERROR(__xludf.DUMMYFUNCTION("""COMPUTED_VALUE"""),"신형만")</f>
        <v>신형만</v>
      </c>
      <c r="N1128" s="26" t="str">
        <f>IFERROR(__xludf.DUMMYFUNCTION("ARRAYFORMULA(REGEXEXTRACT(SPLIT(E1128, ""&lt;br&gt;""), ""([가-힣A-Za-z]+)""))"),"민우")</f>
        <v>민우</v>
      </c>
      <c r="O1128" s="26" t="str">
        <f>IFERROR(__xludf.DUMMYFUNCTION("""COMPUTED_VALUE"""),"태식")</f>
        <v>태식</v>
      </c>
      <c r="P1128" s="26" t="str">
        <f>IFERROR(__xludf.DUMMYFUNCTION("""COMPUTED_VALUE"""),"깡패")</f>
        <v>깡패</v>
      </c>
      <c r="Q1128" s="26" t="str">
        <f>IFERROR(__xludf.DUMMYFUNCTION("""COMPUTED_VALUE"""),"노인")</f>
        <v>노인</v>
      </c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</row>
    <row r="1129">
      <c r="A1129" s="27" t="s">
        <v>4770</v>
      </c>
      <c r="B1129" s="28" t="s">
        <v>4771</v>
      </c>
      <c r="C1129" s="27" t="s">
        <v>4772</v>
      </c>
      <c r="D1129" s="27">
        <v>5.0</v>
      </c>
      <c r="E1129" s="27" t="s">
        <v>4773</v>
      </c>
      <c r="F1129" s="27">
        <v>4.0</v>
      </c>
      <c r="G1129" s="29">
        <v>45647.00277777778</v>
      </c>
      <c r="H1129" s="27" t="s">
        <v>4737</v>
      </c>
      <c r="I1129" s="18"/>
      <c r="J1129" s="25" t="str">
        <f>IFERROR(__xludf.DUMMYFUNCTION("ARRAYFORMULA(REGEXEXTRACT(SPLIT(C1129, ""&lt;br&gt;""), ""([가-힣A-Za-z]+)""))"),"민우")</f>
        <v>민우</v>
      </c>
      <c r="K1129" s="26" t="str">
        <f>IFERROR(__xludf.DUMMYFUNCTION("""COMPUTED_VALUE"""),"재우")</f>
        <v>재우</v>
      </c>
      <c r="L1129" s="26" t="str">
        <f>IFERROR(__xludf.DUMMYFUNCTION("""COMPUTED_VALUE"""),"깡패")</f>
        <v>깡패</v>
      </c>
      <c r="M1129" s="26" t="str">
        <f>IFERROR(__xludf.DUMMYFUNCTION("""COMPUTED_VALUE"""),"노인")</f>
        <v>노인</v>
      </c>
      <c r="N1129" s="26" t="str">
        <f>IFERROR(__xludf.DUMMYFUNCTION("ARRAYFORMULA(REGEXEXTRACT(SPLIT(E1129, ""&lt;br&gt;""), ""([가-힣A-Za-z]+)""))"),"신형만")</f>
        <v>신형만</v>
      </c>
      <c r="O1129" s="26" t="str">
        <f>IFERROR(__xludf.DUMMYFUNCTION("""COMPUTED_VALUE"""),"짱구")</f>
        <v>짱구</v>
      </c>
      <c r="P1129" s="26" t="str">
        <f>IFERROR(__xludf.DUMMYFUNCTION("""COMPUTED_VALUE"""),"ACDC")</f>
        <v>ACDC</v>
      </c>
      <c r="Q1129" s="26" t="str">
        <f>IFERROR(__xludf.DUMMYFUNCTION("""COMPUTED_VALUE"""),"태식")</f>
        <v>태식</v>
      </c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</row>
    <row r="1130">
      <c r="A1130" s="27" t="s">
        <v>4774</v>
      </c>
      <c r="B1130" s="28" t="s">
        <v>4775</v>
      </c>
      <c r="C1130" s="27" t="s">
        <v>4776</v>
      </c>
      <c r="D1130" s="27">
        <v>5.0</v>
      </c>
      <c r="E1130" s="27" t="s">
        <v>4777</v>
      </c>
      <c r="F1130" s="27">
        <v>3.0</v>
      </c>
      <c r="G1130" s="29">
        <v>45646.95763888889</v>
      </c>
      <c r="H1130" s="27" t="s">
        <v>4737</v>
      </c>
      <c r="I1130" s="18"/>
      <c r="J1130" s="25" t="str">
        <f>IFERROR(__xludf.DUMMYFUNCTION("ARRAYFORMULA(REGEXEXTRACT(SPLIT(C1130, ""&lt;br&gt;""), ""([가-힣A-Za-z]+)""))"),"테리")</f>
        <v>테리</v>
      </c>
      <c r="K1130" s="26" t="str">
        <f>IFERROR(__xludf.DUMMYFUNCTION("""COMPUTED_VALUE"""),"태식")</f>
        <v>태식</v>
      </c>
      <c r="L1130" s="26" t="str">
        <f>IFERROR(__xludf.DUMMYFUNCTION("""COMPUTED_VALUE"""),"깡패")</f>
        <v>깡패</v>
      </c>
      <c r="M1130" s="26" t="str">
        <f>IFERROR(__xludf.DUMMYFUNCTION("""COMPUTED_VALUE"""),"신형만")</f>
        <v>신형만</v>
      </c>
      <c r="N1130" s="26" t="str">
        <f>IFERROR(__xludf.DUMMYFUNCTION("ARRAYFORMULA(REGEXEXTRACT(SPLIT(E1130, ""&lt;br&gt;""), ""([가-힣A-Za-z]+)""))"),"기재")</f>
        <v>기재</v>
      </c>
      <c r="O1130" s="26" t="str">
        <f>IFERROR(__xludf.DUMMYFUNCTION("""COMPUTED_VALUE"""),"노인")</f>
        <v>노인</v>
      </c>
      <c r="P1130" s="26" t="str">
        <f>IFERROR(__xludf.DUMMYFUNCTION("""COMPUTED_VALUE"""),"ACDC")</f>
        <v>ACDC</v>
      </c>
      <c r="Q1130" s="26" t="str">
        <f>IFERROR(__xludf.DUMMYFUNCTION("""COMPUTED_VALUE"""),"민우")</f>
        <v>민우</v>
      </c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</row>
    <row r="1131">
      <c r="A1131" s="27" t="s">
        <v>4778</v>
      </c>
      <c r="B1131" s="28" t="s">
        <v>4779</v>
      </c>
      <c r="C1131" s="27" t="s">
        <v>4780</v>
      </c>
      <c r="D1131" s="27">
        <v>5.0</v>
      </c>
      <c r="E1131" s="27" t="s">
        <v>4781</v>
      </c>
      <c r="F1131" s="27">
        <v>2.0</v>
      </c>
      <c r="G1131" s="29">
        <v>45646.913194444445</v>
      </c>
      <c r="H1131" s="27" t="s">
        <v>4737</v>
      </c>
      <c r="I1131" s="18"/>
      <c r="J1131" s="25" t="str">
        <f>IFERROR(__xludf.DUMMYFUNCTION("ARRAYFORMULA(REGEXEXTRACT(SPLIT(C1131, ""&lt;br&gt;""), ""([가-힣A-Za-z]+)""))"),"신형만")</f>
        <v>신형만</v>
      </c>
      <c r="K1131" s="26" t="str">
        <f>IFERROR(__xludf.DUMMYFUNCTION("""COMPUTED_VALUE"""),"테리")</f>
        <v>테리</v>
      </c>
      <c r="L1131" s="26" t="str">
        <f>IFERROR(__xludf.DUMMYFUNCTION("""COMPUTED_VALUE"""),"ACDC")</f>
        <v>ACDC</v>
      </c>
      <c r="M1131" s="26" t="str">
        <f>IFERROR(__xludf.DUMMYFUNCTION("""COMPUTED_VALUE"""),"노인")</f>
        <v>노인</v>
      </c>
      <c r="N1131" s="26" t="str">
        <f>IFERROR(__xludf.DUMMYFUNCTION("ARRAYFORMULA(REGEXEXTRACT(SPLIT(E1131, ""&lt;br&gt;""), ""([가-힣A-Za-z]+)""))"),"민우")</f>
        <v>민우</v>
      </c>
      <c r="O1131" s="26" t="str">
        <f>IFERROR(__xludf.DUMMYFUNCTION("""COMPUTED_VALUE"""),"태식")</f>
        <v>태식</v>
      </c>
      <c r="P1131" s="26" t="str">
        <f>IFERROR(__xludf.DUMMYFUNCTION("""COMPUTED_VALUE"""),"깡패")</f>
        <v>깡패</v>
      </c>
      <c r="Q1131" s="26" t="str">
        <f>IFERROR(__xludf.DUMMYFUNCTION("""COMPUTED_VALUE"""),"기재")</f>
        <v>기재</v>
      </c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</row>
    <row r="1132">
      <c r="A1132" s="27" t="s">
        <v>4782</v>
      </c>
      <c r="B1132" s="28" t="s">
        <v>4783</v>
      </c>
      <c r="C1132" s="27" t="s">
        <v>4784</v>
      </c>
      <c r="D1132" s="27">
        <v>5.0</v>
      </c>
      <c r="E1132" s="27" t="s">
        <v>4785</v>
      </c>
      <c r="F1132" s="27">
        <v>2.0</v>
      </c>
      <c r="G1132" s="29">
        <v>45646.05694444444</v>
      </c>
      <c r="H1132" s="27" t="s">
        <v>4737</v>
      </c>
      <c r="I1132" s="18"/>
      <c r="J1132" s="25" t="str">
        <f>IFERROR(__xludf.DUMMYFUNCTION("ARRAYFORMULA(REGEXEXTRACT(SPLIT(C1132, ""&lt;br&gt;""), ""([가-힣A-Za-z]+)""))"),"신형만")</f>
        <v>신형만</v>
      </c>
      <c r="K1132" s="26" t="str">
        <f>IFERROR(__xludf.DUMMYFUNCTION("""COMPUTED_VALUE"""),"재우")</f>
        <v>재우</v>
      </c>
      <c r="L1132" s="26" t="str">
        <f>IFERROR(__xludf.DUMMYFUNCTION("""COMPUTED_VALUE"""),"원")</f>
        <v>원</v>
      </c>
      <c r="M1132" s="26" t="str">
        <f>IFERROR(__xludf.DUMMYFUNCTION("""COMPUTED_VALUE"""),"깡패")</f>
        <v>깡패</v>
      </c>
      <c r="N1132" s="26" t="str">
        <f>IFERROR(__xludf.DUMMYFUNCTION("ARRAYFORMULA(REGEXEXTRACT(SPLIT(E1132, ""&lt;br&gt;""), ""([가-힣A-Za-z]+)""))"),"참치")</f>
        <v>참치</v>
      </c>
      <c r="O1132" s="26" t="str">
        <f>IFERROR(__xludf.DUMMYFUNCTION("""COMPUTED_VALUE"""),"노인")</f>
        <v>노인</v>
      </c>
      <c r="P1132" s="26" t="str">
        <f>IFERROR(__xludf.DUMMYFUNCTION("""COMPUTED_VALUE"""),"테리")</f>
        <v>테리</v>
      </c>
      <c r="Q1132" s="26" t="str">
        <f>IFERROR(__xludf.DUMMYFUNCTION("""COMPUTED_VALUE"""),"ACDC")</f>
        <v>ACDC</v>
      </c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</row>
    <row r="1133">
      <c r="A1133" s="27" t="s">
        <v>4786</v>
      </c>
      <c r="B1133" s="28" t="s">
        <v>4787</v>
      </c>
      <c r="C1133" s="27" t="s">
        <v>4788</v>
      </c>
      <c r="D1133" s="27">
        <v>5.0</v>
      </c>
      <c r="E1133" s="27" t="s">
        <v>4789</v>
      </c>
      <c r="F1133" s="27">
        <v>1.0</v>
      </c>
      <c r="G1133" s="29">
        <v>45646.02847222222</v>
      </c>
      <c r="H1133" s="27" t="s">
        <v>4737</v>
      </c>
      <c r="I1133" s="18"/>
      <c r="J1133" s="25" t="str">
        <f>IFERROR(__xludf.DUMMYFUNCTION("ARRAYFORMULA(REGEXEXTRACT(SPLIT(C1133, ""&lt;br&gt;""), ""([가-힣A-Za-z]+)""))"),"원")</f>
        <v>원</v>
      </c>
      <c r="K1133" s="26" t="str">
        <f>IFERROR(__xludf.DUMMYFUNCTION("""COMPUTED_VALUE"""),"참치")</f>
        <v>참치</v>
      </c>
      <c r="L1133" s="26" t="str">
        <f>IFERROR(__xludf.DUMMYFUNCTION("""COMPUTED_VALUE"""),"테리")</f>
        <v>테리</v>
      </c>
      <c r="M1133" s="26" t="str">
        <f>IFERROR(__xludf.DUMMYFUNCTION("""COMPUTED_VALUE"""),"재우")</f>
        <v>재우</v>
      </c>
      <c r="N1133" s="26" t="str">
        <f>IFERROR(__xludf.DUMMYFUNCTION("ARRAYFORMULA(REGEXEXTRACT(SPLIT(E1133, ""&lt;br&gt;""), ""([가-힣A-Za-z]+)""))"),"노인")</f>
        <v>노인</v>
      </c>
      <c r="O1133" s="26" t="str">
        <f>IFERROR(__xludf.DUMMYFUNCTION("""COMPUTED_VALUE"""),"신형만")</f>
        <v>신형만</v>
      </c>
      <c r="P1133" s="26" t="str">
        <f>IFERROR(__xludf.DUMMYFUNCTION("""COMPUTED_VALUE"""),"ACDC")</f>
        <v>ACDC</v>
      </c>
      <c r="Q1133" s="26" t="str">
        <f>IFERROR(__xludf.DUMMYFUNCTION("""COMPUTED_VALUE"""),"깡패")</f>
        <v>깡패</v>
      </c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</row>
    <row r="1134">
      <c r="A1134" s="27" t="s">
        <v>4790</v>
      </c>
      <c r="B1134" s="28" t="s">
        <v>4791</v>
      </c>
      <c r="C1134" s="27" t="s">
        <v>4792</v>
      </c>
      <c r="D1134" s="27">
        <v>5.0</v>
      </c>
      <c r="E1134" s="27" t="s">
        <v>4793</v>
      </c>
      <c r="F1134" s="27">
        <v>0.0</v>
      </c>
      <c r="G1134" s="29">
        <v>45646.00763888889</v>
      </c>
      <c r="H1134" s="27" t="s">
        <v>4737</v>
      </c>
      <c r="I1134" s="18"/>
      <c r="J1134" s="25" t="str">
        <f>IFERROR(__xludf.DUMMYFUNCTION("ARRAYFORMULA(REGEXEXTRACT(SPLIT(C1134, ""&lt;br&gt;""), ""([가-힣A-Za-z]+)""))"),"신형만")</f>
        <v>신형만</v>
      </c>
      <c r="K1134" s="26" t="str">
        <f>IFERROR(__xludf.DUMMYFUNCTION("""COMPUTED_VALUE"""),"원")</f>
        <v>원</v>
      </c>
      <c r="L1134" s="26" t="str">
        <f>IFERROR(__xludf.DUMMYFUNCTION("""COMPUTED_VALUE"""),"테리")</f>
        <v>테리</v>
      </c>
      <c r="M1134" s="26" t="str">
        <f>IFERROR(__xludf.DUMMYFUNCTION("""COMPUTED_VALUE"""),"노인")</f>
        <v>노인</v>
      </c>
      <c r="N1134" s="26" t="str">
        <f>IFERROR(__xludf.DUMMYFUNCTION("ARRAYFORMULA(REGEXEXTRACT(SPLIT(E1134, ""&lt;br&gt;""), ""([가-힣A-Za-z]+)""))"),"참치")</f>
        <v>참치</v>
      </c>
      <c r="O1134" s="26" t="str">
        <f>IFERROR(__xludf.DUMMYFUNCTION("""COMPUTED_VALUE"""),"깡패")</f>
        <v>깡패</v>
      </c>
      <c r="P1134" s="26" t="str">
        <f>IFERROR(__xludf.DUMMYFUNCTION("""COMPUTED_VALUE"""),"짱구")</f>
        <v>짱구</v>
      </c>
      <c r="Q1134" s="26" t="str">
        <f>IFERROR(__xludf.DUMMYFUNCTION("""COMPUTED_VALUE"""),"ACDC")</f>
        <v>ACDC</v>
      </c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</row>
    <row r="1135">
      <c r="A1135" s="27" t="s">
        <v>4794</v>
      </c>
      <c r="B1135" s="28" t="s">
        <v>4795</v>
      </c>
      <c r="C1135" s="27" t="s">
        <v>4796</v>
      </c>
      <c r="D1135" s="27">
        <v>5.0</v>
      </c>
      <c r="E1135" s="27" t="s">
        <v>4797</v>
      </c>
      <c r="F1135" s="27">
        <v>3.0</v>
      </c>
      <c r="G1135" s="29">
        <v>45645.98888888889</v>
      </c>
      <c r="H1135" s="27" t="s">
        <v>4737</v>
      </c>
      <c r="I1135" s="18"/>
      <c r="J1135" s="25" t="str">
        <f>IFERROR(__xludf.DUMMYFUNCTION("ARRAYFORMULA(REGEXEXTRACT(SPLIT(C1135, ""&lt;br&gt;""), ""([가-힣A-Za-z]+)""))"),"깡패")</f>
        <v>깡패</v>
      </c>
      <c r="K1135" s="26" t="str">
        <f>IFERROR(__xludf.DUMMYFUNCTION("""COMPUTED_VALUE"""),"짱구")</f>
        <v>짱구</v>
      </c>
      <c r="L1135" s="26" t="str">
        <f>IFERROR(__xludf.DUMMYFUNCTION("""COMPUTED_VALUE"""),"원")</f>
        <v>원</v>
      </c>
      <c r="M1135" s="26" t="str">
        <f>IFERROR(__xludf.DUMMYFUNCTION("""COMPUTED_VALUE"""),"노인")</f>
        <v>노인</v>
      </c>
      <c r="N1135" s="26" t="str">
        <f>IFERROR(__xludf.DUMMYFUNCTION("ARRAYFORMULA(REGEXEXTRACT(SPLIT(E1135, ""&lt;br&gt;""), ""([가-힣A-Za-z]+)""))"),"참치")</f>
        <v>참치</v>
      </c>
      <c r="O1135" s="26" t="str">
        <f>IFERROR(__xludf.DUMMYFUNCTION("""COMPUTED_VALUE"""),"신형만")</f>
        <v>신형만</v>
      </c>
      <c r="P1135" s="26" t="str">
        <f>IFERROR(__xludf.DUMMYFUNCTION("""COMPUTED_VALUE"""),"테리")</f>
        <v>테리</v>
      </c>
      <c r="Q1135" s="26" t="str">
        <f>IFERROR(__xludf.DUMMYFUNCTION("""COMPUTED_VALUE"""),"ACDC")</f>
        <v>ACDC</v>
      </c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</row>
    <row r="1136">
      <c r="A1136" s="27" t="s">
        <v>4798</v>
      </c>
      <c r="B1136" s="28" t="s">
        <v>4799</v>
      </c>
      <c r="C1136" s="27" t="s">
        <v>4800</v>
      </c>
      <c r="D1136" s="27">
        <v>5.0</v>
      </c>
      <c r="E1136" s="27" t="s">
        <v>4801</v>
      </c>
      <c r="F1136" s="27">
        <v>2.0</v>
      </c>
      <c r="G1136" s="29">
        <v>45645.92986111111</v>
      </c>
      <c r="H1136" s="27" t="s">
        <v>4737</v>
      </c>
      <c r="I1136" s="18"/>
      <c r="J1136" s="25" t="str">
        <f>IFERROR(__xludf.DUMMYFUNCTION("ARRAYFORMULA(REGEXEXTRACT(SPLIT(C1136, ""&lt;br&gt;""), ""([가-힣A-Za-z]+)""))"),"테리")</f>
        <v>테리</v>
      </c>
      <c r="K1136" s="26" t="str">
        <f>IFERROR(__xludf.DUMMYFUNCTION("""COMPUTED_VALUE"""),"깡패")</f>
        <v>깡패</v>
      </c>
      <c r="L1136" s="26" t="str">
        <f>IFERROR(__xludf.DUMMYFUNCTION("""COMPUTED_VALUE"""),"짱구")</f>
        <v>짱구</v>
      </c>
      <c r="M1136" s="26" t="str">
        <f>IFERROR(__xludf.DUMMYFUNCTION("""COMPUTED_VALUE"""),"신형만")</f>
        <v>신형만</v>
      </c>
      <c r="N1136" s="26" t="str">
        <f>IFERROR(__xludf.DUMMYFUNCTION("ARRAYFORMULA(REGEXEXTRACT(SPLIT(E1136, ""&lt;br&gt;""), ""([가-힣A-Za-z]+)""))"),"원")</f>
        <v>원</v>
      </c>
      <c r="O1136" s="26" t="str">
        <f>IFERROR(__xludf.DUMMYFUNCTION("""COMPUTED_VALUE"""),"재우")</f>
        <v>재우</v>
      </c>
      <c r="P1136" s="26" t="str">
        <f>IFERROR(__xludf.DUMMYFUNCTION("""COMPUTED_VALUE"""),"노인")</f>
        <v>노인</v>
      </c>
      <c r="Q1136" s="26" t="str">
        <f>IFERROR(__xludf.DUMMYFUNCTION("""COMPUTED_VALUE"""),"ACDC")</f>
        <v>ACDC</v>
      </c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</row>
    <row r="1137">
      <c r="A1137" s="27" t="s">
        <v>4802</v>
      </c>
      <c r="B1137" s="28" t="s">
        <v>4803</v>
      </c>
      <c r="C1137" s="27" t="s">
        <v>4804</v>
      </c>
      <c r="D1137" s="27">
        <v>5.0</v>
      </c>
      <c r="E1137" s="27" t="s">
        <v>4805</v>
      </c>
      <c r="F1137" s="27">
        <v>2.0</v>
      </c>
      <c r="G1137" s="29">
        <v>45645.907638888886</v>
      </c>
      <c r="H1137" s="27" t="s">
        <v>4737</v>
      </c>
      <c r="I1137" s="18"/>
      <c r="J1137" s="25" t="str">
        <f>IFERROR(__xludf.DUMMYFUNCTION("ARRAYFORMULA(REGEXEXTRACT(SPLIT(C1137, ""&lt;br&gt;""), ""([가-힣A-Za-z]+)""))"),"노인")</f>
        <v>노인</v>
      </c>
      <c r="K1137" s="26" t="str">
        <f>IFERROR(__xludf.DUMMYFUNCTION("""COMPUTED_VALUE"""),"신형만")</f>
        <v>신형만</v>
      </c>
      <c r="L1137" s="26" t="str">
        <f>IFERROR(__xludf.DUMMYFUNCTION("""COMPUTED_VALUE"""),"짱구")</f>
        <v>짱구</v>
      </c>
      <c r="M1137" s="26" t="str">
        <f>IFERROR(__xludf.DUMMYFUNCTION("""COMPUTED_VALUE"""),"재명")</f>
        <v>재명</v>
      </c>
      <c r="N1137" s="26" t="str">
        <f>IFERROR(__xludf.DUMMYFUNCTION("ARRAYFORMULA(REGEXEXTRACT(SPLIT(E1137, ""&lt;br&gt;""), ""([가-힣A-Za-z]+)""))"),"ACDC")</f>
        <v>ACDC</v>
      </c>
      <c r="O1137" s="26" t="str">
        <f>IFERROR(__xludf.DUMMYFUNCTION("""COMPUTED_VALUE"""),"테리")</f>
        <v>테리</v>
      </c>
      <c r="P1137" s="26" t="str">
        <f>IFERROR(__xludf.DUMMYFUNCTION("""COMPUTED_VALUE"""),"깡패")</f>
        <v>깡패</v>
      </c>
      <c r="Q1137" s="26" t="str">
        <f>IFERROR(__xludf.DUMMYFUNCTION("""COMPUTED_VALUE"""),"재우")</f>
        <v>재우</v>
      </c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</row>
    <row r="1138">
      <c r="A1138" s="27" t="s">
        <v>4806</v>
      </c>
      <c r="B1138" s="28" t="s">
        <v>4807</v>
      </c>
      <c r="C1138" s="27" t="s">
        <v>4808</v>
      </c>
      <c r="D1138" s="27">
        <v>5.0</v>
      </c>
      <c r="E1138" s="27" t="s">
        <v>4809</v>
      </c>
      <c r="F1138" s="27">
        <v>4.0</v>
      </c>
      <c r="G1138" s="29">
        <v>45645.87708333333</v>
      </c>
      <c r="H1138" s="27" t="s">
        <v>4737</v>
      </c>
      <c r="I1138" s="18"/>
      <c r="J1138" s="25" t="str">
        <f>IFERROR(__xludf.DUMMYFUNCTION("ARRAYFORMULA(REGEXEXTRACT(SPLIT(C1138, ""&lt;br&gt;""), ""([가-힣A-Za-z]+)""))"),"깡패")</f>
        <v>깡패</v>
      </c>
      <c r="K1138" s="26" t="str">
        <f>IFERROR(__xludf.DUMMYFUNCTION("""COMPUTED_VALUE"""),"짱구")</f>
        <v>짱구</v>
      </c>
      <c r="L1138" s="26" t="str">
        <f>IFERROR(__xludf.DUMMYFUNCTION("""COMPUTED_VALUE"""),"노인")</f>
        <v>노인</v>
      </c>
      <c r="M1138" s="26" t="str">
        <f>IFERROR(__xludf.DUMMYFUNCTION("""COMPUTED_VALUE"""),"ACDC")</f>
        <v>ACDC</v>
      </c>
      <c r="N1138" s="26" t="str">
        <f>IFERROR(__xludf.DUMMYFUNCTION("ARRAYFORMULA(REGEXEXTRACT(SPLIT(E1138, ""&lt;br&gt;""), ""([가-힣A-Za-z]+)""))"),"테리")</f>
        <v>테리</v>
      </c>
      <c r="O1138" s="26" t="str">
        <f>IFERROR(__xludf.DUMMYFUNCTION("""COMPUTED_VALUE"""),"신형만")</f>
        <v>신형만</v>
      </c>
      <c r="P1138" s="26" t="str">
        <f>IFERROR(__xludf.DUMMYFUNCTION("""COMPUTED_VALUE"""),"재명")</f>
        <v>재명</v>
      </c>
      <c r="Q1138" s="26" t="str">
        <f>IFERROR(__xludf.DUMMYFUNCTION("""COMPUTED_VALUE"""),"재우")</f>
        <v>재우</v>
      </c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</row>
    <row r="1139">
      <c r="A1139" s="27" t="s">
        <v>4810</v>
      </c>
      <c r="B1139" s="28" t="s">
        <v>4811</v>
      </c>
      <c r="C1139" s="27" t="s">
        <v>4812</v>
      </c>
      <c r="D1139" s="27">
        <v>5.0</v>
      </c>
      <c r="E1139" s="27" t="s">
        <v>4813</v>
      </c>
      <c r="F1139" s="27">
        <v>1.0</v>
      </c>
      <c r="G1139" s="29">
        <v>45644.106944444444</v>
      </c>
      <c r="H1139" s="27" t="s">
        <v>4737</v>
      </c>
      <c r="I1139" s="18"/>
      <c r="J1139" s="25" t="str">
        <f>IFERROR(__xludf.DUMMYFUNCTION("ARRAYFORMULA(REGEXEXTRACT(SPLIT(C1139, ""&lt;br&gt;""), ""([가-힣A-Za-z]+)""))"),"키키")</f>
        <v>키키</v>
      </c>
      <c r="K1139" s="26" t="str">
        <f>IFERROR(__xludf.DUMMYFUNCTION("""COMPUTED_VALUE"""),"깡패")</f>
        <v>깡패</v>
      </c>
      <c r="L1139" s="26" t="str">
        <f>IFERROR(__xludf.DUMMYFUNCTION("""COMPUTED_VALUE"""),"짱구")</f>
        <v>짱구</v>
      </c>
      <c r="M1139" s="26" t="str">
        <f>IFERROR(__xludf.DUMMYFUNCTION("""COMPUTED_VALUE"""),"따")</f>
        <v>따</v>
      </c>
      <c r="N1139" s="26" t="str">
        <f>IFERROR(__xludf.DUMMYFUNCTION("ARRAYFORMULA(REGEXEXTRACT(SPLIT(E1139, ""&lt;br&gt;""), ""([가-힣A-Za-z]+)""))"),"ACDC")</f>
        <v>ACDC</v>
      </c>
      <c r="O1139" s="26" t="str">
        <f>IFERROR(__xludf.DUMMYFUNCTION("""COMPUTED_VALUE"""),"태식")</f>
        <v>태식</v>
      </c>
      <c r="P1139" s="26" t="str">
        <f>IFERROR(__xludf.DUMMYFUNCTION("""COMPUTED_VALUE"""),"신형만")</f>
        <v>신형만</v>
      </c>
      <c r="Q1139" s="26" t="str">
        <f>IFERROR(__xludf.DUMMYFUNCTION("""COMPUTED_VALUE"""),"노인")</f>
        <v>노인</v>
      </c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</row>
    <row r="1140">
      <c r="A1140" s="27" t="s">
        <v>4814</v>
      </c>
      <c r="B1140" s="28" t="s">
        <v>4815</v>
      </c>
      <c r="C1140" s="27" t="s">
        <v>4816</v>
      </c>
      <c r="D1140" s="27">
        <v>5.0</v>
      </c>
      <c r="E1140" s="27" t="s">
        <v>4817</v>
      </c>
      <c r="F1140" s="27">
        <v>4.0</v>
      </c>
      <c r="G1140" s="29">
        <v>45644.07638888889</v>
      </c>
      <c r="H1140" s="27" t="s">
        <v>4737</v>
      </c>
      <c r="I1140" s="18"/>
      <c r="J1140" s="25" t="str">
        <f>IFERROR(__xludf.DUMMYFUNCTION("ARRAYFORMULA(REGEXEXTRACT(SPLIT(C1140, ""&lt;br&gt;""), ""([가-힣A-Za-z]+)""))"),"ACDC")</f>
        <v>ACDC</v>
      </c>
      <c r="K1140" s="26" t="str">
        <f>IFERROR(__xludf.DUMMYFUNCTION("""COMPUTED_VALUE"""),"깡패")</f>
        <v>깡패</v>
      </c>
      <c r="L1140" s="26" t="str">
        <f>IFERROR(__xludf.DUMMYFUNCTION("""COMPUTED_VALUE"""),"참치")</f>
        <v>참치</v>
      </c>
      <c r="M1140" s="26" t="str">
        <f>IFERROR(__xludf.DUMMYFUNCTION("""COMPUTED_VALUE"""),"태식")</f>
        <v>태식</v>
      </c>
      <c r="N1140" s="26" t="str">
        <f>IFERROR(__xludf.DUMMYFUNCTION("ARRAYFORMULA(REGEXEXTRACT(SPLIT(E1140, ""&lt;br&gt;""), ""([가-힣A-Za-z]+)""))"),"키키")</f>
        <v>키키</v>
      </c>
      <c r="O1140" s="26" t="str">
        <f>IFERROR(__xludf.DUMMYFUNCTION("""COMPUTED_VALUE"""),"노인")</f>
        <v>노인</v>
      </c>
      <c r="P1140" s="26" t="str">
        <f>IFERROR(__xludf.DUMMYFUNCTION("""COMPUTED_VALUE"""),"짱구")</f>
        <v>짱구</v>
      </c>
      <c r="Q1140" s="26" t="str">
        <f>IFERROR(__xludf.DUMMYFUNCTION("""COMPUTED_VALUE"""),"신형만")</f>
        <v>신형만</v>
      </c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</row>
    <row r="1141">
      <c r="A1141" s="27" t="s">
        <v>4818</v>
      </c>
      <c r="B1141" s="28" t="s">
        <v>4819</v>
      </c>
      <c r="C1141" s="27" t="s">
        <v>4820</v>
      </c>
      <c r="D1141" s="27">
        <v>5.0</v>
      </c>
      <c r="E1141" s="27" t="s">
        <v>4821</v>
      </c>
      <c r="F1141" s="27">
        <v>4.0</v>
      </c>
      <c r="G1141" s="29">
        <v>45644.03472222222</v>
      </c>
      <c r="H1141" s="27" t="s">
        <v>4737</v>
      </c>
      <c r="I1141" s="18"/>
      <c r="J1141" s="25" t="str">
        <f>IFERROR(__xludf.DUMMYFUNCTION("ARRAYFORMULA(REGEXEXTRACT(SPLIT(C1141, ""&lt;br&gt;""), ""([가-힣A-Za-z]+)""))"),"ACDC")</f>
        <v>ACDC</v>
      </c>
      <c r="K1141" s="26" t="str">
        <f>IFERROR(__xludf.DUMMYFUNCTION("""COMPUTED_VALUE"""),"깡패")</f>
        <v>깡패</v>
      </c>
      <c r="L1141" s="26" t="str">
        <f>IFERROR(__xludf.DUMMYFUNCTION("""COMPUTED_VALUE"""),"롤")</f>
        <v>롤</v>
      </c>
      <c r="M1141" s="26" t="str">
        <f>IFERROR(__xludf.DUMMYFUNCTION("""COMPUTED_VALUE"""),"키키")</f>
        <v>키키</v>
      </c>
      <c r="N1141" s="26" t="str">
        <f>IFERROR(__xludf.DUMMYFUNCTION("ARRAYFORMULA(REGEXEXTRACT(SPLIT(E1141, ""&lt;br&gt;""), ""([가-힣A-Za-z]+)""))"),"신형만")</f>
        <v>신형만</v>
      </c>
      <c r="O1141" s="26" t="str">
        <f>IFERROR(__xludf.DUMMYFUNCTION("""COMPUTED_VALUE"""),"따")</f>
        <v>따</v>
      </c>
      <c r="P1141" s="26" t="str">
        <f>IFERROR(__xludf.DUMMYFUNCTION("""COMPUTED_VALUE"""),"조드")</f>
        <v>조드</v>
      </c>
      <c r="Q1141" s="26" t="str">
        <f>IFERROR(__xludf.DUMMYFUNCTION("""COMPUTED_VALUE"""),"태식")</f>
        <v>태식</v>
      </c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</row>
    <row r="1142">
      <c r="A1142" s="27" t="s">
        <v>4822</v>
      </c>
      <c r="B1142" s="28" t="s">
        <v>4823</v>
      </c>
      <c r="C1142" s="27" t="s">
        <v>4824</v>
      </c>
      <c r="D1142" s="27">
        <v>5.0</v>
      </c>
      <c r="E1142" s="27" t="s">
        <v>4825</v>
      </c>
      <c r="F1142" s="27">
        <v>4.0</v>
      </c>
      <c r="G1142" s="29">
        <v>45643.99444444444</v>
      </c>
      <c r="H1142" s="27" t="s">
        <v>4737</v>
      </c>
      <c r="I1142" s="18"/>
      <c r="J1142" s="25" t="str">
        <f>IFERROR(__xludf.DUMMYFUNCTION("ARRAYFORMULA(REGEXEXTRACT(SPLIT(C1142, ""&lt;br&gt;""), ""([가-힣A-Za-z]+)""))"),"태식")</f>
        <v>태식</v>
      </c>
      <c r="K1142" s="26" t="str">
        <f>IFERROR(__xludf.DUMMYFUNCTION("""COMPUTED_VALUE"""),"롤")</f>
        <v>롤</v>
      </c>
      <c r="L1142" s="26" t="str">
        <f>IFERROR(__xludf.DUMMYFUNCTION("""COMPUTED_VALUE"""),"깡패")</f>
        <v>깡패</v>
      </c>
      <c r="M1142" s="26" t="str">
        <f>IFERROR(__xludf.DUMMYFUNCTION("""COMPUTED_VALUE"""),"따")</f>
        <v>따</v>
      </c>
      <c r="N1142" s="26" t="str">
        <f>IFERROR(__xludf.DUMMYFUNCTION("ARRAYFORMULA(REGEXEXTRACT(SPLIT(E1142, ""&lt;br&gt;""), ""([가-힣A-Za-z]+)""))"),"ACDC")</f>
        <v>ACDC</v>
      </c>
      <c r="O1142" s="26" t="str">
        <f>IFERROR(__xludf.DUMMYFUNCTION("""COMPUTED_VALUE"""),"조드")</f>
        <v>조드</v>
      </c>
      <c r="P1142" s="26" t="str">
        <f>IFERROR(__xludf.DUMMYFUNCTION("""COMPUTED_VALUE"""),"신형만")</f>
        <v>신형만</v>
      </c>
      <c r="Q1142" s="26" t="str">
        <f>IFERROR(__xludf.DUMMYFUNCTION("""COMPUTED_VALUE"""),"키키")</f>
        <v>키키</v>
      </c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</row>
    <row r="1143">
      <c r="A1143" s="27" t="s">
        <v>4826</v>
      </c>
      <c r="B1143" s="28" t="s">
        <v>4827</v>
      </c>
      <c r="C1143" s="27" t="s">
        <v>4828</v>
      </c>
      <c r="D1143" s="27">
        <v>5.0</v>
      </c>
      <c r="E1143" s="27" t="s">
        <v>4829</v>
      </c>
      <c r="F1143" s="27">
        <v>1.0</v>
      </c>
      <c r="G1143" s="29">
        <v>45643.95416666667</v>
      </c>
      <c r="H1143" s="27" t="s">
        <v>4737</v>
      </c>
      <c r="I1143" s="18"/>
      <c r="J1143" s="25" t="str">
        <f>IFERROR(__xludf.DUMMYFUNCTION("ARRAYFORMULA(REGEXEXTRACT(SPLIT(C1143, ""&lt;br&gt;""), ""([가-힣A-Za-z]+)""))"),"노인")</f>
        <v>노인</v>
      </c>
      <c r="K1143" s="26" t="str">
        <f>IFERROR(__xludf.DUMMYFUNCTION("""COMPUTED_VALUE"""),"조드")</f>
        <v>조드</v>
      </c>
      <c r="L1143" s="26" t="str">
        <f>IFERROR(__xludf.DUMMYFUNCTION("""COMPUTED_VALUE"""),"키키")</f>
        <v>키키</v>
      </c>
      <c r="M1143" s="26" t="str">
        <f>IFERROR(__xludf.DUMMYFUNCTION("""COMPUTED_VALUE"""),"깡패")</f>
        <v>깡패</v>
      </c>
      <c r="N1143" s="26" t="str">
        <f>IFERROR(__xludf.DUMMYFUNCTION("ARRAYFORMULA(REGEXEXTRACT(SPLIT(E1143, ""&lt;br&gt;""), ""([가-힣A-Za-z]+)""))"),"ACDC")</f>
        <v>ACDC</v>
      </c>
      <c r="O1143" s="26" t="str">
        <f>IFERROR(__xludf.DUMMYFUNCTION("""COMPUTED_VALUE"""),"신형만")</f>
        <v>신형만</v>
      </c>
      <c r="P1143" s="26" t="str">
        <f>IFERROR(__xludf.DUMMYFUNCTION("""COMPUTED_VALUE"""),"한메")</f>
        <v>한메</v>
      </c>
      <c r="Q1143" s="26" t="str">
        <f>IFERROR(__xludf.DUMMYFUNCTION("""COMPUTED_VALUE"""),"태식")</f>
        <v>태식</v>
      </c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</row>
    <row r="1144">
      <c r="A1144" s="27" t="s">
        <v>4830</v>
      </c>
      <c r="B1144" s="28" t="s">
        <v>4831</v>
      </c>
      <c r="C1144" s="27" t="s">
        <v>4832</v>
      </c>
      <c r="D1144" s="27">
        <v>5.0</v>
      </c>
      <c r="E1144" s="27" t="s">
        <v>4833</v>
      </c>
      <c r="F1144" s="27">
        <v>2.0</v>
      </c>
      <c r="G1144" s="29">
        <v>45643.915972222225</v>
      </c>
      <c r="H1144" s="27" t="s">
        <v>4737</v>
      </c>
      <c r="I1144" s="18"/>
      <c r="J1144" s="25" t="str">
        <f>IFERROR(__xludf.DUMMYFUNCTION("ARRAYFORMULA(REGEXEXTRACT(SPLIT(C1144, ""&lt;br&gt;""), ""([가-힣A-Za-z]+)""))"),"신형만")</f>
        <v>신형만</v>
      </c>
      <c r="K1144" s="26" t="str">
        <f>IFERROR(__xludf.DUMMYFUNCTION("""COMPUTED_VALUE"""),"테리")</f>
        <v>테리</v>
      </c>
      <c r="L1144" s="26" t="str">
        <f>IFERROR(__xludf.DUMMYFUNCTION("""COMPUTED_VALUE"""),"ACDC")</f>
        <v>ACDC</v>
      </c>
      <c r="M1144" s="26" t="str">
        <f>IFERROR(__xludf.DUMMYFUNCTION("""COMPUTED_VALUE"""),"키키")</f>
        <v>키키</v>
      </c>
      <c r="N1144" s="26" t="str">
        <f>IFERROR(__xludf.DUMMYFUNCTION("ARRAYFORMULA(REGEXEXTRACT(SPLIT(E1144, ""&lt;br&gt;""), ""([가-힣A-Za-z]+)""))"),"한메")</f>
        <v>한메</v>
      </c>
      <c r="O1144" s="26" t="str">
        <f>IFERROR(__xludf.DUMMYFUNCTION("""COMPUTED_VALUE"""),"오딘")</f>
        <v>오딘</v>
      </c>
      <c r="P1144" s="26" t="str">
        <f>IFERROR(__xludf.DUMMYFUNCTION("""COMPUTED_VALUE"""),"깡패")</f>
        <v>깡패</v>
      </c>
      <c r="Q1144" s="26" t="str">
        <f>IFERROR(__xludf.DUMMYFUNCTION("""COMPUTED_VALUE"""),"노인")</f>
        <v>노인</v>
      </c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</row>
    <row r="1145">
      <c r="A1145" s="27" t="s">
        <v>4834</v>
      </c>
      <c r="B1145" s="28" t="s">
        <v>4835</v>
      </c>
      <c r="C1145" s="27" t="s">
        <v>4836</v>
      </c>
      <c r="D1145" s="27">
        <v>5.0</v>
      </c>
      <c r="E1145" s="27" t="s">
        <v>4837</v>
      </c>
      <c r="F1145" s="27">
        <v>1.0</v>
      </c>
      <c r="G1145" s="29">
        <v>45643.89097222222</v>
      </c>
      <c r="H1145" s="27" t="s">
        <v>4737</v>
      </c>
      <c r="I1145" s="18"/>
      <c r="J1145" s="25" t="str">
        <f>IFERROR(__xludf.DUMMYFUNCTION("ARRAYFORMULA(REGEXEXTRACT(SPLIT(C1145, ""&lt;br&gt;""), ""([가-힣A-Za-z]+)""))"),"한메")</f>
        <v>한메</v>
      </c>
      <c r="K1145" s="26" t="str">
        <f>IFERROR(__xludf.DUMMYFUNCTION("""COMPUTED_VALUE"""),"노인")</f>
        <v>노인</v>
      </c>
      <c r="L1145" s="26" t="str">
        <f>IFERROR(__xludf.DUMMYFUNCTION("""COMPUTED_VALUE"""),"키키")</f>
        <v>키키</v>
      </c>
      <c r="M1145" s="26" t="str">
        <f>IFERROR(__xludf.DUMMYFUNCTION("""COMPUTED_VALUE"""),"신형만")</f>
        <v>신형만</v>
      </c>
      <c r="N1145" s="26" t="str">
        <f>IFERROR(__xludf.DUMMYFUNCTION("ARRAYFORMULA(REGEXEXTRACT(SPLIT(E1145, ""&lt;br&gt;""), ""([가-힣A-Za-z]+)""))"),"테리")</f>
        <v>테리</v>
      </c>
      <c r="O1145" s="26" t="str">
        <f>IFERROR(__xludf.DUMMYFUNCTION("""COMPUTED_VALUE"""),"깡패")</f>
        <v>깡패</v>
      </c>
      <c r="P1145" s="26" t="str">
        <f>IFERROR(__xludf.DUMMYFUNCTION("""COMPUTED_VALUE"""),"오딘")</f>
        <v>오딘</v>
      </c>
      <c r="Q1145" s="26" t="str">
        <f>IFERROR(__xludf.DUMMYFUNCTION("""COMPUTED_VALUE"""),"ACDC")</f>
        <v>ACDC</v>
      </c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</row>
    <row r="1146">
      <c r="A1146" s="27" t="s">
        <v>4838</v>
      </c>
      <c r="B1146" s="28" t="s">
        <v>4839</v>
      </c>
      <c r="C1146" s="27" t="s">
        <v>4840</v>
      </c>
      <c r="D1146" s="27">
        <v>5.0</v>
      </c>
      <c r="E1146" s="27" t="s">
        <v>4841</v>
      </c>
      <c r="F1146" s="27">
        <v>1.0</v>
      </c>
      <c r="G1146" s="29">
        <v>45643.86388888889</v>
      </c>
      <c r="H1146" s="27" t="s">
        <v>4737</v>
      </c>
      <c r="I1146" s="18"/>
      <c r="J1146" s="25" t="str">
        <f>IFERROR(__xludf.DUMMYFUNCTION("ARRAYFORMULA(REGEXEXTRACT(SPLIT(C1146, ""&lt;br&gt;""), ""([가-힣A-Za-z]+)""))"),"키키")</f>
        <v>키키</v>
      </c>
      <c r="K1146" s="26" t="str">
        <f>IFERROR(__xludf.DUMMYFUNCTION("""COMPUTED_VALUE"""),"테리")</f>
        <v>테리</v>
      </c>
      <c r="L1146" s="26" t="str">
        <f>IFERROR(__xludf.DUMMYFUNCTION("""COMPUTED_VALUE"""),"깡패")</f>
        <v>깡패</v>
      </c>
      <c r="M1146" s="26" t="str">
        <f>IFERROR(__xludf.DUMMYFUNCTION("""COMPUTED_VALUE"""),"한메")</f>
        <v>한메</v>
      </c>
      <c r="N1146" s="26" t="str">
        <f>IFERROR(__xludf.DUMMYFUNCTION("ARRAYFORMULA(REGEXEXTRACT(SPLIT(E1146, ""&lt;br&gt;""), ""([가-힣A-Za-z]+)""))"),"신형만")</f>
        <v>신형만</v>
      </c>
      <c r="O1146" s="26" t="str">
        <f>IFERROR(__xludf.DUMMYFUNCTION("""COMPUTED_VALUE"""),"노인")</f>
        <v>노인</v>
      </c>
      <c r="P1146" s="26" t="str">
        <f>IFERROR(__xludf.DUMMYFUNCTION("""COMPUTED_VALUE"""),"오딘")</f>
        <v>오딘</v>
      </c>
      <c r="Q1146" s="26" t="str">
        <f>IFERROR(__xludf.DUMMYFUNCTION("""COMPUTED_VALUE"""),"ACDC")</f>
        <v>ACDC</v>
      </c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</row>
    <row r="1147">
      <c r="A1147" s="27" t="s">
        <v>4842</v>
      </c>
      <c r="B1147" s="28" t="s">
        <v>4843</v>
      </c>
      <c r="C1147" s="27" t="s">
        <v>4844</v>
      </c>
      <c r="D1147" s="27">
        <v>5.0</v>
      </c>
      <c r="E1147" s="27" t="s">
        <v>4845</v>
      </c>
      <c r="F1147" s="27">
        <v>2.0</v>
      </c>
      <c r="G1147" s="29">
        <v>45643.11736111111</v>
      </c>
      <c r="H1147" s="27" t="s">
        <v>4737</v>
      </c>
      <c r="I1147" s="18"/>
      <c r="J1147" s="25" t="str">
        <f>IFERROR(__xludf.DUMMYFUNCTION("ARRAYFORMULA(REGEXEXTRACT(SPLIT(C1147, ""&lt;br&gt;""), ""([가-힣A-Za-z]+)""))"),"신형만")</f>
        <v>신형만</v>
      </c>
      <c r="K1147" s="26" t="str">
        <f>IFERROR(__xludf.DUMMYFUNCTION("""COMPUTED_VALUE"""),"따")</f>
        <v>따</v>
      </c>
      <c r="L1147" s="26" t="str">
        <f>IFERROR(__xludf.DUMMYFUNCTION("""COMPUTED_VALUE"""),"강화")</f>
        <v>강화</v>
      </c>
      <c r="M1147" s="26" t="str">
        <f>IFERROR(__xludf.DUMMYFUNCTION("""COMPUTED_VALUE"""),"한메")</f>
        <v>한메</v>
      </c>
      <c r="N1147" s="26" t="str">
        <f>IFERROR(__xludf.DUMMYFUNCTION("ARRAYFORMULA(REGEXEXTRACT(SPLIT(E1147, ""&lt;br&gt;""), ""([가-힣A-Za-z]+)""))"),"깡패")</f>
        <v>깡패</v>
      </c>
      <c r="O1147" s="26" t="str">
        <f>IFERROR(__xludf.DUMMYFUNCTION("""COMPUTED_VALUE"""),"노인")</f>
        <v>노인</v>
      </c>
      <c r="P1147" s="26" t="str">
        <f>IFERROR(__xludf.DUMMYFUNCTION("""COMPUTED_VALUE"""),"ACDC")</f>
        <v>ACDC</v>
      </c>
      <c r="Q1147" s="26" t="str">
        <f>IFERROR(__xludf.DUMMYFUNCTION("""COMPUTED_VALUE"""),"태식")</f>
        <v>태식</v>
      </c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</row>
    <row r="1148">
      <c r="A1148" s="27" t="s">
        <v>4846</v>
      </c>
      <c r="B1148" s="28" t="s">
        <v>4847</v>
      </c>
      <c r="C1148" s="27" t="s">
        <v>4848</v>
      </c>
      <c r="D1148" s="27">
        <v>5.0</v>
      </c>
      <c r="E1148" s="27" t="s">
        <v>4849</v>
      </c>
      <c r="F1148" s="27">
        <v>2.0</v>
      </c>
      <c r="G1148" s="29">
        <v>45643.08888888889</v>
      </c>
      <c r="H1148" s="27" t="s">
        <v>4737</v>
      </c>
      <c r="I1148" s="18"/>
      <c r="J1148" s="25" t="str">
        <f>IFERROR(__xludf.DUMMYFUNCTION("ARRAYFORMULA(REGEXEXTRACT(SPLIT(C1148, ""&lt;br&gt;""), ""([가-힣A-Za-z]+)""))"),"한메")</f>
        <v>한메</v>
      </c>
      <c r="K1148" s="26" t="str">
        <f>IFERROR(__xludf.DUMMYFUNCTION("""COMPUTED_VALUE"""),"신형만")</f>
        <v>신형만</v>
      </c>
      <c r="L1148" s="26" t="str">
        <f>IFERROR(__xludf.DUMMYFUNCTION("""COMPUTED_VALUE"""),"노인")</f>
        <v>노인</v>
      </c>
      <c r="M1148" s="26" t="str">
        <f>IFERROR(__xludf.DUMMYFUNCTION("""COMPUTED_VALUE"""),"ACDC")</f>
        <v>ACDC</v>
      </c>
      <c r="N1148" s="26" t="str">
        <f>IFERROR(__xludf.DUMMYFUNCTION("ARRAYFORMULA(REGEXEXTRACT(SPLIT(E1148, ""&lt;br&gt;""), ""([가-힣A-Za-z]+)""))"),"깡패")</f>
        <v>깡패</v>
      </c>
      <c r="O1148" s="26" t="str">
        <f>IFERROR(__xludf.DUMMYFUNCTION("""COMPUTED_VALUE"""),"따")</f>
        <v>따</v>
      </c>
      <c r="P1148" s="26" t="str">
        <f>IFERROR(__xludf.DUMMYFUNCTION("""COMPUTED_VALUE"""),"태식")</f>
        <v>태식</v>
      </c>
      <c r="Q1148" s="26" t="str">
        <f>IFERROR(__xludf.DUMMYFUNCTION("""COMPUTED_VALUE"""),"강화")</f>
        <v>강화</v>
      </c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</row>
    <row r="1149">
      <c r="A1149" s="27" t="s">
        <v>4850</v>
      </c>
      <c r="B1149" s="28" t="s">
        <v>4851</v>
      </c>
      <c r="C1149" s="27" t="s">
        <v>4852</v>
      </c>
      <c r="D1149" s="27">
        <v>5.0</v>
      </c>
      <c r="E1149" s="27" t="s">
        <v>4853</v>
      </c>
      <c r="F1149" s="27">
        <v>1.0</v>
      </c>
      <c r="G1149" s="29">
        <v>45643.06597222222</v>
      </c>
      <c r="H1149" s="27" t="s">
        <v>4737</v>
      </c>
      <c r="I1149" s="18"/>
      <c r="J1149" s="25" t="str">
        <f>IFERROR(__xludf.DUMMYFUNCTION("ARRAYFORMULA(REGEXEXTRACT(SPLIT(C1149, ""&lt;br&gt;""), ""([가-힣A-Za-z]+)""))"),"노인")</f>
        <v>노인</v>
      </c>
      <c r="K1149" s="26" t="str">
        <f>IFERROR(__xludf.DUMMYFUNCTION("""COMPUTED_VALUE"""),"태식")</f>
        <v>태식</v>
      </c>
      <c r="L1149" s="26" t="str">
        <f>IFERROR(__xludf.DUMMYFUNCTION("""COMPUTED_VALUE"""),"미등록")</f>
        <v>미등록</v>
      </c>
      <c r="M1149" s="26" t="str">
        <f>IFERROR(__xludf.DUMMYFUNCTION("""COMPUTED_VALUE"""),"따")</f>
        <v>따</v>
      </c>
      <c r="N1149" s="26" t="str">
        <f>IFERROR(__xludf.DUMMYFUNCTION("ARRAYFORMULA(REGEXEXTRACT(SPLIT(E1149, ""&lt;br&gt;""), ""([가-힣A-Za-z]+)""))"),"ACDC")</f>
        <v>ACDC</v>
      </c>
      <c r="O1149" s="26" t="str">
        <f>IFERROR(__xludf.DUMMYFUNCTION("""COMPUTED_VALUE"""),"깡패")</f>
        <v>깡패</v>
      </c>
      <c r="P1149" s="26" t="str">
        <f>IFERROR(__xludf.DUMMYFUNCTION("""COMPUTED_VALUE"""),"신형만")</f>
        <v>신형만</v>
      </c>
      <c r="Q1149" s="26" t="str">
        <f>IFERROR(__xludf.DUMMYFUNCTION("""COMPUTED_VALUE"""),"민우")</f>
        <v>민우</v>
      </c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</row>
    <row r="1150">
      <c r="A1150" s="27" t="s">
        <v>4854</v>
      </c>
      <c r="B1150" s="28" t="s">
        <v>4855</v>
      </c>
      <c r="C1150" s="27" t="s">
        <v>4856</v>
      </c>
      <c r="D1150" s="27">
        <v>5.0</v>
      </c>
      <c r="E1150" s="27" t="s">
        <v>4857</v>
      </c>
      <c r="F1150" s="27">
        <v>2.0</v>
      </c>
      <c r="G1150" s="29">
        <v>45643.03194444445</v>
      </c>
      <c r="H1150" s="27" t="s">
        <v>4737</v>
      </c>
      <c r="I1150" s="18"/>
      <c r="J1150" s="25" t="str">
        <f>IFERROR(__xludf.DUMMYFUNCTION("ARRAYFORMULA(REGEXEXTRACT(SPLIT(C1150, ""&lt;br&gt;""), ""([가-힣A-Za-z]+)""))"),"신형만")</f>
        <v>신형만</v>
      </c>
      <c r="K1150" s="26" t="str">
        <f>IFERROR(__xludf.DUMMYFUNCTION("""COMPUTED_VALUE"""),"태식")</f>
        <v>태식</v>
      </c>
      <c r="L1150" s="26" t="str">
        <f>IFERROR(__xludf.DUMMYFUNCTION("""COMPUTED_VALUE"""),"테리")</f>
        <v>테리</v>
      </c>
      <c r="M1150" s="26" t="str">
        <f>IFERROR(__xludf.DUMMYFUNCTION("""COMPUTED_VALUE"""),"ACDC")</f>
        <v>ACDC</v>
      </c>
      <c r="N1150" s="26" t="str">
        <f>IFERROR(__xludf.DUMMYFUNCTION("ARRAYFORMULA(REGEXEXTRACT(SPLIT(E1150, ""&lt;br&gt;""), ""([가-힣A-Za-z]+)""))"),"재우")</f>
        <v>재우</v>
      </c>
      <c r="O1150" s="26" t="str">
        <f>IFERROR(__xludf.DUMMYFUNCTION("""COMPUTED_VALUE"""),"따")</f>
        <v>따</v>
      </c>
      <c r="P1150" s="26" t="str">
        <f>IFERROR(__xludf.DUMMYFUNCTION("""COMPUTED_VALUE"""),"노인")</f>
        <v>노인</v>
      </c>
      <c r="Q1150" s="26" t="str">
        <f>IFERROR(__xludf.DUMMYFUNCTION("""COMPUTED_VALUE"""),"깡패")</f>
        <v>깡패</v>
      </c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</row>
    <row r="1151">
      <c r="A1151" s="27" t="s">
        <v>4858</v>
      </c>
      <c r="B1151" s="28" t="s">
        <v>4859</v>
      </c>
      <c r="C1151" s="27" t="s">
        <v>4860</v>
      </c>
      <c r="D1151" s="27">
        <v>5.0</v>
      </c>
      <c r="E1151" s="27" t="s">
        <v>4861</v>
      </c>
      <c r="F1151" s="27">
        <v>2.0</v>
      </c>
      <c r="G1151" s="29">
        <v>45643.00763888889</v>
      </c>
      <c r="H1151" s="27" t="s">
        <v>4737</v>
      </c>
      <c r="I1151" s="18"/>
      <c r="J1151" s="25" t="str">
        <f>IFERROR(__xludf.DUMMYFUNCTION("ARRAYFORMULA(REGEXEXTRACT(SPLIT(C1151, ""&lt;br&gt;""), ""([가-힣A-Za-z]+)""))"),"ACDC")</f>
        <v>ACDC</v>
      </c>
      <c r="K1151" s="26" t="str">
        <f>IFERROR(__xludf.DUMMYFUNCTION("""COMPUTED_VALUE"""),"테리")</f>
        <v>테리</v>
      </c>
      <c r="L1151" s="26" t="str">
        <f>IFERROR(__xludf.DUMMYFUNCTION("""COMPUTED_VALUE"""),"노인")</f>
        <v>노인</v>
      </c>
      <c r="M1151" s="26" t="str">
        <f>IFERROR(__xludf.DUMMYFUNCTION("""COMPUTED_VALUE"""),"재우")</f>
        <v>재우</v>
      </c>
      <c r="N1151" s="26" t="str">
        <f>IFERROR(__xludf.DUMMYFUNCTION("ARRAYFORMULA(REGEXEXTRACT(SPLIT(E1151, ""&lt;br&gt;""), ""([가-힣A-Za-z]+)""))"),"깡패")</f>
        <v>깡패</v>
      </c>
      <c r="O1151" s="26" t="str">
        <f>IFERROR(__xludf.DUMMYFUNCTION("""COMPUTED_VALUE"""),"따")</f>
        <v>따</v>
      </c>
      <c r="P1151" s="26" t="str">
        <f>IFERROR(__xludf.DUMMYFUNCTION("""COMPUTED_VALUE"""),"태식")</f>
        <v>태식</v>
      </c>
      <c r="Q1151" s="26" t="str">
        <f>IFERROR(__xludf.DUMMYFUNCTION("""COMPUTED_VALUE"""),"신형만")</f>
        <v>신형만</v>
      </c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</row>
    <row r="1152">
      <c r="A1152" s="27" t="s">
        <v>4862</v>
      </c>
      <c r="B1152" s="28" t="s">
        <v>4863</v>
      </c>
      <c r="C1152" s="27" t="s">
        <v>4864</v>
      </c>
      <c r="D1152" s="27">
        <v>5.0</v>
      </c>
      <c r="E1152" s="27" t="s">
        <v>4865</v>
      </c>
      <c r="F1152" s="27">
        <v>4.0</v>
      </c>
      <c r="G1152" s="29">
        <v>45642.98125</v>
      </c>
      <c r="H1152" s="27" t="s">
        <v>4737</v>
      </c>
      <c r="I1152" s="18"/>
      <c r="J1152" s="25" t="str">
        <f>IFERROR(__xludf.DUMMYFUNCTION("ARRAYFORMULA(REGEXEXTRACT(SPLIT(C1152, ""&lt;br&gt;""), ""([가-힣A-Za-z]+)""))"),"강화")</f>
        <v>강화</v>
      </c>
      <c r="K1152" s="26" t="str">
        <f>IFERROR(__xludf.DUMMYFUNCTION("""COMPUTED_VALUE"""),"신형만")</f>
        <v>신형만</v>
      </c>
      <c r="L1152" s="26" t="str">
        <f>IFERROR(__xludf.DUMMYFUNCTION("""COMPUTED_VALUE"""),"노인")</f>
        <v>노인</v>
      </c>
      <c r="M1152" s="26" t="str">
        <f>IFERROR(__xludf.DUMMYFUNCTION("""COMPUTED_VALUE"""),"재우")</f>
        <v>재우</v>
      </c>
      <c r="N1152" s="26" t="str">
        <f>IFERROR(__xludf.DUMMYFUNCTION("ARRAYFORMULA(REGEXEXTRACT(SPLIT(E1152, ""&lt;br&gt;""), ""([가-힣A-Za-z]+)""))"),"ACDC")</f>
        <v>ACDC</v>
      </c>
      <c r="O1152" s="26" t="str">
        <f>IFERROR(__xludf.DUMMYFUNCTION("""COMPUTED_VALUE"""),"태식")</f>
        <v>태식</v>
      </c>
      <c r="P1152" s="26" t="str">
        <f>IFERROR(__xludf.DUMMYFUNCTION("""COMPUTED_VALUE"""),"한메")</f>
        <v>한메</v>
      </c>
      <c r="Q1152" s="26" t="str">
        <f>IFERROR(__xludf.DUMMYFUNCTION("""COMPUTED_VALUE"""),"깡패")</f>
        <v>깡패</v>
      </c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</row>
    <row r="1153">
      <c r="A1153" s="27" t="s">
        <v>4866</v>
      </c>
      <c r="B1153" s="28" t="s">
        <v>4867</v>
      </c>
      <c r="C1153" s="27" t="s">
        <v>4868</v>
      </c>
      <c r="D1153" s="27">
        <v>5.0</v>
      </c>
      <c r="E1153" s="27" t="s">
        <v>4869</v>
      </c>
      <c r="F1153" s="27">
        <v>4.0</v>
      </c>
      <c r="G1153" s="29">
        <v>45642.93472222222</v>
      </c>
      <c r="H1153" s="27" t="s">
        <v>4737</v>
      </c>
      <c r="I1153" s="18"/>
      <c r="J1153" s="25" t="str">
        <f>IFERROR(__xludf.DUMMYFUNCTION("ARRAYFORMULA(REGEXEXTRACT(SPLIT(C1153, ""&lt;br&gt;""), ""([가-힣A-Za-z]+)""))"),"한메")</f>
        <v>한메</v>
      </c>
      <c r="K1153" s="26" t="str">
        <f>IFERROR(__xludf.DUMMYFUNCTION("""COMPUTED_VALUE"""),"테리")</f>
        <v>테리</v>
      </c>
      <c r="L1153" s="26" t="str">
        <f>IFERROR(__xludf.DUMMYFUNCTION("""COMPUTED_VALUE"""),"신형만")</f>
        <v>신형만</v>
      </c>
      <c r="M1153" s="26" t="str">
        <f>IFERROR(__xludf.DUMMYFUNCTION("""COMPUTED_VALUE"""),"재우")</f>
        <v>재우</v>
      </c>
      <c r="N1153" s="26" t="str">
        <f>IFERROR(__xludf.DUMMYFUNCTION("ARRAYFORMULA(REGEXEXTRACT(SPLIT(E1153, ""&lt;br&gt;""), ""([가-힣A-Za-z]+)""))"),"강화")</f>
        <v>강화</v>
      </c>
      <c r="O1153" s="26" t="str">
        <f>IFERROR(__xludf.DUMMYFUNCTION("""COMPUTED_VALUE"""),"노인")</f>
        <v>노인</v>
      </c>
      <c r="P1153" s="26" t="str">
        <f>IFERROR(__xludf.DUMMYFUNCTION("""COMPUTED_VALUE"""),"깡패")</f>
        <v>깡패</v>
      </c>
      <c r="Q1153" s="26" t="str">
        <f>IFERROR(__xludf.DUMMYFUNCTION("""COMPUTED_VALUE"""),"ACDC")</f>
        <v>ACDC</v>
      </c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</row>
    <row r="1154">
      <c r="A1154" s="27" t="s">
        <v>4870</v>
      </c>
      <c r="B1154" s="28" t="s">
        <v>4871</v>
      </c>
      <c r="C1154" s="27" t="s">
        <v>4872</v>
      </c>
      <c r="D1154" s="27">
        <v>5.0</v>
      </c>
      <c r="E1154" s="27" t="s">
        <v>4873</v>
      </c>
      <c r="F1154" s="27">
        <v>1.0</v>
      </c>
      <c r="G1154" s="29">
        <v>45639.955555555556</v>
      </c>
      <c r="H1154" s="27" t="s">
        <v>4737</v>
      </c>
      <c r="I1154" s="18"/>
      <c r="J1154" s="25" t="str">
        <f>IFERROR(__xludf.DUMMYFUNCTION("ARRAYFORMULA(REGEXEXTRACT(SPLIT(C1154, ""&lt;br&gt;""), ""([가-힣A-Za-z]+)""))"),"한메")</f>
        <v>한메</v>
      </c>
      <c r="K1154" s="26" t="str">
        <f>IFERROR(__xludf.DUMMYFUNCTION("""COMPUTED_VALUE"""),"깡패")</f>
        <v>깡패</v>
      </c>
      <c r="L1154" s="26" t="str">
        <f>IFERROR(__xludf.DUMMYFUNCTION("""COMPUTED_VALUE"""),"참치")</f>
        <v>참치</v>
      </c>
      <c r="M1154" s="26" t="str">
        <f>IFERROR(__xludf.DUMMYFUNCTION("""COMPUTED_VALUE"""),"태식")</f>
        <v>태식</v>
      </c>
      <c r="N1154" s="26" t="str">
        <f>IFERROR(__xludf.DUMMYFUNCTION("ARRAYFORMULA(REGEXEXTRACT(SPLIT(E1154, ""&lt;br&gt;""), ""([가-힣A-Za-z]+)""))"),"테리")</f>
        <v>테리</v>
      </c>
      <c r="O1154" s="26" t="str">
        <f>IFERROR(__xludf.DUMMYFUNCTION("""COMPUTED_VALUE"""),"재우")</f>
        <v>재우</v>
      </c>
      <c r="P1154" s="26" t="str">
        <f>IFERROR(__xludf.DUMMYFUNCTION("""COMPUTED_VALUE"""),"짱구")</f>
        <v>짱구</v>
      </c>
      <c r="Q1154" s="26" t="str">
        <f>IFERROR(__xludf.DUMMYFUNCTION("""COMPUTED_VALUE"""),"조드")</f>
        <v>조드</v>
      </c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</row>
    <row r="1155">
      <c r="A1155" s="27" t="s">
        <v>4874</v>
      </c>
      <c r="B1155" s="28" t="s">
        <v>4875</v>
      </c>
      <c r="C1155" s="27" t="s">
        <v>4876</v>
      </c>
      <c r="D1155" s="27">
        <v>5.0</v>
      </c>
      <c r="E1155" s="27" t="s">
        <v>4877</v>
      </c>
      <c r="F1155" s="27">
        <v>2.0</v>
      </c>
      <c r="G1155" s="29">
        <v>45639.123611111114</v>
      </c>
      <c r="H1155" s="27" t="s">
        <v>4737</v>
      </c>
      <c r="I1155" s="18"/>
      <c r="J1155" s="25" t="str">
        <f>IFERROR(__xludf.DUMMYFUNCTION("ARRAYFORMULA(REGEXEXTRACT(SPLIT(C1155, ""&lt;br&gt;""), ""([가-힣A-Za-z]+)""))"),"깡패")</f>
        <v>깡패</v>
      </c>
      <c r="K1155" s="26" t="str">
        <f>IFERROR(__xludf.DUMMYFUNCTION("""COMPUTED_VALUE"""),"재우")</f>
        <v>재우</v>
      </c>
      <c r="L1155" s="26" t="str">
        <f>IFERROR(__xludf.DUMMYFUNCTION("""COMPUTED_VALUE"""),"짱구")</f>
        <v>짱구</v>
      </c>
      <c r="M1155" s="26" t="str">
        <f>IFERROR(__xludf.DUMMYFUNCTION("""COMPUTED_VALUE"""),"신형만")</f>
        <v>신형만</v>
      </c>
      <c r="N1155" s="26" t="str">
        <f>IFERROR(__xludf.DUMMYFUNCTION("ARRAYFORMULA(REGEXEXTRACT(SPLIT(E1155, ""&lt;br&gt;""), ""([가-힣A-Za-z]+)""))"),"한메")</f>
        <v>한메</v>
      </c>
      <c r="O1155" s="26" t="str">
        <f>IFERROR(__xludf.DUMMYFUNCTION("""COMPUTED_VALUE"""),"노인")</f>
        <v>노인</v>
      </c>
      <c r="P1155" s="26" t="str">
        <f>IFERROR(__xludf.DUMMYFUNCTION("""COMPUTED_VALUE"""),"따")</f>
        <v>따</v>
      </c>
      <c r="Q1155" s="26" t="str">
        <f>IFERROR(__xludf.DUMMYFUNCTION("""COMPUTED_VALUE"""),"참치")</f>
        <v>참치</v>
      </c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</row>
    <row r="1156">
      <c r="A1156" s="27" t="s">
        <v>4878</v>
      </c>
      <c r="B1156" s="28" t="s">
        <v>4879</v>
      </c>
      <c r="C1156" s="27" t="s">
        <v>4880</v>
      </c>
      <c r="D1156" s="27">
        <v>5.0</v>
      </c>
      <c r="E1156" s="27" t="s">
        <v>4881</v>
      </c>
      <c r="F1156" s="27">
        <v>2.0</v>
      </c>
      <c r="G1156" s="29">
        <v>45639.106944444444</v>
      </c>
      <c r="H1156" s="27" t="s">
        <v>4737</v>
      </c>
      <c r="I1156" s="18"/>
      <c r="J1156" s="25" t="str">
        <f>IFERROR(__xludf.DUMMYFUNCTION("ARRAYFORMULA(REGEXEXTRACT(SPLIT(C1156, ""&lt;br&gt;""), ""([가-힣A-Za-z]+)""))"),"짱구")</f>
        <v>짱구</v>
      </c>
      <c r="K1156" s="26" t="str">
        <f>IFERROR(__xludf.DUMMYFUNCTION("""COMPUTED_VALUE"""),"깡패")</f>
        <v>깡패</v>
      </c>
      <c r="L1156" s="26" t="str">
        <f>IFERROR(__xludf.DUMMYFUNCTION("""COMPUTED_VALUE"""),"참치")</f>
        <v>참치</v>
      </c>
      <c r="M1156" s="26" t="str">
        <f>IFERROR(__xludf.DUMMYFUNCTION("""COMPUTED_VALUE"""),"한메")</f>
        <v>한메</v>
      </c>
      <c r="N1156" s="26" t="str">
        <f>IFERROR(__xludf.DUMMYFUNCTION("ARRAYFORMULA(REGEXEXTRACT(SPLIT(E1156, ""&lt;br&gt;""), ""([가-힣A-Za-z]+)""))"),"재우")</f>
        <v>재우</v>
      </c>
      <c r="O1156" s="26" t="str">
        <f>IFERROR(__xludf.DUMMYFUNCTION("""COMPUTED_VALUE"""),"신형만")</f>
        <v>신형만</v>
      </c>
      <c r="P1156" s="26" t="str">
        <f>IFERROR(__xludf.DUMMYFUNCTION("""COMPUTED_VALUE"""),"따")</f>
        <v>따</v>
      </c>
      <c r="Q1156" s="26" t="str">
        <f>IFERROR(__xludf.DUMMYFUNCTION("""COMPUTED_VALUE"""),"노인")</f>
        <v>노인</v>
      </c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</row>
    <row r="1157">
      <c r="A1157" s="27" t="s">
        <v>4882</v>
      </c>
      <c r="B1157" s="28" t="s">
        <v>4883</v>
      </c>
      <c r="C1157" s="27" t="s">
        <v>4884</v>
      </c>
      <c r="D1157" s="27">
        <v>5.0</v>
      </c>
      <c r="E1157" s="27" t="s">
        <v>4885</v>
      </c>
      <c r="F1157" s="27">
        <v>1.0</v>
      </c>
      <c r="G1157" s="29">
        <v>45639.06527777778</v>
      </c>
      <c r="H1157" s="27" t="s">
        <v>4737</v>
      </c>
      <c r="I1157" s="18"/>
      <c r="J1157" s="25" t="str">
        <f>IFERROR(__xludf.DUMMYFUNCTION("ARRAYFORMULA(REGEXEXTRACT(SPLIT(C1157, ""&lt;br&gt;""), ""([가-힣A-Za-z]+)""))"),"노인")</f>
        <v>노인</v>
      </c>
      <c r="K1157" s="26" t="str">
        <f>IFERROR(__xludf.DUMMYFUNCTION("""COMPUTED_VALUE"""),"짱구")</f>
        <v>짱구</v>
      </c>
      <c r="L1157" s="26" t="str">
        <f>IFERROR(__xludf.DUMMYFUNCTION("""COMPUTED_VALUE"""),"테리")</f>
        <v>테리</v>
      </c>
      <c r="M1157" s="26" t="str">
        <f>IFERROR(__xludf.DUMMYFUNCTION("""COMPUTED_VALUE"""),"신형만")</f>
        <v>신형만</v>
      </c>
      <c r="N1157" s="26" t="str">
        <f>IFERROR(__xludf.DUMMYFUNCTION("ARRAYFORMULA(REGEXEXTRACT(SPLIT(E1157, ""&lt;br&gt;""), ""([가-힣A-Za-z]+)""))"),"재우")</f>
        <v>재우</v>
      </c>
      <c r="O1157" s="26" t="str">
        <f>IFERROR(__xludf.DUMMYFUNCTION("""COMPUTED_VALUE"""),"깡패")</f>
        <v>깡패</v>
      </c>
      <c r="P1157" s="26" t="str">
        <f>IFERROR(__xludf.DUMMYFUNCTION("""COMPUTED_VALUE"""),"참치")</f>
        <v>참치</v>
      </c>
      <c r="Q1157" s="26" t="str">
        <f>IFERROR(__xludf.DUMMYFUNCTION("""COMPUTED_VALUE"""),"따")</f>
        <v>따</v>
      </c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</row>
    <row r="1158">
      <c r="A1158" s="27" t="s">
        <v>4886</v>
      </c>
      <c r="B1158" s="28" t="s">
        <v>4887</v>
      </c>
      <c r="C1158" s="27" t="s">
        <v>4888</v>
      </c>
      <c r="D1158" s="27">
        <v>5.0</v>
      </c>
      <c r="E1158" s="27" t="s">
        <v>4889</v>
      </c>
      <c r="F1158" s="27">
        <v>3.0</v>
      </c>
      <c r="G1158" s="29">
        <v>45639.04652777778</v>
      </c>
      <c r="H1158" s="27" t="s">
        <v>4737</v>
      </c>
      <c r="I1158" s="18"/>
      <c r="J1158" s="25" t="str">
        <f>IFERROR(__xludf.DUMMYFUNCTION("ARRAYFORMULA(REGEXEXTRACT(SPLIT(C1158, ""&lt;br&gt;""), ""([가-힣A-Za-z]+)""))"),"깡패")</f>
        <v>깡패</v>
      </c>
      <c r="K1158" s="26" t="str">
        <f>IFERROR(__xludf.DUMMYFUNCTION("""COMPUTED_VALUE"""),"테리")</f>
        <v>테리</v>
      </c>
      <c r="L1158" s="26" t="str">
        <f>IFERROR(__xludf.DUMMYFUNCTION("""COMPUTED_VALUE"""),"한메")</f>
        <v>한메</v>
      </c>
      <c r="M1158" s="26" t="str">
        <f>IFERROR(__xludf.DUMMYFUNCTION("""COMPUTED_VALUE"""),"따")</f>
        <v>따</v>
      </c>
      <c r="N1158" s="26" t="str">
        <f>IFERROR(__xludf.DUMMYFUNCTION("ARRAYFORMULA(REGEXEXTRACT(SPLIT(E1158, ""&lt;br&gt;""), ""([가-힣A-Za-z]+)""))"),"재우")</f>
        <v>재우</v>
      </c>
      <c r="O1158" s="26" t="str">
        <f>IFERROR(__xludf.DUMMYFUNCTION("""COMPUTED_VALUE"""),"참치")</f>
        <v>참치</v>
      </c>
      <c r="P1158" s="26" t="str">
        <f>IFERROR(__xludf.DUMMYFUNCTION("""COMPUTED_VALUE"""),"강화")</f>
        <v>강화</v>
      </c>
      <c r="Q1158" s="26" t="str">
        <f>IFERROR(__xludf.DUMMYFUNCTION("""COMPUTED_VALUE"""),"노인")</f>
        <v>노인</v>
      </c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</row>
    <row r="1159">
      <c r="A1159" s="27" t="s">
        <v>4890</v>
      </c>
      <c r="B1159" s="28" t="s">
        <v>4891</v>
      </c>
      <c r="C1159" s="27" t="s">
        <v>4892</v>
      </c>
      <c r="D1159" s="27">
        <v>5.0</v>
      </c>
      <c r="E1159" s="27" t="s">
        <v>4893</v>
      </c>
      <c r="F1159" s="27">
        <v>2.0</v>
      </c>
      <c r="G1159" s="29">
        <v>45639.00208333333</v>
      </c>
      <c r="H1159" s="27" t="s">
        <v>4737</v>
      </c>
      <c r="I1159" s="18"/>
      <c r="J1159" s="25" t="str">
        <f>IFERROR(__xludf.DUMMYFUNCTION("ARRAYFORMULA(REGEXEXTRACT(SPLIT(C1159, ""&lt;br&gt;""), ""([가-힣A-Za-z]+)""))"),"강화")</f>
        <v>강화</v>
      </c>
      <c r="K1159" s="26" t="str">
        <f>IFERROR(__xludf.DUMMYFUNCTION("""COMPUTED_VALUE"""),"태식")</f>
        <v>태식</v>
      </c>
      <c r="L1159" s="26" t="str">
        <f>IFERROR(__xludf.DUMMYFUNCTION("""COMPUTED_VALUE"""),"깡패")</f>
        <v>깡패</v>
      </c>
      <c r="M1159" s="26" t="str">
        <f>IFERROR(__xludf.DUMMYFUNCTION("""COMPUTED_VALUE"""),"재우")</f>
        <v>재우</v>
      </c>
      <c r="N1159" s="26" t="str">
        <f>IFERROR(__xludf.DUMMYFUNCTION("ARRAYFORMULA(REGEXEXTRACT(SPLIT(E1159, ""&lt;br&gt;""), ""([가-힣A-Za-z]+)""))"),"한메")</f>
        <v>한메</v>
      </c>
      <c r="O1159" s="26" t="str">
        <f>IFERROR(__xludf.DUMMYFUNCTION("""COMPUTED_VALUE"""),"참치")</f>
        <v>참치</v>
      </c>
      <c r="P1159" s="26" t="str">
        <f>IFERROR(__xludf.DUMMYFUNCTION("""COMPUTED_VALUE"""),"따")</f>
        <v>따</v>
      </c>
      <c r="Q1159" s="26" t="str">
        <f>IFERROR(__xludf.DUMMYFUNCTION("""COMPUTED_VALUE"""),"노인")</f>
        <v>노인</v>
      </c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</row>
    <row r="1160">
      <c r="A1160" s="27" t="s">
        <v>4894</v>
      </c>
      <c r="B1160" s="28" t="s">
        <v>4895</v>
      </c>
      <c r="C1160" s="27" t="s">
        <v>4896</v>
      </c>
      <c r="D1160" s="27">
        <v>5.0</v>
      </c>
      <c r="E1160" s="27" t="s">
        <v>4897</v>
      </c>
      <c r="F1160" s="27">
        <v>3.0</v>
      </c>
      <c r="G1160" s="29">
        <v>45638.97083333333</v>
      </c>
      <c r="H1160" s="27" t="s">
        <v>4737</v>
      </c>
      <c r="I1160" s="18"/>
      <c r="J1160" s="25" t="str">
        <f>IFERROR(__xludf.DUMMYFUNCTION("ARRAYFORMULA(REGEXEXTRACT(SPLIT(C1160, ""&lt;br&gt;""), ""([가-힣A-Za-z]+)""))"),"짱구")</f>
        <v>짱구</v>
      </c>
      <c r="K1160" s="26" t="str">
        <f>IFERROR(__xludf.DUMMYFUNCTION("""COMPUTED_VALUE"""),"태식")</f>
        <v>태식</v>
      </c>
      <c r="L1160" s="26" t="str">
        <f>IFERROR(__xludf.DUMMYFUNCTION("""COMPUTED_VALUE"""),"신형만")</f>
        <v>신형만</v>
      </c>
      <c r="M1160" s="26" t="str">
        <f>IFERROR(__xludf.DUMMYFUNCTION("""COMPUTED_VALUE"""),"노인")</f>
        <v>노인</v>
      </c>
      <c r="N1160" s="26" t="str">
        <f>IFERROR(__xludf.DUMMYFUNCTION("ARRAYFORMULA(REGEXEXTRACT(SPLIT(E1160, ""&lt;br&gt;""), ""([가-힣A-Za-z]+)""))"),"한메")</f>
        <v>한메</v>
      </c>
      <c r="O1160" s="26" t="str">
        <f>IFERROR(__xludf.DUMMYFUNCTION("""COMPUTED_VALUE"""),"참치")</f>
        <v>참치</v>
      </c>
      <c r="P1160" s="26" t="str">
        <f>IFERROR(__xludf.DUMMYFUNCTION("""COMPUTED_VALUE"""),"따")</f>
        <v>따</v>
      </c>
      <c r="Q1160" s="26" t="str">
        <f>IFERROR(__xludf.DUMMYFUNCTION("""COMPUTED_VALUE"""),"깡패")</f>
        <v>깡패</v>
      </c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</row>
    <row r="1161">
      <c r="A1161" s="27" t="s">
        <v>4898</v>
      </c>
      <c r="B1161" s="28" t="s">
        <v>4899</v>
      </c>
      <c r="C1161" s="27" t="s">
        <v>4900</v>
      </c>
      <c r="D1161" s="27">
        <v>5.0</v>
      </c>
      <c r="E1161" s="27" t="s">
        <v>4901</v>
      </c>
      <c r="F1161" s="27">
        <v>0.0</v>
      </c>
      <c r="G1161" s="29">
        <v>45638.92013888889</v>
      </c>
      <c r="H1161" s="27" t="s">
        <v>4737</v>
      </c>
      <c r="I1161" s="18"/>
      <c r="J1161" s="25" t="str">
        <f>IFERROR(__xludf.DUMMYFUNCTION("ARRAYFORMULA(REGEXEXTRACT(SPLIT(C1161, ""&lt;br&gt;""), ""([가-힣A-Za-z]+)""))"),"깡패")</f>
        <v>깡패</v>
      </c>
      <c r="K1161" s="26" t="str">
        <f>IFERROR(__xludf.DUMMYFUNCTION("""COMPUTED_VALUE"""),"테리")</f>
        <v>테리</v>
      </c>
      <c r="L1161" s="26" t="str">
        <f>IFERROR(__xludf.DUMMYFUNCTION("""COMPUTED_VALUE"""),"신형만")</f>
        <v>신형만</v>
      </c>
      <c r="M1161" s="26" t="str">
        <f>IFERROR(__xludf.DUMMYFUNCTION("""COMPUTED_VALUE"""),"태식")</f>
        <v>태식</v>
      </c>
      <c r="N1161" s="26" t="str">
        <f>IFERROR(__xludf.DUMMYFUNCTION("ARRAYFORMULA(REGEXEXTRACT(SPLIT(E1161, ""&lt;br&gt;""), ""([가-힣A-Za-z]+)""))"),"노인")</f>
        <v>노인</v>
      </c>
      <c r="O1161" s="26" t="str">
        <f>IFERROR(__xludf.DUMMYFUNCTION("""COMPUTED_VALUE"""),"짱구")</f>
        <v>짱구</v>
      </c>
      <c r="P1161" s="26" t="str">
        <f>IFERROR(__xludf.DUMMYFUNCTION("""COMPUTED_VALUE"""),"ACDC")</f>
        <v>ACDC</v>
      </c>
      <c r="Q1161" s="26" t="str">
        <f>IFERROR(__xludf.DUMMYFUNCTION("""COMPUTED_VALUE"""),"조드")</f>
        <v>조드</v>
      </c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</row>
    <row r="1162">
      <c r="A1162" s="27" t="s">
        <v>4902</v>
      </c>
      <c r="B1162" s="28" t="s">
        <v>4903</v>
      </c>
      <c r="C1162" s="27" t="s">
        <v>4904</v>
      </c>
      <c r="D1162" s="27">
        <v>5.0</v>
      </c>
      <c r="E1162" s="27" t="s">
        <v>4905</v>
      </c>
      <c r="F1162" s="27">
        <v>0.0</v>
      </c>
      <c r="G1162" s="29">
        <v>45638.899305555555</v>
      </c>
      <c r="H1162" s="27" t="s">
        <v>4737</v>
      </c>
      <c r="I1162" s="18"/>
      <c r="J1162" s="25" t="str">
        <f>IFERROR(__xludf.DUMMYFUNCTION("ARRAYFORMULA(REGEXEXTRACT(SPLIT(C1162, ""&lt;br&gt;""), ""([가-힣A-Za-z]+)""))"),"신형만")</f>
        <v>신형만</v>
      </c>
      <c r="K1162" s="26" t="str">
        <f>IFERROR(__xludf.DUMMYFUNCTION("""COMPUTED_VALUE"""),"태식")</f>
        <v>태식</v>
      </c>
      <c r="L1162" s="26" t="str">
        <f>IFERROR(__xludf.DUMMYFUNCTION("""COMPUTED_VALUE"""),"짱구")</f>
        <v>짱구</v>
      </c>
      <c r="M1162" s="26" t="str">
        <f>IFERROR(__xludf.DUMMYFUNCTION("""COMPUTED_VALUE"""),"조드")</f>
        <v>조드</v>
      </c>
      <c r="N1162" s="26" t="str">
        <f>IFERROR(__xludf.DUMMYFUNCTION("ARRAYFORMULA(REGEXEXTRACT(SPLIT(E1162, ""&lt;br&gt;""), ""([가-힣A-Za-z]+)""))"),"노인")</f>
        <v>노인</v>
      </c>
      <c r="O1162" s="26" t="str">
        <f>IFERROR(__xludf.DUMMYFUNCTION("""COMPUTED_VALUE"""),"ACDC")</f>
        <v>ACDC</v>
      </c>
      <c r="P1162" s="26" t="str">
        <f>IFERROR(__xludf.DUMMYFUNCTION("""COMPUTED_VALUE"""),"테리")</f>
        <v>테리</v>
      </c>
      <c r="Q1162" s="26" t="str">
        <f>IFERROR(__xludf.DUMMYFUNCTION("""COMPUTED_VALUE"""),"깡패")</f>
        <v>깡패</v>
      </c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</row>
    <row r="1163">
      <c r="A1163" s="27" t="s">
        <v>4906</v>
      </c>
      <c r="B1163" s="28" t="s">
        <v>4907</v>
      </c>
      <c r="C1163" s="27" t="s">
        <v>4908</v>
      </c>
      <c r="D1163" s="27">
        <v>5.0</v>
      </c>
      <c r="E1163" s="27" t="s">
        <v>4909</v>
      </c>
      <c r="F1163" s="27">
        <v>3.0</v>
      </c>
      <c r="G1163" s="29">
        <v>45638.873611111114</v>
      </c>
      <c r="H1163" s="27" t="s">
        <v>4737</v>
      </c>
      <c r="I1163" s="18"/>
      <c r="J1163" s="25" t="str">
        <f>IFERROR(__xludf.DUMMYFUNCTION("ARRAYFORMULA(REGEXEXTRACT(SPLIT(C1163, ""&lt;br&gt;""), ""([가-힣A-Za-z]+)""))"),"짱구")</f>
        <v>짱구</v>
      </c>
      <c r="K1163" s="26" t="str">
        <f>IFERROR(__xludf.DUMMYFUNCTION("""COMPUTED_VALUE"""),"테리")</f>
        <v>테리</v>
      </c>
      <c r="L1163" s="26" t="str">
        <f>IFERROR(__xludf.DUMMYFUNCTION("""COMPUTED_VALUE"""),"조드")</f>
        <v>조드</v>
      </c>
      <c r="M1163" s="26" t="str">
        <f>IFERROR(__xludf.DUMMYFUNCTION("""COMPUTED_VALUE"""),"노인")</f>
        <v>노인</v>
      </c>
      <c r="N1163" s="26" t="str">
        <f>IFERROR(__xludf.DUMMYFUNCTION("ARRAYFORMULA(REGEXEXTRACT(SPLIT(E1163, ""&lt;br&gt;""), ""([가-힣A-Za-z]+)""))"),"신형만")</f>
        <v>신형만</v>
      </c>
      <c r="O1163" s="26" t="str">
        <f>IFERROR(__xludf.DUMMYFUNCTION("""COMPUTED_VALUE"""),"태식")</f>
        <v>태식</v>
      </c>
      <c r="P1163" s="26" t="str">
        <f>IFERROR(__xludf.DUMMYFUNCTION("""COMPUTED_VALUE"""),"ACDC")</f>
        <v>ACDC</v>
      </c>
      <c r="Q1163" s="26" t="str">
        <f>IFERROR(__xludf.DUMMYFUNCTION("""COMPUTED_VALUE"""),"깡패")</f>
        <v>깡패</v>
      </c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</row>
    <row r="1164">
      <c r="A1164" s="27" t="s">
        <v>4910</v>
      </c>
      <c r="B1164" s="28" t="s">
        <v>4911</v>
      </c>
      <c r="C1164" s="27" t="s">
        <v>4912</v>
      </c>
      <c r="D1164" s="27">
        <v>5.0</v>
      </c>
      <c r="E1164" s="27" t="s">
        <v>4913</v>
      </c>
      <c r="F1164" s="27">
        <v>0.0</v>
      </c>
      <c r="G1164" s="29">
        <v>45637.97152777778</v>
      </c>
      <c r="H1164" s="27" t="s">
        <v>4737</v>
      </c>
      <c r="I1164" s="18"/>
      <c r="J1164" s="25" t="str">
        <f>IFERROR(__xludf.DUMMYFUNCTION("ARRAYFORMULA(REGEXEXTRACT(SPLIT(C1164, ""&lt;br&gt;""), ""([가-힣A-Za-z]+)""))"),"깡패")</f>
        <v>깡패</v>
      </c>
      <c r="K1164" s="26" t="str">
        <f>IFERROR(__xludf.DUMMYFUNCTION("""COMPUTED_VALUE"""),"노인")</f>
        <v>노인</v>
      </c>
      <c r="L1164" s="26" t="str">
        <f>IFERROR(__xludf.DUMMYFUNCTION("""COMPUTED_VALUE"""),"태식")</f>
        <v>태식</v>
      </c>
      <c r="M1164" s="26" t="str">
        <f>IFERROR(__xludf.DUMMYFUNCTION("""COMPUTED_VALUE"""),"재우")</f>
        <v>재우</v>
      </c>
      <c r="N1164" s="26" t="str">
        <f>IFERROR(__xludf.DUMMYFUNCTION("ARRAYFORMULA(REGEXEXTRACT(SPLIT(E1164, ""&lt;br&gt;""), ""([가-힣A-Za-z]+)""))"),"한메")</f>
        <v>한메</v>
      </c>
      <c r="O1164" s="26" t="str">
        <f>IFERROR(__xludf.DUMMYFUNCTION("""COMPUTED_VALUE"""),"신형만")</f>
        <v>신형만</v>
      </c>
      <c r="P1164" s="26" t="str">
        <f>IFERROR(__xludf.DUMMYFUNCTION("""COMPUTED_VALUE"""),"민우")</f>
        <v>민우</v>
      </c>
      <c r="Q1164" s="26" t="str">
        <f>IFERROR(__xludf.DUMMYFUNCTION("""COMPUTED_VALUE"""),"요즘")</f>
        <v>요즘</v>
      </c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</row>
    <row r="1165">
      <c r="A1165" s="27" t="s">
        <v>4914</v>
      </c>
      <c r="B1165" s="28" t="s">
        <v>4915</v>
      </c>
      <c r="C1165" s="27" t="s">
        <v>4916</v>
      </c>
      <c r="D1165" s="27">
        <v>5.0</v>
      </c>
      <c r="E1165" s="27" t="s">
        <v>4917</v>
      </c>
      <c r="F1165" s="27">
        <v>4.0</v>
      </c>
      <c r="G1165" s="29">
        <v>45637.950694444444</v>
      </c>
      <c r="H1165" s="27" t="s">
        <v>4737</v>
      </c>
      <c r="I1165" s="18"/>
      <c r="J1165" s="25" t="str">
        <f>IFERROR(__xludf.DUMMYFUNCTION("ARRAYFORMULA(REGEXEXTRACT(SPLIT(C1165, ""&lt;br&gt;""), ""([가-힣A-Za-z]+)""))"),"민우")</f>
        <v>민우</v>
      </c>
      <c r="K1165" s="26" t="str">
        <f>IFERROR(__xludf.DUMMYFUNCTION("""COMPUTED_VALUE"""),"신형만")</f>
        <v>신형만</v>
      </c>
      <c r="L1165" s="26" t="str">
        <f>IFERROR(__xludf.DUMMYFUNCTION("""COMPUTED_VALUE"""),"깡패")</f>
        <v>깡패</v>
      </c>
      <c r="M1165" s="26" t="str">
        <f>IFERROR(__xludf.DUMMYFUNCTION("""COMPUTED_VALUE"""),"노인")</f>
        <v>노인</v>
      </c>
      <c r="N1165" s="26" t="str">
        <f>IFERROR(__xludf.DUMMYFUNCTION("ARRAYFORMULA(REGEXEXTRACT(SPLIT(E1165, ""&lt;br&gt;""), ""([가-힣A-Za-z]+)""))"),"재우")</f>
        <v>재우</v>
      </c>
      <c r="O1165" s="26" t="str">
        <f>IFERROR(__xludf.DUMMYFUNCTION("""COMPUTED_VALUE"""),"ACDC")</f>
        <v>ACDC</v>
      </c>
      <c r="P1165" s="26" t="str">
        <f>IFERROR(__xludf.DUMMYFUNCTION("""COMPUTED_VALUE"""),"한메")</f>
        <v>한메</v>
      </c>
      <c r="Q1165" s="26" t="str">
        <f>IFERROR(__xludf.DUMMYFUNCTION("""COMPUTED_VALUE"""),"태식")</f>
        <v>태식</v>
      </c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</row>
    <row r="1166">
      <c r="A1166" s="27" t="s">
        <v>4918</v>
      </c>
      <c r="B1166" s="28" t="s">
        <v>4919</v>
      </c>
      <c r="C1166" s="27" t="s">
        <v>4920</v>
      </c>
      <c r="D1166" s="27">
        <v>5.0</v>
      </c>
      <c r="E1166" s="27" t="s">
        <v>4921</v>
      </c>
      <c r="F1166" s="27">
        <v>2.0</v>
      </c>
      <c r="G1166" s="29">
        <v>45637.896527777775</v>
      </c>
      <c r="H1166" s="27" t="s">
        <v>4737</v>
      </c>
      <c r="I1166" s="18"/>
      <c r="J1166" s="25" t="str">
        <f>IFERROR(__xludf.DUMMYFUNCTION("ARRAYFORMULA(REGEXEXTRACT(SPLIT(C1166, ""&lt;br&gt;""), ""([가-힣A-Za-z]+)""))"),"테리")</f>
        <v>테리</v>
      </c>
      <c r="K1166" s="26" t="str">
        <f>IFERROR(__xludf.DUMMYFUNCTION("""COMPUTED_VALUE"""),"재우")</f>
        <v>재우</v>
      </c>
      <c r="L1166" s="26" t="str">
        <f>IFERROR(__xludf.DUMMYFUNCTION("""COMPUTED_VALUE"""),"신형만")</f>
        <v>신형만</v>
      </c>
      <c r="M1166" s="26" t="str">
        <f>IFERROR(__xludf.DUMMYFUNCTION("""COMPUTED_VALUE"""),"노인")</f>
        <v>노인</v>
      </c>
      <c r="N1166" s="26" t="str">
        <f>IFERROR(__xludf.DUMMYFUNCTION("ARRAYFORMULA(REGEXEXTRACT(SPLIT(E1166, ""&lt;br&gt;""), ""([가-힣A-Za-z]+)""))"),"깡패")</f>
        <v>깡패</v>
      </c>
      <c r="O1166" s="26" t="str">
        <f>IFERROR(__xludf.DUMMYFUNCTION("""COMPUTED_VALUE"""),"ACDC")</f>
        <v>ACDC</v>
      </c>
      <c r="P1166" s="26" t="str">
        <f>IFERROR(__xludf.DUMMYFUNCTION("""COMPUTED_VALUE"""),"한메")</f>
        <v>한메</v>
      </c>
      <c r="Q1166" s="26" t="str">
        <f>IFERROR(__xludf.DUMMYFUNCTION("""COMPUTED_VALUE"""),"요즘")</f>
        <v>요즘</v>
      </c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</row>
    <row r="1167">
      <c r="A1167" s="27" t="s">
        <v>4922</v>
      </c>
      <c r="B1167" s="28" t="s">
        <v>4923</v>
      </c>
      <c r="C1167" s="27" t="s">
        <v>4924</v>
      </c>
      <c r="D1167" s="27">
        <v>5.0</v>
      </c>
      <c r="E1167" s="27" t="s">
        <v>4925</v>
      </c>
      <c r="F1167" s="27">
        <v>4.0</v>
      </c>
      <c r="G1167" s="29">
        <v>45637.87222222222</v>
      </c>
      <c r="H1167" s="27" t="s">
        <v>4737</v>
      </c>
      <c r="I1167" s="18"/>
      <c r="J1167" s="25" t="str">
        <f>IFERROR(__xludf.DUMMYFUNCTION("ARRAYFORMULA(REGEXEXTRACT(SPLIT(C1167, ""&lt;br&gt;""), ""([가-힣A-Za-z]+)""))"),"한메")</f>
        <v>한메</v>
      </c>
      <c r="K1167" s="26" t="str">
        <f>IFERROR(__xludf.DUMMYFUNCTION("""COMPUTED_VALUE"""),"노인")</f>
        <v>노인</v>
      </c>
      <c r="L1167" s="26" t="str">
        <f>IFERROR(__xludf.DUMMYFUNCTION("""COMPUTED_VALUE"""),"요즘")</f>
        <v>요즘</v>
      </c>
      <c r="M1167" s="26" t="str">
        <f>IFERROR(__xludf.DUMMYFUNCTION("""COMPUTED_VALUE"""),"신형만")</f>
        <v>신형만</v>
      </c>
      <c r="N1167" s="26" t="str">
        <f>IFERROR(__xludf.DUMMYFUNCTION("ARRAYFORMULA(REGEXEXTRACT(SPLIT(E1167, ""&lt;br&gt;""), ""([가-힣A-Za-z]+)""))"),"깡패")</f>
        <v>깡패</v>
      </c>
      <c r="O1167" s="26" t="str">
        <f>IFERROR(__xludf.DUMMYFUNCTION("""COMPUTED_VALUE"""),"테리")</f>
        <v>테리</v>
      </c>
      <c r="P1167" s="26" t="str">
        <f>IFERROR(__xludf.DUMMYFUNCTION("""COMPUTED_VALUE"""),"ACDC")</f>
        <v>ACDC</v>
      </c>
      <c r="Q1167" s="26" t="str">
        <f>IFERROR(__xludf.DUMMYFUNCTION("""COMPUTED_VALUE"""),"재우")</f>
        <v>재우</v>
      </c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</row>
    <row r="1168">
      <c r="A1168" s="27" t="s">
        <v>4926</v>
      </c>
      <c r="B1168" s="28" t="s">
        <v>4927</v>
      </c>
      <c r="C1168" s="27" t="s">
        <v>4928</v>
      </c>
      <c r="D1168" s="27">
        <v>5.0</v>
      </c>
      <c r="E1168" s="27" t="s">
        <v>4929</v>
      </c>
      <c r="F1168" s="27">
        <v>2.0</v>
      </c>
      <c r="G1168" s="29">
        <v>45637.07916666667</v>
      </c>
      <c r="H1168" s="27" t="s">
        <v>4737</v>
      </c>
      <c r="I1168" s="18"/>
      <c r="J1168" s="25" t="str">
        <f>IFERROR(__xludf.DUMMYFUNCTION("ARRAYFORMULA(REGEXEXTRACT(SPLIT(C1168, ""&lt;br&gt;""), ""([가-힣A-Za-z]+)""))"),"참치")</f>
        <v>참치</v>
      </c>
      <c r="K1168" s="26" t="str">
        <f>IFERROR(__xludf.DUMMYFUNCTION("""COMPUTED_VALUE"""),"짱구")</f>
        <v>짱구</v>
      </c>
      <c r="L1168" s="26" t="str">
        <f>IFERROR(__xludf.DUMMYFUNCTION("""COMPUTED_VALUE"""),"따")</f>
        <v>따</v>
      </c>
      <c r="M1168" s="26" t="str">
        <f>IFERROR(__xludf.DUMMYFUNCTION("""COMPUTED_VALUE"""),"재우")</f>
        <v>재우</v>
      </c>
      <c r="N1168" s="26" t="str">
        <f>IFERROR(__xludf.DUMMYFUNCTION("ARRAYFORMULA(REGEXEXTRACT(SPLIT(E1168, ""&lt;br&gt;""), ""([가-힣A-Za-z]+)""))"),"깡패")</f>
        <v>깡패</v>
      </c>
      <c r="O1168" s="26" t="str">
        <f>IFERROR(__xludf.DUMMYFUNCTION("""COMPUTED_VALUE"""),"조드")</f>
        <v>조드</v>
      </c>
      <c r="P1168" s="26" t="str">
        <f>IFERROR(__xludf.DUMMYFUNCTION("""COMPUTED_VALUE"""),"테리")</f>
        <v>테리</v>
      </c>
      <c r="Q1168" s="26" t="str">
        <f>IFERROR(__xludf.DUMMYFUNCTION("""COMPUTED_VALUE"""),"노인")</f>
        <v>노인</v>
      </c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</row>
    <row r="1169">
      <c r="A1169" s="27" t="s">
        <v>4930</v>
      </c>
      <c r="B1169" s="28" t="s">
        <v>4931</v>
      </c>
      <c r="C1169" s="27" t="s">
        <v>4932</v>
      </c>
      <c r="D1169" s="27">
        <v>5.0</v>
      </c>
      <c r="E1169" s="27" t="s">
        <v>4933</v>
      </c>
      <c r="F1169" s="27">
        <v>3.0</v>
      </c>
      <c r="G1169" s="29">
        <v>45637.032638888886</v>
      </c>
      <c r="H1169" s="27" t="s">
        <v>4737</v>
      </c>
      <c r="I1169" s="18"/>
      <c r="J1169" s="25" t="str">
        <f>IFERROR(__xludf.DUMMYFUNCTION("ARRAYFORMULA(REGEXEXTRACT(SPLIT(C1169, ""&lt;br&gt;""), ""([가-힣A-Za-z]+)""))"),"태식")</f>
        <v>태식</v>
      </c>
      <c r="K1169" s="26" t="str">
        <f>IFERROR(__xludf.DUMMYFUNCTION("""COMPUTED_VALUE"""),"따")</f>
        <v>따</v>
      </c>
      <c r="L1169" s="26" t="str">
        <f>IFERROR(__xludf.DUMMYFUNCTION("""COMPUTED_VALUE"""),"짱구")</f>
        <v>짱구</v>
      </c>
      <c r="M1169" s="26" t="str">
        <f>IFERROR(__xludf.DUMMYFUNCTION("""COMPUTED_VALUE"""),"재우")</f>
        <v>재우</v>
      </c>
      <c r="N1169" s="26" t="str">
        <f>IFERROR(__xludf.DUMMYFUNCTION("ARRAYFORMULA(REGEXEXTRACT(SPLIT(E1169, ""&lt;br&gt;""), ""([가-힣A-Za-z]+)""))"),"민우")</f>
        <v>민우</v>
      </c>
      <c r="O1169" s="26" t="str">
        <f>IFERROR(__xludf.DUMMYFUNCTION("""COMPUTED_VALUE"""),"노인")</f>
        <v>노인</v>
      </c>
      <c r="P1169" s="26" t="str">
        <f>IFERROR(__xludf.DUMMYFUNCTION("""COMPUTED_VALUE"""),"깡패")</f>
        <v>깡패</v>
      </c>
      <c r="Q1169" s="26" t="str">
        <f>IFERROR(__xludf.DUMMYFUNCTION("""COMPUTED_VALUE"""),"조드")</f>
        <v>조드</v>
      </c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</row>
    <row r="1170">
      <c r="A1170" s="27" t="s">
        <v>4934</v>
      </c>
      <c r="B1170" s="28" t="s">
        <v>4935</v>
      </c>
      <c r="C1170" s="27" t="s">
        <v>4936</v>
      </c>
      <c r="D1170" s="27">
        <v>5.0</v>
      </c>
      <c r="E1170" s="27" t="s">
        <v>4937</v>
      </c>
      <c r="F1170" s="27">
        <v>0.0</v>
      </c>
      <c r="G1170" s="29">
        <v>45636.98263888889</v>
      </c>
      <c r="H1170" s="27" t="s">
        <v>4737</v>
      </c>
      <c r="I1170" s="18"/>
      <c r="J1170" s="25" t="str">
        <f>IFERROR(__xludf.DUMMYFUNCTION("ARRAYFORMULA(REGEXEXTRACT(SPLIT(C1170, ""&lt;br&gt;""), ""([가-힣A-Za-z]+)""))"),"재우")</f>
        <v>재우</v>
      </c>
      <c r="K1170" s="26" t="str">
        <f>IFERROR(__xludf.DUMMYFUNCTION("""COMPUTED_VALUE"""),"신형만")</f>
        <v>신형만</v>
      </c>
      <c r="L1170" s="26" t="str">
        <f>IFERROR(__xludf.DUMMYFUNCTION("""COMPUTED_VALUE"""),"노인")</f>
        <v>노인</v>
      </c>
      <c r="M1170" s="26" t="str">
        <f>IFERROR(__xludf.DUMMYFUNCTION("""COMPUTED_VALUE"""),"강화")</f>
        <v>강화</v>
      </c>
      <c r="N1170" s="26" t="str">
        <f>IFERROR(__xludf.DUMMYFUNCTION("ARRAYFORMULA(REGEXEXTRACT(SPLIT(E1170, ""&lt;br&gt;""), ""([가-힣A-Za-z]+)""))"),"태식")</f>
        <v>태식</v>
      </c>
      <c r="O1170" s="26" t="str">
        <f>IFERROR(__xludf.DUMMYFUNCTION("""COMPUTED_VALUE"""),"따")</f>
        <v>따</v>
      </c>
      <c r="P1170" s="26" t="str">
        <f>IFERROR(__xludf.DUMMYFUNCTION("""COMPUTED_VALUE"""),"구리다")</f>
        <v>구리다</v>
      </c>
      <c r="Q1170" s="26" t="str">
        <f>IFERROR(__xludf.DUMMYFUNCTION("""COMPUTED_VALUE"""),"조드")</f>
        <v>조드</v>
      </c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</row>
    <row r="1171">
      <c r="A1171" s="27" t="s">
        <v>4938</v>
      </c>
      <c r="B1171" s="28" t="s">
        <v>4939</v>
      </c>
      <c r="C1171" s="27" t="s">
        <v>4940</v>
      </c>
      <c r="D1171" s="27">
        <v>5.0</v>
      </c>
      <c r="E1171" s="27" t="s">
        <v>4941</v>
      </c>
      <c r="F1171" s="27">
        <v>0.0</v>
      </c>
      <c r="G1171" s="29">
        <v>45636.955555555556</v>
      </c>
      <c r="H1171" s="27" t="s">
        <v>4737</v>
      </c>
      <c r="I1171" s="18"/>
      <c r="J1171" s="25" t="str">
        <f>IFERROR(__xludf.DUMMYFUNCTION("ARRAYFORMULA(REGEXEXTRACT(SPLIT(C1171, ""&lt;br&gt;""), ""([가-힣A-Za-z]+)""))"),"깡패")</f>
        <v>깡패</v>
      </c>
      <c r="K1171" s="26" t="str">
        <f>IFERROR(__xludf.DUMMYFUNCTION("""COMPUTED_VALUE"""),"태식")</f>
        <v>태식</v>
      </c>
      <c r="L1171" s="26" t="str">
        <f>IFERROR(__xludf.DUMMYFUNCTION("""COMPUTED_VALUE"""),"조드")</f>
        <v>조드</v>
      </c>
      <c r="M1171" s="26" t="str">
        <f>IFERROR(__xludf.DUMMYFUNCTION("""COMPUTED_VALUE"""),"강화")</f>
        <v>강화</v>
      </c>
      <c r="N1171" s="26" t="str">
        <f>IFERROR(__xludf.DUMMYFUNCTION("ARRAYFORMULA(REGEXEXTRACT(SPLIT(E1171, ""&lt;br&gt;""), ""([가-힣A-Za-z]+)""))"),"ACDC")</f>
        <v>ACDC</v>
      </c>
      <c r="O1171" s="26" t="str">
        <f>IFERROR(__xludf.DUMMYFUNCTION("""COMPUTED_VALUE"""),"재우")</f>
        <v>재우</v>
      </c>
      <c r="P1171" s="26" t="str">
        <f>IFERROR(__xludf.DUMMYFUNCTION("""COMPUTED_VALUE"""),"신형만")</f>
        <v>신형만</v>
      </c>
      <c r="Q1171" s="26" t="str">
        <f>IFERROR(__xludf.DUMMYFUNCTION("""COMPUTED_VALUE"""),"요즘")</f>
        <v>요즘</v>
      </c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</row>
    <row r="1172">
      <c r="A1172" s="27" t="s">
        <v>4942</v>
      </c>
      <c r="B1172" s="28" t="s">
        <v>4943</v>
      </c>
      <c r="C1172" s="27" t="s">
        <v>4944</v>
      </c>
      <c r="D1172" s="27">
        <v>5.0</v>
      </c>
      <c r="E1172" s="27" t="s">
        <v>4945</v>
      </c>
      <c r="F1172" s="27">
        <v>1.0</v>
      </c>
      <c r="G1172" s="29">
        <v>45636.92986111111</v>
      </c>
      <c r="H1172" s="27" t="s">
        <v>4737</v>
      </c>
      <c r="I1172" s="18"/>
      <c r="J1172" s="25" t="str">
        <f>IFERROR(__xludf.DUMMYFUNCTION("ARRAYFORMULA(REGEXEXTRACT(SPLIT(C1172, ""&lt;br&gt;""), ""([가-힣A-Za-z]+)""))"),"재우")</f>
        <v>재우</v>
      </c>
      <c r="K1172" s="26" t="str">
        <f>IFERROR(__xludf.DUMMYFUNCTION("""COMPUTED_VALUE"""),"깡패")</f>
        <v>깡패</v>
      </c>
      <c r="L1172" s="26" t="str">
        <f>IFERROR(__xludf.DUMMYFUNCTION("""COMPUTED_VALUE"""),"테리")</f>
        <v>테리</v>
      </c>
      <c r="M1172" s="26" t="str">
        <f>IFERROR(__xludf.DUMMYFUNCTION("""COMPUTED_VALUE"""),"신형만")</f>
        <v>신형만</v>
      </c>
      <c r="N1172" s="26" t="str">
        <f>IFERROR(__xludf.DUMMYFUNCTION("ARRAYFORMULA(REGEXEXTRACT(SPLIT(E1172, ""&lt;br&gt;""), ""([가-힣A-Za-z]+)""))"),"ACDC")</f>
        <v>ACDC</v>
      </c>
      <c r="O1172" s="26" t="str">
        <f>IFERROR(__xludf.DUMMYFUNCTION("""COMPUTED_VALUE"""),"요즘")</f>
        <v>요즘</v>
      </c>
      <c r="P1172" s="26" t="str">
        <f>IFERROR(__xludf.DUMMYFUNCTION("""COMPUTED_VALUE"""),"태식")</f>
        <v>태식</v>
      </c>
      <c r="Q1172" s="26" t="str">
        <f>IFERROR(__xludf.DUMMYFUNCTION("""COMPUTED_VALUE"""),"강화")</f>
        <v>강화</v>
      </c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</row>
    <row r="1173">
      <c r="A1173" s="27" t="s">
        <v>4946</v>
      </c>
      <c r="B1173" s="28" t="s">
        <v>4947</v>
      </c>
      <c r="C1173" s="27" t="s">
        <v>4948</v>
      </c>
      <c r="D1173" s="27">
        <v>5.0</v>
      </c>
      <c r="E1173" s="27" t="s">
        <v>4949</v>
      </c>
      <c r="F1173" s="27">
        <v>4.0</v>
      </c>
      <c r="G1173" s="29">
        <v>45636.91458333333</v>
      </c>
      <c r="H1173" s="27" t="s">
        <v>4737</v>
      </c>
      <c r="I1173" s="18"/>
      <c r="J1173" s="25" t="str">
        <f>IFERROR(__xludf.DUMMYFUNCTION("ARRAYFORMULA(REGEXEXTRACT(SPLIT(C1173, ""&lt;br&gt;""), ""([가-힣A-Za-z]+)""))"),"강화")</f>
        <v>강화</v>
      </c>
      <c r="K1173" s="26" t="str">
        <f>IFERROR(__xludf.DUMMYFUNCTION("""COMPUTED_VALUE"""),"깡패")</f>
        <v>깡패</v>
      </c>
      <c r="L1173" s="26" t="str">
        <f>IFERROR(__xludf.DUMMYFUNCTION("""COMPUTED_VALUE"""),"태식")</f>
        <v>태식</v>
      </c>
      <c r="M1173" s="26" t="str">
        <f>IFERROR(__xludf.DUMMYFUNCTION("""COMPUTED_VALUE"""),"신형만")</f>
        <v>신형만</v>
      </c>
      <c r="N1173" s="26" t="str">
        <f>IFERROR(__xludf.DUMMYFUNCTION("ARRAYFORMULA(REGEXEXTRACT(SPLIT(E1173, ""&lt;br&gt;""), ""([가-힣A-Za-z]+)""))"),"요즘")</f>
        <v>요즘</v>
      </c>
      <c r="O1173" s="26" t="str">
        <f>IFERROR(__xludf.DUMMYFUNCTION("""COMPUTED_VALUE"""),"재우")</f>
        <v>재우</v>
      </c>
      <c r="P1173" s="26" t="str">
        <f>IFERROR(__xludf.DUMMYFUNCTION("""COMPUTED_VALUE"""),"테리")</f>
        <v>테리</v>
      </c>
      <c r="Q1173" s="26" t="str">
        <f>IFERROR(__xludf.DUMMYFUNCTION("""COMPUTED_VALUE"""),"ACDC")</f>
        <v>ACDC</v>
      </c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</row>
    <row r="1174">
      <c r="A1174" s="27" t="s">
        <v>4950</v>
      </c>
      <c r="B1174" s="28" t="s">
        <v>4951</v>
      </c>
      <c r="C1174" s="27" t="s">
        <v>4952</v>
      </c>
      <c r="D1174" s="27">
        <v>5.0</v>
      </c>
      <c r="E1174" s="27" t="s">
        <v>4953</v>
      </c>
      <c r="F1174" s="27">
        <v>1.0</v>
      </c>
      <c r="G1174" s="29">
        <v>45636.86736111111</v>
      </c>
      <c r="H1174" s="27" t="s">
        <v>4737</v>
      </c>
      <c r="I1174" s="18"/>
      <c r="J1174" s="25" t="str">
        <f>IFERROR(__xludf.DUMMYFUNCTION("ARRAYFORMULA(REGEXEXTRACT(SPLIT(C1174, ""&lt;br&gt;""), ""([가-힣A-Za-z]+)""))"),"강화")</f>
        <v>강화</v>
      </c>
      <c r="K1174" s="26" t="str">
        <f>IFERROR(__xludf.DUMMYFUNCTION("""COMPUTED_VALUE"""),"요즘")</f>
        <v>요즘</v>
      </c>
      <c r="L1174" s="26" t="str">
        <f>IFERROR(__xludf.DUMMYFUNCTION("""COMPUTED_VALUE"""),"테리")</f>
        <v>테리</v>
      </c>
      <c r="M1174" s="26" t="str">
        <f>IFERROR(__xludf.DUMMYFUNCTION("""COMPUTED_VALUE"""),"신형만")</f>
        <v>신형만</v>
      </c>
      <c r="N1174" s="26" t="str">
        <f>IFERROR(__xludf.DUMMYFUNCTION("ARRAYFORMULA(REGEXEXTRACT(SPLIT(E1174, ""&lt;br&gt;""), ""([가-힣A-Za-z]+)""))"),"ACDC")</f>
        <v>ACDC</v>
      </c>
      <c r="O1174" s="26" t="str">
        <f>IFERROR(__xludf.DUMMYFUNCTION("""COMPUTED_VALUE"""),"재우")</f>
        <v>재우</v>
      </c>
      <c r="P1174" s="26" t="str">
        <f>IFERROR(__xludf.DUMMYFUNCTION("""COMPUTED_VALUE"""),"깡패")</f>
        <v>깡패</v>
      </c>
      <c r="Q1174" s="26" t="str">
        <f>IFERROR(__xludf.DUMMYFUNCTION("""COMPUTED_VALUE"""),"태식")</f>
        <v>태식</v>
      </c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</row>
    <row r="1175">
      <c r="A1175" s="27" t="s">
        <v>4954</v>
      </c>
      <c r="B1175" s="28" t="s">
        <v>4955</v>
      </c>
      <c r="C1175" s="27" t="s">
        <v>4956</v>
      </c>
      <c r="D1175" s="27">
        <v>5.0</v>
      </c>
      <c r="E1175" s="27" t="s">
        <v>4957</v>
      </c>
      <c r="F1175" s="27">
        <v>3.0</v>
      </c>
      <c r="G1175" s="29">
        <v>45636.09305555555</v>
      </c>
      <c r="H1175" s="27" t="s">
        <v>4737</v>
      </c>
      <c r="I1175" s="18"/>
      <c r="J1175" s="25" t="str">
        <f>IFERROR(__xludf.DUMMYFUNCTION("ARRAYFORMULA(REGEXEXTRACT(SPLIT(C1175, ""&lt;br&gt;""), ""([가-힣A-Za-z]+)""))"),"강화")</f>
        <v>강화</v>
      </c>
      <c r="K1175" s="26" t="str">
        <f>IFERROR(__xludf.DUMMYFUNCTION("""COMPUTED_VALUE"""),"깡패")</f>
        <v>깡패</v>
      </c>
      <c r="L1175" s="26" t="str">
        <f>IFERROR(__xludf.DUMMYFUNCTION("""COMPUTED_VALUE"""),"따")</f>
        <v>따</v>
      </c>
      <c r="M1175" s="26" t="str">
        <f>IFERROR(__xludf.DUMMYFUNCTION("""COMPUTED_VALUE"""),"신형만")</f>
        <v>신형만</v>
      </c>
      <c r="N1175" s="26" t="str">
        <f>IFERROR(__xludf.DUMMYFUNCTION("ARRAYFORMULA(REGEXEXTRACT(SPLIT(E1175, ""&lt;br&gt;""), ""([가-힣A-Za-z]+)""))"),"짱구")</f>
        <v>짱구</v>
      </c>
      <c r="O1175" s="26" t="str">
        <f>IFERROR(__xludf.DUMMYFUNCTION("""COMPUTED_VALUE"""),"재우")</f>
        <v>재우</v>
      </c>
      <c r="P1175" s="26" t="str">
        <f>IFERROR(__xludf.DUMMYFUNCTION("""COMPUTED_VALUE"""),"한메")</f>
        <v>한메</v>
      </c>
      <c r="Q1175" s="26" t="str">
        <f>IFERROR(__xludf.DUMMYFUNCTION("""COMPUTED_VALUE"""),"조드")</f>
        <v>조드</v>
      </c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</row>
    <row r="1176">
      <c r="A1176" s="27" t="s">
        <v>4958</v>
      </c>
      <c r="B1176" s="28" t="s">
        <v>4959</v>
      </c>
      <c r="C1176" s="27" t="s">
        <v>4960</v>
      </c>
      <c r="D1176" s="27">
        <v>5.0</v>
      </c>
      <c r="E1176" s="27" t="s">
        <v>4961</v>
      </c>
      <c r="F1176" s="27">
        <v>4.0</v>
      </c>
      <c r="G1176" s="29">
        <v>45636.05</v>
      </c>
      <c r="H1176" s="27" t="s">
        <v>4737</v>
      </c>
      <c r="I1176" s="18"/>
      <c r="J1176" s="25" t="str">
        <f>IFERROR(__xludf.DUMMYFUNCTION("ARRAYFORMULA(REGEXEXTRACT(SPLIT(C1176, ""&lt;br&gt;""), ""([가-힣A-Za-z]+)""))"),"민우")</f>
        <v>민우</v>
      </c>
      <c r="K1176" s="26" t="str">
        <f>IFERROR(__xludf.DUMMYFUNCTION("""COMPUTED_VALUE"""),"테리")</f>
        <v>테리</v>
      </c>
      <c r="L1176" s="26" t="str">
        <f>IFERROR(__xludf.DUMMYFUNCTION("""COMPUTED_VALUE"""),"강화")</f>
        <v>강화</v>
      </c>
      <c r="M1176" s="26" t="str">
        <f>IFERROR(__xludf.DUMMYFUNCTION("""COMPUTED_VALUE"""),"한메")</f>
        <v>한메</v>
      </c>
      <c r="N1176" s="26" t="str">
        <f>IFERROR(__xludf.DUMMYFUNCTION("ARRAYFORMULA(REGEXEXTRACT(SPLIT(E1176, ""&lt;br&gt;""), ""([가-힣A-Za-z]+)""))"),"재우")</f>
        <v>재우</v>
      </c>
      <c r="O1176" s="26" t="str">
        <f>IFERROR(__xludf.DUMMYFUNCTION("""COMPUTED_VALUE"""),"따")</f>
        <v>따</v>
      </c>
      <c r="P1176" s="26" t="str">
        <f>IFERROR(__xludf.DUMMYFUNCTION("""COMPUTED_VALUE"""),"조드")</f>
        <v>조드</v>
      </c>
      <c r="Q1176" s="26" t="str">
        <f>IFERROR(__xludf.DUMMYFUNCTION("""COMPUTED_VALUE"""),"깡패")</f>
        <v>깡패</v>
      </c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</row>
    <row r="1177">
      <c r="A1177" s="27" t="s">
        <v>4962</v>
      </c>
      <c r="B1177" s="28" t="s">
        <v>4963</v>
      </c>
      <c r="C1177" s="27" t="s">
        <v>4964</v>
      </c>
      <c r="D1177" s="27">
        <v>5.0</v>
      </c>
      <c r="E1177" s="27" t="s">
        <v>4965</v>
      </c>
      <c r="F1177" s="27">
        <v>1.0</v>
      </c>
      <c r="G1177" s="29">
        <v>45636.013194444444</v>
      </c>
      <c r="H1177" s="27" t="s">
        <v>4737</v>
      </c>
      <c r="I1177" s="18"/>
      <c r="J1177" s="25" t="str">
        <f>IFERROR(__xludf.DUMMYFUNCTION("ARRAYFORMULA(REGEXEXTRACT(SPLIT(C1177, ""&lt;br&gt;""), ""([가-힣A-Za-z]+)""))"),"짱구")</f>
        <v>짱구</v>
      </c>
      <c r="K1177" s="26" t="str">
        <f>IFERROR(__xludf.DUMMYFUNCTION("""COMPUTED_VALUE"""),"깡패")</f>
        <v>깡패</v>
      </c>
      <c r="L1177" s="26" t="str">
        <f>IFERROR(__xludf.DUMMYFUNCTION("""COMPUTED_VALUE"""),"조드")</f>
        <v>조드</v>
      </c>
      <c r="M1177" s="26" t="str">
        <f>IFERROR(__xludf.DUMMYFUNCTION("""COMPUTED_VALUE"""),"재우")</f>
        <v>재우</v>
      </c>
      <c r="N1177" s="26" t="str">
        <f>IFERROR(__xludf.DUMMYFUNCTION("ARRAYFORMULA(REGEXEXTRACT(SPLIT(E1177, ""&lt;br&gt;""), ""([가-힣A-Za-z]+)""))"),"신형만")</f>
        <v>신형만</v>
      </c>
      <c r="O1177" s="26" t="str">
        <f>IFERROR(__xludf.DUMMYFUNCTION("""COMPUTED_VALUE"""),"따")</f>
        <v>따</v>
      </c>
      <c r="P1177" s="26" t="str">
        <f>IFERROR(__xludf.DUMMYFUNCTION("""COMPUTED_VALUE"""),"한메")</f>
        <v>한메</v>
      </c>
      <c r="Q1177" s="26" t="str">
        <f>IFERROR(__xludf.DUMMYFUNCTION("""COMPUTED_VALUE"""),"강화")</f>
        <v>강화</v>
      </c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</row>
    <row r="1178">
      <c r="A1178" s="27" t="s">
        <v>4966</v>
      </c>
      <c r="B1178" s="28" t="s">
        <v>4967</v>
      </c>
      <c r="C1178" s="27" t="s">
        <v>4968</v>
      </c>
      <c r="D1178" s="27">
        <v>5.0</v>
      </c>
      <c r="E1178" s="27" t="s">
        <v>4969</v>
      </c>
      <c r="F1178" s="27">
        <v>3.0</v>
      </c>
      <c r="G1178" s="29">
        <v>45635.98402777778</v>
      </c>
      <c r="H1178" s="27" t="s">
        <v>4737</v>
      </c>
      <c r="I1178" s="18"/>
      <c r="J1178" s="25" t="str">
        <f>IFERROR(__xludf.DUMMYFUNCTION("ARRAYFORMULA(REGEXEXTRACT(SPLIT(C1178, ""&lt;br&gt;""), ""([가-힣A-Za-z]+)""))"),"재우")</f>
        <v>재우</v>
      </c>
      <c r="K1178" s="26" t="str">
        <f>IFERROR(__xludf.DUMMYFUNCTION("""COMPUTED_VALUE"""),"신형만")</f>
        <v>신형만</v>
      </c>
      <c r="L1178" s="26" t="str">
        <f>IFERROR(__xludf.DUMMYFUNCTION("""COMPUTED_VALUE"""),"한메")</f>
        <v>한메</v>
      </c>
      <c r="M1178" s="26" t="str">
        <f>IFERROR(__xludf.DUMMYFUNCTION("""COMPUTED_VALUE"""),"미등록")</f>
        <v>미등록</v>
      </c>
      <c r="N1178" s="26" t="str">
        <f>IFERROR(__xludf.DUMMYFUNCTION("ARRAYFORMULA(REGEXEXTRACT(SPLIT(E1178, ""&lt;br&gt;""), ""([가-힣A-Za-z]+)""))"),"짱구")</f>
        <v>짱구</v>
      </c>
      <c r="O1178" s="26" t="str">
        <f>IFERROR(__xludf.DUMMYFUNCTION("""COMPUTED_VALUE"""),"ACDC")</f>
        <v>ACDC</v>
      </c>
      <c r="P1178" s="26" t="str">
        <f>IFERROR(__xludf.DUMMYFUNCTION("""COMPUTED_VALUE"""),"조드")</f>
        <v>조드</v>
      </c>
      <c r="Q1178" s="26" t="str">
        <f>IFERROR(__xludf.DUMMYFUNCTION("""COMPUTED_VALUE"""),"깡패")</f>
        <v>깡패</v>
      </c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</row>
    <row r="1179">
      <c r="A1179" s="27" t="s">
        <v>4970</v>
      </c>
      <c r="B1179" s="28" t="s">
        <v>4971</v>
      </c>
      <c r="C1179" s="27" t="s">
        <v>4972</v>
      </c>
      <c r="D1179" s="27">
        <v>5.0</v>
      </c>
      <c r="E1179" s="27" t="s">
        <v>4973</v>
      </c>
      <c r="F1179" s="27">
        <v>1.0</v>
      </c>
      <c r="G1179" s="29">
        <v>45635.938888888886</v>
      </c>
      <c r="H1179" s="27" t="s">
        <v>4737</v>
      </c>
      <c r="I1179" s="18"/>
      <c r="J1179" s="25" t="str">
        <f>IFERROR(__xludf.DUMMYFUNCTION("ARRAYFORMULA(REGEXEXTRACT(SPLIT(C1179, ""&lt;br&gt;""), ""([가-힣A-Za-z]+)""))"),"재우")</f>
        <v>재우</v>
      </c>
      <c r="K1179" s="26" t="str">
        <f>IFERROR(__xludf.DUMMYFUNCTION("""COMPUTED_VALUE"""),"짱구")</f>
        <v>짱구</v>
      </c>
      <c r="L1179" s="26" t="str">
        <f>IFERROR(__xludf.DUMMYFUNCTION("""COMPUTED_VALUE"""),"ACDC")</f>
        <v>ACDC</v>
      </c>
      <c r="M1179" s="26" t="str">
        <f>IFERROR(__xludf.DUMMYFUNCTION("""COMPUTED_VALUE"""),"신형만")</f>
        <v>신형만</v>
      </c>
      <c r="N1179" s="26" t="str">
        <f>IFERROR(__xludf.DUMMYFUNCTION("ARRAYFORMULA(REGEXEXTRACT(SPLIT(E1179, ""&lt;br&gt;""), ""([가-힣A-Za-z]+)""))"),"한메")</f>
        <v>한메</v>
      </c>
      <c r="O1179" s="26" t="str">
        <f>IFERROR(__xludf.DUMMYFUNCTION("""COMPUTED_VALUE"""),"조드")</f>
        <v>조드</v>
      </c>
      <c r="P1179" s="26" t="str">
        <f>IFERROR(__xludf.DUMMYFUNCTION("""COMPUTED_VALUE"""),"깡패")</f>
        <v>깡패</v>
      </c>
      <c r="Q1179" s="26" t="str">
        <f>IFERROR(__xludf.DUMMYFUNCTION("""COMPUTED_VALUE"""),"미등록")</f>
        <v>미등록</v>
      </c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</row>
    <row r="1180">
      <c r="A1180" s="27" t="s">
        <v>4974</v>
      </c>
      <c r="B1180" s="28" t="s">
        <v>4975</v>
      </c>
      <c r="C1180" s="27" t="s">
        <v>4976</v>
      </c>
      <c r="D1180" s="27">
        <v>5.0</v>
      </c>
      <c r="E1180" s="27" t="s">
        <v>4977</v>
      </c>
      <c r="F1180" s="27">
        <v>0.0</v>
      </c>
      <c r="G1180" s="29">
        <v>45635.91388888889</v>
      </c>
      <c r="H1180" s="27" t="s">
        <v>4737</v>
      </c>
      <c r="I1180" s="18"/>
      <c r="J1180" s="25" t="str">
        <f>IFERROR(__xludf.DUMMYFUNCTION("ARRAYFORMULA(REGEXEXTRACT(SPLIT(C1180, ""&lt;br&gt;""), ""([가-힣A-Za-z]+)""))"),"한메")</f>
        <v>한메</v>
      </c>
      <c r="K1180" s="26" t="str">
        <f>IFERROR(__xludf.DUMMYFUNCTION("""COMPUTED_VALUE"""),"깡패")</f>
        <v>깡패</v>
      </c>
      <c r="L1180" s="26" t="str">
        <f>IFERROR(__xludf.DUMMYFUNCTION("""COMPUTED_VALUE"""),"짱구")</f>
        <v>짱구</v>
      </c>
      <c r="M1180" s="26" t="str">
        <f>IFERROR(__xludf.DUMMYFUNCTION("""COMPUTED_VALUE"""),"재우")</f>
        <v>재우</v>
      </c>
      <c r="N1180" s="26" t="str">
        <f>IFERROR(__xludf.DUMMYFUNCTION("ARRAYFORMULA(REGEXEXTRACT(SPLIT(E1180, ""&lt;br&gt;""), ""([가-힣A-Za-z]+)""))"),"미등록")</f>
        <v>미등록</v>
      </c>
      <c r="O1180" s="26" t="str">
        <f>IFERROR(__xludf.DUMMYFUNCTION("""COMPUTED_VALUE"""),"신형만")</f>
        <v>신형만</v>
      </c>
      <c r="P1180" s="26" t="str">
        <f>IFERROR(__xludf.DUMMYFUNCTION("""COMPUTED_VALUE"""),"구리다")</f>
        <v>구리다</v>
      </c>
      <c r="Q1180" s="26" t="str">
        <f>IFERROR(__xludf.DUMMYFUNCTION("""COMPUTED_VALUE"""),"ACDC")</f>
        <v>ACDC</v>
      </c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</row>
    <row r="1181">
      <c r="A1181" s="27" t="s">
        <v>4978</v>
      </c>
      <c r="B1181" s="28" t="s">
        <v>4979</v>
      </c>
      <c r="C1181" s="27" t="s">
        <v>4980</v>
      </c>
      <c r="D1181" s="27">
        <v>5.0</v>
      </c>
      <c r="E1181" s="27" t="s">
        <v>4981</v>
      </c>
      <c r="F1181" s="27">
        <v>2.0</v>
      </c>
      <c r="G1181" s="29">
        <v>45635.90069444444</v>
      </c>
      <c r="H1181" s="27" t="s">
        <v>4737</v>
      </c>
      <c r="I1181" s="18"/>
      <c r="J1181" s="25" t="str">
        <f>IFERROR(__xludf.DUMMYFUNCTION("ARRAYFORMULA(REGEXEXTRACT(SPLIT(C1181, ""&lt;br&gt;""), ""([가-힣A-Za-z]+)""))"),"ACDC")</f>
        <v>ACDC</v>
      </c>
      <c r="K1181" s="26" t="str">
        <f>IFERROR(__xludf.DUMMYFUNCTION("""COMPUTED_VALUE"""),"깡패")</f>
        <v>깡패</v>
      </c>
      <c r="L1181" s="26" t="str">
        <f>IFERROR(__xludf.DUMMYFUNCTION("""COMPUTED_VALUE"""),"구리다")</f>
        <v>구리다</v>
      </c>
      <c r="M1181" s="26" t="str">
        <f>IFERROR(__xludf.DUMMYFUNCTION("""COMPUTED_VALUE"""),"재우")</f>
        <v>재우</v>
      </c>
      <c r="N1181" s="26" t="str">
        <f>IFERROR(__xludf.DUMMYFUNCTION("ARRAYFORMULA(REGEXEXTRACT(SPLIT(E1181, ""&lt;br&gt;""), ""([가-힣A-Za-z]+)""))"),"요즘")</f>
        <v>요즘</v>
      </c>
      <c r="O1181" s="26" t="str">
        <f>IFERROR(__xludf.DUMMYFUNCTION("""COMPUTED_VALUE"""),"신형만")</f>
        <v>신형만</v>
      </c>
      <c r="P1181" s="26" t="str">
        <f>IFERROR(__xludf.DUMMYFUNCTION("""COMPUTED_VALUE"""),"미등록")</f>
        <v>미등록</v>
      </c>
      <c r="Q1181" s="26" t="str">
        <f>IFERROR(__xludf.DUMMYFUNCTION("""COMPUTED_VALUE"""),"한메")</f>
        <v>한메</v>
      </c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</row>
    <row r="1182">
      <c r="A1182" s="27" t="s">
        <v>4982</v>
      </c>
      <c r="B1182" s="28" t="s">
        <v>4983</v>
      </c>
      <c r="C1182" s="27" t="s">
        <v>4984</v>
      </c>
      <c r="D1182" s="27">
        <v>5.0</v>
      </c>
      <c r="E1182" s="27" t="s">
        <v>4985</v>
      </c>
      <c r="F1182" s="27">
        <v>2.0</v>
      </c>
      <c r="G1182" s="29">
        <v>45635.884722222225</v>
      </c>
      <c r="H1182" s="27" t="s">
        <v>4737</v>
      </c>
      <c r="I1182" s="18"/>
      <c r="J1182" s="25" t="str">
        <f>IFERROR(__xludf.DUMMYFUNCTION("ARRAYFORMULA(REGEXEXTRACT(SPLIT(C1182, ""&lt;br&gt;""), ""([가-힣A-Za-z]+)""))"),"깡패")</f>
        <v>깡패</v>
      </c>
      <c r="K1182" s="26" t="str">
        <f>IFERROR(__xludf.DUMMYFUNCTION("""COMPUTED_VALUE"""),"요즘")</f>
        <v>요즘</v>
      </c>
      <c r="L1182" s="26" t="str">
        <f>IFERROR(__xludf.DUMMYFUNCTION("""COMPUTED_VALUE"""),"구리다")</f>
        <v>구리다</v>
      </c>
      <c r="M1182" s="26" t="str">
        <f>IFERROR(__xludf.DUMMYFUNCTION("""COMPUTED_VALUE"""),"신형만")</f>
        <v>신형만</v>
      </c>
      <c r="N1182" s="26" t="str">
        <f>IFERROR(__xludf.DUMMYFUNCTION("ARRAYFORMULA(REGEXEXTRACT(SPLIT(E1182, ""&lt;br&gt;""), ""([가-힣A-Za-z]+)""))"),"한메")</f>
        <v>한메</v>
      </c>
      <c r="O1182" s="26" t="str">
        <f>IFERROR(__xludf.DUMMYFUNCTION("""COMPUTED_VALUE"""),"재우")</f>
        <v>재우</v>
      </c>
      <c r="P1182" s="26" t="str">
        <f>IFERROR(__xludf.DUMMYFUNCTION("""COMPUTED_VALUE"""),"ACDC")</f>
        <v>ACDC</v>
      </c>
      <c r="Q1182" s="26" t="str">
        <f>IFERROR(__xludf.DUMMYFUNCTION("""COMPUTED_VALUE"""),"미등록")</f>
        <v>미등록</v>
      </c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</row>
    <row r="1183">
      <c r="A1183" s="27" t="s">
        <v>4986</v>
      </c>
      <c r="B1183" s="28" t="s">
        <v>4987</v>
      </c>
      <c r="C1183" s="27" t="s">
        <v>4988</v>
      </c>
      <c r="D1183" s="27">
        <v>5.0</v>
      </c>
      <c r="E1183" s="27" t="s">
        <v>4989</v>
      </c>
      <c r="F1183" s="27">
        <v>3.0</v>
      </c>
      <c r="G1183" s="29">
        <v>45635.865277777775</v>
      </c>
      <c r="H1183" s="27" t="s">
        <v>4737</v>
      </c>
      <c r="I1183" s="18"/>
      <c r="J1183" s="25" t="str">
        <f>IFERROR(__xludf.DUMMYFUNCTION("ARRAYFORMULA(REGEXEXTRACT(SPLIT(C1183, ""&lt;br&gt;""), ""([가-힣A-Za-z]+)""))"),"ACDC")</f>
        <v>ACDC</v>
      </c>
      <c r="K1183" s="26" t="str">
        <f>IFERROR(__xludf.DUMMYFUNCTION("""COMPUTED_VALUE"""),"신형만")</f>
        <v>신형만</v>
      </c>
      <c r="L1183" s="26" t="str">
        <f>IFERROR(__xludf.DUMMYFUNCTION("""COMPUTED_VALUE"""),"테리")</f>
        <v>테리</v>
      </c>
      <c r="M1183" s="26" t="str">
        <f>IFERROR(__xludf.DUMMYFUNCTION("""COMPUTED_VALUE"""),"미등록")</f>
        <v>미등록</v>
      </c>
      <c r="N1183" s="26" t="str">
        <f>IFERROR(__xludf.DUMMYFUNCTION("ARRAYFORMULA(REGEXEXTRACT(SPLIT(E1183, ""&lt;br&gt;""), ""([가-힣A-Za-z]+)""))"),"구리다")</f>
        <v>구리다</v>
      </c>
      <c r="O1183" s="26" t="str">
        <f>IFERROR(__xludf.DUMMYFUNCTION("""COMPUTED_VALUE"""),"깡패")</f>
        <v>깡패</v>
      </c>
      <c r="P1183" s="26" t="str">
        <f>IFERROR(__xludf.DUMMYFUNCTION("""COMPUTED_VALUE"""),"한메")</f>
        <v>한메</v>
      </c>
      <c r="Q1183" s="26" t="str">
        <f>IFERROR(__xludf.DUMMYFUNCTION("""COMPUTED_VALUE"""),"재우")</f>
        <v>재우</v>
      </c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</row>
    <row r="1184">
      <c r="A1184" s="27" t="s">
        <v>4990</v>
      </c>
      <c r="B1184" s="28" t="s">
        <v>4991</v>
      </c>
      <c r="C1184" s="27" t="s">
        <v>4992</v>
      </c>
      <c r="D1184" s="27">
        <v>5.0</v>
      </c>
      <c r="E1184" s="27" t="s">
        <v>4993</v>
      </c>
      <c r="F1184" s="27">
        <v>0.0</v>
      </c>
      <c r="G1184" s="29">
        <v>45635.09583333333</v>
      </c>
      <c r="H1184" s="27" t="s">
        <v>4737</v>
      </c>
      <c r="I1184" s="18"/>
      <c r="J1184" s="25" t="str">
        <f>IFERROR(__xludf.DUMMYFUNCTION("ARRAYFORMULA(REGEXEXTRACT(SPLIT(C1184, ""&lt;br&gt;""), ""([가-힣A-Za-z]+)""))"),"신형만")</f>
        <v>신형만</v>
      </c>
      <c r="K1184" s="26" t="str">
        <f>IFERROR(__xludf.DUMMYFUNCTION("""COMPUTED_VALUE"""),"태식")</f>
        <v>태식</v>
      </c>
      <c r="L1184" s="26" t="str">
        <f>IFERROR(__xludf.DUMMYFUNCTION("""COMPUTED_VALUE"""),"따")</f>
        <v>따</v>
      </c>
      <c r="M1184" s="26" t="str">
        <f>IFERROR(__xludf.DUMMYFUNCTION("""COMPUTED_VALUE"""),"노인")</f>
        <v>노인</v>
      </c>
      <c r="N1184" s="26" t="str">
        <f>IFERROR(__xludf.DUMMYFUNCTION("ARRAYFORMULA(REGEXEXTRACT(SPLIT(E1184, ""&lt;br&gt;""), ""([가-힣A-Za-z]+)""))"),"킹")</f>
        <v>킹</v>
      </c>
      <c r="O1184" s="26" t="str">
        <f>IFERROR(__xludf.DUMMYFUNCTION("""COMPUTED_VALUE"""),"ACDC")</f>
        <v>ACDC</v>
      </c>
      <c r="P1184" s="26" t="str">
        <f>IFERROR(__xludf.DUMMYFUNCTION("""COMPUTED_VALUE"""),"참치")</f>
        <v>참치</v>
      </c>
      <c r="Q1184" s="26" t="str">
        <f>IFERROR(__xludf.DUMMYFUNCTION("""COMPUTED_VALUE"""),"깡패")</f>
        <v>깡패</v>
      </c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</row>
    <row r="1185">
      <c r="A1185" s="27" t="s">
        <v>4994</v>
      </c>
      <c r="B1185" s="28" t="s">
        <v>4995</v>
      </c>
      <c r="C1185" s="27" t="s">
        <v>4996</v>
      </c>
      <c r="D1185" s="27">
        <v>5.0</v>
      </c>
      <c r="E1185" s="27" t="s">
        <v>4997</v>
      </c>
      <c r="F1185" s="27">
        <v>3.0</v>
      </c>
      <c r="G1185" s="29">
        <v>45635.075694444444</v>
      </c>
      <c r="H1185" s="27" t="s">
        <v>4737</v>
      </c>
      <c r="I1185" s="18"/>
      <c r="J1185" s="25" t="str">
        <f>IFERROR(__xludf.DUMMYFUNCTION("ARRAYFORMULA(REGEXEXTRACT(SPLIT(C1185, ""&lt;br&gt;""), ""([가-힣A-Za-z]+)""))"),"깡패")</f>
        <v>깡패</v>
      </c>
      <c r="K1185" s="26" t="str">
        <f>IFERROR(__xludf.DUMMYFUNCTION("""COMPUTED_VALUE"""),"따")</f>
        <v>따</v>
      </c>
      <c r="L1185" s="26" t="str">
        <f>IFERROR(__xludf.DUMMYFUNCTION("""COMPUTED_VALUE"""),"조드")</f>
        <v>조드</v>
      </c>
      <c r="M1185" s="26" t="str">
        <f>IFERROR(__xludf.DUMMYFUNCTION("""COMPUTED_VALUE"""),"신형만")</f>
        <v>신형만</v>
      </c>
      <c r="N1185" s="26" t="str">
        <f>IFERROR(__xludf.DUMMYFUNCTION("ARRAYFORMULA(REGEXEXTRACT(SPLIT(E1185, ""&lt;br&gt;""), ""([가-힣A-Za-z]+)""))"),"킹")</f>
        <v>킹</v>
      </c>
      <c r="O1185" s="26" t="str">
        <f>IFERROR(__xludf.DUMMYFUNCTION("""COMPUTED_VALUE"""),"태식")</f>
        <v>태식</v>
      </c>
      <c r="P1185" s="26" t="str">
        <f>IFERROR(__xludf.DUMMYFUNCTION("""COMPUTED_VALUE"""),"ACDC")</f>
        <v>ACDC</v>
      </c>
      <c r="Q1185" s="26" t="str">
        <f>IFERROR(__xludf.DUMMYFUNCTION("""COMPUTED_VALUE"""),"노인")</f>
        <v>노인</v>
      </c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</row>
    <row r="1186">
      <c r="A1186" s="27" t="s">
        <v>4998</v>
      </c>
      <c r="B1186" s="28" t="s">
        <v>4999</v>
      </c>
      <c r="C1186" s="27" t="s">
        <v>5000</v>
      </c>
      <c r="D1186" s="27">
        <v>5.0</v>
      </c>
      <c r="E1186" s="27" t="s">
        <v>5001</v>
      </c>
      <c r="F1186" s="27">
        <v>0.0</v>
      </c>
      <c r="G1186" s="29">
        <v>45635.04513888889</v>
      </c>
      <c r="H1186" s="27" t="s">
        <v>4737</v>
      </c>
      <c r="I1186" s="18"/>
      <c r="J1186" s="25" t="str">
        <f>IFERROR(__xludf.DUMMYFUNCTION("ARRAYFORMULA(REGEXEXTRACT(SPLIT(C1186, ""&lt;br&gt;""), ""([가-힣A-Za-z]+)""))"),"재우")</f>
        <v>재우</v>
      </c>
      <c r="K1186" s="26" t="str">
        <f>IFERROR(__xludf.DUMMYFUNCTION("""COMPUTED_VALUE"""),"태식")</f>
        <v>태식</v>
      </c>
      <c r="L1186" s="26" t="str">
        <f>IFERROR(__xludf.DUMMYFUNCTION("""COMPUTED_VALUE"""),"따")</f>
        <v>따</v>
      </c>
      <c r="M1186" s="26" t="str">
        <f>IFERROR(__xludf.DUMMYFUNCTION("""COMPUTED_VALUE"""),"조드")</f>
        <v>조드</v>
      </c>
      <c r="N1186" s="26" t="str">
        <f>IFERROR(__xludf.DUMMYFUNCTION("ARRAYFORMULA(REGEXEXTRACT(SPLIT(E1186, ""&lt;br&gt;""), ""([가-힣A-Za-z]+)""))"),"킹")</f>
        <v>킹</v>
      </c>
      <c r="O1186" s="26" t="str">
        <f>IFERROR(__xludf.DUMMYFUNCTION("""COMPUTED_VALUE"""),"깡패")</f>
        <v>깡패</v>
      </c>
      <c r="P1186" s="26" t="str">
        <f>IFERROR(__xludf.DUMMYFUNCTION("""COMPUTED_VALUE"""),"신형만")</f>
        <v>신형만</v>
      </c>
      <c r="Q1186" s="26" t="str">
        <f>IFERROR(__xludf.DUMMYFUNCTION("""COMPUTED_VALUE"""),"ACDC")</f>
        <v>ACDC</v>
      </c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</row>
    <row r="1187">
      <c r="A1187" s="27" t="s">
        <v>5002</v>
      </c>
      <c r="B1187" s="28" t="s">
        <v>5003</v>
      </c>
      <c r="C1187" s="27" t="s">
        <v>5004</v>
      </c>
      <c r="D1187" s="27">
        <v>5.0</v>
      </c>
      <c r="E1187" s="27" t="s">
        <v>5005</v>
      </c>
      <c r="F1187" s="27">
        <v>0.0</v>
      </c>
      <c r="G1187" s="29">
        <v>45635.02916666667</v>
      </c>
      <c r="H1187" s="27" t="s">
        <v>4737</v>
      </c>
      <c r="I1187" s="18"/>
      <c r="J1187" s="25" t="str">
        <f>IFERROR(__xludf.DUMMYFUNCTION("ARRAYFORMULA(REGEXEXTRACT(SPLIT(C1187, ""&lt;br&gt;""), ""([가-힣A-Za-z]+)""))"),"신형만")</f>
        <v>신형만</v>
      </c>
      <c r="K1187" s="26" t="str">
        <f>IFERROR(__xludf.DUMMYFUNCTION("""COMPUTED_VALUE"""),"깡패")</f>
        <v>깡패</v>
      </c>
      <c r="L1187" s="26" t="str">
        <f>IFERROR(__xludf.DUMMYFUNCTION("""COMPUTED_VALUE"""),"조드")</f>
        <v>조드</v>
      </c>
      <c r="M1187" s="26" t="str">
        <f>IFERROR(__xludf.DUMMYFUNCTION("""COMPUTED_VALUE"""),"재우")</f>
        <v>재우</v>
      </c>
      <c r="N1187" s="26" t="str">
        <f>IFERROR(__xludf.DUMMYFUNCTION("ARRAYFORMULA(REGEXEXTRACT(SPLIT(E1187, ""&lt;br&gt;""), ""([가-힣A-Za-z]+)""))"),"킹")</f>
        <v>킹</v>
      </c>
      <c r="O1187" s="26" t="str">
        <f>IFERROR(__xludf.DUMMYFUNCTION("""COMPUTED_VALUE"""),"태식")</f>
        <v>태식</v>
      </c>
      <c r="P1187" s="26" t="str">
        <f>IFERROR(__xludf.DUMMYFUNCTION("""COMPUTED_VALUE"""),"따")</f>
        <v>따</v>
      </c>
      <c r="Q1187" s="26" t="str">
        <f>IFERROR(__xludf.DUMMYFUNCTION("""COMPUTED_VALUE"""),"ACDC")</f>
        <v>ACDC</v>
      </c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</row>
    <row r="1188">
      <c r="A1188" s="27" t="s">
        <v>5006</v>
      </c>
      <c r="B1188" s="28" t="s">
        <v>5007</v>
      </c>
      <c r="C1188" s="27" t="s">
        <v>5008</v>
      </c>
      <c r="D1188" s="27">
        <v>5.0</v>
      </c>
      <c r="E1188" s="27" t="s">
        <v>5009</v>
      </c>
      <c r="F1188" s="27">
        <v>0.0</v>
      </c>
      <c r="G1188" s="29">
        <v>45635.01527777778</v>
      </c>
      <c r="H1188" s="27" t="s">
        <v>4737</v>
      </c>
      <c r="I1188" s="18"/>
      <c r="J1188" s="25" t="str">
        <f>IFERROR(__xludf.DUMMYFUNCTION("ARRAYFORMULA(REGEXEXTRACT(SPLIT(C1188, ""&lt;br&gt;""), ""([가-힣A-Za-z]+)""))"),"재우")</f>
        <v>재우</v>
      </c>
      <c r="K1188" s="26" t="str">
        <f>IFERROR(__xludf.DUMMYFUNCTION("""COMPUTED_VALUE"""),"태식")</f>
        <v>태식</v>
      </c>
      <c r="L1188" s="26" t="str">
        <f>IFERROR(__xludf.DUMMYFUNCTION("""COMPUTED_VALUE"""),"테리")</f>
        <v>테리</v>
      </c>
      <c r="M1188" s="26" t="str">
        <f>IFERROR(__xludf.DUMMYFUNCTION("""COMPUTED_VALUE"""),"깡패")</f>
        <v>깡패</v>
      </c>
      <c r="N1188" s="26" t="str">
        <f>IFERROR(__xludf.DUMMYFUNCTION("ARRAYFORMULA(REGEXEXTRACT(SPLIT(E1188, ""&lt;br&gt;""), ""([가-힣A-Za-z]+)""))"),"킹")</f>
        <v>킹</v>
      </c>
      <c r="O1188" s="26" t="str">
        <f>IFERROR(__xludf.DUMMYFUNCTION("""COMPUTED_VALUE"""),"ACDC")</f>
        <v>ACDC</v>
      </c>
      <c r="P1188" s="26" t="str">
        <f>IFERROR(__xludf.DUMMYFUNCTION("""COMPUTED_VALUE"""),"신형만")</f>
        <v>신형만</v>
      </c>
      <c r="Q1188" s="26" t="str">
        <f>IFERROR(__xludf.DUMMYFUNCTION("""COMPUTED_VALUE"""),"조드")</f>
        <v>조드</v>
      </c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</row>
    <row r="1189">
      <c r="A1189" s="27" t="s">
        <v>5010</v>
      </c>
      <c r="B1189" s="28" t="s">
        <v>5011</v>
      </c>
      <c r="C1189" s="27" t="s">
        <v>5012</v>
      </c>
      <c r="D1189" s="27">
        <v>5.0</v>
      </c>
      <c r="E1189" s="27" t="s">
        <v>5013</v>
      </c>
      <c r="F1189" s="27">
        <v>3.0</v>
      </c>
      <c r="G1189" s="29">
        <v>45634.99444444444</v>
      </c>
      <c r="H1189" s="27" t="s">
        <v>4737</v>
      </c>
      <c r="I1189" s="18"/>
      <c r="J1189" s="25" t="str">
        <f>IFERROR(__xludf.DUMMYFUNCTION("ARRAYFORMULA(REGEXEXTRACT(SPLIT(C1189, ""&lt;br&gt;""), ""([가-힣A-Za-z]+)""))"),"강화")</f>
        <v>강화</v>
      </c>
      <c r="K1189" s="26" t="str">
        <f>IFERROR(__xludf.DUMMYFUNCTION("""COMPUTED_VALUE"""),"재우")</f>
        <v>재우</v>
      </c>
      <c r="L1189" s="26" t="str">
        <f>IFERROR(__xludf.DUMMYFUNCTION("""COMPUTED_VALUE"""),"신형만")</f>
        <v>신형만</v>
      </c>
      <c r="M1189" s="26" t="str">
        <f>IFERROR(__xludf.DUMMYFUNCTION("""COMPUTED_VALUE"""),"태식")</f>
        <v>태식</v>
      </c>
      <c r="N1189" s="26" t="str">
        <f>IFERROR(__xludf.DUMMYFUNCTION("ARRAYFORMULA(REGEXEXTRACT(SPLIT(E1189, ""&lt;br&gt;""), ""([가-힣A-Za-z]+)""))"),"노인")</f>
        <v>노인</v>
      </c>
      <c r="O1189" s="26" t="str">
        <f>IFERROR(__xludf.DUMMYFUNCTION("""COMPUTED_VALUE"""),"조드")</f>
        <v>조드</v>
      </c>
      <c r="P1189" s="26" t="str">
        <f>IFERROR(__xludf.DUMMYFUNCTION("""COMPUTED_VALUE"""),"ACDC")</f>
        <v>ACDC</v>
      </c>
      <c r="Q1189" s="26" t="str">
        <f>IFERROR(__xludf.DUMMYFUNCTION("""COMPUTED_VALUE"""),"깡패")</f>
        <v>깡패</v>
      </c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</row>
    <row r="1190">
      <c r="A1190" s="27" t="s">
        <v>5014</v>
      </c>
      <c r="B1190" s="28" t="s">
        <v>5015</v>
      </c>
      <c r="C1190" s="27" t="s">
        <v>5016</v>
      </c>
      <c r="D1190" s="27">
        <v>5.0</v>
      </c>
      <c r="E1190" s="27" t="s">
        <v>5017</v>
      </c>
      <c r="F1190" s="27">
        <v>3.0</v>
      </c>
      <c r="G1190" s="29">
        <v>45634.95416666667</v>
      </c>
      <c r="H1190" s="27" t="s">
        <v>4737</v>
      </c>
      <c r="I1190" s="18"/>
      <c r="J1190" s="25" t="str">
        <f>IFERROR(__xludf.DUMMYFUNCTION("ARRAYFORMULA(REGEXEXTRACT(SPLIT(C1190, ""&lt;br&gt;""), ""([가-힣A-Za-z]+)""))"),"깡패")</f>
        <v>깡패</v>
      </c>
      <c r="K1190" s="26" t="str">
        <f>IFERROR(__xludf.DUMMYFUNCTION("""COMPUTED_VALUE"""),"노인")</f>
        <v>노인</v>
      </c>
      <c r="L1190" s="26" t="str">
        <f>IFERROR(__xludf.DUMMYFUNCTION("""COMPUTED_VALUE"""),"신형만")</f>
        <v>신형만</v>
      </c>
      <c r="M1190" s="26" t="str">
        <f>IFERROR(__xludf.DUMMYFUNCTION("""COMPUTED_VALUE"""),"태식")</f>
        <v>태식</v>
      </c>
      <c r="N1190" s="26" t="str">
        <f>IFERROR(__xludf.DUMMYFUNCTION("ARRAYFORMULA(REGEXEXTRACT(SPLIT(E1190, ""&lt;br&gt;""), ""([가-힣A-Za-z]+)""))"),"강화")</f>
        <v>강화</v>
      </c>
      <c r="O1190" s="26" t="str">
        <f>IFERROR(__xludf.DUMMYFUNCTION("""COMPUTED_VALUE"""),"재우")</f>
        <v>재우</v>
      </c>
      <c r="P1190" s="26" t="str">
        <f>IFERROR(__xludf.DUMMYFUNCTION("""COMPUTED_VALUE"""),"테리")</f>
        <v>테리</v>
      </c>
      <c r="Q1190" s="26" t="str">
        <f>IFERROR(__xludf.DUMMYFUNCTION("""COMPUTED_VALUE"""),"ACDC")</f>
        <v>ACDC</v>
      </c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</row>
    <row r="1191">
      <c r="A1191" s="27" t="s">
        <v>5018</v>
      </c>
      <c r="B1191" s="28" t="s">
        <v>5019</v>
      </c>
      <c r="C1191" s="27" t="s">
        <v>5020</v>
      </c>
      <c r="D1191" s="27">
        <v>5.0</v>
      </c>
      <c r="E1191" s="27" t="s">
        <v>5021</v>
      </c>
      <c r="F1191" s="27">
        <v>2.0</v>
      </c>
      <c r="G1191" s="29">
        <v>45634.92361111111</v>
      </c>
      <c r="H1191" s="27" t="s">
        <v>4737</v>
      </c>
      <c r="I1191" s="18"/>
      <c r="J1191" s="25" t="str">
        <f>IFERROR(__xludf.DUMMYFUNCTION("ARRAYFORMULA(REGEXEXTRACT(SPLIT(C1191, ""&lt;br&gt;""), ""([가-힣A-Za-z]+)""))"),"재우")</f>
        <v>재우</v>
      </c>
      <c r="K1191" s="26" t="str">
        <f>IFERROR(__xludf.DUMMYFUNCTION("""COMPUTED_VALUE"""),"신형만")</f>
        <v>신형만</v>
      </c>
      <c r="L1191" s="26" t="str">
        <f>IFERROR(__xludf.DUMMYFUNCTION("""COMPUTED_VALUE"""),"테리")</f>
        <v>테리</v>
      </c>
      <c r="M1191" s="26" t="str">
        <f>IFERROR(__xludf.DUMMYFUNCTION("""COMPUTED_VALUE"""),"요즘")</f>
        <v>요즘</v>
      </c>
      <c r="N1191" s="26" t="str">
        <f>IFERROR(__xludf.DUMMYFUNCTION("ARRAYFORMULA(REGEXEXTRACT(SPLIT(E1191, ""&lt;br&gt;""), ""([가-힣A-Za-z]+)""))"),"강화")</f>
        <v>강화</v>
      </c>
      <c r="O1191" s="26" t="str">
        <f>IFERROR(__xludf.DUMMYFUNCTION("""COMPUTED_VALUE"""),"재명")</f>
        <v>재명</v>
      </c>
      <c r="P1191" s="26" t="str">
        <f>IFERROR(__xludf.DUMMYFUNCTION("""COMPUTED_VALUE"""),"한메")</f>
        <v>한메</v>
      </c>
      <c r="Q1191" s="26" t="str">
        <f>IFERROR(__xludf.DUMMYFUNCTION("""COMPUTED_VALUE"""),"깡패")</f>
        <v>깡패</v>
      </c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</row>
    <row r="1192">
      <c r="A1192" s="27" t="s">
        <v>5022</v>
      </c>
      <c r="B1192" s="28" t="s">
        <v>5023</v>
      </c>
      <c r="C1192" s="27" t="s">
        <v>5024</v>
      </c>
      <c r="D1192" s="27">
        <v>5.0</v>
      </c>
      <c r="E1192" s="27" t="s">
        <v>5025</v>
      </c>
      <c r="F1192" s="27">
        <v>4.0</v>
      </c>
      <c r="G1192" s="29">
        <v>45634.902083333334</v>
      </c>
      <c r="H1192" s="27" t="s">
        <v>4737</v>
      </c>
      <c r="I1192" s="18"/>
      <c r="J1192" s="25" t="str">
        <f>IFERROR(__xludf.DUMMYFUNCTION("ARRAYFORMULA(REGEXEXTRACT(SPLIT(C1192, ""&lt;br&gt;""), ""([가-힣A-Za-z]+)""))"),"요즘")</f>
        <v>요즘</v>
      </c>
      <c r="K1192" s="26" t="str">
        <f>IFERROR(__xludf.DUMMYFUNCTION("""COMPUTED_VALUE"""),"테리")</f>
        <v>테리</v>
      </c>
      <c r="L1192" s="26" t="str">
        <f>IFERROR(__xludf.DUMMYFUNCTION("""COMPUTED_VALUE"""),"재명")</f>
        <v>재명</v>
      </c>
      <c r="M1192" s="26" t="str">
        <f>IFERROR(__xludf.DUMMYFUNCTION("""COMPUTED_VALUE"""),"한메")</f>
        <v>한메</v>
      </c>
      <c r="N1192" s="26" t="str">
        <f>IFERROR(__xludf.DUMMYFUNCTION("ARRAYFORMULA(REGEXEXTRACT(SPLIT(E1192, ""&lt;br&gt;""), ""([가-힣A-Za-z]+)""))"),"깡패")</f>
        <v>깡패</v>
      </c>
      <c r="O1192" s="26" t="str">
        <f>IFERROR(__xludf.DUMMYFUNCTION("""COMPUTED_VALUE"""),"재우")</f>
        <v>재우</v>
      </c>
      <c r="P1192" s="26" t="str">
        <f>IFERROR(__xludf.DUMMYFUNCTION("""COMPUTED_VALUE"""),"신형만")</f>
        <v>신형만</v>
      </c>
      <c r="Q1192" s="26" t="str">
        <f>IFERROR(__xludf.DUMMYFUNCTION("""COMPUTED_VALUE"""),"강화")</f>
        <v>강화</v>
      </c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</row>
    <row r="1193">
      <c r="A1193" s="27" t="s">
        <v>5026</v>
      </c>
      <c r="B1193" s="28" t="s">
        <v>5027</v>
      </c>
      <c r="C1193" s="27" t="s">
        <v>5028</v>
      </c>
      <c r="D1193" s="27">
        <v>5.0</v>
      </c>
      <c r="E1193" s="27" t="s">
        <v>5029</v>
      </c>
      <c r="F1193" s="27">
        <v>4.0</v>
      </c>
      <c r="G1193" s="29">
        <v>45634.861805555556</v>
      </c>
      <c r="H1193" s="27" t="s">
        <v>4737</v>
      </c>
      <c r="I1193" s="18"/>
      <c r="J1193" s="25" t="str">
        <f>IFERROR(__xludf.DUMMYFUNCTION("ARRAYFORMULA(REGEXEXTRACT(SPLIT(C1193, ""&lt;br&gt;""), ""([가-힣A-Za-z]+)""))"),"요즘")</f>
        <v>요즘</v>
      </c>
      <c r="K1193" s="26" t="str">
        <f>IFERROR(__xludf.DUMMYFUNCTION("""COMPUTED_VALUE"""),"참치")</f>
        <v>참치</v>
      </c>
      <c r="L1193" s="26" t="str">
        <f>IFERROR(__xludf.DUMMYFUNCTION("""COMPUTED_VALUE"""),"한메")</f>
        <v>한메</v>
      </c>
      <c r="M1193" s="26" t="str">
        <f>IFERROR(__xludf.DUMMYFUNCTION("""COMPUTED_VALUE"""),"강화")</f>
        <v>강화</v>
      </c>
      <c r="N1193" s="26" t="str">
        <f>IFERROR(__xludf.DUMMYFUNCTION("ARRAYFORMULA(REGEXEXTRACT(SPLIT(E1193, ""&lt;br&gt;""), ""([가-힣A-Za-z]+)""))"),"신형만")</f>
        <v>신형만</v>
      </c>
      <c r="O1193" s="26" t="str">
        <f>IFERROR(__xludf.DUMMYFUNCTION("""COMPUTED_VALUE"""),"재명")</f>
        <v>재명</v>
      </c>
      <c r="P1193" s="26" t="str">
        <f>IFERROR(__xludf.DUMMYFUNCTION("""COMPUTED_VALUE"""),"테리")</f>
        <v>테리</v>
      </c>
      <c r="Q1193" s="26" t="str">
        <f>IFERROR(__xludf.DUMMYFUNCTION("""COMPUTED_VALUE"""),"깡패")</f>
        <v>깡패</v>
      </c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</row>
    <row r="1194">
      <c r="A1194" s="27" t="s">
        <v>5030</v>
      </c>
      <c r="B1194" s="28" t="s">
        <v>5031</v>
      </c>
      <c r="C1194" s="27" t="s">
        <v>5032</v>
      </c>
      <c r="D1194" s="27">
        <v>5.0</v>
      </c>
      <c r="E1194" s="27" t="s">
        <v>5033</v>
      </c>
      <c r="F1194" s="27">
        <v>2.0</v>
      </c>
      <c r="G1194" s="29">
        <v>45634.123611111114</v>
      </c>
      <c r="H1194" s="27" t="s">
        <v>4737</v>
      </c>
      <c r="I1194" s="18"/>
      <c r="J1194" s="25" t="str">
        <f>IFERROR(__xludf.DUMMYFUNCTION("ARRAYFORMULA(REGEXEXTRACT(SPLIT(C1194, ""&lt;br&gt;""), ""([가-힣A-Za-z]+)""))"),"원")</f>
        <v>원</v>
      </c>
      <c r="K1194" s="26" t="str">
        <f>IFERROR(__xludf.DUMMYFUNCTION("""COMPUTED_VALUE"""),"참치")</f>
        <v>참치</v>
      </c>
      <c r="L1194" s="26" t="str">
        <f>IFERROR(__xludf.DUMMYFUNCTION("""COMPUTED_VALUE"""),"짱구")</f>
        <v>짱구</v>
      </c>
      <c r="M1194" s="26" t="str">
        <f>IFERROR(__xludf.DUMMYFUNCTION("""COMPUTED_VALUE"""),"ACDC")</f>
        <v>ACDC</v>
      </c>
      <c r="N1194" s="26" t="str">
        <f>IFERROR(__xludf.DUMMYFUNCTION("ARRAYFORMULA(REGEXEXTRACT(SPLIT(E1194, ""&lt;br&gt;""), ""([가-힣A-Za-z]+)""))"),"태식")</f>
        <v>태식</v>
      </c>
      <c r="O1194" s="26" t="str">
        <f>IFERROR(__xludf.DUMMYFUNCTION("""COMPUTED_VALUE"""),"테리")</f>
        <v>테리</v>
      </c>
      <c r="P1194" s="26" t="str">
        <f>IFERROR(__xludf.DUMMYFUNCTION("""COMPUTED_VALUE"""),"한메")</f>
        <v>한메</v>
      </c>
      <c r="Q1194" s="26" t="str">
        <f>IFERROR(__xludf.DUMMYFUNCTION("""COMPUTED_VALUE"""),"노인")</f>
        <v>노인</v>
      </c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</row>
    <row r="1195">
      <c r="A1195" s="27" t="s">
        <v>5034</v>
      </c>
      <c r="B1195" s="28" t="s">
        <v>5035</v>
      </c>
      <c r="C1195" s="27" t="s">
        <v>5036</v>
      </c>
      <c r="D1195" s="27">
        <v>5.0</v>
      </c>
      <c r="E1195" s="27" t="s">
        <v>5037</v>
      </c>
      <c r="F1195" s="27">
        <v>1.0</v>
      </c>
      <c r="G1195" s="29">
        <v>45634.05347222222</v>
      </c>
      <c r="H1195" s="27" t="s">
        <v>4737</v>
      </c>
      <c r="I1195" s="18"/>
      <c r="J1195" s="25" t="str">
        <f>IFERROR(__xludf.DUMMYFUNCTION("ARRAYFORMULA(REGEXEXTRACT(SPLIT(C1195, ""&lt;br&gt;""), ""([가-힣A-Za-z]+)""))"),"태식")</f>
        <v>태식</v>
      </c>
      <c r="K1195" s="26" t="str">
        <f>IFERROR(__xludf.DUMMYFUNCTION("""COMPUTED_VALUE"""),"짱구")</f>
        <v>짱구</v>
      </c>
      <c r="L1195" s="26" t="str">
        <f>IFERROR(__xludf.DUMMYFUNCTION("""COMPUTED_VALUE"""),"테리")</f>
        <v>테리</v>
      </c>
      <c r="M1195" s="26" t="str">
        <f>IFERROR(__xludf.DUMMYFUNCTION("""COMPUTED_VALUE"""),"참치")</f>
        <v>참치</v>
      </c>
      <c r="N1195" s="26" t="str">
        <f>IFERROR(__xludf.DUMMYFUNCTION("ARRAYFORMULA(REGEXEXTRACT(SPLIT(E1195, ""&lt;br&gt;""), ""([가-힣A-Za-z]+)""))"),"노인")</f>
        <v>노인</v>
      </c>
      <c r="O1195" s="26" t="str">
        <f>IFERROR(__xludf.DUMMYFUNCTION("""COMPUTED_VALUE"""),"원")</f>
        <v>원</v>
      </c>
      <c r="P1195" s="26" t="str">
        <f>IFERROR(__xludf.DUMMYFUNCTION("""COMPUTED_VALUE"""),"ACDC")</f>
        <v>ACDC</v>
      </c>
      <c r="Q1195" s="26" t="str">
        <f>IFERROR(__xludf.DUMMYFUNCTION("""COMPUTED_VALUE"""),"한메")</f>
        <v>한메</v>
      </c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</row>
    <row r="1196">
      <c r="A1196" s="27" t="s">
        <v>5038</v>
      </c>
      <c r="B1196" s="28" t="s">
        <v>5039</v>
      </c>
      <c r="C1196" s="27" t="s">
        <v>5040</v>
      </c>
      <c r="D1196" s="27">
        <v>5.0</v>
      </c>
      <c r="E1196" s="27" t="s">
        <v>5041</v>
      </c>
      <c r="F1196" s="27">
        <v>3.0</v>
      </c>
      <c r="G1196" s="29">
        <v>45634.02361111111</v>
      </c>
      <c r="H1196" s="27" t="s">
        <v>4737</v>
      </c>
      <c r="I1196" s="18"/>
      <c r="J1196" s="25" t="str">
        <f>IFERROR(__xludf.DUMMYFUNCTION("ARRAYFORMULA(REGEXEXTRACT(SPLIT(C1196, ""&lt;br&gt;""), ""([가-힣A-Za-z]+)""))"),"원")</f>
        <v>원</v>
      </c>
      <c r="K1196" s="26" t="str">
        <f>IFERROR(__xludf.DUMMYFUNCTION("""COMPUTED_VALUE"""),"ACDC")</f>
        <v>ACDC</v>
      </c>
      <c r="L1196" s="26" t="str">
        <f>IFERROR(__xludf.DUMMYFUNCTION("""COMPUTED_VALUE"""),"민우")</f>
        <v>민우</v>
      </c>
      <c r="M1196" s="26" t="str">
        <f>IFERROR(__xludf.DUMMYFUNCTION("""COMPUTED_VALUE"""),"태식")</f>
        <v>태식</v>
      </c>
      <c r="N1196" s="26" t="str">
        <f>IFERROR(__xludf.DUMMYFUNCTION("ARRAYFORMULA(REGEXEXTRACT(SPLIT(E1196, ""&lt;br&gt;""), ""([가-힣A-Za-z]+)""))"),"테리")</f>
        <v>테리</v>
      </c>
      <c r="O1196" s="26" t="str">
        <f>IFERROR(__xludf.DUMMYFUNCTION("""COMPUTED_VALUE"""),"참치")</f>
        <v>참치</v>
      </c>
      <c r="P1196" s="26" t="str">
        <f>IFERROR(__xludf.DUMMYFUNCTION("""COMPUTED_VALUE"""),"따")</f>
        <v>따</v>
      </c>
      <c r="Q1196" s="26" t="str">
        <f>IFERROR(__xludf.DUMMYFUNCTION("""COMPUTED_VALUE"""),"한메")</f>
        <v>한메</v>
      </c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</row>
    <row r="1197">
      <c r="A1197" s="27" t="s">
        <v>5042</v>
      </c>
      <c r="B1197" s="28" t="s">
        <v>5043</v>
      </c>
      <c r="C1197" s="27" t="s">
        <v>5044</v>
      </c>
      <c r="D1197" s="27">
        <v>5.0</v>
      </c>
      <c r="E1197" s="27" t="s">
        <v>5045</v>
      </c>
      <c r="F1197" s="27">
        <v>0.0</v>
      </c>
      <c r="G1197" s="29">
        <v>45633.99236111111</v>
      </c>
      <c r="H1197" s="27" t="s">
        <v>4737</v>
      </c>
      <c r="I1197" s="18"/>
      <c r="J1197" s="25" t="str">
        <f>IFERROR(__xludf.DUMMYFUNCTION("ARRAYFORMULA(REGEXEXTRACT(SPLIT(C1197, ""&lt;br&gt;""), ""([가-힣A-Za-z]+)""))"),"테리")</f>
        <v>테리</v>
      </c>
      <c r="K1197" s="26" t="str">
        <f>IFERROR(__xludf.DUMMYFUNCTION("""COMPUTED_VALUE"""),"노인")</f>
        <v>노인</v>
      </c>
      <c r="L1197" s="26" t="str">
        <f>IFERROR(__xludf.DUMMYFUNCTION("""COMPUTED_VALUE"""),"원")</f>
        <v>원</v>
      </c>
      <c r="M1197" s="26" t="str">
        <f>IFERROR(__xludf.DUMMYFUNCTION("""COMPUTED_VALUE"""),"민우")</f>
        <v>민우</v>
      </c>
      <c r="N1197" s="26" t="str">
        <f>IFERROR(__xludf.DUMMYFUNCTION("ARRAYFORMULA(REGEXEXTRACT(SPLIT(E1197, ""&lt;br&gt;""), ""([가-힣A-Za-z]+)""))"),"참치")</f>
        <v>참치</v>
      </c>
      <c r="O1197" s="26" t="str">
        <f>IFERROR(__xludf.DUMMYFUNCTION("""COMPUTED_VALUE"""),"ACDC")</f>
        <v>ACDC</v>
      </c>
      <c r="P1197" s="26" t="str">
        <f>IFERROR(__xludf.DUMMYFUNCTION("""COMPUTED_VALUE"""),"한메")</f>
        <v>한메</v>
      </c>
      <c r="Q1197" s="26" t="str">
        <f>IFERROR(__xludf.DUMMYFUNCTION("""COMPUTED_VALUE"""),"태식")</f>
        <v>태식</v>
      </c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</row>
    <row r="1198">
      <c r="A1198" s="27" t="s">
        <v>5046</v>
      </c>
      <c r="B1198" s="28" t="s">
        <v>5047</v>
      </c>
      <c r="C1198" s="27" t="s">
        <v>5048</v>
      </c>
      <c r="D1198" s="27">
        <v>5.0</v>
      </c>
      <c r="E1198" s="27" t="s">
        <v>5049</v>
      </c>
      <c r="F1198" s="27">
        <v>2.0</v>
      </c>
      <c r="G1198" s="29">
        <v>45633.97222222222</v>
      </c>
      <c r="H1198" s="27" t="s">
        <v>4737</v>
      </c>
      <c r="I1198" s="18"/>
      <c r="J1198" s="25" t="str">
        <f>IFERROR(__xludf.DUMMYFUNCTION("ARRAYFORMULA(REGEXEXTRACT(SPLIT(C1198, ""&lt;br&gt;""), ""([가-힣A-Za-z]+)""))"),"노인")</f>
        <v>노인</v>
      </c>
      <c r="K1198" s="26" t="str">
        <f>IFERROR(__xludf.DUMMYFUNCTION("""COMPUTED_VALUE"""),"태식")</f>
        <v>태식</v>
      </c>
      <c r="L1198" s="26" t="str">
        <f>IFERROR(__xludf.DUMMYFUNCTION("""COMPUTED_VALUE"""),"짱구")</f>
        <v>짱구</v>
      </c>
      <c r="M1198" s="26" t="str">
        <f>IFERROR(__xludf.DUMMYFUNCTION("""COMPUTED_VALUE"""),"한메")</f>
        <v>한메</v>
      </c>
      <c r="N1198" s="26" t="str">
        <f>IFERROR(__xludf.DUMMYFUNCTION("ARRAYFORMULA(REGEXEXTRACT(SPLIT(E1198, ""&lt;br&gt;""), ""([가-힣A-Za-z]+)""))"),"원")</f>
        <v>원</v>
      </c>
      <c r="O1198" s="26" t="str">
        <f>IFERROR(__xludf.DUMMYFUNCTION("""COMPUTED_VALUE"""),"테리")</f>
        <v>테리</v>
      </c>
      <c r="P1198" s="26" t="str">
        <f>IFERROR(__xludf.DUMMYFUNCTION("""COMPUTED_VALUE"""),"ACDC")</f>
        <v>ACDC</v>
      </c>
      <c r="Q1198" s="26" t="str">
        <f>IFERROR(__xludf.DUMMYFUNCTION("""COMPUTED_VALUE"""),"참치")</f>
        <v>참치</v>
      </c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</row>
    <row r="1199">
      <c r="A1199" s="27" t="s">
        <v>5050</v>
      </c>
      <c r="B1199" s="28" t="s">
        <v>5051</v>
      </c>
      <c r="C1199" s="27" t="s">
        <v>5052</v>
      </c>
      <c r="D1199" s="27">
        <v>5.0</v>
      </c>
      <c r="E1199" s="27" t="s">
        <v>5053</v>
      </c>
      <c r="F1199" s="27">
        <v>4.0</v>
      </c>
      <c r="G1199" s="29">
        <v>45633.93958333333</v>
      </c>
      <c r="H1199" s="27" t="s">
        <v>4737</v>
      </c>
      <c r="I1199" s="18"/>
      <c r="J1199" s="25" t="str">
        <f>IFERROR(__xludf.DUMMYFUNCTION("ARRAYFORMULA(REGEXEXTRACT(SPLIT(C1199, ""&lt;br&gt;""), ""([가-힣A-Za-z]+)""))"),"짱구")</f>
        <v>짱구</v>
      </c>
      <c r="K1199" s="26" t="str">
        <f>IFERROR(__xludf.DUMMYFUNCTION("""COMPUTED_VALUE"""),"참치")</f>
        <v>참치</v>
      </c>
      <c r="L1199" s="26" t="str">
        <f>IFERROR(__xludf.DUMMYFUNCTION("""COMPUTED_VALUE"""),"노인")</f>
        <v>노인</v>
      </c>
      <c r="M1199" s="26" t="str">
        <f>IFERROR(__xludf.DUMMYFUNCTION("""COMPUTED_VALUE"""),"원")</f>
        <v>원</v>
      </c>
      <c r="N1199" s="26" t="str">
        <f>IFERROR(__xludf.DUMMYFUNCTION("ARRAYFORMULA(REGEXEXTRACT(SPLIT(E1199, ""&lt;br&gt;""), ""([가-힣A-Za-z]+)""))"),"한메")</f>
        <v>한메</v>
      </c>
      <c r="O1199" s="26" t="str">
        <f>IFERROR(__xludf.DUMMYFUNCTION("""COMPUTED_VALUE"""),"테리")</f>
        <v>테리</v>
      </c>
      <c r="P1199" s="26" t="str">
        <f>IFERROR(__xludf.DUMMYFUNCTION("""COMPUTED_VALUE"""),"태식")</f>
        <v>태식</v>
      </c>
      <c r="Q1199" s="26" t="str">
        <f>IFERROR(__xludf.DUMMYFUNCTION("""COMPUTED_VALUE"""),"ACDC")</f>
        <v>ACDC</v>
      </c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</row>
    <row r="1200">
      <c r="A1200" s="27" t="s">
        <v>5054</v>
      </c>
      <c r="B1200" s="28" t="s">
        <v>5055</v>
      </c>
      <c r="C1200" s="27" t="s">
        <v>5056</v>
      </c>
      <c r="D1200" s="27">
        <v>5.0</v>
      </c>
      <c r="E1200" s="27" t="s">
        <v>5057</v>
      </c>
      <c r="F1200" s="27">
        <v>1.0</v>
      </c>
      <c r="G1200" s="29">
        <v>45633.90833333333</v>
      </c>
      <c r="H1200" s="27" t="s">
        <v>4737</v>
      </c>
      <c r="I1200" s="18"/>
      <c r="J1200" s="25" t="str">
        <f>IFERROR(__xludf.DUMMYFUNCTION("ARRAYFORMULA(REGEXEXTRACT(SPLIT(C1200, ""&lt;br&gt;""), ""([가-힣A-Za-z]+)""))"),"태식")</f>
        <v>태식</v>
      </c>
      <c r="K1200" s="26" t="str">
        <f>IFERROR(__xludf.DUMMYFUNCTION("""COMPUTED_VALUE"""),"참치")</f>
        <v>참치</v>
      </c>
      <c r="L1200" s="26" t="str">
        <f>IFERROR(__xludf.DUMMYFUNCTION("""COMPUTED_VALUE"""),"원")</f>
        <v>원</v>
      </c>
      <c r="M1200" s="26" t="str">
        <f>IFERROR(__xludf.DUMMYFUNCTION("""COMPUTED_VALUE"""),"한메")</f>
        <v>한메</v>
      </c>
      <c r="N1200" s="26" t="str">
        <f>IFERROR(__xludf.DUMMYFUNCTION("ARRAYFORMULA(REGEXEXTRACT(SPLIT(E1200, ""&lt;br&gt;""), ""([가-힣A-Za-z]+)""))"),"짱구")</f>
        <v>짱구</v>
      </c>
      <c r="O1200" s="26" t="str">
        <f>IFERROR(__xludf.DUMMYFUNCTION("""COMPUTED_VALUE"""),"노인")</f>
        <v>노인</v>
      </c>
      <c r="P1200" s="26" t="str">
        <f>IFERROR(__xludf.DUMMYFUNCTION("""COMPUTED_VALUE"""),"테리")</f>
        <v>테리</v>
      </c>
      <c r="Q1200" s="26" t="str">
        <f>IFERROR(__xludf.DUMMYFUNCTION("""COMPUTED_VALUE"""),"넘버")</f>
        <v>넘버</v>
      </c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</row>
    <row r="1201">
      <c r="A1201" s="27" t="s">
        <v>5058</v>
      </c>
      <c r="B1201" s="28" t="s">
        <v>5059</v>
      </c>
      <c r="C1201" s="27" t="s">
        <v>5060</v>
      </c>
      <c r="D1201" s="27">
        <v>5.0</v>
      </c>
      <c r="E1201" s="27" t="s">
        <v>5061</v>
      </c>
      <c r="F1201" s="27">
        <v>1.0</v>
      </c>
      <c r="G1201" s="29">
        <v>45633.86111111111</v>
      </c>
      <c r="H1201" s="27" t="s">
        <v>4737</v>
      </c>
      <c r="I1201" s="18"/>
      <c r="J1201" s="25" t="str">
        <f>IFERROR(__xludf.DUMMYFUNCTION("ARRAYFORMULA(REGEXEXTRACT(SPLIT(C1201, ""&lt;br&gt;""), ""([가-힣A-Za-z]+)""))"),"참치")</f>
        <v>참치</v>
      </c>
      <c r="K1201" s="26" t="str">
        <f>IFERROR(__xludf.DUMMYFUNCTION("""COMPUTED_VALUE"""),"원")</f>
        <v>원</v>
      </c>
      <c r="L1201" s="26" t="str">
        <f>IFERROR(__xludf.DUMMYFUNCTION("""COMPUTED_VALUE"""),"테리")</f>
        <v>테리</v>
      </c>
      <c r="M1201" s="26" t="str">
        <f>IFERROR(__xludf.DUMMYFUNCTION("""COMPUTED_VALUE"""),"한메")</f>
        <v>한메</v>
      </c>
      <c r="N1201" s="26" t="str">
        <f>IFERROR(__xludf.DUMMYFUNCTION("ARRAYFORMULA(REGEXEXTRACT(SPLIT(E1201, ""&lt;br&gt;""), ""([가-힣A-Za-z]+)""))"),"짱구")</f>
        <v>짱구</v>
      </c>
      <c r="O1201" s="26" t="str">
        <f>IFERROR(__xludf.DUMMYFUNCTION("""COMPUTED_VALUE"""),"태식")</f>
        <v>태식</v>
      </c>
      <c r="P1201" s="26" t="str">
        <f>IFERROR(__xludf.DUMMYFUNCTION("""COMPUTED_VALUE"""),"넘버")</f>
        <v>넘버</v>
      </c>
      <c r="Q1201" s="26" t="str">
        <f>IFERROR(__xludf.DUMMYFUNCTION("""COMPUTED_VALUE"""),"노인")</f>
        <v>노인</v>
      </c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</row>
    <row r="1202">
      <c r="A1202" s="27" t="s">
        <v>5062</v>
      </c>
      <c r="B1202" s="28" t="s">
        <v>5063</v>
      </c>
      <c r="C1202" s="27" t="s">
        <v>5064</v>
      </c>
      <c r="D1202" s="27">
        <v>5.0</v>
      </c>
      <c r="E1202" s="27" t="s">
        <v>5065</v>
      </c>
      <c r="F1202" s="27">
        <v>4.0</v>
      </c>
      <c r="G1202" s="29">
        <v>45633.12708333333</v>
      </c>
      <c r="H1202" s="27" t="s">
        <v>4737</v>
      </c>
      <c r="I1202" s="18"/>
      <c r="J1202" s="25" t="str">
        <f>IFERROR(__xludf.DUMMYFUNCTION("ARRAYFORMULA(REGEXEXTRACT(SPLIT(C1202, ""&lt;br&gt;""), ""([가-힣A-Za-z]+)""))"),"신형만")</f>
        <v>신형만</v>
      </c>
      <c r="K1202" s="26" t="str">
        <f>IFERROR(__xludf.DUMMYFUNCTION("""COMPUTED_VALUE"""),"조드")</f>
        <v>조드</v>
      </c>
      <c r="L1202" s="26" t="str">
        <f>IFERROR(__xludf.DUMMYFUNCTION("""COMPUTED_VALUE"""),"키키")</f>
        <v>키키</v>
      </c>
      <c r="M1202" s="26" t="str">
        <f>IFERROR(__xludf.DUMMYFUNCTION("""COMPUTED_VALUE"""),"원")</f>
        <v>원</v>
      </c>
      <c r="N1202" s="26" t="str">
        <f>IFERROR(__xludf.DUMMYFUNCTION("ARRAYFORMULA(REGEXEXTRACT(SPLIT(E1202, ""&lt;br&gt;""), ""([가-힣A-Za-z]+)""))"),"짱구")</f>
        <v>짱구</v>
      </c>
      <c r="O1202" s="26" t="str">
        <f>IFERROR(__xludf.DUMMYFUNCTION("""COMPUTED_VALUE"""),"재우")</f>
        <v>재우</v>
      </c>
      <c r="P1202" s="26" t="str">
        <f>IFERROR(__xludf.DUMMYFUNCTION("""COMPUTED_VALUE"""),"참치")</f>
        <v>참치</v>
      </c>
      <c r="Q1202" s="26" t="str">
        <f>IFERROR(__xludf.DUMMYFUNCTION("""COMPUTED_VALUE"""),"깡패")</f>
        <v>깡패</v>
      </c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</row>
    <row r="1203">
      <c r="A1203" s="27" t="s">
        <v>5066</v>
      </c>
      <c r="B1203" s="28" t="s">
        <v>5067</v>
      </c>
      <c r="C1203" s="27" t="s">
        <v>5068</v>
      </c>
      <c r="D1203" s="27">
        <v>5.0</v>
      </c>
      <c r="E1203" s="27" t="s">
        <v>5069</v>
      </c>
      <c r="F1203" s="27">
        <v>3.0</v>
      </c>
      <c r="G1203" s="29">
        <v>45633.092361111114</v>
      </c>
      <c r="H1203" s="27" t="s">
        <v>4737</v>
      </c>
      <c r="I1203" s="18"/>
      <c r="J1203" s="25" t="str">
        <f>IFERROR(__xludf.DUMMYFUNCTION("ARRAYFORMULA(REGEXEXTRACT(SPLIT(C1203, ""&lt;br&gt;""), ""([가-힣A-Za-z]+)""))"),"신형만")</f>
        <v>신형만</v>
      </c>
      <c r="K1203" s="26" t="str">
        <f>IFERROR(__xludf.DUMMYFUNCTION("""COMPUTED_VALUE"""),"짱구")</f>
        <v>짱구</v>
      </c>
      <c r="L1203" s="26" t="str">
        <f>IFERROR(__xludf.DUMMYFUNCTION("""COMPUTED_VALUE"""),"조드")</f>
        <v>조드</v>
      </c>
      <c r="M1203" s="26" t="str">
        <f>IFERROR(__xludf.DUMMYFUNCTION("""COMPUTED_VALUE"""),"키키")</f>
        <v>키키</v>
      </c>
      <c r="N1203" s="26" t="str">
        <f>IFERROR(__xludf.DUMMYFUNCTION("ARRAYFORMULA(REGEXEXTRACT(SPLIT(E1203, ""&lt;br&gt;""), ""([가-힣A-Za-z]+)""))"),"원")</f>
        <v>원</v>
      </c>
      <c r="O1203" s="26" t="str">
        <f>IFERROR(__xludf.DUMMYFUNCTION("""COMPUTED_VALUE"""),"깡패")</f>
        <v>깡패</v>
      </c>
      <c r="P1203" s="26" t="str">
        <f>IFERROR(__xludf.DUMMYFUNCTION("""COMPUTED_VALUE"""),"참치")</f>
        <v>참치</v>
      </c>
      <c r="Q1203" s="26" t="str">
        <f>IFERROR(__xludf.DUMMYFUNCTION("""COMPUTED_VALUE"""),"재우")</f>
        <v>재우</v>
      </c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</row>
    <row r="1204">
      <c r="A1204" s="27" t="s">
        <v>5070</v>
      </c>
      <c r="B1204" s="28" t="s">
        <v>5071</v>
      </c>
      <c r="C1204" s="27" t="s">
        <v>5072</v>
      </c>
      <c r="D1204" s="27">
        <v>5.0</v>
      </c>
      <c r="E1204" s="27" t="s">
        <v>5073</v>
      </c>
      <c r="F1204" s="27">
        <v>2.0</v>
      </c>
      <c r="G1204" s="29">
        <v>45633.052777777775</v>
      </c>
      <c r="H1204" s="27" t="s">
        <v>4737</v>
      </c>
      <c r="I1204" s="18"/>
      <c r="J1204" s="25" t="str">
        <f>IFERROR(__xludf.DUMMYFUNCTION("ARRAYFORMULA(REGEXEXTRACT(SPLIT(C1204, ""&lt;br&gt;""), ""([가-힣A-Za-z]+)""))"),"원")</f>
        <v>원</v>
      </c>
      <c r="K1204" s="26" t="str">
        <f>IFERROR(__xludf.DUMMYFUNCTION("""COMPUTED_VALUE"""),"ACDC")</f>
        <v>ACDC</v>
      </c>
      <c r="L1204" s="26" t="str">
        <f>IFERROR(__xludf.DUMMYFUNCTION("""COMPUTED_VALUE"""),"짱구")</f>
        <v>짱구</v>
      </c>
      <c r="M1204" s="26" t="str">
        <f>IFERROR(__xludf.DUMMYFUNCTION("""COMPUTED_VALUE"""),"참치")</f>
        <v>참치</v>
      </c>
      <c r="N1204" s="26" t="str">
        <f>IFERROR(__xludf.DUMMYFUNCTION("ARRAYFORMULA(REGEXEXTRACT(SPLIT(E1204, ""&lt;br&gt;""), ""([가-힣A-Za-z]+)""))"),"깡패")</f>
        <v>깡패</v>
      </c>
      <c r="O1204" s="26" t="str">
        <f>IFERROR(__xludf.DUMMYFUNCTION("""COMPUTED_VALUE"""),"조드")</f>
        <v>조드</v>
      </c>
      <c r="P1204" s="26" t="str">
        <f>IFERROR(__xludf.DUMMYFUNCTION("""COMPUTED_VALUE"""),"키키")</f>
        <v>키키</v>
      </c>
      <c r="Q1204" s="26" t="str">
        <f>IFERROR(__xludf.DUMMYFUNCTION("""COMPUTED_VALUE"""),"태식")</f>
        <v>태식</v>
      </c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</row>
    <row r="1205">
      <c r="A1205" s="27" t="s">
        <v>5074</v>
      </c>
      <c r="B1205" s="28" t="s">
        <v>5075</v>
      </c>
      <c r="C1205" s="27" t="s">
        <v>5076</v>
      </c>
      <c r="D1205" s="27">
        <v>5.0</v>
      </c>
      <c r="E1205" s="27" t="s">
        <v>5077</v>
      </c>
      <c r="F1205" s="27">
        <v>4.0</v>
      </c>
      <c r="G1205" s="29">
        <v>45633.02291666667</v>
      </c>
      <c r="H1205" s="27" t="s">
        <v>4737</v>
      </c>
      <c r="I1205" s="18"/>
      <c r="J1205" s="25" t="str">
        <f>IFERROR(__xludf.DUMMYFUNCTION("ARRAYFORMULA(REGEXEXTRACT(SPLIT(C1205, ""&lt;br&gt;""), ""([가-힣A-Za-z]+)""))"),"ACDC")</f>
        <v>ACDC</v>
      </c>
      <c r="K1205" s="26" t="str">
        <f>IFERROR(__xludf.DUMMYFUNCTION("""COMPUTED_VALUE"""),"태식")</f>
        <v>태식</v>
      </c>
      <c r="L1205" s="26" t="str">
        <f>IFERROR(__xludf.DUMMYFUNCTION("""COMPUTED_VALUE"""),"짱구")</f>
        <v>짱구</v>
      </c>
      <c r="M1205" s="26" t="str">
        <f>IFERROR(__xludf.DUMMYFUNCTION("""COMPUTED_VALUE"""),"깡패")</f>
        <v>깡패</v>
      </c>
      <c r="N1205" s="26" t="str">
        <f>IFERROR(__xludf.DUMMYFUNCTION("ARRAYFORMULA(REGEXEXTRACT(SPLIT(E1205, ""&lt;br&gt;""), ""([가-힣A-Za-z]+)""))"),"한메")</f>
        <v>한메</v>
      </c>
      <c r="O1205" s="26" t="str">
        <f>IFERROR(__xludf.DUMMYFUNCTION("""COMPUTED_VALUE"""),"원")</f>
        <v>원</v>
      </c>
      <c r="P1205" s="26" t="str">
        <f>IFERROR(__xludf.DUMMYFUNCTION("""COMPUTED_VALUE"""),"키키")</f>
        <v>키키</v>
      </c>
      <c r="Q1205" s="26" t="str">
        <f>IFERROR(__xludf.DUMMYFUNCTION("""COMPUTED_VALUE"""),"조드")</f>
        <v>조드</v>
      </c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</row>
    <row r="1206">
      <c r="A1206" s="27" t="s">
        <v>5078</v>
      </c>
      <c r="B1206" s="28" t="s">
        <v>5079</v>
      </c>
      <c r="C1206" s="27" t="s">
        <v>5080</v>
      </c>
      <c r="D1206" s="27">
        <v>5.0</v>
      </c>
      <c r="E1206" s="27" t="s">
        <v>5081</v>
      </c>
      <c r="F1206" s="27">
        <v>3.0</v>
      </c>
      <c r="G1206" s="29">
        <v>45632.96805555555</v>
      </c>
      <c r="H1206" s="27" t="s">
        <v>4737</v>
      </c>
      <c r="I1206" s="18"/>
      <c r="J1206" s="25" t="str">
        <f>IFERROR(__xludf.DUMMYFUNCTION("ARRAYFORMULA(REGEXEXTRACT(SPLIT(C1206, ""&lt;br&gt;""), ""([가-힣A-Za-z]+)""))"),"깡패")</f>
        <v>깡패</v>
      </c>
      <c r="K1206" s="26" t="str">
        <f>IFERROR(__xludf.DUMMYFUNCTION("""COMPUTED_VALUE"""),"원")</f>
        <v>원</v>
      </c>
      <c r="L1206" s="26" t="str">
        <f>IFERROR(__xludf.DUMMYFUNCTION("""COMPUTED_VALUE"""),"태식")</f>
        <v>태식</v>
      </c>
      <c r="M1206" s="26" t="str">
        <f>IFERROR(__xludf.DUMMYFUNCTION("""COMPUTED_VALUE"""),"조드")</f>
        <v>조드</v>
      </c>
      <c r="N1206" s="26" t="str">
        <f>IFERROR(__xludf.DUMMYFUNCTION("ARRAYFORMULA(REGEXEXTRACT(SPLIT(E1206, ""&lt;br&gt;""), ""([가-힣A-Za-z]+)""))"),"짱구")</f>
        <v>짱구</v>
      </c>
      <c r="O1206" s="26" t="str">
        <f>IFERROR(__xludf.DUMMYFUNCTION("""COMPUTED_VALUE"""),"ACDC")</f>
        <v>ACDC</v>
      </c>
      <c r="P1206" s="26" t="str">
        <f>IFERROR(__xludf.DUMMYFUNCTION("""COMPUTED_VALUE"""),"키키")</f>
        <v>키키</v>
      </c>
      <c r="Q1206" s="26" t="str">
        <f>IFERROR(__xludf.DUMMYFUNCTION("""COMPUTED_VALUE"""),"한메")</f>
        <v>한메</v>
      </c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</row>
    <row r="1207">
      <c r="A1207" s="27" t="s">
        <v>5082</v>
      </c>
      <c r="B1207" s="28" t="s">
        <v>5083</v>
      </c>
      <c r="C1207" s="27" t="s">
        <v>5084</v>
      </c>
      <c r="D1207" s="27">
        <v>5.0</v>
      </c>
      <c r="E1207" s="27" t="s">
        <v>5085</v>
      </c>
      <c r="F1207" s="27">
        <v>2.0</v>
      </c>
      <c r="G1207" s="29">
        <v>45632.938888888886</v>
      </c>
      <c r="H1207" s="27" t="s">
        <v>4737</v>
      </c>
      <c r="I1207" s="18"/>
      <c r="J1207" s="25" t="str">
        <f>IFERROR(__xludf.DUMMYFUNCTION("ARRAYFORMULA(REGEXEXTRACT(SPLIT(C1207, ""&lt;br&gt;""), ""([가-힣A-Za-z]+)""))"),"깡패")</f>
        <v>깡패</v>
      </c>
      <c r="K1207" s="26" t="str">
        <f>IFERROR(__xludf.DUMMYFUNCTION("""COMPUTED_VALUE"""),"원")</f>
        <v>원</v>
      </c>
      <c r="L1207" s="26" t="str">
        <f>IFERROR(__xludf.DUMMYFUNCTION("""COMPUTED_VALUE"""),"한메")</f>
        <v>한메</v>
      </c>
      <c r="M1207" s="26" t="str">
        <f>IFERROR(__xludf.DUMMYFUNCTION("""COMPUTED_VALUE"""),"키키")</f>
        <v>키키</v>
      </c>
      <c r="N1207" s="26" t="str">
        <f>IFERROR(__xludf.DUMMYFUNCTION("ARRAYFORMULA(REGEXEXTRACT(SPLIT(E1207, ""&lt;br&gt;""), ""([가-힣A-Za-z]+)""))"),"짱구")</f>
        <v>짱구</v>
      </c>
      <c r="O1207" s="26" t="str">
        <f>IFERROR(__xludf.DUMMYFUNCTION("""COMPUTED_VALUE"""),"ACDC")</f>
        <v>ACDC</v>
      </c>
      <c r="P1207" s="26" t="str">
        <f>IFERROR(__xludf.DUMMYFUNCTION("""COMPUTED_VALUE"""),"조드")</f>
        <v>조드</v>
      </c>
      <c r="Q1207" s="26" t="str">
        <f>IFERROR(__xludf.DUMMYFUNCTION("""COMPUTED_VALUE"""),"태식")</f>
        <v>태식</v>
      </c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</row>
    <row r="1208">
      <c r="A1208" s="27" t="s">
        <v>5086</v>
      </c>
      <c r="B1208" s="28" t="s">
        <v>5087</v>
      </c>
      <c r="C1208" s="27" t="s">
        <v>5088</v>
      </c>
      <c r="D1208" s="27">
        <v>5.0</v>
      </c>
      <c r="E1208" s="27" t="s">
        <v>5089</v>
      </c>
      <c r="F1208" s="27">
        <v>2.0</v>
      </c>
      <c r="G1208" s="29">
        <v>45632.91388888889</v>
      </c>
      <c r="H1208" s="27" t="s">
        <v>4737</v>
      </c>
      <c r="I1208" s="18"/>
      <c r="J1208" s="25" t="str">
        <f>IFERROR(__xludf.DUMMYFUNCTION("ARRAYFORMULA(REGEXEXTRACT(SPLIT(C1208, ""&lt;br&gt;""), ""([가-힣A-Za-z]+)""))"),"원")</f>
        <v>원</v>
      </c>
      <c r="K1208" s="26" t="str">
        <f>IFERROR(__xludf.DUMMYFUNCTION("""COMPUTED_VALUE"""),"짱구")</f>
        <v>짱구</v>
      </c>
      <c r="L1208" s="26" t="str">
        <f>IFERROR(__xludf.DUMMYFUNCTION("""COMPUTED_VALUE"""),"조드")</f>
        <v>조드</v>
      </c>
      <c r="M1208" s="26" t="str">
        <f>IFERROR(__xludf.DUMMYFUNCTION("""COMPUTED_VALUE"""),"깡패")</f>
        <v>깡패</v>
      </c>
      <c r="N1208" s="26" t="str">
        <f>IFERROR(__xludf.DUMMYFUNCTION("ARRAYFORMULA(REGEXEXTRACT(SPLIT(E1208, ""&lt;br&gt;""), ""([가-힣A-Za-z]+)""))"),"한메")</f>
        <v>한메</v>
      </c>
      <c r="O1208" s="26" t="str">
        <f>IFERROR(__xludf.DUMMYFUNCTION("""COMPUTED_VALUE"""),"태식")</f>
        <v>태식</v>
      </c>
      <c r="P1208" s="26" t="str">
        <f>IFERROR(__xludf.DUMMYFUNCTION("""COMPUTED_VALUE"""),"ACDC")</f>
        <v>ACDC</v>
      </c>
      <c r="Q1208" s="26" t="str">
        <f>IFERROR(__xludf.DUMMYFUNCTION("""COMPUTED_VALUE"""),"키키")</f>
        <v>키키</v>
      </c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</row>
    <row r="1209">
      <c r="A1209" s="27" t="s">
        <v>5090</v>
      </c>
      <c r="B1209" s="28" t="s">
        <v>5091</v>
      </c>
      <c r="C1209" s="27" t="s">
        <v>5092</v>
      </c>
      <c r="D1209" s="27">
        <v>5.0</v>
      </c>
      <c r="E1209" s="27" t="s">
        <v>5093</v>
      </c>
      <c r="F1209" s="27">
        <v>3.0</v>
      </c>
      <c r="G1209" s="29">
        <v>45632.13402777778</v>
      </c>
      <c r="H1209" s="27" t="s">
        <v>4737</v>
      </c>
      <c r="I1209" s="18"/>
      <c r="J1209" s="25" t="str">
        <f>IFERROR(__xludf.DUMMYFUNCTION("ARRAYFORMULA(REGEXEXTRACT(SPLIT(C1209, ""&lt;br&gt;""), ""([가-힣A-Za-z]+)""))"),"신형만")</f>
        <v>신형만</v>
      </c>
      <c r="K1209" s="26" t="str">
        <f>IFERROR(__xludf.DUMMYFUNCTION("""COMPUTED_VALUE"""),"뼈해장국")</f>
        <v>뼈해장국</v>
      </c>
      <c r="L1209" s="26" t="str">
        <f>IFERROR(__xludf.DUMMYFUNCTION("""COMPUTED_VALUE"""),"깡패")</f>
        <v>깡패</v>
      </c>
      <c r="M1209" s="26" t="str">
        <f>IFERROR(__xludf.DUMMYFUNCTION("""COMPUTED_VALUE"""),"따")</f>
        <v>따</v>
      </c>
      <c r="N1209" s="26" t="str">
        <f>IFERROR(__xludf.DUMMYFUNCTION("ARRAYFORMULA(REGEXEXTRACT(SPLIT(E1209, ""&lt;br&gt;""), ""([가-힣A-Za-z]+)""))"),"강화")</f>
        <v>강화</v>
      </c>
      <c r="O1209" s="26" t="str">
        <f>IFERROR(__xludf.DUMMYFUNCTION("""COMPUTED_VALUE"""),"참치")</f>
        <v>참치</v>
      </c>
      <c r="P1209" s="26" t="str">
        <f>IFERROR(__xludf.DUMMYFUNCTION("""COMPUTED_VALUE"""),"노인")</f>
        <v>노인</v>
      </c>
      <c r="Q1209" s="26" t="str">
        <f>IFERROR(__xludf.DUMMYFUNCTION("""COMPUTED_VALUE"""),"키키")</f>
        <v>키키</v>
      </c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</row>
    <row r="1210">
      <c r="A1210" s="27" t="s">
        <v>5094</v>
      </c>
      <c r="B1210" s="28" t="s">
        <v>5095</v>
      </c>
      <c r="C1210" s="27" t="s">
        <v>5096</v>
      </c>
      <c r="D1210" s="27">
        <v>5.0</v>
      </c>
      <c r="E1210" s="27" t="s">
        <v>5097</v>
      </c>
      <c r="F1210" s="27">
        <v>0.0</v>
      </c>
      <c r="G1210" s="29">
        <v>45632.095138888886</v>
      </c>
      <c r="H1210" s="27" t="s">
        <v>4737</v>
      </c>
      <c r="I1210" s="18"/>
      <c r="J1210" s="25" t="str">
        <f>IFERROR(__xludf.DUMMYFUNCTION("ARRAYFORMULA(REGEXEXTRACT(SPLIT(C1210, ""&lt;br&gt;""), ""([가-힣A-Za-z]+)""))"),"키키")</f>
        <v>키키</v>
      </c>
      <c r="K1210" s="26" t="str">
        <f>IFERROR(__xludf.DUMMYFUNCTION("""COMPUTED_VALUE"""),"깡패")</f>
        <v>깡패</v>
      </c>
      <c r="L1210" s="26" t="str">
        <f>IFERROR(__xludf.DUMMYFUNCTION("""COMPUTED_VALUE"""),"따")</f>
        <v>따</v>
      </c>
      <c r="M1210" s="26" t="str">
        <f>IFERROR(__xludf.DUMMYFUNCTION("""COMPUTED_VALUE"""),"노인")</f>
        <v>노인</v>
      </c>
      <c r="N1210" s="26" t="str">
        <f>IFERROR(__xludf.DUMMYFUNCTION("ARRAYFORMULA(REGEXEXTRACT(SPLIT(E1210, ""&lt;br&gt;""), ""([가-힣A-Za-z]+)""))"),"신형만")</f>
        <v>신형만</v>
      </c>
      <c r="O1210" s="26" t="str">
        <f>IFERROR(__xludf.DUMMYFUNCTION("""COMPUTED_VALUE"""),"참치")</f>
        <v>참치</v>
      </c>
      <c r="P1210" s="26" t="str">
        <f>IFERROR(__xludf.DUMMYFUNCTION("""COMPUTED_VALUE"""),"뼈해장국")</f>
        <v>뼈해장국</v>
      </c>
      <c r="Q1210" s="26" t="str">
        <f>IFERROR(__xludf.DUMMYFUNCTION("""COMPUTED_VALUE"""),"강화")</f>
        <v>강화</v>
      </c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</row>
    <row r="1211">
      <c r="A1211" s="27" t="s">
        <v>5098</v>
      </c>
      <c r="B1211" s="28" t="s">
        <v>5099</v>
      </c>
      <c r="C1211" s="27" t="s">
        <v>5100</v>
      </c>
      <c r="D1211" s="27">
        <v>5.0</v>
      </c>
      <c r="E1211" s="27" t="s">
        <v>5101</v>
      </c>
      <c r="F1211" s="27">
        <v>1.0</v>
      </c>
      <c r="G1211" s="29">
        <v>45632.07361111111</v>
      </c>
      <c r="H1211" s="27" t="s">
        <v>4737</v>
      </c>
      <c r="I1211" s="18"/>
      <c r="J1211" s="25" t="str">
        <f>IFERROR(__xludf.DUMMYFUNCTION("ARRAYFORMULA(REGEXEXTRACT(SPLIT(C1211, ""&lt;br&gt;""), ""([가-힣A-Za-z]+)""))"),"테리")</f>
        <v>테리</v>
      </c>
      <c r="K1211" s="26" t="str">
        <f>IFERROR(__xludf.DUMMYFUNCTION("""COMPUTED_VALUE"""),"신형만")</f>
        <v>신형만</v>
      </c>
      <c r="L1211" s="26" t="str">
        <f>IFERROR(__xludf.DUMMYFUNCTION("""COMPUTED_VALUE"""),"강화")</f>
        <v>강화</v>
      </c>
      <c r="M1211" s="26" t="str">
        <f>IFERROR(__xludf.DUMMYFUNCTION("""COMPUTED_VALUE"""),"참치")</f>
        <v>참치</v>
      </c>
      <c r="N1211" s="26" t="str">
        <f>IFERROR(__xludf.DUMMYFUNCTION("ARRAYFORMULA(REGEXEXTRACT(SPLIT(E1211, ""&lt;br&gt;""), ""([가-힣A-Za-z]+)""))"),"재우")</f>
        <v>재우</v>
      </c>
      <c r="O1211" s="26" t="str">
        <f>IFERROR(__xludf.DUMMYFUNCTION("""COMPUTED_VALUE"""),"노인")</f>
        <v>노인</v>
      </c>
      <c r="P1211" s="26" t="str">
        <f>IFERROR(__xludf.DUMMYFUNCTION("""COMPUTED_VALUE"""),"키키")</f>
        <v>키키</v>
      </c>
      <c r="Q1211" s="26" t="str">
        <f>IFERROR(__xludf.DUMMYFUNCTION("""COMPUTED_VALUE"""),"깡패")</f>
        <v>깡패</v>
      </c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</row>
    <row r="1212">
      <c r="A1212" s="27" t="s">
        <v>5102</v>
      </c>
      <c r="B1212" s="28" t="s">
        <v>5103</v>
      </c>
      <c r="C1212" s="27" t="s">
        <v>5104</v>
      </c>
      <c r="D1212" s="27">
        <v>5.0</v>
      </c>
      <c r="E1212" s="27" t="s">
        <v>5105</v>
      </c>
      <c r="F1212" s="27">
        <v>0.0</v>
      </c>
      <c r="G1212" s="29">
        <v>45632.03680555556</v>
      </c>
      <c r="H1212" s="27" t="s">
        <v>4737</v>
      </c>
      <c r="I1212" s="18"/>
      <c r="J1212" s="25" t="str">
        <f>IFERROR(__xludf.DUMMYFUNCTION("ARRAYFORMULA(REGEXEXTRACT(SPLIT(C1212, ""&lt;br&gt;""), ""([가-힣A-Za-z]+)""))"),"신형만")</f>
        <v>신형만</v>
      </c>
      <c r="K1212" s="26" t="str">
        <f>IFERROR(__xludf.DUMMYFUNCTION("""COMPUTED_VALUE"""),"테리")</f>
        <v>테리</v>
      </c>
      <c r="L1212" s="26" t="str">
        <f>IFERROR(__xludf.DUMMYFUNCTION("""COMPUTED_VALUE"""),"참치")</f>
        <v>참치</v>
      </c>
      <c r="M1212" s="26" t="str">
        <f>IFERROR(__xludf.DUMMYFUNCTION("""COMPUTED_VALUE"""),"재우")</f>
        <v>재우</v>
      </c>
      <c r="N1212" s="26" t="str">
        <f>IFERROR(__xludf.DUMMYFUNCTION("ARRAYFORMULA(REGEXEXTRACT(SPLIT(E1212, ""&lt;br&gt;""), ""([가-힣A-Za-z]+)""))"),"짱구")</f>
        <v>짱구</v>
      </c>
      <c r="O1212" s="26" t="str">
        <f>IFERROR(__xludf.DUMMYFUNCTION("""COMPUTED_VALUE"""),"ACDC")</f>
        <v>ACDC</v>
      </c>
      <c r="P1212" s="26" t="str">
        <f>IFERROR(__xludf.DUMMYFUNCTION("""COMPUTED_VALUE"""),"깡패")</f>
        <v>깡패</v>
      </c>
      <c r="Q1212" s="26" t="str">
        <f>IFERROR(__xludf.DUMMYFUNCTION("""COMPUTED_VALUE"""),"강화")</f>
        <v>강화</v>
      </c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</row>
    <row r="1213">
      <c r="A1213" s="27" t="s">
        <v>5106</v>
      </c>
      <c r="B1213" s="28" t="s">
        <v>5107</v>
      </c>
      <c r="C1213" s="27" t="s">
        <v>5108</v>
      </c>
      <c r="D1213" s="27">
        <v>5.0</v>
      </c>
      <c r="E1213" s="27" t="s">
        <v>5109</v>
      </c>
      <c r="F1213" s="27">
        <v>0.0</v>
      </c>
      <c r="G1213" s="29">
        <v>45632.02569444444</v>
      </c>
      <c r="H1213" s="27" t="s">
        <v>4737</v>
      </c>
      <c r="I1213" s="18"/>
      <c r="J1213" s="25" t="str">
        <f>IFERROR(__xludf.DUMMYFUNCTION("ARRAYFORMULA(REGEXEXTRACT(SPLIT(C1213, ""&lt;br&gt;""), ""([가-힣A-Za-z]+)""))"),"ACDC")</f>
        <v>ACDC</v>
      </c>
      <c r="K1213" s="26" t="str">
        <f>IFERROR(__xludf.DUMMYFUNCTION("""COMPUTED_VALUE"""),"참치")</f>
        <v>참치</v>
      </c>
      <c r="L1213" s="26" t="str">
        <f>IFERROR(__xludf.DUMMYFUNCTION("""COMPUTED_VALUE"""),"짱구")</f>
        <v>짱구</v>
      </c>
      <c r="M1213" s="26" t="str">
        <f>IFERROR(__xludf.DUMMYFUNCTION("""COMPUTED_VALUE"""),"원")</f>
        <v>원</v>
      </c>
      <c r="N1213" s="26" t="str">
        <f>IFERROR(__xludf.DUMMYFUNCTION("ARRAYFORMULA(REGEXEXTRACT(SPLIT(E1213, ""&lt;br&gt;""), ""([가-힣A-Za-z]+)""))"),"테리")</f>
        <v>테리</v>
      </c>
      <c r="O1213" s="26" t="str">
        <f>IFERROR(__xludf.DUMMYFUNCTION("""COMPUTED_VALUE"""),"강화")</f>
        <v>강화</v>
      </c>
      <c r="P1213" s="26" t="str">
        <f>IFERROR(__xludf.DUMMYFUNCTION("""COMPUTED_VALUE"""),"신형만")</f>
        <v>신형만</v>
      </c>
      <c r="Q1213" s="26" t="str">
        <f>IFERROR(__xludf.DUMMYFUNCTION("""COMPUTED_VALUE"""),"깡패")</f>
        <v>깡패</v>
      </c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</row>
    <row r="1214">
      <c r="A1214" s="27" t="s">
        <v>5110</v>
      </c>
      <c r="B1214" s="28" t="s">
        <v>5111</v>
      </c>
      <c r="C1214" s="27" t="s">
        <v>5112</v>
      </c>
      <c r="D1214" s="27">
        <v>5.0</v>
      </c>
      <c r="E1214" s="27" t="s">
        <v>5113</v>
      </c>
      <c r="F1214" s="27">
        <v>3.0</v>
      </c>
      <c r="G1214" s="29">
        <v>45632.004166666666</v>
      </c>
      <c r="H1214" s="27" t="s">
        <v>4737</v>
      </c>
      <c r="I1214" s="18"/>
      <c r="J1214" s="25" t="str">
        <f>IFERROR(__xludf.DUMMYFUNCTION("ARRAYFORMULA(REGEXEXTRACT(SPLIT(C1214, ""&lt;br&gt;""), ""([가-힣A-Za-z]+)""))"),"짱구")</f>
        <v>짱구</v>
      </c>
      <c r="K1214" s="26" t="str">
        <f>IFERROR(__xludf.DUMMYFUNCTION("""COMPUTED_VALUE"""),"태식")</f>
        <v>태식</v>
      </c>
      <c r="L1214" s="26" t="str">
        <f>IFERROR(__xludf.DUMMYFUNCTION("""COMPUTED_VALUE"""),"원")</f>
        <v>원</v>
      </c>
      <c r="M1214" s="26" t="str">
        <f>IFERROR(__xludf.DUMMYFUNCTION("""COMPUTED_VALUE"""),"신형만")</f>
        <v>신형만</v>
      </c>
      <c r="N1214" s="26" t="str">
        <f>IFERROR(__xludf.DUMMYFUNCTION("ARRAYFORMULA(REGEXEXTRACT(SPLIT(E1214, ""&lt;br&gt;""), ""([가-힣A-Za-z]+)""))"),"한메")</f>
        <v>한메</v>
      </c>
      <c r="O1214" s="26" t="str">
        <f>IFERROR(__xludf.DUMMYFUNCTION("""COMPUTED_VALUE"""),"참치")</f>
        <v>참치</v>
      </c>
      <c r="P1214" s="26" t="str">
        <f>IFERROR(__xludf.DUMMYFUNCTION("""COMPUTED_VALUE"""),"노인")</f>
        <v>노인</v>
      </c>
      <c r="Q1214" s="26" t="str">
        <f>IFERROR(__xludf.DUMMYFUNCTION("""COMPUTED_VALUE"""),"ACDC")</f>
        <v>ACDC</v>
      </c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</row>
    <row r="1215">
      <c r="A1215" s="27" t="s">
        <v>5114</v>
      </c>
      <c r="B1215" s="28" t="s">
        <v>5115</v>
      </c>
      <c r="C1215" s="27" t="s">
        <v>5116</v>
      </c>
      <c r="D1215" s="27">
        <v>5.0</v>
      </c>
      <c r="E1215" s="27" t="s">
        <v>5117</v>
      </c>
      <c r="F1215" s="27">
        <v>4.0</v>
      </c>
      <c r="G1215" s="29">
        <v>45631.96805555555</v>
      </c>
      <c r="H1215" s="27" t="s">
        <v>4737</v>
      </c>
      <c r="I1215" s="18"/>
      <c r="J1215" s="25" t="str">
        <f>IFERROR(__xludf.DUMMYFUNCTION("ARRAYFORMULA(REGEXEXTRACT(SPLIT(C1215, ""&lt;br&gt;""), ""([가-힣A-Za-z]+)""))"),"ACDC")</f>
        <v>ACDC</v>
      </c>
      <c r="K1215" s="26" t="str">
        <f>IFERROR(__xludf.DUMMYFUNCTION("""COMPUTED_VALUE"""),"짱구")</f>
        <v>짱구</v>
      </c>
      <c r="L1215" s="26" t="str">
        <f>IFERROR(__xludf.DUMMYFUNCTION("""COMPUTED_VALUE"""),"한메")</f>
        <v>한메</v>
      </c>
      <c r="M1215" s="26" t="str">
        <f>IFERROR(__xludf.DUMMYFUNCTION("""COMPUTED_VALUE"""),"태식")</f>
        <v>태식</v>
      </c>
      <c r="N1215" s="26" t="str">
        <f>IFERROR(__xludf.DUMMYFUNCTION("ARRAYFORMULA(REGEXEXTRACT(SPLIT(E1215, ""&lt;br&gt;""), ""([가-힣A-Za-z]+)""))"),"참치")</f>
        <v>참치</v>
      </c>
      <c r="O1215" s="26" t="str">
        <f>IFERROR(__xludf.DUMMYFUNCTION("""COMPUTED_VALUE"""),"원")</f>
        <v>원</v>
      </c>
      <c r="P1215" s="26" t="str">
        <f>IFERROR(__xludf.DUMMYFUNCTION("""COMPUTED_VALUE"""),"노인")</f>
        <v>노인</v>
      </c>
      <c r="Q1215" s="26" t="str">
        <f>IFERROR(__xludf.DUMMYFUNCTION("""COMPUTED_VALUE"""),"신형만")</f>
        <v>신형만</v>
      </c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</row>
    <row r="1216">
      <c r="A1216" s="27" t="s">
        <v>5118</v>
      </c>
      <c r="B1216" s="28" t="s">
        <v>5119</v>
      </c>
      <c r="C1216" s="27" t="s">
        <v>5120</v>
      </c>
      <c r="D1216" s="27">
        <v>5.0</v>
      </c>
      <c r="E1216" s="27" t="s">
        <v>5121</v>
      </c>
      <c r="F1216" s="27">
        <v>4.0</v>
      </c>
      <c r="G1216" s="29">
        <v>45631.92638888889</v>
      </c>
      <c r="H1216" s="27" t="s">
        <v>4737</v>
      </c>
      <c r="I1216" s="18"/>
      <c r="J1216" s="25" t="str">
        <f>IFERROR(__xludf.DUMMYFUNCTION("ARRAYFORMULA(REGEXEXTRACT(SPLIT(C1216, ""&lt;br&gt;""), ""([가-힣A-Za-z]+)""))"),"한메")</f>
        <v>한메</v>
      </c>
      <c r="K1216" s="26" t="str">
        <f>IFERROR(__xludf.DUMMYFUNCTION("""COMPUTED_VALUE"""),"노인")</f>
        <v>노인</v>
      </c>
      <c r="L1216" s="26" t="str">
        <f>IFERROR(__xludf.DUMMYFUNCTION("""COMPUTED_VALUE"""),"넘버")</f>
        <v>넘버</v>
      </c>
      <c r="M1216" s="26" t="str">
        <f>IFERROR(__xludf.DUMMYFUNCTION("""COMPUTED_VALUE"""),"참치")</f>
        <v>참치</v>
      </c>
      <c r="N1216" s="26" t="str">
        <f>IFERROR(__xludf.DUMMYFUNCTION("ARRAYFORMULA(REGEXEXTRACT(SPLIT(E1216, ""&lt;br&gt;""), ""([가-힣A-Za-z]+)""))"),"신형만")</f>
        <v>신형만</v>
      </c>
      <c r="O1216" s="26" t="str">
        <f>IFERROR(__xludf.DUMMYFUNCTION("""COMPUTED_VALUE"""),"ACDC")</f>
        <v>ACDC</v>
      </c>
      <c r="P1216" s="26" t="str">
        <f>IFERROR(__xludf.DUMMYFUNCTION("""COMPUTED_VALUE"""),"테리")</f>
        <v>테리</v>
      </c>
      <c r="Q1216" s="26" t="str">
        <f>IFERROR(__xludf.DUMMYFUNCTION("""COMPUTED_VALUE"""),"깡패")</f>
        <v>깡패</v>
      </c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</row>
    <row r="1217">
      <c r="A1217" s="27" t="s">
        <v>5122</v>
      </c>
      <c r="B1217" s="28" t="s">
        <v>5123</v>
      </c>
      <c r="C1217" s="27" t="s">
        <v>5124</v>
      </c>
      <c r="D1217" s="27">
        <v>5.0</v>
      </c>
      <c r="E1217" s="27" t="s">
        <v>5125</v>
      </c>
      <c r="F1217" s="27">
        <v>4.0</v>
      </c>
      <c r="G1217" s="29">
        <v>45631.89027777778</v>
      </c>
      <c r="H1217" s="27" t="s">
        <v>4737</v>
      </c>
      <c r="I1217" s="18"/>
      <c r="J1217" s="25" t="str">
        <f>IFERROR(__xludf.DUMMYFUNCTION("ARRAYFORMULA(REGEXEXTRACT(SPLIT(C1217, ""&lt;br&gt;""), ""([가-힣A-Za-z]+)""))"),"ACDC")</f>
        <v>ACDC</v>
      </c>
      <c r="K1217" s="26" t="str">
        <f>IFERROR(__xludf.DUMMYFUNCTION("""COMPUTED_VALUE"""),"테리")</f>
        <v>테리</v>
      </c>
      <c r="L1217" s="26" t="str">
        <f>IFERROR(__xludf.DUMMYFUNCTION("""COMPUTED_VALUE"""),"한메")</f>
        <v>한메</v>
      </c>
      <c r="M1217" s="26" t="str">
        <f>IFERROR(__xludf.DUMMYFUNCTION("""COMPUTED_VALUE"""),"참치")</f>
        <v>참치</v>
      </c>
      <c r="N1217" s="26" t="str">
        <f>IFERROR(__xludf.DUMMYFUNCTION("ARRAYFORMULA(REGEXEXTRACT(SPLIT(E1217, ""&lt;br&gt;""), ""([가-힣A-Za-z]+)""))"),"넘버")</f>
        <v>넘버</v>
      </c>
      <c r="O1217" s="26" t="str">
        <f>IFERROR(__xludf.DUMMYFUNCTION("""COMPUTED_VALUE"""),"노인")</f>
        <v>노인</v>
      </c>
      <c r="P1217" s="26" t="str">
        <f>IFERROR(__xludf.DUMMYFUNCTION("""COMPUTED_VALUE"""),"깡패")</f>
        <v>깡패</v>
      </c>
      <c r="Q1217" s="26" t="str">
        <f>IFERROR(__xludf.DUMMYFUNCTION("""COMPUTED_VALUE"""),"신형만")</f>
        <v>신형만</v>
      </c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</row>
    <row r="1218">
      <c r="A1218" s="27" t="s">
        <v>5126</v>
      </c>
      <c r="B1218" s="28" t="s">
        <v>5127</v>
      </c>
      <c r="C1218" s="27" t="s">
        <v>5128</v>
      </c>
      <c r="D1218" s="27">
        <v>5.0</v>
      </c>
      <c r="E1218" s="27" t="s">
        <v>5129</v>
      </c>
      <c r="F1218" s="27">
        <v>0.0</v>
      </c>
      <c r="G1218" s="29">
        <v>45631.85555555556</v>
      </c>
      <c r="H1218" s="27" t="s">
        <v>4737</v>
      </c>
      <c r="I1218" s="18"/>
      <c r="J1218" s="25" t="str">
        <f>IFERROR(__xludf.DUMMYFUNCTION("ARRAYFORMULA(REGEXEXTRACT(SPLIT(C1218, ""&lt;br&gt;""), ""([가-힣A-Za-z]+)""))"),"테리")</f>
        <v>테리</v>
      </c>
      <c r="K1218" s="26" t="str">
        <f>IFERROR(__xludf.DUMMYFUNCTION("""COMPUTED_VALUE"""),"깡패")</f>
        <v>깡패</v>
      </c>
      <c r="L1218" s="26" t="str">
        <f>IFERROR(__xludf.DUMMYFUNCTION("""COMPUTED_VALUE"""),"넘버")</f>
        <v>넘버</v>
      </c>
      <c r="M1218" s="26" t="str">
        <f>IFERROR(__xludf.DUMMYFUNCTION("""COMPUTED_VALUE"""),"한메")</f>
        <v>한메</v>
      </c>
      <c r="N1218" s="26" t="str">
        <f>IFERROR(__xludf.DUMMYFUNCTION("ARRAYFORMULA(REGEXEXTRACT(SPLIT(E1218, ""&lt;br&gt;""), ""([가-힣A-Za-z]+)""))"),"신형만")</f>
        <v>신형만</v>
      </c>
      <c r="O1218" s="26" t="str">
        <f>IFERROR(__xludf.DUMMYFUNCTION("""COMPUTED_VALUE"""),"ACDC")</f>
        <v>ACDC</v>
      </c>
      <c r="P1218" s="26" t="str">
        <f>IFERROR(__xludf.DUMMYFUNCTION("""COMPUTED_VALUE"""),"참치")</f>
        <v>참치</v>
      </c>
      <c r="Q1218" s="26" t="str">
        <f>IFERROR(__xludf.DUMMYFUNCTION("""COMPUTED_VALUE"""),"노인")</f>
        <v>노인</v>
      </c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</row>
    <row r="1219">
      <c r="A1219" s="27" t="s">
        <v>5130</v>
      </c>
      <c r="B1219" s="28" t="s">
        <v>5131</v>
      </c>
      <c r="C1219" s="27" t="s">
        <v>5132</v>
      </c>
      <c r="D1219" s="27">
        <v>5.0</v>
      </c>
      <c r="E1219" s="27" t="s">
        <v>5133</v>
      </c>
      <c r="F1219" s="27">
        <v>4.0</v>
      </c>
      <c r="G1219" s="29">
        <v>45631.15902777778</v>
      </c>
      <c r="H1219" s="27" t="s">
        <v>4737</v>
      </c>
      <c r="I1219" s="18"/>
      <c r="J1219" s="25" t="str">
        <f>IFERROR(__xludf.DUMMYFUNCTION("ARRAYFORMULA(REGEXEXTRACT(SPLIT(C1219, ""&lt;br&gt;""), ""([가-힣A-Za-z]+)""))"),"키키")</f>
        <v>키키</v>
      </c>
      <c r="K1219" s="26" t="str">
        <f>IFERROR(__xludf.DUMMYFUNCTION("""COMPUTED_VALUE"""),"짱구")</f>
        <v>짱구</v>
      </c>
      <c r="L1219" s="26" t="str">
        <f>IFERROR(__xludf.DUMMYFUNCTION("""COMPUTED_VALUE"""),"한메")</f>
        <v>한메</v>
      </c>
      <c r="M1219" s="26" t="str">
        <f>IFERROR(__xludf.DUMMYFUNCTION("""COMPUTED_VALUE"""),"깡패")</f>
        <v>깡패</v>
      </c>
      <c r="N1219" s="26" t="str">
        <f>IFERROR(__xludf.DUMMYFUNCTION("ARRAYFORMULA(REGEXEXTRACT(SPLIT(E1219, ""&lt;br&gt;""), ""([가-힣A-Za-z]+)""))"),"노인")</f>
        <v>노인</v>
      </c>
      <c r="O1219" s="26" t="str">
        <f>IFERROR(__xludf.DUMMYFUNCTION("""COMPUTED_VALUE"""),"참치")</f>
        <v>참치</v>
      </c>
      <c r="P1219" s="26" t="str">
        <f>IFERROR(__xludf.DUMMYFUNCTION("""COMPUTED_VALUE"""),"노픽업")</f>
        <v>노픽업</v>
      </c>
      <c r="Q1219" s="26" t="str">
        <f>IFERROR(__xludf.DUMMYFUNCTION("""COMPUTED_VALUE"""),"신형만")</f>
        <v>신형만</v>
      </c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</row>
    <row r="1220">
      <c r="A1220" s="27" t="s">
        <v>5134</v>
      </c>
      <c r="B1220" s="28" t="s">
        <v>5135</v>
      </c>
      <c r="C1220" s="27" t="s">
        <v>5136</v>
      </c>
      <c r="D1220" s="27">
        <v>5.0</v>
      </c>
      <c r="E1220" s="27" t="s">
        <v>5137</v>
      </c>
      <c r="F1220" s="27">
        <v>0.0</v>
      </c>
      <c r="G1220" s="29">
        <v>45631.11736111111</v>
      </c>
      <c r="H1220" s="27" t="s">
        <v>4737</v>
      </c>
      <c r="I1220" s="18"/>
      <c r="J1220" s="25" t="str">
        <f>IFERROR(__xludf.DUMMYFUNCTION("ARRAYFORMULA(REGEXEXTRACT(SPLIT(C1220, ""&lt;br&gt;""), ""([가-힣A-Za-z]+)""))"),"신형만")</f>
        <v>신형만</v>
      </c>
      <c r="K1220" s="26" t="str">
        <f>IFERROR(__xludf.DUMMYFUNCTION("""COMPUTED_VALUE"""),"재우")</f>
        <v>재우</v>
      </c>
      <c r="L1220" s="26" t="str">
        <f>IFERROR(__xludf.DUMMYFUNCTION("""COMPUTED_VALUE"""),"짱구")</f>
        <v>짱구</v>
      </c>
      <c r="M1220" s="26" t="str">
        <f>IFERROR(__xludf.DUMMYFUNCTION("""COMPUTED_VALUE"""),"참치")</f>
        <v>참치</v>
      </c>
      <c r="N1220" s="26" t="str">
        <f>IFERROR(__xludf.DUMMYFUNCTION("ARRAYFORMULA(REGEXEXTRACT(SPLIT(E1220, ""&lt;br&gt;""), ""([가-힣A-Za-z]+)""))"),"한메")</f>
        <v>한메</v>
      </c>
      <c r="O1220" s="26" t="str">
        <f>IFERROR(__xludf.DUMMYFUNCTION("""COMPUTED_VALUE"""),"ACDC")</f>
        <v>ACDC</v>
      </c>
      <c r="P1220" s="26" t="str">
        <f>IFERROR(__xludf.DUMMYFUNCTION("""COMPUTED_VALUE"""),"깡패")</f>
        <v>깡패</v>
      </c>
      <c r="Q1220" s="26" t="str">
        <f>IFERROR(__xludf.DUMMYFUNCTION("""COMPUTED_VALUE"""),"노인")</f>
        <v>노인</v>
      </c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</row>
    <row r="1221">
      <c r="A1221" s="27" t="s">
        <v>5138</v>
      </c>
      <c r="B1221" s="28" t="s">
        <v>5139</v>
      </c>
      <c r="C1221" s="27" t="s">
        <v>5140</v>
      </c>
      <c r="D1221" s="27">
        <v>5.0</v>
      </c>
      <c r="E1221" s="27" t="s">
        <v>5141</v>
      </c>
      <c r="F1221" s="27">
        <v>3.0</v>
      </c>
      <c r="G1221" s="29">
        <v>45631.09027777778</v>
      </c>
      <c r="H1221" s="27" t="s">
        <v>4737</v>
      </c>
      <c r="I1221" s="18"/>
      <c r="J1221" s="25" t="str">
        <f>IFERROR(__xludf.DUMMYFUNCTION("ARRAYFORMULA(REGEXEXTRACT(SPLIT(C1221, ""&lt;br&gt;""), ""([가-힣A-Za-z]+)""))"),"재우")</f>
        <v>재우</v>
      </c>
      <c r="K1221" s="26" t="str">
        <f>IFERROR(__xludf.DUMMYFUNCTION("""COMPUTED_VALUE"""),"넘버")</f>
        <v>넘버</v>
      </c>
      <c r="L1221" s="26" t="str">
        <f>IFERROR(__xludf.DUMMYFUNCTION("""COMPUTED_VALUE"""),"짱구")</f>
        <v>짱구</v>
      </c>
      <c r="M1221" s="26" t="str">
        <f>IFERROR(__xludf.DUMMYFUNCTION("""COMPUTED_VALUE"""),"ACDC")</f>
        <v>ACDC</v>
      </c>
      <c r="N1221" s="26" t="str">
        <f>IFERROR(__xludf.DUMMYFUNCTION("ARRAYFORMULA(REGEXEXTRACT(SPLIT(E1221, ""&lt;br&gt;""), ""([가-힣A-Za-z]+)""))"),"참치")</f>
        <v>참치</v>
      </c>
      <c r="O1221" s="26" t="str">
        <f>IFERROR(__xludf.DUMMYFUNCTION("""COMPUTED_VALUE"""),"노인")</f>
        <v>노인</v>
      </c>
      <c r="P1221" s="26" t="str">
        <f>IFERROR(__xludf.DUMMYFUNCTION("""COMPUTED_VALUE"""),"한메")</f>
        <v>한메</v>
      </c>
      <c r="Q1221" s="26" t="str">
        <f>IFERROR(__xludf.DUMMYFUNCTION("""COMPUTED_VALUE"""),"깡패")</f>
        <v>깡패</v>
      </c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</row>
    <row r="1222">
      <c r="A1222" s="27" t="s">
        <v>5142</v>
      </c>
      <c r="B1222" s="28" t="s">
        <v>5143</v>
      </c>
      <c r="C1222" s="27" t="s">
        <v>5144</v>
      </c>
      <c r="D1222" s="27">
        <v>5.0</v>
      </c>
      <c r="E1222" s="27" t="s">
        <v>5145</v>
      </c>
      <c r="F1222" s="27">
        <v>3.0</v>
      </c>
      <c r="G1222" s="29">
        <v>45631.05763888889</v>
      </c>
      <c r="H1222" s="27" t="s">
        <v>4737</v>
      </c>
      <c r="I1222" s="18"/>
      <c r="J1222" s="25" t="str">
        <f>IFERROR(__xludf.DUMMYFUNCTION("ARRAYFORMULA(REGEXEXTRACT(SPLIT(C1222, ""&lt;br&gt;""), ""([가-힣A-Za-z]+)""))"),"ACDC")</f>
        <v>ACDC</v>
      </c>
      <c r="K1222" s="26" t="str">
        <f>IFERROR(__xludf.DUMMYFUNCTION("""COMPUTED_VALUE"""),"짱구")</f>
        <v>짱구</v>
      </c>
      <c r="L1222" s="26" t="str">
        <f>IFERROR(__xludf.DUMMYFUNCTION("""COMPUTED_VALUE"""),"테리")</f>
        <v>테리</v>
      </c>
      <c r="M1222" s="26" t="str">
        <f>IFERROR(__xludf.DUMMYFUNCTION("""COMPUTED_VALUE"""),"한메")</f>
        <v>한메</v>
      </c>
      <c r="N1222" s="26" t="str">
        <f>IFERROR(__xludf.DUMMYFUNCTION("ARRAYFORMULA(REGEXEXTRACT(SPLIT(E1222, ""&lt;br&gt;""), ""([가-힣A-Za-z]+)""))"),"넘버")</f>
        <v>넘버</v>
      </c>
      <c r="O1222" s="26" t="str">
        <f>IFERROR(__xludf.DUMMYFUNCTION("""COMPUTED_VALUE"""),"재우")</f>
        <v>재우</v>
      </c>
      <c r="P1222" s="26" t="str">
        <f>IFERROR(__xludf.DUMMYFUNCTION("""COMPUTED_VALUE"""),"노인")</f>
        <v>노인</v>
      </c>
      <c r="Q1222" s="26" t="str">
        <f>IFERROR(__xludf.DUMMYFUNCTION("""COMPUTED_VALUE"""),"깡패")</f>
        <v>깡패</v>
      </c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</row>
    <row r="1223">
      <c r="A1223" s="27" t="s">
        <v>5146</v>
      </c>
      <c r="B1223" s="28" t="s">
        <v>5147</v>
      </c>
      <c r="C1223" s="27" t="s">
        <v>5148</v>
      </c>
      <c r="D1223" s="27">
        <v>5.0</v>
      </c>
      <c r="E1223" s="27" t="s">
        <v>5149</v>
      </c>
      <c r="F1223" s="27">
        <v>1.0</v>
      </c>
      <c r="G1223" s="29">
        <v>45631.00625</v>
      </c>
      <c r="H1223" s="27" t="s">
        <v>4737</v>
      </c>
      <c r="I1223" s="18"/>
      <c r="J1223" s="25" t="str">
        <f>IFERROR(__xludf.DUMMYFUNCTION("ARRAYFORMULA(REGEXEXTRACT(SPLIT(C1223, ""&lt;br&gt;""), ""([가-힣A-Za-z]+)""))"),"깡패")</f>
        <v>깡패</v>
      </c>
      <c r="K1223" s="26" t="str">
        <f>IFERROR(__xludf.DUMMYFUNCTION("""COMPUTED_VALUE"""),"테리")</f>
        <v>테리</v>
      </c>
      <c r="L1223" s="26" t="str">
        <f>IFERROR(__xludf.DUMMYFUNCTION("""COMPUTED_VALUE"""),"원")</f>
        <v>원</v>
      </c>
      <c r="M1223" s="26" t="str">
        <f>IFERROR(__xludf.DUMMYFUNCTION("""COMPUTED_VALUE"""),"ACDC")</f>
        <v>ACDC</v>
      </c>
      <c r="N1223" s="26" t="str">
        <f>IFERROR(__xludf.DUMMYFUNCTION("ARRAYFORMULA(REGEXEXTRACT(SPLIT(E1223, ""&lt;br&gt;""), ""([가-힣A-Za-z]+)""))"),"한메")</f>
        <v>한메</v>
      </c>
      <c r="O1223" s="26" t="str">
        <f>IFERROR(__xludf.DUMMYFUNCTION("""COMPUTED_VALUE"""),"노인")</f>
        <v>노인</v>
      </c>
      <c r="P1223" s="26" t="str">
        <f>IFERROR(__xludf.DUMMYFUNCTION("""COMPUTED_VALUE"""),"조드")</f>
        <v>조드</v>
      </c>
      <c r="Q1223" s="26" t="str">
        <f>IFERROR(__xludf.DUMMYFUNCTION("""COMPUTED_VALUE"""),"재우")</f>
        <v>재우</v>
      </c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</row>
    <row r="1224">
      <c r="A1224" s="27" t="s">
        <v>5150</v>
      </c>
      <c r="B1224" s="28" t="s">
        <v>5151</v>
      </c>
      <c r="C1224" s="27" t="s">
        <v>5152</v>
      </c>
      <c r="D1224" s="27">
        <v>5.0</v>
      </c>
      <c r="E1224" s="27" t="s">
        <v>5153</v>
      </c>
      <c r="F1224" s="27">
        <v>3.0</v>
      </c>
      <c r="G1224" s="29">
        <v>45630.186111111114</v>
      </c>
      <c r="H1224" s="27" t="s">
        <v>4737</v>
      </c>
      <c r="I1224" s="18"/>
      <c r="J1224" s="25" t="str">
        <f>IFERROR(__xludf.DUMMYFUNCTION("ARRAYFORMULA(REGEXEXTRACT(SPLIT(C1224, ""&lt;br&gt;""), ""([가-힣A-Za-z]+)""))"),"노인")</f>
        <v>노인</v>
      </c>
      <c r="K1224" s="26" t="str">
        <f>IFERROR(__xludf.DUMMYFUNCTION("""COMPUTED_VALUE"""),"참치")</f>
        <v>참치</v>
      </c>
      <c r="L1224" s="26" t="str">
        <f>IFERROR(__xludf.DUMMYFUNCTION("""COMPUTED_VALUE"""),"키키")</f>
        <v>키키</v>
      </c>
      <c r="M1224" s="26" t="str">
        <f>IFERROR(__xludf.DUMMYFUNCTION("""COMPUTED_VALUE"""),"ACDC")</f>
        <v>ACDC</v>
      </c>
      <c r="N1224" s="26" t="str">
        <f>IFERROR(__xludf.DUMMYFUNCTION("ARRAYFORMULA(REGEXEXTRACT(SPLIT(E1224, ""&lt;br&gt;""), ""([가-힣A-Za-z]+)""))"),"민우")</f>
        <v>민우</v>
      </c>
      <c r="O1224" s="26" t="str">
        <f>IFERROR(__xludf.DUMMYFUNCTION("""COMPUTED_VALUE"""),"짱구")</f>
        <v>짱구</v>
      </c>
      <c r="P1224" s="26" t="str">
        <f>IFERROR(__xludf.DUMMYFUNCTION("""COMPUTED_VALUE"""),"신형만")</f>
        <v>신형만</v>
      </c>
      <c r="Q1224" s="26" t="str">
        <f>IFERROR(__xludf.DUMMYFUNCTION("""COMPUTED_VALUE"""),"깡패")</f>
        <v>깡패</v>
      </c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</row>
    <row r="1225">
      <c r="A1225" s="27" t="s">
        <v>5154</v>
      </c>
      <c r="B1225" s="28" t="s">
        <v>5155</v>
      </c>
      <c r="C1225" s="27" t="s">
        <v>5156</v>
      </c>
      <c r="D1225" s="27">
        <v>5.0</v>
      </c>
      <c r="E1225" s="27" t="s">
        <v>5157</v>
      </c>
      <c r="F1225" s="27">
        <v>3.0</v>
      </c>
      <c r="G1225" s="29">
        <v>45630.120833333334</v>
      </c>
      <c r="H1225" s="27" t="s">
        <v>4737</v>
      </c>
      <c r="I1225" s="18"/>
      <c r="J1225" s="25" t="str">
        <f>IFERROR(__xludf.DUMMYFUNCTION("ARRAYFORMULA(REGEXEXTRACT(SPLIT(C1225, ""&lt;br&gt;""), ""([가-힣A-Za-z]+)""))"),"짱구")</f>
        <v>짱구</v>
      </c>
      <c r="K1225" s="26" t="str">
        <f>IFERROR(__xludf.DUMMYFUNCTION("""COMPUTED_VALUE"""),"노인")</f>
        <v>노인</v>
      </c>
      <c r="L1225" s="26" t="str">
        <f>IFERROR(__xludf.DUMMYFUNCTION("""COMPUTED_VALUE"""),"민우")</f>
        <v>민우</v>
      </c>
      <c r="M1225" s="26" t="str">
        <f>IFERROR(__xludf.DUMMYFUNCTION("""COMPUTED_VALUE"""),"ACDC")</f>
        <v>ACDC</v>
      </c>
      <c r="N1225" s="26" t="str">
        <f>IFERROR(__xludf.DUMMYFUNCTION("ARRAYFORMULA(REGEXEXTRACT(SPLIT(E1225, ""&lt;br&gt;""), ""([가-힣A-Za-z]+)""))"),"깡패")</f>
        <v>깡패</v>
      </c>
      <c r="O1225" s="26" t="str">
        <f>IFERROR(__xludf.DUMMYFUNCTION("""COMPUTED_VALUE"""),"재우")</f>
        <v>재우</v>
      </c>
      <c r="P1225" s="26" t="str">
        <f>IFERROR(__xludf.DUMMYFUNCTION("""COMPUTED_VALUE"""),"신형만")</f>
        <v>신형만</v>
      </c>
      <c r="Q1225" s="26" t="str">
        <f>IFERROR(__xludf.DUMMYFUNCTION("""COMPUTED_VALUE"""),"참치")</f>
        <v>참치</v>
      </c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</row>
    <row r="1226">
      <c r="A1226" s="27" t="s">
        <v>5158</v>
      </c>
      <c r="B1226" s="28" t="s">
        <v>5159</v>
      </c>
      <c r="C1226" s="27" t="s">
        <v>5160</v>
      </c>
      <c r="D1226" s="27">
        <v>5.0</v>
      </c>
      <c r="E1226" s="27" t="s">
        <v>5161</v>
      </c>
      <c r="F1226" s="27">
        <v>3.0</v>
      </c>
      <c r="G1226" s="29">
        <v>45630.08263888889</v>
      </c>
      <c r="H1226" s="27" t="s">
        <v>4737</v>
      </c>
      <c r="I1226" s="18"/>
      <c r="J1226" s="25" t="str">
        <f>IFERROR(__xludf.DUMMYFUNCTION("ARRAYFORMULA(REGEXEXTRACT(SPLIT(C1226, ""&lt;br&gt;""), ""([가-힣A-Za-z]+)""))"),"깡패")</f>
        <v>깡패</v>
      </c>
      <c r="K1226" s="26" t="str">
        <f>IFERROR(__xludf.DUMMYFUNCTION("""COMPUTED_VALUE"""),"재우")</f>
        <v>재우</v>
      </c>
      <c r="L1226" s="26" t="str">
        <f>IFERROR(__xludf.DUMMYFUNCTION("""COMPUTED_VALUE"""),"짱구")</f>
        <v>짱구</v>
      </c>
      <c r="M1226" s="26" t="str">
        <f>IFERROR(__xludf.DUMMYFUNCTION("""COMPUTED_VALUE"""),"민우")</f>
        <v>민우</v>
      </c>
      <c r="N1226" s="26" t="str">
        <f>IFERROR(__xludf.DUMMYFUNCTION("ARRAYFORMULA(REGEXEXTRACT(SPLIT(E1226, ""&lt;br&gt;""), ""([가-힣A-Za-z]+)""))"),"노인")</f>
        <v>노인</v>
      </c>
      <c r="O1226" s="26" t="str">
        <f>IFERROR(__xludf.DUMMYFUNCTION("""COMPUTED_VALUE"""),"신형만")</f>
        <v>신형만</v>
      </c>
      <c r="P1226" s="26" t="str">
        <f>IFERROR(__xludf.DUMMYFUNCTION("""COMPUTED_VALUE"""),"참치")</f>
        <v>참치</v>
      </c>
      <c r="Q1226" s="26" t="str">
        <f>IFERROR(__xludf.DUMMYFUNCTION("""COMPUTED_VALUE"""),"ACDC")</f>
        <v>ACDC</v>
      </c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</row>
    <row r="1227">
      <c r="A1227" s="27" t="s">
        <v>5162</v>
      </c>
      <c r="B1227" s="28" t="s">
        <v>5163</v>
      </c>
      <c r="C1227" s="27" t="s">
        <v>5164</v>
      </c>
      <c r="D1227" s="27">
        <v>5.0</v>
      </c>
      <c r="E1227" s="27" t="s">
        <v>5165</v>
      </c>
      <c r="F1227" s="27">
        <v>3.0</v>
      </c>
      <c r="G1227" s="29">
        <v>45630.03055555555</v>
      </c>
      <c r="H1227" s="27" t="s">
        <v>4737</v>
      </c>
      <c r="I1227" s="18"/>
      <c r="J1227" s="25" t="str">
        <f>IFERROR(__xludf.DUMMYFUNCTION("ARRAYFORMULA(REGEXEXTRACT(SPLIT(C1227, ""&lt;br&gt;""), ""([가-힣A-Za-z]+)""))"),"테리")</f>
        <v>테리</v>
      </c>
      <c r="K1227" s="26" t="str">
        <f>IFERROR(__xludf.DUMMYFUNCTION("""COMPUTED_VALUE"""),"태식")</f>
        <v>태식</v>
      </c>
      <c r="L1227" s="26" t="str">
        <f>IFERROR(__xludf.DUMMYFUNCTION("""COMPUTED_VALUE"""),"깡패")</f>
        <v>깡패</v>
      </c>
      <c r="M1227" s="26" t="str">
        <f>IFERROR(__xludf.DUMMYFUNCTION("""COMPUTED_VALUE"""),"노인")</f>
        <v>노인</v>
      </c>
      <c r="N1227" s="26" t="str">
        <f>IFERROR(__xludf.DUMMYFUNCTION("ARRAYFORMULA(REGEXEXTRACT(SPLIT(E1227, ""&lt;br&gt;""), ""([가-힣A-Za-z]+)""))"),"재우")</f>
        <v>재우</v>
      </c>
      <c r="O1227" s="26" t="str">
        <f>IFERROR(__xludf.DUMMYFUNCTION("""COMPUTED_VALUE"""),"참치")</f>
        <v>참치</v>
      </c>
      <c r="P1227" s="26" t="str">
        <f>IFERROR(__xludf.DUMMYFUNCTION("""COMPUTED_VALUE"""),"신형만")</f>
        <v>신형만</v>
      </c>
      <c r="Q1227" s="26" t="str">
        <f>IFERROR(__xludf.DUMMYFUNCTION("""COMPUTED_VALUE"""),"ACDC")</f>
        <v>ACDC</v>
      </c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</row>
    <row r="1228">
      <c r="A1228" s="27" t="s">
        <v>5166</v>
      </c>
      <c r="B1228" s="28" t="s">
        <v>5167</v>
      </c>
      <c r="C1228" s="27" t="s">
        <v>5168</v>
      </c>
      <c r="D1228" s="27">
        <v>5.0</v>
      </c>
      <c r="E1228" s="27" t="s">
        <v>5169</v>
      </c>
      <c r="F1228" s="27">
        <v>3.0</v>
      </c>
      <c r="G1228" s="29">
        <v>45629.99722222222</v>
      </c>
      <c r="H1228" s="27" t="s">
        <v>4737</v>
      </c>
      <c r="I1228" s="18"/>
      <c r="J1228" s="25" t="str">
        <f>IFERROR(__xludf.DUMMYFUNCTION("ARRAYFORMULA(REGEXEXTRACT(SPLIT(C1228, ""&lt;br&gt;""), ""([가-힣A-Za-z]+)""))"),"민우")</f>
        <v>민우</v>
      </c>
      <c r="K1228" s="26" t="str">
        <f>IFERROR(__xludf.DUMMYFUNCTION("""COMPUTED_VALUE"""),"참치")</f>
        <v>참치</v>
      </c>
      <c r="L1228" s="26" t="str">
        <f>IFERROR(__xludf.DUMMYFUNCTION("""COMPUTED_VALUE"""),"짱구")</f>
        <v>짱구</v>
      </c>
      <c r="M1228" s="26" t="str">
        <f>IFERROR(__xludf.DUMMYFUNCTION("""COMPUTED_VALUE"""),"재명")</f>
        <v>재명</v>
      </c>
      <c r="N1228" s="26" t="str">
        <f>IFERROR(__xludf.DUMMYFUNCTION("ARRAYFORMULA(REGEXEXTRACT(SPLIT(E1228, ""&lt;br&gt;""), ""([가-힣A-Za-z]+)""))"),"재우")</f>
        <v>재우</v>
      </c>
      <c r="O1228" s="26" t="str">
        <f>IFERROR(__xludf.DUMMYFUNCTION("""COMPUTED_VALUE"""),"노인")</f>
        <v>노인</v>
      </c>
      <c r="P1228" s="26" t="str">
        <f>IFERROR(__xludf.DUMMYFUNCTION("""COMPUTED_VALUE"""),"깡패")</f>
        <v>깡패</v>
      </c>
      <c r="Q1228" s="26" t="str">
        <f>IFERROR(__xludf.DUMMYFUNCTION("""COMPUTED_VALUE"""),"ACDC")</f>
        <v>ACDC</v>
      </c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</row>
    <row r="1229">
      <c r="A1229" s="27" t="s">
        <v>5170</v>
      </c>
      <c r="B1229" s="28" t="s">
        <v>5171</v>
      </c>
      <c r="C1229" s="27" t="s">
        <v>5172</v>
      </c>
      <c r="D1229" s="27">
        <v>5.0</v>
      </c>
      <c r="E1229" s="27" t="s">
        <v>5173</v>
      </c>
      <c r="F1229" s="27">
        <v>3.0</v>
      </c>
      <c r="G1229" s="29">
        <v>45629.95972222222</v>
      </c>
      <c r="H1229" s="27" t="s">
        <v>4737</v>
      </c>
      <c r="I1229" s="18"/>
      <c r="J1229" s="25" t="str">
        <f>IFERROR(__xludf.DUMMYFUNCTION("ARRAYFORMULA(REGEXEXTRACT(SPLIT(C1229, ""&lt;br&gt;""), ""([가-힣A-Za-z]+)""))"),"재우")</f>
        <v>재우</v>
      </c>
      <c r="K1229" s="26" t="str">
        <f>IFERROR(__xludf.DUMMYFUNCTION("""COMPUTED_VALUE"""),"깡패")</f>
        <v>깡패</v>
      </c>
      <c r="L1229" s="26" t="str">
        <f>IFERROR(__xludf.DUMMYFUNCTION("""COMPUTED_VALUE"""),"민우")</f>
        <v>민우</v>
      </c>
      <c r="M1229" s="26" t="str">
        <f>IFERROR(__xludf.DUMMYFUNCTION("""COMPUTED_VALUE"""),"재명")</f>
        <v>재명</v>
      </c>
      <c r="N1229" s="26" t="str">
        <f>IFERROR(__xludf.DUMMYFUNCTION("ARRAYFORMULA(REGEXEXTRACT(SPLIT(E1229, ""&lt;br&gt;""), ""([가-힣A-Za-z]+)""))"),"짱구")</f>
        <v>짱구</v>
      </c>
      <c r="O1229" s="26" t="str">
        <f>IFERROR(__xludf.DUMMYFUNCTION("""COMPUTED_VALUE"""),"참치")</f>
        <v>참치</v>
      </c>
      <c r="P1229" s="26" t="str">
        <f>IFERROR(__xludf.DUMMYFUNCTION("""COMPUTED_VALUE"""),"ACDC")</f>
        <v>ACDC</v>
      </c>
      <c r="Q1229" s="26" t="str">
        <f>IFERROR(__xludf.DUMMYFUNCTION("""COMPUTED_VALUE"""),"노인")</f>
        <v>노인</v>
      </c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</row>
    <row r="1230">
      <c r="A1230" s="27" t="s">
        <v>5174</v>
      </c>
      <c r="B1230" s="28" t="s">
        <v>5175</v>
      </c>
      <c r="C1230" s="27" t="s">
        <v>5176</v>
      </c>
      <c r="D1230" s="27">
        <v>5.0</v>
      </c>
      <c r="E1230" s="27" t="s">
        <v>5177</v>
      </c>
      <c r="F1230" s="27">
        <v>4.0</v>
      </c>
      <c r="G1230" s="29">
        <v>45629.92013888889</v>
      </c>
      <c r="H1230" s="27" t="s">
        <v>4737</v>
      </c>
      <c r="I1230" s="18"/>
      <c r="J1230" s="25" t="str">
        <f>IFERROR(__xludf.DUMMYFUNCTION("ARRAYFORMULA(REGEXEXTRACT(SPLIT(C1230, ""&lt;br&gt;""), ""([가-힣A-Za-z]+)""))"),"참치")</f>
        <v>참치</v>
      </c>
      <c r="K1230" s="26" t="str">
        <f>IFERROR(__xludf.DUMMYFUNCTION("""COMPUTED_VALUE"""),"신형만")</f>
        <v>신형만</v>
      </c>
      <c r="L1230" s="26" t="str">
        <f>IFERROR(__xludf.DUMMYFUNCTION("""COMPUTED_VALUE"""),"깡패")</f>
        <v>깡패</v>
      </c>
      <c r="M1230" s="26" t="str">
        <f>IFERROR(__xludf.DUMMYFUNCTION("""COMPUTED_VALUE"""),"한메")</f>
        <v>한메</v>
      </c>
      <c r="N1230" s="26" t="str">
        <f>IFERROR(__xludf.DUMMYFUNCTION("ARRAYFORMULA(REGEXEXTRACT(SPLIT(E1230, ""&lt;br&gt;""), ""([가-힣A-Za-z]+)""))"),"민우")</f>
        <v>민우</v>
      </c>
      <c r="O1230" s="26" t="str">
        <f>IFERROR(__xludf.DUMMYFUNCTION("""COMPUTED_VALUE"""),"짱구")</f>
        <v>짱구</v>
      </c>
      <c r="P1230" s="26" t="str">
        <f>IFERROR(__xludf.DUMMYFUNCTION("""COMPUTED_VALUE"""),"ACDC")</f>
        <v>ACDC</v>
      </c>
      <c r="Q1230" s="26" t="str">
        <f>IFERROR(__xludf.DUMMYFUNCTION("""COMPUTED_VALUE"""),"노인")</f>
        <v>노인</v>
      </c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</row>
    <row r="1231">
      <c r="A1231" s="27" t="s">
        <v>5178</v>
      </c>
      <c r="B1231" s="28" t="s">
        <v>5179</v>
      </c>
      <c r="C1231" s="27" t="s">
        <v>5180</v>
      </c>
      <c r="D1231" s="27">
        <v>5.0</v>
      </c>
      <c r="E1231" s="27" t="s">
        <v>5181</v>
      </c>
      <c r="F1231" s="27">
        <v>2.0</v>
      </c>
      <c r="G1231" s="29">
        <v>45629.87777777778</v>
      </c>
      <c r="H1231" s="27" t="s">
        <v>4737</v>
      </c>
      <c r="I1231" s="18"/>
      <c r="J1231" s="25" t="str">
        <f>IFERROR(__xludf.DUMMYFUNCTION("ARRAYFORMULA(REGEXEXTRACT(SPLIT(C1231, ""&lt;br&gt;""), ""([가-힣A-Za-z]+)""))"),"깡패")</f>
        <v>깡패</v>
      </c>
      <c r="K1231" s="26" t="str">
        <f>IFERROR(__xludf.DUMMYFUNCTION("""COMPUTED_VALUE"""),"짱구")</f>
        <v>짱구</v>
      </c>
      <c r="L1231" s="26" t="str">
        <f>IFERROR(__xludf.DUMMYFUNCTION("""COMPUTED_VALUE"""),"민우")</f>
        <v>민우</v>
      </c>
      <c r="M1231" s="26" t="str">
        <f>IFERROR(__xludf.DUMMYFUNCTION("""COMPUTED_VALUE"""),"참치")</f>
        <v>참치</v>
      </c>
      <c r="N1231" s="26" t="str">
        <f>IFERROR(__xludf.DUMMYFUNCTION("ARRAYFORMULA(REGEXEXTRACT(SPLIT(E1231, ""&lt;br&gt;""), ""([가-힣A-Za-z]+)""))"),"노인")</f>
        <v>노인</v>
      </c>
      <c r="O1231" s="26" t="str">
        <f>IFERROR(__xludf.DUMMYFUNCTION("""COMPUTED_VALUE"""),"신형만")</f>
        <v>신형만</v>
      </c>
      <c r="P1231" s="26" t="str">
        <f>IFERROR(__xludf.DUMMYFUNCTION("""COMPUTED_VALUE"""),"한메")</f>
        <v>한메</v>
      </c>
      <c r="Q1231" s="26" t="str">
        <f>IFERROR(__xludf.DUMMYFUNCTION("""COMPUTED_VALUE"""),"ACDC")</f>
        <v>ACDC</v>
      </c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</row>
    <row r="1232">
      <c r="A1232" s="27" t="s">
        <v>5182</v>
      </c>
      <c r="B1232" s="28" t="s">
        <v>5183</v>
      </c>
      <c r="C1232" s="27" t="s">
        <v>5184</v>
      </c>
      <c r="D1232" s="27">
        <v>5.0</v>
      </c>
      <c r="E1232" s="27" t="s">
        <v>5185</v>
      </c>
      <c r="F1232" s="27">
        <v>1.0</v>
      </c>
      <c r="G1232" s="29">
        <v>45629.85138888889</v>
      </c>
      <c r="H1232" s="27" t="s">
        <v>4737</v>
      </c>
      <c r="I1232" s="18"/>
      <c r="J1232" s="25" t="str">
        <f>IFERROR(__xludf.DUMMYFUNCTION("ARRAYFORMULA(REGEXEXTRACT(SPLIT(C1232, ""&lt;br&gt;""), ""([가-힣A-Za-z]+)""))"),"신형만")</f>
        <v>신형만</v>
      </c>
      <c r="K1232" s="26" t="str">
        <f>IFERROR(__xludf.DUMMYFUNCTION("""COMPUTED_VALUE"""),"짱구")</f>
        <v>짱구</v>
      </c>
      <c r="L1232" s="26" t="str">
        <f>IFERROR(__xludf.DUMMYFUNCTION("""COMPUTED_VALUE"""),"민우")</f>
        <v>민우</v>
      </c>
      <c r="M1232" s="26" t="str">
        <f>IFERROR(__xludf.DUMMYFUNCTION("""COMPUTED_VALUE"""),"노인")</f>
        <v>노인</v>
      </c>
      <c r="N1232" s="26" t="str">
        <f>IFERROR(__xludf.DUMMYFUNCTION("ARRAYFORMULA(REGEXEXTRACT(SPLIT(E1232, ""&lt;br&gt;""), ""([가-힣A-Za-z]+)""))"),"한메")</f>
        <v>한메</v>
      </c>
      <c r="O1232" s="26" t="str">
        <f>IFERROR(__xludf.DUMMYFUNCTION("""COMPUTED_VALUE"""),"참치")</f>
        <v>참치</v>
      </c>
      <c r="P1232" s="26" t="str">
        <f>IFERROR(__xludf.DUMMYFUNCTION("""COMPUTED_VALUE"""),"깡패")</f>
        <v>깡패</v>
      </c>
      <c r="Q1232" s="26" t="str">
        <f>IFERROR(__xludf.DUMMYFUNCTION("""COMPUTED_VALUE"""),"ACDC")</f>
        <v>ACDC</v>
      </c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</row>
    <row r="1233">
      <c r="A1233" s="27" t="s">
        <v>5186</v>
      </c>
      <c r="B1233" s="28" t="s">
        <v>5187</v>
      </c>
      <c r="C1233" s="27" t="s">
        <v>5188</v>
      </c>
      <c r="D1233" s="27">
        <v>5.0</v>
      </c>
      <c r="E1233" s="27" t="s">
        <v>5189</v>
      </c>
      <c r="F1233" s="27">
        <v>2.0</v>
      </c>
      <c r="G1233" s="29">
        <v>45629.13263888889</v>
      </c>
      <c r="H1233" s="27" t="s">
        <v>4737</v>
      </c>
      <c r="I1233" s="18"/>
      <c r="J1233" s="25" t="str">
        <f>IFERROR(__xludf.DUMMYFUNCTION("ARRAYFORMULA(REGEXEXTRACT(SPLIT(C1233, ""&lt;br&gt;""), ""([가-힣A-Za-z]+)""))"),"깡패")</f>
        <v>깡패</v>
      </c>
      <c r="K1233" s="26" t="str">
        <f>IFERROR(__xludf.DUMMYFUNCTION("""COMPUTED_VALUE"""),"참치")</f>
        <v>참치</v>
      </c>
      <c r="L1233" s="26" t="str">
        <f>IFERROR(__xludf.DUMMYFUNCTION("""COMPUTED_VALUE"""),"노인")</f>
        <v>노인</v>
      </c>
      <c r="M1233" s="26" t="str">
        <f>IFERROR(__xludf.DUMMYFUNCTION("""COMPUTED_VALUE"""),"민우")</f>
        <v>민우</v>
      </c>
      <c r="N1233" s="26" t="str">
        <f>IFERROR(__xludf.DUMMYFUNCTION("ARRAYFORMULA(REGEXEXTRACT(SPLIT(E1233, ""&lt;br&gt;""), ""([가-힣A-Za-z]+)""))"),"ACDC")</f>
        <v>ACDC</v>
      </c>
      <c r="O1233" s="26" t="str">
        <f>IFERROR(__xludf.DUMMYFUNCTION("""COMPUTED_VALUE"""),"신형만")</f>
        <v>신형만</v>
      </c>
      <c r="P1233" s="26" t="str">
        <f>IFERROR(__xludf.DUMMYFUNCTION("""COMPUTED_VALUE"""),"짱구")</f>
        <v>짱구</v>
      </c>
      <c r="Q1233" s="26" t="str">
        <f>IFERROR(__xludf.DUMMYFUNCTION("""COMPUTED_VALUE"""),"키키")</f>
        <v>키키</v>
      </c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</row>
    <row r="1234">
      <c r="A1234" s="27" t="s">
        <v>5190</v>
      </c>
      <c r="B1234" s="28" t="s">
        <v>5191</v>
      </c>
      <c r="C1234" s="27" t="s">
        <v>5192</v>
      </c>
      <c r="D1234" s="27">
        <v>5.0</v>
      </c>
      <c r="E1234" s="27" t="s">
        <v>5193</v>
      </c>
      <c r="F1234" s="27">
        <v>3.0</v>
      </c>
      <c r="G1234" s="29">
        <v>45629.09722222222</v>
      </c>
      <c r="H1234" s="27" t="s">
        <v>4737</v>
      </c>
      <c r="I1234" s="18"/>
      <c r="J1234" s="25" t="str">
        <f>IFERROR(__xludf.DUMMYFUNCTION("ARRAYFORMULA(REGEXEXTRACT(SPLIT(C1234, ""&lt;br&gt;""), ""([가-힣A-Za-z]+)""))"),"짱구")</f>
        <v>짱구</v>
      </c>
      <c r="K1234" s="26" t="str">
        <f>IFERROR(__xludf.DUMMYFUNCTION("""COMPUTED_VALUE"""),"노인")</f>
        <v>노인</v>
      </c>
      <c r="L1234" s="26" t="str">
        <f>IFERROR(__xludf.DUMMYFUNCTION("""COMPUTED_VALUE"""),"ACDC")</f>
        <v>ACDC</v>
      </c>
      <c r="M1234" s="26" t="str">
        <f>IFERROR(__xludf.DUMMYFUNCTION("""COMPUTED_VALUE"""),"깡패")</f>
        <v>깡패</v>
      </c>
      <c r="N1234" s="26" t="str">
        <f>IFERROR(__xludf.DUMMYFUNCTION("ARRAYFORMULA(REGEXEXTRACT(SPLIT(E1234, ""&lt;br&gt;""), ""([가-힣A-Za-z]+)""))"),"참치")</f>
        <v>참치</v>
      </c>
      <c r="O1234" s="26" t="str">
        <f>IFERROR(__xludf.DUMMYFUNCTION("""COMPUTED_VALUE"""),"재우")</f>
        <v>재우</v>
      </c>
      <c r="P1234" s="26" t="str">
        <f>IFERROR(__xludf.DUMMYFUNCTION("""COMPUTED_VALUE"""),"신형만")</f>
        <v>신형만</v>
      </c>
      <c r="Q1234" s="26" t="str">
        <f>IFERROR(__xludf.DUMMYFUNCTION("""COMPUTED_VALUE"""),"키키")</f>
        <v>키키</v>
      </c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</row>
    <row r="1235">
      <c r="A1235" s="27" t="s">
        <v>5194</v>
      </c>
      <c r="B1235" s="28" t="s">
        <v>5195</v>
      </c>
      <c r="C1235" s="27" t="s">
        <v>5196</v>
      </c>
      <c r="D1235" s="27">
        <v>5.0</v>
      </c>
      <c r="E1235" s="27" t="s">
        <v>5197</v>
      </c>
      <c r="F1235" s="27">
        <v>2.0</v>
      </c>
      <c r="G1235" s="29">
        <v>45629.04722222222</v>
      </c>
      <c r="H1235" s="27" t="s">
        <v>4737</v>
      </c>
      <c r="I1235" s="18"/>
      <c r="J1235" s="25" t="str">
        <f>IFERROR(__xludf.DUMMYFUNCTION("ARRAYFORMULA(REGEXEXTRACT(SPLIT(C1235, ""&lt;br&gt;""), ""([가-힣A-Za-z]+)""))"),"키키")</f>
        <v>키키</v>
      </c>
      <c r="K1235" s="26" t="str">
        <f>IFERROR(__xludf.DUMMYFUNCTION("""COMPUTED_VALUE"""),"재우")</f>
        <v>재우</v>
      </c>
      <c r="L1235" s="26" t="str">
        <f>IFERROR(__xludf.DUMMYFUNCTION("""COMPUTED_VALUE"""),"한메")</f>
        <v>한메</v>
      </c>
      <c r="M1235" s="26" t="str">
        <f>IFERROR(__xludf.DUMMYFUNCTION("""COMPUTED_VALUE"""),"깡패")</f>
        <v>깡패</v>
      </c>
      <c r="N1235" s="26" t="str">
        <f>IFERROR(__xludf.DUMMYFUNCTION("ARRAYFORMULA(REGEXEXTRACT(SPLIT(E1235, ""&lt;br&gt;""), ""([가-힣A-Za-z]+)""))"),"테리")</f>
        <v>테리</v>
      </c>
      <c r="O1235" s="26" t="str">
        <f>IFERROR(__xludf.DUMMYFUNCTION("""COMPUTED_VALUE"""),"신형만")</f>
        <v>신형만</v>
      </c>
      <c r="P1235" s="26" t="str">
        <f>IFERROR(__xludf.DUMMYFUNCTION("""COMPUTED_VALUE"""),"짱구")</f>
        <v>짱구</v>
      </c>
      <c r="Q1235" s="26" t="str">
        <f>IFERROR(__xludf.DUMMYFUNCTION("""COMPUTED_VALUE"""),"ACDC")</f>
        <v>ACDC</v>
      </c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</row>
    <row r="1236">
      <c r="A1236" s="27" t="s">
        <v>5198</v>
      </c>
      <c r="B1236" s="28" t="s">
        <v>5199</v>
      </c>
      <c r="C1236" s="27" t="s">
        <v>5200</v>
      </c>
      <c r="D1236" s="27">
        <v>5.0</v>
      </c>
      <c r="E1236" s="27" t="s">
        <v>5201</v>
      </c>
      <c r="F1236" s="27">
        <v>4.0</v>
      </c>
      <c r="G1236" s="29">
        <v>45629.01527777778</v>
      </c>
      <c r="H1236" s="27" t="s">
        <v>4737</v>
      </c>
      <c r="I1236" s="18"/>
      <c r="J1236" s="25" t="str">
        <f>IFERROR(__xludf.DUMMYFUNCTION("ARRAYFORMULA(REGEXEXTRACT(SPLIT(C1236, ""&lt;br&gt;""), ""([가-힣A-Za-z]+)""))"),"한메")</f>
        <v>한메</v>
      </c>
      <c r="K1236" s="26" t="str">
        <f>IFERROR(__xludf.DUMMYFUNCTION("""COMPUTED_VALUE"""),"깡패")</f>
        <v>깡패</v>
      </c>
      <c r="L1236" s="26" t="str">
        <f>IFERROR(__xludf.DUMMYFUNCTION("""COMPUTED_VALUE"""),"짱구")</f>
        <v>짱구</v>
      </c>
      <c r="M1236" s="26" t="str">
        <f>IFERROR(__xludf.DUMMYFUNCTION("""COMPUTED_VALUE"""),"노인")</f>
        <v>노인</v>
      </c>
      <c r="N1236" s="26" t="str">
        <f>IFERROR(__xludf.DUMMYFUNCTION("ARRAYFORMULA(REGEXEXTRACT(SPLIT(E1236, ""&lt;br&gt;""), ""([가-힣A-Za-z]+)""))"),"재우")</f>
        <v>재우</v>
      </c>
      <c r="O1236" s="26" t="str">
        <f>IFERROR(__xludf.DUMMYFUNCTION("""COMPUTED_VALUE"""),"테리")</f>
        <v>테리</v>
      </c>
      <c r="P1236" s="26" t="str">
        <f>IFERROR(__xludf.DUMMYFUNCTION("""COMPUTED_VALUE"""),"ACDC")</f>
        <v>ACDC</v>
      </c>
      <c r="Q1236" s="26" t="str">
        <f>IFERROR(__xludf.DUMMYFUNCTION("""COMPUTED_VALUE"""),"키키")</f>
        <v>키키</v>
      </c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</row>
    <row r="1237">
      <c r="A1237" s="27" t="s">
        <v>5202</v>
      </c>
      <c r="B1237" s="28" t="s">
        <v>5203</v>
      </c>
      <c r="C1237" s="27" t="s">
        <v>5204</v>
      </c>
      <c r="D1237" s="27">
        <v>5.0</v>
      </c>
      <c r="E1237" s="27" t="s">
        <v>5205</v>
      </c>
      <c r="F1237" s="27">
        <v>2.0</v>
      </c>
      <c r="G1237" s="29">
        <v>45628.978472222225</v>
      </c>
      <c r="H1237" s="27" t="s">
        <v>4737</v>
      </c>
      <c r="I1237" s="18"/>
      <c r="J1237" s="25" t="str">
        <f>IFERROR(__xludf.DUMMYFUNCTION("ARRAYFORMULA(REGEXEXTRACT(SPLIT(C1237, ""&lt;br&gt;""), ""([가-힣A-Za-z]+)""))"),"깡패")</f>
        <v>깡패</v>
      </c>
      <c r="K1237" s="26" t="str">
        <f>IFERROR(__xludf.DUMMYFUNCTION("""COMPUTED_VALUE"""),"노인")</f>
        <v>노인</v>
      </c>
      <c r="L1237" s="26" t="str">
        <f>IFERROR(__xludf.DUMMYFUNCTION("""COMPUTED_VALUE"""),"신형만")</f>
        <v>신형만</v>
      </c>
      <c r="M1237" s="26" t="str">
        <f>IFERROR(__xludf.DUMMYFUNCTION("""COMPUTED_VALUE"""),"재우")</f>
        <v>재우</v>
      </c>
      <c r="N1237" s="26" t="str">
        <f>IFERROR(__xludf.DUMMYFUNCTION("ARRAYFORMULA(REGEXEXTRACT(SPLIT(E1237, ""&lt;br&gt;""), ""([가-힣A-Za-z]+)""))"),"짱구")</f>
        <v>짱구</v>
      </c>
      <c r="O1237" s="26" t="str">
        <f>IFERROR(__xludf.DUMMYFUNCTION("""COMPUTED_VALUE"""),"ACDC")</f>
        <v>ACDC</v>
      </c>
      <c r="P1237" s="26" t="str">
        <f>IFERROR(__xludf.DUMMYFUNCTION("""COMPUTED_VALUE"""),"키키")</f>
        <v>키키</v>
      </c>
      <c r="Q1237" s="26" t="str">
        <f>IFERROR(__xludf.DUMMYFUNCTION("""COMPUTED_VALUE"""),"한메")</f>
        <v>한메</v>
      </c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</row>
    <row r="1238">
      <c r="A1238" s="27" t="s">
        <v>5206</v>
      </c>
      <c r="B1238" s="28" t="s">
        <v>5207</v>
      </c>
      <c r="C1238" s="27" t="s">
        <v>5208</v>
      </c>
      <c r="D1238" s="27">
        <v>5.0</v>
      </c>
      <c r="E1238" s="27" t="s">
        <v>5209</v>
      </c>
      <c r="F1238" s="27">
        <v>2.0</v>
      </c>
      <c r="G1238" s="29">
        <v>45628.95694444444</v>
      </c>
      <c r="H1238" s="27" t="s">
        <v>4737</v>
      </c>
      <c r="I1238" s="18"/>
      <c r="J1238" s="25" t="str">
        <f>IFERROR(__xludf.DUMMYFUNCTION("ARRAYFORMULA(REGEXEXTRACT(SPLIT(C1238, ""&lt;br&gt;""), ""([가-힣A-Za-z]+)""))"),"신형만")</f>
        <v>신형만</v>
      </c>
      <c r="K1238" s="26" t="str">
        <f>IFERROR(__xludf.DUMMYFUNCTION("""COMPUTED_VALUE"""),"짱구")</f>
        <v>짱구</v>
      </c>
      <c r="L1238" s="26" t="str">
        <f>IFERROR(__xludf.DUMMYFUNCTION("""COMPUTED_VALUE"""),"ACDC")</f>
        <v>ACDC</v>
      </c>
      <c r="M1238" s="26" t="str">
        <f>IFERROR(__xludf.DUMMYFUNCTION("""COMPUTED_VALUE"""),"재우")</f>
        <v>재우</v>
      </c>
      <c r="N1238" s="26" t="str">
        <f>IFERROR(__xludf.DUMMYFUNCTION("ARRAYFORMULA(REGEXEXTRACT(SPLIT(E1238, ""&lt;br&gt;""), ""([가-힣A-Za-z]+)""))"),"깡패")</f>
        <v>깡패</v>
      </c>
      <c r="O1238" s="26" t="str">
        <f>IFERROR(__xludf.DUMMYFUNCTION("""COMPUTED_VALUE"""),"노인")</f>
        <v>노인</v>
      </c>
      <c r="P1238" s="26" t="str">
        <f>IFERROR(__xludf.DUMMYFUNCTION("""COMPUTED_VALUE"""),"한메")</f>
        <v>한메</v>
      </c>
      <c r="Q1238" s="26" t="str">
        <f>IFERROR(__xludf.DUMMYFUNCTION("""COMPUTED_VALUE"""),"키키")</f>
        <v>키키</v>
      </c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</row>
    <row r="1239">
      <c r="A1239" s="27" t="s">
        <v>5210</v>
      </c>
      <c r="B1239" s="28" t="s">
        <v>5211</v>
      </c>
      <c r="C1239" s="27" t="s">
        <v>5212</v>
      </c>
      <c r="D1239" s="27">
        <v>5.0</v>
      </c>
      <c r="E1239" s="27" t="s">
        <v>5213</v>
      </c>
      <c r="F1239" s="27">
        <v>1.0</v>
      </c>
      <c r="G1239" s="29">
        <v>45628.93263888889</v>
      </c>
      <c r="H1239" s="27" t="s">
        <v>4737</v>
      </c>
      <c r="I1239" s="18"/>
      <c r="J1239" s="25" t="str">
        <f>IFERROR(__xludf.DUMMYFUNCTION("ARRAYFORMULA(REGEXEXTRACT(SPLIT(C1239, ""&lt;br&gt;""), ""([가-힣A-Za-z]+)""))"),"노인")</f>
        <v>노인</v>
      </c>
      <c r="K1239" s="26" t="str">
        <f>IFERROR(__xludf.DUMMYFUNCTION("""COMPUTED_VALUE"""),"신형만")</f>
        <v>신형만</v>
      </c>
      <c r="L1239" s="26" t="str">
        <f>IFERROR(__xludf.DUMMYFUNCTION("""COMPUTED_VALUE"""),"테리")</f>
        <v>테리</v>
      </c>
      <c r="M1239" s="26" t="str">
        <f>IFERROR(__xludf.DUMMYFUNCTION("""COMPUTED_VALUE"""),"깡패")</f>
        <v>깡패</v>
      </c>
      <c r="N1239" s="26" t="str">
        <f>IFERROR(__xludf.DUMMYFUNCTION("ARRAYFORMULA(REGEXEXTRACT(SPLIT(E1239, ""&lt;br&gt;""), ""([가-힣A-Za-z]+)""))"),"짱구")</f>
        <v>짱구</v>
      </c>
      <c r="O1239" s="26" t="str">
        <f>IFERROR(__xludf.DUMMYFUNCTION("""COMPUTED_VALUE"""),"재우")</f>
        <v>재우</v>
      </c>
      <c r="P1239" s="26" t="str">
        <f>IFERROR(__xludf.DUMMYFUNCTION("""COMPUTED_VALUE"""),"한메")</f>
        <v>한메</v>
      </c>
      <c r="Q1239" s="26" t="str">
        <f>IFERROR(__xludf.DUMMYFUNCTION("""COMPUTED_VALUE"""),"키키")</f>
        <v>키키</v>
      </c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</row>
    <row r="1240">
      <c r="A1240" s="27" t="s">
        <v>5214</v>
      </c>
      <c r="B1240" s="28" t="s">
        <v>5215</v>
      </c>
      <c r="C1240" s="27" t="s">
        <v>5216</v>
      </c>
      <c r="D1240" s="27">
        <v>5.0</v>
      </c>
      <c r="E1240" s="27" t="s">
        <v>5217</v>
      </c>
      <c r="F1240" s="27">
        <v>0.0</v>
      </c>
      <c r="G1240" s="29">
        <v>45628.899305555555</v>
      </c>
      <c r="H1240" s="27" t="s">
        <v>4737</v>
      </c>
      <c r="I1240" s="18"/>
      <c r="J1240" s="25" t="str">
        <f>IFERROR(__xludf.DUMMYFUNCTION("ARRAYFORMULA(REGEXEXTRACT(SPLIT(C1240, ""&lt;br&gt;""), ""([가-힣A-Za-z]+)""))"),"테리")</f>
        <v>테리</v>
      </c>
      <c r="K1240" s="26" t="str">
        <f>IFERROR(__xludf.DUMMYFUNCTION("""COMPUTED_VALUE"""),"신형만")</f>
        <v>신형만</v>
      </c>
      <c r="L1240" s="26" t="str">
        <f>IFERROR(__xludf.DUMMYFUNCTION("""COMPUTED_VALUE"""),"짱구")</f>
        <v>짱구</v>
      </c>
      <c r="M1240" s="26" t="str">
        <f>IFERROR(__xludf.DUMMYFUNCTION("""COMPUTED_VALUE"""),"재우")</f>
        <v>재우</v>
      </c>
      <c r="N1240" s="26" t="str">
        <f>IFERROR(__xludf.DUMMYFUNCTION("ARRAYFORMULA(REGEXEXTRACT(SPLIT(E1240, ""&lt;br&gt;""), ""([가-힣A-Za-z]+)""))"),"노인")</f>
        <v>노인</v>
      </c>
      <c r="O1240" s="26" t="str">
        <f>IFERROR(__xludf.DUMMYFUNCTION("""COMPUTED_VALUE"""),"깡패")</f>
        <v>깡패</v>
      </c>
      <c r="P1240" s="26" t="str">
        <f>IFERROR(__xludf.DUMMYFUNCTION("""COMPUTED_VALUE"""),"키키")</f>
        <v>키키</v>
      </c>
      <c r="Q1240" s="26" t="str">
        <f>IFERROR(__xludf.DUMMYFUNCTION("""COMPUTED_VALUE"""),"한메")</f>
        <v>한메</v>
      </c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</row>
    <row r="1241">
      <c r="A1241" s="27" t="s">
        <v>5218</v>
      </c>
      <c r="B1241" s="28" t="s">
        <v>5219</v>
      </c>
      <c r="C1241" s="27" t="s">
        <v>5220</v>
      </c>
      <c r="D1241" s="27">
        <v>5.0</v>
      </c>
      <c r="E1241" s="27" t="s">
        <v>5221</v>
      </c>
      <c r="F1241" s="27">
        <v>2.0</v>
      </c>
      <c r="G1241" s="29">
        <v>45628.88263888889</v>
      </c>
      <c r="H1241" s="27" t="s">
        <v>4737</v>
      </c>
      <c r="I1241" s="18"/>
      <c r="J1241" s="25" t="str">
        <f>IFERROR(__xludf.DUMMYFUNCTION("ARRAYFORMULA(REGEXEXTRACT(SPLIT(C1241, ""&lt;br&gt;""), ""([가-힣A-Za-z]+)""))"),"한메")</f>
        <v>한메</v>
      </c>
      <c r="K1241" s="26" t="str">
        <f>IFERROR(__xludf.DUMMYFUNCTION("""COMPUTED_VALUE"""),"노인")</f>
        <v>노인</v>
      </c>
      <c r="L1241" s="26" t="str">
        <f>IFERROR(__xludf.DUMMYFUNCTION("""COMPUTED_VALUE"""),"테리")</f>
        <v>테리</v>
      </c>
      <c r="M1241" s="26" t="str">
        <f>IFERROR(__xludf.DUMMYFUNCTION("""COMPUTED_VALUE"""),"넘버")</f>
        <v>넘버</v>
      </c>
      <c r="N1241" s="26" t="str">
        <f>IFERROR(__xludf.DUMMYFUNCTION("ARRAYFORMULA(REGEXEXTRACT(SPLIT(E1241, ""&lt;br&gt;""), ""([가-힣A-Za-z]+)""))"),"재우")</f>
        <v>재우</v>
      </c>
      <c r="O1241" s="26" t="str">
        <f>IFERROR(__xludf.DUMMYFUNCTION("""COMPUTED_VALUE"""),"신형만")</f>
        <v>신형만</v>
      </c>
      <c r="P1241" s="26" t="str">
        <f>IFERROR(__xludf.DUMMYFUNCTION("""COMPUTED_VALUE"""),"깡패")</f>
        <v>깡패</v>
      </c>
      <c r="Q1241" s="26" t="str">
        <f>IFERROR(__xludf.DUMMYFUNCTION("""COMPUTED_VALUE"""),"키키")</f>
        <v>키키</v>
      </c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</row>
    <row r="1242">
      <c r="A1242" s="27" t="s">
        <v>5222</v>
      </c>
      <c r="B1242" s="28" t="s">
        <v>5223</v>
      </c>
      <c r="C1242" s="27" t="s">
        <v>5224</v>
      </c>
      <c r="D1242" s="27">
        <v>5.0</v>
      </c>
      <c r="E1242" s="27" t="s">
        <v>5225</v>
      </c>
      <c r="F1242" s="27">
        <v>1.0</v>
      </c>
      <c r="G1242" s="29">
        <v>45628.85555555556</v>
      </c>
      <c r="H1242" s="27" t="s">
        <v>4737</v>
      </c>
      <c r="I1242" s="18"/>
      <c r="J1242" s="25" t="str">
        <f>IFERROR(__xludf.DUMMYFUNCTION("ARRAYFORMULA(REGEXEXTRACT(SPLIT(C1242, ""&lt;br&gt;""), ""([가-힣A-Za-z]+)""))"),"신형만")</f>
        <v>신형만</v>
      </c>
      <c r="K1242" s="26" t="str">
        <f>IFERROR(__xludf.DUMMYFUNCTION("""COMPUTED_VALUE"""),"넘버")</f>
        <v>넘버</v>
      </c>
      <c r="L1242" s="26" t="str">
        <f>IFERROR(__xludf.DUMMYFUNCTION("""COMPUTED_VALUE"""),"한메")</f>
        <v>한메</v>
      </c>
      <c r="M1242" s="26" t="str">
        <f>IFERROR(__xludf.DUMMYFUNCTION("""COMPUTED_VALUE"""),"깡패")</f>
        <v>깡패</v>
      </c>
      <c r="N1242" s="26" t="str">
        <f>IFERROR(__xludf.DUMMYFUNCTION("ARRAYFORMULA(REGEXEXTRACT(SPLIT(E1242, ""&lt;br&gt;""), ""([가-힣A-Za-z]+)""))"),"재우")</f>
        <v>재우</v>
      </c>
      <c r="O1242" s="26" t="str">
        <f>IFERROR(__xludf.DUMMYFUNCTION("""COMPUTED_VALUE"""),"테리")</f>
        <v>테리</v>
      </c>
      <c r="P1242" s="26" t="str">
        <f>IFERROR(__xludf.DUMMYFUNCTION("""COMPUTED_VALUE"""),"재명")</f>
        <v>재명</v>
      </c>
      <c r="Q1242" s="26" t="str">
        <f>IFERROR(__xludf.DUMMYFUNCTION("""COMPUTED_VALUE"""),"노인")</f>
        <v>노인</v>
      </c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</row>
    <row r="1243">
      <c r="A1243" s="27" t="s">
        <v>5226</v>
      </c>
      <c r="B1243" s="28" t="s">
        <v>5227</v>
      </c>
      <c r="C1243" s="27" t="s">
        <v>5228</v>
      </c>
      <c r="D1243" s="27">
        <v>5.0</v>
      </c>
      <c r="E1243" s="27" t="s">
        <v>5229</v>
      </c>
      <c r="F1243" s="27">
        <v>2.0</v>
      </c>
      <c r="G1243" s="29">
        <v>45628.08263888889</v>
      </c>
      <c r="H1243" s="27" t="s">
        <v>4737</v>
      </c>
      <c r="I1243" s="18"/>
      <c r="J1243" s="25" t="str">
        <f>IFERROR(__xludf.DUMMYFUNCTION("ARRAYFORMULA(REGEXEXTRACT(SPLIT(C1243, ""&lt;br&gt;""), ""([가-힣A-Za-z]+)""))"),"태식")</f>
        <v>태식</v>
      </c>
      <c r="K1243" s="26" t="str">
        <f>IFERROR(__xludf.DUMMYFUNCTION("""COMPUTED_VALUE"""),"짱구")</f>
        <v>짱구</v>
      </c>
      <c r="L1243" s="26" t="str">
        <f>IFERROR(__xludf.DUMMYFUNCTION("""COMPUTED_VALUE"""),"노인")</f>
        <v>노인</v>
      </c>
      <c r="M1243" s="26" t="str">
        <f>IFERROR(__xludf.DUMMYFUNCTION("""COMPUTED_VALUE"""),"참치")</f>
        <v>참치</v>
      </c>
      <c r="N1243" s="26" t="str">
        <f>IFERROR(__xludf.DUMMYFUNCTION("ARRAYFORMULA(REGEXEXTRACT(SPLIT(E1243, ""&lt;br&gt;""), ""([가-힣A-Za-z]+)""))"),"강화")</f>
        <v>강화</v>
      </c>
      <c r="O1243" s="26" t="str">
        <f>IFERROR(__xludf.DUMMYFUNCTION("""COMPUTED_VALUE"""),"깡패")</f>
        <v>깡패</v>
      </c>
      <c r="P1243" s="26" t="str">
        <f>IFERROR(__xludf.DUMMYFUNCTION("""COMPUTED_VALUE"""),"신형만")</f>
        <v>신형만</v>
      </c>
      <c r="Q1243" s="26" t="str">
        <f>IFERROR(__xludf.DUMMYFUNCTION("""COMPUTED_VALUE"""),"ACDC")</f>
        <v>ACDC</v>
      </c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</row>
    <row r="1244">
      <c r="A1244" s="27" t="s">
        <v>5230</v>
      </c>
      <c r="B1244" s="28" t="s">
        <v>5231</v>
      </c>
      <c r="C1244" s="27" t="s">
        <v>5232</v>
      </c>
      <c r="D1244" s="27">
        <v>5.0</v>
      </c>
      <c r="E1244" s="27" t="s">
        <v>5233</v>
      </c>
      <c r="F1244" s="27">
        <v>1.0</v>
      </c>
      <c r="G1244" s="29">
        <v>45628.05972222222</v>
      </c>
      <c r="H1244" s="27" t="s">
        <v>4737</v>
      </c>
      <c r="I1244" s="18"/>
      <c r="J1244" s="25" t="str">
        <f>IFERROR(__xludf.DUMMYFUNCTION("ARRAYFORMULA(REGEXEXTRACT(SPLIT(C1244, ""&lt;br&gt;""), ""([가-힣A-Za-z]+)""))"),"신형만")</f>
        <v>신형만</v>
      </c>
      <c r="K1244" s="26" t="str">
        <f>IFERROR(__xludf.DUMMYFUNCTION("""COMPUTED_VALUE"""),"ACDC")</f>
        <v>ACDC</v>
      </c>
      <c r="L1244" s="26" t="str">
        <f>IFERROR(__xludf.DUMMYFUNCTION("""COMPUTED_VALUE"""),"참치")</f>
        <v>참치</v>
      </c>
      <c r="M1244" s="26" t="str">
        <f>IFERROR(__xludf.DUMMYFUNCTION("""COMPUTED_VALUE"""),"노인")</f>
        <v>노인</v>
      </c>
      <c r="N1244" s="26" t="str">
        <f>IFERROR(__xludf.DUMMYFUNCTION("ARRAYFORMULA(REGEXEXTRACT(SPLIT(E1244, ""&lt;br&gt;""), ""([가-힣A-Za-z]+)""))"),"태식")</f>
        <v>태식</v>
      </c>
      <c r="O1244" s="26" t="str">
        <f>IFERROR(__xludf.DUMMYFUNCTION("""COMPUTED_VALUE"""),"짱구")</f>
        <v>짱구</v>
      </c>
      <c r="P1244" s="26" t="str">
        <f>IFERROR(__xludf.DUMMYFUNCTION("""COMPUTED_VALUE"""),"강화")</f>
        <v>강화</v>
      </c>
      <c r="Q1244" s="26" t="str">
        <f>IFERROR(__xludf.DUMMYFUNCTION("""COMPUTED_VALUE"""),"깡패")</f>
        <v>깡패</v>
      </c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</row>
    <row r="1245">
      <c r="A1245" s="27" t="s">
        <v>5234</v>
      </c>
      <c r="B1245" s="28" t="s">
        <v>5235</v>
      </c>
      <c r="C1245" s="27" t="s">
        <v>5236</v>
      </c>
      <c r="D1245" s="27">
        <v>5.0</v>
      </c>
      <c r="E1245" s="27" t="s">
        <v>5237</v>
      </c>
      <c r="F1245" s="27">
        <v>3.0</v>
      </c>
      <c r="G1245" s="29">
        <v>45628.040972222225</v>
      </c>
      <c r="H1245" s="27" t="s">
        <v>4737</v>
      </c>
      <c r="I1245" s="18"/>
      <c r="J1245" s="25" t="str">
        <f>IFERROR(__xludf.DUMMYFUNCTION("ARRAYFORMULA(REGEXEXTRACT(SPLIT(C1245, ""&lt;br&gt;""), ""([가-힣A-Za-z]+)""))"),"강화")</f>
        <v>강화</v>
      </c>
      <c r="K1245" s="26" t="str">
        <f>IFERROR(__xludf.DUMMYFUNCTION("""COMPUTED_VALUE"""),"짱구")</f>
        <v>짱구</v>
      </c>
      <c r="L1245" s="26" t="str">
        <f>IFERROR(__xludf.DUMMYFUNCTION("""COMPUTED_VALUE"""),"참치")</f>
        <v>참치</v>
      </c>
      <c r="M1245" s="26" t="str">
        <f>IFERROR(__xludf.DUMMYFUNCTION("""COMPUTED_VALUE"""),"신형만")</f>
        <v>신형만</v>
      </c>
      <c r="N1245" s="26" t="str">
        <f>IFERROR(__xludf.DUMMYFUNCTION("ARRAYFORMULA(REGEXEXTRACT(SPLIT(E1245, ""&lt;br&gt;""), ""([가-힣A-Za-z]+)""))"),"깡패")</f>
        <v>깡패</v>
      </c>
      <c r="O1245" s="26" t="str">
        <f>IFERROR(__xludf.DUMMYFUNCTION("""COMPUTED_VALUE"""),"ACDC")</f>
        <v>ACDC</v>
      </c>
      <c r="P1245" s="26" t="str">
        <f>IFERROR(__xludf.DUMMYFUNCTION("""COMPUTED_VALUE"""),"태식")</f>
        <v>태식</v>
      </c>
      <c r="Q1245" s="26" t="str">
        <f>IFERROR(__xludf.DUMMYFUNCTION("""COMPUTED_VALUE"""),"노인")</f>
        <v>노인</v>
      </c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</row>
    <row r="1246">
      <c r="A1246" s="27" t="s">
        <v>5238</v>
      </c>
      <c r="B1246" s="28" t="s">
        <v>5239</v>
      </c>
      <c r="C1246" s="27" t="s">
        <v>5240</v>
      </c>
      <c r="D1246" s="27">
        <v>5.0</v>
      </c>
      <c r="E1246" s="27" t="s">
        <v>5241</v>
      </c>
      <c r="F1246" s="27">
        <v>2.0</v>
      </c>
      <c r="G1246" s="29">
        <v>45628.02013888889</v>
      </c>
      <c r="H1246" s="27" t="s">
        <v>4737</v>
      </c>
      <c r="I1246" s="18"/>
      <c r="J1246" s="25" t="str">
        <f>IFERROR(__xludf.DUMMYFUNCTION("ARRAYFORMULA(REGEXEXTRACT(SPLIT(C1246, ""&lt;br&gt;""), ""([가-힣A-Za-z]+)""))"),"신형만")</f>
        <v>신형만</v>
      </c>
      <c r="K1246" s="26" t="str">
        <f>IFERROR(__xludf.DUMMYFUNCTION("""COMPUTED_VALUE"""),"깡패")</f>
        <v>깡패</v>
      </c>
      <c r="L1246" s="26" t="str">
        <f>IFERROR(__xludf.DUMMYFUNCTION("""COMPUTED_VALUE"""),"참치")</f>
        <v>참치</v>
      </c>
      <c r="M1246" s="26" t="str">
        <f>IFERROR(__xludf.DUMMYFUNCTION("""COMPUTED_VALUE"""),"태식")</f>
        <v>태식</v>
      </c>
      <c r="N1246" s="26" t="str">
        <f>IFERROR(__xludf.DUMMYFUNCTION("ARRAYFORMULA(REGEXEXTRACT(SPLIT(E1246, ""&lt;br&gt;""), ""([가-힣A-Za-z]+)""))"),"노인")</f>
        <v>노인</v>
      </c>
      <c r="O1246" s="26" t="str">
        <f>IFERROR(__xludf.DUMMYFUNCTION("""COMPUTED_VALUE"""),"짱구")</f>
        <v>짱구</v>
      </c>
      <c r="P1246" s="26" t="str">
        <f>IFERROR(__xludf.DUMMYFUNCTION("""COMPUTED_VALUE"""),"ACDC")</f>
        <v>ACDC</v>
      </c>
      <c r="Q1246" s="26" t="str">
        <f>IFERROR(__xludf.DUMMYFUNCTION("""COMPUTED_VALUE"""),"강화")</f>
        <v>강화</v>
      </c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</row>
    <row r="1247">
      <c r="A1247" s="27" t="s">
        <v>5242</v>
      </c>
      <c r="B1247" s="28" t="s">
        <v>5243</v>
      </c>
      <c r="C1247" s="27" t="s">
        <v>5244</v>
      </c>
      <c r="D1247" s="27">
        <v>5.0</v>
      </c>
      <c r="E1247" s="27" t="s">
        <v>5245</v>
      </c>
      <c r="F1247" s="27">
        <v>2.0</v>
      </c>
      <c r="G1247" s="29">
        <v>45628.0</v>
      </c>
      <c r="H1247" s="27" t="s">
        <v>4737</v>
      </c>
      <c r="I1247" s="18"/>
      <c r="J1247" s="25" t="str">
        <f>IFERROR(__xludf.DUMMYFUNCTION("ARRAYFORMULA(REGEXEXTRACT(SPLIT(C1247, ""&lt;br&gt;""), ""([가-힣A-Za-z]+)""))"),"참치")</f>
        <v>참치</v>
      </c>
      <c r="K1247" s="26" t="str">
        <f>IFERROR(__xludf.DUMMYFUNCTION("""COMPUTED_VALUE"""),"짱구")</f>
        <v>짱구</v>
      </c>
      <c r="L1247" s="26" t="str">
        <f>IFERROR(__xludf.DUMMYFUNCTION("""COMPUTED_VALUE"""),"ACDC")</f>
        <v>ACDC</v>
      </c>
      <c r="M1247" s="26" t="str">
        <f>IFERROR(__xludf.DUMMYFUNCTION("""COMPUTED_VALUE"""),"태식")</f>
        <v>태식</v>
      </c>
      <c r="N1247" s="26" t="str">
        <f>IFERROR(__xludf.DUMMYFUNCTION("ARRAYFORMULA(REGEXEXTRACT(SPLIT(E1247, ""&lt;br&gt;""), ""([가-힣A-Za-z]+)""))"),"재우")</f>
        <v>재우</v>
      </c>
      <c r="O1247" s="26" t="str">
        <f>IFERROR(__xludf.DUMMYFUNCTION("""COMPUTED_VALUE"""),"깡패")</f>
        <v>깡패</v>
      </c>
      <c r="P1247" s="26" t="str">
        <f>IFERROR(__xludf.DUMMYFUNCTION("""COMPUTED_VALUE"""),"강화")</f>
        <v>강화</v>
      </c>
      <c r="Q1247" s="26" t="str">
        <f>IFERROR(__xludf.DUMMYFUNCTION("""COMPUTED_VALUE"""),"신형만")</f>
        <v>신형만</v>
      </c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</row>
    <row r="1248">
      <c r="A1248" s="27" t="s">
        <v>5246</v>
      </c>
      <c r="B1248" s="28" t="s">
        <v>5247</v>
      </c>
      <c r="C1248" s="27" t="s">
        <v>5248</v>
      </c>
      <c r="D1248" s="27">
        <v>5.0</v>
      </c>
      <c r="E1248" s="27" t="s">
        <v>5249</v>
      </c>
      <c r="F1248" s="27">
        <v>3.0</v>
      </c>
      <c r="G1248" s="29">
        <v>45627.97708333333</v>
      </c>
      <c r="H1248" s="27" t="s">
        <v>4737</v>
      </c>
      <c r="I1248" s="18"/>
      <c r="J1248" s="25" t="str">
        <f>IFERROR(__xludf.DUMMYFUNCTION("ARRAYFORMULA(REGEXEXTRACT(SPLIT(C1248, ""&lt;br&gt;""), ""([가-힣A-Za-z]+)""))"),"재우")</f>
        <v>재우</v>
      </c>
      <c r="K1248" s="26" t="str">
        <f>IFERROR(__xludf.DUMMYFUNCTION("""COMPUTED_VALUE"""),"짱구")</f>
        <v>짱구</v>
      </c>
      <c r="L1248" s="26" t="str">
        <f>IFERROR(__xludf.DUMMYFUNCTION("""COMPUTED_VALUE"""),"태식")</f>
        <v>태식</v>
      </c>
      <c r="M1248" s="26" t="str">
        <f>IFERROR(__xludf.DUMMYFUNCTION("""COMPUTED_VALUE"""),"깡패")</f>
        <v>깡패</v>
      </c>
      <c r="N1248" s="26" t="str">
        <f>IFERROR(__xludf.DUMMYFUNCTION("ARRAYFORMULA(REGEXEXTRACT(SPLIT(E1248, ""&lt;br&gt;""), ""([가-힣A-Za-z]+)""))"),"강화")</f>
        <v>강화</v>
      </c>
      <c r="O1248" s="26" t="str">
        <f>IFERROR(__xludf.DUMMYFUNCTION("""COMPUTED_VALUE"""),"ACDC")</f>
        <v>ACDC</v>
      </c>
      <c r="P1248" s="26" t="str">
        <f>IFERROR(__xludf.DUMMYFUNCTION("""COMPUTED_VALUE"""),"참치")</f>
        <v>참치</v>
      </c>
      <c r="Q1248" s="26" t="str">
        <f>IFERROR(__xludf.DUMMYFUNCTION("""COMPUTED_VALUE"""),"신형만")</f>
        <v>신형만</v>
      </c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</row>
    <row r="1249">
      <c r="A1249" s="27" t="s">
        <v>5250</v>
      </c>
      <c r="B1249" s="28" t="s">
        <v>5251</v>
      </c>
      <c r="C1249" s="27" t="s">
        <v>5252</v>
      </c>
      <c r="D1249" s="27">
        <v>5.0</v>
      </c>
      <c r="E1249" s="27" t="s">
        <v>5253</v>
      </c>
      <c r="F1249" s="27">
        <v>0.0</v>
      </c>
      <c r="G1249" s="29">
        <v>45627.95</v>
      </c>
      <c r="H1249" s="27" t="s">
        <v>4737</v>
      </c>
      <c r="I1249" s="18"/>
      <c r="J1249" s="25" t="str">
        <f>IFERROR(__xludf.DUMMYFUNCTION("ARRAYFORMULA(REGEXEXTRACT(SPLIT(C1249, ""&lt;br&gt;""), ""([가-힣A-Za-z]+)""))"),"민우")</f>
        <v>민우</v>
      </c>
      <c r="K1249" s="26" t="str">
        <f>IFERROR(__xludf.DUMMYFUNCTION("""COMPUTED_VALUE"""),"깡패")</f>
        <v>깡패</v>
      </c>
      <c r="L1249" s="26" t="str">
        <f>IFERROR(__xludf.DUMMYFUNCTION("""COMPUTED_VALUE"""),"태식")</f>
        <v>태식</v>
      </c>
      <c r="M1249" s="26" t="str">
        <f>IFERROR(__xludf.DUMMYFUNCTION("""COMPUTED_VALUE"""),"강화")</f>
        <v>강화</v>
      </c>
      <c r="N1249" s="26" t="str">
        <f>IFERROR(__xludf.DUMMYFUNCTION("ARRAYFORMULA(REGEXEXTRACT(SPLIT(E1249, ""&lt;br&gt;""), ""([가-힣A-Za-z]+)""))"),"짱구")</f>
        <v>짱구</v>
      </c>
      <c r="O1249" s="26" t="str">
        <f>IFERROR(__xludf.DUMMYFUNCTION("""COMPUTED_VALUE"""),"ACDC")</f>
        <v>ACDC</v>
      </c>
      <c r="P1249" s="26" t="str">
        <f>IFERROR(__xludf.DUMMYFUNCTION("""COMPUTED_VALUE"""),"재우")</f>
        <v>재우</v>
      </c>
      <c r="Q1249" s="26" t="str">
        <f>IFERROR(__xludf.DUMMYFUNCTION("""COMPUTED_VALUE"""),"신형만")</f>
        <v>신형만</v>
      </c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</row>
    <row r="1250">
      <c r="A1250" s="27" t="s">
        <v>5254</v>
      </c>
      <c r="B1250" s="28" t="s">
        <v>5255</v>
      </c>
      <c r="C1250" s="27" t="s">
        <v>5256</v>
      </c>
      <c r="D1250" s="27">
        <v>5.0</v>
      </c>
      <c r="E1250" s="27" t="s">
        <v>5257</v>
      </c>
      <c r="F1250" s="27">
        <v>2.0</v>
      </c>
      <c r="G1250" s="29">
        <v>45627.93402777778</v>
      </c>
      <c r="H1250" s="27" t="s">
        <v>4737</v>
      </c>
      <c r="I1250" s="18"/>
      <c r="J1250" s="25" t="str">
        <f>IFERROR(__xludf.DUMMYFUNCTION("ARRAYFORMULA(REGEXEXTRACT(SPLIT(C1250, ""&lt;br&gt;""), ""([가-힣A-Za-z]+)""))"),"짱구")</f>
        <v>짱구</v>
      </c>
      <c r="K1250" s="26" t="str">
        <f>IFERROR(__xludf.DUMMYFUNCTION("""COMPUTED_VALUE"""),"태식")</f>
        <v>태식</v>
      </c>
      <c r="L1250" s="26" t="str">
        <f>IFERROR(__xludf.DUMMYFUNCTION("""COMPUTED_VALUE"""),"깡패")</f>
        <v>깡패</v>
      </c>
      <c r="M1250" s="26" t="str">
        <f>IFERROR(__xludf.DUMMYFUNCTION("""COMPUTED_VALUE"""),"재우")</f>
        <v>재우</v>
      </c>
      <c r="N1250" s="26" t="str">
        <f>IFERROR(__xludf.DUMMYFUNCTION("ARRAYFORMULA(REGEXEXTRACT(SPLIT(E1250, ""&lt;br&gt;""), ""([가-힣A-Za-z]+)""))"),"한메")</f>
        <v>한메</v>
      </c>
      <c r="O1250" s="26" t="str">
        <f>IFERROR(__xludf.DUMMYFUNCTION("""COMPUTED_VALUE"""),"ACDC")</f>
        <v>ACDC</v>
      </c>
      <c r="P1250" s="26" t="str">
        <f>IFERROR(__xludf.DUMMYFUNCTION("""COMPUTED_VALUE"""),"민우")</f>
        <v>민우</v>
      </c>
      <c r="Q1250" s="26" t="str">
        <f>IFERROR(__xludf.DUMMYFUNCTION("""COMPUTED_VALUE"""),"신형만")</f>
        <v>신형만</v>
      </c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</row>
    <row r="1251">
      <c r="A1251" s="27" t="s">
        <v>5258</v>
      </c>
      <c r="B1251" s="28" t="s">
        <v>5259</v>
      </c>
      <c r="C1251" s="27" t="s">
        <v>5260</v>
      </c>
      <c r="D1251" s="27">
        <v>5.0</v>
      </c>
      <c r="E1251" s="27" t="s">
        <v>5261</v>
      </c>
      <c r="F1251" s="27">
        <v>2.0</v>
      </c>
      <c r="G1251" s="29">
        <v>45627.913194444445</v>
      </c>
      <c r="H1251" s="27" t="s">
        <v>4737</v>
      </c>
      <c r="I1251" s="18"/>
      <c r="J1251" s="25" t="str">
        <f>IFERROR(__xludf.DUMMYFUNCTION("ARRAYFORMULA(REGEXEXTRACT(SPLIT(C1251, ""&lt;br&gt;""), ""([가-힣A-Za-z]+)""))"),"민우")</f>
        <v>민우</v>
      </c>
      <c r="K1251" s="26" t="str">
        <f>IFERROR(__xludf.DUMMYFUNCTION("""COMPUTED_VALUE"""),"신형만")</f>
        <v>신형만</v>
      </c>
      <c r="L1251" s="26" t="str">
        <f>IFERROR(__xludf.DUMMYFUNCTION("""COMPUTED_VALUE"""),"용갈")</f>
        <v>용갈</v>
      </c>
      <c r="M1251" s="26" t="str">
        <f>IFERROR(__xludf.DUMMYFUNCTION("""COMPUTED_VALUE"""),"노인")</f>
        <v>노인</v>
      </c>
      <c r="N1251" s="26" t="str">
        <f>IFERROR(__xludf.DUMMYFUNCTION("ARRAYFORMULA(REGEXEXTRACT(SPLIT(E1251, ""&lt;br&gt;""), ""([가-힣A-Za-z]+)""))"),"한메")</f>
        <v>한메</v>
      </c>
      <c r="O1251" s="26" t="str">
        <f>IFERROR(__xludf.DUMMYFUNCTION("""COMPUTED_VALUE"""),"재우")</f>
        <v>재우</v>
      </c>
      <c r="P1251" s="26" t="str">
        <f>IFERROR(__xludf.DUMMYFUNCTION("""COMPUTED_VALUE"""),"깡패")</f>
        <v>깡패</v>
      </c>
      <c r="Q1251" s="26" t="str">
        <f>IFERROR(__xludf.DUMMYFUNCTION("""COMPUTED_VALUE"""),"태식")</f>
        <v>태식</v>
      </c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</row>
    <row r="1252">
      <c r="A1252" s="27" t="s">
        <v>5262</v>
      </c>
      <c r="B1252" s="28" t="s">
        <v>5263</v>
      </c>
      <c r="C1252" s="27" t="s">
        <v>5264</v>
      </c>
      <c r="D1252" s="27">
        <v>5.0</v>
      </c>
      <c r="E1252" s="27" t="s">
        <v>5265</v>
      </c>
      <c r="F1252" s="27">
        <v>2.0</v>
      </c>
      <c r="G1252" s="29">
        <v>45627.88125</v>
      </c>
      <c r="H1252" s="27" t="s">
        <v>4737</v>
      </c>
      <c r="I1252" s="18"/>
      <c r="J1252" s="25" t="str">
        <f>IFERROR(__xludf.DUMMYFUNCTION("ARRAYFORMULA(REGEXEXTRACT(SPLIT(C1252, ""&lt;br&gt;""), ""([가-힣A-Za-z]+)""))"),"깡패")</f>
        <v>깡패</v>
      </c>
      <c r="K1252" s="26" t="str">
        <f>IFERROR(__xludf.DUMMYFUNCTION("""COMPUTED_VALUE"""),"재우")</f>
        <v>재우</v>
      </c>
      <c r="L1252" s="26" t="str">
        <f>IFERROR(__xludf.DUMMYFUNCTION("""COMPUTED_VALUE"""),"신형만")</f>
        <v>신형만</v>
      </c>
      <c r="M1252" s="26" t="str">
        <f>IFERROR(__xludf.DUMMYFUNCTION("""COMPUTED_VALUE"""),"넘버")</f>
        <v>넘버</v>
      </c>
      <c r="N1252" s="26" t="str">
        <f>IFERROR(__xludf.DUMMYFUNCTION("ARRAYFORMULA(REGEXEXTRACT(SPLIT(E1252, ""&lt;br&gt;""), ""([가-힣A-Za-z]+)""))"),"미등록")</f>
        <v>미등록</v>
      </c>
      <c r="O1252" s="26" t="str">
        <f>IFERROR(__xludf.DUMMYFUNCTION("""COMPUTED_VALUE"""),"용갈")</f>
        <v>용갈</v>
      </c>
      <c r="P1252" s="26" t="str">
        <f>IFERROR(__xludf.DUMMYFUNCTION("""COMPUTED_VALUE"""),"테리")</f>
        <v>테리</v>
      </c>
      <c r="Q1252" s="26" t="str">
        <f>IFERROR(__xludf.DUMMYFUNCTION("""COMPUTED_VALUE"""),"태식")</f>
        <v>태식</v>
      </c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</row>
    <row r="1253">
      <c r="A1253" s="27" t="s">
        <v>5266</v>
      </c>
      <c r="B1253" s="28" t="s">
        <v>5267</v>
      </c>
      <c r="C1253" s="27" t="s">
        <v>5268</v>
      </c>
      <c r="D1253" s="27">
        <v>5.0</v>
      </c>
      <c r="E1253" s="27" t="s">
        <v>5269</v>
      </c>
      <c r="F1253" s="27">
        <v>0.0</v>
      </c>
      <c r="G1253" s="29">
        <v>45627.17013888889</v>
      </c>
      <c r="H1253" s="27" t="s">
        <v>4737</v>
      </c>
      <c r="I1253" s="18"/>
      <c r="J1253" s="25" t="str">
        <f>IFERROR(__xludf.DUMMYFUNCTION("ARRAYFORMULA(REGEXEXTRACT(SPLIT(C1253, ""&lt;br&gt;""), ""([가-힣A-Za-z]+)""))"),"신형만")</f>
        <v>신형만</v>
      </c>
      <c r="K1253" s="26" t="str">
        <f>IFERROR(__xludf.DUMMYFUNCTION("""COMPUTED_VALUE"""),"재우")</f>
        <v>재우</v>
      </c>
      <c r="L1253" s="26" t="str">
        <f>IFERROR(__xludf.DUMMYFUNCTION("""COMPUTED_VALUE"""),"따")</f>
        <v>따</v>
      </c>
      <c r="M1253" s="26" t="str">
        <f>IFERROR(__xludf.DUMMYFUNCTION("""COMPUTED_VALUE"""),"넘버")</f>
        <v>넘버</v>
      </c>
      <c r="N1253" s="26" t="str">
        <f>IFERROR(__xludf.DUMMYFUNCTION("ARRAYFORMULA(REGEXEXTRACT(SPLIT(E1253, ""&lt;br&gt;""), ""([가-힣A-Za-z]+)""))"),"테리")</f>
        <v>테리</v>
      </c>
      <c r="O1253" s="26" t="str">
        <f>IFERROR(__xludf.DUMMYFUNCTION("""COMPUTED_VALUE"""),"조드")</f>
        <v>조드</v>
      </c>
      <c r="P1253" s="26" t="str">
        <f>IFERROR(__xludf.DUMMYFUNCTION("""COMPUTED_VALUE"""),"민우")</f>
        <v>민우</v>
      </c>
      <c r="Q1253" s="26" t="str">
        <f>IFERROR(__xludf.DUMMYFUNCTION("""COMPUTED_VALUE"""),"노인")</f>
        <v>노인</v>
      </c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</row>
    <row r="1254">
      <c r="A1254" s="27" t="s">
        <v>5270</v>
      </c>
      <c r="B1254" s="28" t="s">
        <v>5271</v>
      </c>
      <c r="C1254" s="27" t="s">
        <v>5272</v>
      </c>
      <c r="D1254" s="27">
        <v>5.0</v>
      </c>
      <c r="E1254" s="27" t="s">
        <v>5273</v>
      </c>
      <c r="F1254" s="27">
        <v>0.0</v>
      </c>
      <c r="G1254" s="29">
        <v>45627.14722222222</v>
      </c>
      <c r="H1254" s="27" t="s">
        <v>4737</v>
      </c>
      <c r="I1254" s="18"/>
      <c r="J1254" s="25" t="str">
        <f>IFERROR(__xludf.DUMMYFUNCTION("ARRAYFORMULA(REGEXEXTRACT(SPLIT(C1254, ""&lt;br&gt;""), ""([가-힣A-Za-z]+)""))"),"테리")</f>
        <v>테리</v>
      </c>
      <c r="K1254" s="26" t="str">
        <f>IFERROR(__xludf.DUMMYFUNCTION("""COMPUTED_VALUE"""),"넘버")</f>
        <v>넘버</v>
      </c>
      <c r="L1254" s="26" t="str">
        <f>IFERROR(__xludf.DUMMYFUNCTION("""COMPUTED_VALUE"""),"따")</f>
        <v>따</v>
      </c>
      <c r="M1254" s="26" t="str">
        <f>IFERROR(__xludf.DUMMYFUNCTION("""COMPUTED_VALUE"""),"민우")</f>
        <v>민우</v>
      </c>
      <c r="N1254" s="26" t="str">
        <f>IFERROR(__xludf.DUMMYFUNCTION("ARRAYFORMULA(REGEXEXTRACT(SPLIT(E1254, ""&lt;br&gt;""), ""([가-힣A-Za-z]+)""))"),"신형만")</f>
        <v>신형만</v>
      </c>
      <c r="O1254" s="26" t="str">
        <f>IFERROR(__xludf.DUMMYFUNCTION("""COMPUTED_VALUE"""),"노인")</f>
        <v>노인</v>
      </c>
      <c r="P1254" s="26" t="str">
        <f>IFERROR(__xludf.DUMMYFUNCTION("""COMPUTED_VALUE"""),"조드")</f>
        <v>조드</v>
      </c>
      <c r="Q1254" s="26" t="str">
        <f>IFERROR(__xludf.DUMMYFUNCTION("""COMPUTED_VALUE"""),"재우")</f>
        <v>재우</v>
      </c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</row>
    <row r="1255">
      <c r="A1255" s="27" t="s">
        <v>5274</v>
      </c>
      <c r="B1255" s="28" t="s">
        <v>5275</v>
      </c>
      <c r="C1255" s="27" t="s">
        <v>5276</v>
      </c>
      <c r="D1255" s="27">
        <v>5.0</v>
      </c>
      <c r="E1255" s="27" t="s">
        <v>5277</v>
      </c>
      <c r="F1255" s="27">
        <v>4.0</v>
      </c>
      <c r="G1255" s="29">
        <v>45627.044444444444</v>
      </c>
      <c r="H1255" s="27" t="s">
        <v>4737</v>
      </c>
      <c r="I1255" s="18"/>
      <c r="J1255" s="25" t="str">
        <f>IFERROR(__xludf.DUMMYFUNCTION("ARRAYFORMULA(REGEXEXTRACT(SPLIT(C1255, ""&lt;br&gt;""), ""([가-힣A-Za-z]+)""))"),"넘버")</f>
        <v>넘버</v>
      </c>
      <c r="K1255" s="26" t="str">
        <f>IFERROR(__xludf.DUMMYFUNCTION("""COMPUTED_VALUE"""),"신형만")</f>
        <v>신형만</v>
      </c>
      <c r="L1255" s="26" t="str">
        <f>IFERROR(__xludf.DUMMYFUNCTION("""COMPUTED_VALUE"""),"조드")</f>
        <v>조드</v>
      </c>
      <c r="M1255" s="26" t="str">
        <f>IFERROR(__xludf.DUMMYFUNCTION("""COMPUTED_VALUE"""),"노인")</f>
        <v>노인</v>
      </c>
      <c r="N1255" s="26" t="str">
        <f>IFERROR(__xludf.DUMMYFUNCTION("ARRAYFORMULA(REGEXEXTRACT(SPLIT(E1255, ""&lt;br&gt;""), ""([가-힣A-Za-z]+)""))"),"짱구")</f>
        <v>짱구</v>
      </c>
      <c r="O1255" s="26" t="str">
        <f>IFERROR(__xludf.DUMMYFUNCTION("""COMPUTED_VALUE"""),"테리")</f>
        <v>테리</v>
      </c>
      <c r="P1255" s="26" t="str">
        <f>IFERROR(__xludf.DUMMYFUNCTION("""COMPUTED_VALUE"""),"참치")</f>
        <v>참치</v>
      </c>
      <c r="Q1255" s="26" t="str">
        <f>IFERROR(__xludf.DUMMYFUNCTION("""COMPUTED_VALUE"""),"재우")</f>
        <v>재우</v>
      </c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</row>
    <row r="1256">
      <c r="A1256" s="27" t="s">
        <v>5278</v>
      </c>
      <c r="B1256" s="28" t="s">
        <v>5279</v>
      </c>
      <c r="C1256" s="27" t="s">
        <v>5280</v>
      </c>
      <c r="D1256" s="27">
        <v>5.0</v>
      </c>
      <c r="E1256" s="27" t="s">
        <v>5281</v>
      </c>
      <c r="F1256" s="27">
        <v>3.0</v>
      </c>
      <c r="G1256" s="29">
        <v>45627.01736111111</v>
      </c>
      <c r="H1256" s="27" t="s">
        <v>4737</v>
      </c>
      <c r="I1256" s="18"/>
      <c r="J1256" s="25" t="str">
        <f>IFERROR(__xludf.DUMMYFUNCTION("ARRAYFORMULA(REGEXEXTRACT(SPLIT(C1256, ""&lt;br&gt;""), ""([가-힣A-Za-z]+)""))"),"원")</f>
        <v>원</v>
      </c>
      <c r="K1256" s="26" t="str">
        <f>IFERROR(__xludf.DUMMYFUNCTION("""COMPUTED_VALUE"""),"태식")</f>
        <v>태식</v>
      </c>
      <c r="L1256" s="26" t="str">
        <f>IFERROR(__xludf.DUMMYFUNCTION("""COMPUTED_VALUE"""),"테리")</f>
        <v>테리</v>
      </c>
      <c r="M1256" s="26" t="str">
        <f>IFERROR(__xludf.DUMMYFUNCTION("""COMPUTED_VALUE"""),"노인")</f>
        <v>노인</v>
      </c>
      <c r="N1256" s="26" t="str">
        <f>IFERROR(__xludf.DUMMYFUNCTION("ARRAYFORMULA(REGEXEXTRACT(SPLIT(E1256, ""&lt;br&gt;""), ""([가-힣A-Za-z]+)""))"),"짱구")</f>
        <v>짱구</v>
      </c>
      <c r="O1256" s="26" t="str">
        <f>IFERROR(__xludf.DUMMYFUNCTION("""COMPUTED_VALUE"""),"재우")</f>
        <v>재우</v>
      </c>
      <c r="P1256" s="26" t="str">
        <f>IFERROR(__xludf.DUMMYFUNCTION("""COMPUTED_VALUE"""),"조드")</f>
        <v>조드</v>
      </c>
      <c r="Q1256" s="26" t="str">
        <f>IFERROR(__xludf.DUMMYFUNCTION("""COMPUTED_VALUE"""),"신형만")</f>
        <v>신형만</v>
      </c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</row>
    <row r="1257">
      <c r="A1257" s="27" t="s">
        <v>5282</v>
      </c>
      <c r="B1257" s="28" t="s">
        <v>5283</v>
      </c>
      <c r="C1257" s="27" t="s">
        <v>5284</v>
      </c>
      <c r="D1257" s="27">
        <v>5.0</v>
      </c>
      <c r="E1257" s="27" t="s">
        <v>5285</v>
      </c>
      <c r="F1257" s="27">
        <v>3.0</v>
      </c>
      <c r="G1257" s="29">
        <v>45627.01666666667</v>
      </c>
      <c r="H1257" s="27" t="s">
        <v>4737</v>
      </c>
      <c r="I1257" s="18"/>
      <c r="J1257" s="25" t="str">
        <f>IFERROR(__xludf.DUMMYFUNCTION("ARRAYFORMULA(REGEXEXTRACT(SPLIT(C1257, ""&lt;br&gt;""), ""([가-힣A-Za-z]+)""))"),"테리")</f>
        <v>테리</v>
      </c>
      <c r="K1257" s="26" t="str">
        <f>IFERROR(__xludf.DUMMYFUNCTION("""COMPUTED_VALUE"""),"재우")</f>
        <v>재우</v>
      </c>
      <c r="L1257" s="26" t="str">
        <f>IFERROR(__xludf.DUMMYFUNCTION("""COMPUTED_VALUE"""),"노인")</f>
        <v>노인</v>
      </c>
      <c r="M1257" s="26" t="str">
        <f>IFERROR(__xludf.DUMMYFUNCTION("""COMPUTED_VALUE"""),"넘버")</f>
        <v>넘버</v>
      </c>
      <c r="N1257" s="26" t="str">
        <f>IFERROR(__xludf.DUMMYFUNCTION("ARRAYFORMULA(REGEXEXTRACT(SPLIT(E1257, ""&lt;br&gt;""), ""([가-힣A-Za-z]+)""))"),"신형만")</f>
        <v>신형만</v>
      </c>
      <c r="O1257" s="26" t="str">
        <f>IFERROR(__xludf.DUMMYFUNCTION("""COMPUTED_VALUE"""),"짱구")</f>
        <v>짱구</v>
      </c>
      <c r="P1257" s="26" t="str">
        <f>IFERROR(__xludf.DUMMYFUNCTION("""COMPUTED_VALUE"""),"조드")</f>
        <v>조드</v>
      </c>
      <c r="Q1257" s="26" t="str">
        <f>IFERROR(__xludf.DUMMYFUNCTION("""COMPUTED_VALUE"""),"참치")</f>
        <v>참치</v>
      </c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</row>
    <row r="1258">
      <c r="A1258" s="27" t="s">
        <v>5286</v>
      </c>
      <c r="B1258" s="28" t="s">
        <v>5287</v>
      </c>
      <c r="C1258" s="27" t="s">
        <v>5288</v>
      </c>
      <c r="D1258" s="27">
        <v>5.0</v>
      </c>
      <c r="E1258" s="27" t="s">
        <v>5289</v>
      </c>
      <c r="F1258" s="27">
        <v>2.0</v>
      </c>
      <c r="G1258" s="29">
        <v>45626.96875</v>
      </c>
      <c r="H1258" s="27" t="s">
        <v>4737</v>
      </c>
      <c r="I1258" s="18"/>
      <c r="J1258" s="25" t="str">
        <f>IFERROR(__xludf.DUMMYFUNCTION("ARRAYFORMULA(REGEXEXTRACT(SPLIT(C1258, ""&lt;br&gt;""), ""([가-힣A-Za-z]+)""))"),"노인")</f>
        <v>노인</v>
      </c>
      <c r="K1258" s="26" t="str">
        <f>IFERROR(__xludf.DUMMYFUNCTION("""COMPUTED_VALUE"""),"짱구")</f>
        <v>짱구</v>
      </c>
      <c r="L1258" s="26" t="str">
        <f>IFERROR(__xludf.DUMMYFUNCTION("""COMPUTED_VALUE"""),"태식")</f>
        <v>태식</v>
      </c>
      <c r="M1258" s="26" t="str">
        <f>IFERROR(__xludf.DUMMYFUNCTION("""COMPUTED_VALUE"""),"재우")</f>
        <v>재우</v>
      </c>
      <c r="N1258" s="26" t="str">
        <f>IFERROR(__xludf.DUMMYFUNCTION("ARRAYFORMULA(REGEXEXTRACT(SPLIT(E1258, ""&lt;br&gt;""), ""([가-힣A-Za-z]+)""))"),"테리")</f>
        <v>테리</v>
      </c>
      <c r="O1258" s="26" t="str">
        <f>IFERROR(__xludf.DUMMYFUNCTION("""COMPUTED_VALUE"""),"신형만")</f>
        <v>신형만</v>
      </c>
      <c r="P1258" s="26" t="str">
        <f>IFERROR(__xludf.DUMMYFUNCTION("""COMPUTED_VALUE"""),"조드")</f>
        <v>조드</v>
      </c>
      <c r="Q1258" s="26" t="str">
        <f>IFERROR(__xludf.DUMMYFUNCTION("""COMPUTED_VALUE"""),"원")</f>
        <v>원</v>
      </c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</row>
    <row r="1259">
      <c r="A1259" s="27" t="s">
        <v>5290</v>
      </c>
      <c r="B1259" s="28" t="s">
        <v>5291</v>
      </c>
      <c r="C1259" s="27" t="s">
        <v>5292</v>
      </c>
      <c r="D1259" s="27">
        <v>5.0</v>
      </c>
      <c r="E1259" s="27" t="s">
        <v>5293</v>
      </c>
      <c r="F1259" s="27">
        <v>2.0</v>
      </c>
      <c r="G1259" s="29">
        <v>45626.94097222222</v>
      </c>
      <c r="H1259" s="27" t="s">
        <v>4737</v>
      </c>
      <c r="I1259" s="18"/>
      <c r="J1259" s="25" t="str">
        <f>IFERROR(__xludf.DUMMYFUNCTION("ARRAYFORMULA(REGEXEXTRACT(SPLIT(C1259, ""&lt;br&gt;""), ""([가-힣A-Za-z]+)""))"),"노인")</f>
        <v>노인</v>
      </c>
      <c r="K1259" s="26" t="str">
        <f>IFERROR(__xludf.DUMMYFUNCTION("""COMPUTED_VALUE"""),"신형만")</f>
        <v>신형만</v>
      </c>
      <c r="L1259" s="26" t="str">
        <f>IFERROR(__xludf.DUMMYFUNCTION("""COMPUTED_VALUE"""),"짱구")</f>
        <v>짱구</v>
      </c>
      <c r="M1259" s="26" t="str">
        <f>IFERROR(__xludf.DUMMYFUNCTION("""COMPUTED_VALUE"""),"원")</f>
        <v>원</v>
      </c>
      <c r="N1259" s="26" t="str">
        <f>IFERROR(__xludf.DUMMYFUNCTION("ARRAYFORMULA(REGEXEXTRACT(SPLIT(E1259, ""&lt;br&gt;""), ""([가-힣A-Za-z]+)""))"),"테리")</f>
        <v>테리</v>
      </c>
      <c r="O1259" s="26" t="str">
        <f>IFERROR(__xludf.DUMMYFUNCTION("""COMPUTED_VALUE"""),"태식")</f>
        <v>태식</v>
      </c>
      <c r="P1259" s="26" t="str">
        <f>IFERROR(__xludf.DUMMYFUNCTION("""COMPUTED_VALUE"""),"오크")</f>
        <v>오크</v>
      </c>
      <c r="Q1259" s="26" t="str">
        <f>IFERROR(__xludf.DUMMYFUNCTION("""COMPUTED_VALUE"""),"조드")</f>
        <v>조드</v>
      </c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</row>
    <row r="1260">
      <c r="A1260" s="27" t="s">
        <v>5294</v>
      </c>
      <c r="B1260" s="28" t="s">
        <v>5295</v>
      </c>
      <c r="C1260" s="27" t="s">
        <v>5296</v>
      </c>
      <c r="D1260" s="27">
        <v>5.0</v>
      </c>
      <c r="E1260" s="27" t="s">
        <v>5297</v>
      </c>
      <c r="F1260" s="27">
        <v>0.0</v>
      </c>
      <c r="G1260" s="29">
        <v>45626.92222222222</v>
      </c>
      <c r="H1260" s="27" t="s">
        <v>4737</v>
      </c>
      <c r="I1260" s="18"/>
      <c r="J1260" s="25" t="str">
        <f>IFERROR(__xludf.DUMMYFUNCTION("ARRAYFORMULA(REGEXEXTRACT(SPLIT(C1260, ""&lt;br&gt;""), ""([가-힣A-Za-z]+)""))"),"짱구")</f>
        <v>짱구</v>
      </c>
      <c r="K1260" s="26" t="str">
        <f>IFERROR(__xludf.DUMMYFUNCTION("""COMPUTED_VALUE"""),"태식")</f>
        <v>태식</v>
      </c>
      <c r="L1260" s="26" t="str">
        <f>IFERROR(__xludf.DUMMYFUNCTION("""COMPUTED_VALUE"""),"조드")</f>
        <v>조드</v>
      </c>
      <c r="M1260" s="26" t="str">
        <f>IFERROR(__xludf.DUMMYFUNCTION("""COMPUTED_VALUE"""),"원")</f>
        <v>원</v>
      </c>
      <c r="N1260" s="26" t="str">
        <f>IFERROR(__xludf.DUMMYFUNCTION("ARRAYFORMULA(REGEXEXTRACT(SPLIT(E1260, ""&lt;br&gt;""), ""([가-힣A-Za-z]+)""))"),"오크")</f>
        <v>오크</v>
      </c>
      <c r="O1260" s="26" t="str">
        <f>IFERROR(__xludf.DUMMYFUNCTION("""COMPUTED_VALUE"""),"테리")</f>
        <v>테리</v>
      </c>
      <c r="P1260" s="26" t="str">
        <f>IFERROR(__xludf.DUMMYFUNCTION("""COMPUTED_VALUE"""),"노인")</f>
        <v>노인</v>
      </c>
      <c r="Q1260" s="26" t="str">
        <f>IFERROR(__xludf.DUMMYFUNCTION("""COMPUTED_VALUE"""),"신형만")</f>
        <v>신형만</v>
      </c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</row>
    <row r="1261">
      <c r="A1261" s="27" t="s">
        <v>5298</v>
      </c>
      <c r="B1261" s="28" t="s">
        <v>5299</v>
      </c>
      <c r="C1261" s="27" t="s">
        <v>5300</v>
      </c>
      <c r="D1261" s="27">
        <v>5.0</v>
      </c>
      <c r="E1261" s="27" t="s">
        <v>5301</v>
      </c>
      <c r="F1261" s="27">
        <v>4.0</v>
      </c>
      <c r="G1261" s="29">
        <v>45626.895833333336</v>
      </c>
      <c r="H1261" s="27" t="s">
        <v>4737</v>
      </c>
      <c r="I1261" s="18"/>
      <c r="J1261" s="25" t="str">
        <f>IFERROR(__xludf.DUMMYFUNCTION("ARRAYFORMULA(REGEXEXTRACT(SPLIT(C1261, ""&lt;br&gt;""), ""([가-힣A-Za-z]+)""))"),"짱구")</f>
        <v>짱구</v>
      </c>
      <c r="K1261" s="26" t="str">
        <f>IFERROR(__xludf.DUMMYFUNCTION("""COMPUTED_VALUE"""),"조드")</f>
        <v>조드</v>
      </c>
      <c r="L1261" s="26" t="str">
        <f>IFERROR(__xludf.DUMMYFUNCTION("""COMPUTED_VALUE"""),"신형만")</f>
        <v>신형만</v>
      </c>
      <c r="M1261" s="26" t="str">
        <f>IFERROR(__xludf.DUMMYFUNCTION("""COMPUTED_VALUE"""),"원")</f>
        <v>원</v>
      </c>
      <c r="N1261" s="26" t="str">
        <f>IFERROR(__xludf.DUMMYFUNCTION("ARRAYFORMULA(REGEXEXTRACT(SPLIT(E1261, ""&lt;br&gt;""), ""([가-힣A-Za-z]+)""))"),"민우")</f>
        <v>민우</v>
      </c>
      <c r="O1261" s="26" t="str">
        <f>IFERROR(__xludf.DUMMYFUNCTION("""COMPUTED_VALUE"""),"태식")</f>
        <v>태식</v>
      </c>
      <c r="P1261" s="26" t="str">
        <f>IFERROR(__xludf.DUMMYFUNCTION("""COMPUTED_VALUE"""),"노인")</f>
        <v>노인</v>
      </c>
      <c r="Q1261" s="26" t="str">
        <f>IFERROR(__xludf.DUMMYFUNCTION("""COMPUTED_VALUE"""),"넘버")</f>
        <v>넘버</v>
      </c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</row>
    <row r="1262">
      <c r="A1262" s="27" t="s">
        <v>5302</v>
      </c>
      <c r="B1262" s="28" t="s">
        <v>5303</v>
      </c>
      <c r="C1262" s="27" t="s">
        <v>5304</v>
      </c>
      <c r="D1262" s="27">
        <v>5.0</v>
      </c>
      <c r="E1262" s="27" t="s">
        <v>5305</v>
      </c>
      <c r="F1262" s="27">
        <v>0.0</v>
      </c>
      <c r="G1262" s="29">
        <v>45626.86666666667</v>
      </c>
      <c r="H1262" s="27" t="s">
        <v>4737</v>
      </c>
      <c r="I1262" s="18"/>
      <c r="J1262" s="25" t="str">
        <f>IFERROR(__xludf.DUMMYFUNCTION("ARRAYFORMULA(REGEXEXTRACT(SPLIT(C1262, ""&lt;br&gt;""), ""([가-힣A-Za-z]+)""))"),"신형만")</f>
        <v>신형만</v>
      </c>
      <c r="K1262" s="26" t="str">
        <f>IFERROR(__xludf.DUMMYFUNCTION("""COMPUTED_VALUE"""),"넘버")</f>
        <v>넘버</v>
      </c>
      <c r="L1262" s="26" t="str">
        <f>IFERROR(__xludf.DUMMYFUNCTION("""COMPUTED_VALUE"""),"태식")</f>
        <v>태식</v>
      </c>
      <c r="M1262" s="26" t="str">
        <f>IFERROR(__xludf.DUMMYFUNCTION("""COMPUTED_VALUE"""),"원")</f>
        <v>원</v>
      </c>
      <c r="N1262" s="26" t="str">
        <f>IFERROR(__xludf.DUMMYFUNCTION("ARRAYFORMULA(REGEXEXTRACT(SPLIT(E1262, ""&lt;br&gt;""), ""([가-힣A-Za-z]+)""))"),"민우")</f>
        <v>민우</v>
      </c>
      <c r="O1262" s="26" t="str">
        <f>IFERROR(__xludf.DUMMYFUNCTION("""COMPUTED_VALUE"""),"짱구")</f>
        <v>짱구</v>
      </c>
      <c r="P1262" s="26" t="str">
        <f>IFERROR(__xludf.DUMMYFUNCTION("""COMPUTED_VALUE"""),"조드")</f>
        <v>조드</v>
      </c>
      <c r="Q1262" s="26" t="str">
        <f>IFERROR(__xludf.DUMMYFUNCTION("""COMPUTED_VALUE"""),"노인")</f>
        <v>노인</v>
      </c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</row>
    <row r="1263">
      <c r="A1263" s="27" t="s">
        <v>5306</v>
      </c>
      <c r="B1263" s="28" t="s">
        <v>5307</v>
      </c>
      <c r="C1263" s="27" t="s">
        <v>5308</v>
      </c>
      <c r="D1263" s="27">
        <v>5.0</v>
      </c>
      <c r="E1263" s="27" t="s">
        <v>5309</v>
      </c>
      <c r="F1263" s="27">
        <v>3.0</v>
      </c>
      <c r="G1263" s="29">
        <v>45625.19652777778</v>
      </c>
      <c r="H1263" s="27" t="s">
        <v>4737</v>
      </c>
      <c r="I1263" s="18"/>
      <c r="J1263" s="25" t="str">
        <f>IFERROR(__xludf.DUMMYFUNCTION("ARRAYFORMULA(REGEXEXTRACT(SPLIT(C1263, ""&lt;br&gt;""), ""([가-힣A-Za-z]+)""))"),"짱구")</f>
        <v>짱구</v>
      </c>
      <c r="K1263" s="26" t="str">
        <f>IFERROR(__xludf.DUMMYFUNCTION("""COMPUTED_VALUE"""),"깡패")</f>
        <v>깡패</v>
      </c>
      <c r="L1263" s="26" t="str">
        <f>IFERROR(__xludf.DUMMYFUNCTION("""COMPUTED_VALUE"""),"신형만")</f>
        <v>신형만</v>
      </c>
      <c r="M1263" s="26" t="str">
        <f>IFERROR(__xludf.DUMMYFUNCTION("""COMPUTED_VALUE"""),"한메")</f>
        <v>한메</v>
      </c>
      <c r="N1263" s="26" t="str">
        <f>IFERROR(__xludf.DUMMYFUNCTION("ARRAYFORMULA(REGEXEXTRACT(SPLIT(E1263, ""&lt;br&gt;""), ""([가-힣A-Za-z]+)""))"),"노인")</f>
        <v>노인</v>
      </c>
      <c r="O1263" s="26" t="str">
        <f>IFERROR(__xludf.DUMMYFUNCTION("""COMPUTED_VALUE"""),"ACDC")</f>
        <v>ACDC</v>
      </c>
      <c r="P1263" s="26" t="str">
        <f>IFERROR(__xludf.DUMMYFUNCTION("""COMPUTED_VALUE"""),"윈드")</f>
        <v>윈드</v>
      </c>
      <c r="Q1263" s="26" t="str">
        <f>IFERROR(__xludf.DUMMYFUNCTION("""COMPUTED_VALUE"""),"키키")</f>
        <v>키키</v>
      </c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</row>
    <row r="1264">
      <c r="A1264" s="27" t="s">
        <v>5310</v>
      </c>
      <c r="B1264" s="28" t="s">
        <v>5311</v>
      </c>
      <c r="C1264" s="27" t="s">
        <v>5312</v>
      </c>
      <c r="D1264" s="27">
        <v>5.0</v>
      </c>
      <c r="E1264" s="27" t="s">
        <v>5313</v>
      </c>
      <c r="F1264" s="27">
        <v>1.0</v>
      </c>
      <c r="G1264" s="29">
        <v>45625.14375</v>
      </c>
      <c r="H1264" s="27" t="s">
        <v>4737</v>
      </c>
      <c r="I1264" s="18"/>
      <c r="J1264" s="25" t="str">
        <f>IFERROR(__xludf.DUMMYFUNCTION("ARRAYFORMULA(REGEXEXTRACT(SPLIT(C1264, ""&lt;br&gt;""), ""([가-힣A-Za-z]+)""))"),"신형만")</f>
        <v>신형만</v>
      </c>
      <c r="K1264" s="26" t="str">
        <f>IFERROR(__xludf.DUMMYFUNCTION("""COMPUTED_VALUE"""),"ACDC")</f>
        <v>ACDC</v>
      </c>
      <c r="L1264" s="26" t="str">
        <f>IFERROR(__xludf.DUMMYFUNCTION("""COMPUTED_VALUE"""),"키키")</f>
        <v>키키</v>
      </c>
      <c r="M1264" s="26" t="str">
        <f>IFERROR(__xludf.DUMMYFUNCTION("""COMPUTED_VALUE"""),"한메")</f>
        <v>한메</v>
      </c>
      <c r="N1264" s="26" t="str">
        <f>IFERROR(__xludf.DUMMYFUNCTION("ARRAYFORMULA(REGEXEXTRACT(SPLIT(E1264, ""&lt;br&gt;""), ""([가-힣A-Za-z]+)""))"),"민우")</f>
        <v>민우</v>
      </c>
      <c r="O1264" s="26" t="str">
        <f>IFERROR(__xludf.DUMMYFUNCTION("""COMPUTED_VALUE"""),"깡패")</f>
        <v>깡패</v>
      </c>
      <c r="P1264" s="26" t="str">
        <f>IFERROR(__xludf.DUMMYFUNCTION("""COMPUTED_VALUE"""),"짱구")</f>
        <v>짱구</v>
      </c>
      <c r="Q1264" s="26" t="str">
        <f>IFERROR(__xludf.DUMMYFUNCTION("""COMPUTED_VALUE"""),"노인")</f>
        <v>노인</v>
      </c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</row>
    <row r="1265">
      <c r="A1265" s="27" t="s">
        <v>5314</v>
      </c>
      <c r="B1265" s="28" t="s">
        <v>5315</v>
      </c>
      <c r="C1265" s="27" t="s">
        <v>5316</v>
      </c>
      <c r="D1265" s="27">
        <v>5.0</v>
      </c>
      <c r="E1265" s="27" t="s">
        <v>5317</v>
      </c>
      <c r="F1265" s="27">
        <v>4.0</v>
      </c>
      <c r="G1265" s="29">
        <v>45625.11388888889</v>
      </c>
      <c r="H1265" s="27" t="s">
        <v>4737</v>
      </c>
      <c r="I1265" s="18"/>
      <c r="J1265" s="25" t="str">
        <f>IFERROR(__xludf.DUMMYFUNCTION("ARRAYFORMULA(REGEXEXTRACT(SPLIT(C1265, ""&lt;br&gt;""), ""([가-힣A-Za-z]+)""))"),"한메")</f>
        <v>한메</v>
      </c>
      <c r="K1265" s="26" t="str">
        <f>IFERROR(__xludf.DUMMYFUNCTION("""COMPUTED_VALUE"""),"ACDC")</f>
        <v>ACDC</v>
      </c>
      <c r="L1265" s="26" t="str">
        <f>IFERROR(__xludf.DUMMYFUNCTION("""COMPUTED_VALUE"""),"짱구")</f>
        <v>짱구</v>
      </c>
      <c r="M1265" s="26" t="str">
        <f>IFERROR(__xludf.DUMMYFUNCTION("""COMPUTED_VALUE"""),"민우")</f>
        <v>민우</v>
      </c>
      <c r="N1265" s="26" t="str">
        <f>IFERROR(__xludf.DUMMYFUNCTION("ARRAYFORMULA(REGEXEXTRACT(SPLIT(E1265, ""&lt;br&gt;""), ""([가-힣A-Za-z]+)""))"),"신형만")</f>
        <v>신형만</v>
      </c>
      <c r="O1265" s="26" t="str">
        <f>IFERROR(__xludf.DUMMYFUNCTION("""COMPUTED_VALUE"""),"깡패")</f>
        <v>깡패</v>
      </c>
      <c r="P1265" s="26" t="str">
        <f>IFERROR(__xludf.DUMMYFUNCTION("""COMPUTED_VALUE"""),"키키")</f>
        <v>키키</v>
      </c>
      <c r="Q1265" s="26" t="str">
        <f>IFERROR(__xludf.DUMMYFUNCTION("""COMPUTED_VALUE"""),"노인")</f>
        <v>노인</v>
      </c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</row>
    <row r="1266">
      <c r="A1266" s="27" t="s">
        <v>5318</v>
      </c>
      <c r="B1266" s="28" t="s">
        <v>5319</v>
      </c>
      <c r="C1266" s="27" t="s">
        <v>5320</v>
      </c>
      <c r="D1266" s="27">
        <v>5.0</v>
      </c>
      <c r="E1266" s="27" t="s">
        <v>5321</v>
      </c>
      <c r="F1266" s="27">
        <v>2.0</v>
      </c>
      <c r="G1266" s="29">
        <v>45625.07847222222</v>
      </c>
      <c r="H1266" s="27" t="s">
        <v>4737</v>
      </c>
      <c r="I1266" s="18"/>
      <c r="J1266" s="25" t="str">
        <f>IFERROR(__xludf.DUMMYFUNCTION("ARRAYFORMULA(REGEXEXTRACT(SPLIT(C1266, ""&lt;br&gt;""), ""([가-힣A-Za-z]+)""))"),"민우")</f>
        <v>민우</v>
      </c>
      <c r="K1266" s="26" t="str">
        <f>IFERROR(__xludf.DUMMYFUNCTION("""COMPUTED_VALUE"""),"테리")</f>
        <v>테리</v>
      </c>
      <c r="L1266" s="26" t="str">
        <f>IFERROR(__xludf.DUMMYFUNCTION("""COMPUTED_VALUE"""),"짱구")</f>
        <v>짱구</v>
      </c>
      <c r="M1266" s="26" t="str">
        <f>IFERROR(__xludf.DUMMYFUNCTION("""COMPUTED_VALUE"""),"노인")</f>
        <v>노인</v>
      </c>
      <c r="N1266" s="26" t="str">
        <f>IFERROR(__xludf.DUMMYFUNCTION("ARRAYFORMULA(REGEXEXTRACT(SPLIT(E1266, ""&lt;br&gt;""), ""([가-힣A-Za-z]+)""))"),"한메")</f>
        <v>한메</v>
      </c>
      <c r="O1266" s="26" t="str">
        <f>IFERROR(__xludf.DUMMYFUNCTION("""COMPUTED_VALUE"""),"ACDC")</f>
        <v>ACDC</v>
      </c>
      <c r="P1266" s="26" t="str">
        <f>IFERROR(__xludf.DUMMYFUNCTION("""COMPUTED_VALUE"""),"깡패")</f>
        <v>깡패</v>
      </c>
      <c r="Q1266" s="26" t="str">
        <f>IFERROR(__xludf.DUMMYFUNCTION("""COMPUTED_VALUE"""),"신형만")</f>
        <v>신형만</v>
      </c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</row>
    <row r="1267">
      <c r="A1267" s="27" t="s">
        <v>5322</v>
      </c>
      <c r="B1267" s="28" t="s">
        <v>5323</v>
      </c>
      <c r="C1267" s="27" t="s">
        <v>5324</v>
      </c>
      <c r="D1267" s="27">
        <v>5.0</v>
      </c>
      <c r="E1267" s="27" t="s">
        <v>5325</v>
      </c>
      <c r="F1267" s="27">
        <v>1.0</v>
      </c>
      <c r="G1267" s="29">
        <v>45625.05972222222</v>
      </c>
      <c r="H1267" s="27" t="s">
        <v>4737</v>
      </c>
      <c r="I1267" s="18"/>
      <c r="J1267" s="25" t="str">
        <f>IFERROR(__xludf.DUMMYFUNCTION("ARRAYFORMULA(REGEXEXTRACT(SPLIT(C1267, ""&lt;br&gt;""), ""([가-힣A-Za-z]+)""))"),"테리")</f>
        <v>테리</v>
      </c>
      <c r="K1267" s="26" t="str">
        <f>IFERROR(__xludf.DUMMYFUNCTION("""COMPUTED_VALUE"""),"깡패")</f>
        <v>깡패</v>
      </c>
      <c r="L1267" s="26" t="str">
        <f>IFERROR(__xludf.DUMMYFUNCTION("""COMPUTED_VALUE"""),"한메")</f>
        <v>한메</v>
      </c>
      <c r="M1267" s="26" t="str">
        <f>IFERROR(__xludf.DUMMYFUNCTION("""COMPUTED_VALUE"""),"노인")</f>
        <v>노인</v>
      </c>
      <c r="N1267" s="26" t="str">
        <f>IFERROR(__xludf.DUMMYFUNCTION("ARRAYFORMULA(REGEXEXTRACT(SPLIT(E1267, ""&lt;br&gt;""), ""([가-힣A-Za-z]+)""))"),"신형만")</f>
        <v>신형만</v>
      </c>
      <c r="O1267" s="26" t="str">
        <f>IFERROR(__xludf.DUMMYFUNCTION("""COMPUTED_VALUE"""),"ACDC")</f>
        <v>ACDC</v>
      </c>
      <c r="P1267" s="26" t="str">
        <f>IFERROR(__xludf.DUMMYFUNCTION("""COMPUTED_VALUE"""),"짱구")</f>
        <v>짱구</v>
      </c>
      <c r="Q1267" s="26" t="str">
        <f>IFERROR(__xludf.DUMMYFUNCTION("""COMPUTED_VALUE"""),"민우")</f>
        <v>민우</v>
      </c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</row>
    <row r="1268">
      <c r="A1268" s="27" t="s">
        <v>5326</v>
      </c>
      <c r="B1268" s="28" t="s">
        <v>5327</v>
      </c>
      <c r="C1268" s="27" t="s">
        <v>5328</v>
      </c>
      <c r="D1268" s="27">
        <v>5.0</v>
      </c>
      <c r="E1268" s="27" t="s">
        <v>5329</v>
      </c>
      <c r="F1268" s="27">
        <v>3.0</v>
      </c>
      <c r="G1268" s="29">
        <v>45625.03055555555</v>
      </c>
      <c r="H1268" s="27" t="s">
        <v>4737</v>
      </c>
      <c r="I1268" s="18"/>
      <c r="J1268" s="25" t="str">
        <f>IFERROR(__xludf.DUMMYFUNCTION("ARRAYFORMULA(REGEXEXTRACT(SPLIT(C1268, ""&lt;br&gt;""), ""([가-힣A-Za-z]+)""))"),"깡패")</f>
        <v>깡패</v>
      </c>
      <c r="K1268" s="26" t="str">
        <f>IFERROR(__xludf.DUMMYFUNCTION("""COMPUTED_VALUE"""),"원")</f>
        <v>원</v>
      </c>
      <c r="L1268" s="26" t="str">
        <f>IFERROR(__xludf.DUMMYFUNCTION("""COMPUTED_VALUE"""),"노인")</f>
        <v>노인</v>
      </c>
      <c r="M1268" s="26" t="str">
        <f>IFERROR(__xludf.DUMMYFUNCTION("""COMPUTED_VALUE"""),"ACDC")</f>
        <v>ACDC</v>
      </c>
      <c r="N1268" s="26" t="str">
        <f>IFERROR(__xludf.DUMMYFUNCTION("ARRAYFORMULA(REGEXEXTRACT(SPLIT(E1268, ""&lt;br&gt;""), ""([가-힣A-Za-z]+)""))"),"한메")</f>
        <v>한메</v>
      </c>
      <c r="O1268" s="26" t="str">
        <f>IFERROR(__xludf.DUMMYFUNCTION("""COMPUTED_VALUE"""),"참치")</f>
        <v>참치</v>
      </c>
      <c r="P1268" s="26" t="str">
        <f>IFERROR(__xludf.DUMMYFUNCTION("""COMPUTED_VALUE"""),"짱구")</f>
        <v>짱구</v>
      </c>
      <c r="Q1268" s="26" t="str">
        <f>IFERROR(__xludf.DUMMYFUNCTION("""COMPUTED_VALUE"""),"신형만")</f>
        <v>신형만</v>
      </c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</row>
    <row r="1269">
      <c r="A1269" s="27" t="s">
        <v>5330</v>
      </c>
      <c r="B1269" s="28" t="s">
        <v>5331</v>
      </c>
      <c r="C1269" s="27" t="s">
        <v>5332</v>
      </c>
      <c r="D1269" s="27">
        <v>5.0</v>
      </c>
      <c r="E1269" s="27" t="s">
        <v>5333</v>
      </c>
      <c r="F1269" s="27">
        <v>1.0</v>
      </c>
      <c r="G1269" s="29">
        <v>45625.00763888889</v>
      </c>
      <c r="H1269" s="27" t="s">
        <v>4737</v>
      </c>
      <c r="I1269" s="18"/>
      <c r="J1269" s="25" t="str">
        <f>IFERROR(__xludf.DUMMYFUNCTION("ARRAYFORMULA(REGEXEXTRACT(SPLIT(C1269, ""&lt;br&gt;""), ""([가-힣A-Za-z]+)""))"),"깡패")</f>
        <v>깡패</v>
      </c>
      <c r="K1269" s="26" t="str">
        <f>IFERROR(__xludf.DUMMYFUNCTION("""COMPUTED_VALUE"""),"신형만")</f>
        <v>신형만</v>
      </c>
      <c r="L1269" s="26" t="str">
        <f>IFERROR(__xludf.DUMMYFUNCTION("""COMPUTED_VALUE"""),"참치")</f>
        <v>참치</v>
      </c>
      <c r="M1269" s="26" t="str">
        <f>IFERROR(__xludf.DUMMYFUNCTION("""COMPUTED_VALUE"""),"원")</f>
        <v>원</v>
      </c>
      <c r="N1269" s="26" t="str">
        <f>IFERROR(__xludf.DUMMYFUNCTION("ARRAYFORMULA(REGEXEXTRACT(SPLIT(E1269, ""&lt;br&gt;""), ""([가-힣A-Za-z]+)""))"),"민우")</f>
        <v>민우</v>
      </c>
      <c r="O1269" s="26" t="str">
        <f>IFERROR(__xludf.DUMMYFUNCTION("""COMPUTED_VALUE"""),"ACDC")</f>
        <v>ACDC</v>
      </c>
      <c r="P1269" s="26" t="str">
        <f>IFERROR(__xludf.DUMMYFUNCTION("""COMPUTED_VALUE"""),"짱구")</f>
        <v>짱구</v>
      </c>
      <c r="Q1269" s="26" t="str">
        <f>IFERROR(__xludf.DUMMYFUNCTION("""COMPUTED_VALUE"""),"노인")</f>
        <v>노인</v>
      </c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</row>
    <row r="1270">
      <c r="A1270" s="27" t="s">
        <v>5334</v>
      </c>
      <c r="B1270" s="28" t="s">
        <v>5335</v>
      </c>
      <c r="C1270" s="27" t="s">
        <v>5336</v>
      </c>
      <c r="D1270" s="27">
        <v>5.0</v>
      </c>
      <c r="E1270" s="27" t="s">
        <v>5337</v>
      </c>
      <c r="F1270" s="27">
        <v>3.0</v>
      </c>
      <c r="G1270" s="29">
        <v>45624.990277777775</v>
      </c>
      <c r="H1270" s="27" t="s">
        <v>4737</v>
      </c>
      <c r="I1270" s="18"/>
      <c r="J1270" s="25" t="str">
        <f>IFERROR(__xludf.DUMMYFUNCTION("ARRAYFORMULA(REGEXEXTRACT(SPLIT(C1270, ""&lt;br&gt;""), ""([가-힣A-Za-z]+)""))"),"짱구")</f>
        <v>짱구</v>
      </c>
      <c r="K1270" s="26" t="str">
        <f>IFERROR(__xludf.DUMMYFUNCTION("""COMPUTED_VALUE"""),"노인")</f>
        <v>노인</v>
      </c>
      <c r="L1270" s="26" t="str">
        <f>IFERROR(__xludf.DUMMYFUNCTION("""COMPUTED_VALUE"""),"원")</f>
        <v>원</v>
      </c>
      <c r="M1270" s="26" t="str">
        <f>IFERROR(__xludf.DUMMYFUNCTION("""COMPUTED_VALUE"""),"깡패")</f>
        <v>깡패</v>
      </c>
      <c r="N1270" s="26" t="str">
        <f>IFERROR(__xludf.DUMMYFUNCTION("ARRAYFORMULA(REGEXEXTRACT(SPLIT(E1270, ""&lt;br&gt;""), ""([가-힣A-Za-z]+)""))"),"ACDC")</f>
        <v>ACDC</v>
      </c>
      <c r="O1270" s="26" t="str">
        <f>IFERROR(__xludf.DUMMYFUNCTION("""COMPUTED_VALUE"""),"참치")</f>
        <v>참치</v>
      </c>
      <c r="P1270" s="26" t="str">
        <f>IFERROR(__xludf.DUMMYFUNCTION("""COMPUTED_VALUE"""),"민우")</f>
        <v>민우</v>
      </c>
      <c r="Q1270" s="26" t="str">
        <f>IFERROR(__xludf.DUMMYFUNCTION("""COMPUTED_VALUE"""),"신형만")</f>
        <v>신형만</v>
      </c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</row>
    <row r="1271">
      <c r="A1271" s="27" t="s">
        <v>5338</v>
      </c>
      <c r="B1271" s="28" t="s">
        <v>5339</v>
      </c>
      <c r="C1271" s="27" t="s">
        <v>5340</v>
      </c>
      <c r="D1271" s="27">
        <v>5.0</v>
      </c>
      <c r="E1271" s="27" t="s">
        <v>5341</v>
      </c>
      <c r="F1271" s="27">
        <v>0.0</v>
      </c>
      <c r="G1271" s="29">
        <v>45624.96319444444</v>
      </c>
      <c r="H1271" s="27" t="s">
        <v>4737</v>
      </c>
      <c r="I1271" s="18"/>
      <c r="J1271" s="25" t="str">
        <f>IFERROR(__xludf.DUMMYFUNCTION("ARRAYFORMULA(REGEXEXTRACT(SPLIT(C1271, ""&lt;br&gt;""), ""([가-힣A-Za-z]+)""))"),"깡패")</f>
        <v>깡패</v>
      </c>
      <c r="K1271" s="26" t="str">
        <f>IFERROR(__xludf.DUMMYFUNCTION("""COMPUTED_VALUE"""),"테리")</f>
        <v>테리</v>
      </c>
      <c r="L1271" s="26" t="str">
        <f>IFERROR(__xludf.DUMMYFUNCTION("""COMPUTED_VALUE"""),"참치")</f>
        <v>참치</v>
      </c>
      <c r="M1271" s="26" t="str">
        <f>IFERROR(__xludf.DUMMYFUNCTION("""COMPUTED_VALUE"""),"원")</f>
        <v>원</v>
      </c>
      <c r="N1271" s="26" t="str">
        <f>IFERROR(__xludf.DUMMYFUNCTION("ARRAYFORMULA(REGEXEXTRACT(SPLIT(E1271, ""&lt;br&gt;""), ""([가-힣A-Za-z]+)""))"),"신형만")</f>
        <v>신형만</v>
      </c>
      <c r="O1271" s="26" t="str">
        <f>IFERROR(__xludf.DUMMYFUNCTION("""COMPUTED_VALUE"""),"짱구")</f>
        <v>짱구</v>
      </c>
      <c r="P1271" s="26" t="str">
        <f>IFERROR(__xludf.DUMMYFUNCTION("""COMPUTED_VALUE"""),"ACDC")</f>
        <v>ACDC</v>
      </c>
      <c r="Q1271" s="26" t="str">
        <f>IFERROR(__xludf.DUMMYFUNCTION("""COMPUTED_VALUE"""),"한메")</f>
        <v>한메</v>
      </c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</row>
    <row r="1272">
      <c r="A1272" s="27" t="s">
        <v>5342</v>
      </c>
      <c r="B1272" s="28" t="s">
        <v>5343</v>
      </c>
      <c r="C1272" s="27" t="s">
        <v>5344</v>
      </c>
      <c r="D1272" s="27">
        <v>5.0</v>
      </c>
      <c r="E1272" s="27" t="s">
        <v>5345</v>
      </c>
      <c r="F1272" s="27">
        <v>1.0</v>
      </c>
      <c r="G1272" s="29">
        <v>45624.959027777775</v>
      </c>
      <c r="H1272" s="27" t="s">
        <v>4737</v>
      </c>
      <c r="I1272" s="18"/>
      <c r="J1272" s="25" t="str">
        <f>IFERROR(__xludf.DUMMYFUNCTION("ARRAYFORMULA(REGEXEXTRACT(SPLIT(C1272, ""&lt;br&gt;""), ""([가-힣A-Za-z]+)""))"),"테리")</f>
        <v>테리</v>
      </c>
      <c r="K1272" s="26" t="str">
        <f>IFERROR(__xludf.DUMMYFUNCTION("""COMPUTED_VALUE"""),"신형만")</f>
        <v>신형만</v>
      </c>
      <c r="L1272" s="26" t="str">
        <f>IFERROR(__xludf.DUMMYFUNCTION("""COMPUTED_VALUE"""),"참치")</f>
        <v>참치</v>
      </c>
      <c r="M1272" s="26" t="str">
        <f>IFERROR(__xludf.DUMMYFUNCTION("""COMPUTED_VALUE"""),"원")</f>
        <v>원</v>
      </c>
      <c r="N1272" s="26" t="str">
        <f>IFERROR(__xludf.DUMMYFUNCTION("ARRAYFORMULA(REGEXEXTRACT(SPLIT(E1272, ""&lt;br&gt;""), ""([가-힣A-Za-z]+)""))"),"짱구")</f>
        <v>짱구</v>
      </c>
      <c r="O1272" s="26" t="str">
        <f>IFERROR(__xludf.DUMMYFUNCTION("""COMPUTED_VALUE"""),"깡패")</f>
        <v>깡패</v>
      </c>
      <c r="P1272" s="26" t="str">
        <f>IFERROR(__xludf.DUMMYFUNCTION("""COMPUTED_VALUE"""),"ACDC")</f>
        <v>ACDC</v>
      </c>
      <c r="Q1272" s="26" t="str">
        <f>IFERROR(__xludf.DUMMYFUNCTION("""COMPUTED_VALUE"""),"한메")</f>
        <v>한메</v>
      </c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</row>
    <row r="1273">
      <c r="A1273" s="27" t="s">
        <v>5346</v>
      </c>
      <c r="B1273" s="28" t="s">
        <v>5347</v>
      </c>
      <c r="C1273" s="27" t="s">
        <v>5348</v>
      </c>
      <c r="D1273" s="27">
        <v>5.0</v>
      </c>
      <c r="E1273" s="27" t="s">
        <v>5349</v>
      </c>
      <c r="F1273" s="27">
        <v>1.0</v>
      </c>
      <c r="G1273" s="29">
        <v>45624.947916666664</v>
      </c>
      <c r="H1273" s="27" t="s">
        <v>4737</v>
      </c>
      <c r="I1273" s="18"/>
      <c r="J1273" s="25" t="str">
        <f>IFERROR(__xludf.DUMMYFUNCTION("ARRAYFORMULA(REGEXEXTRACT(SPLIT(C1273, ""&lt;br&gt;""), ""([가-힣A-Za-z]+)""))"),"테리")</f>
        <v>테리</v>
      </c>
      <c r="K1273" s="26" t="str">
        <f>IFERROR(__xludf.DUMMYFUNCTION("""COMPUTED_VALUE"""),"깡패")</f>
        <v>깡패</v>
      </c>
      <c r="L1273" s="26" t="str">
        <f>IFERROR(__xludf.DUMMYFUNCTION("""COMPUTED_VALUE"""),"신형만")</f>
        <v>신형만</v>
      </c>
      <c r="M1273" s="26" t="str">
        <f>IFERROR(__xludf.DUMMYFUNCTION("""COMPUTED_VALUE"""),"한메")</f>
        <v>한메</v>
      </c>
      <c r="N1273" s="26" t="str">
        <f>IFERROR(__xludf.DUMMYFUNCTION("ARRAYFORMULA(REGEXEXTRACT(SPLIT(E1273, ""&lt;br&gt;""), ""([가-힣A-Za-z]+)""))"),"ACDC")</f>
        <v>ACDC</v>
      </c>
      <c r="O1273" s="26" t="str">
        <f>IFERROR(__xludf.DUMMYFUNCTION("""COMPUTED_VALUE"""),"원")</f>
        <v>원</v>
      </c>
      <c r="P1273" s="26" t="str">
        <f>IFERROR(__xludf.DUMMYFUNCTION("""COMPUTED_VALUE"""),"짱구")</f>
        <v>짱구</v>
      </c>
      <c r="Q1273" s="26" t="str">
        <f>IFERROR(__xludf.DUMMYFUNCTION("""COMPUTED_VALUE"""),"참치")</f>
        <v>참치</v>
      </c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</row>
    <row r="1274">
      <c r="A1274" s="27" t="s">
        <v>5350</v>
      </c>
      <c r="B1274" s="28" t="s">
        <v>5351</v>
      </c>
      <c r="C1274" s="27" t="s">
        <v>5352</v>
      </c>
      <c r="D1274" s="27">
        <v>5.0</v>
      </c>
      <c r="E1274" s="27" t="s">
        <v>5353</v>
      </c>
      <c r="F1274" s="27">
        <v>1.0</v>
      </c>
      <c r="G1274" s="29">
        <v>45624.902083333334</v>
      </c>
      <c r="H1274" s="27" t="s">
        <v>4737</v>
      </c>
      <c r="I1274" s="18"/>
      <c r="J1274" s="25" t="str">
        <f>IFERROR(__xludf.DUMMYFUNCTION("ARRAYFORMULA(REGEXEXTRACT(SPLIT(C1274, ""&lt;br&gt;""), ""([가-힣A-Za-z]+)""))"),"짱구")</f>
        <v>짱구</v>
      </c>
      <c r="K1274" s="26" t="str">
        <f>IFERROR(__xludf.DUMMYFUNCTION("""COMPUTED_VALUE"""),"깡패")</f>
        <v>깡패</v>
      </c>
      <c r="L1274" s="26" t="str">
        <f>IFERROR(__xludf.DUMMYFUNCTION("""COMPUTED_VALUE"""),"테리")</f>
        <v>테리</v>
      </c>
      <c r="M1274" s="26" t="str">
        <f>IFERROR(__xludf.DUMMYFUNCTION("""COMPUTED_VALUE"""),"원")</f>
        <v>원</v>
      </c>
      <c r="N1274" s="26" t="str">
        <f>IFERROR(__xludf.DUMMYFUNCTION("ARRAYFORMULA(REGEXEXTRACT(SPLIT(E1274, ""&lt;br&gt;""), ""([가-힣A-Za-z]+)""))"),"한메")</f>
        <v>한메</v>
      </c>
      <c r="O1274" s="26" t="str">
        <f>IFERROR(__xludf.DUMMYFUNCTION("""COMPUTED_VALUE"""),"ACDC")</f>
        <v>ACDC</v>
      </c>
      <c r="P1274" s="26" t="str">
        <f>IFERROR(__xludf.DUMMYFUNCTION("""COMPUTED_VALUE"""),"키키")</f>
        <v>키키</v>
      </c>
      <c r="Q1274" s="26" t="str">
        <f>IFERROR(__xludf.DUMMYFUNCTION("""COMPUTED_VALUE"""),"노인")</f>
        <v>노인</v>
      </c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</row>
    <row r="1275">
      <c r="A1275" s="27" t="s">
        <v>5354</v>
      </c>
      <c r="B1275" s="28" t="s">
        <v>5355</v>
      </c>
      <c r="C1275" s="27" t="s">
        <v>5356</v>
      </c>
      <c r="D1275" s="27">
        <v>5.0</v>
      </c>
      <c r="E1275" s="27" t="s">
        <v>5357</v>
      </c>
      <c r="F1275" s="27">
        <v>3.0</v>
      </c>
      <c r="G1275" s="29">
        <v>45624.885416666664</v>
      </c>
      <c r="H1275" s="27" t="s">
        <v>4737</v>
      </c>
      <c r="I1275" s="18"/>
      <c r="J1275" s="25" t="str">
        <f>IFERROR(__xludf.DUMMYFUNCTION("ARRAYFORMULA(REGEXEXTRACT(SPLIT(C1275, ""&lt;br&gt;""), ""([가-힣A-Za-z]+)""))"),"키키")</f>
        <v>키키</v>
      </c>
      <c r="K1275" s="26" t="str">
        <f>IFERROR(__xludf.DUMMYFUNCTION("""COMPUTED_VALUE"""),"짱구")</f>
        <v>짱구</v>
      </c>
      <c r="L1275" s="26" t="str">
        <f>IFERROR(__xludf.DUMMYFUNCTION("""COMPUTED_VALUE"""),"신형만")</f>
        <v>신형만</v>
      </c>
      <c r="M1275" s="26" t="str">
        <f>IFERROR(__xludf.DUMMYFUNCTION("""COMPUTED_VALUE"""),"깡패")</f>
        <v>깡패</v>
      </c>
      <c r="N1275" s="26" t="str">
        <f>IFERROR(__xludf.DUMMYFUNCTION("ARRAYFORMULA(REGEXEXTRACT(SPLIT(E1275, ""&lt;br&gt;""), ""([가-힣A-Za-z]+)""))"),"테리")</f>
        <v>테리</v>
      </c>
      <c r="O1275" s="26" t="str">
        <f>IFERROR(__xludf.DUMMYFUNCTION("""COMPUTED_VALUE"""),"노인")</f>
        <v>노인</v>
      </c>
      <c r="P1275" s="26" t="str">
        <f>IFERROR(__xludf.DUMMYFUNCTION("""COMPUTED_VALUE"""),"원")</f>
        <v>원</v>
      </c>
      <c r="Q1275" s="26" t="str">
        <f>IFERROR(__xludf.DUMMYFUNCTION("""COMPUTED_VALUE"""),"ACDC")</f>
        <v>ACDC</v>
      </c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</row>
    <row r="1276">
      <c r="A1276" s="27" t="s">
        <v>5358</v>
      </c>
      <c r="B1276" s="28" t="s">
        <v>5359</v>
      </c>
      <c r="C1276" s="27" t="s">
        <v>5360</v>
      </c>
      <c r="D1276" s="27">
        <v>5.0</v>
      </c>
      <c r="E1276" s="27" t="s">
        <v>5361</v>
      </c>
      <c r="F1276" s="27">
        <v>0.0</v>
      </c>
      <c r="G1276" s="29">
        <v>45624.86319444444</v>
      </c>
      <c r="H1276" s="27" t="s">
        <v>4737</v>
      </c>
      <c r="I1276" s="18"/>
      <c r="J1276" s="25" t="str">
        <f>IFERROR(__xludf.DUMMYFUNCTION("ARRAYFORMULA(REGEXEXTRACT(SPLIT(C1276, ""&lt;br&gt;""), ""([가-힣A-Za-z]+)""))"),"키키")</f>
        <v>키키</v>
      </c>
      <c r="K1276" s="26" t="str">
        <f>IFERROR(__xludf.DUMMYFUNCTION("""COMPUTED_VALUE"""),"테리")</f>
        <v>테리</v>
      </c>
      <c r="L1276" s="26" t="str">
        <f>IFERROR(__xludf.DUMMYFUNCTION("""COMPUTED_VALUE"""),"짱구")</f>
        <v>짱구</v>
      </c>
      <c r="M1276" s="26" t="str">
        <f>IFERROR(__xludf.DUMMYFUNCTION("""COMPUTED_VALUE"""),"원")</f>
        <v>원</v>
      </c>
      <c r="N1276" s="26" t="str">
        <f>IFERROR(__xludf.DUMMYFUNCTION("ARRAYFORMULA(REGEXEXTRACT(SPLIT(E1276, ""&lt;br&gt;""), ""([가-힣A-Za-z]+)""))"),"신형만")</f>
        <v>신형만</v>
      </c>
      <c r="O1276" s="26" t="str">
        <f>IFERROR(__xludf.DUMMYFUNCTION("""COMPUTED_VALUE"""),"깡패")</f>
        <v>깡패</v>
      </c>
      <c r="P1276" s="26" t="str">
        <f>IFERROR(__xludf.DUMMYFUNCTION("""COMPUTED_VALUE"""),"ACDC")</f>
        <v>ACDC</v>
      </c>
      <c r="Q1276" s="26" t="str">
        <f>IFERROR(__xludf.DUMMYFUNCTION("""COMPUTED_VALUE"""),"노인")</f>
        <v>노인</v>
      </c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</row>
    <row r="1277">
      <c r="A1277" s="27" t="s">
        <v>5362</v>
      </c>
      <c r="B1277" s="28" t="s">
        <v>5363</v>
      </c>
      <c r="C1277" s="27" t="s">
        <v>5364</v>
      </c>
      <c r="D1277" s="27">
        <v>5.0</v>
      </c>
      <c r="E1277" s="27" t="s">
        <v>5365</v>
      </c>
      <c r="F1277" s="27">
        <v>4.0</v>
      </c>
      <c r="G1277" s="29">
        <v>45624.72361111111</v>
      </c>
      <c r="H1277" s="27" t="s">
        <v>4737</v>
      </c>
      <c r="I1277" s="18"/>
      <c r="J1277" s="25" t="str">
        <f>IFERROR(__xludf.DUMMYFUNCTION("ARRAYFORMULA(REGEXEXTRACT(SPLIT(C1277, ""&lt;br&gt;""), ""([가-힣A-Za-z]+)""))"),"깡패")</f>
        <v>깡패</v>
      </c>
      <c r="K1277" s="26" t="str">
        <f>IFERROR(__xludf.DUMMYFUNCTION("""COMPUTED_VALUE"""),"필찌")</f>
        <v>필찌</v>
      </c>
      <c r="L1277" s="26" t="str">
        <f>IFERROR(__xludf.DUMMYFUNCTION("""COMPUTED_VALUE"""),"신형만")</f>
        <v>신형만</v>
      </c>
      <c r="M1277" s="26" t="str">
        <f>IFERROR(__xludf.DUMMYFUNCTION("""COMPUTED_VALUE"""),"오딘")</f>
        <v>오딘</v>
      </c>
      <c r="N1277" s="26" t="str">
        <f>IFERROR(__xludf.DUMMYFUNCTION("ARRAYFORMULA(REGEXEXTRACT(SPLIT(E1277, ""&lt;br&gt;""), ""([가-힣A-Za-z]+)""))"),"테리")</f>
        <v>테리</v>
      </c>
      <c r="O1277" s="26" t="str">
        <f>IFERROR(__xludf.DUMMYFUNCTION("""COMPUTED_VALUE"""),"ACDC")</f>
        <v>ACDC</v>
      </c>
      <c r="P1277" s="26" t="str">
        <f>IFERROR(__xludf.DUMMYFUNCTION("""COMPUTED_VALUE"""),"노인")</f>
        <v>노인</v>
      </c>
      <c r="Q1277" s="26" t="str">
        <f>IFERROR(__xludf.DUMMYFUNCTION("""COMPUTED_VALUE"""),"단수")</f>
        <v>단수</v>
      </c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</row>
    <row r="1278">
      <c r="A1278" s="27" t="s">
        <v>5366</v>
      </c>
      <c r="B1278" s="28" t="s">
        <v>5367</v>
      </c>
      <c r="C1278" s="27" t="s">
        <v>5368</v>
      </c>
      <c r="D1278" s="27">
        <v>5.0</v>
      </c>
      <c r="E1278" s="27" t="s">
        <v>5369</v>
      </c>
      <c r="F1278" s="27">
        <v>4.0</v>
      </c>
      <c r="G1278" s="29">
        <v>45624.68263888889</v>
      </c>
      <c r="H1278" s="27" t="s">
        <v>4737</v>
      </c>
      <c r="I1278" s="18"/>
      <c r="J1278" s="25" t="str">
        <f>IFERROR(__xludf.DUMMYFUNCTION("ARRAYFORMULA(REGEXEXTRACT(SPLIT(C1278, ""&lt;br&gt;""), ""([가-힣A-Za-z]+)""))"),"오딘")</f>
        <v>오딘</v>
      </c>
      <c r="K1278" s="26" t="str">
        <f>IFERROR(__xludf.DUMMYFUNCTION("""COMPUTED_VALUE"""),"신형만")</f>
        <v>신형만</v>
      </c>
      <c r="L1278" s="26" t="str">
        <f>IFERROR(__xludf.DUMMYFUNCTION("""COMPUTED_VALUE"""),"테리")</f>
        <v>테리</v>
      </c>
      <c r="M1278" s="26" t="str">
        <f>IFERROR(__xludf.DUMMYFUNCTION("""COMPUTED_VALUE"""),"노인")</f>
        <v>노인</v>
      </c>
      <c r="N1278" s="26" t="str">
        <f>IFERROR(__xludf.DUMMYFUNCTION("ARRAYFORMULA(REGEXEXTRACT(SPLIT(E1278, ""&lt;br&gt;""), ""([가-힣A-Za-z]+)""))"),"필찌")</f>
        <v>필찌</v>
      </c>
      <c r="O1278" s="26" t="str">
        <f>IFERROR(__xludf.DUMMYFUNCTION("""COMPUTED_VALUE"""),"ACDC")</f>
        <v>ACDC</v>
      </c>
      <c r="P1278" s="26" t="str">
        <f>IFERROR(__xludf.DUMMYFUNCTION("""COMPUTED_VALUE"""),"단수")</f>
        <v>단수</v>
      </c>
      <c r="Q1278" s="26" t="str">
        <f>IFERROR(__xludf.DUMMYFUNCTION("""COMPUTED_VALUE"""),"깡패")</f>
        <v>깡패</v>
      </c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</row>
    <row r="1279">
      <c r="A1279" s="27" t="s">
        <v>5370</v>
      </c>
      <c r="B1279" s="28" t="s">
        <v>5371</v>
      </c>
      <c r="C1279" s="27" t="s">
        <v>5372</v>
      </c>
      <c r="D1279" s="27">
        <v>5.0</v>
      </c>
      <c r="E1279" s="27" t="s">
        <v>5373</v>
      </c>
      <c r="F1279" s="27">
        <v>2.0</v>
      </c>
      <c r="G1279" s="29">
        <v>45624.02361111111</v>
      </c>
      <c r="H1279" s="27" t="s">
        <v>4737</v>
      </c>
      <c r="I1279" s="18"/>
      <c r="J1279" s="25" t="str">
        <f>IFERROR(__xludf.DUMMYFUNCTION("ARRAYFORMULA(REGEXEXTRACT(SPLIT(C1279, ""&lt;br&gt;""), ""([가-힣A-Za-z]+)""))"),"강화")</f>
        <v>강화</v>
      </c>
      <c r="K1279" s="26" t="str">
        <f>IFERROR(__xludf.DUMMYFUNCTION("""COMPUTED_VALUE"""),"원")</f>
        <v>원</v>
      </c>
      <c r="L1279" s="26" t="str">
        <f>IFERROR(__xludf.DUMMYFUNCTION("""COMPUTED_VALUE"""),"깡패")</f>
        <v>깡패</v>
      </c>
      <c r="M1279" s="26" t="str">
        <f>IFERROR(__xludf.DUMMYFUNCTION("""COMPUTED_VALUE"""),"신형만")</f>
        <v>신형만</v>
      </c>
      <c r="N1279" s="26" t="str">
        <f>IFERROR(__xludf.DUMMYFUNCTION("ARRAYFORMULA(REGEXEXTRACT(SPLIT(E1279, ""&lt;br&gt;""), ""([가-힣A-Za-z]+)""))"),"참치")</f>
        <v>참치</v>
      </c>
      <c r="O1279" s="26" t="str">
        <f>IFERROR(__xludf.DUMMYFUNCTION("""COMPUTED_VALUE"""),"짱구")</f>
        <v>짱구</v>
      </c>
      <c r="P1279" s="26" t="str">
        <f>IFERROR(__xludf.DUMMYFUNCTION("""COMPUTED_VALUE"""),"ACDC")</f>
        <v>ACDC</v>
      </c>
      <c r="Q1279" s="26" t="str">
        <f>IFERROR(__xludf.DUMMYFUNCTION("""COMPUTED_VALUE"""),"한메")</f>
        <v>한메</v>
      </c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</row>
    <row r="1280">
      <c r="A1280" s="27" t="s">
        <v>5374</v>
      </c>
      <c r="B1280" s="28" t="s">
        <v>5375</v>
      </c>
      <c r="C1280" s="27" t="s">
        <v>5376</v>
      </c>
      <c r="D1280" s="27">
        <v>5.0</v>
      </c>
      <c r="E1280" s="27" t="s">
        <v>5377</v>
      </c>
      <c r="F1280" s="27">
        <v>2.0</v>
      </c>
      <c r="G1280" s="29">
        <v>45624.00347222222</v>
      </c>
      <c r="H1280" s="27" t="s">
        <v>4737</v>
      </c>
      <c r="I1280" s="18"/>
      <c r="J1280" s="25" t="str">
        <f>IFERROR(__xludf.DUMMYFUNCTION("ARRAYFORMULA(REGEXEXTRACT(SPLIT(C1280, ""&lt;br&gt;""), ""([가-힣A-Za-z]+)""))"),"ACDC")</f>
        <v>ACDC</v>
      </c>
      <c r="K1280" s="26" t="str">
        <f>IFERROR(__xludf.DUMMYFUNCTION("""COMPUTED_VALUE"""),"강화")</f>
        <v>강화</v>
      </c>
      <c r="L1280" s="26" t="str">
        <f>IFERROR(__xludf.DUMMYFUNCTION("""COMPUTED_VALUE"""),"참치")</f>
        <v>참치</v>
      </c>
      <c r="M1280" s="26" t="str">
        <f>IFERROR(__xludf.DUMMYFUNCTION("""COMPUTED_VALUE"""),"원")</f>
        <v>원</v>
      </c>
      <c r="N1280" s="26" t="str">
        <f>IFERROR(__xludf.DUMMYFUNCTION("ARRAYFORMULA(REGEXEXTRACT(SPLIT(E1280, ""&lt;br&gt;""), ""([가-힣A-Za-z]+)""))"),"신형만")</f>
        <v>신형만</v>
      </c>
      <c r="O1280" s="26" t="str">
        <f>IFERROR(__xludf.DUMMYFUNCTION("""COMPUTED_VALUE"""),"짱구")</f>
        <v>짱구</v>
      </c>
      <c r="P1280" s="26" t="str">
        <f>IFERROR(__xludf.DUMMYFUNCTION("""COMPUTED_VALUE"""),"깡패")</f>
        <v>깡패</v>
      </c>
      <c r="Q1280" s="26" t="str">
        <f>IFERROR(__xludf.DUMMYFUNCTION("""COMPUTED_VALUE"""),"한메")</f>
        <v>한메</v>
      </c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</row>
    <row r="1281">
      <c r="A1281" s="27" t="s">
        <v>5378</v>
      </c>
      <c r="B1281" s="28" t="s">
        <v>5379</v>
      </c>
      <c r="C1281" s="27" t="s">
        <v>5380</v>
      </c>
      <c r="D1281" s="27">
        <v>5.0</v>
      </c>
      <c r="E1281" s="27" t="s">
        <v>5381</v>
      </c>
      <c r="F1281" s="27">
        <v>1.0</v>
      </c>
      <c r="G1281" s="29">
        <v>45623.97777777778</v>
      </c>
      <c r="H1281" s="27" t="s">
        <v>4737</v>
      </c>
      <c r="I1281" s="18"/>
      <c r="J1281" s="25" t="str">
        <f>IFERROR(__xludf.DUMMYFUNCTION("ARRAYFORMULA(REGEXEXTRACT(SPLIT(C1281, ""&lt;br&gt;""), ""([가-힣A-Za-z]+)""))"),"한메")</f>
        <v>한메</v>
      </c>
      <c r="K1281" s="26" t="str">
        <f>IFERROR(__xludf.DUMMYFUNCTION("""COMPUTED_VALUE"""),"짱구")</f>
        <v>짱구</v>
      </c>
      <c r="L1281" s="26" t="str">
        <f>IFERROR(__xludf.DUMMYFUNCTION("""COMPUTED_VALUE"""),"강화")</f>
        <v>강화</v>
      </c>
      <c r="M1281" s="26" t="str">
        <f>IFERROR(__xludf.DUMMYFUNCTION("""COMPUTED_VALUE"""),"원")</f>
        <v>원</v>
      </c>
      <c r="N1281" s="26" t="str">
        <f>IFERROR(__xludf.DUMMYFUNCTION("ARRAYFORMULA(REGEXEXTRACT(SPLIT(E1281, ""&lt;br&gt;""), ""([가-힣A-Za-z]+)""))"),"참치")</f>
        <v>참치</v>
      </c>
      <c r="O1281" s="26" t="str">
        <f>IFERROR(__xludf.DUMMYFUNCTION("""COMPUTED_VALUE"""),"깡패")</f>
        <v>깡패</v>
      </c>
      <c r="P1281" s="26" t="str">
        <f>IFERROR(__xludf.DUMMYFUNCTION("""COMPUTED_VALUE"""),"ACDC")</f>
        <v>ACDC</v>
      </c>
      <c r="Q1281" s="26" t="str">
        <f>IFERROR(__xludf.DUMMYFUNCTION("""COMPUTED_VALUE"""),"신형만")</f>
        <v>신형만</v>
      </c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</row>
    <row r="1282">
      <c r="A1282" s="27" t="s">
        <v>5382</v>
      </c>
      <c r="B1282" s="28" t="s">
        <v>5383</v>
      </c>
      <c r="C1282" s="27" t="s">
        <v>5384</v>
      </c>
      <c r="D1282" s="27">
        <v>5.0</v>
      </c>
      <c r="E1282" s="27" t="s">
        <v>5385</v>
      </c>
      <c r="F1282" s="27">
        <v>4.0</v>
      </c>
      <c r="G1282" s="29">
        <v>45623.95486111111</v>
      </c>
      <c r="H1282" s="27" t="s">
        <v>4737</v>
      </c>
      <c r="I1282" s="18"/>
      <c r="J1282" s="25" t="str">
        <f>IFERROR(__xludf.DUMMYFUNCTION("ARRAYFORMULA(REGEXEXTRACT(SPLIT(C1282, ""&lt;br&gt;""), ""([가-힣A-Za-z]+)""))"),"테리")</f>
        <v>테리</v>
      </c>
      <c r="K1282" s="26" t="str">
        <f>IFERROR(__xludf.DUMMYFUNCTION("""COMPUTED_VALUE"""),"필찌")</f>
        <v>필찌</v>
      </c>
      <c r="L1282" s="26" t="str">
        <f>IFERROR(__xludf.DUMMYFUNCTION("""COMPUTED_VALUE"""),"ACDC")</f>
        <v>ACDC</v>
      </c>
      <c r="M1282" s="26" t="str">
        <f>IFERROR(__xludf.DUMMYFUNCTION("""COMPUTED_VALUE"""),"한메")</f>
        <v>한메</v>
      </c>
      <c r="N1282" s="26" t="str">
        <f>IFERROR(__xludf.DUMMYFUNCTION("ARRAYFORMULA(REGEXEXTRACT(SPLIT(E1282, ""&lt;br&gt;""), ""([가-힣A-Za-z]+)""))"),"짱구")</f>
        <v>짱구</v>
      </c>
      <c r="O1282" s="26" t="str">
        <f>IFERROR(__xludf.DUMMYFUNCTION("""COMPUTED_VALUE"""),"신형만")</f>
        <v>신형만</v>
      </c>
      <c r="P1282" s="26" t="str">
        <f>IFERROR(__xludf.DUMMYFUNCTION("""COMPUTED_VALUE"""),"키키")</f>
        <v>키키</v>
      </c>
      <c r="Q1282" s="26" t="str">
        <f>IFERROR(__xludf.DUMMYFUNCTION("""COMPUTED_VALUE"""),"깡패")</f>
        <v>깡패</v>
      </c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</row>
    <row r="1283">
      <c r="A1283" s="27" t="s">
        <v>5386</v>
      </c>
      <c r="B1283" s="28" t="s">
        <v>5387</v>
      </c>
      <c r="C1283" s="27" t="s">
        <v>5388</v>
      </c>
      <c r="D1283" s="27">
        <v>5.0</v>
      </c>
      <c r="E1283" s="27" t="s">
        <v>5389</v>
      </c>
      <c r="F1283" s="27">
        <v>2.0</v>
      </c>
      <c r="G1283" s="29">
        <v>45623.919444444444</v>
      </c>
      <c r="H1283" s="27" t="s">
        <v>4737</v>
      </c>
      <c r="I1283" s="18"/>
      <c r="J1283" s="25" t="str">
        <f>IFERROR(__xludf.DUMMYFUNCTION("ARRAYFORMULA(REGEXEXTRACT(SPLIT(C1283, ""&lt;br&gt;""), ""([가-힣A-Za-z]+)""))"),"키키")</f>
        <v>키키</v>
      </c>
      <c r="K1283" s="26" t="str">
        <f>IFERROR(__xludf.DUMMYFUNCTION("""COMPUTED_VALUE"""),"신형만")</f>
        <v>신형만</v>
      </c>
      <c r="L1283" s="26" t="str">
        <f>IFERROR(__xludf.DUMMYFUNCTION("""COMPUTED_VALUE"""),"테리")</f>
        <v>테리</v>
      </c>
      <c r="M1283" s="26" t="str">
        <f>IFERROR(__xludf.DUMMYFUNCTION("""COMPUTED_VALUE"""),"한메")</f>
        <v>한메</v>
      </c>
      <c r="N1283" s="26" t="str">
        <f>IFERROR(__xludf.DUMMYFUNCTION("ARRAYFORMULA(REGEXEXTRACT(SPLIT(E1283, ""&lt;br&gt;""), ""([가-힣A-Za-z]+)""))"),"깡패")</f>
        <v>깡패</v>
      </c>
      <c r="O1283" s="26" t="str">
        <f>IFERROR(__xludf.DUMMYFUNCTION("""COMPUTED_VALUE"""),"필찌")</f>
        <v>필찌</v>
      </c>
      <c r="P1283" s="26" t="str">
        <f>IFERROR(__xludf.DUMMYFUNCTION("""COMPUTED_VALUE"""),"짱구")</f>
        <v>짱구</v>
      </c>
      <c r="Q1283" s="26" t="str">
        <f>IFERROR(__xludf.DUMMYFUNCTION("""COMPUTED_VALUE"""),"ACDC")</f>
        <v>ACDC</v>
      </c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</row>
    <row r="1284">
      <c r="A1284" s="27" t="s">
        <v>5390</v>
      </c>
      <c r="B1284" s="28" t="s">
        <v>5391</v>
      </c>
      <c r="C1284" s="27" t="s">
        <v>5392</v>
      </c>
      <c r="D1284" s="27">
        <v>5.0</v>
      </c>
      <c r="E1284" s="27" t="s">
        <v>5393</v>
      </c>
      <c r="F1284" s="27">
        <v>4.0</v>
      </c>
      <c r="G1284" s="29">
        <v>45623.885416666664</v>
      </c>
      <c r="H1284" s="27" t="s">
        <v>4737</v>
      </c>
      <c r="I1284" s="18"/>
      <c r="J1284" s="25" t="str">
        <f>IFERROR(__xludf.DUMMYFUNCTION("ARRAYFORMULA(REGEXEXTRACT(SPLIT(C1284, ""&lt;br&gt;""), ""([가-힣A-Za-z]+)""))"),"키키")</f>
        <v>키키</v>
      </c>
      <c r="K1284" s="26" t="str">
        <f>IFERROR(__xludf.DUMMYFUNCTION("""COMPUTED_VALUE"""),"재명")</f>
        <v>재명</v>
      </c>
      <c r="L1284" s="26" t="str">
        <f>IFERROR(__xludf.DUMMYFUNCTION("""COMPUTED_VALUE"""),"필찌")</f>
        <v>필찌</v>
      </c>
      <c r="M1284" s="26" t="str">
        <f>IFERROR(__xludf.DUMMYFUNCTION("""COMPUTED_VALUE"""),"신형만")</f>
        <v>신형만</v>
      </c>
      <c r="N1284" s="26" t="str">
        <f>IFERROR(__xludf.DUMMYFUNCTION("ARRAYFORMULA(REGEXEXTRACT(SPLIT(E1284, ""&lt;br&gt;""), ""([가-힣A-Za-z]+)""))"),"짱구")</f>
        <v>짱구</v>
      </c>
      <c r="O1284" s="26" t="str">
        <f>IFERROR(__xludf.DUMMYFUNCTION("""COMPUTED_VALUE"""),"테리")</f>
        <v>테리</v>
      </c>
      <c r="P1284" s="26" t="str">
        <f>IFERROR(__xludf.DUMMYFUNCTION("""COMPUTED_VALUE"""),"깡패")</f>
        <v>깡패</v>
      </c>
      <c r="Q1284" s="26" t="str">
        <f>IFERROR(__xludf.DUMMYFUNCTION("""COMPUTED_VALUE"""),"한메")</f>
        <v>한메</v>
      </c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</row>
    <row r="1285">
      <c r="A1285" s="27" t="s">
        <v>5394</v>
      </c>
      <c r="B1285" s="28" t="s">
        <v>5395</v>
      </c>
      <c r="C1285" s="27" t="s">
        <v>5396</v>
      </c>
      <c r="D1285" s="27">
        <v>5.0</v>
      </c>
      <c r="E1285" s="27" t="s">
        <v>5397</v>
      </c>
      <c r="F1285" s="27">
        <v>3.0</v>
      </c>
      <c r="G1285" s="29">
        <v>45623.10833333333</v>
      </c>
      <c r="H1285" s="27" t="s">
        <v>4737</v>
      </c>
      <c r="I1285" s="18"/>
      <c r="J1285" s="25" t="str">
        <f>IFERROR(__xludf.DUMMYFUNCTION("ARRAYFORMULA(REGEXEXTRACT(SPLIT(C1285, ""&lt;br&gt;""), ""([가-힣A-Za-z]+)""))"),"깡패")</f>
        <v>깡패</v>
      </c>
      <c r="K1285" s="26" t="str">
        <f>IFERROR(__xludf.DUMMYFUNCTION("""COMPUTED_VALUE"""),"테리")</f>
        <v>테리</v>
      </c>
      <c r="L1285" s="26" t="str">
        <f>IFERROR(__xludf.DUMMYFUNCTION("""COMPUTED_VALUE"""),"노인")</f>
        <v>노인</v>
      </c>
      <c r="M1285" s="26" t="str">
        <f>IFERROR(__xludf.DUMMYFUNCTION("""COMPUTED_VALUE"""),"조드")</f>
        <v>조드</v>
      </c>
      <c r="N1285" s="26" t="str">
        <f>IFERROR(__xludf.DUMMYFUNCTION("ARRAYFORMULA(REGEXEXTRACT(SPLIT(E1285, ""&lt;br&gt;""), ""([가-힣A-Za-z]+)""))"),"짱구")</f>
        <v>짱구</v>
      </c>
      <c r="O1285" s="26" t="str">
        <f>IFERROR(__xludf.DUMMYFUNCTION("""COMPUTED_VALUE"""),"참치")</f>
        <v>참치</v>
      </c>
      <c r="P1285" s="26" t="str">
        <f>IFERROR(__xludf.DUMMYFUNCTION("""COMPUTED_VALUE"""),"ACDC")</f>
        <v>ACDC</v>
      </c>
      <c r="Q1285" s="26" t="str">
        <f>IFERROR(__xludf.DUMMYFUNCTION("""COMPUTED_VALUE"""),"신형만")</f>
        <v>신형만</v>
      </c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</row>
    <row r="1286">
      <c r="A1286" s="27" t="s">
        <v>5398</v>
      </c>
      <c r="B1286" s="28" t="s">
        <v>5399</v>
      </c>
      <c r="C1286" s="27" t="s">
        <v>5400</v>
      </c>
      <c r="D1286" s="27">
        <v>5.0</v>
      </c>
      <c r="E1286" s="27" t="s">
        <v>5401</v>
      </c>
      <c r="F1286" s="27">
        <v>3.0</v>
      </c>
      <c r="G1286" s="29">
        <v>45623.0875</v>
      </c>
      <c r="H1286" s="27" t="s">
        <v>4737</v>
      </c>
      <c r="I1286" s="18"/>
      <c r="J1286" s="25" t="str">
        <f>IFERROR(__xludf.DUMMYFUNCTION("ARRAYFORMULA(REGEXEXTRACT(SPLIT(C1286, ""&lt;br&gt;""), ""([가-힣A-Za-z]+)""))"),"노인")</f>
        <v>노인</v>
      </c>
      <c r="K1286" s="26" t="str">
        <f>IFERROR(__xludf.DUMMYFUNCTION("""COMPUTED_VALUE"""),"깡패")</f>
        <v>깡패</v>
      </c>
      <c r="L1286" s="26" t="str">
        <f>IFERROR(__xludf.DUMMYFUNCTION("""COMPUTED_VALUE"""),"짱구")</f>
        <v>짱구</v>
      </c>
      <c r="M1286" s="26" t="str">
        <f>IFERROR(__xludf.DUMMYFUNCTION("""COMPUTED_VALUE"""),"참치")</f>
        <v>참치</v>
      </c>
      <c r="N1286" s="26" t="str">
        <f>IFERROR(__xludf.DUMMYFUNCTION("ARRAYFORMULA(REGEXEXTRACT(SPLIT(E1286, ""&lt;br&gt;""), ""([가-힣A-Za-z]+)""))"),"신형만")</f>
        <v>신형만</v>
      </c>
      <c r="O1286" s="26" t="str">
        <f>IFERROR(__xludf.DUMMYFUNCTION("""COMPUTED_VALUE"""),"ACDC")</f>
        <v>ACDC</v>
      </c>
      <c r="P1286" s="26" t="str">
        <f>IFERROR(__xludf.DUMMYFUNCTION("""COMPUTED_VALUE"""),"테리")</f>
        <v>테리</v>
      </c>
      <c r="Q1286" s="26" t="str">
        <f>IFERROR(__xludf.DUMMYFUNCTION("""COMPUTED_VALUE"""),"조드")</f>
        <v>조드</v>
      </c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</row>
    <row r="1287">
      <c r="A1287" s="27" t="s">
        <v>5402</v>
      </c>
      <c r="B1287" s="28" t="s">
        <v>5403</v>
      </c>
      <c r="C1287" s="27" t="s">
        <v>5404</v>
      </c>
      <c r="D1287" s="27">
        <v>5.0</v>
      </c>
      <c r="E1287" s="27" t="s">
        <v>5405</v>
      </c>
      <c r="F1287" s="27">
        <v>3.0</v>
      </c>
      <c r="G1287" s="29">
        <v>45623.04305555556</v>
      </c>
      <c r="H1287" s="27" t="s">
        <v>4737</v>
      </c>
      <c r="I1287" s="18"/>
      <c r="J1287" s="25" t="str">
        <f>IFERROR(__xludf.DUMMYFUNCTION("ARRAYFORMULA(REGEXEXTRACT(SPLIT(C1287, ""&lt;br&gt;""), ""([가-힣A-Za-z]+)""))"),"ACDC")</f>
        <v>ACDC</v>
      </c>
      <c r="K1287" s="26" t="str">
        <f>IFERROR(__xludf.DUMMYFUNCTION("""COMPUTED_VALUE"""),"짱구")</f>
        <v>짱구</v>
      </c>
      <c r="L1287" s="26" t="str">
        <f>IFERROR(__xludf.DUMMYFUNCTION("""COMPUTED_VALUE"""),"강화")</f>
        <v>강화</v>
      </c>
      <c r="M1287" s="26" t="str">
        <f>IFERROR(__xludf.DUMMYFUNCTION("""COMPUTED_VALUE"""),"한메")</f>
        <v>한메</v>
      </c>
      <c r="N1287" s="26" t="str">
        <f>IFERROR(__xludf.DUMMYFUNCTION("ARRAYFORMULA(REGEXEXTRACT(SPLIT(E1287, ""&lt;br&gt;""), ""([가-힣A-Za-z]+)""))"),"재우")</f>
        <v>재우</v>
      </c>
      <c r="O1287" s="26" t="str">
        <f>IFERROR(__xludf.DUMMYFUNCTION("""COMPUTED_VALUE"""),"테리")</f>
        <v>테리</v>
      </c>
      <c r="P1287" s="26" t="str">
        <f>IFERROR(__xludf.DUMMYFUNCTION("""COMPUTED_VALUE"""),"조드")</f>
        <v>조드</v>
      </c>
      <c r="Q1287" s="26" t="str">
        <f>IFERROR(__xludf.DUMMYFUNCTION("""COMPUTED_VALUE"""),"깡패")</f>
        <v>깡패</v>
      </c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</row>
    <row r="1288">
      <c r="A1288" s="27" t="s">
        <v>5406</v>
      </c>
      <c r="B1288" s="28" t="s">
        <v>5407</v>
      </c>
      <c r="C1288" s="27" t="s">
        <v>5408</v>
      </c>
      <c r="D1288" s="27">
        <v>5.0</v>
      </c>
      <c r="E1288" s="27" t="s">
        <v>5409</v>
      </c>
      <c r="F1288" s="27">
        <v>2.0</v>
      </c>
      <c r="G1288" s="29">
        <v>45623.020833333336</v>
      </c>
      <c r="H1288" s="27" t="s">
        <v>4737</v>
      </c>
      <c r="I1288" s="18"/>
      <c r="J1288" s="25" t="str">
        <f>IFERROR(__xludf.DUMMYFUNCTION("ARRAYFORMULA(REGEXEXTRACT(SPLIT(C1288, ""&lt;br&gt;""), ""([가-힣A-Za-z]+)""))"),"깡패")</f>
        <v>깡패</v>
      </c>
      <c r="K1288" s="26" t="str">
        <f>IFERROR(__xludf.DUMMYFUNCTION("""COMPUTED_VALUE"""),"테리")</f>
        <v>테리</v>
      </c>
      <c r="L1288" s="26" t="str">
        <f>IFERROR(__xludf.DUMMYFUNCTION("""COMPUTED_VALUE"""),"강화")</f>
        <v>강화</v>
      </c>
      <c r="M1288" s="26" t="str">
        <f>IFERROR(__xludf.DUMMYFUNCTION("""COMPUTED_VALUE"""),"한메")</f>
        <v>한메</v>
      </c>
      <c r="N1288" s="26" t="str">
        <f>IFERROR(__xludf.DUMMYFUNCTION("ARRAYFORMULA(REGEXEXTRACT(SPLIT(E1288, ""&lt;br&gt;""), ""([가-힣A-Za-z]+)""))"),"ACDC")</f>
        <v>ACDC</v>
      </c>
      <c r="O1288" s="26" t="str">
        <f>IFERROR(__xludf.DUMMYFUNCTION("""COMPUTED_VALUE"""),"짱구")</f>
        <v>짱구</v>
      </c>
      <c r="P1288" s="26" t="str">
        <f>IFERROR(__xludf.DUMMYFUNCTION("""COMPUTED_VALUE"""),"조드")</f>
        <v>조드</v>
      </c>
      <c r="Q1288" s="26" t="str">
        <f>IFERROR(__xludf.DUMMYFUNCTION("""COMPUTED_VALUE"""),"재우")</f>
        <v>재우</v>
      </c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</row>
    <row r="1289">
      <c r="A1289" s="27" t="s">
        <v>5410</v>
      </c>
      <c r="B1289" s="28" t="s">
        <v>5411</v>
      </c>
      <c r="C1289" s="27" t="s">
        <v>5412</v>
      </c>
      <c r="D1289" s="27">
        <v>5.0</v>
      </c>
      <c r="E1289" s="27" t="s">
        <v>5413</v>
      </c>
      <c r="F1289" s="27">
        <v>0.0</v>
      </c>
      <c r="G1289" s="29">
        <v>45622.99930555555</v>
      </c>
      <c r="H1289" s="27" t="s">
        <v>4737</v>
      </c>
      <c r="I1289" s="18"/>
      <c r="J1289" s="25" t="str">
        <f>IFERROR(__xludf.DUMMYFUNCTION("ARRAYFORMULA(REGEXEXTRACT(SPLIT(C1289, ""&lt;br&gt;""), ""([가-힣A-Za-z]+)""))"),"재우")</f>
        <v>재우</v>
      </c>
      <c r="K1289" s="26" t="str">
        <f>IFERROR(__xludf.DUMMYFUNCTION("""COMPUTED_VALUE"""),"테리")</f>
        <v>테리</v>
      </c>
      <c r="L1289" s="26" t="str">
        <f>IFERROR(__xludf.DUMMYFUNCTION("""COMPUTED_VALUE"""),"짱구")</f>
        <v>짱구</v>
      </c>
      <c r="M1289" s="26" t="str">
        <f>IFERROR(__xludf.DUMMYFUNCTION("""COMPUTED_VALUE"""),"깡패")</f>
        <v>깡패</v>
      </c>
      <c r="N1289" s="26" t="str">
        <f>IFERROR(__xludf.DUMMYFUNCTION("ARRAYFORMULA(REGEXEXTRACT(SPLIT(E1289, ""&lt;br&gt;""), ""([가-힣A-Za-z]+)""))"),"한메")</f>
        <v>한메</v>
      </c>
      <c r="O1289" s="26" t="str">
        <f>IFERROR(__xludf.DUMMYFUNCTION("""COMPUTED_VALUE"""),"조드")</f>
        <v>조드</v>
      </c>
      <c r="P1289" s="26" t="str">
        <f>IFERROR(__xludf.DUMMYFUNCTION("""COMPUTED_VALUE"""),"강화")</f>
        <v>강화</v>
      </c>
      <c r="Q1289" s="26" t="str">
        <f>IFERROR(__xludf.DUMMYFUNCTION("""COMPUTED_VALUE"""),"ACDC")</f>
        <v>ACDC</v>
      </c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</row>
    <row r="1290">
      <c r="A1290" s="27" t="s">
        <v>5414</v>
      </c>
      <c r="B1290" s="28" t="s">
        <v>5415</v>
      </c>
      <c r="C1290" s="27" t="s">
        <v>5416</v>
      </c>
      <c r="D1290" s="27">
        <v>5.0</v>
      </c>
      <c r="E1290" s="27" t="s">
        <v>5417</v>
      </c>
      <c r="F1290" s="27">
        <v>1.0</v>
      </c>
      <c r="G1290" s="29">
        <v>45622.986805555556</v>
      </c>
      <c r="H1290" s="27" t="s">
        <v>4737</v>
      </c>
      <c r="I1290" s="18"/>
      <c r="J1290" s="25" t="str">
        <f>IFERROR(__xludf.DUMMYFUNCTION("ARRAYFORMULA(REGEXEXTRACT(SPLIT(C1290, ""&lt;br&gt;""), ""([가-힣A-Za-z]+)""))"),"노인")</f>
        <v>노인</v>
      </c>
      <c r="K1290" s="26" t="str">
        <f>IFERROR(__xludf.DUMMYFUNCTION("""COMPUTED_VALUE"""),"재우")</f>
        <v>재우</v>
      </c>
      <c r="L1290" s="26" t="str">
        <f>IFERROR(__xludf.DUMMYFUNCTION("""COMPUTED_VALUE"""),"한메")</f>
        <v>한메</v>
      </c>
      <c r="M1290" s="26" t="str">
        <f>IFERROR(__xludf.DUMMYFUNCTION("""COMPUTED_VALUE"""),"ACDC")</f>
        <v>ACDC</v>
      </c>
      <c r="N1290" s="26" t="str">
        <f>IFERROR(__xludf.DUMMYFUNCTION("ARRAYFORMULA(REGEXEXTRACT(SPLIT(E1290, ""&lt;br&gt;""), ""([가-힣A-Za-z]+)""))"),"짱구")</f>
        <v>짱구</v>
      </c>
      <c r="O1290" s="26" t="str">
        <f>IFERROR(__xludf.DUMMYFUNCTION("""COMPUTED_VALUE"""),"강화")</f>
        <v>강화</v>
      </c>
      <c r="P1290" s="26" t="str">
        <f>IFERROR(__xludf.DUMMYFUNCTION("""COMPUTED_VALUE"""),"깡패")</f>
        <v>깡패</v>
      </c>
      <c r="Q1290" s="26" t="str">
        <f>IFERROR(__xludf.DUMMYFUNCTION("""COMPUTED_VALUE"""),"조드")</f>
        <v>조드</v>
      </c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</row>
    <row r="1291">
      <c r="A1291" s="27" t="s">
        <v>5418</v>
      </c>
      <c r="B1291" s="28" t="s">
        <v>5419</v>
      </c>
      <c r="C1291" s="27" t="s">
        <v>5420</v>
      </c>
      <c r="D1291" s="27">
        <v>5.0</v>
      </c>
      <c r="E1291" s="27" t="s">
        <v>5421</v>
      </c>
      <c r="F1291" s="27">
        <v>1.0</v>
      </c>
      <c r="G1291" s="29">
        <v>45622.961805555555</v>
      </c>
      <c r="H1291" s="27" t="s">
        <v>4737</v>
      </c>
      <c r="I1291" s="18"/>
      <c r="J1291" s="25" t="str">
        <f>IFERROR(__xludf.DUMMYFUNCTION("ARRAYFORMULA(REGEXEXTRACT(SPLIT(C1291, ""&lt;br&gt;""), ""([가-힣A-Za-z]+)""))"),"한메")</f>
        <v>한메</v>
      </c>
      <c r="K1291" s="26" t="str">
        <f>IFERROR(__xludf.DUMMYFUNCTION("""COMPUTED_VALUE"""),"짱구")</f>
        <v>짱구</v>
      </c>
      <c r="L1291" s="26" t="str">
        <f>IFERROR(__xludf.DUMMYFUNCTION("""COMPUTED_VALUE"""),"조드")</f>
        <v>조드</v>
      </c>
      <c r="M1291" s="26" t="str">
        <f>IFERROR(__xludf.DUMMYFUNCTION("""COMPUTED_VALUE"""),"깡패")</f>
        <v>깡패</v>
      </c>
      <c r="N1291" s="26" t="str">
        <f>IFERROR(__xludf.DUMMYFUNCTION("ARRAYFORMULA(REGEXEXTRACT(SPLIT(E1291, ""&lt;br&gt;""), ""([가-힣A-Za-z]+)""))"),"민우")</f>
        <v>민우</v>
      </c>
      <c r="O1291" s="26" t="str">
        <f>IFERROR(__xludf.DUMMYFUNCTION("""COMPUTED_VALUE"""),"ACDC")</f>
        <v>ACDC</v>
      </c>
      <c r="P1291" s="26" t="str">
        <f>IFERROR(__xludf.DUMMYFUNCTION("""COMPUTED_VALUE"""),"강화")</f>
        <v>강화</v>
      </c>
      <c r="Q1291" s="26" t="str">
        <f>IFERROR(__xludf.DUMMYFUNCTION("""COMPUTED_VALUE"""),"노인")</f>
        <v>노인</v>
      </c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</row>
    <row r="1292">
      <c r="A1292" s="27" t="s">
        <v>5422</v>
      </c>
      <c r="B1292" s="28" t="s">
        <v>5423</v>
      </c>
      <c r="C1292" s="27" t="s">
        <v>5424</v>
      </c>
      <c r="D1292" s="27">
        <v>5.0</v>
      </c>
      <c r="E1292" s="27" t="s">
        <v>5425</v>
      </c>
      <c r="F1292" s="27">
        <v>1.0</v>
      </c>
      <c r="G1292" s="29">
        <v>45622.9375</v>
      </c>
      <c r="H1292" s="27" t="s">
        <v>4737</v>
      </c>
      <c r="I1292" s="18"/>
      <c r="J1292" s="25" t="str">
        <f>IFERROR(__xludf.DUMMYFUNCTION("ARRAYFORMULA(REGEXEXTRACT(SPLIT(C1292, ""&lt;br&gt;""), ""([가-힣A-Za-z]+)""))"),"테리")</f>
        <v>테리</v>
      </c>
      <c r="K1292" s="26" t="str">
        <f>IFERROR(__xludf.DUMMYFUNCTION("""COMPUTED_VALUE"""),"조드")</f>
        <v>조드</v>
      </c>
      <c r="L1292" s="26" t="str">
        <f>IFERROR(__xludf.DUMMYFUNCTION("""COMPUTED_VALUE"""),"신형만")</f>
        <v>신형만</v>
      </c>
      <c r="M1292" s="26" t="str">
        <f>IFERROR(__xludf.DUMMYFUNCTION("""COMPUTED_VALUE"""),"노인")</f>
        <v>노인</v>
      </c>
      <c r="N1292" s="26" t="str">
        <f>IFERROR(__xludf.DUMMYFUNCTION("ARRAYFORMULA(REGEXEXTRACT(SPLIT(E1292, ""&lt;br&gt;""), ""([가-힣A-Za-z]+)""))"),"한메")</f>
        <v>한메</v>
      </c>
      <c r="O1292" s="26" t="str">
        <f>IFERROR(__xludf.DUMMYFUNCTION("""COMPUTED_VALUE"""),"강화")</f>
        <v>강화</v>
      </c>
      <c r="P1292" s="26" t="str">
        <f>IFERROR(__xludf.DUMMYFUNCTION("""COMPUTED_VALUE"""),"깡패")</f>
        <v>깡패</v>
      </c>
      <c r="Q1292" s="26" t="str">
        <f>IFERROR(__xludf.DUMMYFUNCTION("""COMPUTED_VALUE"""),"ACDC")</f>
        <v>ACDC</v>
      </c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</row>
    <row r="1293">
      <c r="A1293" s="27" t="s">
        <v>5426</v>
      </c>
      <c r="B1293" s="28" t="s">
        <v>5427</v>
      </c>
      <c r="C1293" s="27" t="s">
        <v>5428</v>
      </c>
      <c r="D1293" s="27">
        <v>5.0</v>
      </c>
      <c r="E1293" s="27" t="s">
        <v>5429</v>
      </c>
      <c r="F1293" s="27">
        <v>4.0</v>
      </c>
      <c r="G1293" s="29">
        <v>45622.899305555555</v>
      </c>
      <c r="H1293" s="27" t="s">
        <v>4737</v>
      </c>
      <c r="I1293" s="18"/>
      <c r="J1293" s="25" t="str">
        <f>IFERROR(__xludf.DUMMYFUNCTION("ARRAYFORMULA(REGEXEXTRACT(SPLIT(C1293, ""&lt;br&gt;""), ""([가-힣A-Za-z]+)""))"),"노인")</f>
        <v>노인</v>
      </c>
      <c r="K1293" s="26" t="str">
        <f>IFERROR(__xludf.DUMMYFUNCTION("""COMPUTED_VALUE"""),"신형만")</f>
        <v>신형만</v>
      </c>
      <c r="L1293" s="26" t="str">
        <f>IFERROR(__xludf.DUMMYFUNCTION("""COMPUTED_VALUE"""),"한메")</f>
        <v>한메</v>
      </c>
      <c r="M1293" s="26" t="str">
        <f>IFERROR(__xludf.DUMMYFUNCTION("""COMPUTED_VALUE"""),"민우")</f>
        <v>민우</v>
      </c>
      <c r="N1293" s="26" t="str">
        <f>IFERROR(__xludf.DUMMYFUNCTION("ARRAYFORMULA(REGEXEXTRACT(SPLIT(E1293, ""&lt;br&gt;""), ""([가-힣A-Za-z]+)""))"),"짱구")</f>
        <v>짱구</v>
      </c>
      <c r="O1293" s="26" t="str">
        <f>IFERROR(__xludf.DUMMYFUNCTION("""COMPUTED_VALUE"""),"조드")</f>
        <v>조드</v>
      </c>
      <c r="P1293" s="26" t="str">
        <f>IFERROR(__xludf.DUMMYFUNCTION("""COMPUTED_VALUE"""),"테리")</f>
        <v>테리</v>
      </c>
      <c r="Q1293" s="26" t="str">
        <f>IFERROR(__xludf.DUMMYFUNCTION("""COMPUTED_VALUE"""),"ACDC")</f>
        <v>ACDC</v>
      </c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</row>
    <row r="1294">
      <c r="A1294" s="27" t="s">
        <v>5430</v>
      </c>
      <c r="B1294" s="28" t="s">
        <v>5431</v>
      </c>
      <c r="C1294" s="27" t="s">
        <v>5432</v>
      </c>
      <c r="D1294" s="27">
        <v>5.0</v>
      </c>
      <c r="E1294" s="27" t="s">
        <v>5433</v>
      </c>
      <c r="F1294" s="27">
        <v>2.0</v>
      </c>
      <c r="G1294" s="29">
        <v>45622.8625</v>
      </c>
      <c r="H1294" s="27" t="s">
        <v>4737</v>
      </c>
      <c r="I1294" s="18"/>
      <c r="J1294" s="25" t="str">
        <f>IFERROR(__xludf.DUMMYFUNCTION("ARRAYFORMULA(REGEXEXTRACT(SPLIT(C1294, ""&lt;br&gt;""), ""([가-힣A-Za-z]+)""))"),"한메")</f>
        <v>한메</v>
      </c>
      <c r="K1294" s="26" t="str">
        <f>IFERROR(__xludf.DUMMYFUNCTION("""COMPUTED_VALUE"""),"테리")</f>
        <v>테리</v>
      </c>
      <c r="L1294" s="26" t="str">
        <f>IFERROR(__xludf.DUMMYFUNCTION("""COMPUTED_VALUE"""),"민우")</f>
        <v>민우</v>
      </c>
      <c r="M1294" s="26" t="str">
        <f>IFERROR(__xludf.DUMMYFUNCTION("""COMPUTED_VALUE"""),"조드")</f>
        <v>조드</v>
      </c>
      <c r="N1294" s="26" t="str">
        <f>IFERROR(__xludf.DUMMYFUNCTION("ARRAYFORMULA(REGEXEXTRACT(SPLIT(E1294, ""&lt;br&gt;""), ""([가-힣A-Za-z]+)""))"),"ACDC")</f>
        <v>ACDC</v>
      </c>
      <c r="O1294" s="26" t="str">
        <f>IFERROR(__xludf.DUMMYFUNCTION("""COMPUTED_VALUE"""),"신형만")</f>
        <v>신형만</v>
      </c>
      <c r="P1294" s="26" t="str">
        <f>IFERROR(__xludf.DUMMYFUNCTION("""COMPUTED_VALUE"""),"짱구")</f>
        <v>짱구</v>
      </c>
      <c r="Q1294" s="26" t="str">
        <f>IFERROR(__xludf.DUMMYFUNCTION("""COMPUTED_VALUE"""),"노인")</f>
        <v>노인</v>
      </c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</row>
    <row r="1295">
      <c r="A1295" s="27" t="s">
        <v>5434</v>
      </c>
      <c r="B1295" s="28" t="s">
        <v>5435</v>
      </c>
      <c r="C1295" s="27" t="s">
        <v>5436</v>
      </c>
      <c r="D1295" s="27">
        <v>5.0</v>
      </c>
      <c r="E1295" s="27" t="s">
        <v>5437</v>
      </c>
      <c r="F1295" s="27">
        <v>3.0</v>
      </c>
      <c r="G1295" s="29">
        <v>45622.129166666666</v>
      </c>
      <c r="H1295" s="27" t="s">
        <v>4737</v>
      </c>
      <c r="I1295" s="18"/>
      <c r="J1295" s="25" t="str">
        <f>IFERROR(__xludf.DUMMYFUNCTION("ARRAYFORMULA(REGEXEXTRACT(SPLIT(C1295, ""&lt;br&gt;""), ""([가-힣A-Za-z]+)""))"),"ACDC")</f>
        <v>ACDC</v>
      </c>
      <c r="K1295" s="26" t="str">
        <f>IFERROR(__xludf.DUMMYFUNCTION("""COMPUTED_VALUE"""),"짱구")</f>
        <v>짱구</v>
      </c>
      <c r="L1295" s="26" t="str">
        <f>IFERROR(__xludf.DUMMYFUNCTION("""COMPUTED_VALUE"""),"신형만")</f>
        <v>신형만</v>
      </c>
      <c r="M1295" s="26" t="str">
        <f>IFERROR(__xludf.DUMMYFUNCTION("""COMPUTED_VALUE"""),"조드")</f>
        <v>조드</v>
      </c>
      <c r="N1295" s="26" t="str">
        <f>IFERROR(__xludf.DUMMYFUNCTION("ARRAYFORMULA(REGEXEXTRACT(SPLIT(E1295, ""&lt;br&gt;""), ""([가-힣A-Za-z]+)""))"),"윈드")</f>
        <v>윈드</v>
      </c>
      <c r="O1295" s="26" t="str">
        <f>IFERROR(__xludf.DUMMYFUNCTION("""COMPUTED_VALUE"""),"테리")</f>
        <v>테리</v>
      </c>
      <c r="P1295" s="26" t="str">
        <f>IFERROR(__xludf.DUMMYFUNCTION("""COMPUTED_VALUE"""),"깡패")</f>
        <v>깡패</v>
      </c>
      <c r="Q1295" s="26" t="str">
        <f>IFERROR(__xludf.DUMMYFUNCTION("""COMPUTED_VALUE"""),"키키")</f>
        <v>키키</v>
      </c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</row>
    <row r="1296">
      <c r="A1296" s="27" t="s">
        <v>5438</v>
      </c>
      <c r="B1296" s="28" t="s">
        <v>5439</v>
      </c>
      <c r="C1296" s="27" t="s">
        <v>5440</v>
      </c>
      <c r="D1296" s="27">
        <v>5.0</v>
      </c>
      <c r="E1296" s="27" t="s">
        <v>5441</v>
      </c>
      <c r="F1296" s="27">
        <v>3.0</v>
      </c>
      <c r="G1296" s="29">
        <v>45622.09305555555</v>
      </c>
      <c r="H1296" s="27" t="s">
        <v>4737</v>
      </c>
      <c r="I1296" s="18"/>
      <c r="J1296" s="25" t="str">
        <f>IFERROR(__xludf.DUMMYFUNCTION("ARRAYFORMULA(REGEXEXTRACT(SPLIT(C1296, ""&lt;br&gt;""), ""([가-힣A-Za-z]+)""))"),"신형만")</f>
        <v>신형만</v>
      </c>
      <c r="K1296" s="26" t="str">
        <f>IFERROR(__xludf.DUMMYFUNCTION("""COMPUTED_VALUE"""),"짱구")</f>
        <v>짱구</v>
      </c>
      <c r="L1296" s="26" t="str">
        <f>IFERROR(__xludf.DUMMYFUNCTION("""COMPUTED_VALUE"""),"ACDC")</f>
        <v>ACDC</v>
      </c>
      <c r="M1296" s="26" t="str">
        <f>IFERROR(__xludf.DUMMYFUNCTION("""COMPUTED_VALUE"""),"노인")</f>
        <v>노인</v>
      </c>
      <c r="N1296" s="26" t="str">
        <f>IFERROR(__xludf.DUMMYFUNCTION("ARRAYFORMULA(REGEXEXTRACT(SPLIT(E1296, ""&lt;br&gt;""), ""([가-힣A-Za-z]+)""))"),"테리")</f>
        <v>테리</v>
      </c>
      <c r="O1296" s="26" t="str">
        <f>IFERROR(__xludf.DUMMYFUNCTION("""COMPUTED_VALUE"""),"깡패")</f>
        <v>깡패</v>
      </c>
      <c r="P1296" s="26" t="str">
        <f>IFERROR(__xludf.DUMMYFUNCTION("""COMPUTED_VALUE"""),"키키")</f>
        <v>키키</v>
      </c>
      <c r="Q1296" s="26" t="str">
        <f>IFERROR(__xludf.DUMMYFUNCTION("""COMPUTED_VALUE"""),"조드")</f>
        <v>조드</v>
      </c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</row>
    <row r="1297">
      <c r="A1297" s="27" t="s">
        <v>5442</v>
      </c>
      <c r="B1297" s="28" t="s">
        <v>5443</v>
      </c>
      <c r="C1297" s="27" t="s">
        <v>5444</v>
      </c>
      <c r="D1297" s="27">
        <v>5.0</v>
      </c>
      <c r="E1297" s="27" t="s">
        <v>5445</v>
      </c>
      <c r="F1297" s="27">
        <v>2.0</v>
      </c>
      <c r="G1297" s="29">
        <v>45622.058333333334</v>
      </c>
      <c r="H1297" s="27" t="s">
        <v>4737</v>
      </c>
      <c r="I1297" s="18"/>
      <c r="J1297" s="25" t="str">
        <f>IFERROR(__xludf.DUMMYFUNCTION("ARRAYFORMULA(REGEXEXTRACT(SPLIT(C1297, ""&lt;br&gt;""), ""([가-힣A-Za-z]+)""))"),"깡패")</f>
        <v>깡패</v>
      </c>
      <c r="K1297" s="26" t="str">
        <f>IFERROR(__xludf.DUMMYFUNCTION("""COMPUTED_VALUE"""),"테리")</f>
        <v>테리</v>
      </c>
      <c r="L1297" s="26" t="str">
        <f>IFERROR(__xludf.DUMMYFUNCTION("""COMPUTED_VALUE"""),"짱구")</f>
        <v>짱구</v>
      </c>
      <c r="M1297" s="26" t="str">
        <f>IFERROR(__xludf.DUMMYFUNCTION("""COMPUTED_VALUE"""),"노인")</f>
        <v>노인</v>
      </c>
      <c r="N1297" s="26" t="str">
        <f>IFERROR(__xludf.DUMMYFUNCTION("ARRAYFORMULA(REGEXEXTRACT(SPLIT(E1297, ""&lt;br&gt;""), ""([가-힣A-Za-z]+)""))"),"ACDC")</f>
        <v>ACDC</v>
      </c>
      <c r="O1297" s="26" t="str">
        <f>IFERROR(__xludf.DUMMYFUNCTION("""COMPUTED_VALUE"""),"조드")</f>
        <v>조드</v>
      </c>
      <c r="P1297" s="26" t="str">
        <f>IFERROR(__xludf.DUMMYFUNCTION("""COMPUTED_VALUE"""),"키키")</f>
        <v>키키</v>
      </c>
      <c r="Q1297" s="26" t="str">
        <f>IFERROR(__xludf.DUMMYFUNCTION("""COMPUTED_VALUE"""),"신형만")</f>
        <v>신형만</v>
      </c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</row>
    <row r="1298">
      <c r="A1298" s="27" t="s">
        <v>5446</v>
      </c>
      <c r="B1298" s="28" t="s">
        <v>5447</v>
      </c>
      <c r="C1298" s="27" t="s">
        <v>5448</v>
      </c>
      <c r="D1298" s="27">
        <v>5.0</v>
      </c>
      <c r="E1298" s="27" t="s">
        <v>5449</v>
      </c>
      <c r="F1298" s="27">
        <v>4.0</v>
      </c>
      <c r="G1298" s="29">
        <v>45622.03125</v>
      </c>
      <c r="H1298" s="27" t="s">
        <v>4737</v>
      </c>
      <c r="I1298" s="18"/>
      <c r="J1298" s="25" t="str">
        <f>IFERROR(__xludf.DUMMYFUNCTION("ARRAYFORMULA(REGEXEXTRACT(SPLIT(C1298, ""&lt;br&gt;""), ""([가-힣A-Za-z]+)""))"),"짱구")</f>
        <v>짱구</v>
      </c>
      <c r="K1298" s="26" t="str">
        <f>IFERROR(__xludf.DUMMYFUNCTION("""COMPUTED_VALUE"""),"노인")</f>
        <v>노인</v>
      </c>
      <c r="L1298" s="26" t="str">
        <f>IFERROR(__xludf.DUMMYFUNCTION("""COMPUTED_VALUE"""),"깡패")</f>
        <v>깡패</v>
      </c>
      <c r="M1298" s="26" t="str">
        <f>IFERROR(__xludf.DUMMYFUNCTION("""COMPUTED_VALUE"""),"신형만")</f>
        <v>신형만</v>
      </c>
      <c r="N1298" s="26" t="str">
        <f>IFERROR(__xludf.DUMMYFUNCTION("ARRAYFORMULA(REGEXEXTRACT(SPLIT(E1298, ""&lt;br&gt;""), ""([가-힣A-Za-z]+)""))"),"ACDC")</f>
        <v>ACDC</v>
      </c>
      <c r="O1298" s="26" t="str">
        <f>IFERROR(__xludf.DUMMYFUNCTION("""COMPUTED_VALUE"""),"테리")</f>
        <v>테리</v>
      </c>
      <c r="P1298" s="26" t="str">
        <f>IFERROR(__xludf.DUMMYFUNCTION("""COMPUTED_VALUE"""),"키키")</f>
        <v>키키</v>
      </c>
      <c r="Q1298" s="26" t="str">
        <f>IFERROR(__xludf.DUMMYFUNCTION("""COMPUTED_VALUE"""),"조드")</f>
        <v>조드</v>
      </c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</row>
    <row r="1299">
      <c r="A1299" s="27" t="s">
        <v>5450</v>
      </c>
      <c r="B1299" s="28" t="s">
        <v>5451</v>
      </c>
      <c r="C1299" s="27" t="s">
        <v>5452</v>
      </c>
      <c r="D1299" s="27">
        <v>5.0</v>
      </c>
      <c r="E1299" s="27" t="s">
        <v>5453</v>
      </c>
      <c r="F1299" s="27">
        <v>3.0</v>
      </c>
      <c r="G1299" s="29">
        <v>45622.006944444445</v>
      </c>
      <c r="H1299" s="27" t="s">
        <v>4737</v>
      </c>
      <c r="I1299" s="18"/>
      <c r="J1299" s="25" t="str">
        <f>IFERROR(__xludf.DUMMYFUNCTION("ARRAYFORMULA(REGEXEXTRACT(SPLIT(C1299, ""&lt;br&gt;""), ""([가-힣A-Za-z]+)""))"),"ACDC")</f>
        <v>ACDC</v>
      </c>
      <c r="K1299" s="26" t="str">
        <f>IFERROR(__xludf.DUMMYFUNCTION("""COMPUTED_VALUE"""),"노인")</f>
        <v>노인</v>
      </c>
      <c r="L1299" s="26" t="str">
        <f>IFERROR(__xludf.DUMMYFUNCTION("""COMPUTED_VALUE"""),"키키")</f>
        <v>키키</v>
      </c>
      <c r="M1299" s="26" t="str">
        <f>IFERROR(__xludf.DUMMYFUNCTION("""COMPUTED_VALUE"""),"깡패")</f>
        <v>깡패</v>
      </c>
      <c r="N1299" s="26" t="str">
        <f>IFERROR(__xludf.DUMMYFUNCTION("ARRAYFORMULA(REGEXEXTRACT(SPLIT(E1299, ""&lt;br&gt;""), ""([가-힣A-Za-z]+)""))"),"짱구")</f>
        <v>짱구</v>
      </c>
      <c r="O1299" s="26" t="str">
        <f>IFERROR(__xludf.DUMMYFUNCTION("""COMPUTED_VALUE"""),"조드")</f>
        <v>조드</v>
      </c>
      <c r="P1299" s="26" t="str">
        <f>IFERROR(__xludf.DUMMYFUNCTION("""COMPUTED_VALUE"""),"테리")</f>
        <v>테리</v>
      </c>
      <c r="Q1299" s="26" t="str">
        <f>IFERROR(__xludf.DUMMYFUNCTION("""COMPUTED_VALUE"""),"신형만")</f>
        <v>신형만</v>
      </c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</row>
    <row r="1300">
      <c r="A1300" s="27" t="s">
        <v>5454</v>
      </c>
      <c r="B1300" s="28" t="s">
        <v>5455</v>
      </c>
      <c r="C1300" s="27" t="s">
        <v>5456</v>
      </c>
      <c r="D1300" s="27">
        <v>5.0</v>
      </c>
      <c r="E1300" s="27" t="s">
        <v>5457</v>
      </c>
      <c r="F1300" s="27">
        <v>2.0</v>
      </c>
      <c r="G1300" s="29">
        <v>45621.97152777778</v>
      </c>
      <c r="H1300" s="27" t="s">
        <v>4737</v>
      </c>
      <c r="I1300" s="18"/>
      <c r="J1300" s="25" t="str">
        <f>IFERROR(__xludf.DUMMYFUNCTION("ARRAYFORMULA(REGEXEXTRACT(SPLIT(C1300, ""&lt;br&gt;""), ""([가-힣A-Za-z]+)""))"),"노인")</f>
        <v>노인</v>
      </c>
      <c r="K1300" s="26" t="str">
        <f>IFERROR(__xludf.DUMMYFUNCTION("""COMPUTED_VALUE"""),"조드")</f>
        <v>조드</v>
      </c>
      <c r="L1300" s="26" t="str">
        <f>IFERROR(__xludf.DUMMYFUNCTION("""COMPUTED_VALUE"""),"짱구")</f>
        <v>짱구</v>
      </c>
      <c r="M1300" s="26" t="str">
        <f>IFERROR(__xludf.DUMMYFUNCTION("""COMPUTED_VALUE"""),"키키")</f>
        <v>키키</v>
      </c>
      <c r="N1300" s="26" t="str">
        <f>IFERROR(__xludf.DUMMYFUNCTION("ARRAYFORMULA(REGEXEXTRACT(SPLIT(E1300, ""&lt;br&gt;""), ""([가-힣A-Za-z]+)""))"),"ACDC")</f>
        <v>ACDC</v>
      </c>
      <c r="O1300" s="26" t="str">
        <f>IFERROR(__xludf.DUMMYFUNCTION("""COMPUTED_VALUE"""),"테리")</f>
        <v>테리</v>
      </c>
      <c r="P1300" s="26" t="str">
        <f>IFERROR(__xludf.DUMMYFUNCTION("""COMPUTED_VALUE"""),"깡패")</f>
        <v>깡패</v>
      </c>
      <c r="Q1300" s="26" t="str">
        <f>IFERROR(__xludf.DUMMYFUNCTION("""COMPUTED_VALUE"""),"신형만")</f>
        <v>신형만</v>
      </c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</row>
    <row r="1301">
      <c r="A1301" s="27" t="s">
        <v>5458</v>
      </c>
      <c r="B1301" s="28" t="s">
        <v>5459</v>
      </c>
      <c r="C1301" s="27" t="s">
        <v>5460</v>
      </c>
      <c r="D1301" s="27">
        <v>5.0</v>
      </c>
      <c r="E1301" s="27" t="s">
        <v>5461</v>
      </c>
      <c r="F1301" s="27">
        <v>2.0</v>
      </c>
      <c r="G1301" s="29">
        <v>45621.94652777778</v>
      </c>
      <c r="H1301" s="27" t="s">
        <v>4737</v>
      </c>
      <c r="I1301" s="18"/>
      <c r="J1301" s="25" t="str">
        <f>IFERROR(__xludf.DUMMYFUNCTION("ARRAYFORMULA(REGEXEXTRACT(SPLIT(C1301, ""&lt;br&gt;""), ""([가-힣A-Za-z]+)""))"),"킹")</f>
        <v>킹</v>
      </c>
      <c r="K1301" s="26" t="str">
        <f>IFERROR(__xludf.DUMMYFUNCTION("""COMPUTED_VALUE"""),"짱구")</f>
        <v>짱구</v>
      </c>
      <c r="L1301" s="26" t="str">
        <f>IFERROR(__xludf.DUMMYFUNCTION("""COMPUTED_VALUE"""),"키키")</f>
        <v>키키</v>
      </c>
      <c r="M1301" s="26" t="str">
        <f>IFERROR(__xludf.DUMMYFUNCTION("""COMPUTED_VALUE"""),"한메")</f>
        <v>한메</v>
      </c>
      <c r="N1301" s="26" t="str">
        <f>IFERROR(__xludf.DUMMYFUNCTION("ARRAYFORMULA(REGEXEXTRACT(SPLIT(E1301, ""&lt;br&gt;""), ""([가-힣A-Za-z]+)""))"),"노인")</f>
        <v>노인</v>
      </c>
      <c r="O1301" s="26" t="str">
        <f>IFERROR(__xludf.DUMMYFUNCTION("""COMPUTED_VALUE"""),"ACDC")</f>
        <v>ACDC</v>
      </c>
      <c r="P1301" s="26" t="str">
        <f>IFERROR(__xludf.DUMMYFUNCTION("""COMPUTED_VALUE"""),"신형만")</f>
        <v>신형만</v>
      </c>
      <c r="Q1301" s="26" t="str">
        <f>IFERROR(__xludf.DUMMYFUNCTION("""COMPUTED_VALUE"""),"깡패")</f>
        <v>깡패</v>
      </c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</row>
    <row r="1302">
      <c r="A1302" s="27" t="s">
        <v>5462</v>
      </c>
      <c r="B1302" s="28" t="s">
        <v>5463</v>
      </c>
      <c r="C1302" s="27" t="s">
        <v>5464</v>
      </c>
      <c r="D1302" s="27">
        <v>5.0</v>
      </c>
      <c r="E1302" s="27" t="s">
        <v>5465</v>
      </c>
      <c r="F1302" s="27">
        <v>3.0</v>
      </c>
      <c r="G1302" s="29">
        <v>45621.92083333333</v>
      </c>
      <c r="H1302" s="27" t="s">
        <v>4737</v>
      </c>
      <c r="I1302" s="18"/>
      <c r="J1302" s="25" t="str">
        <f>IFERROR(__xludf.DUMMYFUNCTION("ARRAYFORMULA(REGEXEXTRACT(SPLIT(C1302, ""&lt;br&gt;""), ""([가-힣A-Za-z]+)""))"),"ACDC")</f>
        <v>ACDC</v>
      </c>
      <c r="K1302" s="26" t="str">
        <f>IFERROR(__xludf.DUMMYFUNCTION("""COMPUTED_VALUE"""),"테리")</f>
        <v>테리</v>
      </c>
      <c r="L1302" s="26" t="str">
        <f>IFERROR(__xludf.DUMMYFUNCTION("""COMPUTED_VALUE"""),"한메")</f>
        <v>한메</v>
      </c>
      <c r="M1302" s="26" t="str">
        <f>IFERROR(__xludf.DUMMYFUNCTION("""COMPUTED_VALUE"""),"노인")</f>
        <v>노인</v>
      </c>
      <c r="N1302" s="26" t="str">
        <f>IFERROR(__xludf.DUMMYFUNCTION("ARRAYFORMULA(REGEXEXTRACT(SPLIT(E1302, ""&lt;br&gt;""), ""([가-힣A-Za-z]+)""))"),"미등록")</f>
        <v>미등록</v>
      </c>
      <c r="O1302" s="26" t="str">
        <f>IFERROR(__xludf.DUMMYFUNCTION("""COMPUTED_VALUE"""),"신형만")</f>
        <v>신형만</v>
      </c>
      <c r="P1302" s="26" t="str">
        <f>IFERROR(__xludf.DUMMYFUNCTION("""COMPUTED_VALUE"""),"깡패")</f>
        <v>깡패</v>
      </c>
      <c r="Q1302" s="26" t="str">
        <f>IFERROR(__xludf.DUMMYFUNCTION("""COMPUTED_VALUE"""),"키키")</f>
        <v>키키</v>
      </c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</row>
    <row r="1303">
      <c r="A1303" s="27" t="s">
        <v>5466</v>
      </c>
      <c r="B1303" s="28" t="s">
        <v>5467</v>
      </c>
      <c r="C1303" s="27" t="s">
        <v>5468</v>
      </c>
      <c r="D1303" s="27">
        <v>5.0</v>
      </c>
      <c r="E1303" s="27" t="s">
        <v>5469</v>
      </c>
      <c r="F1303" s="27">
        <v>2.0</v>
      </c>
      <c r="G1303" s="29">
        <v>45621.88888888889</v>
      </c>
      <c r="H1303" s="27" t="s">
        <v>4737</v>
      </c>
      <c r="I1303" s="18"/>
      <c r="J1303" s="25" t="str">
        <f>IFERROR(__xludf.DUMMYFUNCTION("ARRAYFORMULA(REGEXEXTRACT(SPLIT(C1303, ""&lt;br&gt;""), ""([가-힣A-Za-z]+)""))"),"노인")</f>
        <v>노인</v>
      </c>
      <c r="K1303" s="26" t="str">
        <f>IFERROR(__xludf.DUMMYFUNCTION("""COMPUTED_VALUE"""),"ACDC")</f>
        <v>ACDC</v>
      </c>
      <c r="L1303" s="26" t="str">
        <f>IFERROR(__xludf.DUMMYFUNCTION("""COMPUTED_VALUE"""),"키키")</f>
        <v>키키</v>
      </c>
      <c r="M1303" s="26" t="str">
        <f>IFERROR(__xludf.DUMMYFUNCTION("""COMPUTED_VALUE"""),"신형만")</f>
        <v>신형만</v>
      </c>
      <c r="N1303" s="26" t="str">
        <f>IFERROR(__xludf.DUMMYFUNCTION("ARRAYFORMULA(REGEXEXTRACT(SPLIT(E1303, ""&lt;br&gt;""), ""([가-힣A-Za-z]+)""))"),"미등록")</f>
        <v>미등록</v>
      </c>
      <c r="O1303" s="26" t="str">
        <f>IFERROR(__xludf.DUMMYFUNCTION("""COMPUTED_VALUE"""),"테리")</f>
        <v>테리</v>
      </c>
      <c r="P1303" s="26" t="str">
        <f>IFERROR(__xludf.DUMMYFUNCTION("""COMPUTED_VALUE"""),"한메")</f>
        <v>한메</v>
      </c>
      <c r="Q1303" s="26" t="str">
        <f>IFERROR(__xludf.DUMMYFUNCTION("""COMPUTED_VALUE"""),"깡패")</f>
        <v>깡패</v>
      </c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</row>
    <row r="1304">
      <c r="A1304" s="27" t="s">
        <v>5470</v>
      </c>
      <c r="B1304" s="28" t="s">
        <v>5471</v>
      </c>
      <c r="C1304" s="27" t="s">
        <v>5472</v>
      </c>
      <c r="D1304" s="27">
        <v>5.0</v>
      </c>
      <c r="E1304" s="27" t="s">
        <v>5473</v>
      </c>
      <c r="F1304" s="27">
        <v>0.0</v>
      </c>
      <c r="G1304" s="29">
        <v>45621.861805555556</v>
      </c>
      <c r="H1304" s="27" t="s">
        <v>4737</v>
      </c>
      <c r="I1304" s="18"/>
      <c r="J1304" s="25" t="str">
        <f>IFERROR(__xludf.DUMMYFUNCTION("ARRAYFORMULA(REGEXEXTRACT(SPLIT(C1304, ""&lt;br&gt;""), ""([가-힣A-Za-z]+)""))"),"키키")</f>
        <v>키키</v>
      </c>
      <c r="K1304" s="26" t="str">
        <f>IFERROR(__xludf.DUMMYFUNCTION("""COMPUTED_VALUE"""),"테리")</f>
        <v>테리</v>
      </c>
      <c r="L1304" s="26" t="str">
        <f>IFERROR(__xludf.DUMMYFUNCTION("""COMPUTED_VALUE"""),"신형만")</f>
        <v>신형만</v>
      </c>
      <c r="M1304" s="26" t="str">
        <f>IFERROR(__xludf.DUMMYFUNCTION("""COMPUTED_VALUE"""),"깡패")</f>
        <v>깡패</v>
      </c>
      <c r="N1304" s="26" t="str">
        <f>IFERROR(__xludf.DUMMYFUNCTION("ARRAYFORMULA(REGEXEXTRACT(SPLIT(E1304, ""&lt;br&gt;""), ""([가-힣A-Za-z]+)""))"),"미등록")</f>
        <v>미등록</v>
      </c>
      <c r="O1304" s="26" t="str">
        <f>IFERROR(__xludf.DUMMYFUNCTION("""COMPUTED_VALUE"""),"ACDC")</f>
        <v>ACDC</v>
      </c>
      <c r="P1304" s="26" t="str">
        <f>IFERROR(__xludf.DUMMYFUNCTION("""COMPUTED_VALUE"""),"한메")</f>
        <v>한메</v>
      </c>
      <c r="Q1304" s="26" t="str">
        <f>IFERROR(__xludf.DUMMYFUNCTION("""COMPUTED_VALUE"""),"노인")</f>
        <v>노인</v>
      </c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</row>
    <row r="1305">
      <c r="A1305" s="27" t="s">
        <v>5474</v>
      </c>
      <c r="B1305" s="28" t="s">
        <v>5475</v>
      </c>
      <c r="C1305" s="27" t="s">
        <v>5476</v>
      </c>
      <c r="D1305" s="27">
        <v>5.0</v>
      </c>
      <c r="E1305" s="27" t="s">
        <v>5477</v>
      </c>
      <c r="F1305" s="27">
        <v>3.0</v>
      </c>
      <c r="G1305" s="29">
        <v>45621.11736111111</v>
      </c>
      <c r="H1305" s="27" t="s">
        <v>4737</v>
      </c>
      <c r="I1305" s="18"/>
      <c r="J1305" s="25" t="str">
        <f>IFERROR(__xludf.DUMMYFUNCTION("ARRAYFORMULA(REGEXEXTRACT(SPLIT(C1305, ""&lt;br&gt;""), ""([가-힣A-Za-z]+)""))"),"강화")</f>
        <v>강화</v>
      </c>
      <c r="K1305" s="26" t="str">
        <f>IFERROR(__xludf.DUMMYFUNCTION("""COMPUTED_VALUE"""),"원")</f>
        <v>원</v>
      </c>
      <c r="L1305" s="26" t="str">
        <f>IFERROR(__xludf.DUMMYFUNCTION("""COMPUTED_VALUE"""),"조드")</f>
        <v>조드</v>
      </c>
      <c r="M1305" s="26" t="str">
        <f>IFERROR(__xludf.DUMMYFUNCTION("""COMPUTED_VALUE"""),"재우")</f>
        <v>재우</v>
      </c>
      <c r="N1305" s="26" t="str">
        <f>IFERROR(__xludf.DUMMYFUNCTION("ARRAYFORMULA(REGEXEXTRACT(SPLIT(E1305, ""&lt;br&gt;""), ""([가-힣A-Za-z]+)""))"),"노인")</f>
        <v>노인</v>
      </c>
      <c r="O1305" s="26" t="str">
        <f>IFERROR(__xludf.DUMMYFUNCTION("""COMPUTED_VALUE"""),"신형만")</f>
        <v>신형만</v>
      </c>
      <c r="P1305" s="26" t="str">
        <f>IFERROR(__xludf.DUMMYFUNCTION("""COMPUTED_VALUE"""),"깡패")</f>
        <v>깡패</v>
      </c>
      <c r="Q1305" s="26" t="str">
        <f>IFERROR(__xludf.DUMMYFUNCTION("""COMPUTED_VALUE"""),"키키")</f>
        <v>키키</v>
      </c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</row>
    <row r="1306">
      <c r="A1306" s="27" t="s">
        <v>5478</v>
      </c>
      <c r="B1306" s="28" t="s">
        <v>5479</v>
      </c>
      <c r="C1306" s="27" t="s">
        <v>5480</v>
      </c>
      <c r="D1306" s="27">
        <v>5.0</v>
      </c>
      <c r="E1306" s="27" t="s">
        <v>5481</v>
      </c>
      <c r="F1306" s="27">
        <v>3.0</v>
      </c>
      <c r="G1306" s="29">
        <v>45621.09097222222</v>
      </c>
      <c r="H1306" s="27" t="s">
        <v>4737</v>
      </c>
      <c r="I1306" s="18"/>
      <c r="J1306" s="25" t="str">
        <f>IFERROR(__xludf.DUMMYFUNCTION("ARRAYFORMULA(REGEXEXTRACT(SPLIT(C1306, ""&lt;br&gt;""), ""([가-힣A-Za-z]+)""))"),"강화")</f>
        <v>강화</v>
      </c>
      <c r="K1306" s="26" t="str">
        <f>IFERROR(__xludf.DUMMYFUNCTION("""COMPUTED_VALUE"""),"깡패")</f>
        <v>깡패</v>
      </c>
      <c r="L1306" s="26" t="str">
        <f>IFERROR(__xludf.DUMMYFUNCTION("""COMPUTED_VALUE"""),"짱구")</f>
        <v>짱구</v>
      </c>
      <c r="M1306" s="26" t="str">
        <f>IFERROR(__xludf.DUMMYFUNCTION("""COMPUTED_VALUE"""),"노인")</f>
        <v>노인</v>
      </c>
      <c r="N1306" s="26" t="str">
        <f>IFERROR(__xludf.DUMMYFUNCTION("ARRAYFORMULA(REGEXEXTRACT(SPLIT(E1306, ""&lt;br&gt;""), ""([가-힣A-Za-z]+)""))"),"신형만")</f>
        <v>신형만</v>
      </c>
      <c r="O1306" s="26" t="str">
        <f>IFERROR(__xludf.DUMMYFUNCTION("""COMPUTED_VALUE"""),"조드")</f>
        <v>조드</v>
      </c>
      <c r="P1306" s="26" t="str">
        <f>IFERROR(__xludf.DUMMYFUNCTION("""COMPUTED_VALUE"""),"재우")</f>
        <v>재우</v>
      </c>
      <c r="Q1306" s="26" t="str">
        <f>IFERROR(__xludf.DUMMYFUNCTION("""COMPUTED_VALUE"""),"키키")</f>
        <v>키키</v>
      </c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</row>
    <row r="1307">
      <c r="A1307" s="27" t="s">
        <v>5482</v>
      </c>
      <c r="B1307" s="28" t="s">
        <v>5483</v>
      </c>
      <c r="C1307" s="27" t="s">
        <v>5484</v>
      </c>
      <c r="D1307" s="27">
        <v>5.0</v>
      </c>
      <c r="E1307" s="27" t="s">
        <v>5485</v>
      </c>
      <c r="F1307" s="27">
        <v>1.0</v>
      </c>
      <c r="G1307" s="29">
        <v>45621.05763888889</v>
      </c>
      <c r="H1307" s="27" t="s">
        <v>4737</v>
      </c>
      <c r="I1307" s="18"/>
      <c r="J1307" s="25" t="str">
        <f>IFERROR(__xludf.DUMMYFUNCTION("ARRAYFORMULA(REGEXEXTRACT(SPLIT(C1307, ""&lt;br&gt;""), ""([가-힣A-Za-z]+)""))"),"짱구")</f>
        <v>짱구</v>
      </c>
      <c r="K1307" s="26" t="str">
        <f>IFERROR(__xludf.DUMMYFUNCTION("""COMPUTED_VALUE"""),"노인")</f>
        <v>노인</v>
      </c>
      <c r="L1307" s="26" t="str">
        <f>IFERROR(__xludf.DUMMYFUNCTION("""COMPUTED_VALUE"""),"조드")</f>
        <v>조드</v>
      </c>
      <c r="M1307" s="26" t="str">
        <f>IFERROR(__xludf.DUMMYFUNCTION("""COMPUTED_VALUE"""),"키키")</f>
        <v>키키</v>
      </c>
      <c r="N1307" s="26" t="str">
        <f>IFERROR(__xludf.DUMMYFUNCTION("ARRAYFORMULA(REGEXEXTRACT(SPLIT(E1307, ""&lt;br&gt;""), ""([가-힣A-Za-z]+)""))"),"강화")</f>
        <v>강화</v>
      </c>
      <c r="O1307" s="26" t="str">
        <f>IFERROR(__xludf.DUMMYFUNCTION("""COMPUTED_VALUE"""),"신형만")</f>
        <v>신형만</v>
      </c>
      <c r="P1307" s="26" t="str">
        <f>IFERROR(__xludf.DUMMYFUNCTION("""COMPUTED_VALUE"""),"깡패")</f>
        <v>깡패</v>
      </c>
      <c r="Q1307" s="26" t="str">
        <f>IFERROR(__xludf.DUMMYFUNCTION("""COMPUTED_VALUE"""),"ACDC")</f>
        <v>ACDC</v>
      </c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</row>
    <row r="1308">
      <c r="A1308" s="27" t="s">
        <v>5486</v>
      </c>
      <c r="B1308" s="28" t="s">
        <v>5487</v>
      </c>
      <c r="C1308" s="27" t="s">
        <v>5488</v>
      </c>
      <c r="D1308" s="27">
        <v>5.0</v>
      </c>
      <c r="E1308" s="27" t="s">
        <v>5489</v>
      </c>
      <c r="F1308" s="27">
        <v>2.0</v>
      </c>
      <c r="G1308" s="29">
        <v>45621.03402777778</v>
      </c>
      <c r="H1308" s="27" t="s">
        <v>4737</v>
      </c>
      <c r="I1308" s="18"/>
      <c r="J1308" s="25" t="str">
        <f>IFERROR(__xludf.DUMMYFUNCTION("ARRAYFORMULA(REGEXEXTRACT(SPLIT(C1308, ""&lt;br&gt;""), ""([가-힣A-Za-z]+)""))"),"키키")</f>
        <v>키키</v>
      </c>
      <c r="K1308" s="26" t="str">
        <f>IFERROR(__xludf.DUMMYFUNCTION("""COMPUTED_VALUE"""),"재우")</f>
        <v>재우</v>
      </c>
      <c r="L1308" s="26" t="str">
        <f>IFERROR(__xludf.DUMMYFUNCTION("""COMPUTED_VALUE"""),"ACDC")</f>
        <v>ACDC</v>
      </c>
      <c r="M1308" s="26" t="str">
        <f>IFERROR(__xludf.DUMMYFUNCTION("""COMPUTED_VALUE"""),"한메")</f>
        <v>한메</v>
      </c>
      <c r="N1308" s="26" t="str">
        <f>IFERROR(__xludf.DUMMYFUNCTION("ARRAYFORMULA(REGEXEXTRACT(SPLIT(E1308, ""&lt;br&gt;""), ""([가-힣A-Za-z]+)""))"),"짱구")</f>
        <v>짱구</v>
      </c>
      <c r="O1308" s="26" t="str">
        <f>IFERROR(__xludf.DUMMYFUNCTION("""COMPUTED_VALUE"""),"깡패")</f>
        <v>깡패</v>
      </c>
      <c r="P1308" s="26" t="str">
        <f>IFERROR(__xludf.DUMMYFUNCTION("""COMPUTED_VALUE"""),"조드")</f>
        <v>조드</v>
      </c>
      <c r="Q1308" s="26" t="str">
        <f>IFERROR(__xludf.DUMMYFUNCTION("""COMPUTED_VALUE"""),"신형만")</f>
        <v>신형만</v>
      </c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</row>
    <row r="1309">
      <c r="A1309" s="27" t="s">
        <v>5490</v>
      </c>
      <c r="B1309" s="28" t="s">
        <v>5491</v>
      </c>
      <c r="C1309" s="27" t="s">
        <v>5492</v>
      </c>
      <c r="D1309" s="27">
        <v>5.0</v>
      </c>
      <c r="E1309" s="27" t="s">
        <v>5493</v>
      </c>
      <c r="F1309" s="27">
        <v>1.0</v>
      </c>
      <c r="G1309" s="29">
        <v>45621.01527777778</v>
      </c>
      <c r="H1309" s="27" t="s">
        <v>4737</v>
      </c>
      <c r="I1309" s="18"/>
      <c r="J1309" s="25" t="str">
        <f>IFERROR(__xludf.DUMMYFUNCTION("ARRAYFORMULA(REGEXEXTRACT(SPLIT(C1309, ""&lt;br&gt;""), ""([가-힣A-Za-z]+)""))"),"한메")</f>
        <v>한메</v>
      </c>
      <c r="K1309" s="26" t="str">
        <f>IFERROR(__xludf.DUMMYFUNCTION("""COMPUTED_VALUE"""),"신형만")</f>
        <v>신형만</v>
      </c>
      <c r="L1309" s="26" t="str">
        <f>IFERROR(__xludf.DUMMYFUNCTION("""COMPUTED_VALUE"""),"짱구")</f>
        <v>짱구</v>
      </c>
      <c r="M1309" s="26" t="str">
        <f>IFERROR(__xludf.DUMMYFUNCTION("""COMPUTED_VALUE"""),"키키")</f>
        <v>키키</v>
      </c>
      <c r="N1309" s="26" t="str">
        <f>IFERROR(__xludf.DUMMYFUNCTION("ARRAYFORMULA(REGEXEXTRACT(SPLIT(E1309, ""&lt;br&gt;""), ""([가-힣A-Za-z]+)""))"),"ACDC")</f>
        <v>ACDC</v>
      </c>
      <c r="O1309" s="26" t="str">
        <f>IFERROR(__xludf.DUMMYFUNCTION("""COMPUTED_VALUE"""),"깡패")</f>
        <v>깡패</v>
      </c>
      <c r="P1309" s="26" t="str">
        <f>IFERROR(__xludf.DUMMYFUNCTION("""COMPUTED_VALUE"""),"조드")</f>
        <v>조드</v>
      </c>
      <c r="Q1309" s="26" t="str">
        <f>IFERROR(__xludf.DUMMYFUNCTION("""COMPUTED_VALUE"""),"재우")</f>
        <v>재우</v>
      </c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</row>
    <row r="1310">
      <c r="A1310" s="27" t="s">
        <v>5494</v>
      </c>
      <c r="B1310" s="28" t="s">
        <v>5495</v>
      </c>
      <c r="C1310" s="27" t="s">
        <v>5496</v>
      </c>
      <c r="D1310" s="27">
        <v>5.0</v>
      </c>
      <c r="E1310" s="27" t="s">
        <v>5497</v>
      </c>
      <c r="F1310" s="27">
        <v>3.0</v>
      </c>
      <c r="G1310" s="29">
        <v>45621.001388888886</v>
      </c>
      <c r="H1310" s="27" t="s">
        <v>4737</v>
      </c>
      <c r="I1310" s="18"/>
      <c r="J1310" s="25" t="str">
        <f>IFERROR(__xludf.DUMMYFUNCTION("ARRAYFORMULA(REGEXEXTRACT(SPLIT(C1310, ""&lt;br&gt;""), ""([가-힣A-Za-z]+)""))"),"짱구")</f>
        <v>짱구</v>
      </c>
      <c r="K1310" s="26" t="str">
        <f>IFERROR(__xludf.DUMMYFUNCTION("""COMPUTED_VALUE"""),"깡패")</f>
        <v>깡패</v>
      </c>
      <c r="L1310" s="26" t="str">
        <f>IFERROR(__xludf.DUMMYFUNCTION("""COMPUTED_VALUE"""),"ACDC")</f>
        <v>ACDC</v>
      </c>
      <c r="M1310" s="26" t="str">
        <f>IFERROR(__xludf.DUMMYFUNCTION("""COMPUTED_VALUE"""),"한메")</f>
        <v>한메</v>
      </c>
      <c r="N1310" s="26" t="str">
        <f>IFERROR(__xludf.DUMMYFUNCTION("ARRAYFORMULA(REGEXEXTRACT(SPLIT(E1310, ""&lt;br&gt;""), ""([가-힣A-Za-z]+)""))"),"키키")</f>
        <v>키키</v>
      </c>
      <c r="O1310" s="26" t="str">
        <f>IFERROR(__xludf.DUMMYFUNCTION("""COMPUTED_VALUE"""),"조드")</f>
        <v>조드</v>
      </c>
      <c r="P1310" s="26" t="str">
        <f>IFERROR(__xludf.DUMMYFUNCTION("""COMPUTED_VALUE"""),"재우")</f>
        <v>재우</v>
      </c>
      <c r="Q1310" s="26" t="str">
        <f>IFERROR(__xludf.DUMMYFUNCTION("""COMPUTED_VALUE"""),"신형만")</f>
        <v>신형만</v>
      </c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</row>
    <row r="1311">
      <c r="A1311" s="27" t="s">
        <v>5498</v>
      </c>
      <c r="B1311" s="28" t="s">
        <v>5499</v>
      </c>
      <c r="C1311" s="27" t="s">
        <v>5500</v>
      </c>
      <c r="D1311" s="27">
        <v>5.0</v>
      </c>
      <c r="E1311" s="27" t="s">
        <v>5501</v>
      </c>
      <c r="F1311" s="27">
        <v>3.0</v>
      </c>
      <c r="G1311" s="29">
        <v>45620.970138888886</v>
      </c>
      <c r="H1311" s="27" t="s">
        <v>4737</v>
      </c>
      <c r="I1311" s="18"/>
      <c r="J1311" s="25" t="str">
        <f>IFERROR(__xludf.DUMMYFUNCTION("ARRAYFORMULA(REGEXEXTRACT(SPLIT(C1311, ""&lt;br&gt;""), ""([가-힣A-Za-z]+)""))"),"신형만")</f>
        <v>신형만</v>
      </c>
      <c r="K1311" s="26" t="str">
        <f>IFERROR(__xludf.DUMMYFUNCTION("""COMPUTED_VALUE"""),"짱구")</f>
        <v>짱구</v>
      </c>
      <c r="L1311" s="26" t="str">
        <f>IFERROR(__xludf.DUMMYFUNCTION("""COMPUTED_VALUE"""),"조드")</f>
        <v>조드</v>
      </c>
      <c r="M1311" s="26" t="str">
        <f>IFERROR(__xludf.DUMMYFUNCTION("""COMPUTED_VALUE"""),"ACDC")</f>
        <v>ACDC</v>
      </c>
      <c r="N1311" s="26" t="str">
        <f>IFERROR(__xludf.DUMMYFUNCTION("ARRAYFORMULA(REGEXEXTRACT(SPLIT(E1311, ""&lt;br&gt;""), ""([가-힣A-Za-z]+)""))"),"강화")</f>
        <v>강화</v>
      </c>
      <c r="O1311" s="26" t="str">
        <f>IFERROR(__xludf.DUMMYFUNCTION("""COMPUTED_VALUE"""),"깡패")</f>
        <v>깡패</v>
      </c>
      <c r="P1311" s="26" t="str">
        <f>IFERROR(__xludf.DUMMYFUNCTION("""COMPUTED_VALUE"""),"재우")</f>
        <v>재우</v>
      </c>
      <c r="Q1311" s="26" t="str">
        <f>IFERROR(__xludf.DUMMYFUNCTION("""COMPUTED_VALUE"""),"키키")</f>
        <v>키키</v>
      </c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</row>
    <row r="1312">
      <c r="A1312" s="27" t="s">
        <v>5502</v>
      </c>
      <c r="B1312" s="28" t="s">
        <v>5503</v>
      </c>
      <c r="C1312" s="27" t="s">
        <v>5504</v>
      </c>
      <c r="D1312" s="27">
        <v>5.0</v>
      </c>
      <c r="E1312" s="27" t="s">
        <v>5505</v>
      </c>
      <c r="F1312" s="27">
        <v>0.0</v>
      </c>
      <c r="G1312" s="29">
        <v>45620.94930555556</v>
      </c>
      <c r="H1312" s="27" t="s">
        <v>4737</v>
      </c>
      <c r="I1312" s="18"/>
      <c r="J1312" s="25" t="str">
        <f>IFERROR(__xludf.DUMMYFUNCTION("ARRAYFORMULA(REGEXEXTRACT(SPLIT(C1312, ""&lt;br&gt;""), ""([가-힣A-Za-z]+)""))"),"깡패")</f>
        <v>깡패</v>
      </c>
      <c r="K1312" s="26" t="str">
        <f>IFERROR(__xludf.DUMMYFUNCTION("""COMPUTED_VALUE"""),"짱구")</f>
        <v>짱구</v>
      </c>
      <c r="L1312" s="26" t="str">
        <f>IFERROR(__xludf.DUMMYFUNCTION("""COMPUTED_VALUE"""),"키키")</f>
        <v>키키</v>
      </c>
      <c r="M1312" s="26" t="str">
        <f>IFERROR(__xludf.DUMMYFUNCTION("""COMPUTED_VALUE"""),"조드")</f>
        <v>조드</v>
      </c>
      <c r="N1312" s="26" t="str">
        <f>IFERROR(__xludf.DUMMYFUNCTION("ARRAYFORMULA(REGEXEXTRACT(SPLIT(E1312, ""&lt;br&gt;""), ""([가-힣A-Za-z]+)""))"),"ACDC")</f>
        <v>ACDC</v>
      </c>
      <c r="O1312" s="26" t="str">
        <f>IFERROR(__xludf.DUMMYFUNCTION("""COMPUTED_VALUE"""),"신형만")</f>
        <v>신형만</v>
      </c>
      <c r="P1312" s="26" t="str">
        <f>IFERROR(__xludf.DUMMYFUNCTION("""COMPUTED_VALUE"""),"강화")</f>
        <v>강화</v>
      </c>
      <c r="Q1312" s="26" t="str">
        <f>IFERROR(__xludf.DUMMYFUNCTION("""COMPUTED_VALUE"""),"재우")</f>
        <v>재우</v>
      </c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</row>
    <row r="1313">
      <c r="A1313" s="27" t="s">
        <v>5506</v>
      </c>
      <c r="B1313" s="28" t="s">
        <v>5507</v>
      </c>
      <c r="C1313" s="27" t="s">
        <v>5508</v>
      </c>
      <c r="D1313" s="27">
        <v>5.0</v>
      </c>
      <c r="E1313" s="27" t="s">
        <v>5509</v>
      </c>
      <c r="F1313" s="27">
        <v>1.0</v>
      </c>
      <c r="G1313" s="29">
        <v>45620.936111111114</v>
      </c>
      <c r="H1313" s="27" t="s">
        <v>4737</v>
      </c>
      <c r="I1313" s="18"/>
      <c r="J1313" s="25" t="str">
        <f>IFERROR(__xludf.DUMMYFUNCTION("ARRAYFORMULA(REGEXEXTRACT(SPLIT(C1313, ""&lt;br&gt;""), ""([가-힣A-Za-z]+)""))"),"키키")</f>
        <v>키키</v>
      </c>
      <c r="K1313" s="26" t="str">
        <f>IFERROR(__xludf.DUMMYFUNCTION("""COMPUTED_VALUE"""),"신형만")</f>
        <v>신형만</v>
      </c>
      <c r="L1313" s="26" t="str">
        <f>IFERROR(__xludf.DUMMYFUNCTION("""COMPUTED_VALUE"""),"재우")</f>
        <v>재우</v>
      </c>
      <c r="M1313" s="26" t="str">
        <f>IFERROR(__xludf.DUMMYFUNCTION("""COMPUTED_VALUE"""),"깡패")</f>
        <v>깡패</v>
      </c>
      <c r="N1313" s="26" t="str">
        <f>IFERROR(__xludf.DUMMYFUNCTION("ARRAYFORMULA(REGEXEXTRACT(SPLIT(E1313, ""&lt;br&gt;""), ""([가-힣A-Za-z]+)""))"),"ACDC")</f>
        <v>ACDC</v>
      </c>
      <c r="O1313" s="26" t="str">
        <f>IFERROR(__xludf.DUMMYFUNCTION("""COMPUTED_VALUE"""),"짱구")</f>
        <v>짱구</v>
      </c>
      <c r="P1313" s="26" t="str">
        <f>IFERROR(__xludf.DUMMYFUNCTION("""COMPUTED_VALUE"""),"강화")</f>
        <v>강화</v>
      </c>
      <c r="Q1313" s="26" t="str">
        <f>IFERROR(__xludf.DUMMYFUNCTION("""COMPUTED_VALUE"""),"조드")</f>
        <v>조드</v>
      </c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</row>
    <row r="1314">
      <c r="A1314" s="27" t="s">
        <v>5510</v>
      </c>
      <c r="B1314" s="28" t="s">
        <v>5511</v>
      </c>
      <c r="C1314" s="27" t="s">
        <v>5512</v>
      </c>
      <c r="D1314" s="27">
        <v>5.0</v>
      </c>
      <c r="E1314" s="27" t="s">
        <v>5513</v>
      </c>
      <c r="F1314" s="27">
        <v>4.0</v>
      </c>
      <c r="G1314" s="29">
        <v>45620.90972222222</v>
      </c>
      <c r="H1314" s="27" t="s">
        <v>4737</v>
      </c>
      <c r="I1314" s="18"/>
      <c r="J1314" s="25" t="str">
        <f>IFERROR(__xludf.DUMMYFUNCTION("ARRAYFORMULA(REGEXEXTRACT(SPLIT(C1314, ""&lt;br&gt;""), ""([가-힣A-Za-z]+)""))"),"깡패")</f>
        <v>깡패</v>
      </c>
      <c r="K1314" s="26" t="str">
        <f>IFERROR(__xludf.DUMMYFUNCTION("""COMPUTED_VALUE"""),"조드")</f>
        <v>조드</v>
      </c>
      <c r="L1314" s="26" t="str">
        <f>IFERROR(__xludf.DUMMYFUNCTION("""COMPUTED_VALUE"""),"테리")</f>
        <v>테리</v>
      </c>
      <c r="M1314" s="26" t="str">
        <f>IFERROR(__xludf.DUMMYFUNCTION("""COMPUTED_VALUE"""),"봉구")</f>
        <v>봉구</v>
      </c>
      <c r="N1314" s="26" t="str">
        <f>IFERROR(__xludf.DUMMYFUNCTION("ARRAYFORMULA(REGEXEXTRACT(SPLIT(E1314, ""&lt;br&gt;""), ""([가-힣A-Za-z]+)""))"),"신형만")</f>
        <v>신형만</v>
      </c>
      <c r="O1314" s="26" t="str">
        <f>IFERROR(__xludf.DUMMYFUNCTION("""COMPUTED_VALUE"""),"ACDC")</f>
        <v>ACDC</v>
      </c>
      <c r="P1314" s="26" t="str">
        <f>IFERROR(__xludf.DUMMYFUNCTION("""COMPUTED_VALUE"""),"짱구")</f>
        <v>짱구</v>
      </c>
      <c r="Q1314" s="26" t="str">
        <f>IFERROR(__xludf.DUMMYFUNCTION("""COMPUTED_VALUE"""),"강화")</f>
        <v>강화</v>
      </c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</row>
    <row r="1315">
      <c r="A1315" s="27" t="s">
        <v>5514</v>
      </c>
      <c r="B1315" s="28" t="s">
        <v>5515</v>
      </c>
      <c r="C1315" s="27" t="s">
        <v>5516</v>
      </c>
      <c r="D1315" s="27">
        <v>5.0</v>
      </c>
      <c r="E1315" s="27" t="s">
        <v>5517</v>
      </c>
      <c r="F1315" s="27">
        <v>1.0</v>
      </c>
      <c r="G1315" s="29">
        <v>45620.876388888886</v>
      </c>
      <c r="H1315" s="27" t="s">
        <v>4737</v>
      </c>
      <c r="I1315" s="18"/>
      <c r="J1315" s="25" t="str">
        <f>IFERROR(__xludf.DUMMYFUNCTION("ARRAYFORMULA(REGEXEXTRACT(SPLIT(C1315, ""&lt;br&gt;""), ""([가-힣A-Za-z]+)""))"),"깡패")</f>
        <v>깡패</v>
      </c>
      <c r="K1315" s="26" t="str">
        <f>IFERROR(__xludf.DUMMYFUNCTION("""COMPUTED_VALUE"""),"테리")</f>
        <v>테리</v>
      </c>
      <c r="L1315" s="26" t="str">
        <f>IFERROR(__xludf.DUMMYFUNCTION("""COMPUTED_VALUE"""),"짱구")</f>
        <v>짱구</v>
      </c>
      <c r="M1315" s="26" t="str">
        <f>IFERROR(__xludf.DUMMYFUNCTION("""COMPUTED_VALUE"""),"ACDC")</f>
        <v>ACDC</v>
      </c>
      <c r="N1315" s="26" t="str">
        <f>IFERROR(__xludf.DUMMYFUNCTION("ARRAYFORMULA(REGEXEXTRACT(SPLIT(E1315, ""&lt;br&gt;""), ""([가-힣A-Za-z]+)""))"),"신형만")</f>
        <v>신형만</v>
      </c>
      <c r="O1315" s="26" t="str">
        <f>IFERROR(__xludf.DUMMYFUNCTION("""COMPUTED_VALUE"""),"강화")</f>
        <v>강화</v>
      </c>
      <c r="P1315" s="26" t="str">
        <f>IFERROR(__xludf.DUMMYFUNCTION("""COMPUTED_VALUE"""),"조드")</f>
        <v>조드</v>
      </c>
      <c r="Q1315" s="26" t="str">
        <f>IFERROR(__xludf.DUMMYFUNCTION("""COMPUTED_VALUE"""),"봉구")</f>
        <v>봉구</v>
      </c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</row>
    <row r="1316">
      <c r="A1316" s="27" t="s">
        <v>5518</v>
      </c>
      <c r="B1316" s="28" t="s">
        <v>5519</v>
      </c>
      <c r="C1316" s="27" t="s">
        <v>5520</v>
      </c>
      <c r="D1316" s="27">
        <v>5.0</v>
      </c>
      <c r="E1316" s="27" t="s">
        <v>5521</v>
      </c>
      <c r="F1316" s="27">
        <v>2.0</v>
      </c>
      <c r="G1316" s="29">
        <v>45620.86041666667</v>
      </c>
      <c r="H1316" s="27" t="s">
        <v>4737</v>
      </c>
      <c r="I1316" s="18"/>
      <c r="J1316" s="25" t="str">
        <f>IFERROR(__xludf.DUMMYFUNCTION("ARRAYFORMULA(REGEXEXTRACT(SPLIT(C1316, ""&lt;br&gt;""), ""([가-힣A-Za-z]+)""))"),"신형만")</f>
        <v>신형만</v>
      </c>
      <c r="K1316" s="26" t="str">
        <f>IFERROR(__xludf.DUMMYFUNCTION("""COMPUTED_VALUE"""),"강화")</f>
        <v>강화</v>
      </c>
      <c r="L1316" s="26" t="str">
        <f>IFERROR(__xludf.DUMMYFUNCTION("""COMPUTED_VALUE"""),"짱구")</f>
        <v>짱구</v>
      </c>
      <c r="M1316" s="26" t="str">
        <f>IFERROR(__xludf.DUMMYFUNCTION("""COMPUTED_VALUE"""),"ACDC")</f>
        <v>ACDC</v>
      </c>
      <c r="N1316" s="26" t="str">
        <f>IFERROR(__xludf.DUMMYFUNCTION("ARRAYFORMULA(REGEXEXTRACT(SPLIT(E1316, ""&lt;br&gt;""), ""([가-힣A-Za-z]+)""))"),"테리")</f>
        <v>테리</v>
      </c>
      <c r="O1316" s="26" t="str">
        <f>IFERROR(__xludf.DUMMYFUNCTION("""COMPUTED_VALUE"""),"봉구")</f>
        <v>봉구</v>
      </c>
      <c r="P1316" s="26" t="str">
        <f>IFERROR(__xludf.DUMMYFUNCTION("""COMPUTED_VALUE"""),"깡패")</f>
        <v>깡패</v>
      </c>
      <c r="Q1316" s="26" t="str">
        <f>IFERROR(__xludf.DUMMYFUNCTION("""COMPUTED_VALUE"""),"조드")</f>
        <v>조드</v>
      </c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</row>
    <row r="1317">
      <c r="A1317" s="27" t="s">
        <v>5522</v>
      </c>
      <c r="B1317" s="28" t="s">
        <v>5523</v>
      </c>
      <c r="C1317" s="27" t="s">
        <v>5524</v>
      </c>
      <c r="D1317" s="27">
        <v>5.0</v>
      </c>
      <c r="E1317" s="27" t="s">
        <v>5525</v>
      </c>
      <c r="F1317" s="27">
        <v>3.0</v>
      </c>
      <c r="G1317" s="29">
        <v>45614.004166666666</v>
      </c>
      <c r="H1317" s="27" t="s">
        <v>5526</v>
      </c>
      <c r="I1317" s="18"/>
      <c r="J1317" s="25" t="str">
        <f>IFERROR(__xludf.DUMMYFUNCTION("ARRAYFORMULA(REGEXEXTRACT(SPLIT(C1317, ""&lt;br&gt;""), ""([가-힣A-Za-z]+)""))"),"테리")</f>
        <v>테리</v>
      </c>
      <c r="K1317" s="26" t="str">
        <f>IFERROR(__xludf.DUMMYFUNCTION("""COMPUTED_VALUE"""),"깡패")</f>
        <v>깡패</v>
      </c>
      <c r="L1317" s="26" t="str">
        <f>IFERROR(__xludf.DUMMYFUNCTION("""COMPUTED_VALUE"""),"한메")</f>
        <v>한메</v>
      </c>
      <c r="M1317" s="26" t="str">
        <f>IFERROR(__xludf.DUMMYFUNCTION("""COMPUTED_VALUE"""),"신형만")</f>
        <v>신형만</v>
      </c>
      <c r="N1317" s="26" t="str">
        <f>IFERROR(__xludf.DUMMYFUNCTION("ARRAYFORMULA(REGEXEXTRACT(SPLIT(E1317, ""&lt;br&gt;""), ""([가-힣A-Za-z]+)""))"),"짱구")</f>
        <v>짱구</v>
      </c>
      <c r="O1317" s="26" t="str">
        <f>IFERROR(__xludf.DUMMYFUNCTION("""COMPUTED_VALUE"""),"노인")</f>
        <v>노인</v>
      </c>
      <c r="P1317" s="26" t="str">
        <f>IFERROR(__xludf.DUMMYFUNCTION("""COMPUTED_VALUE"""),"키키")</f>
        <v>키키</v>
      </c>
      <c r="Q1317" s="26" t="str">
        <f>IFERROR(__xludf.DUMMYFUNCTION("""COMPUTED_VALUE"""),"조드")</f>
        <v>조드</v>
      </c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</row>
    <row r="1318">
      <c r="A1318" s="27" t="s">
        <v>5527</v>
      </c>
      <c r="B1318" s="28" t="s">
        <v>5528</v>
      </c>
      <c r="C1318" s="27" t="s">
        <v>5529</v>
      </c>
      <c r="D1318" s="27">
        <v>5.0</v>
      </c>
      <c r="E1318" s="27" t="s">
        <v>5530</v>
      </c>
      <c r="F1318" s="27">
        <v>0.0</v>
      </c>
      <c r="G1318" s="29">
        <v>45613.967361111114</v>
      </c>
      <c r="H1318" s="27" t="s">
        <v>5526</v>
      </c>
      <c r="I1318" s="18"/>
      <c r="J1318" s="25" t="str">
        <f>IFERROR(__xludf.DUMMYFUNCTION("ARRAYFORMULA(REGEXEXTRACT(SPLIT(C1318, ""&lt;br&gt;""), ""([가-힣A-Za-z]+)""))"),"키키")</f>
        <v>키키</v>
      </c>
      <c r="K1318" s="26" t="str">
        <f>IFERROR(__xludf.DUMMYFUNCTION("""COMPUTED_VALUE"""),"테리")</f>
        <v>테리</v>
      </c>
      <c r="L1318" s="26" t="str">
        <f>IFERROR(__xludf.DUMMYFUNCTION("""COMPUTED_VALUE"""),"노인")</f>
        <v>노인</v>
      </c>
      <c r="M1318" s="26" t="str">
        <f>IFERROR(__xludf.DUMMYFUNCTION("""COMPUTED_VALUE"""),"깡패")</f>
        <v>깡패</v>
      </c>
      <c r="N1318" s="26" t="str">
        <f>IFERROR(__xludf.DUMMYFUNCTION("ARRAYFORMULA(REGEXEXTRACT(SPLIT(E1318, ""&lt;br&gt;""), ""([가-힣A-Za-z]+)""))"),"짱구")</f>
        <v>짱구</v>
      </c>
      <c r="O1318" s="26" t="str">
        <f>IFERROR(__xludf.DUMMYFUNCTION("""COMPUTED_VALUE"""),"신형만")</f>
        <v>신형만</v>
      </c>
      <c r="P1318" s="26" t="str">
        <f>IFERROR(__xludf.DUMMYFUNCTION("""COMPUTED_VALUE"""),"조드")</f>
        <v>조드</v>
      </c>
      <c r="Q1318" s="26" t="str">
        <f>IFERROR(__xludf.DUMMYFUNCTION("""COMPUTED_VALUE"""),"한메")</f>
        <v>한메</v>
      </c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</row>
    <row r="1319">
      <c r="A1319" s="27" t="s">
        <v>5531</v>
      </c>
      <c r="B1319" s="28" t="s">
        <v>5532</v>
      </c>
      <c r="C1319" s="27" t="s">
        <v>5533</v>
      </c>
      <c r="D1319" s="27">
        <v>5.0</v>
      </c>
      <c r="E1319" s="27" t="s">
        <v>5534</v>
      </c>
      <c r="F1319" s="27">
        <v>0.0</v>
      </c>
      <c r="G1319" s="29">
        <v>45613.947222222225</v>
      </c>
      <c r="H1319" s="27" t="s">
        <v>5526</v>
      </c>
      <c r="I1319" s="18"/>
      <c r="J1319" s="25" t="str">
        <f>IFERROR(__xludf.DUMMYFUNCTION("ARRAYFORMULA(REGEXEXTRACT(SPLIT(C1319, ""&lt;br&gt;""), ""([가-힣A-Za-z]+)""))"),"노인")</f>
        <v>노인</v>
      </c>
      <c r="K1319" s="26" t="str">
        <f>IFERROR(__xludf.DUMMYFUNCTION("""COMPUTED_VALUE"""),"신형만")</f>
        <v>신형만</v>
      </c>
      <c r="L1319" s="26" t="str">
        <f>IFERROR(__xludf.DUMMYFUNCTION("""COMPUTED_VALUE"""),"키키")</f>
        <v>키키</v>
      </c>
      <c r="M1319" s="26" t="str">
        <f>IFERROR(__xludf.DUMMYFUNCTION("""COMPUTED_VALUE"""),"조드")</f>
        <v>조드</v>
      </c>
      <c r="N1319" s="26" t="str">
        <f>IFERROR(__xludf.DUMMYFUNCTION("ARRAYFORMULA(REGEXEXTRACT(SPLIT(E1319, ""&lt;br&gt;""), ""([가-힣A-Za-z]+)""))"),"한메")</f>
        <v>한메</v>
      </c>
      <c r="O1319" s="26" t="str">
        <f>IFERROR(__xludf.DUMMYFUNCTION("""COMPUTED_VALUE"""),"짱구")</f>
        <v>짱구</v>
      </c>
      <c r="P1319" s="26" t="str">
        <f>IFERROR(__xludf.DUMMYFUNCTION("""COMPUTED_VALUE"""),"테리")</f>
        <v>테리</v>
      </c>
      <c r="Q1319" s="26" t="str">
        <f>IFERROR(__xludf.DUMMYFUNCTION("""COMPUTED_VALUE"""),"깡패")</f>
        <v>깡패</v>
      </c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</row>
    <row r="1320">
      <c r="A1320" s="27" t="s">
        <v>5535</v>
      </c>
      <c r="B1320" s="28" t="s">
        <v>5536</v>
      </c>
      <c r="C1320" s="27" t="s">
        <v>5537</v>
      </c>
      <c r="D1320" s="27">
        <v>5.0</v>
      </c>
      <c r="E1320" s="27" t="s">
        <v>5538</v>
      </c>
      <c r="F1320" s="27">
        <v>3.0</v>
      </c>
      <c r="G1320" s="29">
        <v>45613.92361111111</v>
      </c>
      <c r="H1320" s="27" t="s">
        <v>5526</v>
      </c>
      <c r="I1320" s="18"/>
      <c r="J1320" s="25" t="str">
        <f>IFERROR(__xludf.DUMMYFUNCTION("ARRAYFORMULA(REGEXEXTRACT(SPLIT(C1320, ""&lt;br&gt;""), ""([가-힣A-Za-z]+)""))"),"깡패")</f>
        <v>깡패</v>
      </c>
      <c r="K1320" s="26" t="str">
        <f>IFERROR(__xludf.DUMMYFUNCTION("""COMPUTED_VALUE"""),"신형만")</f>
        <v>신형만</v>
      </c>
      <c r="L1320" s="26" t="str">
        <f>IFERROR(__xludf.DUMMYFUNCTION("""COMPUTED_VALUE"""),"한메")</f>
        <v>한메</v>
      </c>
      <c r="M1320" s="26" t="str">
        <f>IFERROR(__xludf.DUMMYFUNCTION("""COMPUTED_VALUE"""),"키키")</f>
        <v>키키</v>
      </c>
      <c r="N1320" s="26" t="str">
        <f>IFERROR(__xludf.DUMMYFUNCTION("ARRAYFORMULA(REGEXEXTRACT(SPLIT(E1320, ""&lt;br&gt;""), ""([가-힣A-Za-z]+)""))"),"테리")</f>
        <v>테리</v>
      </c>
      <c r="O1320" s="26" t="str">
        <f>IFERROR(__xludf.DUMMYFUNCTION("""COMPUTED_VALUE"""),"조드")</f>
        <v>조드</v>
      </c>
      <c r="P1320" s="26" t="str">
        <f>IFERROR(__xludf.DUMMYFUNCTION("""COMPUTED_VALUE"""),"짱구")</f>
        <v>짱구</v>
      </c>
      <c r="Q1320" s="26" t="str">
        <f>IFERROR(__xludf.DUMMYFUNCTION("""COMPUTED_VALUE"""),"노인")</f>
        <v>노인</v>
      </c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</row>
    <row r="1321">
      <c r="A1321" s="27" t="s">
        <v>5539</v>
      </c>
      <c r="B1321" s="28" t="s">
        <v>5540</v>
      </c>
      <c r="C1321" s="27" t="s">
        <v>5541</v>
      </c>
      <c r="D1321" s="27">
        <v>5.0</v>
      </c>
      <c r="E1321" s="27" t="s">
        <v>5542</v>
      </c>
      <c r="F1321" s="27">
        <v>0.0</v>
      </c>
      <c r="G1321" s="29">
        <v>45613.88958333333</v>
      </c>
      <c r="H1321" s="27" t="s">
        <v>5526</v>
      </c>
      <c r="I1321" s="18"/>
      <c r="J1321" s="25" t="str">
        <f>IFERROR(__xludf.DUMMYFUNCTION("ARRAYFORMULA(REGEXEXTRACT(SPLIT(C1321, ""&lt;br&gt;""), ""([가-힣A-Za-z]+)""))"),"민우")</f>
        <v>민우</v>
      </c>
      <c r="K1321" s="26" t="str">
        <f>IFERROR(__xludf.DUMMYFUNCTION("""COMPUTED_VALUE"""),"짱구")</f>
        <v>짱구</v>
      </c>
      <c r="L1321" s="26" t="str">
        <f>IFERROR(__xludf.DUMMYFUNCTION("""COMPUTED_VALUE"""),"조드")</f>
        <v>조드</v>
      </c>
      <c r="M1321" s="26" t="str">
        <f>IFERROR(__xludf.DUMMYFUNCTION("""COMPUTED_VALUE"""),"노인")</f>
        <v>노인</v>
      </c>
      <c r="N1321" s="26" t="str">
        <f>IFERROR(__xludf.DUMMYFUNCTION("ARRAYFORMULA(REGEXEXTRACT(SPLIT(E1321, ""&lt;br&gt;""), ""([가-힣A-Za-z]+)""))"),"테리")</f>
        <v>테리</v>
      </c>
      <c r="O1321" s="26" t="str">
        <f>IFERROR(__xludf.DUMMYFUNCTION("""COMPUTED_VALUE"""),"키키")</f>
        <v>키키</v>
      </c>
      <c r="P1321" s="26" t="str">
        <f>IFERROR(__xludf.DUMMYFUNCTION("""COMPUTED_VALUE"""),"신형만")</f>
        <v>신형만</v>
      </c>
      <c r="Q1321" s="26" t="str">
        <f>IFERROR(__xludf.DUMMYFUNCTION("""COMPUTED_VALUE"""),"요즘")</f>
        <v>요즘</v>
      </c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</row>
    <row r="1322">
      <c r="A1322" s="27" t="s">
        <v>5543</v>
      </c>
      <c r="B1322" s="28" t="s">
        <v>5544</v>
      </c>
      <c r="C1322" s="27" t="s">
        <v>5545</v>
      </c>
      <c r="D1322" s="27">
        <v>5.0</v>
      </c>
      <c r="E1322" s="27" t="s">
        <v>5546</v>
      </c>
      <c r="F1322" s="27">
        <v>4.0</v>
      </c>
      <c r="G1322" s="29">
        <v>45613.86736111111</v>
      </c>
      <c r="H1322" s="27" t="s">
        <v>5526</v>
      </c>
      <c r="I1322" s="18"/>
      <c r="J1322" s="25" t="str">
        <f>IFERROR(__xludf.DUMMYFUNCTION("ARRAYFORMULA(REGEXEXTRACT(SPLIT(C1322, ""&lt;br&gt;""), ""([가-힣A-Za-z]+)""))"),"키키")</f>
        <v>키키</v>
      </c>
      <c r="K1322" s="26" t="str">
        <f>IFERROR(__xludf.DUMMYFUNCTION("""COMPUTED_VALUE"""),"테리")</f>
        <v>테리</v>
      </c>
      <c r="L1322" s="26" t="str">
        <f>IFERROR(__xludf.DUMMYFUNCTION("""COMPUTED_VALUE"""),"민우")</f>
        <v>민우</v>
      </c>
      <c r="M1322" s="26" t="str">
        <f>IFERROR(__xludf.DUMMYFUNCTION("""COMPUTED_VALUE"""),"조드")</f>
        <v>조드</v>
      </c>
      <c r="N1322" s="26" t="str">
        <f>IFERROR(__xludf.DUMMYFUNCTION("ARRAYFORMULA(REGEXEXTRACT(SPLIT(E1322, ""&lt;br&gt;""), ""([가-힣A-Za-z]+)""))"),"노인")</f>
        <v>노인</v>
      </c>
      <c r="O1322" s="26" t="str">
        <f>IFERROR(__xludf.DUMMYFUNCTION("""COMPUTED_VALUE"""),"요즘")</f>
        <v>요즘</v>
      </c>
      <c r="P1322" s="26" t="str">
        <f>IFERROR(__xludf.DUMMYFUNCTION("""COMPUTED_VALUE"""),"짱구")</f>
        <v>짱구</v>
      </c>
      <c r="Q1322" s="26" t="str">
        <f>IFERROR(__xludf.DUMMYFUNCTION("""COMPUTED_VALUE"""),"신형만")</f>
        <v>신형만</v>
      </c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</row>
    <row r="1323">
      <c r="A1323" s="27" t="s">
        <v>5547</v>
      </c>
      <c r="B1323" s="28" t="s">
        <v>5548</v>
      </c>
      <c r="C1323" s="27" t="s">
        <v>5549</v>
      </c>
      <c r="D1323" s="27">
        <v>5.0</v>
      </c>
      <c r="E1323" s="27" t="s">
        <v>5550</v>
      </c>
      <c r="F1323" s="27">
        <v>3.0</v>
      </c>
      <c r="G1323" s="29">
        <v>45613.72361111111</v>
      </c>
      <c r="H1323" s="27" t="s">
        <v>5526</v>
      </c>
      <c r="I1323" s="18"/>
      <c r="J1323" s="25" t="str">
        <f>IFERROR(__xludf.DUMMYFUNCTION("ARRAYFORMULA(REGEXEXTRACT(SPLIT(C1323, ""&lt;br&gt;""), ""([가-힣A-Za-z]+)""))"),"노인")</f>
        <v>노인</v>
      </c>
      <c r="K1323" s="26" t="str">
        <f>IFERROR(__xludf.DUMMYFUNCTION("""COMPUTED_VALUE"""),"짱구")</f>
        <v>짱구</v>
      </c>
      <c r="L1323" s="26" t="str">
        <f>IFERROR(__xludf.DUMMYFUNCTION("""COMPUTED_VALUE"""),"테리")</f>
        <v>테리</v>
      </c>
      <c r="M1323" s="26" t="str">
        <f>IFERROR(__xludf.DUMMYFUNCTION("""COMPUTED_VALUE"""),"한메")</f>
        <v>한메</v>
      </c>
      <c r="N1323" s="26" t="str">
        <f>IFERROR(__xludf.DUMMYFUNCTION("ARRAYFORMULA(REGEXEXTRACT(SPLIT(E1323, ""&lt;br&gt;""), ""([가-힣A-Za-z]+)""))"),"랄")</f>
        <v>랄</v>
      </c>
      <c r="O1323" s="26" t="str">
        <f>IFERROR(__xludf.DUMMYFUNCTION("""COMPUTED_VALUE"""),"요즘")</f>
        <v>요즘</v>
      </c>
      <c r="P1323" s="26" t="str">
        <f>IFERROR(__xludf.DUMMYFUNCTION("""COMPUTED_VALUE"""),"시아")</f>
        <v>시아</v>
      </c>
      <c r="Q1323" s="26" t="str">
        <f>IFERROR(__xludf.DUMMYFUNCTION("""COMPUTED_VALUE"""),"신형만")</f>
        <v>신형만</v>
      </c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</row>
    <row r="1324">
      <c r="A1324" s="27" t="s">
        <v>5551</v>
      </c>
      <c r="B1324" s="28" t="s">
        <v>5552</v>
      </c>
      <c r="C1324" s="27" t="s">
        <v>5553</v>
      </c>
      <c r="D1324" s="27">
        <v>5.0</v>
      </c>
      <c r="E1324" s="27" t="s">
        <v>5554</v>
      </c>
      <c r="F1324" s="27">
        <v>1.0</v>
      </c>
      <c r="G1324" s="29">
        <v>45613.72152777778</v>
      </c>
      <c r="H1324" s="27" t="s">
        <v>5526</v>
      </c>
      <c r="I1324" s="18"/>
      <c r="J1324" s="25" t="str">
        <f>IFERROR(__xludf.DUMMYFUNCTION("ARRAYFORMULA(REGEXEXTRACT(SPLIT(C1324, ""&lt;br&gt;""), ""([가-힣A-Za-z]+)""))"),"노인")</f>
        <v>노인</v>
      </c>
      <c r="K1324" s="26" t="str">
        <f>IFERROR(__xludf.DUMMYFUNCTION("""COMPUTED_VALUE"""),"테리")</f>
        <v>테리</v>
      </c>
      <c r="L1324" s="26" t="str">
        <f>IFERROR(__xludf.DUMMYFUNCTION("""COMPUTED_VALUE"""),"시아")</f>
        <v>시아</v>
      </c>
      <c r="M1324" s="26" t="str">
        <f>IFERROR(__xludf.DUMMYFUNCTION("""COMPUTED_VALUE"""),"신형만")</f>
        <v>신형만</v>
      </c>
      <c r="N1324" s="26" t="str">
        <f>IFERROR(__xludf.DUMMYFUNCTION("ARRAYFORMULA(REGEXEXTRACT(SPLIT(E1324, ""&lt;br&gt;""), ""([가-힣A-Za-z]+)""))"),"요즘")</f>
        <v>요즘</v>
      </c>
      <c r="O1324" s="26" t="str">
        <f>IFERROR(__xludf.DUMMYFUNCTION("""COMPUTED_VALUE"""),"랄")</f>
        <v>랄</v>
      </c>
      <c r="P1324" s="26" t="str">
        <f>IFERROR(__xludf.DUMMYFUNCTION("""COMPUTED_VALUE"""),"한메")</f>
        <v>한메</v>
      </c>
      <c r="Q1324" s="26" t="str">
        <f>IFERROR(__xludf.DUMMYFUNCTION("""COMPUTED_VALUE"""),"짱구")</f>
        <v>짱구</v>
      </c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</row>
    <row r="1325">
      <c r="A1325" s="27" t="s">
        <v>5555</v>
      </c>
      <c r="B1325" s="28" t="s">
        <v>5556</v>
      </c>
      <c r="C1325" s="27" t="s">
        <v>5557</v>
      </c>
      <c r="D1325" s="27">
        <v>5.0</v>
      </c>
      <c r="E1325" s="27" t="s">
        <v>5558</v>
      </c>
      <c r="F1325" s="27">
        <v>3.0</v>
      </c>
      <c r="G1325" s="29">
        <v>45613.6625</v>
      </c>
      <c r="H1325" s="27" t="s">
        <v>5526</v>
      </c>
      <c r="I1325" s="18"/>
      <c r="J1325" s="25" t="str">
        <f>IFERROR(__xludf.DUMMYFUNCTION("ARRAYFORMULA(REGEXEXTRACT(SPLIT(C1325, ""&lt;br&gt;""), ""([가-힣A-Za-z]+)""))"),"신형만")</f>
        <v>신형만</v>
      </c>
      <c r="K1325" s="26" t="str">
        <f>IFERROR(__xludf.DUMMYFUNCTION("""COMPUTED_VALUE"""),"짱구")</f>
        <v>짱구</v>
      </c>
      <c r="L1325" s="26" t="str">
        <f>IFERROR(__xludf.DUMMYFUNCTION("""COMPUTED_VALUE"""),"테리")</f>
        <v>테리</v>
      </c>
      <c r="M1325" s="26" t="str">
        <f>IFERROR(__xludf.DUMMYFUNCTION("""COMPUTED_VALUE"""),"한메")</f>
        <v>한메</v>
      </c>
      <c r="N1325" s="26" t="str">
        <f>IFERROR(__xludf.DUMMYFUNCTION("ARRAYFORMULA(REGEXEXTRACT(SPLIT(E1325, ""&lt;br&gt;""), ""([가-힣A-Za-z]+)""))"),"요즘")</f>
        <v>요즘</v>
      </c>
      <c r="O1325" s="26" t="str">
        <f>IFERROR(__xludf.DUMMYFUNCTION("""COMPUTED_VALUE"""),"재명")</f>
        <v>재명</v>
      </c>
      <c r="P1325" s="26" t="str">
        <f>IFERROR(__xludf.DUMMYFUNCTION("""COMPUTED_VALUE"""),"시아")</f>
        <v>시아</v>
      </c>
      <c r="Q1325" s="26" t="str">
        <f>IFERROR(__xludf.DUMMYFUNCTION("""COMPUTED_VALUE"""),"랄")</f>
        <v>랄</v>
      </c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</row>
    <row r="1326">
      <c r="A1326" s="27" t="s">
        <v>5559</v>
      </c>
      <c r="B1326" s="28" t="s">
        <v>5560</v>
      </c>
      <c r="C1326" s="27" t="s">
        <v>5561</v>
      </c>
      <c r="D1326" s="27">
        <v>5.0</v>
      </c>
      <c r="E1326" s="27" t="s">
        <v>5562</v>
      </c>
      <c r="F1326" s="27">
        <v>3.0</v>
      </c>
      <c r="G1326" s="29">
        <v>45613.657638888886</v>
      </c>
      <c r="H1326" s="27" t="s">
        <v>5526</v>
      </c>
      <c r="I1326" s="18"/>
      <c r="J1326" s="25" t="str">
        <f>IFERROR(__xludf.DUMMYFUNCTION("ARRAYFORMULA(REGEXEXTRACT(SPLIT(C1326, ""&lt;br&gt;""), ""([가-힣A-Za-z]+)""))"),"한메")</f>
        <v>한메</v>
      </c>
      <c r="K1326" s="26" t="str">
        <f>IFERROR(__xludf.DUMMYFUNCTION("""COMPUTED_VALUE"""),"신형만")</f>
        <v>신형만</v>
      </c>
      <c r="L1326" s="26" t="str">
        <f>IFERROR(__xludf.DUMMYFUNCTION("""COMPUTED_VALUE"""),"노인")</f>
        <v>노인</v>
      </c>
      <c r="M1326" s="26" t="str">
        <f>IFERROR(__xludf.DUMMYFUNCTION("""COMPUTED_VALUE"""),"요즘")</f>
        <v>요즘</v>
      </c>
      <c r="N1326" s="26" t="str">
        <f>IFERROR(__xludf.DUMMYFUNCTION("ARRAYFORMULA(REGEXEXTRACT(SPLIT(E1326, ""&lt;br&gt;""), ""([가-힣A-Za-z]+)""))"),"시아")</f>
        <v>시아</v>
      </c>
      <c r="O1326" s="26" t="str">
        <f>IFERROR(__xludf.DUMMYFUNCTION("""COMPUTED_VALUE"""),"재명")</f>
        <v>재명</v>
      </c>
      <c r="P1326" s="26" t="str">
        <f>IFERROR(__xludf.DUMMYFUNCTION("""COMPUTED_VALUE"""),"테리")</f>
        <v>테리</v>
      </c>
      <c r="Q1326" s="26" t="str">
        <f>IFERROR(__xludf.DUMMYFUNCTION("""COMPUTED_VALUE"""),"랄")</f>
        <v>랄</v>
      </c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</row>
    <row r="1327">
      <c r="A1327" s="27" t="s">
        <v>5563</v>
      </c>
      <c r="B1327" s="28" t="s">
        <v>5564</v>
      </c>
      <c r="C1327" s="27" t="s">
        <v>5565</v>
      </c>
      <c r="D1327" s="27">
        <v>5.0</v>
      </c>
      <c r="E1327" s="27" t="s">
        <v>5566</v>
      </c>
      <c r="F1327" s="27">
        <v>3.0</v>
      </c>
      <c r="G1327" s="29">
        <v>45613.64861111111</v>
      </c>
      <c r="H1327" s="27" t="s">
        <v>5526</v>
      </c>
      <c r="I1327" s="18"/>
      <c r="J1327" s="25" t="str">
        <f>IFERROR(__xludf.DUMMYFUNCTION("ARRAYFORMULA(REGEXEXTRACT(SPLIT(C1327, ""&lt;br&gt;""), ""([가-힣A-Za-z]+)""))"),"테리")</f>
        <v>테리</v>
      </c>
      <c r="K1327" s="26" t="str">
        <f>IFERROR(__xludf.DUMMYFUNCTION("""COMPUTED_VALUE"""),"노인")</f>
        <v>노인</v>
      </c>
      <c r="L1327" s="26" t="str">
        <f>IFERROR(__xludf.DUMMYFUNCTION("""COMPUTED_VALUE"""),"한메")</f>
        <v>한메</v>
      </c>
      <c r="M1327" s="26" t="str">
        <f>IFERROR(__xludf.DUMMYFUNCTION("""COMPUTED_VALUE"""),"재명")</f>
        <v>재명</v>
      </c>
      <c r="N1327" s="26" t="str">
        <f>IFERROR(__xludf.DUMMYFUNCTION("ARRAYFORMULA(REGEXEXTRACT(SPLIT(E1327, ""&lt;br&gt;""), ""([가-힣A-Za-z]+)""))"),"시아")</f>
        <v>시아</v>
      </c>
      <c r="O1327" s="26" t="str">
        <f>IFERROR(__xludf.DUMMYFUNCTION("""COMPUTED_VALUE"""),"신형만")</f>
        <v>신형만</v>
      </c>
      <c r="P1327" s="26" t="str">
        <f>IFERROR(__xludf.DUMMYFUNCTION("""COMPUTED_VALUE"""),"요즘")</f>
        <v>요즘</v>
      </c>
      <c r="Q1327" s="26" t="str">
        <f>IFERROR(__xludf.DUMMYFUNCTION("""COMPUTED_VALUE"""),"랄")</f>
        <v>랄</v>
      </c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</row>
    <row r="1328">
      <c r="A1328" s="27" t="s">
        <v>5567</v>
      </c>
      <c r="B1328" s="28" t="s">
        <v>5568</v>
      </c>
      <c r="C1328" s="27" t="s">
        <v>5569</v>
      </c>
      <c r="D1328" s="27">
        <v>5.0</v>
      </c>
      <c r="E1328" s="27" t="s">
        <v>5570</v>
      </c>
      <c r="F1328" s="27">
        <v>1.0</v>
      </c>
      <c r="G1328" s="29">
        <v>45612.879166666666</v>
      </c>
      <c r="H1328" s="27" t="s">
        <v>5526</v>
      </c>
      <c r="I1328" s="18"/>
      <c r="J1328" s="25" t="str">
        <f>IFERROR(__xludf.DUMMYFUNCTION("ARRAYFORMULA(REGEXEXTRACT(SPLIT(C1328, ""&lt;br&gt;""), ""([가-힣A-Za-z]+)""))"),"요즘")</f>
        <v>요즘</v>
      </c>
      <c r="K1328" s="26" t="str">
        <f>IFERROR(__xludf.DUMMYFUNCTION("""COMPUTED_VALUE"""),"재우")</f>
        <v>재우</v>
      </c>
      <c r="L1328" s="26" t="str">
        <f>IFERROR(__xludf.DUMMYFUNCTION("""COMPUTED_VALUE"""),"신형만")</f>
        <v>신형만</v>
      </c>
      <c r="M1328" s="26" t="str">
        <f>IFERROR(__xludf.DUMMYFUNCTION("""COMPUTED_VALUE"""),"강화")</f>
        <v>강화</v>
      </c>
      <c r="N1328" s="26" t="str">
        <f>IFERROR(__xludf.DUMMYFUNCTION("ARRAYFORMULA(REGEXEXTRACT(SPLIT(E1328, ""&lt;br&gt;""), ""([가-힣A-Za-z]+)""))"),"한메")</f>
        <v>한메</v>
      </c>
      <c r="O1328" s="26" t="str">
        <f>IFERROR(__xludf.DUMMYFUNCTION("""COMPUTED_VALUE"""),"재명")</f>
        <v>재명</v>
      </c>
      <c r="P1328" s="26" t="str">
        <f>IFERROR(__xludf.DUMMYFUNCTION("""COMPUTED_VALUE"""),"노인")</f>
        <v>노인</v>
      </c>
      <c r="Q1328" s="26" t="str">
        <f>IFERROR(__xludf.DUMMYFUNCTION("""COMPUTED_VALUE"""),"ACDC")</f>
        <v>ACDC</v>
      </c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</row>
    <row r="1329">
      <c r="A1329" s="27" t="s">
        <v>5571</v>
      </c>
      <c r="B1329" s="28" t="s">
        <v>5572</v>
      </c>
      <c r="C1329" s="27" t="s">
        <v>5573</v>
      </c>
      <c r="D1329" s="27">
        <v>5.0</v>
      </c>
      <c r="E1329" s="27" t="s">
        <v>5574</v>
      </c>
      <c r="F1329" s="27">
        <v>2.0</v>
      </c>
      <c r="G1329" s="29">
        <v>45612.85763888889</v>
      </c>
      <c r="H1329" s="27" t="s">
        <v>5526</v>
      </c>
      <c r="I1329" s="18"/>
      <c r="J1329" s="25" t="str">
        <f>IFERROR(__xludf.DUMMYFUNCTION("ARRAYFORMULA(REGEXEXTRACT(SPLIT(C1329, ""&lt;br&gt;""), ""([가-힣A-Za-z]+)""))"),"한메")</f>
        <v>한메</v>
      </c>
      <c r="K1329" s="26" t="str">
        <f>IFERROR(__xludf.DUMMYFUNCTION("""COMPUTED_VALUE"""),"재우")</f>
        <v>재우</v>
      </c>
      <c r="L1329" s="26" t="str">
        <f>IFERROR(__xludf.DUMMYFUNCTION("""COMPUTED_VALUE"""),"노인")</f>
        <v>노인</v>
      </c>
      <c r="M1329" s="26" t="str">
        <f>IFERROR(__xludf.DUMMYFUNCTION("""COMPUTED_VALUE"""),"요즘")</f>
        <v>요즘</v>
      </c>
      <c r="N1329" s="26" t="str">
        <f>IFERROR(__xludf.DUMMYFUNCTION("ARRAYFORMULA(REGEXEXTRACT(SPLIT(E1329, ""&lt;br&gt;""), ""([가-힣A-Za-z]+)""))"),"강화")</f>
        <v>강화</v>
      </c>
      <c r="O1329" s="26" t="str">
        <f>IFERROR(__xludf.DUMMYFUNCTION("""COMPUTED_VALUE"""),"ACDC")</f>
        <v>ACDC</v>
      </c>
      <c r="P1329" s="26" t="str">
        <f>IFERROR(__xludf.DUMMYFUNCTION("""COMPUTED_VALUE"""),"재명")</f>
        <v>재명</v>
      </c>
      <c r="Q1329" s="26" t="str">
        <f>IFERROR(__xludf.DUMMYFUNCTION("""COMPUTED_VALUE"""),"신형만")</f>
        <v>신형만</v>
      </c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</row>
    <row r="1330">
      <c r="A1330" s="27" t="s">
        <v>5575</v>
      </c>
      <c r="B1330" s="28" t="s">
        <v>5576</v>
      </c>
      <c r="C1330" s="27" t="s">
        <v>5577</v>
      </c>
      <c r="D1330" s="27">
        <v>5.0</v>
      </c>
      <c r="E1330" s="27" t="s">
        <v>5578</v>
      </c>
      <c r="F1330" s="27">
        <v>4.0</v>
      </c>
      <c r="G1330" s="29">
        <v>45612.17083333333</v>
      </c>
      <c r="H1330" s="27" t="s">
        <v>5526</v>
      </c>
      <c r="I1330" s="18"/>
      <c r="J1330" s="25" t="str">
        <f>IFERROR(__xludf.DUMMYFUNCTION("ARRAYFORMULA(REGEXEXTRACT(SPLIT(C1330, ""&lt;br&gt;""), ""([가-힣A-Za-z]+)""))"),"키키")</f>
        <v>키키</v>
      </c>
      <c r="K1330" s="26" t="str">
        <f>IFERROR(__xludf.DUMMYFUNCTION("""COMPUTED_VALUE"""),"윈드")</f>
        <v>윈드</v>
      </c>
      <c r="L1330" s="26" t="str">
        <f>IFERROR(__xludf.DUMMYFUNCTION("""COMPUTED_VALUE"""),"미등록")</f>
        <v>미등록</v>
      </c>
      <c r="M1330" s="26" t="str">
        <f>IFERROR(__xludf.DUMMYFUNCTION("""COMPUTED_VALUE"""),"신형만")</f>
        <v>신형만</v>
      </c>
      <c r="N1330" s="26" t="str">
        <f>IFERROR(__xludf.DUMMYFUNCTION("ARRAYFORMULA(REGEXEXTRACT(SPLIT(E1330, ""&lt;br&gt;""), ""([가-힣A-Za-z]+)""))"),"깡패")</f>
        <v>깡패</v>
      </c>
      <c r="O1330" s="26" t="str">
        <f>IFERROR(__xludf.DUMMYFUNCTION("""COMPUTED_VALUE"""),"ACDC")</f>
        <v>ACDC</v>
      </c>
      <c r="P1330" s="26" t="str">
        <f>IFERROR(__xludf.DUMMYFUNCTION("""COMPUTED_VALUE"""),"원")</f>
        <v>원</v>
      </c>
      <c r="Q1330" s="26" t="str">
        <f>IFERROR(__xludf.DUMMYFUNCTION("""COMPUTED_VALUE"""),"한메")</f>
        <v>한메</v>
      </c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</row>
    <row r="1331">
      <c r="A1331" s="27" t="s">
        <v>5579</v>
      </c>
      <c r="B1331" s="28" t="s">
        <v>5580</v>
      </c>
      <c r="C1331" s="27" t="s">
        <v>5581</v>
      </c>
      <c r="D1331" s="27">
        <v>5.0</v>
      </c>
      <c r="E1331" s="27" t="s">
        <v>5582</v>
      </c>
      <c r="F1331" s="27">
        <v>4.0</v>
      </c>
      <c r="G1331" s="29">
        <v>45612.14513888889</v>
      </c>
      <c r="H1331" s="27" t="s">
        <v>5526</v>
      </c>
      <c r="I1331" s="18"/>
      <c r="J1331" s="25" t="str">
        <f>IFERROR(__xludf.DUMMYFUNCTION("ARRAYFORMULA(REGEXEXTRACT(SPLIT(C1331, ""&lt;br&gt;""), ""([가-힣A-Za-z]+)""))"),"깡패")</f>
        <v>깡패</v>
      </c>
      <c r="K1331" s="26" t="str">
        <f>IFERROR(__xludf.DUMMYFUNCTION("""COMPUTED_VALUE"""),"조드")</f>
        <v>조드</v>
      </c>
      <c r="L1331" s="26" t="str">
        <f>IFERROR(__xludf.DUMMYFUNCTION("""COMPUTED_VALUE"""),"신형만")</f>
        <v>신형만</v>
      </c>
      <c r="M1331" s="26" t="str">
        <f>IFERROR(__xludf.DUMMYFUNCTION("""COMPUTED_VALUE"""),"한메")</f>
        <v>한메</v>
      </c>
      <c r="N1331" s="26" t="str">
        <f>IFERROR(__xludf.DUMMYFUNCTION("ARRAYFORMULA(REGEXEXTRACT(SPLIT(E1331, ""&lt;br&gt;""), ""([가-힣A-Za-z]+)""))"),"윈드")</f>
        <v>윈드</v>
      </c>
      <c r="O1331" s="26" t="str">
        <f>IFERROR(__xludf.DUMMYFUNCTION("""COMPUTED_VALUE"""),"ACDC")</f>
        <v>ACDC</v>
      </c>
      <c r="P1331" s="26" t="str">
        <f>IFERROR(__xludf.DUMMYFUNCTION("""COMPUTED_VALUE"""),"키키")</f>
        <v>키키</v>
      </c>
      <c r="Q1331" s="26" t="str">
        <f>IFERROR(__xludf.DUMMYFUNCTION("""COMPUTED_VALUE"""),"원")</f>
        <v>원</v>
      </c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</row>
    <row r="1332">
      <c r="A1332" s="27" t="s">
        <v>5583</v>
      </c>
      <c r="B1332" s="28" t="s">
        <v>5584</v>
      </c>
      <c r="C1332" s="27" t="s">
        <v>5585</v>
      </c>
      <c r="D1332" s="27">
        <v>5.0</v>
      </c>
      <c r="E1332" s="27" t="s">
        <v>5586</v>
      </c>
      <c r="F1332" s="27">
        <v>3.0</v>
      </c>
      <c r="G1332" s="29">
        <v>45612.10625</v>
      </c>
      <c r="H1332" s="27" t="s">
        <v>5526</v>
      </c>
      <c r="I1332" s="18"/>
      <c r="J1332" s="25" t="str">
        <f>IFERROR(__xludf.DUMMYFUNCTION("ARRAYFORMULA(REGEXEXTRACT(SPLIT(C1332, ""&lt;br&gt;""), ""([가-힣A-Za-z]+)""))"),"신형만")</f>
        <v>신형만</v>
      </c>
      <c r="K1332" s="26" t="str">
        <f>IFERROR(__xludf.DUMMYFUNCTION("""COMPUTED_VALUE"""),"원")</f>
        <v>원</v>
      </c>
      <c r="L1332" s="26" t="str">
        <f>IFERROR(__xludf.DUMMYFUNCTION("""COMPUTED_VALUE"""),"윈드")</f>
        <v>윈드</v>
      </c>
      <c r="M1332" s="26" t="str">
        <f>IFERROR(__xludf.DUMMYFUNCTION("""COMPUTED_VALUE"""),"깡패")</f>
        <v>깡패</v>
      </c>
      <c r="N1332" s="26" t="str">
        <f>IFERROR(__xludf.DUMMYFUNCTION("ARRAYFORMULA(REGEXEXTRACT(SPLIT(E1332, ""&lt;br&gt;""), ""([가-힣A-Za-z]+)""))"),"ACDC")</f>
        <v>ACDC</v>
      </c>
      <c r="O1332" s="26" t="str">
        <f>IFERROR(__xludf.DUMMYFUNCTION("""COMPUTED_VALUE"""),"키키")</f>
        <v>키키</v>
      </c>
      <c r="P1332" s="26" t="str">
        <f>IFERROR(__xludf.DUMMYFUNCTION("""COMPUTED_VALUE"""),"한메")</f>
        <v>한메</v>
      </c>
      <c r="Q1332" s="26" t="str">
        <f>IFERROR(__xludf.DUMMYFUNCTION("""COMPUTED_VALUE"""),"조드")</f>
        <v>조드</v>
      </c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</row>
    <row r="1333">
      <c r="A1333" s="27" t="s">
        <v>5587</v>
      </c>
      <c r="B1333" s="28" t="s">
        <v>5588</v>
      </c>
      <c r="C1333" s="27" t="s">
        <v>5589</v>
      </c>
      <c r="D1333" s="27">
        <v>5.0</v>
      </c>
      <c r="E1333" s="27" t="s">
        <v>5590</v>
      </c>
      <c r="F1333" s="27">
        <v>1.0</v>
      </c>
      <c r="G1333" s="29">
        <v>45612.100694444445</v>
      </c>
      <c r="H1333" s="27" t="s">
        <v>5526</v>
      </c>
      <c r="I1333" s="18"/>
      <c r="J1333" s="25" t="str">
        <f>IFERROR(__xludf.DUMMYFUNCTION("ARRAYFORMULA(REGEXEXTRACT(SPLIT(C1333, ""&lt;br&gt;""), ""([가-힣A-Za-z]+)""))"),"신형만")</f>
        <v>신형만</v>
      </c>
      <c r="K1333" s="26" t="str">
        <f>IFERROR(__xludf.DUMMYFUNCTION("""COMPUTED_VALUE"""),"강화")</f>
        <v>강화</v>
      </c>
      <c r="L1333" s="26" t="str">
        <f>IFERROR(__xludf.DUMMYFUNCTION("""COMPUTED_VALUE"""),"키키")</f>
        <v>키키</v>
      </c>
      <c r="M1333" s="26" t="str">
        <f>IFERROR(__xludf.DUMMYFUNCTION("""COMPUTED_VALUE"""),"조드")</f>
        <v>조드</v>
      </c>
      <c r="N1333" s="26" t="str">
        <f>IFERROR(__xludf.DUMMYFUNCTION("ARRAYFORMULA(REGEXEXTRACT(SPLIT(E1333, ""&lt;br&gt;""), ""([가-힣A-Za-z]+)""))"),"윈드")</f>
        <v>윈드</v>
      </c>
      <c r="O1333" s="26" t="str">
        <f>IFERROR(__xludf.DUMMYFUNCTION("""COMPUTED_VALUE"""),"깡패")</f>
        <v>깡패</v>
      </c>
      <c r="P1333" s="26" t="str">
        <f>IFERROR(__xludf.DUMMYFUNCTION("""COMPUTED_VALUE"""),"ACDC")</f>
        <v>ACDC</v>
      </c>
      <c r="Q1333" s="26" t="str">
        <f>IFERROR(__xludf.DUMMYFUNCTION("""COMPUTED_VALUE"""),"한메")</f>
        <v>한메</v>
      </c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</row>
    <row r="1334">
      <c r="A1334" s="27" t="s">
        <v>5591</v>
      </c>
      <c r="B1334" s="28" t="s">
        <v>5592</v>
      </c>
      <c r="C1334" s="27" t="s">
        <v>5593</v>
      </c>
      <c r="D1334" s="27">
        <v>5.0</v>
      </c>
      <c r="E1334" s="27" t="s">
        <v>5594</v>
      </c>
      <c r="F1334" s="27">
        <v>4.0</v>
      </c>
      <c r="G1334" s="29">
        <v>45612.083333333336</v>
      </c>
      <c r="H1334" s="27" t="s">
        <v>5526</v>
      </c>
      <c r="I1334" s="18"/>
      <c r="J1334" s="25" t="str">
        <f>IFERROR(__xludf.DUMMYFUNCTION("ARRAYFORMULA(REGEXEXTRACT(SPLIT(C1334, ""&lt;br&gt;""), ""([가-힣A-Za-z]+)""))"),"깡패")</f>
        <v>깡패</v>
      </c>
      <c r="K1334" s="26" t="str">
        <f>IFERROR(__xludf.DUMMYFUNCTION("""COMPUTED_VALUE"""),"조드")</f>
        <v>조드</v>
      </c>
      <c r="L1334" s="26" t="str">
        <f>IFERROR(__xludf.DUMMYFUNCTION("""COMPUTED_VALUE"""),"강화")</f>
        <v>강화</v>
      </c>
      <c r="M1334" s="26" t="str">
        <f>IFERROR(__xludf.DUMMYFUNCTION("""COMPUTED_VALUE"""),"윈드")</f>
        <v>윈드</v>
      </c>
      <c r="N1334" s="26" t="str">
        <f>IFERROR(__xludf.DUMMYFUNCTION("ARRAYFORMULA(REGEXEXTRACT(SPLIT(E1334, ""&lt;br&gt;""), ""([가-힣A-Za-z]+)""))"),"한메")</f>
        <v>한메</v>
      </c>
      <c r="O1334" s="26" t="str">
        <f>IFERROR(__xludf.DUMMYFUNCTION("""COMPUTED_VALUE"""),"신형만")</f>
        <v>신형만</v>
      </c>
      <c r="P1334" s="26" t="str">
        <f>IFERROR(__xludf.DUMMYFUNCTION("""COMPUTED_VALUE"""),"키키")</f>
        <v>키키</v>
      </c>
      <c r="Q1334" s="26" t="str">
        <f>IFERROR(__xludf.DUMMYFUNCTION("""COMPUTED_VALUE"""),"ACDC")</f>
        <v>ACDC</v>
      </c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</row>
    <row r="1335">
      <c r="A1335" s="27" t="s">
        <v>5595</v>
      </c>
      <c r="B1335" s="28" t="s">
        <v>5596</v>
      </c>
      <c r="C1335" s="27" t="s">
        <v>5597</v>
      </c>
      <c r="D1335" s="27">
        <v>5.0</v>
      </c>
      <c r="E1335" s="27" t="s">
        <v>5598</v>
      </c>
      <c r="F1335" s="27">
        <v>3.0</v>
      </c>
      <c r="G1335" s="29">
        <v>45612.05625</v>
      </c>
      <c r="H1335" s="27" t="s">
        <v>5526</v>
      </c>
      <c r="I1335" s="18"/>
      <c r="J1335" s="25" t="str">
        <f>IFERROR(__xludf.DUMMYFUNCTION("ARRAYFORMULA(REGEXEXTRACT(SPLIT(C1335, ""&lt;br&gt;""), ""([가-힣A-Za-z]+)""))"),"ACDC")</f>
        <v>ACDC</v>
      </c>
      <c r="K1335" s="26" t="str">
        <f>IFERROR(__xludf.DUMMYFUNCTION("""COMPUTED_VALUE"""),"깡패")</f>
        <v>깡패</v>
      </c>
      <c r="L1335" s="26" t="str">
        <f>IFERROR(__xludf.DUMMYFUNCTION("""COMPUTED_VALUE"""),"강화")</f>
        <v>강화</v>
      </c>
      <c r="M1335" s="26" t="str">
        <f>IFERROR(__xludf.DUMMYFUNCTION("""COMPUTED_VALUE"""),"조드")</f>
        <v>조드</v>
      </c>
      <c r="N1335" s="26" t="str">
        <f>IFERROR(__xludf.DUMMYFUNCTION("ARRAYFORMULA(REGEXEXTRACT(SPLIT(E1335, ""&lt;br&gt;""), ""([가-힣A-Za-z]+)""))"),"한메")</f>
        <v>한메</v>
      </c>
      <c r="O1335" s="26" t="str">
        <f>IFERROR(__xludf.DUMMYFUNCTION("""COMPUTED_VALUE"""),"신형만")</f>
        <v>신형만</v>
      </c>
      <c r="P1335" s="26" t="str">
        <f>IFERROR(__xludf.DUMMYFUNCTION("""COMPUTED_VALUE"""),"키키")</f>
        <v>키키</v>
      </c>
      <c r="Q1335" s="26" t="str">
        <f>IFERROR(__xludf.DUMMYFUNCTION("""COMPUTED_VALUE"""),"윈드")</f>
        <v>윈드</v>
      </c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</row>
    <row r="1336">
      <c r="A1336" s="27" t="s">
        <v>5599</v>
      </c>
      <c r="B1336" s="28" t="s">
        <v>5600</v>
      </c>
      <c r="C1336" s="27" t="s">
        <v>5601</v>
      </c>
      <c r="D1336" s="27">
        <v>5.0</v>
      </c>
      <c r="E1336" s="27" t="s">
        <v>5602</v>
      </c>
      <c r="F1336" s="27">
        <v>4.0</v>
      </c>
      <c r="G1336" s="29">
        <v>45612.03472222222</v>
      </c>
      <c r="H1336" s="27" t="s">
        <v>5526</v>
      </c>
      <c r="I1336" s="18"/>
      <c r="J1336" s="25" t="str">
        <f>IFERROR(__xludf.DUMMYFUNCTION("ARRAYFORMULA(REGEXEXTRACT(SPLIT(C1336, ""&lt;br&gt;""), ""([가-힣A-Za-z]+)""))"),"윈드")</f>
        <v>윈드</v>
      </c>
      <c r="K1336" s="26" t="str">
        <f>IFERROR(__xludf.DUMMYFUNCTION("""COMPUTED_VALUE"""),"ACDC")</f>
        <v>ACDC</v>
      </c>
      <c r="L1336" s="26" t="str">
        <f>IFERROR(__xludf.DUMMYFUNCTION("""COMPUTED_VALUE"""),"키키")</f>
        <v>키키</v>
      </c>
      <c r="M1336" s="26" t="str">
        <f>IFERROR(__xludf.DUMMYFUNCTION("""COMPUTED_VALUE"""),"깡패")</f>
        <v>깡패</v>
      </c>
      <c r="N1336" s="26" t="str">
        <f>IFERROR(__xludf.DUMMYFUNCTION("ARRAYFORMULA(REGEXEXTRACT(SPLIT(E1336, ""&lt;br&gt;""), ""([가-힣A-Za-z]+)""))"),"신형만")</f>
        <v>신형만</v>
      </c>
      <c r="O1336" s="26" t="str">
        <f>IFERROR(__xludf.DUMMYFUNCTION("""COMPUTED_VALUE"""),"강화")</f>
        <v>강화</v>
      </c>
      <c r="P1336" s="26" t="str">
        <f>IFERROR(__xludf.DUMMYFUNCTION("""COMPUTED_VALUE"""),"한메")</f>
        <v>한메</v>
      </c>
      <c r="Q1336" s="26" t="str">
        <f>IFERROR(__xludf.DUMMYFUNCTION("""COMPUTED_VALUE"""),"조드")</f>
        <v>조드</v>
      </c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</row>
    <row r="1337">
      <c r="A1337" s="27" t="s">
        <v>5603</v>
      </c>
      <c r="B1337" s="28" t="s">
        <v>5604</v>
      </c>
      <c r="C1337" s="27" t="s">
        <v>5605</v>
      </c>
      <c r="D1337" s="27">
        <v>5.0</v>
      </c>
      <c r="E1337" s="27" t="s">
        <v>5606</v>
      </c>
      <c r="F1337" s="27">
        <v>2.0</v>
      </c>
      <c r="G1337" s="29">
        <v>45611.99236111111</v>
      </c>
      <c r="H1337" s="27" t="s">
        <v>5526</v>
      </c>
      <c r="I1337" s="18"/>
      <c r="J1337" s="25" t="str">
        <f>IFERROR(__xludf.DUMMYFUNCTION("ARRAYFORMULA(REGEXEXTRACT(SPLIT(C1337, ""&lt;br&gt;""), ""([가-힣A-Za-z]+)""))"),"강화")</f>
        <v>강화</v>
      </c>
      <c r="K1337" s="26" t="str">
        <f>IFERROR(__xludf.DUMMYFUNCTION("""COMPUTED_VALUE"""),"윈드")</f>
        <v>윈드</v>
      </c>
      <c r="L1337" s="26" t="str">
        <f>IFERROR(__xludf.DUMMYFUNCTION("""COMPUTED_VALUE"""),"키키")</f>
        <v>키키</v>
      </c>
      <c r="M1337" s="26" t="str">
        <f>IFERROR(__xludf.DUMMYFUNCTION("""COMPUTED_VALUE"""),"조드")</f>
        <v>조드</v>
      </c>
      <c r="N1337" s="26" t="str">
        <f>IFERROR(__xludf.DUMMYFUNCTION("ARRAYFORMULA(REGEXEXTRACT(SPLIT(E1337, ""&lt;br&gt;""), ""([가-힣A-Za-z]+)""))"),"한메")</f>
        <v>한메</v>
      </c>
      <c r="O1337" s="26" t="str">
        <f>IFERROR(__xludf.DUMMYFUNCTION("""COMPUTED_VALUE"""),"ACDC")</f>
        <v>ACDC</v>
      </c>
      <c r="P1337" s="26" t="str">
        <f>IFERROR(__xludf.DUMMYFUNCTION("""COMPUTED_VALUE"""),"테리")</f>
        <v>테리</v>
      </c>
      <c r="Q1337" s="26" t="str">
        <f>IFERROR(__xludf.DUMMYFUNCTION("""COMPUTED_VALUE"""),"깡패")</f>
        <v>깡패</v>
      </c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</row>
    <row r="1338">
      <c r="A1338" s="27" t="s">
        <v>5607</v>
      </c>
      <c r="B1338" s="28" t="s">
        <v>5608</v>
      </c>
      <c r="C1338" s="27" t="s">
        <v>5609</v>
      </c>
      <c r="D1338" s="27">
        <v>5.0</v>
      </c>
      <c r="E1338" s="27" t="s">
        <v>5610</v>
      </c>
      <c r="F1338" s="27">
        <v>1.0</v>
      </c>
      <c r="G1338" s="29">
        <v>45611.96527777778</v>
      </c>
      <c r="H1338" s="27" t="s">
        <v>5526</v>
      </c>
      <c r="I1338" s="18"/>
      <c r="J1338" s="25" t="str">
        <f>IFERROR(__xludf.DUMMYFUNCTION("ARRAYFORMULA(REGEXEXTRACT(SPLIT(C1338, ""&lt;br&gt;""), ""([가-힣A-Za-z]+)""))"),"깡패")</f>
        <v>깡패</v>
      </c>
      <c r="K1338" s="26" t="str">
        <f>IFERROR(__xludf.DUMMYFUNCTION("""COMPUTED_VALUE"""),"윈드")</f>
        <v>윈드</v>
      </c>
      <c r="L1338" s="26" t="str">
        <f>IFERROR(__xludf.DUMMYFUNCTION("""COMPUTED_VALUE"""),"테리")</f>
        <v>테리</v>
      </c>
      <c r="M1338" s="26" t="str">
        <f>IFERROR(__xludf.DUMMYFUNCTION("""COMPUTED_VALUE"""),"키키")</f>
        <v>키키</v>
      </c>
      <c r="N1338" s="26" t="str">
        <f>IFERROR(__xludf.DUMMYFUNCTION("ARRAYFORMULA(REGEXEXTRACT(SPLIT(E1338, ""&lt;br&gt;""), ""([가-힣A-Za-z]+)""))"),"한메")</f>
        <v>한메</v>
      </c>
      <c r="O1338" s="26" t="str">
        <f>IFERROR(__xludf.DUMMYFUNCTION("""COMPUTED_VALUE"""),"강화")</f>
        <v>강화</v>
      </c>
      <c r="P1338" s="26" t="str">
        <f>IFERROR(__xludf.DUMMYFUNCTION("""COMPUTED_VALUE"""),"조드")</f>
        <v>조드</v>
      </c>
      <c r="Q1338" s="26" t="str">
        <f>IFERROR(__xludf.DUMMYFUNCTION("""COMPUTED_VALUE"""),"ACDC")</f>
        <v>ACDC</v>
      </c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</row>
    <row r="1339">
      <c r="A1339" s="27" t="s">
        <v>5611</v>
      </c>
      <c r="B1339" s="28" t="s">
        <v>5612</v>
      </c>
      <c r="C1339" s="27" t="s">
        <v>5613</v>
      </c>
      <c r="D1339" s="27">
        <v>5.0</v>
      </c>
      <c r="E1339" s="27" t="s">
        <v>5614</v>
      </c>
      <c r="F1339" s="27">
        <v>0.0</v>
      </c>
      <c r="G1339" s="29">
        <v>45611.94513888889</v>
      </c>
      <c r="H1339" s="27" t="s">
        <v>5526</v>
      </c>
      <c r="I1339" s="18"/>
      <c r="J1339" s="25" t="str">
        <f>IFERROR(__xludf.DUMMYFUNCTION("ARRAYFORMULA(REGEXEXTRACT(SPLIT(C1339, ""&lt;br&gt;""), ""([가-힣A-Za-z]+)""))"),"깡패")</f>
        <v>깡패</v>
      </c>
      <c r="K1339" s="26" t="str">
        <f>IFERROR(__xludf.DUMMYFUNCTION("""COMPUTED_VALUE"""),"강화")</f>
        <v>강화</v>
      </c>
      <c r="L1339" s="26" t="str">
        <f>IFERROR(__xludf.DUMMYFUNCTION("""COMPUTED_VALUE"""),"테리")</f>
        <v>테리</v>
      </c>
      <c r="M1339" s="26" t="str">
        <f>IFERROR(__xludf.DUMMYFUNCTION("""COMPUTED_VALUE"""),"한메")</f>
        <v>한메</v>
      </c>
      <c r="N1339" s="26" t="str">
        <f>IFERROR(__xludf.DUMMYFUNCTION("ARRAYFORMULA(REGEXEXTRACT(SPLIT(E1339, ""&lt;br&gt;""), ""([가-힣A-Za-z]+)""))"),"윈드")</f>
        <v>윈드</v>
      </c>
      <c r="O1339" s="26" t="str">
        <f>IFERROR(__xludf.DUMMYFUNCTION("""COMPUTED_VALUE"""),"조드")</f>
        <v>조드</v>
      </c>
      <c r="P1339" s="26" t="str">
        <f>IFERROR(__xludf.DUMMYFUNCTION("""COMPUTED_VALUE"""),"키키")</f>
        <v>키키</v>
      </c>
      <c r="Q1339" s="26" t="str">
        <f>IFERROR(__xludf.DUMMYFUNCTION("""COMPUTED_VALUE"""),"ACDC")</f>
        <v>ACDC</v>
      </c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</row>
    <row r="1340">
      <c r="A1340" s="27" t="s">
        <v>5615</v>
      </c>
      <c r="B1340" s="28" t="s">
        <v>5616</v>
      </c>
      <c r="C1340" s="27" t="s">
        <v>5617</v>
      </c>
      <c r="D1340" s="27">
        <v>5.0</v>
      </c>
      <c r="E1340" s="27" t="s">
        <v>5618</v>
      </c>
      <c r="F1340" s="27">
        <v>3.0</v>
      </c>
      <c r="G1340" s="29">
        <v>45611.061111111114</v>
      </c>
      <c r="H1340" s="27" t="s">
        <v>5526</v>
      </c>
      <c r="I1340" s="18"/>
      <c r="J1340" s="25" t="str">
        <f>IFERROR(__xludf.DUMMYFUNCTION("ARRAYFORMULA(REGEXEXTRACT(SPLIT(C1340, ""&lt;br&gt;""), ""([가-힣A-Za-z]+)""))"),"키키")</f>
        <v>키키</v>
      </c>
      <c r="K1340" s="26" t="str">
        <f>IFERROR(__xludf.DUMMYFUNCTION("""COMPUTED_VALUE"""),"노인")</f>
        <v>노인</v>
      </c>
      <c r="L1340" s="26" t="str">
        <f>IFERROR(__xludf.DUMMYFUNCTION("""COMPUTED_VALUE"""),"미등록")</f>
        <v>미등록</v>
      </c>
      <c r="M1340" s="26" t="str">
        <f>IFERROR(__xludf.DUMMYFUNCTION("""COMPUTED_VALUE"""),"요즘")</f>
        <v>요즘</v>
      </c>
      <c r="N1340" s="26" t="str">
        <f>IFERROR(__xludf.DUMMYFUNCTION("ARRAYFORMULA(REGEXEXTRACT(SPLIT(E1340, ""&lt;br&gt;""), ""([가-힣A-Za-z]+)""))"),"신형만")</f>
        <v>신형만</v>
      </c>
      <c r="O1340" s="26" t="str">
        <f>IFERROR(__xludf.DUMMYFUNCTION("""COMPUTED_VALUE"""),"깡패")</f>
        <v>깡패</v>
      </c>
      <c r="P1340" s="26" t="str">
        <f>IFERROR(__xludf.DUMMYFUNCTION("""COMPUTED_VALUE"""),"테리")</f>
        <v>테리</v>
      </c>
      <c r="Q1340" s="26" t="str">
        <f>IFERROR(__xludf.DUMMYFUNCTION("""COMPUTED_VALUE"""),"ACDC")</f>
        <v>ACDC</v>
      </c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</row>
    <row r="1341">
      <c r="A1341" s="27" t="s">
        <v>5619</v>
      </c>
      <c r="B1341" s="28" t="s">
        <v>5620</v>
      </c>
      <c r="C1341" s="27" t="s">
        <v>5621</v>
      </c>
      <c r="D1341" s="27">
        <v>5.0</v>
      </c>
      <c r="E1341" s="27" t="s">
        <v>5622</v>
      </c>
      <c r="F1341" s="27">
        <v>4.0</v>
      </c>
      <c r="G1341" s="29">
        <v>45611.03194444445</v>
      </c>
      <c r="H1341" s="27" t="s">
        <v>5526</v>
      </c>
      <c r="I1341" s="18"/>
      <c r="J1341" s="25" t="str">
        <f>IFERROR(__xludf.DUMMYFUNCTION("ARRAYFORMULA(REGEXEXTRACT(SPLIT(C1341, ""&lt;br&gt;""), ""([가-힣A-Za-z]+)""))"),"신형만")</f>
        <v>신형만</v>
      </c>
      <c r="K1341" s="26" t="str">
        <f>IFERROR(__xludf.DUMMYFUNCTION("""COMPUTED_VALUE"""),"테리")</f>
        <v>테리</v>
      </c>
      <c r="L1341" s="26" t="str">
        <f>IFERROR(__xludf.DUMMYFUNCTION("""COMPUTED_VALUE"""),"노인")</f>
        <v>노인</v>
      </c>
      <c r="M1341" s="26" t="str">
        <f>IFERROR(__xludf.DUMMYFUNCTION("""COMPUTED_VALUE"""),"미등록")</f>
        <v>미등록</v>
      </c>
      <c r="N1341" s="26" t="str">
        <f>IFERROR(__xludf.DUMMYFUNCTION("ARRAYFORMULA(REGEXEXTRACT(SPLIT(E1341, ""&lt;br&gt;""), ""([가-힣A-Za-z]+)""))"),"깡패")</f>
        <v>깡패</v>
      </c>
      <c r="O1341" s="26" t="str">
        <f>IFERROR(__xludf.DUMMYFUNCTION("""COMPUTED_VALUE"""),"ACDC")</f>
        <v>ACDC</v>
      </c>
      <c r="P1341" s="26" t="str">
        <f>IFERROR(__xludf.DUMMYFUNCTION("""COMPUTED_VALUE"""),"키키")</f>
        <v>키키</v>
      </c>
      <c r="Q1341" s="26" t="str">
        <f>IFERROR(__xludf.DUMMYFUNCTION("""COMPUTED_VALUE"""),"요즘")</f>
        <v>요즘</v>
      </c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</row>
    <row r="1342">
      <c r="A1342" s="27" t="s">
        <v>5623</v>
      </c>
      <c r="B1342" s="28" t="s">
        <v>5624</v>
      </c>
      <c r="C1342" s="27" t="s">
        <v>5625</v>
      </c>
      <c r="D1342" s="27">
        <v>5.0</v>
      </c>
      <c r="E1342" s="27" t="s">
        <v>5626</v>
      </c>
      <c r="F1342" s="27">
        <v>3.0</v>
      </c>
      <c r="G1342" s="29">
        <v>45611.01597222222</v>
      </c>
      <c r="H1342" s="27" t="s">
        <v>5526</v>
      </c>
      <c r="I1342" s="18"/>
      <c r="J1342" s="25" t="str">
        <f>IFERROR(__xludf.DUMMYFUNCTION("ARRAYFORMULA(REGEXEXTRACT(SPLIT(C1342, ""&lt;br&gt;""), ""([가-힣A-Za-z]+)""))"),"ACDC")</f>
        <v>ACDC</v>
      </c>
      <c r="K1342" s="26" t="str">
        <f>IFERROR(__xludf.DUMMYFUNCTION("""COMPUTED_VALUE"""),"키키")</f>
        <v>키키</v>
      </c>
      <c r="L1342" s="26" t="str">
        <f>IFERROR(__xludf.DUMMYFUNCTION("""COMPUTED_VALUE"""),"테리")</f>
        <v>테리</v>
      </c>
      <c r="M1342" s="26" t="str">
        <f>IFERROR(__xludf.DUMMYFUNCTION("""COMPUTED_VALUE"""),"신형만")</f>
        <v>신형만</v>
      </c>
      <c r="N1342" s="26" t="str">
        <f>IFERROR(__xludf.DUMMYFUNCTION("ARRAYFORMULA(REGEXEXTRACT(SPLIT(E1342, ""&lt;br&gt;""), ""([가-힣A-Za-z]+)""))"),"요즘")</f>
        <v>요즘</v>
      </c>
      <c r="O1342" s="26" t="str">
        <f>IFERROR(__xludf.DUMMYFUNCTION("""COMPUTED_VALUE"""),"봉구")</f>
        <v>봉구</v>
      </c>
      <c r="P1342" s="26" t="str">
        <f>IFERROR(__xludf.DUMMYFUNCTION("""COMPUTED_VALUE"""),"노인")</f>
        <v>노인</v>
      </c>
      <c r="Q1342" s="26" t="str">
        <f>IFERROR(__xludf.DUMMYFUNCTION("""COMPUTED_VALUE"""),"깡패")</f>
        <v>깡패</v>
      </c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</row>
    <row r="1343">
      <c r="A1343" s="27" t="s">
        <v>5627</v>
      </c>
      <c r="B1343" s="28" t="s">
        <v>5628</v>
      </c>
      <c r="C1343" s="27" t="s">
        <v>5629</v>
      </c>
      <c r="D1343" s="27">
        <v>5.0</v>
      </c>
      <c r="E1343" s="27" t="s">
        <v>5630</v>
      </c>
      <c r="F1343" s="27">
        <v>3.0</v>
      </c>
      <c r="G1343" s="29">
        <v>45610.98263888889</v>
      </c>
      <c r="H1343" s="27" t="s">
        <v>5526</v>
      </c>
      <c r="I1343" s="18"/>
      <c r="J1343" s="25" t="str">
        <f>IFERROR(__xludf.DUMMYFUNCTION("ARRAYFORMULA(REGEXEXTRACT(SPLIT(C1343, ""&lt;br&gt;""), ""([가-힣A-Za-z]+)""))"),"요즘")</f>
        <v>요즘</v>
      </c>
      <c r="K1343" s="26" t="str">
        <f>IFERROR(__xludf.DUMMYFUNCTION("""COMPUTED_VALUE"""),"테리")</f>
        <v>테리</v>
      </c>
      <c r="L1343" s="26" t="str">
        <f>IFERROR(__xludf.DUMMYFUNCTION("""COMPUTED_VALUE"""),"노인")</f>
        <v>노인</v>
      </c>
      <c r="M1343" s="26" t="str">
        <f>IFERROR(__xludf.DUMMYFUNCTION("""COMPUTED_VALUE"""),"키키")</f>
        <v>키키</v>
      </c>
      <c r="N1343" s="26" t="str">
        <f>IFERROR(__xludf.DUMMYFUNCTION("ARRAYFORMULA(REGEXEXTRACT(SPLIT(E1343, ""&lt;br&gt;""), ""([가-힣A-Za-z]+)""))"),"깡패")</f>
        <v>깡패</v>
      </c>
      <c r="O1343" s="26" t="str">
        <f>IFERROR(__xludf.DUMMYFUNCTION("""COMPUTED_VALUE"""),"봉구")</f>
        <v>봉구</v>
      </c>
      <c r="P1343" s="26" t="str">
        <f>IFERROR(__xludf.DUMMYFUNCTION("""COMPUTED_VALUE"""),"신형만")</f>
        <v>신형만</v>
      </c>
      <c r="Q1343" s="26" t="str">
        <f>IFERROR(__xludf.DUMMYFUNCTION("""COMPUTED_VALUE"""),"ACDC")</f>
        <v>ACDC</v>
      </c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</row>
    <row r="1344">
      <c r="A1344" s="27" t="s">
        <v>5631</v>
      </c>
      <c r="B1344" s="28" t="s">
        <v>5632</v>
      </c>
      <c r="C1344" s="27" t="s">
        <v>5633</v>
      </c>
      <c r="D1344" s="27">
        <v>5.0</v>
      </c>
      <c r="E1344" s="27" t="s">
        <v>5634</v>
      </c>
      <c r="F1344" s="27">
        <v>3.0</v>
      </c>
      <c r="G1344" s="29">
        <v>45610.97430555556</v>
      </c>
      <c r="H1344" s="27" t="s">
        <v>5526</v>
      </c>
      <c r="I1344" s="18"/>
      <c r="J1344" s="25" t="str">
        <f>IFERROR(__xludf.DUMMYFUNCTION("ARRAYFORMULA(REGEXEXTRACT(SPLIT(C1344, ""&lt;br&gt;""), ""([가-힣A-Za-z]+)""))"),"깡패")</f>
        <v>깡패</v>
      </c>
      <c r="K1344" s="26" t="str">
        <f>IFERROR(__xludf.DUMMYFUNCTION("""COMPUTED_VALUE"""),"테리")</f>
        <v>테리</v>
      </c>
      <c r="L1344" s="26" t="str">
        <f>IFERROR(__xludf.DUMMYFUNCTION("""COMPUTED_VALUE"""),"ACDC")</f>
        <v>ACDC</v>
      </c>
      <c r="M1344" s="26" t="str">
        <f>IFERROR(__xludf.DUMMYFUNCTION("""COMPUTED_VALUE"""),"키키")</f>
        <v>키키</v>
      </c>
      <c r="N1344" s="26" t="str">
        <f>IFERROR(__xludf.DUMMYFUNCTION("ARRAYFORMULA(REGEXEXTRACT(SPLIT(E1344, ""&lt;br&gt;""), ""([가-힣A-Za-z]+)""))"),"요즘")</f>
        <v>요즘</v>
      </c>
      <c r="O1344" s="26" t="str">
        <f>IFERROR(__xludf.DUMMYFUNCTION("""COMPUTED_VALUE"""),"신형만")</f>
        <v>신형만</v>
      </c>
      <c r="P1344" s="26" t="str">
        <f>IFERROR(__xludf.DUMMYFUNCTION("""COMPUTED_VALUE"""),"봉구")</f>
        <v>봉구</v>
      </c>
      <c r="Q1344" s="26" t="str">
        <f>IFERROR(__xludf.DUMMYFUNCTION("""COMPUTED_VALUE"""),"노인")</f>
        <v>노인</v>
      </c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</row>
    <row r="1345">
      <c r="A1345" s="27" t="s">
        <v>5635</v>
      </c>
      <c r="B1345" s="28" t="s">
        <v>5636</v>
      </c>
      <c r="C1345" s="27" t="s">
        <v>5637</v>
      </c>
      <c r="D1345" s="27">
        <v>5.0</v>
      </c>
      <c r="E1345" s="27" t="s">
        <v>5638</v>
      </c>
      <c r="F1345" s="27">
        <v>3.0</v>
      </c>
      <c r="G1345" s="29">
        <v>45610.97222222222</v>
      </c>
      <c r="H1345" s="27" t="s">
        <v>5526</v>
      </c>
      <c r="I1345" s="18"/>
      <c r="J1345" s="25" t="str">
        <f>IFERROR(__xludf.DUMMYFUNCTION("ARRAYFORMULA(REGEXEXTRACT(SPLIT(C1345, ""&lt;br&gt;""), ""([가-힣A-Za-z]+)""))"),"키키")</f>
        <v>키키</v>
      </c>
      <c r="K1345" s="26" t="str">
        <f>IFERROR(__xludf.DUMMYFUNCTION("""COMPUTED_VALUE"""),"테리")</f>
        <v>테리</v>
      </c>
      <c r="L1345" s="26" t="str">
        <f>IFERROR(__xludf.DUMMYFUNCTION("""COMPUTED_VALUE"""),"한메")</f>
        <v>한메</v>
      </c>
      <c r="M1345" s="26" t="str">
        <f>IFERROR(__xludf.DUMMYFUNCTION("""COMPUTED_VALUE"""),"신형만")</f>
        <v>신형만</v>
      </c>
      <c r="N1345" s="26" t="str">
        <f>IFERROR(__xludf.DUMMYFUNCTION("ARRAYFORMULA(REGEXEXTRACT(SPLIT(E1345, ""&lt;br&gt;""), ""([가-힣A-Za-z]+)""))"),"ACDC")</f>
        <v>ACDC</v>
      </c>
      <c r="O1345" s="26" t="str">
        <f>IFERROR(__xludf.DUMMYFUNCTION("""COMPUTED_VALUE"""),"요즘")</f>
        <v>요즘</v>
      </c>
      <c r="P1345" s="26" t="str">
        <f>IFERROR(__xludf.DUMMYFUNCTION("""COMPUTED_VALUE"""),"봉구")</f>
        <v>봉구</v>
      </c>
      <c r="Q1345" s="26" t="str">
        <f>IFERROR(__xludf.DUMMYFUNCTION("""COMPUTED_VALUE"""),"노인")</f>
        <v>노인</v>
      </c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</row>
    <row r="1346">
      <c r="A1346" s="27" t="s">
        <v>5639</v>
      </c>
      <c r="B1346" s="28" t="s">
        <v>5640</v>
      </c>
      <c r="C1346" s="27" t="s">
        <v>5641</v>
      </c>
      <c r="D1346" s="27">
        <v>5.0</v>
      </c>
      <c r="E1346" s="27" t="s">
        <v>5642</v>
      </c>
      <c r="F1346" s="27">
        <v>1.0</v>
      </c>
      <c r="G1346" s="29">
        <v>45610.967361111114</v>
      </c>
      <c r="H1346" s="27" t="s">
        <v>5526</v>
      </c>
      <c r="I1346" s="18"/>
      <c r="J1346" s="25" t="str">
        <f>IFERROR(__xludf.DUMMYFUNCTION("ARRAYFORMULA(REGEXEXTRACT(SPLIT(C1346, ""&lt;br&gt;""), ""([가-힣A-Za-z]+)""))"),"신형만")</f>
        <v>신형만</v>
      </c>
      <c r="K1346" s="26" t="str">
        <f>IFERROR(__xludf.DUMMYFUNCTION("""COMPUTED_VALUE"""),"노인")</f>
        <v>노인</v>
      </c>
      <c r="L1346" s="26" t="str">
        <f>IFERROR(__xludf.DUMMYFUNCTION("""COMPUTED_VALUE"""),"한메")</f>
        <v>한메</v>
      </c>
      <c r="M1346" s="26" t="str">
        <f>IFERROR(__xludf.DUMMYFUNCTION("""COMPUTED_VALUE"""),"ACDC")</f>
        <v>ACDC</v>
      </c>
      <c r="N1346" s="26" t="str">
        <f>IFERROR(__xludf.DUMMYFUNCTION("ARRAYFORMULA(REGEXEXTRACT(SPLIT(E1346, ""&lt;br&gt;""), ""([가-힣A-Za-z]+)""))"),"키키")</f>
        <v>키키</v>
      </c>
      <c r="O1346" s="26" t="str">
        <f>IFERROR(__xludf.DUMMYFUNCTION("""COMPUTED_VALUE"""),"봉구")</f>
        <v>봉구</v>
      </c>
      <c r="P1346" s="26" t="str">
        <f>IFERROR(__xludf.DUMMYFUNCTION("""COMPUTED_VALUE"""),"요즘")</f>
        <v>요즘</v>
      </c>
      <c r="Q1346" s="26" t="str">
        <f>IFERROR(__xludf.DUMMYFUNCTION("""COMPUTED_VALUE"""),"재명")</f>
        <v>재명</v>
      </c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</row>
    <row r="1347">
      <c r="A1347" s="27" t="s">
        <v>5643</v>
      </c>
      <c r="B1347" s="28" t="s">
        <v>5644</v>
      </c>
      <c r="C1347" s="27" t="s">
        <v>5645</v>
      </c>
      <c r="D1347" s="27">
        <v>5.0</v>
      </c>
      <c r="E1347" s="27" t="s">
        <v>5646</v>
      </c>
      <c r="F1347" s="27">
        <v>0.0</v>
      </c>
      <c r="G1347" s="29">
        <v>45610.94652777778</v>
      </c>
      <c r="H1347" s="27" t="s">
        <v>5526</v>
      </c>
      <c r="I1347" s="18"/>
      <c r="J1347" s="25" t="str">
        <f>IFERROR(__xludf.DUMMYFUNCTION("ARRAYFORMULA(REGEXEXTRACT(SPLIT(C1347, ""&lt;br&gt;""), ""([가-힣A-Za-z]+)""))"),"한메")</f>
        <v>한메</v>
      </c>
      <c r="K1347" s="26" t="str">
        <f>IFERROR(__xludf.DUMMYFUNCTION("""COMPUTED_VALUE"""),"신형만")</f>
        <v>신형만</v>
      </c>
      <c r="L1347" s="26" t="str">
        <f>IFERROR(__xludf.DUMMYFUNCTION("""COMPUTED_VALUE"""),"요즘")</f>
        <v>요즘</v>
      </c>
      <c r="M1347" s="26" t="str">
        <f>IFERROR(__xludf.DUMMYFUNCTION("""COMPUTED_VALUE"""),"조드")</f>
        <v>조드</v>
      </c>
      <c r="N1347" s="26" t="str">
        <f>IFERROR(__xludf.DUMMYFUNCTION("ARRAYFORMULA(REGEXEXTRACT(SPLIT(E1347, ""&lt;br&gt;""), ""([가-힣A-Za-z]+)""))"),"테리")</f>
        <v>테리</v>
      </c>
      <c r="O1347" s="26" t="str">
        <f>IFERROR(__xludf.DUMMYFUNCTION("""COMPUTED_VALUE"""),"노인")</f>
        <v>노인</v>
      </c>
      <c r="P1347" s="26" t="str">
        <f>IFERROR(__xludf.DUMMYFUNCTION("""COMPUTED_VALUE"""),"ACDC")</f>
        <v>ACDC</v>
      </c>
      <c r="Q1347" s="26" t="str">
        <f>IFERROR(__xludf.DUMMYFUNCTION("""COMPUTED_VALUE"""),"재명")</f>
        <v>재명</v>
      </c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</row>
    <row r="1348">
      <c r="A1348" s="27" t="s">
        <v>5647</v>
      </c>
      <c r="B1348" s="28" t="s">
        <v>5648</v>
      </c>
      <c r="C1348" s="27" t="s">
        <v>5649</v>
      </c>
      <c r="D1348" s="27">
        <v>5.0</v>
      </c>
      <c r="E1348" s="27" t="s">
        <v>5650</v>
      </c>
      <c r="F1348" s="27">
        <v>4.0</v>
      </c>
      <c r="G1348" s="29">
        <v>45610.927777777775</v>
      </c>
      <c r="H1348" s="27" t="s">
        <v>5526</v>
      </c>
      <c r="I1348" s="18"/>
      <c r="J1348" s="25" t="str">
        <f>IFERROR(__xludf.DUMMYFUNCTION("ARRAYFORMULA(REGEXEXTRACT(SPLIT(C1348, ""&lt;br&gt;""), ""([가-힣A-Za-z]+)""))"),"한메")</f>
        <v>한메</v>
      </c>
      <c r="K1348" s="26" t="str">
        <f>IFERROR(__xludf.DUMMYFUNCTION("""COMPUTED_VALUE"""),"노인")</f>
        <v>노인</v>
      </c>
      <c r="L1348" s="26" t="str">
        <f>IFERROR(__xludf.DUMMYFUNCTION("""COMPUTED_VALUE"""),"재명")</f>
        <v>재명</v>
      </c>
      <c r="M1348" s="26" t="str">
        <f>IFERROR(__xludf.DUMMYFUNCTION("""COMPUTED_VALUE"""),"조드")</f>
        <v>조드</v>
      </c>
      <c r="N1348" s="26" t="str">
        <f>IFERROR(__xludf.DUMMYFUNCTION("ARRAYFORMULA(REGEXEXTRACT(SPLIT(E1348, ""&lt;br&gt;""), ""([가-힣A-Za-z]+)""))"),"깡패")</f>
        <v>깡패</v>
      </c>
      <c r="O1348" s="26" t="str">
        <f>IFERROR(__xludf.DUMMYFUNCTION("""COMPUTED_VALUE"""),"ACDC")</f>
        <v>ACDC</v>
      </c>
      <c r="P1348" s="26" t="str">
        <f>IFERROR(__xludf.DUMMYFUNCTION("""COMPUTED_VALUE"""),"요즘")</f>
        <v>요즘</v>
      </c>
      <c r="Q1348" s="26" t="str">
        <f>IFERROR(__xludf.DUMMYFUNCTION("""COMPUTED_VALUE"""),"강화")</f>
        <v>강화</v>
      </c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</row>
    <row r="1349">
      <c r="A1349" s="27" t="s">
        <v>5651</v>
      </c>
      <c r="B1349" s="28" t="s">
        <v>5652</v>
      </c>
      <c r="C1349" s="27" t="s">
        <v>5653</v>
      </c>
      <c r="D1349" s="27">
        <v>5.0</v>
      </c>
      <c r="E1349" s="27" t="s">
        <v>5654</v>
      </c>
      <c r="F1349" s="27">
        <v>2.0</v>
      </c>
      <c r="G1349" s="29">
        <v>45610.88055555556</v>
      </c>
      <c r="H1349" s="27" t="s">
        <v>5526</v>
      </c>
      <c r="I1349" s="18"/>
      <c r="J1349" s="25" t="str">
        <f>IFERROR(__xludf.DUMMYFUNCTION("ARRAYFORMULA(REGEXEXTRACT(SPLIT(C1349, ""&lt;br&gt;""), ""([가-힣A-Za-z]+)""))"),"노인")</f>
        <v>노인</v>
      </c>
      <c r="K1349" s="26" t="str">
        <f>IFERROR(__xludf.DUMMYFUNCTION("""COMPUTED_VALUE"""),"요즘")</f>
        <v>요즘</v>
      </c>
      <c r="L1349" s="26" t="str">
        <f>IFERROR(__xludf.DUMMYFUNCTION("""COMPUTED_VALUE"""),"강화")</f>
        <v>강화</v>
      </c>
      <c r="M1349" s="26" t="str">
        <f>IFERROR(__xludf.DUMMYFUNCTION("""COMPUTED_VALUE"""),"재명")</f>
        <v>재명</v>
      </c>
      <c r="N1349" s="26" t="str">
        <f>IFERROR(__xludf.DUMMYFUNCTION("ARRAYFORMULA(REGEXEXTRACT(SPLIT(E1349, ""&lt;br&gt;""), ""([가-힣A-Za-z]+)""))"),"ACDC")</f>
        <v>ACDC</v>
      </c>
      <c r="O1349" s="26" t="str">
        <f>IFERROR(__xludf.DUMMYFUNCTION("""COMPUTED_VALUE"""),"깡패")</f>
        <v>깡패</v>
      </c>
      <c r="P1349" s="26" t="str">
        <f>IFERROR(__xludf.DUMMYFUNCTION("""COMPUTED_VALUE"""),"조드")</f>
        <v>조드</v>
      </c>
      <c r="Q1349" s="26" t="str">
        <f>IFERROR(__xludf.DUMMYFUNCTION("""COMPUTED_VALUE"""),"한메")</f>
        <v>한메</v>
      </c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</row>
    <row r="1350">
      <c r="A1350" s="27" t="s">
        <v>5655</v>
      </c>
      <c r="B1350" s="28" t="s">
        <v>5656</v>
      </c>
      <c r="C1350" s="27" t="s">
        <v>5657</v>
      </c>
      <c r="D1350" s="27">
        <v>5.0</v>
      </c>
      <c r="E1350" s="27" t="s">
        <v>5658</v>
      </c>
      <c r="F1350" s="27">
        <v>4.0</v>
      </c>
      <c r="G1350" s="29">
        <v>45609.98819444444</v>
      </c>
      <c r="H1350" s="27" t="s">
        <v>5526</v>
      </c>
      <c r="I1350" s="18"/>
      <c r="J1350" s="25" t="str">
        <f>IFERROR(__xludf.DUMMYFUNCTION("ARRAYFORMULA(REGEXEXTRACT(SPLIT(C1350, ""&lt;br&gt;""), ""([가-힣A-Za-z]+)""))"),"깡패")</f>
        <v>깡패</v>
      </c>
      <c r="K1350" s="26" t="str">
        <f>IFERROR(__xludf.DUMMYFUNCTION("""COMPUTED_VALUE"""),"강화")</f>
        <v>강화</v>
      </c>
      <c r="L1350" s="26" t="str">
        <f>IFERROR(__xludf.DUMMYFUNCTION("""COMPUTED_VALUE"""),"한메")</f>
        <v>한메</v>
      </c>
      <c r="M1350" s="26" t="str">
        <f>IFERROR(__xludf.DUMMYFUNCTION("""COMPUTED_VALUE"""),"튜브")</f>
        <v>튜브</v>
      </c>
      <c r="N1350" s="26" t="str">
        <f>IFERROR(__xludf.DUMMYFUNCTION("ARRAYFORMULA(REGEXEXTRACT(SPLIT(E1350, ""&lt;br&gt;""), ""([가-힣A-Za-z]+)""))"),"랄")</f>
        <v>랄</v>
      </c>
      <c r="O1350" s="26" t="str">
        <f>IFERROR(__xludf.DUMMYFUNCTION("""COMPUTED_VALUE"""),"신형만")</f>
        <v>신형만</v>
      </c>
      <c r="P1350" s="26" t="str">
        <f>IFERROR(__xludf.DUMMYFUNCTION("""COMPUTED_VALUE"""),"짱구")</f>
        <v>짱구</v>
      </c>
      <c r="Q1350" s="26" t="str">
        <f>IFERROR(__xludf.DUMMYFUNCTION("""COMPUTED_VALUE"""),"재명")</f>
        <v>재명</v>
      </c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</row>
    <row r="1351">
      <c r="A1351" s="27" t="s">
        <v>5659</v>
      </c>
      <c r="B1351" s="28" t="s">
        <v>5660</v>
      </c>
      <c r="C1351" s="27" t="s">
        <v>5661</v>
      </c>
      <c r="D1351" s="27">
        <v>5.0</v>
      </c>
      <c r="E1351" s="27" t="s">
        <v>5662</v>
      </c>
      <c r="F1351" s="27">
        <v>4.0</v>
      </c>
      <c r="G1351" s="29">
        <v>45609.864583333336</v>
      </c>
      <c r="H1351" s="27" t="s">
        <v>5526</v>
      </c>
      <c r="I1351" s="18"/>
      <c r="J1351" s="25" t="str">
        <f>IFERROR(__xludf.DUMMYFUNCTION("ARRAYFORMULA(REGEXEXTRACT(SPLIT(C1351, ""&lt;br&gt;""), ""([가-힣A-Za-z]+)""))"),"한메")</f>
        <v>한메</v>
      </c>
      <c r="K1351" s="26" t="str">
        <f>IFERROR(__xludf.DUMMYFUNCTION("""COMPUTED_VALUE"""),"테리")</f>
        <v>테리</v>
      </c>
      <c r="L1351" s="26" t="str">
        <f>IFERROR(__xludf.DUMMYFUNCTION("""COMPUTED_VALUE"""),"시아")</f>
        <v>시아</v>
      </c>
      <c r="M1351" s="26" t="str">
        <f>IFERROR(__xludf.DUMMYFUNCTION("""COMPUTED_VALUE"""),"봉구")</f>
        <v>봉구</v>
      </c>
      <c r="N1351" s="26" t="str">
        <f>IFERROR(__xludf.DUMMYFUNCTION("ARRAYFORMULA(REGEXEXTRACT(SPLIT(E1351, ""&lt;br&gt;""), ""([가-힣A-Za-z]+)""))"),"깡패")</f>
        <v>깡패</v>
      </c>
      <c r="O1351" s="26" t="str">
        <f>IFERROR(__xludf.DUMMYFUNCTION("""COMPUTED_VALUE"""),"요즘")</f>
        <v>요즘</v>
      </c>
      <c r="P1351" s="26" t="str">
        <f>IFERROR(__xludf.DUMMYFUNCTION("""COMPUTED_VALUE"""),"ACDC")</f>
        <v>ACDC</v>
      </c>
      <c r="Q1351" s="26" t="str">
        <f>IFERROR(__xludf.DUMMYFUNCTION("""COMPUTED_VALUE"""),"재우")</f>
        <v>재우</v>
      </c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</row>
    <row r="1352">
      <c r="A1352" s="27" t="s">
        <v>5663</v>
      </c>
      <c r="B1352" s="28" t="s">
        <v>5664</v>
      </c>
      <c r="C1352" s="27" t="s">
        <v>5665</v>
      </c>
      <c r="D1352" s="27">
        <v>5.0</v>
      </c>
      <c r="E1352" s="27" t="s">
        <v>5666</v>
      </c>
      <c r="F1352" s="27">
        <v>2.0</v>
      </c>
      <c r="G1352" s="29">
        <v>45609.07847222222</v>
      </c>
      <c r="H1352" s="27" t="s">
        <v>5526</v>
      </c>
      <c r="I1352" s="18"/>
      <c r="J1352" s="25" t="str">
        <f>IFERROR(__xludf.DUMMYFUNCTION("ARRAYFORMULA(REGEXEXTRACT(SPLIT(C1352, ""&lt;br&gt;""), ""([가-힣A-Za-z]+)""))"),"짱구")</f>
        <v>짱구</v>
      </c>
      <c r="K1352" s="26" t="str">
        <f>IFERROR(__xludf.DUMMYFUNCTION("""COMPUTED_VALUE"""),"신형만")</f>
        <v>신형만</v>
      </c>
      <c r="L1352" s="26" t="str">
        <f>IFERROR(__xludf.DUMMYFUNCTION("""COMPUTED_VALUE"""),"조드")</f>
        <v>조드</v>
      </c>
      <c r="M1352" s="26" t="str">
        <f>IFERROR(__xludf.DUMMYFUNCTION("""COMPUTED_VALUE"""),"ACDC")</f>
        <v>ACDC</v>
      </c>
      <c r="N1352" s="26" t="str">
        <f>IFERROR(__xludf.DUMMYFUNCTION("ARRAYFORMULA(REGEXEXTRACT(SPLIT(E1352, ""&lt;br&gt;""), ""([가-힣A-Za-z]+)""))"),"한메")</f>
        <v>한메</v>
      </c>
      <c r="O1352" s="26" t="str">
        <f>IFERROR(__xludf.DUMMYFUNCTION("""COMPUTED_VALUE"""),"노인")</f>
        <v>노인</v>
      </c>
      <c r="P1352" s="26" t="str">
        <f>IFERROR(__xludf.DUMMYFUNCTION("""COMPUTED_VALUE"""),"강화")</f>
        <v>강화</v>
      </c>
      <c r="Q1352" s="26" t="str">
        <f>IFERROR(__xludf.DUMMYFUNCTION("""COMPUTED_VALUE"""),"깡패")</f>
        <v>깡패</v>
      </c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</row>
    <row r="1353">
      <c r="A1353" s="27" t="s">
        <v>5667</v>
      </c>
      <c r="B1353" s="28" t="s">
        <v>5668</v>
      </c>
      <c r="C1353" s="27" t="s">
        <v>5669</v>
      </c>
      <c r="D1353" s="27">
        <v>5.0</v>
      </c>
      <c r="E1353" s="27" t="s">
        <v>5670</v>
      </c>
      <c r="F1353" s="27">
        <v>0.0</v>
      </c>
      <c r="G1353" s="29">
        <v>45609.04722222222</v>
      </c>
      <c r="H1353" s="27" t="s">
        <v>5526</v>
      </c>
      <c r="I1353" s="18"/>
      <c r="J1353" s="25" t="str">
        <f>IFERROR(__xludf.DUMMYFUNCTION("ARRAYFORMULA(REGEXEXTRACT(SPLIT(C1353, ""&lt;br&gt;""), ""([가-힣A-Za-z]+)""))"),"노인")</f>
        <v>노인</v>
      </c>
      <c r="K1353" s="26" t="str">
        <f>IFERROR(__xludf.DUMMYFUNCTION("""COMPUTED_VALUE"""),"테리")</f>
        <v>테리</v>
      </c>
      <c r="L1353" s="26" t="str">
        <f>IFERROR(__xludf.DUMMYFUNCTION("""COMPUTED_VALUE"""),"신형만")</f>
        <v>신형만</v>
      </c>
      <c r="M1353" s="26" t="str">
        <f>IFERROR(__xludf.DUMMYFUNCTION("""COMPUTED_VALUE"""),"ACDC")</f>
        <v>ACDC</v>
      </c>
      <c r="N1353" s="26" t="str">
        <f>IFERROR(__xludf.DUMMYFUNCTION("ARRAYFORMULA(REGEXEXTRACT(SPLIT(E1353, ""&lt;br&gt;""), ""([가-힣A-Za-z]+)""))"),"깡패")</f>
        <v>깡패</v>
      </c>
      <c r="O1353" s="26" t="str">
        <f>IFERROR(__xludf.DUMMYFUNCTION("""COMPUTED_VALUE"""),"강화")</f>
        <v>강화</v>
      </c>
      <c r="P1353" s="26" t="str">
        <f>IFERROR(__xludf.DUMMYFUNCTION("""COMPUTED_VALUE"""),"조드")</f>
        <v>조드</v>
      </c>
      <c r="Q1353" s="26" t="str">
        <f>IFERROR(__xludf.DUMMYFUNCTION("""COMPUTED_VALUE"""),"짱구")</f>
        <v>짱구</v>
      </c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</row>
    <row r="1354">
      <c r="A1354" s="27" t="s">
        <v>5671</v>
      </c>
      <c r="B1354" s="28" t="s">
        <v>5672</v>
      </c>
      <c r="C1354" s="27" t="s">
        <v>5673</v>
      </c>
      <c r="D1354" s="27">
        <v>5.0</v>
      </c>
      <c r="E1354" s="27" t="s">
        <v>5674</v>
      </c>
      <c r="F1354" s="27">
        <v>3.0</v>
      </c>
      <c r="G1354" s="29">
        <v>45609.02777777778</v>
      </c>
      <c r="H1354" s="27" t="s">
        <v>5526</v>
      </c>
      <c r="I1354" s="18"/>
      <c r="J1354" s="25" t="str">
        <f>IFERROR(__xludf.DUMMYFUNCTION("ARRAYFORMULA(REGEXEXTRACT(SPLIT(C1354, ""&lt;br&gt;""), ""([가-힣A-Za-z]+)""))"),"깡패")</f>
        <v>깡패</v>
      </c>
      <c r="K1354" s="26" t="str">
        <f>IFERROR(__xludf.DUMMYFUNCTION("""COMPUTED_VALUE"""),"신형만")</f>
        <v>신형만</v>
      </c>
      <c r="L1354" s="26" t="str">
        <f>IFERROR(__xludf.DUMMYFUNCTION("""COMPUTED_VALUE"""),"노인")</f>
        <v>노인</v>
      </c>
      <c r="M1354" s="26" t="str">
        <f>IFERROR(__xludf.DUMMYFUNCTION("""COMPUTED_VALUE"""),"짱구")</f>
        <v>짱구</v>
      </c>
      <c r="N1354" s="26" t="str">
        <f>IFERROR(__xludf.DUMMYFUNCTION("ARRAYFORMULA(REGEXEXTRACT(SPLIT(E1354, ""&lt;br&gt;""), ""([가-힣A-Za-z]+)""))"),"ACDC")</f>
        <v>ACDC</v>
      </c>
      <c r="O1354" s="26" t="str">
        <f>IFERROR(__xludf.DUMMYFUNCTION("""COMPUTED_VALUE"""),"조드")</f>
        <v>조드</v>
      </c>
      <c r="P1354" s="26" t="str">
        <f>IFERROR(__xludf.DUMMYFUNCTION("""COMPUTED_VALUE"""),"테리")</f>
        <v>테리</v>
      </c>
      <c r="Q1354" s="26" t="str">
        <f>IFERROR(__xludf.DUMMYFUNCTION("""COMPUTED_VALUE"""),"강화")</f>
        <v>강화</v>
      </c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</row>
    <row r="1355">
      <c r="A1355" s="27" t="s">
        <v>5675</v>
      </c>
      <c r="B1355" s="28" t="s">
        <v>5676</v>
      </c>
      <c r="C1355" s="27" t="s">
        <v>5677</v>
      </c>
      <c r="D1355" s="27">
        <v>5.0</v>
      </c>
      <c r="E1355" s="27" t="s">
        <v>5678</v>
      </c>
      <c r="F1355" s="27">
        <v>1.0</v>
      </c>
      <c r="G1355" s="29">
        <v>45608.993055555555</v>
      </c>
      <c r="H1355" s="27" t="s">
        <v>5526</v>
      </c>
      <c r="I1355" s="18"/>
      <c r="J1355" s="25" t="str">
        <f>IFERROR(__xludf.DUMMYFUNCTION("ARRAYFORMULA(REGEXEXTRACT(SPLIT(C1355, ""&lt;br&gt;""), ""([가-힣A-Za-z]+)""))"),"깡패")</f>
        <v>깡패</v>
      </c>
      <c r="K1355" s="26" t="str">
        <f>IFERROR(__xludf.DUMMYFUNCTION("""COMPUTED_VALUE"""),"짱구")</f>
        <v>짱구</v>
      </c>
      <c r="L1355" s="26" t="str">
        <f>IFERROR(__xludf.DUMMYFUNCTION("""COMPUTED_VALUE"""),"테리")</f>
        <v>테리</v>
      </c>
      <c r="M1355" s="26" t="str">
        <f>IFERROR(__xludf.DUMMYFUNCTION("""COMPUTED_VALUE"""),"조드")</f>
        <v>조드</v>
      </c>
      <c r="N1355" s="26" t="str">
        <f>IFERROR(__xludf.DUMMYFUNCTION("ARRAYFORMULA(REGEXEXTRACT(SPLIT(E1355, ""&lt;br&gt;""), ""([가-힣A-Za-z]+)""))"),"강화")</f>
        <v>강화</v>
      </c>
      <c r="O1355" s="26" t="str">
        <f>IFERROR(__xludf.DUMMYFUNCTION("""COMPUTED_VALUE"""),"봉구")</f>
        <v>봉구</v>
      </c>
      <c r="P1355" s="26" t="str">
        <f>IFERROR(__xludf.DUMMYFUNCTION("""COMPUTED_VALUE"""),"ACDC")</f>
        <v>ACDC</v>
      </c>
      <c r="Q1355" s="26" t="str">
        <f>IFERROR(__xludf.DUMMYFUNCTION("""COMPUTED_VALUE"""),"노인")</f>
        <v>노인</v>
      </c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</row>
    <row r="1356">
      <c r="A1356" s="27" t="s">
        <v>5679</v>
      </c>
      <c r="B1356" s="28" t="s">
        <v>5680</v>
      </c>
      <c r="C1356" s="27" t="s">
        <v>5681</v>
      </c>
      <c r="D1356" s="27">
        <v>5.0</v>
      </c>
      <c r="E1356" s="27" t="s">
        <v>5682</v>
      </c>
      <c r="F1356" s="27">
        <v>3.0</v>
      </c>
      <c r="G1356" s="29">
        <v>45608.97152777778</v>
      </c>
      <c r="H1356" s="27" t="s">
        <v>5526</v>
      </c>
      <c r="I1356" s="18"/>
      <c r="J1356" s="25" t="str">
        <f>IFERROR(__xludf.DUMMYFUNCTION("ARRAYFORMULA(REGEXEXTRACT(SPLIT(C1356, ""&lt;br&gt;""), ""([가-힣A-Za-z]+)""))"),"깡패")</f>
        <v>깡패</v>
      </c>
      <c r="K1356" s="26" t="str">
        <f>IFERROR(__xludf.DUMMYFUNCTION("""COMPUTED_VALUE"""),"ACDC")</f>
        <v>ACDC</v>
      </c>
      <c r="L1356" s="26" t="str">
        <f>IFERROR(__xludf.DUMMYFUNCTION("""COMPUTED_VALUE"""),"신형만")</f>
        <v>신형만</v>
      </c>
      <c r="M1356" s="26" t="str">
        <f>IFERROR(__xludf.DUMMYFUNCTION("""COMPUTED_VALUE"""),"봉구")</f>
        <v>봉구</v>
      </c>
      <c r="N1356" s="26" t="str">
        <f>IFERROR(__xludf.DUMMYFUNCTION("ARRAYFORMULA(REGEXEXTRACT(SPLIT(E1356, ""&lt;br&gt;""), ""([가-힣A-Za-z]+)""))"),"한메")</f>
        <v>한메</v>
      </c>
      <c r="O1356" s="26" t="str">
        <f>IFERROR(__xludf.DUMMYFUNCTION("""COMPUTED_VALUE"""),"노인")</f>
        <v>노인</v>
      </c>
      <c r="P1356" s="26" t="str">
        <f>IFERROR(__xludf.DUMMYFUNCTION("""COMPUTED_VALUE"""),"강화")</f>
        <v>강화</v>
      </c>
      <c r="Q1356" s="26" t="str">
        <f>IFERROR(__xludf.DUMMYFUNCTION("""COMPUTED_VALUE"""),"조드")</f>
        <v>조드</v>
      </c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</row>
    <row r="1357">
      <c r="A1357" s="27" t="s">
        <v>5683</v>
      </c>
      <c r="B1357" s="28" t="s">
        <v>5684</v>
      </c>
      <c r="C1357" s="27" t="s">
        <v>5685</v>
      </c>
      <c r="D1357" s="27">
        <v>5.0</v>
      </c>
      <c r="E1357" s="27" t="s">
        <v>5686</v>
      </c>
      <c r="F1357" s="27">
        <v>2.0</v>
      </c>
      <c r="G1357" s="29">
        <v>45608.93541666667</v>
      </c>
      <c r="H1357" s="27" t="s">
        <v>5526</v>
      </c>
      <c r="I1357" s="18"/>
      <c r="J1357" s="25" t="str">
        <f>IFERROR(__xludf.DUMMYFUNCTION("ARRAYFORMULA(REGEXEXTRACT(SPLIT(C1357, ""&lt;br&gt;""), ""([가-힣A-Za-z]+)""))"),"노인")</f>
        <v>노인</v>
      </c>
      <c r="K1357" s="26" t="str">
        <f>IFERROR(__xludf.DUMMYFUNCTION("""COMPUTED_VALUE"""),"테리")</f>
        <v>테리</v>
      </c>
      <c r="L1357" s="26" t="str">
        <f>IFERROR(__xludf.DUMMYFUNCTION("""COMPUTED_VALUE"""),"조드")</f>
        <v>조드</v>
      </c>
      <c r="M1357" s="26" t="str">
        <f>IFERROR(__xludf.DUMMYFUNCTION("""COMPUTED_VALUE"""),"한메")</f>
        <v>한메</v>
      </c>
      <c r="N1357" s="26" t="str">
        <f>IFERROR(__xludf.DUMMYFUNCTION("ARRAYFORMULA(REGEXEXTRACT(SPLIT(E1357, ""&lt;br&gt;""), ""([가-힣A-Za-z]+)""))"),"신형만")</f>
        <v>신형만</v>
      </c>
      <c r="O1357" s="26" t="str">
        <f>IFERROR(__xludf.DUMMYFUNCTION("""COMPUTED_VALUE"""),"요즘")</f>
        <v>요즘</v>
      </c>
      <c r="P1357" s="26" t="str">
        <f>IFERROR(__xludf.DUMMYFUNCTION("""COMPUTED_VALUE"""),"ACDC")</f>
        <v>ACDC</v>
      </c>
      <c r="Q1357" s="26" t="str">
        <f>IFERROR(__xludf.DUMMYFUNCTION("""COMPUTED_VALUE"""),"강화")</f>
        <v>강화</v>
      </c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</row>
    <row r="1358">
      <c r="A1358" s="27" t="s">
        <v>5687</v>
      </c>
      <c r="B1358" s="28" t="s">
        <v>5688</v>
      </c>
      <c r="C1358" s="27" t="s">
        <v>5689</v>
      </c>
      <c r="D1358" s="27">
        <v>5.0</v>
      </c>
      <c r="E1358" s="27" t="s">
        <v>5690</v>
      </c>
      <c r="F1358" s="27">
        <v>0.0</v>
      </c>
      <c r="G1358" s="29">
        <v>45608.91388888889</v>
      </c>
      <c r="H1358" s="27" t="s">
        <v>5526</v>
      </c>
      <c r="I1358" s="18"/>
      <c r="J1358" s="25" t="str">
        <f>IFERROR(__xludf.DUMMYFUNCTION("ARRAYFORMULA(REGEXEXTRACT(SPLIT(C1358, ""&lt;br&gt;""), ""([가-힣A-Za-z]+)""))"),"한메")</f>
        <v>한메</v>
      </c>
      <c r="K1358" s="26" t="str">
        <f>IFERROR(__xludf.DUMMYFUNCTION("""COMPUTED_VALUE"""),"ACDC")</f>
        <v>ACDC</v>
      </c>
      <c r="L1358" s="26" t="str">
        <f>IFERROR(__xludf.DUMMYFUNCTION("""COMPUTED_VALUE"""),"테리")</f>
        <v>테리</v>
      </c>
      <c r="M1358" s="26" t="str">
        <f>IFERROR(__xludf.DUMMYFUNCTION("""COMPUTED_VALUE"""),"요즘")</f>
        <v>요즘</v>
      </c>
      <c r="N1358" s="26" t="str">
        <f>IFERROR(__xludf.DUMMYFUNCTION("ARRAYFORMULA(REGEXEXTRACT(SPLIT(E1358, ""&lt;br&gt;""), ""([가-힣A-Za-z]+)""))"),"노인")</f>
        <v>노인</v>
      </c>
      <c r="O1358" s="26" t="str">
        <f>IFERROR(__xludf.DUMMYFUNCTION("""COMPUTED_VALUE"""),"강화")</f>
        <v>강화</v>
      </c>
      <c r="P1358" s="26" t="str">
        <f>IFERROR(__xludf.DUMMYFUNCTION("""COMPUTED_VALUE"""),"조드")</f>
        <v>조드</v>
      </c>
      <c r="Q1358" s="26" t="str">
        <f>IFERROR(__xludf.DUMMYFUNCTION("""COMPUTED_VALUE"""),"신형만")</f>
        <v>신형만</v>
      </c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</row>
    <row r="1359">
      <c r="A1359" s="27" t="s">
        <v>5691</v>
      </c>
      <c r="B1359" s="28" t="s">
        <v>5692</v>
      </c>
      <c r="C1359" s="27" t="s">
        <v>5693</v>
      </c>
      <c r="D1359" s="27">
        <v>5.0</v>
      </c>
      <c r="E1359" s="27" t="s">
        <v>5694</v>
      </c>
      <c r="F1359" s="27">
        <v>1.0</v>
      </c>
      <c r="G1359" s="29">
        <v>45608.89166666667</v>
      </c>
      <c r="H1359" s="27" t="s">
        <v>5526</v>
      </c>
      <c r="I1359" s="18"/>
      <c r="J1359" s="25" t="str">
        <f>IFERROR(__xludf.DUMMYFUNCTION("ARRAYFORMULA(REGEXEXTRACT(SPLIT(C1359, ""&lt;br&gt;""), ""([가-힣A-Za-z]+)""))"),"테리")</f>
        <v>테리</v>
      </c>
      <c r="K1359" s="26" t="str">
        <f>IFERROR(__xludf.DUMMYFUNCTION("""COMPUTED_VALUE"""),"신형만")</f>
        <v>신형만</v>
      </c>
      <c r="L1359" s="26" t="str">
        <f>IFERROR(__xludf.DUMMYFUNCTION("""COMPUTED_VALUE"""),"요즘")</f>
        <v>요즘</v>
      </c>
      <c r="M1359" s="26" t="str">
        <f>IFERROR(__xludf.DUMMYFUNCTION("""COMPUTED_VALUE"""),"강화")</f>
        <v>강화</v>
      </c>
      <c r="N1359" s="26" t="str">
        <f>IFERROR(__xludf.DUMMYFUNCTION("ARRAYFORMULA(REGEXEXTRACT(SPLIT(E1359, ""&lt;br&gt;""), ""([가-힣A-Za-z]+)""))"),"ACDC")</f>
        <v>ACDC</v>
      </c>
      <c r="O1359" s="26" t="str">
        <f>IFERROR(__xludf.DUMMYFUNCTION("""COMPUTED_VALUE"""),"노인")</f>
        <v>노인</v>
      </c>
      <c r="P1359" s="26" t="str">
        <f>IFERROR(__xludf.DUMMYFUNCTION("""COMPUTED_VALUE"""),"조드")</f>
        <v>조드</v>
      </c>
      <c r="Q1359" s="26" t="str">
        <f>IFERROR(__xludf.DUMMYFUNCTION("""COMPUTED_VALUE"""),"한메")</f>
        <v>한메</v>
      </c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</row>
    <row r="1360">
      <c r="A1360" s="27" t="s">
        <v>5695</v>
      </c>
      <c r="B1360" s="28" t="s">
        <v>5696</v>
      </c>
      <c r="C1360" s="27" t="s">
        <v>5697</v>
      </c>
      <c r="D1360" s="27">
        <v>5.0</v>
      </c>
      <c r="E1360" s="27" t="s">
        <v>5698</v>
      </c>
      <c r="F1360" s="27">
        <v>1.0</v>
      </c>
      <c r="G1360" s="29">
        <v>45608.87708333333</v>
      </c>
      <c r="H1360" s="27" t="s">
        <v>5526</v>
      </c>
      <c r="I1360" s="18"/>
      <c r="J1360" s="25" t="str">
        <f>IFERROR(__xludf.DUMMYFUNCTION("ARRAYFORMULA(REGEXEXTRACT(SPLIT(C1360, ""&lt;br&gt;""), ""([가-힣A-Za-z]+)""))"),"요즘")</f>
        <v>요즘</v>
      </c>
      <c r="K1360" s="26" t="str">
        <f>IFERROR(__xludf.DUMMYFUNCTION("""COMPUTED_VALUE"""),"신형만")</f>
        <v>신형만</v>
      </c>
      <c r="L1360" s="26" t="str">
        <f>IFERROR(__xludf.DUMMYFUNCTION("""COMPUTED_VALUE"""),"한메")</f>
        <v>한메</v>
      </c>
      <c r="M1360" s="26" t="str">
        <f>IFERROR(__xludf.DUMMYFUNCTION("""COMPUTED_VALUE"""),"노인")</f>
        <v>노인</v>
      </c>
      <c r="N1360" s="26" t="str">
        <f>IFERROR(__xludf.DUMMYFUNCTION("ARRAYFORMULA(REGEXEXTRACT(SPLIT(E1360, ""&lt;br&gt;""), ""([가-힣A-Za-z]+)""))"),"강화")</f>
        <v>강화</v>
      </c>
      <c r="O1360" s="26" t="str">
        <f>IFERROR(__xludf.DUMMYFUNCTION("""COMPUTED_VALUE"""),"조드")</f>
        <v>조드</v>
      </c>
      <c r="P1360" s="26" t="str">
        <f>IFERROR(__xludf.DUMMYFUNCTION("""COMPUTED_VALUE"""),"테리")</f>
        <v>테리</v>
      </c>
      <c r="Q1360" s="26" t="str">
        <f>IFERROR(__xludf.DUMMYFUNCTION("""COMPUTED_VALUE"""),"ACDC")</f>
        <v>ACDC</v>
      </c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</row>
    <row r="1361">
      <c r="A1361" s="27" t="s">
        <v>5699</v>
      </c>
      <c r="B1361" s="28" t="s">
        <v>5700</v>
      </c>
      <c r="C1361" s="27" t="s">
        <v>5701</v>
      </c>
      <c r="D1361" s="27">
        <v>5.0</v>
      </c>
      <c r="E1361" s="27" t="s">
        <v>5702</v>
      </c>
      <c r="F1361" s="27">
        <v>1.0</v>
      </c>
      <c r="G1361" s="29">
        <v>45608.85486111111</v>
      </c>
      <c r="H1361" s="27" t="s">
        <v>5526</v>
      </c>
      <c r="I1361" s="18"/>
      <c r="J1361" s="25" t="str">
        <f>IFERROR(__xludf.DUMMYFUNCTION("ARRAYFORMULA(REGEXEXTRACT(SPLIT(C1361, ""&lt;br&gt;""), ""([가-힣A-Za-z]+)""))"),"한메")</f>
        <v>한메</v>
      </c>
      <c r="K1361" s="26" t="str">
        <f>IFERROR(__xludf.DUMMYFUNCTION("""COMPUTED_VALUE"""),"테리")</f>
        <v>테리</v>
      </c>
      <c r="L1361" s="26" t="str">
        <f>IFERROR(__xludf.DUMMYFUNCTION("""COMPUTED_VALUE"""),"강화")</f>
        <v>강화</v>
      </c>
      <c r="M1361" s="26" t="str">
        <f>IFERROR(__xludf.DUMMYFUNCTION("""COMPUTED_VALUE"""),"노인")</f>
        <v>노인</v>
      </c>
      <c r="N1361" s="26" t="str">
        <f>IFERROR(__xludf.DUMMYFUNCTION("ARRAYFORMULA(REGEXEXTRACT(SPLIT(E1361, ""&lt;br&gt;""), ""([가-힣A-Za-z]+)""))"),"ACDC")</f>
        <v>ACDC</v>
      </c>
      <c r="O1361" s="26" t="str">
        <f>IFERROR(__xludf.DUMMYFUNCTION("""COMPUTED_VALUE"""),"요즘")</f>
        <v>요즘</v>
      </c>
      <c r="P1361" s="26" t="str">
        <f>IFERROR(__xludf.DUMMYFUNCTION("""COMPUTED_VALUE"""),"조드")</f>
        <v>조드</v>
      </c>
      <c r="Q1361" s="26" t="str">
        <f>IFERROR(__xludf.DUMMYFUNCTION("""COMPUTED_VALUE"""),"신형만")</f>
        <v>신형만</v>
      </c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</row>
    <row r="1362">
      <c r="A1362" s="27" t="s">
        <v>5703</v>
      </c>
      <c r="B1362" s="28" t="s">
        <v>5704</v>
      </c>
      <c r="C1362" s="27" t="s">
        <v>5705</v>
      </c>
      <c r="D1362" s="27">
        <v>5.0</v>
      </c>
      <c r="E1362" s="27" t="s">
        <v>5706</v>
      </c>
      <c r="F1362" s="27">
        <v>3.0</v>
      </c>
      <c r="G1362" s="29">
        <v>45608.06805555556</v>
      </c>
      <c r="H1362" s="27" t="s">
        <v>5526</v>
      </c>
      <c r="I1362" s="18"/>
      <c r="J1362" s="25" t="str">
        <f>IFERROR(__xludf.DUMMYFUNCTION("ARRAYFORMULA(REGEXEXTRACT(SPLIT(C1362, ""&lt;br&gt;""), ""([가-힣A-Za-z]+)""))"),"노인")</f>
        <v>노인</v>
      </c>
      <c r="K1362" s="26" t="str">
        <f>IFERROR(__xludf.DUMMYFUNCTION("""COMPUTED_VALUE"""),"ACDC")</f>
        <v>ACDC</v>
      </c>
      <c r="L1362" s="26" t="str">
        <f>IFERROR(__xludf.DUMMYFUNCTION("""COMPUTED_VALUE"""),"조드")</f>
        <v>조드</v>
      </c>
      <c r="M1362" s="26" t="str">
        <f>IFERROR(__xludf.DUMMYFUNCTION("""COMPUTED_VALUE"""),"신형만")</f>
        <v>신형만</v>
      </c>
      <c r="N1362" s="26" t="str">
        <f>IFERROR(__xludf.DUMMYFUNCTION("ARRAYFORMULA(REGEXEXTRACT(SPLIT(E1362, ""&lt;br&gt;""), ""([가-힣A-Za-z]+)""))"),"깡패")</f>
        <v>깡패</v>
      </c>
      <c r="O1362" s="26" t="str">
        <f>IFERROR(__xludf.DUMMYFUNCTION("""COMPUTED_VALUE"""),"랄")</f>
        <v>랄</v>
      </c>
      <c r="P1362" s="26" t="str">
        <f>IFERROR(__xludf.DUMMYFUNCTION("""COMPUTED_VALUE"""),"오크")</f>
        <v>오크</v>
      </c>
      <c r="Q1362" s="26" t="str">
        <f>IFERROR(__xludf.DUMMYFUNCTION("""COMPUTED_VALUE"""),"한메")</f>
        <v>한메</v>
      </c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</row>
    <row r="1363">
      <c r="A1363" s="27" t="s">
        <v>5707</v>
      </c>
      <c r="B1363" s="28" t="s">
        <v>5708</v>
      </c>
      <c r="C1363" s="27" t="s">
        <v>5709</v>
      </c>
      <c r="D1363" s="27">
        <v>5.0</v>
      </c>
      <c r="E1363" s="27" t="s">
        <v>5710</v>
      </c>
      <c r="F1363" s="27">
        <v>2.0</v>
      </c>
      <c r="G1363" s="29">
        <v>45608.02916666667</v>
      </c>
      <c r="H1363" s="27" t="s">
        <v>5526</v>
      </c>
      <c r="I1363" s="18"/>
      <c r="J1363" s="25" t="str">
        <f>IFERROR(__xludf.DUMMYFUNCTION("ARRAYFORMULA(REGEXEXTRACT(SPLIT(C1363, ""&lt;br&gt;""), ""([가-힣A-Za-z]+)""))"),"깡패")</f>
        <v>깡패</v>
      </c>
      <c r="K1363" s="26" t="str">
        <f>IFERROR(__xludf.DUMMYFUNCTION("""COMPUTED_VALUE"""),"조드")</f>
        <v>조드</v>
      </c>
      <c r="L1363" s="26" t="str">
        <f>IFERROR(__xludf.DUMMYFUNCTION("""COMPUTED_VALUE"""),"신형만")</f>
        <v>신형만</v>
      </c>
      <c r="M1363" s="26" t="str">
        <f>IFERROR(__xludf.DUMMYFUNCTION("""COMPUTED_VALUE"""),"ACDC")</f>
        <v>ACDC</v>
      </c>
      <c r="N1363" s="26" t="str">
        <f>IFERROR(__xludf.DUMMYFUNCTION("ARRAYFORMULA(REGEXEXTRACT(SPLIT(E1363, ""&lt;br&gt;""), ""([가-힣A-Za-z]+)""))"),"오크")</f>
        <v>오크</v>
      </c>
      <c r="O1363" s="26" t="str">
        <f>IFERROR(__xludf.DUMMYFUNCTION("""COMPUTED_VALUE"""),"노인")</f>
        <v>노인</v>
      </c>
      <c r="P1363" s="26" t="str">
        <f>IFERROR(__xludf.DUMMYFUNCTION("""COMPUTED_VALUE"""),"테리")</f>
        <v>테리</v>
      </c>
      <c r="Q1363" s="26" t="str">
        <f>IFERROR(__xludf.DUMMYFUNCTION("""COMPUTED_VALUE"""),"한메")</f>
        <v>한메</v>
      </c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</row>
    <row r="1364">
      <c r="A1364" s="27" t="s">
        <v>5711</v>
      </c>
      <c r="B1364" s="28" t="s">
        <v>5712</v>
      </c>
      <c r="C1364" s="27" t="s">
        <v>5713</v>
      </c>
      <c r="D1364" s="27">
        <v>5.0</v>
      </c>
      <c r="E1364" s="27" t="s">
        <v>5714</v>
      </c>
      <c r="F1364" s="27">
        <v>4.0</v>
      </c>
      <c r="G1364" s="29">
        <v>45607.99930555555</v>
      </c>
      <c r="H1364" s="27" t="s">
        <v>5526</v>
      </c>
      <c r="I1364" s="18"/>
      <c r="J1364" s="25" t="str">
        <f>IFERROR(__xludf.DUMMYFUNCTION("ARRAYFORMULA(REGEXEXTRACT(SPLIT(C1364, ""&lt;br&gt;""), ""([가-힣A-Za-z]+)""))"),"오크")</f>
        <v>오크</v>
      </c>
      <c r="K1364" s="26" t="str">
        <f>IFERROR(__xludf.DUMMYFUNCTION("""COMPUTED_VALUE"""),"깡패")</f>
        <v>깡패</v>
      </c>
      <c r="L1364" s="26" t="str">
        <f>IFERROR(__xludf.DUMMYFUNCTION("""COMPUTED_VALUE"""),"한메")</f>
        <v>한메</v>
      </c>
      <c r="M1364" s="26" t="str">
        <f>IFERROR(__xludf.DUMMYFUNCTION("""COMPUTED_VALUE"""),"노인")</f>
        <v>노인</v>
      </c>
      <c r="N1364" s="26" t="str">
        <f>IFERROR(__xludf.DUMMYFUNCTION("ARRAYFORMULA(REGEXEXTRACT(SPLIT(E1364, ""&lt;br&gt;""), ""([가-힣A-Za-z]+)""))"),"테리")</f>
        <v>테리</v>
      </c>
      <c r="O1364" s="26" t="str">
        <f>IFERROR(__xludf.DUMMYFUNCTION("""COMPUTED_VALUE"""),"조드")</f>
        <v>조드</v>
      </c>
      <c r="P1364" s="26" t="str">
        <f>IFERROR(__xludf.DUMMYFUNCTION("""COMPUTED_VALUE"""),"ACDC")</f>
        <v>ACDC</v>
      </c>
      <c r="Q1364" s="26" t="str">
        <f>IFERROR(__xludf.DUMMYFUNCTION("""COMPUTED_VALUE"""),"신형만")</f>
        <v>신형만</v>
      </c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</row>
    <row r="1365">
      <c r="A1365" s="27" t="s">
        <v>5715</v>
      </c>
      <c r="B1365" s="28" t="s">
        <v>5716</v>
      </c>
      <c r="C1365" s="27" t="s">
        <v>5717</v>
      </c>
      <c r="D1365" s="27">
        <v>5.0</v>
      </c>
      <c r="E1365" s="27" t="s">
        <v>5718</v>
      </c>
      <c r="F1365" s="27">
        <v>3.0</v>
      </c>
      <c r="G1365" s="29">
        <v>45607.95625</v>
      </c>
      <c r="H1365" s="27" t="s">
        <v>5526</v>
      </c>
      <c r="I1365" s="18"/>
      <c r="J1365" s="25" t="str">
        <f>IFERROR(__xludf.DUMMYFUNCTION("ARRAYFORMULA(REGEXEXTRACT(SPLIT(C1365, ""&lt;br&gt;""), ""([가-힣A-Za-z]+)""))"),"깡패")</f>
        <v>깡패</v>
      </c>
      <c r="K1365" s="26" t="str">
        <f>IFERROR(__xludf.DUMMYFUNCTION("""COMPUTED_VALUE"""),"신형만")</f>
        <v>신형만</v>
      </c>
      <c r="L1365" s="26" t="str">
        <f>IFERROR(__xludf.DUMMYFUNCTION("""COMPUTED_VALUE"""),"재명")</f>
        <v>재명</v>
      </c>
      <c r="M1365" s="26" t="str">
        <f>IFERROR(__xludf.DUMMYFUNCTION("""COMPUTED_VALUE"""),"한메")</f>
        <v>한메</v>
      </c>
      <c r="N1365" s="26" t="str">
        <f>IFERROR(__xludf.DUMMYFUNCTION("ARRAYFORMULA(REGEXEXTRACT(SPLIT(E1365, ""&lt;br&gt;""), ""([가-힣A-Za-z]+)""))"),"오크")</f>
        <v>오크</v>
      </c>
      <c r="O1365" s="26" t="str">
        <f>IFERROR(__xludf.DUMMYFUNCTION("""COMPUTED_VALUE"""),"조드")</f>
        <v>조드</v>
      </c>
      <c r="P1365" s="26" t="str">
        <f>IFERROR(__xludf.DUMMYFUNCTION("""COMPUTED_VALUE"""),"ACDC")</f>
        <v>ACDC</v>
      </c>
      <c r="Q1365" s="26" t="str">
        <f>IFERROR(__xludf.DUMMYFUNCTION("""COMPUTED_VALUE"""),"재우")</f>
        <v>재우</v>
      </c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</row>
    <row r="1366">
      <c r="A1366" s="27" t="s">
        <v>5719</v>
      </c>
      <c r="B1366" s="28" t="s">
        <v>5720</v>
      </c>
      <c r="C1366" s="27" t="s">
        <v>5721</v>
      </c>
      <c r="D1366" s="27">
        <v>5.0</v>
      </c>
      <c r="E1366" s="27" t="s">
        <v>5722</v>
      </c>
      <c r="F1366" s="27">
        <v>4.0</v>
      </c>
      <c r="G1366" s="29">
        <v>45607.93263888889</v>
      </c>
      <c r="H1366" s="27" t="s">
        <v>5526</v>
      </c>
      <c r="I1366" s="18"/>
      <c r="J1366" s="25" t="str">
        <f>IFERROR(__xludf.DUMMYFUNCTION("ARRAYFORMULA(REGEXEXTRACT(SPLIT(C1366, ""&lt;br&gt;""), ""([가-힣A-Za-z]+)""))"),"한메")</f>
        <v>한메</v>
      </c>
      <c r="K1366" s="26" t="str">
        <f>IFERROR(__xludf.DUMMYFUNCTION("""COMPUTED_VALUE"""),"노인")</f>
        <v>노인</v>
      </c>
      <c r="L1366" s="26" t="str">
        <f>IFERROR(__xludf.DUMMYFUNCTION("""COMPUTED_VALUE"""),"ACDC")</f>
        <v>ACDC</v>
      </c>
      <c r="M1366" s="26" t="str">
        <f>IFERROR(__xludf.DUMMYFUNCTION("""COMPUTED_VALUE"""),"재우")</f>
        <v>재우</v>
      </c>
      <c r="N1366" s="26" t="str">
        <f>IFERROR(__xludf.DUMMYFUNCTION("ARRAYFORMULA(REGEXEXTRACT(SPLIT(E1366, ""&lt;br&gt;""), ""([가-힣A-Za-z]+)""))"),"오크")</f>
        <v>오크</v>
      </c>
      <c r="O1366" s="26" t="str">
        <f>IFERROR(__xludf.DUMMYFUNCTION("""COMPUTED_VALUE"""),"테리")</f>
        <v>테리</v>
      </c>
      <c r="P1366" s="26" t="str">
        <f>IFERROR(__xludf.DUMMYFUNCTION("""COMPUTED_VALUE"""),"재명")</f>
        <v>재명</v>
      </c>
      <c r="Q1366" s="26" t="str">
        <f>IFERROR(__xludf.DUMMYFUNCTION("""COMPUTED_VALUE"""),"조드")</f>
        <v>조드</v>
      </c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</row>
    <row r="1367">
      <c r="A1367" s="27" t="s">
        <v>5723</v>
      </c>
      <c r="B1367" s="28" t="s">
        <v>5724</v>
      </c>
      <c r="C1367" s="27" t="s">
        <v>5725</v>
      </c>
      <c r="D1367" s="27">
        <v>5.0</v>
      </c>
      <c r="E1367" s="27" t="s">
        <v>5726</v>
      </c>
      <c r="F1367" s="27">
        <v>4.0</v>
      </c>
      <c r="G1367" s="29">
        <v>45607.9</v>
      </c>
      <c r="H1367" s="27" t="s">
        <v>5526</v>
      </c>
      <c r="I1367" s="18"/>
      <c r="J1367" s="25" t="str">
        <f>IFERROR(__xludf.DUMMYFUNCTION("ARRAYFORMULA(REGEXEXTRACT(SPLIT(C1367, ""&lt;br&gt;""), ""([가-힣A-Za-z]+)""))"),"재우")</f>
        <v>재우</v>
      </c>
      <c r="K1367" s="26" t="str">
        <f>IFERROR(__xludf.DUMMYFUNCTION("""COMPUTED_VALUE"""),"신형만")</f>
        <v>신형만</v>
      </c>
      <c r="L1367" s="26" t="str">
        <f>IFERROR(__xludf.DUMMYFUNCTION("""COMPUTED_VALUE"""),"한메")</f>
        <v>한메</v>
      </c>
      <c r="M1367" s="26" t="str">
        <f>IFERROR(__xludf.DUMMYFUNCTION("""COMPUTED_VALUE"""),"노인")</f>
        <v>노인</v>
      </c>
      <c r="N1367" s="26" t="str">
        <f>IFERROR(__xludf.DUMMYFUNCTION("ARRAYFORMULA(REGEXEXTRACT(SPLIT(E1367, ""&lt;br&gt;""), ""([가-힣A-Za-z]+)""))"),"깡패")</f>
        <v>깡패</v>
      </c>
      <c r="O1367" s="26" t="str">
        <f>IFERROR(__xludf.DUMMYFUNCTION("""COMPUTED_VALUE"""),"테리")</f>
        <v>테리</v>
      </c>
      <c r="P1367" s="26" t="str">
        <f>IFERROR(__xludf.DUMMYFUNCTION("""COMPUTED_VALUE"""),"요즘")</f>
        <v>요즘</v>
      </c>
      <c r="Q1367" s="26" t="str">
        <f>IFERROR(__xludf.DUMMYFUNCTION("""COMPUTED_VALUE"""),"재명")</f>
        <v>재명</v>
      </c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</row>
    <row r="1368">
      <c r="A1368" s="27" t="s">
        <v>5727</v>
      </c>
      <c r="B1368" s="28" t="s">
        <v>5728</v>
      </c>
      <c r="C1368" s="27" t="s">
        <v>5729</v>
      </c>
      <c r="D1368" s="27">
        <v>5.0</v>
      </c>
      <c r="E1368" s="27" t="s">
        <v>5730</v>
      </c>
      <c r="F1368" s="27">
        <v>1.0</v>
      </c>
      <c r="G1368" s="29">
        <v>45607.86319444444</v>
      </c>
      <c r="H1368" s="27" t="s">
        <v>5526</v>
      </c>
      <c r="I1368" s="18"/>
      <c r="J1368" s="25" t="str">
        <f>IFERROR(__xludf.DUMMYFUNCTION("ARRAYFORMULA(REGEXEXTRACT(SPLIT(C1368, ""&lt;br&gt;""), ""([가-힣A-Za-z]+)""))"),"테리")</f>
        <v>테리</v>
      </c>
      <c r="K1368" s="26" t="str">
        <f>IFERROR(__xludf.DUMMYFUNCTION("""COMPUTED_VALUE"""),"신형만")</f>
        <v>신형만</v>
      </c>
      <c r="L1368" s="26" t="str">
        <f>IFERROR(__xludf.DUMMYFUNCTION("""COMPUTED_VALUE"""),"재우")</f>
        <v>재우</v>
      </c>
      <c r="M1368" s="26" t="str">
        <f>IFERROR(__xludf.DUMMYFUNCTION("""COMPUTED_VALUE"""),"재명")</f>
        <v>재명</v>
      </c>
      <c r="N1368" s="26" t="str">
        <f>IFERROR(__xludf.DUMMYFUNCTION("ARRAYFORMULA(REGEXEXTRACT(SPLIT(E1368, ""&lt;br&gt;""), ""([가-힣A-Za-z]+)""))"),"노인")</f>
        <v>노인</v>
      </c>
      <c r="O1368" s="26" t="str">
        <f>IFERROR(__xludf.DUMMYFUNCTION("""COMPUTED_VALUE"""),"깡패")</f>
        <v>깡패</v>
      </c>
      <c r="P1368" s="26" t="str">
        <f>IFERROR(__xludf.DUMMYFUNCTION("""COMPUTED_VALUE"""),"요즘")</f>
        <v>요즘</v>
      </c>
      <c r="Q1368" s="26" t="str">
        <f>IFERROR(__xludf.DUMMYFUNCTION("""COMPUTED_VALUE"""),"한메")</f>
        <v>한메</v>
      </c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</row>
    <row r="1369">
      <c r="A1369" s="27" t="s">
        <v>5731</v>
      </c>
      <c r="B1369" s="28" t="s">
        <v>5732</v>
      </c>
      <c r="C1369" s="27" t="s">
        <v>5733</v>
      </c>
      <c r="D1369" s="27">
        <v>5.0</v>
      </c>
      <c r="E1369" s="27" t="s">
        <v>5734</v>
      </c>
      <c r="F1369" s="27">
        <v>0.0</v>
      </c>
      <c r="G1369" s="29">
        <v>45607.09097222222</v>
      </c>
      <c r="H1369" s="27" t="s">
        <v>5526</v>
      </c>
      <c r="I1369" s="18"/>
      <c r="J1369" s="25" t="str">
        <f>IFERROR(__xludf.DUMMYFUNCTION("ARRAYFORMULA(REGEXEXTRACT(SPLIT(C1369, ""&lt;br&gt;""), ""([가-힣A-Za-z]+)""))"),"튜브")</f>
        <v>튜브</v>
      </c>
      <c r="K1369" s="26" t="str">
        <f>IFERROR(__xludf.DUMMYFUNCTION("""COMPUTED_VALUE"""),"노인")</f>
        <v>노인</v>
      </c>
      <c r="L1369" s="26" t="str">
        <f>IFERROR(__xludf.DUMMYFUNCTION("""COMPUTED_VALUE"""),"신형만")</f>
        <v>신형만</v>
      </c>
      <c r="M1369" s="26" t="str">
        <f>IFERROR(__xludf.DUMMYFUNCTION("""COMPUTED_VALUE"""),"민우")</f>
        <v>민우</v>
      </c>
      <c r="N1369" s="26" t="str">
        <f>IFERROR(__xludf.DUMMYFUNCTION("ARRAYFORMULA(REGEXEXTRACT(SPLIT(E1369, ""&lt;br&gt;""), ""([가-힣A-Za-z]+)""))"),"짱구")</f>
        <v>짱구</v>
      </c>
      <c r="O1369" s="26" t="str">
        <f>IFERROR(__xludf.DUMMYFUNCTION("""COMPUTED_VALUE"""),"강화")</f>
        <v>강화</v>
      </c>
      <c r="P1369" s="26" t="str">
        <f>IFERROR(__xludf.DUMMYFUNCTION("""COMPUTED_VALUE"""),"키키")</f>
        <v>키키</v>
      </c>
      <c r="Q1369" s="26" t="str">
        <f>IFERROR(__xludf.DUMMYFUNCTION("""COMPUTED_VALUE"""),"깡패")</f>
        <v>깡패</v>
      </c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</row>
    <row r="1370">
      <c r="A1370" s="27" t="s">
        <v>5735</v>
      </c>
      <c r="B1370" s="28" t="s">
        <v>5736</v>
      </c>
      <c r="C1370" s="27" t="s">
        <v>5737</v>
      </c>
      <c r="D1370" s="27">
        <v>5.0</v>
      </c>
      <c r="E1370" s="27" t="s">
        <v>5738</v>
      </c>
      <c r="F1370" s="27">
        <v>2.0</v>
      </c>
      <c r="G1370" s="29">
        <v>45607.06319444445</v>
      </c>
      <c r="H1370" s="27" t="s">
        <v>5526</v>
      </c>
      <c r="I1370" s="18"/>
      <c r="J1370" s="25" t="str">
        <f>IFERROR(__xludf.DUMMYFUNCTION("ARRAYFORMULA(REGEXEXTRACT(SPLIT(C1370, ""&lt;br&gt;""), ""([가-힣A-Za-z]+)""))"),"키키")</f>
        <v>키키</v>
      </c>
      <c r="K1370" s="26" t="str">
        <f>IFERROR(__xludf.DUMMYFUNCTION("""COMPUTED_VALUE"""),"노인")</f>
        <v>노인</v>
      </c>
      <c r="L1370" s="26" t="str">
        <f>IFERROR(__xludf.DUMMYFUNCTION("""COMPUTED_VALUE"""),"강화")</f>
        <v>강화</v>
      </c>
      <c r="M1370" s="26" t="str">
        <f>IFERROR(__xludf.DUMMYFUNCTION("""COMPUTED_VALUE"""),"요즘")</f>
        <v>요즘</v>
      </c>
      <c r="N1370" s="26" t="str">
        <f>IFERROR(__xludf.DUMMYFUNCTION("ARRAYFORMULA(REGEXEXTRACT(SPLIT(E1370, ""&lt;br&gt;""), ""([가-힣A-Za-z]+)""))"),"신형만")</f>
        <v>신형만</v>
      </c>
      <c r="O1370" s="26" t="str">
        <f>IFERROR(__xludf.DUMMYFUNCTION("""COMPUTED_VALUE"""),"깡패")</f>
        <v>깡패</v>
      </c>
      <c r="P1370" s="26" t="str">
        <f>IFERROR(__xludf.DUMMYFUNCTION("""COMPUTED_VALUE"""),"짱구")</f>
        <v>짱구</v>
      </c>
      <c r="Q1370" s="26" t="str">
        <f>IFERROR(__xludf.DUMMYFUNCTION("""COMPUTED_VALUE"""),"튜브")</f>
        <v>튜브</v>
      </c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</row>
    <row r="1371">
      <c r="A1371" s="27" t="s">
        <v>5739</v>
      </c>
      <c r="B1371" s="28" t="s">
        <v>5740</v>
      </c>
      <c r="C1371" s="27" t="s">
        <v>5741</v>
      </c>
      <c r="D1371" s="27">
        <v>5.0</v>
      </c>
      <c r="E1371" s="27" t="s">
        <v>5742</v>
      </c>
      <c r="F1371" s="27">
        <v>4.0</v>
      </c>
      <c r="G1371" s="29">
        <v>45607.041666666664</v>
      </c>
      <c r="H1371" s="27" t="s">
        <v>5526</v>
      </c>
      <c r="I1371" s="18"/>
      <c r="J1371" s="25" t="str">
        <f>IFERROR(__xludf.DUMMYFUNCTION("ARRAYFORMULA(REGEXEXTRACT(SPLIT(C1371, ""&lt;br&gt;""), ""([가-힣A-Za-z]+)""))"),"신형만")</f>
        <v>신형만</v>
      </c>
      <c r="K1371" s="26" t="str">
        <f>IFERROR(__xludf.DUMMYFUNCTION("""COMPUTED_VALUE"""),"깡패")</f>
        <v>깡패</v>
      </c>
      <c r="L1371" s="26" t="str">
        <f>IFERROR(__xludf.DUMMYFUNCTION("""COMPUTED_VALUE"""),"노인")</f>
        <v>노인</v>
      </c>
      <c r="M1371" s="26" t="str">
        <f>IFERROR(__xludf.DUMMYFUNCTION("""COMPUTED_VALUE"""),"짱구")</f>
        <v>짱구</v>
      </c>
      <c r="N1371" s="26" t="str">
        <f>IFERROR(__xludf.DUMMYFUNCTION("ARRAYFORMULA(REGEXEXTRACT(SPLIT(E1371, ""&lt;br&gt;""), ""([가-힣A-Za-z]+)""))"),"튜브")</f>
        <v>튜브</v>
      </c>
      <c r="O1371" s="26" t="str">
        <f>IFERROR(__xludf.DUMMYFUNCTION("""COMPUTED_VALUE"""),"강화")</f>
        <v>강화</v>
      </c>
      <c r="P1371" s="26" t="str">
        <f>IFERROR(__xludf.DUMMYFUNCTION("""COMPUTED_VALUE"""),"키키")</f>
        <v>키키</v>
      </c>
      <c r="Q1371" s="26" t="str">
        <f>IFERROR(__xludf.DUMMYFUNCTION("""COMPUTED_VALUE"""),"요즘")</f>
        <v>요즘</v>
      </c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</row>
    <row r="1372">
      <c r="A1372" s="27" t="s">
        <v>5743</v>
      </c>
      <c r="B1372" s="28" t="s">
        <v>5744</v>
      </c>
      <c r="C1372" s="27" t="s">
        <v>5745</v>
      </c>
      <c r="D1372" s="27">
        <v>5.0</v>
      </c>
      <c r="E1372" s="27" t="s">
        <v>5746</v>
      </c>
      <c r="F1372" s="27">
        <v>4.0</v>
      </c>
      <c r="G1372" s="29">
        <v>45607.03680555556</v>
      </c>
      <c r="H1372" s="27" t="s">
        <v>5526</v>
      </c>
      <c r="I1372" s="18"/>
      <c r="J1372" s="25" t="str">
        <f>IFERROR(__xludf.DUMMYFUNCTION("ARRAYFORMULA(REGEXEXTRACT(SPLIT(C1372, ""&lt;br&gt;""), ""([가-힣A-Za-z]+)""))"),"튜브")</f>
        <v>튜브</v>
      </c>
      <c r="K1372" s="26" t="str">
        <f>IFERROR(__xludf.DUMMYFUNCTION("""COMPUTED_VALUE"""),"요즘")</f>
        <v>요즘</v>
      </c>
      <c r="L1372" s="26" t="str">
        <f>IFERROR(__xludf.DUMMYFUNCTION("""COMPUTED_VALUE"""),"키키")</f>
        <v>키키</v>
      </c>
      <c r="M1372" s="26" t="str">
        <f>IFERROR(__xludf.DUMMYFUNCTION("""COMPUTED_VALUE"""),"깡패")</f>
        <v>깡패</v>
      </c>
      <c r="N1372" s="26" t="str">
        <f>IFERROR(__xludf.DUMMYFUNCTION("ARRAYFORMULA(REGEXEXTRACT(SPLIT(E1372, ""&lt;br&gt;""), ""([가-힣A-Za-z]+)""))"),"신형만")</f>
        <v>신형만</v>
      </c>
      <c r="O1372" s="26" t="str">
        <f>IFERROR(__xludf.DUMMYFUNCTION("""COMPUTED_VALUE"""),"강화")</f>
        <v>강화</v>
      </c>
      <c r="P1372" s="26" t="str">
        <f>IFERROR(__xludf.DUMMYFUNCTION("""COMPUTED_VALUE"""),"노인")</f>
        <v>노인</v>
      </c>
      <c r="Q1372" s="26" t="str">
        <f>IFERROR(__xludf.DUMMYFUNCTION("""COMPUTED_VALUE"""),"짱구")</f>
        <v>짱구</v>
      </c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</row>
    <row r="1373">
      <c r="A1373" s="27" t="s">
        <v>5747</v>
      </c>
      <c r="B1373" s="28" t="s">
        <v>5748</v>
      </c>
      <c r="C1373" s="27" t="s">
        <v>5749</v>
      </c>
      <c r="D1373" s="27">
        <v>5.0</v>
      </c>
      <c r="E1373" s="27" t="s">
        <v>5750</v>
      </c>
      <c r="F1373" s="27">
        <v>4.0</v>
      </c>
      <c r="G1373" s="29">
        <v>45607.00347222222</v>
      </c>
      <c r="H1373" s="27" t="s">
        <v>5526</v>
      </c>
      <c r="I1373" s="18"/>
      <c r="J1373" s="25" t="str">
        <f>IFERROR(__xludf.DUMMYFUNCTION("ARRAYFORMULA(REGEXEXTRACT(SPLIT(C1373, ""&lt;br&gt;""), ""([가-힣A-Za-z]+)""))"),"요즘")</f>
        <v>요즘</v>
      </c>
      <c r="K1373" s="26" t="str">
        <f>IFERROR(__xludf.DUMMYFUNCTION("""COMPUTED_VALUE"""),"짱구")</f>
        <v>짱구</v>
      </c>
      <c r="L1373" s="26" t="str">
        <f>IFERROR(__xludf.DUMMYFUNCTION("""COMPUTED_VALUE"""),"조드")</f>
        <v>조드</v>
      </c>
      <c r="M1373" s="26" t="str">
        <f>IFERROR(__xludf.DUMMYFUNCTION("""COMPUTED_VALUE"""),"튜브")</f>
        <v>튜브</v>
      </c>
      <c r="N1373" s="26" t="str">
        <f>IFERROR(__xludf.DUMMYFUNCTION("ARRAYFORMULA(REGEXEXTRACT(SPLIT(E1373, ""&lt;br&gt;""), ""([가-힣A-Za-z]+)""))"),"신형만")</f>
        <v>신형만</v>
      </c>
      <c r="O1373" s="26" t="str">
        <f>IFERROR(__xludf.DUMMYFUNCTION("""COMPUTED_VALUE"""),"강화")</f>
        <v>강화</v>
      </c>
      <c r="P1373" s="26" t="str">
        <f>IFERROR(__xludf.DUMMYFUNCTION("""COMPUTED_VALUE"""),"한메")</f>
        <v>한메</v>
      </c>
      <c r="Q1373" s="26" t="str">
        <f>IFERROR(__xludf.DUMMYFUNCTION("""COMPUTED_VALUE"""),"키키")</f>
        <v>키키</v>
      </c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</row>
    <row r="1374">
      <c r="A1374" s="27" t="s">
        <v>5751</v>
      </c>
      <c r="B1374" s="28" t="s">
        <v>5752</v>
      </c>
      <c r="C1374" s="27" t="s">
        <v>5753</v>
      </c>
      <c r="D1374" s="27">
        <v>5.0</v>
      </c>
      <c r="E1374" s="27" t="s">
        <v>5754</v>
      </c>
      <c r="F1374" s="27">
        <v>3.0</v>
      </c>
      <c r="G1374" s="29">
        <v>45606.97361111111</v>
      </c>
      <c r="H1374" s="27" t="s">
        <v>5526</v>
      </c>
      <c r="I1374" s="18"/>
      <c r="J1374" s="25" t="str">
        <f>IFERROR(__xludf.DUMMYFUNCTION("ARRAYFORMULA(REGEXEXTRACT(SPLIT(C1374, ""&lt;br&gt;""), ""([가-힣A-Za-z]+)""))"),"키키")</f>
        <v>키키</v>
      </c>
      <c r="K1374" s="26" t="str">
        <f>IFERROR(__xludf.DUMMYFUNCTION("""COMPUTED_VALUE"""),"요즘")</f>
        <v>요즘</v>
      </c>
      <c r="L1374" s="26" t="str">
        <f>IFERROR(__xludf.DUMMYFUNCTION("""COMPUTED_VALUE"""),"짱구")</f>
        <v>짱구</v>
      </c>
      <c r="M1374" s="26" t="str">
        <f>IFERROR(__xludf.DUMMYFUNCTION("""COMPUTED_VALUE"""),"강화")</f>
        <v>강화</v>
      </c>
      <c r="N1374" s="26" t="str">
        <f>IFERROR(__xludf.DUMMYFUNCTION("ARRAYFORMULA(REGEXEXTRACT(SPLIT(E1374, ""&lt;br&gt;""), ""([가-힣A-Za-z]+)""))"),"한메")</f>
        <v>한메</v>
      </c>
      <c r="O1374" s="26" t="str">
        <f>IFERROR(__xludf.DUMMYFUNCTION("""COMPUTED_VALUE"""),"신형만")</f>
        <v>신형만</v>
      </c>
      <c r="P1374" s="26" t="str">
        <f>IFERROR(__xludf.DUMMYFUNCTION("""COMPUTED_VALUE"""),"튜브")</f>
        <v>튜브</v>
      </c>
      <c r="Q1374" s="26" t="str">
        <f>IFERROR(__xludf.DUMMYFUNCTION("""COMPUTED_VALUE"""),"조드")</f>
        <v>조드</v>
      </c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</row>
    <row r="1375">
      <c r="A1375" s="27" t="s">
        <v>5755</v>
      </c>
      <c r="B1375" s="28" t="s">
        <v>5756</v>
      </c>
      <c r="C1375" s="27" t="s">
        <v>5757</v>
      </c>
      <c r="D1375" s="27">
        <v>5.0</v>
      </c>
      <c r="E1375" s="27" t="s">
        <v>5758</v>
      </c>
      <c r="F1375" s="27">
        <v>0.0</v>
      </c>
      <c r="G1375" s="29">
        <v>45606.944444444445</v>
      </c>
      <c r="H1375" s="27" t="s">
        <v>5526</v>
      </c>
      <c r="I1375" s="18"/>
      <c r="J1375" s="25" t="str">
        <f>IFERROR(__xludf.DUMMYFUNCTION("ARRAYFORMULA(REGEXEXTRACT(SPLIT(C1375, ""&lt;br&gt;""), ""([가-힣A-Za-z]+)""))"),"깡패")</f>
        <v>깡패</v>
      </c>
      <c r="K1375" s="26" t="str">
        <f>IFERROR(__xludf.DUMMYFUNCTION("""COMPUTED_VALUE"""),"조드")</f>
        <v>조드</v>
      </c>
      <c r="L1375" s="26" t="str">
        <f>IFERROR(__xludf.DUMMYFUNCTION("""COMPUTED_VALUE"""),"테리")</f>
        <v>테리</v>
      </c>
      <c r="M1375" s="26" t="str">
        <f>IFERROR(__xludf.DUMMYFUNCTION("""COMPUTED_VALUE"""),"한메")</f>
        <v>한메</v>
      </c>
      <c r="N1375" s="26" t="str">
        <f>IFERROR(__xludf.DUMMYFUNCTION("ARRAYFORMULA(REGEXEXTRACT(SPLIT(E1375, ""&lt;br&gt;""), ""([가-힣A-Za-z]+)""))"),"키키")</f>
        <v>키키</v>
      </c>
      <c r="O1375" s="26" t="str">
        <f>IFERROR(__xludf.DUMMYFUNCTION("""COMPUTED_VALUE"""),"강화")</f>
        <v>강화</v>
      </c>
      <c r="P1375" s="26" t="str">
        <f>IFERROR(__xludf.DUMMYFUNCTION("""COMPUTED_VALUE"""),"짱구")</f>
        <v>짱구</v>
      </c>
      <c r="Q1375" s="26" t="str">
        <f>IFERROR(__xludf.DUMMYFUNCTION("""COMPUTED_VALUE"""),"ACDC")</f>
        <v>ACDC</v>
      </c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</row>
    <row r="1376">
      <c r="A1376" s="27" t="s">
        <v>5759</v>
      </c>
      <c r="B1376" s="28" t="s">
        <v>5760</v>
      </c>
      <c r="C1376" s="27" t="s">
        <v>5761</v>
      </c>
      <c r="D1376" s="27">
        <v>5.0</v>
      </c>
      <c r="E1376" s="27" t="s">
        <v>5762</v>
      </c>
      <c r="F1376" s="27">
        <v>1.0</v>
      </c>
      <c r="G1376" s="29">
        <v>45606.92847222222</v>
      </c>
      <c r="H1376" s="27" t="s">
        <v>5526</v>
      </c>
      <c r="I1376" s="18"/>
      <c r="J1376" s="25" t="str">
        <f>IFERROR(__xludf.DUMMYFUNCTION("ARRAYFORMULA(REGEXEXTRACT(SPLIT(C1376, ""&lt;br&gt;""), ""([가-힣A-Za-z]+)""))"),"테리")</f>
        <v>테리</v>
      </c>
      <c r="K1376" s="26" t="str">
        <f>IFERROR(__xludf.DUMMYFUNCTION("""COMPUTED_VALUE"""),"깡패")</f>
        <v>깡패</v>
      </c>
      <c r="L1376" s="26" t="str">
        <f>IFERROR(__xludf.DUMMYFUNCTION("""COMPUTED_VALUE"""),"한메")</f>
        <v>한메</v>
      </c>
      <c r="M1376" s="26" t="str">
        <f>IFERROR(__xludf.DUMMYFUNCTION("""COMPUTED_VALUE"""),"ACDC")</f>
        <v>ACDC</v>
      </c>
      <c r="N1376" s="26" t="str">
        <f>IFERROR(__xludf.DUMMYFUNCTION("ARRAYFORMULA(REGEXEXTRACT(SPLIT(E1376, ""&lt;br&gt;""), ""([가-힣A-Za-z]+)""))"),"키키")</f>
        <v>키키</v>
      </c>
      <c r="O1376" s="26" t="str">
        <f>IFERROR(__xludf.DUMMYFUNCTION("""COMPUTED_VALUE"""),"노인")</f>
        <v>노인</v>
      </c>
      <c r="P1376" s="26" t="str">
        <f>IFERROR(__xludf.DUMMYFUNCTION("""COMPUTED_VALUE"""),"신형만")</f>
        <v>신형만</v>
      </c>
      <c r="Q1376" s="26" t="str">
        <f>IFERROR(__xludf.DUMMYFUNCTION("""COMPUTED_VALUE"""),"강화")</f>
        <v>강화</v>
      </c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</row>
    <row r="1377">
      <c r="A1377" s="27" t="s">
        <v>5763</v>
      </c>
      <c r="B1377" s="28" t="s">
        <v>5764</v>
      </c>
      <c r="C1377" s="27" t="s">
        <v>5765</v>
      </c>
      <c r="D1377" s="27">
        <v>5.0</v>
      </c>
      <c r="E1377" s="27" t="s">
        <v>5766</v>
      </c>
      <c r="F1377" s="27">
        <v>2.0</v>
      </c>
      <c r="G1377" s="29">
        <v>45606.896527777775</v>
      </c>
      <c r="H1377" s="27" t="s">
        <v>5526</v>
      </c>
      <c r="I1377" s="18"/>
      <c r="J1377" s="25" t="str">
        <f>IFERROR(__xludf.DUMMYFUNCTION("ARRAYFORMULA(REGEXEXTRACT(SPLIT(C1377, ""&lt;br&gt;""), ""([가-힣A-Za-z]+)""))"),"테리")</f>
        <v>테리</v>
      </c>
      <c r="K1377" s="26" t="str">
        <f>IFERROR(__xludf.DUMMYFUNCTION("""COMPUTED_VALUE"""),"깡패")</f>
        <v>깡패</v>
      </c>
      <c r="L1377" s="26" t="str">
        <f>IFERROR(__xludf.DUMMYFUNCTION("""COMPUTED_VALUE"""),"키키")</f>
        <v>키키</v>
      </c>
      <c r="M1377" s="26" t="str">
        <f>IFERROR(__xludf.DUMMYFUNCTION("""COMPUTED_VALUE"""),"신형만")</f>
        <v>신형만</v>
      </c>
      <c r="N1377" s="26" t="str">
        <f>IFERROR(__xludf.DUMMYFUNCTION("ARRAYFORMULA(REGEXEXTRACT(SPLIT(E1377, ""&lt;br&gt;""), ""([가-힣A-Za-z]+)""))"),"ACDC")</f>
        <v>ACDC</v>
      </c>
      <c r="O1377" s="26" t="str">
        <f>IFERROR(__xludf.DUMMYFUNCTION("""COMPUTED_VALUE"""),"강화")</f>
        <v>강화</v>
      </c>
      <c r="P1377" s="26" t="str">
        <f>IFERROR(__xludf.DUMMYFUNCTION("""COMPUTED_VALUE"""),"노인")</f>
        <v>노인</v>
      </c>
      <c r="Q1377" s="26" t="str">
        <f>IFERROR(__xludf.DUMMYFUNCTION("""COMPUTED_VALUE"""),"한메")</f>
        <v>한메</v>
      </c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</row>
    <row r="1378">
      <c r="A1378" s="27" t="s">
        <v>5767</v>
      </c>
      <c r="B1378" s="28" t="s">
        <v>5768</v>
      </c>
      <c r="C1378" s="27" t="s">
        <v>5769</v>
      </c>
      <c r="D1378" s="27">
        <v>5.0</v>
      </c>
      <c r="E1378" s="27" t="s">
        <v>5770</v>
      </c>
      <c r="F1378" s="27">
        <v>0.0</v>
      </c>
      <c r="G1378" s="29">
        <v>45606.87777777778</v>
      </c>
      <c r="H1378" s="27" t="s">
        <v>5526</v>
      </c>
      <c r="I1378" s="18"/>
      <c r="J1378" s="25" t="str">
        <f>IFERROR(__xludf.DUMMYFUNCTION("ARRAYFORMULA(REGEXEXTRACT(SPLIT(C1378, ""&lt;br&gt;""), ""([가-힣A-Za-z]+)""))"),"신형만")</f>
        <v>신형만</v>
      </c>
      <c r="K1378" s="26" t="str">
        <f>IFERROR(__xludf.DUMMYFUNCTION("""COMPUTED_VALUE"""),"테리")</f>
        <v>테리</v>
      </c>
      <c r="L1378" s="26" t="str">
        <f>IFERROR(__xludf.DUMMYFUNCTION("""COMPUTED_VALUE"""),"요즘")</f>
        <v>요즘</v>
      </c>
      <c r="M1378" s="26" t="str">
        <f>IFERROR(__xludf.DUMMYFUNCTION("""COMPUTED_VALUE"""),"깡패")</f>
        <v>깡패</v>
      </c>
      <c r="N1378" s="26" t="str">
        <f>IFERROR(__xludf.DUMMYFUNCTION("ARRAYFORMULA(REGEXEXTRACT(SPLIT(E1378, ""&lt;br&gt;""), ""([가-힣A-Za-z]+)""))"),"노인")</f>
        <v>노인</v>
      </c>
      <c r="O1378" s="26" t="str">
        <f>IFERROR(__xludf.DUMMYFUNCTION("""COMPUTED_VALUE"""),"한메")</f>
        <v>한메</v>
      </c>
      <c r="P1378" s="26" t="str">
        <f>IFERROR(__xludf.DUMMYFUNCTION("""COMPUTED_VALUE"""),"민우")</f>
        <v>민우</v>
      </c>
      <c r="Q1378" s="26" t="str">
        <f>IFERROR(__xludf.DUMMYFUNCTION("""COMPUTED_VALUE"""),"강화")</f>
        <v>강화</v>
      </c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</row>
    <row r="1379">
      <c r="A1379" s="27" t="s">
        <v>5771</v>
      </c>
      <c r="B1379" s="28" t="s">
        <v>5772</v>
      </c>
      <c r="C1379" s="27" t="s">
        <v>5773</v>
      </c>
      <c r="D1379" s="27">
        <v>5.0</v>
      </c>
      <c r="E1379" s="27" t="s">
        <v>5774</v>
      </c>
      <c r="F1379" s="27">
        <v>0.0</v>
      </c>
      <c r="G1379" s="29">
        <v>45606.86041666667</v>
      </c>
      <c r="H1379" s="27" t="s">
        <v>5526</v>
      </c>
      <c r="I1379" s="18"/>
      <c r="J1379" s="25" t="str">
        <f>IFERROR(__xludf.DUMMYFUNCTION("ARRAYFORMULA(REGEXEXTRACT(SPLIT(C1379, ""&lt;br&gt;""), ""([가-힣A-Za-z]+)""))"),"민우")</f>
        <v>민우</v>
      </c>
      <c r="K1379" s="26" t="str">
        <f>IFERROR(__xludf.DUMMYFUNCTION("""COMPUTED_VALUE"""),"요즘")</f>
        <v>요즘</v>
      </c>
      <c r="L1379" s="26" t="str">
        <f>IFERROR(__xludf.DUMMYFUNCTION("""COMPUTED_VALUE"""),"한메")</f>
        <v>한메</v>
      </c>
      <c r="M1379" s="26" t="str">
        <f>IFERROR(__xludf.DUMMYFUNCTION("""COMPUTED_VALUE"""),"깡패")</f>
        <v>깡패</v>
      </c>
      <c r="N1379" s="26" t="str">
        <f>IFERROR(__xludf.DUMMYFUNCTION("ARRAYFORMULA(REGEXEXTRACT(SPLIT(E1379, ""&lt;br&gt;""), ""([가-힣A-Za-z]+)""))"),"노인")</f>
        <v>노인</v>
      </c>
      <c r="O1379" s="26" t="str">
        <f>IFERROR(__xludf.DUMMYFUNCTION("""COMPUTED_VALUE"""),"테리")</f>
        <v>테리</v>
      </c>
      <c r="P1379" s="26" t="str">
        <f>IFERROR(__xludf.DUMMYFUNCTION("""COMPUTED_VALUE"""),"신형만")</f>
        <v>신형만</v>
      </c>
      <c r="Q1379" s="26" t="str">
        <f>IFERROR(__xludf.DUMMYFUNCTION("""COMPUTED_VALUE"""),"강화")</f>
        <v>강화</v>
      </c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</row>
    <row r="1380">
      <c r="A1380" s="27" t="s">
        <v>5775</v>
      </c>
      <c r="B1380" s="28" t="s">
        <v>5776</v>
      </c>
      <c r="C1380" s="27" t="s">
        <v>5777</v>
      </c>
      <c r="D1380" s="27">
        <v>5.0</v>
      </c>
      <c r="E1380" s="27" t="s">
        <v>5778</v>
      </c>
      <c r="F1380" s="27">
        <v>1.0</v>
      </c>
      <c r="G1380" s="29">
        <v>45606.125</v>
      </c>
      <c r="H1380" s="27" t="s">
        <v>5526</v>
      </c>
      <c r="I1380" s="18"/>
      <c r="J1380" s="25" t="str">
        <f>IFERROR(__xludf.DUMMYFUNCTION("ARRAYFORMULA(REGEXEXTRACT(SPLIT(C1380, ""&lt;br&gt;""), ""([가-힣A-Za-z]+)""))"),"노인")</f>
        <v>노인</v>
      </c>
      <c r="K1380" s="26" t="str">
        <f>IFERROR(__xludf.DUMMYFUNCTION("""COMPUTED_VALUE"""),"신형만")</f>
        <v>신형만</v>
      </c>
      <c r="L1380" s="26" t="str">
        <f>IFERROR(__xludf.DUMMYFUNCTION("""COMPUTED_VALUE"""),"요즘")</f>
        <v>요즘</v>
      </c>
      <c r="M1380" s="26" t="str">
        <f>IFERROR(__xludf.DUMMYFUNCTION("""COMPUTED_VALUE"""),"키키")</f>
        <v>키키</v>
      </c>
      <c r="N1380" s="26" t="str">
        <f>IFERROR(__xludf.DUMMYFUNCTION("ARRAYFORMULA(REGEXEXTRACT(SPLIT(E1380, ""&lt;br&gt;""), ""([가-힣A-Za-z]+)""))"),"재명")</f>
        <v>재명</v>
      </c>
      <c r="O1380" s="26" t="str">
        <f>IFERROR(__xludf.DUMMYFUNCTION("""COMPUTED_VALUE"""),"짱구")</f>
        <v>짱구</v>
      </c>
      <c r="P1380" s="26" t="str">
        <f>IFERROR(__xludf.DUMMYFUNCTION("""COMPUTED_VALUE"""),"ACDC")</f>
        <v>ACDC</v>
      </c>
      <c r="Q1380" s="26" t="str">
        <f>IFERROR(__xludf.DUMMYFUNCTION("""COMPUTED_VALUE"""),"조드")</f>
        <v>조드</v>
      </c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</row>
    <row r="1381">
      <c r="A1381" s="27" t="s">
        <v>5779</v>
      </c>
      <c r="B1381" s="28" t="s">
        <v>5780</v>
      </c>
      <c r="C1381" s="27" t="s">
        <v>5781</v>
      </c>
      <c r="D1381" s="27">
        <v>5.0</v>
      </c>
      <c r="E1381" s="27" t="s">
        <v>5782</v>
      </c>
      <c r="F1381" s="27">
        <v>3.0</v>
      </c>
      <c r="G1381" s="29">
        <v>45606.11388888889</v>
      </c>
      <c r="H1381" s="27" t="s">
        <v>5526</v>
      </c>
      <c r="I1381" s="18"/>
      <c r="J1381" s="25" t="str">
        <f>IFERROR(__xludf.DUMMYFUNCTION("ARRAYFORMULA(REGEXEXTRACT(SPLIT(C1381, ""&lt;br&gt;""), ""([가-힣A-Za-z]+)""))"),"ACDC")</f>
        <v>ACDC</v>
      </c>
      <c r="K1381" s="26" t="str">
        <f>IFERROR(__xludf.DUMMYFUNCTION("""COMPUTED_VALUE"""),"노인")</f>
        <v>노인</v>
      </c>
      <c r="L1381" s="26" t="str">
        <f>IFERROR(__xludf.DUMMYFUNCTION("""COMPUTED_VALUE"""),"키키")</f>
        <v>키키</v>
      </c>
      <c r="M1381" s="26" t="str">
        <f>IFERROR(__xludf.DUMMYFUNCTION("""COMPUTED_VALUE"""),"재명")</f>
        <v>재명</v>
      </c>
      <c r="N1381" s="26" t="str">
        <f>IFERROR(__xludf.DUMMYFUNCTION("ARRAYFORMULA(REGEXEXTRACT(SPLIT(E1381, ""&lt;br&gt;""), ""([가-힣A-Za-z]+)""))"),"신형만")</f>
        <v>신형만</v>
      </c>
      <c r="O1381" s="26" t="str">
        <f>IFERROR(__xludf.DUMMYFUNCTION("""COMPUTED_VALUE"""),"조드")</f>
        <v>조드</v>
      </c>
      <c r="P1381" s="26" t="str">
        <f>IFERROR(__xludf.DUMMYFUNCTION("""COMPUTED_VALUE"""),"짱구")</f>
        <v>짱구</v>
      </c>
      <c r="Q1381" s="26" t="str">
        <f>IFERROR(__xludf.DUMMYFUNCTION("""COMPUTED_VALUE"""),"요즘")</f>
        <v>요즘</v>
      </c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</row>
    <row r="1382">
      <c r="A1382" s="27" t="s">
        <v>5783</v>
      </c>
      <c r="B1382" s="28" t="s">
        <v>5784</v>
      </c>
      <c r="C1382" s="27" t="s">
        <v>5785</v>
      </c>
      <c r="D1382" s="27">
        <v>5.0</v>
      </c>
      <c r="E1382" s="27" t="s">
        <v>5786</v>
      </c>
      <c r="F1382" s="27">
        <v>4.0</v>
      </c>
      <c r="G1382" s="29">
        <v>45606.069444444445</v>
      </c>
      <c r="H1382" s="27" t="s">
        <v>5526</v>
      </c>
      <c r="I1382" s="18"/>
      <c r="J1382" s="25" t="str">
        <f>IFERROR(__xludf.DUMMYFUNCTION("ARRAYFORMULA(REGEXEXTRACT(SPLIT(C1382, ""&lt;br&gt;""), ""([가-힣A-Za-z]+)""))"),"짱구")</f>
        <v>짱구</v>
      </c>
      <c r="K1382" s="26" t="str">
        <f>IFERROR(__xludf.DUMMYFUNCTION("""COMPUTED_VALUE"""),"조드")</f>
        <v>조드</v>
      </c>
      <c r="L1382" s="26" t="str">
        <f>IFERROR(__xludf.DUMMYFUNCTION("""COMPUTED_VALUE"""),"시아")</f>
        <v>시아</v>
      </c>
      <c r="M1382" s="26" t="str">
        <f>IFERROR(__xludf.DUMMYFUNCTION("""COMPUTED_VALUE"""),"만두")</f>
        <v>만두</v>
      </c>
      <c r="N1382" s="26" t="str">
        <f>IFERROR(__xludf.DUMMYFUNCTION("ARRAYFORMULA(REGEXEXTRACT(SPLIT(E1382, ""&lt;br&gt;""), ""([가-힣A-Za-z]+)""))"),"노인")</f>
        <v>노인</v>
      </c>
      <c r="O1382" s="26" t="str">
        <f>IFERROR(__xludf.DUMMYFUNCTION("""COMPUTED_VALUE"""),"신형만")</f>
        <v>신형만</v>
      </c>
      <c r="P1382" s="26" t="str">
        <f>IFERROR(__xludf.DUMMYFUNCTION("""COMPUTED_VALUE"""),"ACDC")</f>
        <v>ACDC</v>
      </c>
      <c r="Q1382" s="26" t="str">
        <f>IFERROR(__xludf.DUMMYFUNCTION("""COMPUTED_VALUE"""),"요즘")</f>
        <v>요즘</v>
      </c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</row>
    <row r="1383">
      <c r="A1383" s="27" t="s">
        <v>5787</v>
      </c>
      <c r="B1383" s="28" t="s">
        <v>5788</v>
      </c>
      <c r="C1383" s="27" t="s">
        <v>5789</v>
      </c>
      <c r="D1383" s="27">
        <v>5.0</v>
      </c>
      <c r="E1383" s="27" t="s">
        <v>5790</v>
      </c>
      <c r="F1383" s="27">
        <v>1.0</v>
      </c>
      <c r="G1383" s="29">
        <v>45606.038194444445</v>
      </c>
      <c r="H1383" s="27" t="s">
        <v>5526</v>
      </c>
      <c r="I1383" s="18"/>
      <c r="J1383" s="25" t="str">
        <f>IFERROR(__xludf.DUMMYFUNCTION("ARRAYFORMULA(REGEXEXTRACT(SPLIT(C1383, ""&lt;br&gt;""), ""([가-힣A-Za-z]+)""))"),"시아")</f>
        <v>시아</v>
      </c>
      <c r="K1383" s="26" t="str">
        <f>IFERROR(__xludf.DUMMYFUNCTION("""COMPUTED_VALUE"""),"신형만")</f>
        <v>신형만</v>
      </c>
      <c r="L1383" s="26" t="str">
        <f>IFERROR(__xludf.DUMMYFUNCTION("""COMPUTED_VALUE"""),"노인")</f>
        <v>노인</v>
      </c>
      <c r="M1383" s="26" t="str">
        <f>IFERROR(__xludf.DUMMYFUNCTION("""COMPUTED_VALUE"""),"조드")</f>
        <v>조드</v>
      </c>
      <c r="N1383" s="26" t="str">
        <f>IFERROR(__xludf.DUMMYFUNCTION("ARRAYFORMULA(REGEXEXTRACT(SPLIT(E1383, ""&lt;br&gt;""), ""([가-힣A-Za-z]+)""))"),"짱구")</f>
        <v>짱구</v>
      </c>
      <c r="O1383" s="26" t="str">
        <f>IFERROR(__xludf.DUMMYFUNCTION("""COMPUTED_VALUE"""),"ACDC")</f>
        <v>ACDC</v>
      </c>
      <c r="P1383" s="26" t="str">
        <f>IFERROR(__xludf.DUMMYFUNCTION("""COMPUTED_VALUE"""),"요즘")</f>
        <v>요즘</v>
      </c>
      <c r="Q1383" s="26" t="str">
        <f>IFERROR(__xludf.DUMMYFUNCTION("""COMPUTED_VALUE"""),"만두")</f>
        <v>만두</v>
      </c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</row>
    <row r="1384">
      <c r="A1384" s="27" t="s">
        <v>5791</v>
      </c>
      <c r="B1384" s="28" t="s">
        <v>5792</v>
      </c>
      <c r="C1384" s="27" t="s">
        <v>5793</v>
      </c>
      <c r="D1384" s="27">
        <v>5.0</v>
      </c>
      <c r="E1384" s="27" t="s">
        <v>5794</v>
      </c>
      <c r="F1384" s="27">
        <v>3.0</v>
      </c>
      <c r="G1384" s="29">
        <v>45606.01944444444</v>
      </c>
      <c r="H1384" s="27" t="s">
        <v>5526</v>
      </c>
      <c r="I1384" s="18"/>
      <c r="J1384" s="25" t="str">
        <f>IFERROR(__xludf.DUMMYFUNCTION("ARRAYFORMULA(REGEXEXTRACT(SPLIT(C1384, ""&lt;br&gt;""), ""([가-힣A-Za-z]+)""))"),"요즘")</f>
        <v>요즘</v>
      </c>
      <c r="K1384" s="26" t="str">
        <f>IFERROR(__xludf.DUMMYFUNCTION("""COMPUTED_VALUE"""),"랄")</f>
        <v>랄</v>
      </c>
      <c r="L1384" s="26" t="str">
        <f>IFERROR(__xludf.DUMMYFUNCTION("""COMPUTED_VALUE"""),"노인")</f>
        <v>노인</v>
      </c>
      <c r="M1384" s="26" t="str">
        <f>IFERROR(__xludf.DUMMYFUNCTION("""COMPUTED_VALUE"""),"봉구")</f>
        <v>봉구</v>
      </c>
      <c r="N1384" s="26" t="str">
        <f>IFERROR(__xludf.DUMMYFUNCTION("ARRAYFORMULA(REGEXEXTRACT(SPLIT(E1384, ""&lt;br&gt;""), ""([가-힣A-Za-z]+)""))"),"ACDC")</f>
        <v>ACDC</v>
      </c>
      <c r="O1384" s="26" t="str">
        <f>IFERROR(__xludf.DUMMYFUNCTION("""COMPUTED_VALUE"""),"강화")</f>
        <v>강화</v>
      </c>
      <c r="P1384" s="26" t="str">
        <f>IFERROR(__xludf.DUMMYFUNCTION("""COMPUTED_VALUE"""),"재명")</f>
        <v>재명</v>
      </c>
      <c r="Q1384" s="26" t="str">
        <f>IFERROR(__xludf.DUMMYFUNCTION("""COMPUTED_VALUE"""),"조드")</f>
        <v>조드</v>
      </c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</row>
    <row r="1385">
      <c r="A1385" s="27" t="s">
        <v>5795</v>
      </c>
      <c r="B1385" s="28" t="s">
        <v>5796</v>
      </c>
      <c r="C1385" s="27" t="s">
        <v>5797</v>
      </c>
      <c r="D1385" s="27">
        <v>5.0</v>
      </c>
      <c r="E1385" s="27" t="s">
        <v>5798</v>
      </c>
      <c r="F1385" s="27">
        <v>2.0</v>
      </c>
      <c r="G1385" s="29">
        <v>45605.99236111111</v>
      </c>
      <c r="H1385" s="27" t="s">
        <v>5526</v>
      </c>
      <c r="I1385" s="18"/>
      <c r="J1385" s="25" t="str">
        <f>IFERROR(__xludf.DUMMYFUNCTION("ARRAYFORMULA(REGEXEXTRACT(SPLIT(C1385, ""&lt;br&gt;""), ""([가-힣A-Za-z]+)""))"),"랄")</f>
        <v>랄</v>
      </c>
      <c r="K1385" s="26" t="str">
        <f>IFERROR(__xludf.DUMMYFUNCTION("""COMPUTED_VALUE"""),"ACDC")</f>
        <v>ACDC</v>
      </c>
      <c r="L1385" s="26" t="str">
        <f>IFERROR(__xludf.DUMMYFUNCTION("""COMPUTED_VALUE"""),"재명")</f>
        <v>재명</v>
      </c>
      <c r="M1385" s="26" t="str">
        <f>IFERROR(__xludf.DUMMYFUNCTION("""COMPUTED_VALUE"""),"노인")</f>
        <v>노인</v>
      </c>
      <c r="N1385" s="26" t="str">
        <f>IFERROR(__xludf.DUMMYFUNCTION("ARRAYFORMULA(REGEXEXTRACT(SPLIT(E1385, ""&lt;br&gt;""), ""([가-힣A-Za-z]+)""))"),"강화")</f>
        <v>강화</v>
      </c>
      <c r="O1385" s="26" t="str">
        <f>IFERROR(__xludf.DUMMYFUNCTION("""COMPUTED_VALUE"""),"봉구")</f>
        <v>봉구</v>
      </c>
      <c r="P1385" s="26" t="str">
        <f>IFERROR(__xludf.DUMMYFUNCTION("""COMPUTED_VALUE"""),"조드")</f>
        <v>조드</v>
      </c>
      <c r="Q1385" s="26" t="str">
        <f>IFERROR(__xludf.DUMMYFUNCTION("""COMPUTED_VALUE"""),"요즘")</f>
        <v>요즘</v>
      </c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</row>
    <row r="1386">
      <c r="A1386" s="27" t="s">
        <v>5799</v>
      </c>
      <c r="B1386" s="28" t="s">
        <v>5800</v>
      </c>
      <c r="C1386" s="27" t="s">
        <v>5801</v>
      </c>
      <c r="D1386" s="27">
        <v>5.0</v>
      </c>
      <c r="E1386" s="27" t="s">
        <v>5802</v>
      </c>
      <c r="F1386" s="27">
        <v>0.0</v>
      </c>
      <c r="G1386" s="29">
        <v>45605.96111111111</v>
      </c>
      <c r="H1386" s="27" t="s">
        <v>5526</v>
      </c>
      <c r="I1386" s="18"/>
      <c r="J1386" s="25" t="str">
        <f>IFERROR(__xludf.DUMMYFUNCTION("ARRAYFORMULA(REGEXEXTRACT(SPLIT(C1386, ""&lt;br&gt;""), ""([가-힣A-Za-z]+)""))"),"노인")</f>
        <v>노인</v>
      </c>
      <c r="K1386" s="26" t="str">
        <f>IFERROR(__xludf.DUMMYFUNCTION("""COMPUTED_VALUE"""),"요즘")</f>
        <v>요즘</v>
      </c>
      <c r="L1386" s="26" t="str">
        <f>IFERROR(__xludf.DUMMYFUNCTION("""COMPUTED_VALUE"""),"신형만")</f>
        <v>신형만</v>
      </c>
      <c r="M1386" s="26" t="str">
        <f>IFERROR(__xludf.DUMMYFUNCTION("""COMPUTED_VALUE"""),"재명")</f>
        <v>재명</v>
      </c>
      <c r="N1386" s="26" t="str">
        <f>IFERROR(__xludf.DUMMYFUNCTION("ARRAYFORMULA(REGEXEXTRACT(SPLIT(E1386, ""&lt;br&gt;""), ""([가-힣A-Za-z]+)""))"),"ACDC")</f>
        <v>ACDC</v>
      </c>
      <c r="O1386" s="26" t="str">
        <f>IFERROR(__xludf.DUMMYFUNCTION("""COMPUTED_VALUE"""),"조드")</f>
        <v>조드</v>
      </c>
      <c r="P1386" s="26" t="str">
        <f>IFERROR(__xludf.DUMMYFUNCTION("""COMPUTED_VALUE"""),"랄")</f>
        <v>랄</v>
      </c>
      <c r="Q1386" s="26" t="str">
        <f>IFERROR(__xludf.DUMMYFUNCTION("""COMPUTED_VALUE"""),"봉구")</f>
        <v>봉구</v>
      </c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</row>
    <row r="1387">
      <c r="A1387" s="27" t="s">
        <v>5803</v>
      </c>
      <c r="B1387" s="28" t="s">
        <v>5804</v>
      </c>
      <c r="C1387" s="27" t="s">
        <v>5805</v>
      </c>
      <c r="D1387" s="27">
        <v>5.0</v>
      </c>
      <c r="E1387" s="27" t="s">
        <v>5806</v>
      </c>
      <c r="F1387" s="27">
        <v>1.0</v>
      </c>
      <c r="G1387" s="29">
        <v>45605.947222222225</v>
      </c>
      <c r="H1387" s="27" t="s">
        <v>5526</v>
      </c>
      <c r="I1387" s="18"/>
      <c r="J1387" s="25" t="str">
        <f>IFERROR(__xludf.DUMMYFUNCTION("ARRAYFORMULA(REGEXEXTRACT(SPLIT(C1387, ""&lt;br&gt;""), ""([가-힣A-Za-z]+)""))"),"신형만")</f>
        <v>신형만</v>
      </c>
      <c r="K1387" s="26" t="str">
        <f>IFERROR(__xludf.DUMMYFUNCTION("""COMPUTED_VALUE"""),"노인")</f>
        <v>노인</v>
      </c>
      <c r="L1387" s="26" t="str">
        <f>IFERROR(__xludf.DUMMYFUNCTION("""COMPUTED_VALUE"""),"랄")</f>
        <v>랄</v>
      </c>
      <c r="M1387" s="26" t="str">
        <f>IFERROR(__xludf.DUMMYFUNCTION("""COMPUTED_VALUE"""),"ACDC")</f>
        <v>ACDC</v>
      </c>
      <c r="N1387" s="26" t="str">
        <f>IFERROR(__xludf.DUMMYFUNCTION("ARRAYFORMULA(REGEXEXTRACT(SPLIT(E1387, ""&lt;br&gt;""), ""([가-힣A-Za-z]+)""))"),"재명")</f>
        <v>재명</v>
      </c>
      <c r="O1387" s="26" t="str">
        <f>IFERROR(__xludf.DUMMYFUNCTION("""COMPUTED_VALUE"""),"조드")</f>
        <v>조드</v>
      </c>
      <c r="P1387" s="26" t="str">
        <f>IFERROR(__xludf.DUMMYFUNCTION("""COMPUTED_VALUE"""),"요즘")</f>
        <v>요즘</v>
      </c>
      <c r="Q1387" s="26" t="str">
        <f>IFERROR(__xludf.DUMMYFUNCTION("""COMPUTED_VALUE"""),"봉구")</f>
        <v>봉구</v>
      </c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</row>
    <row r="1388">
      <c r="A1388" s="27" t="s">
        <v>5807</v>
      </c>
      <c r="B1388" s="28" t="s">
        <v>5808</v>
      </c>
      <c r="C1388" s="27" t="s">
        <v>5809</v>
      </c>
      <c r="D1388" s="27">
        <v>5.0</v>
      </c>
      <c r="E1388" s="27" t="s">
        <v>5809</v>
      </c>
      <c r="F1388" s="27">
        <v>4.0</v>
      </c>
      <c r="G1388" s="29">
        <v>45605.83263888889</v>
      </c>
      <c r="H1388" s="27" t="s">
        <v>5526</v>
      </c>
      <c r="I1388" s="18"/>
      <c r="J1388" s="25" t="str">
        <f>IFERROR(__xludf.DUMMYFUNCTION("ARRAYFORMULA(REGEXEXTRACT(SPLIT(C1388, ""&lt;br&gt;""), ""([가-힣A-Za-z]+)""))"),"미등록")</f>
        <v>미등록</v>
      </c>
      <c r="K1388" s="26" t="str">
        <f>IFERROR(__xludf.DUMMYFUNCTION("""COMPUTED_VALUE"""),"미등록")</f>
        <v>미등록</v>
      </c>
      <c r="L1388" s="26" t="str">
        <f>IFERROR(__xludf.DUMMYFUNCTION("""COMPUTED_VALUE"""),"미등록")</f>
        <v>미등록</v>
      </c>
      <c r="M1388" s="26" t="str">
        <f>IFERROR(__xludf.DUMMYFUNCTION("""COMPUTED_VALUE"""),"미등록")</f>
        <v>미등록</v>
      </c>
      <c r="N1388" s="26" t="str">
        <f>IFERROR(__xludf.DUMMYFUNCTION("ARRAYFORMULA(REGEXEXTRACT(SPLIT(E1388, ""&lt;br&gt;""), ""([가-힣A-Za-z]+)""))"),"미등록")</f>
        <v>미등록</v>
      </c>
      <c r="O1388" s="26" t="str">
        <f>IFERROR(__xludf.DUMMYFUNCTION("""COMPUTED_VALUE"""),"미등록")</f>
        <v>미등록</v>
      </c>
      <c r="P1388" s="26" t="str">
        <f>IFERROR(__xludf.DUMMYFUNCTION("""COMPUTED_VALUE"""),"미등록")</f>
        <v>미등록</v>
      </c>
      <c r="Q1388" s="26" t="str">
        <f>IFERROR(__xludf.DUMMYFUNCTION("""COMPUTED_VALUE"""),"미등록")</f>
        <v>미등록</v>
      </c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</row>
    <row r="1389">
      <c r="A1389" s="27" t="s">
        <v>5810</v>
      </c>
      <c r="B1389" s="28" t="s">
        <v>5811</v>
      </c>
      <c r="C1389" s="27" t="s">
        <v>5812</v>
      </c>
      <c r="D1389" s="27">
        <v>5.0</v>
      </c>
      <c r="E1389" s="27" t="s">
        <v>5813</v>
      </c>
      <c r="F1389" s="27">
        <v>1.0</v>
      </c>
      <c r="G1389" s="29">
        <v>45605.10902777778</v>
      </c>
      <c r="H1389" s="27" t="s">
        <v>5526</v>
      </c>
      <c r="I1389" s="18"/>
      <c r="J1389" s="25" t="str">
        <f>IFERROR(__xludf.DUMMYFUNCTION("ARRAYFORMULA(REGEXEXTRACT(SPLIT(C1389, ""&lt;br&gt;""), ""([가-힣A-Za-z]+)""))"),"원")</f>
        <v>원</v>
      </c>
      <c r="K1389" s="26" t="str">
        <f>IFERROR(__xludf.DUMMYFUNCTION("""COMPUTED_VALUE"""),"ACDC")</f>
        <v>ACDC</v>
      </c>
      <c r="L1389" s="26" t="str">
        <f>IFERROR(__xludf.DUMMYFUNCTION("""COMPUTED_VALUE"""),"짱구")</f>
        <v>짱구</v>
      </c>
      <c r="M1389" s="26" t="str">
        <f>IFERROR(__xludf.DUMMYFUNCTION("""COMPUTED_VALUE"""),"깡패")</f>
        <v>깡패</v>
      </c>
      <c r="N1389" s="26" t="str">
        <f>IFERROR(__xludf.DUMMYFUNCTION("ARRAYFORMULA(REGEXEXTRACT(SPLIT(E1389, ""&lt;br&gt;""), ""([가-힣A-Za-z]+)""))"),"강화")</f>
        <v>강화</v>
      </c>
      <c r="O1389" s="26" t="str">
        <f>IFERROR(__xludf.DUMMYFUNCTION("""COMPUTED_VALUE"""),"테리")</f>
        <v>테리</v>
      </c>
      <c r="P1389" s="26" t="str">
        <f>IFERROR(__xludf.DUMMYFUNCTION("""COMPUTED_VALUE"""),"조드")</f>
        <v>조드</v>
      </c>
      <c r="Q1389" s="26" t="str">
        <f>IFERROR(__xludf.DUMMYFUNCTION("""COMPUTED_VALUE"""),"신형만")</f>
        <v>신형만</v>
      </c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</row>
    <row r="1390">
      <c r="A1390" s="27" t="s">
        <v>5814</v>
      </c>
      <c r="B1390" s="28" t="s">
        <v>5815</v>
      </c>
      <c r="C1390" s="27" t="s">
        <v>5816</v>
      </c>
      <c r="D1390" s="27">
        <v>5.0</v>
      </c>
      <c r="E1390" s="27" t="s">
        <v>5817</v>
      </c>
      <c r="F1390" s="27">
        <v>2.0</v>
      </c>
      <c r="G1390" s="29">
        <v>45605.09305555555</v>
      </c>
      <c r="H1390" s="27" t="s">
        <v>5526</v>
      </c>
      <c r="I1390" s="18"/>
      <c r="J1390" s="25" t="str">
        <f>IFERROR(__xludf.DUMMYFUNCTION("ARRAYFORMULA(REGEXEXTRACT(SPLIT(C1390, ""&lt;br&gt;""), ""([가-힣A-Za-z]+)""))"),"짱구")</f>
        <v>짱구</v>
      </c>
      <c r="K1390" s="26" t="str">
        <f>IFERROR(__xludf.DUMMYFUNCTION("""COMPUTED_VALUE"""),"깡패")</f>
        <v>깡패</v>
      </c>
      <c r="L1390" s="26" t="str">
        <f>IFERROR(__xludf.DUMMYFUNCTION("""COMPUTED_VALUE"""),"조드")</f>
        <v>조드</v>
      </c>
      <c r="M1390" s="26" t="str">
        <f>IFERROR(__xludf.DUMMYFUNCTION("""COMPUTED_VALUE"""),"신형만")</f>
        <v>신형만</v>
      </c>
      <c r="N1390" s="26" t="str">
        <f>IFERROR(__xludf.DUMMYFUNCTION("ARRAYFORMULA(REGEXEXTRACT(SPLIT(E1390, ""&lt;br&gt;""), ""([가-힣A-Za-z]+)""))"),"강화")</f>
        <v>강화</v>
      </c>
      <c r="O1390" s="26" t="str">
        <f>IFERROR(__xludf.DUMMYFUNCTION("""COMPUTED_VALUE"""),"테리")</f>
        <v>테리</v>
      </c>
      <c r="P1390" s="26" t="str">
        <f>IFERROR(__xludf.DUMMYFUNCTION("""COMPUTED_VALUE"""),"ACDC")</f>
        <v>ACDC</v>
      </c>
      <c r="Q1390" s="26" t="str">
        <f>IFERROR(__xludf.DUMMYFUNCTION("""COMPUTED_VALUE"""),"원")</f>
        <v>원</v>
      </c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</row>
    <row r="1391">
      <c r="A1391" s="27" t="s">
        <v>5818</v>
      </c>
      <c r="B1391" s="28" t="s">
        <v>5819</v>
      </c>
      <c r="C1391" s="27" t="s">
        <v>5820</v>
      </c>
      <c r="D1391" s="27">
        <v>5.0</v>
      </c>
      <c r="E1391" s="27" t="s">
        <v>5821</v>
      </c>
      <c r="F1391" s="27">
        <v>2.0</v>
      </c>
      <c r="G1391" s="29">
        <v>45605.06875</v>
      </c>
      <c r="H1391" s="27" t="s">
        <v>5526</v>
      </c>
      <c r="I1391" s="18"/>
      <c r="J1391" s="25" t="str">
        <f>IFERROR(__xludf.DUMMYFUNCTION("ARRAYFORMULA(REGEXEXTRACT(SPLIT(C1391, ""&lt;br&gt;""), ""([가-힣A-Za-z]+)""))"),"원")</f>
        <v>원</v>
      </c>
      <c r="K1391" s="26" t="str">
        <f>IFERROR(__xludf.DUMMYFUNCTION("""COMPUTED_VALUE"""),"테리")</f>
        <v>테리</v>
      </c>
      <c r="L1391" s="26" t="str">
        <f>IFERROR(__xludf.DUMMYFUNCTION("""COMPUTED_VALUE"""),"ACDC")</f>
        <v>ACDC</v>
      </c>
      <c r="M1391" s="26" t="str">
        <f>IFERROR(__xludf.DUMMYFUNCTION("""COMPUTED_VALUE"""),"신형만")</f>
        <v>신형만</v>
      </c>
      <c r="N1391" s="26" t="str">
        <f>IFERROR(__xludf.DUMMYFUNCTION("ARRAYFORMULA(REGEXEXTRACT(SPLIT(E1391, ""&lt;br&gt;""), ""([가-힣A-Za-z]+)""))"),"강화")</f>
        <v>강화</v>
      </c>
      <c r="O1391" s="26" t="str">
        <f>IFERROR(__xludf.DUMMYFUNCTION("""COMPUTED_VALUE"""),"짱구")</f>
        <v>짱구</v>
      </c>
      <c r="P1391" s="26" t="str">
        <f>IFERROR(__xludf.DUMMYFUNCTION("""COMPUTED_VALUE"""),"조드")</f>
        <v>조드</v>
      </c>
      <c r="Q1391" s="26" t="str">
        <f>IFERROR(__xludf.DUMMYFUNCTION("""COMPUTED_VALUE"""),"깡패")</f>
        <v>깡패</v>
      </c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</row>
    <row r="1392">
      <c r="A1392" s="27" t="s">
        <v>5822</v>
      </c>
      <c r="B1392" s="28" t="s">
        <v>5823</v>
      </c>
      <c r="C1392" s="27" t="s">
        <v>5824</v>
      </c>
      <c r="D1392" s="27">
        <v>5.0</v>
      </c>
      <c r="E1392" s="27" t="s">
        <v>5825</v>
      </c>
      <c r="F1392" s="27">
        <v>4.0</v>
      </c>
      <c r="G1392" s="29">
        <v>45605.049305555556</v>
      </c>
      <c r="H1392" s="27" t="s">
        <v>5526</v>
      </c>
      <c r="I1392" s="18"/>
      <c r="J1392" s="25" t="str">
        <f>IFERROR(__xludf.DUMMYFUNCTION("ARRAYFORMULA(REGEXEXTRACT(SPLIT(C1392, ""&lt;br&gt;""), ""([가-힣A-Za-z]+)""))"),"테리")</f>
        <v>테리</v>
      </c>
      <c r="K1392" s="26" t="str">
        <f>IFERROR(__xludf.DUMMYFUNCTION("""COMPUTED_VALUE"""),"원")</f>
        <v>원</v>
      </c>
      <c r="L1392" s="26" t="str">
        <f>IFERROR(__xludf.DUMMYFUNCTION("""COMPUTED_VALUE"""),"랄")</f>
        <v>랄</v>
      </c>
      <c r="M1392" s="26" t="str">
        <f>IFERROR(__xludf.DUMMYFUNCTION("""COMPUTED_VALUE"""),"강화")</f>
        <v>강화</v>
      </c>
      <c r="N1392" s="26" t="str">
        <f>IFERROR(__xludf.DUMMYFUNCTION("ARRAYFORMULA(REGEXEXTRACT(SPLIT(E1392, ""&lt;br&gt;""), ""([가-힣A-Za-z]+)""))"),"신형만")</f>
        <v>신형만</v>
      </c>
      <c r="O1392" s="26" t="str">
        <f>IFERROR(__xludf.DUMMYFUNCTION("""COMPUTED_VALUE"""),"깡패")</f>
        <v>깡패</v>
      </c>
      <c r="P1392" s="26" t="str">
        <f>IFERROR(__xludf.DUMMYFUNCTION("""COMPUTED_VALUE"""),"조드")</f>
        <v>조드</v>
      </c>
      <c r="Q1392" s="26" t="str">
        <f>IFERROR(__xludf.DUMMYFUNCTION("""COMPUTED_VALUE"""),"ACDC")</f>
        <v>ACDC</v>
      </c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</row>
    <row r="1393">
      <c r="A1393" s="27" t="s">
        <v>5826</v>
      </c>
      <c r="B1393" s="28" t="s">
        <v>5827</v>
      </c>
      <c r="C1393" s="27" t="s">
        <v>5828</v>
      </c>
      <c r="D1393" s="27">
        <v>5.0</v>
      </c>
      <c r="E1393" s="27" t="s">
        <v>5829</v>
      </c>
      <c r="F1393" s="27">
        <v>4.0</v>
      </c>
      <c r="G1393" s="29">
        <v>45605.01875</v>
      </c>
      <c r="H1393" s="27" t="s">
        <v>5526</v>
      </c>
      <c r="I1393" s="18"/>
      <c r="J1393" s="25" t="str">
        <f>IFERROR(__xludf.DUMMYFUNCTION("ARRAYFORMULA(REGEXEXTRACT(SPLIT(C1393, ""&lt;br&gt;""), ""([가-힣A-Za-z]+)""))"),"신형만")</f>
        <v>신형만</v>
      </c>
      <c r="K1393" s="26" t="str">
        <f>IFERROR(__xludf.DUMMYFUNCTION("""COMPUTED_VALUE"""),"조드")</f>
        <v>조드</v>
      </c>
      <c r="L1393" s="26" t="str">
        <f>IFERROR(__xludf.DUMMYFUNCTION("""COMPUTED_VALUE"""),"테리")</f>
        <v>테리</v>
      </c>
      <c r="M1393" s="26" t="str">
        <f>IFERROR(__xludf.DUMMYFUNCTION("""COMPUTED_VALUE"""),"랄")</f>
        <v>랄</v>
      </c>
      <c r="N1393" s="26" t="str">
        <f>IFERROR(__xludf.DUMMYFUNCTION("ARRAYFORMULA(REGEXEXTRACT(SPLIT(E1393, ""&lt;br&gt;""), ""([가-힣A-Za-z]+)""))"),"강화")</f>
        <v>강화</v>
      </c>
      <c r="O1393" s="26" t="str">
        <f>IFERROR(__xludf.DUMMYFUNCTION("""COMPUTED_VALUE"""),"ACDC")</f>
        <v>ACDC</v>
      </c>
      <c r="P1393" s="26" t="str">
        <f>IFERROR(__xludf.DUMMYFUNCTION("""COMPUTED_VALUE"""),"짱구")</f>
        <v>짱구</v>
      </c>
      <c r="Q1393" s="26" t="str">
        <f>IFERROR(__xludf.DUMMYFUNCTION("""COMPUTED_VALUE"""),"깡패")</f>
        <v>깡패</v>
      </c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</row>
    <row r="1394">
      <c r="A1394" s="27" t="s">
        <v>5830</v>
      </c>
      <c r="B1394" s="28" t="s">
        <v>5831</v>
      </c>
      <c r="C1394" s="27" t="s">
        <v>5832</v>
      </c>
      <c r="D1394" s="27">
        <v>5.0</v>
      </c>
      <c r="E1394" s="27" t="s">
        <v>5833</v>
      </c>
      <c r="F1394" s="27">
        <v>1.0</v>
      </c>
      <c r="G1394" s="29">
        <v>45604.04513888889</v>
      </c>
      <c r="H1394" s="27" t="s">
        <v>5526</v>
      </c>
      <c r="I1394" s="18"/>
      <c r="J1394" s="25" t="str">
        <f>IFERROR(__xludf.DUMMYFUNCTION("ARRAYFORMULA(REGEXEXTRACT(SPLIT(C1394, ""&lt;br&gt;""), ""([가-힣A-Za-z]+)""))"),"짱구")</f>
        <v>짱구</v>
      </c>
      <c r="K1394" s="26" t="str">
        <f>IFERROR(__xludf.DUMMYFUNCTION("""COMPUTED_VALUE"""),"한메")</f>
        <v>한메</v>
      </c>
      <c r="L1394" s="26" t="str">
        <f>IFERROR(__xludf.DUMMYFUNCTION("""COMPUTED_VALUE"""),"신형만")</f>
        <v>신형만</v>
      </c>
      <c r="M1394" s="26" t="str">
        <f>IFERROR(__xludf.DUMMYFUNCTION("""COMPUTED_VALUE"""),"윈드")</f>
        <v>윈드</v>
      </c>
      <c r="N1394" s="26" t="str">
        <f>IFERROR(__xludf.DUMMYFUNCTION("ARRAYFORMULA(REGEXEXTRACT(SPLIT(E1394, ""&lt;br&gt;""), ""([가-힣A-Za-z]+)""))"),"강화")</f>
        <v>강화</v>
      </c>
      <c r="O1394" s="26" t="str">
        <f>IFERROR(__xludf.DUMMYFUNCTION("""COMPUTED_VALUE"""),"노인")</f>
        <v>노인</v>
      </c>
      <c r="P1394" s="26" t="str">
        <f>IFERROR(__xludf.DUMMYFUNCTION("""COMPUTED_VALUE"""),"ACDC")</f>
        <v>ACDC</v>
      </c>
      <c r="Q1394" s="26" t="str">
        <f>IFERROR(__xludf.DUMMYFUNCTION("""COMPUTED_VALUE"""),"깡패")</f>
        <v>깡패</v>
      </c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</row>
    <row r="1395">
      <c r="A1395" s="27" t="s">
        <v>5834</v>
      </c>
      <c r="B1395" s="28" t="s">
        <v>5835</v>
      </c>
      <c r="C1395" s="27" t="s">
        <v>5836</v>
      </c>
      <c r="D1395" s="27">
        <v>5.0</v>
      </c>
      <c r="E1395" s="27" t="s">
        <v>5837</v>
      </c>
      <c r="F1395" s="27">
        <v>4.0</v>
      </c>
      <c r="G1395" s="29">
        <v>45604.02361111111</v>
      </c>
      <c r="H1395" s="27" t="s">
        <v>5526</v>
      </c>
      <c r="I1395" s="18"/>
      <c r="J1395" s="25" t="str">
        <f>IFERROR(__xludf.DUMMYFUNCTION("ARRAYFORMULA(REGEXEXTRACT(SPLIT(C1395, ""&lt;br&gt;""), ""([가-힣A-Za-z]+)""))"),"재우")</f>
        <v>재우</v>
      </c>
      <c r="K1395" s="26" t="str">
        <f>IFERROR(__xludf.DUMMYFUNCTION("""COMPUTED_VALUE"""),"강화")</f>
        <v>강화</v>
      </c>
      <c r="L1395" s="26" t="str">
        <f>IFERROR(__xludf.DUMMYFUNCTION("""COMPUTED_VALUE"""),"짱구")</f>
        <v>짱구</v>
      </c>
      <c r="M1395" s="26" t="str">
        <f>IFERROR(__xludf.DUMMYFUNCTION("""COMPUTED_VALUE"""),"윈드")</f>
        <v>윈드</v>
      </c>
      <c r="N1395" s="26" t="str">
        <f>IFERROR(__xludf.DUMMYFUNCTION("ARRAYFORMULA(REGEXEXTRACT(SPLIT(E1395, ""&lt;br&gt;""), ""([가-힣A-Za-z]+)""))"),"한메")</f>
        <v>한메</v>
      </c>
      <c r="O1395" s="26" t="str">
        <f>IFERROR(__xludf.DUMMYFUNCTION("""COMPUTED_VALUE"""),"ACDC")</f>
        <v>ACDC</v>
      </c>
      <c r="P1395" s="26" t="str">
        <f>IFERROR(__xludf.DUMMYFUNCTION("""COMPUTED_VALUE"""),"노인")</f>
        <v>노인</v>
      </c>
      <c r="Q1395" s="26" t="str">
        <f>IFERROR(__xludf.DUMMYFUNCTION("""COMPUTED_VALUE"""),"신형만")</f>
        <v>신형만</v>
      </c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</row>
    <row r="1396">
      <c r="A1396" s="27" t="s">
        <v>5838</v>
      </c>
      <c r="B1396" s="28" t="s">
        <v>5839</v>
      </c>
      <c r="C1396" s="27" t="s">
        <v>5840</v>
      </c>
      <c r="D1396" s="27">
        <v>5.0</v>
      </c>
      <c r="E1396" s="27" t="s">
        <v>5841</v>
      </c>
      <c r="F1396" s="27">
        <v>2.0</v>
      </c>
      <c r="G1396" s="29">
        <v>45603.98888888889</v>
      </c>
      <c r="H1396" s="27" t="s">
        <v>5526</v>
      </c>
      <c r="I1396" s="18"/>
      <c r="J1396" s="25" t="str">
        <f>IFERROR(__xludf.DUMMYFUNCTION("ARRAYFORMULA(REGEXEXTRACT(SPLIT(C1396, ""&lt;br&gt;""), ""([가-힣A-Za-z]+)""))"),"노인")</f>
        <v>노인</v>
      </c>
      <c r="K1396" s="26" t="str">
        <f>IFERROR(__xludf.DUMMYFUNCTION("""COMPUTED_VALUE"""),"ACDC")</f>
        <v>ACDC</v>
      </c>
      <c r="L1396" s="26" t="str">
        <f>IFERROR(__xludf.DUMMYFUNCTION("""COMPUTED_VALUE"""),"재우")</f>
        <v>재우</v>
      </c>
      <c r="M1396" s="26" t="str">
        <f>IFERROR(__xludf.DUMMYFUNCTION("""COMPUTED_VALUE"""),"신형만")</f>
        <v>신형만</v>
      </c>
      <c r="N1396" s="26" t="str">
        <f>IFERROR(__xludf.DUMMYFUNCTION("ARRAYFORMULA(REGEXEXTRACT(SPLIT(E1396, ""&lt;br&gt;""), ""([가-힣A-Za-z]+)""))"),"한메")</f>
        <v>한메</v>
      </c>
      <c r="O1396" s="26" t="str">
        <f>IFERROR(__xludf.DUMMYFUNCTION("""COMPUTED_VALUE"""),"강화")</f>
        <v>강화</v>
      </c>
      <c r="P1396" s="26" t="str">
        <f>IFERROR(__xludf.DUMMYFUNCTION("""COMPUTED_VALUE"""),"짱구")</f>
        <v>짱구</v>
      </c>
      <c r="Q1396" s="26" t="str">
        <f>IFERROR(__xludf.DUMMYFUNCTION("""COMPUTED_VALUE"""),"윈드")</f>
        <v>윈드</v>
      </c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</row>
    <row r="1397">
      <c r="A1397" s="27" t="s">
        <v>5842</v>
      </c>
      <c r="B1397" s="28" t="s">
        <v>5843</v>
      </c>
      <c r="C1397" s="27" t="s">
        <v>5844</v>
      </c>
      <c r="D1397" s="27">
        <v>5.0</v>
      </c>
      <c r="E1397" s="27" t="s">
        <v>5845</v>
      </c>
      <c r="F1397" s="27">
        <v>3.0</v>
      </c>
      <c r="G1397" s="29">
        <v>45603.933333333334</v>
      </c>
      <c r="H1397" s="27" t="s">
        <v>5526</v>
      </c>
      <c r="I1397" s="18"/>
      <c r="J1397" s="25" t="str">
        <f>IFERROR(__xludf.DUMMYFUNCTION("ARRAYFORMULA(REGEXEXTRACT(SPLIT(C1397, ""&lt;br&gt;""), ""([가-힣A-Za-z]+)""))"),"노인")</f>
        <v>노인</v>
      </c>
      <c r="K1397" s="26" t="str">
        <f>IFERROR(__xludf.DUMMYFUNCTION("""COMPUTED_VALUE"""),"ACDC")</f>
        <v>ACDC</v>
      </c>
      <c r="L1397" s="26" t="str">
        <f>IFERROR(__xludf.DUMMYFUNCTION("""COMPUTED_VALUE"""),"테리")</f>
        <v>테리</v>
      </c>
      <c r="M1397" s="26" t="str">
        <f>IFERROR(__xludf.DUMMYFUNCTION("""COMPUTED_VALUE"""),"짱구")</f>
        <v>짱구</v>
      </c>
      <c r="N1397" s="26" t="str">
        <f>IFERROR(__xludf.DUMMYFUNCTION("ARRAYFORMULA(REGEXEXTRACT(SPLIT(E1397, ""&lt;br&gt;""), ""([가-힣A-Za-z]+)""))"),"요즘")</f>
        <v>요즘</v>
      </c>
      <c r="O1397" s="26" t="str">
        <f>IFERROR(__xludf.DUMMYFUNCTION("""COMPUTED_VALUE"""),"재우")</f>
        <v>재우</v>
      </c>
      <c r="P1397" s="26" t="str">
        <f>IFERROR(__xludf.DUMMYFUNCTION("""COMPUTED_VALUE"""),"강화")</f>
        <v>강화</v>
      </c>
      <c r="Q1397" s="26" t="str">
        <f>IFERROR(__xludf.DUMMYFUNCTION("""COMPUTED_VALUE"""),"한메")</f>
        <v>한메</v>
      </c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</row>
    <row r="1398">
      <c r="A1398" s="27" t="s">
        <v>5846</v>
      </c>
      <c r="B1398" s="28" t="s">
        <v>5847</v>
      </c>
      <c r="C1398" s="27" t="s">
        <v>5848</v>
      </c>
      <c r="D1398" s="27">
        <v>5.0</v>
      </c>
      <c r="E1398" s="27" t="s">
        <v>5849</v>
      </c>
      <c r="F1398" s="27">
        <v>4.0</v>
      </c>
      <c r="G1398" s="29">
        <v>45603.90902777778</v>
      </c>
      <c r="H1398" s="27" t="s">
        <v>5526</v>
      </c>
      <c r="I1398" s="18"/>
      <c r="J1398" s="25" t="str">
        <f>IFERROR(__xludf.DUMMYFUNCTION("ARRAYFORMULA(REGEXEXTRACT(SPLIT(C1398, ""&lt;br&gt;""), ""([가-힣A-Za-z]+)""))"),"짱구")</f>
        <v>짱구</v>
      </c>
      <c r="K1398" s="26" t="str">
        <f>IFERROR(__xludf.DUMMYFUNCTION("""COMPUTED_VALUE"""),"재명")</f>
        <v>재명</v>
      </c>
      <c r="L1398" s="26" t="str">
        <f>IFERROR(__xludf.DUMMYFUNCTION("""COMPUTED_VALUE"""),"테리")</f>
        <v>테리</v>
      </c>
      <c r="M1398" s="26" t="str">
        <f>IFERROR(__xludf.DUMMYFUNCTION("""COMPUTED_VALUE"""),"신형만")</f>
        <v>신형만</v>
      </c>
      <c r="N1398" s="26" t="str">
        <f>IFERROR(__xludf.DUMMYFUNCTION("ARRAYFORMULA(REGEXEXTRACT(SPLIT(E1398, ""&lt;br&gt;""), ""([가-힣A-Za-z]+)""))"),"한메")</f>
        <v>한메</v>
      </c>
      <c r="O1398" s="26" t="str">
        <f>IFERROR(__xludf.DUMMYFUNCTION("""COMPUTED_VALUE"""),"깡패")</f>
        <v>깡패</v>
      </c>
      <c r="P1398" s="26" t="str">
        <f>IFERROR(__xludf.DUMMYFUNCTION("""COMPUTED_VALUE"""),"ACDC")</f>
        <v>ACDC</v>
      </c>
      <c r="Q1398" s="26" t="str">
        <f>IFERROR(__xludf.DUMMYFUNCTION("""COMPUTED_VALUE"""),"재우")</f>
        <v>재우</v>
      </c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</row>
    <row r="1399">
      <c r="A1399" s="27" t="s">
        <v>5850</v>
      </c>
      <c r="B1399" s="28" t="s">
        <v>5851</v>
      </c>
      <c r="C1399" s="27" t="s">
        <v>5852</v>
      </c>
      <c r="D1399" s="27">
        <v>5.0</v>
      </c>
      <c r="E1399" s="27" t="s">
        <v>5853</v>
      </c>
      <c r="F1399" s="27">
        <v>1.0</v>
      </c>
      <c r="G1399" s="29">
        <v>45603.879166666666</v>
      </c>
      <c r="H1399" s="27" t="s">
        <v>5526</v>
      </c>
      <c r="I1399" s="18"/>
      <c r="J1399" s="25" t="str">
        <f>IFERROR(__xludf.DUMMYFUNCTION("ARRAYFORMULA(REGEXEXTRACT(SPLIT(C1399, ""&lt;br&gt;""), ""([가-힣A-Za-z]+)""))"),"짱구")</f>
        <v>짱구</v>
      </c>
      <c r="K1399" s="26" t="str">
        <f>IFERROR(__xludf.DUMMYFUNCTION("""COMPUTED_VALUE"""),"신형만")</f>
        <v>신형만</v>
      </c>
      <c r="L1399" s="26" t="str">
        <f>IFERROR(__xludf.DUMMYFUNCTION("""COMPUTED_VALUE"""),"재우")</f>
        <v>재우</v>
      </c>
      <c r="M1399" s="26" t="str">
        <f>IFERROR(__xludf.DUMMYFUNCTION("""COMPUTED_VALUE"""),"ACDC")</f>
        <v>ACDC</v>
      </c>
      <c r="N1399" s="26" t="str">
        <f>IFERROR(__xludf.DUMMYFUNCTION("ARRAYFORMULA(REGEXEXTRACT(SPLIT(E1399, ""&lt;br&gt;""), ""([가-힣A-Za-z]+)""))"),"테리")</f>
        <v>테리</v>
      </c>
      <c r="O1399" s="26" t="str">
        <f>IFERROR(__xludf.DUMMYFUNCTION("""COMPUTED_VALUE"""),"깡패")</f>
        <v>깡패</v>
      </c>
      <c r="P1399" s="26" t="str">
        <f>IFERROR(__xludf.DUMMYFUNCTION("""COMPUTED_VALUE"""),"재명")</f>
        <v>재명</v>
      </c>
      <c r="Q1399" s="26" t="str">
        <f>IFERROR(__xludf.DUMMYFUNCTION("""COMPUTED_VALUE"""),"한메")</f>
        <v>한메</v>
      </c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</row>
    <row r="1400">
      <c r="A1400" s="27" t="s">
        <v>5854</v>
      </c>
      <c r="B1400" s="28" t="s">
        <v>5855</v>
      </c>
      <c r="C1400" s="27" t="s">
        <v>5856</v>
      </c>
      <c r="D1400" s="27">
        <v>5.0</v>
      </c>
      <c r="E1400" s="27" t="s">
        <v>5857</v>
      </c>
      <c r="F1400" s="27">
        <v>3.0</v>
      </c>
      <c r="G1400" s="29">
        <v>45603.85625</v>
      </c>
      <c r="H1400" s="27" t="s">
        <v>5526</v>
      </c>
      <c r="I1400" s="18"/>
      <c r="J1400" s="25" t="str">
        <f>IFERROR(__xludf.DUMMYFUNCTION("ARRAYFORMULA(REGEXEXTRACT(SPLIT(C1400, ""&lt;br&gt;""), ""([가-힣A-Za-z]+)""))"),"짱구")</f>
        <v>짱구</v>
      </c>
      <c r="K1400" s="26" t="str">
        <f>IFERROR(__xludf.DUMMYFUNCTION("""COMPUTED_VALUE"""),"신형만")</f>
        <v>신형만</v>
      </c>
      <c r="L1400" s="26" t="str">
        <f>IFERROR(__xludf.DUMMYFUNCTION("""COMPUTED_VALUE"""),"테리")</f>
        <v>테리</v>
      </c>
      <c r="M1400" s="26" t="str">
        <f>IFERROR(__xludf.DUMMYFUNCTION("""COMPUTED_VALUE"""),"깡패")</f>
        <v>깡패</v>
      </c>
      <c r="N1400" s="26" t="str">
        <f>IFERROR(__xludf.DUMMYFUNCTION("ARRAYFORMULA(REGEXEXTRACT(SPLIT(E1400, ""&lt;br&gt;""), ""([가-힣A-Za-z]+)""))"),"한메")</f>
        <v>한메</v>
      </c>
      <c r="O1400" s="26" t="str">
        <f>IFERROR(__xludf.DUMMYFUNCTION("""COMPUTED_VALUE"""),"재명")</f>
        <v>재명</v>
      </c>
      <c r="P1400" s="26" t="str">
        <f>IFERROR(__xludf.DUMMYFUNCTION("""COMPUTED_VALUE"""),"재우")</f>
        <v>재우</v>
      </c>
      <c r="Q1400" s="26" t="str">
        <f>IFERROR(__xludf.DUMMYFUNCTION("""COMPUTED_VALUE"""),"ACDC")</f>
        <v>ACDC</v>
      </c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</row>
    <row r="1401">
      <c r="A1401" s="27" t="s">
        <v>5858</v>
      </c>
      <c r="B1401" s="28" t="s">
        <v>5859</v>
      </c>
      <c r="C1401" s="27" t="s">
        <v>5860</v>
      </c>
      <c r="D1401" s="27">
        <v>5.0</v>
      </c>
      <c r="E1401" s="27" t="s">
        <v>5861</v>
      </c>
      <c r="F1401" s="27">
        <v>0.0</v>
      </c>
      <c r="G1401" s="29">
        <v>45603.854166666664</v>
      </c>
      <c r="H1401" s="27" t="s">
        <v>5526</v>
      </c>
      <c r="I1401" s="18"/>
      <c r="J1401" s="25" t="str">
        <f>IFERROR(__xludf.DUMMYFUNCTION("ARRAYFORMULA(REGEXEXTRACT(SPLIT(C1401, ""&lt;br&gt;""), ""([가-힣A-Za-z]+)""))"),"한메")</f>
        <v>한메</v>
      </c>
      <c r="K1401" s="26" t="str">
        <f>IFERROR(__xludf.DUMMYFUNCTION("""COMPUTED_VALUE"""),"테리")</f>
        <v>테리</v>
      </c>
      <c r="L1401" s="26" t="str">
        <f>IFERROR(__xludf.DUMMYFUNCTION("""COMPUTED_VALUE"""),"신형만")</f>
        <v>신형만</v>
      </c>
      <c r="M1401" s="26" t="str">
        <f>IFERROR(__xludf.DUMMYFUNCTION("""COMPUTED_VALUE"""),"ACDC")</f>
        <v>ACDC</v>
      </c>
      <c r="N1401" s="26" t="str">
        <f>IFERROR(__xludf.DUMMYFUNCTION("ARRAYFORMULA(REGEXEXTRACT(SPLIT(E1401, ""&lt;br&gt;""), ""([가-힣A-Za-z]+)""))"),"재명")</f>
        <v>재명</v>
      </c>
      <c r="O1401" s="26" t="str">
        <f>IFERROR(__xludf.DUMMYFUNCTION("""COMPUTED_VALUE"""),"깡패")</f>
        <v>깡패</v>
      </c>
      <c r="P1401" s="26" t="str">
        <f>IFERROR(__xludf.DUMMYFUNCTION("""COMPUTED_VALUE"""),"재우")</f>
        <v>재우</v>
      </c>
      <c r="Q1401" s="26" t="str">
        <f>IFERROR(__xludf.DUMMYFUNCTION("""COMPUTED_VALUE"""),"짱구")</f>
        <v>짱구</v>
      </c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</row>
    <row r="1402">
      <c r="A1402" s="27" t="s">
        <v>5862</v>
      </c>
      <c r="B1402" s="28" t="s">
        <v>5863</v>
      </c>
      <c r="C1402" s="27" t="s">
        <v>5864</v>
      </c>
      <c r="D1402" s="27">
        <v>5.0</v>
      </c>
      <c r="E1402" s="27" t="s">
        <v>5865</v>
      </c>
      <c r="F1402" s="27">
        <v>4.0</v>
      </c>
      <c r="G1402" s="29">
        <v>45603.086805555555</v>
      </c>
      <c r="H1402" s="27" t="s">
        <v>5526</v>
      </c>
      <c r="I1402" s="18"/>
      <c r="J1402" s="25" t="str">
        <f>IFERROR(__xludf.DUMMYFUNCTION("ARRAYFORMULA(REGEXEXTRACT(SPLIT(C1402, ""&lt;br&gt;""), ""([가-힣A-Za-z]+)""))"),"깡패")</f>
        <v>깡패</v>
      </c>
      <c r="K1402" s="26" t="str">
        <f>IFERROR(__xludf.DUMMYFUNCTION("""COMPUTED_VALUE"""),"짱구")</f>
        <v>짱구</v>
      </c>
      <c r="L1402" s="26" t="str">
        <f>IFERROR(__xludf.DUMMYFUNCTION("""COMPUTED_VALUE"""),"노인")</f>
        <v>노인</v>
      </c>
      <c r="M1402" s="26" t="str">
        <f>IFERROR(__xludf.DUMMYFUNCTION("""COMPUTED_VALUE"""),"재명")</f>
        <v>재명</v>
      </c>
      <c r="N1402" s="26" t="str">
        <f>IFERROR(__xludf.DUMMYFUNCTION("ARRAYFORMULA(REGEXEXTRACT(SPLIT(E1402, ""&lt;br&gt;""), ""([가-힣A-Za-z]+)""))"),"신형만")</f>
        <v>신형만</v>
      </c>
      <c r="O1402" s="26" t="str">
        <f>IFERROR(__xludf.DUMMYFUNCTION("""COMPUTED_VALUE"""),"재우")</f>
        <v>재우</v>
      </c>
      <c r="P1402" s="26" t="str">
        <f>IFERROR(__xludf.DUMMYFUNCTION("""COMPUTED_VALUE"""),"강화")</f>
        <v>강화</v>
      </c>
      <c r="Q1402" s="26" t="str">
        <f>IFERROR(__xludf.DUMMYFUNCTION("""COMPUTED_VALUE"""),"민우")</f>
        <v>민우</v>
      </c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</row>
    <row r="1403">
      <c r="A1403" s="27" t="s">
        <v>5866</v>
      </c>
      <c r="B1403" s="28" t="s">
        <v>5867</v>
      </c>
      <c r="C1403" s="27" t="s">
        <v>5868</v>
      </c>
      <c r="D1403" s="27">
        <v>5.0</v>
      </c>
      <c r="E1403" s="27" t="s">
        <v>5869</v>
      </c>
      <c r="F1403" s="27">
        <v>4.0</v>
      </c>
      <c r="G1403" s="29">
        <v>45603.041666666664</v>
      </c>
      <c r="H1403" s="27" t="s">
        <v>5526</v>
      </c>
      <c r="I1403" s="18"/>
      <c r="J1403" s="25" t="str">
        <f>IFERROR(__xludf.DUMMYFUNCTION("ARRAYFORMULA(REGEXEXTRACT(SPLIT(C1403, ""&lt;br&gt;""), ""([가-힣A-Za-z]+)""))"),"노인")</f>
        <v>노인</v>
      </c>
      <c r="K1403" s="26" t="str">
        <f>IFERROR(__xludf.DUMMYFUNCTION("""COMPUTED_VALUE"""),"재명")</f>
        <v>재명</v>
      </c>
      <c r="L1403" s="26" t="str">
        <f>IFERROR(__xludf.DUMMYFUNCTION("""COMPUTED_VALUE"""),"테리")</f>
        <v>테리</v>
      </c>
      <c r="M1403" s="26" t="str">
        <f>IFERROR(__xludf.DUMMYFUNCTION("""COMPUTED_VALUE"""),"짱구")</f>
        <v>짱구</v>
      </c>
      <c r="N1403" s="26" t="str">
        <f>IFERROR(__xludf.DUMMYFUNCTION("ARRAYFORMULA(REGEXEXTRACT(SPLIT(E1403, ""&lt;br&gt;""), ""([가-힣A-Za-z]+)""))"),"한메")</f>
        <v>한메</v>
      </c>
      <c r="O1403" s="26" t="str">
        <f>IFERROR(__xludf.DUMMYFUNCTION("""COMPUTED_VALUE"""),"깡패")</f>
        <v>깡패</v>
      </c>
      <c r="P1403" s="26" t="str">
        <f>IFERROR(__xludf.DUMMYFUNCTION("""COMPUTED_VALUE"""),"강화")</f>
        <v>강화</v>
      </c>
      <c r="Q1403" s="26" t="str">
        <f>IFERROR(__xludf.DUMMYFUNCTION("""COMPUTED_VALUE"""),"재우")</f>
        <v>재우</v>
      </c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</row>
    <row r="1404">
      <c r="A1404" s="27" t="s">
        <v>5870</v>
      </c>
      <c r="B1404" s="28" t="s">
        <v>5871</v>
      </c>
      <c r="C1404" s="27" t="s">
        <v>5872</v>
      </c>
      <c r="D1404" s="27">
        <v>5.0</v>
      </c>
      <c r="E1404" s="27" t="s">
        <v>5873</v>
      </c>
      <c r="F1404" s="27">
        <v>1.0</v>
      </c>
      <c r="G1404" s="29">
        <v>45602.99166666667</v>
      </c>
      <c r="H1404" s="27" t="s">
        <v>5526</v>
      </c>
      <c r="I1404" s="18"/>
      <c r="J1404" s="25" t="str">
        <f>IFERROR(__xludf.DUMMYFUNCTION("ARRAYFORMULA(REGEXEXTRACT(SPLIT(C1404, ""&lt;br&gt;""), ""([가-힣A-Za-z]+)""))"),"깡패")</f>
        <v>깡패</v>
      </c>
      <c r="K1404" s="26" t="str">
        <f>IFERROR(__xludf.DUMMYFUNCTION("""COMPUTED_VALUE"""),"재명")</f>
        <v>재명</v>
      </c>
      <c r="L1404" s="26" t="str">
        <f>IFERROR(__xludf.DUMMYFUNCTION("""COMPUTED_VALUE"""),"테리")</f>
        <v>테리</v>
      </c>
      <c r="M1404" s="26" t="str">
        <f>IFERROR(__xludf.DUMMYFUNCTION("""COMPUTED_VALUE"""),"한메")</f>
        <v>한메</v>
      </c>
      <c r="N1404" s="26" t="str">
        <f>IFERROR(__xludf.DUMMYFUNCTION("ARRAYFORMULA(REGEXEXTRACT(SPLIT(E1404, ""&lt;br&gt;""), ""([가-힣A-Za-z]+)""))"),"요즘")</f>
        <v>요즘</v>
      </c>
      <c r="O1404" s="26" t="str">
        <f>IFERROR(__xludf.DUMMYFUNCTION("""COMPUTED_VALUE"""),"재우")</f>
        <v>재우</v>
      </c>
      <c r="P1404" s="26" t="str">
        <f>IFERROR(__xludf.DUMMYFUNCTION("""COMPUTED_VALUE"""),"강화")</f>
        <v>강화</v>
      </c>
      <c r="Q1404" s="26" t="str">
        <f>IFERROR(__xludf.DUMMYFUNCTION("""COMPUTED_VALUE"""),"짱구")</f>
        <v>짱구</v>
      </c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</row>
    <row r="1405">
      <c r="A1405" s="27" t="s">
        <v>5874</v>
      </c>
      <c r="B1405" s="28" t="s">
        <v>5875</v>
      </c>
      <c r="C1405" s="27" t="s">
        <v>5876</v>
      </c>
      <c r="D1405" s="27">
        <v>5.0</v>
      </c>
      <c r="E1405" s="27" t="s">
        <v>5877</v>
      </c>
      <c r="F1405" s="27">
        <v>2.0</v>
      </c>
      <c r="G1405" s="29">
        <v>45602.080555555556</v>
      </c>
      <c r="H1405" s="27" t="s">
        <v>5526</v>
      </c>
      <c r="I1405" s="18"/>
      <c r="J1405" s="25" t="str">
        <f>IFERROR(__xludf.DUMMYFUNCTION("ARRAYFORMULA(REGEXEXTRACT(SPLIT(C1405, ""&lt;br&gt;""), ""([가-힣A-Za-z]+)""))"),"테리")</f>
        <v>테리</v>
      </c>
      <c r="K1405" s="26" t="str">
        <f>IFERROR(__xludf.DUMMYFUNCTION("""COMPUTED_VALUE"""),"ACDC")</f>
        <v>ACDC</v>
      </c>
      <c r="L1405" s="26" t="str">
        <f>IFERROR(__xludf.DUMMYFUNCTION("""COMPUTED_VALUE"""),"노인")</f>
        <v>노인</v>
      </c>
      <c r="M1405" s="26" t="str">
        <f>IFERROR(__xludf.DUMMYFUNCTION("""COMPUTED_VALUE"""),"신형만")</f>
        <v>신형만</v>
      </c>
      <c r="N1405" s="26" t="str">
        <f>IFERROR(__xludf.DUMMYFUNCTION("ARRAYFORMULA(REGEXEXTRACT(SPLIT(E1405, ""&lt;br&gt;""), ""([가-힣A-Za-z]+)""))"),"짱구")</f>
        <v>짱구</v>
      </c>
      <c r="O1405" s="26" t="str">
        <f>IFERROR(__xludf.DUMMYFUNCTION("""COMPUTED_VALUE"""),"재명")</f>
        <v>재명</v>
      </c>
      <c r="P1405" s="26" t="str">
        <f>IFERROR(__xludf.DUMMYFUNCTION("""COMPUTED_VALUE"""),"한메")</f>
        <v>한메</v>
      </c>
      <c r="Q1405" s="26" t="str">
        <f>IFERROR(__xludf.DUMMYFUNCTION("""COMPUTED_VALUE"""),"강화")</f>
        <v>강화</v>
      </c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</row>
    <row r="1406">
      <c r="A1406" s="27" t="s">
        <v>5878</v>
      </c>
      <c r="B1406" s="28" t="s">
        <v>5879</v>
      </c>
      <c r="C1406" s="27" t="s">
        <v>5880</v>
      </c>
      <c r="D1406" s="27">
        <v>5.0</v>
      </c>
      <c r="E1406" s="27" t="s">
        <v>5881</v>
      </c>
      <c r="F1406" s="27">
        <v>3.0</v>
      </c>
      <c r="G1406" s="29">
        <v>45602.061111111114</v>
      </c>
      <c r="H1406" s="27" t="s">
        <v>5526</v>
      </c>
      <c r="I1406" s="18"/>
      <c r="J1406" s="25" t="str">
        <f>IFERROR(__xludf.DUMMYFUNCTION("ARRAYFORMULA(REGEXEXTRACT(SPLIT(C1406, ""&lt;br&gt;""), ""([가-힣A-Za-z]+)""))"),"짱구")</f>
        <v>짱구</v>
      </c>
      <c r="K1406" s="26" t="str">
        <f>IFERROR(__xludf.DUMMYFUNCTION("""COMPUTED_VALUE"""),"ACDC")</f>
        <v>ACDC</v>
      </c>
      <c r="L1406" s="26" t="str">
        <f>IFERROR(__xludf.DUMMYFUNCTION("""COMPUTED_VALUE"""),"신형만")</f>
        <v>신형만</v>
      </c>
      <c r="M1406" s="26" t="str">
        <f>IFERROR(__xludf.DUMMYFUNCTION("""COMPUTED_VALUE"""),"한메")</f>
        <v>한메</v>
      </c>
      <c r="N1406" s="26" t="str">
        <f>IFERROR(__xludf.DUMMYFUNCTION("ARRAYFORMULA(REGEXEXTRACT(SPLIT(E1406, ""&lt;br&gt;""), ""([가-힣A-Za-z]+)""))"),"강화")</f>
        <v>강화</v>
      </c>
      <c r="O1406" s="26" t="str">
        <f>IFERROR(__xludf.DUMMYFUNCTION("""COMPUTED_VALUE"""),"재명")</f>
        <v>재명</v>
      </c>
      <c r="P1406" s="26" t="str">
        <f>IFERROR(__xludf.DUMMYFUNCTION("""COMPUTED_VALUE"""),"테리")</f>
        <v>테리</v>
      </c>
      <c r="Q1406" s="26" t="str">
        <f>IFERROR(__xludf.DUMMYFUNCTION("""COMPUTED_VALUE"""),"노인")</f>
        <v>노인</v>
      </c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</row>
    <row r="1407">
      <c r="A1407" s="27" t="s">
        <v>5882</v>
      </c>
      <c r="B1407" s="28" t="s">
        <v>5883</v>
      </c>
      <c r="C1407" s="27" t="s">
        <v>5884</v>
      </c>
      <c r="D1407" s="27">
        <v>5.0</v>
      </c>
      <c r="E1407" s="27" t="s">
        <v>5885</v>
      </c>
      <c r="F1407" s="27">
        <v>3.0</v>
      </c>
      <c r="G1407" s="29">
        <v>45602.032638888886</v>
      </c>
      <c r="H1407" s="27" t="s">
        <v>5526</v>
      </c>
      <c r="I1407" s="18"/>
      <c r="J1407" s="25" t="str">
        <f>IFERROR(__xludf.DUMMYFUNCTION("ARRAYFORMULA(REGEXEXTRACT(SPLIT(C1407, ""&lt;br&gt;""), ""([가-힣A-Za-z]+)""))"),"재명")</f>
        <v>재명</v>
      </c>
      <c r="K1407" s="26" t="str">
        <f>IFERROR(__xludf.DUMMYFUNCTION("""COMPUTED_VALUE"""),"ACDC")</f>
        <v>ACDC</v>
      </c>
      <c r="L1407" s="26" t="str">
        <f>IFERROR(__xludf.DUMMYFUNCTION("""COMPUTED_VALUE"""),"노인")</f>
        <v>노인</v>
      </c>
      <c r="M1407" s="26" t="str">
        <f>IFERROR(__xludf.DUMMYFUNCTION("""COMPUTED_VALUE"""),"짱구")</f>
        <v>짱구</v>
      </c>
      <c r="N1407" s="26" t="str">
        <f>IFERROR(__xludf.DUMMYFUNCTION("ARRAYFORMULA(REGEXEXTRACT(SPLIT(E1407, ""&lt;br&gt;""), ""([가-힣A-Za-z]+)""))"),"신형만")</f>
        <v>신형만</v>
      </c>
      <c r="O1407" s="26" t="str">
        <f>IFERROR(__xludf.DUMMYFUNCTION("""COMPUTED_VALUE"""),"강화")</f>
        <v>강화</v>
      </c>
      <c r="P1407" s="26" t="str">
        <f>IFERROR(__xludf.DUMMYFUNCTION("""COMPUTED_VALUE"""),"테리")</f>
        <v>테리</v>
      </c>
      <c r="Q1407" s="26" t="str">
        <f>IFERROR(__xludf.DUMMYFUNCTION("""COMPUTED_VALUE"""),"한메")</f>
        <v>한메</v>
      </c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</row>
    <row r="1408">
      <c r="A1408" s="27" t="s">
        <v>5886</v>
      </c>
      <c r="B1408" s="28" t="s">
        <v>5887</v>
      </c>
      <c r="C1408" s="27" t="s">
        <v>5888</v>
      </c>
      <c r="D1408" s="27">
        <v>5.0</v>
      </c>
      <c r="E1408" s="27" t="s">
        <v>5889</v>
      </c>
      <c r="F1408" s="27">
        <v>2.0</v>
      </c>
      <c r="G1408" s="29">
        <v>45601.99236111111</v>
      </c>
      <c r="H1408" s="27" t="s">
        <v>5526</v>
      </c>
      <c r="I1408" s="18"/>
      <c r="J1408" s="25" t="str">
        <f>IFERROR(__xludf.DUMMYFUNCTION("ARRAYFORMULA(REGEXEXTRACT(SPLIT(C1408, ""&lt;br&gt;""), ""([가-힣A-Za-z]+)""))"),"신형만")</f>
        <v>신형만</v>
      </c>
      <c r="K1408" s="26" t="str">
        <f>IFERROR(__xludf.DUMMYFUNCTION("""COMPUTED_VALUE"""),"ACDC")</f>
        <v>ACDC</v>
      </c>
      <c r="L1408" s="26" t="str">
        <f>IFERROR(__xludf.DUMMYFUNCTION("""COMPUTED_VALUE"""),"요즘")</f>
        <v>요즘</v>
      </c>
      <c r="M1408" s="26" t="str">
        <f>IFERROR(__xludf.DUMMYFUNCTION("""COMPUTED_VALUE"""),"강화")</f>
        <v>강화</v>
      </c>
      <c r="N1408" s="26" t="str">
        <f>IFERROR(__xludf.DUMMYFUNCTION("ARRAYFORMULA(REGEXEXTRACT(SPLIT(E1408, ""&lt;br&gt;""), ""([가-힣A-Za-z]+)""))"),"재명")</f>
        <v>재명</v>
      </c>
      <c r="O1408" s="26" t="str">
        <f>IFERROR(__xludf.DUMMYFUNCTION("""COMPUTED_VALUE"""),"한메")</f>
        <v>한메</v>
      </c>
      <c r="P1408" s="26" t="str">
        <f>IFERROR(__xludf.DUMMYFUNCTION("""COMPUTED_VALUE"""),"테리")</f>
        <v>테리</v>
      </c>
      <c r="Q1408" s="26" t="str">
        <f>IFERROR(__xludf.DUMMYFUNCTION("""COMPUTED_VALUE"""),"노인")</f>
        <v>노인</v>
      </c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</row>
    <row r="1409">
      <c r="A1409" s="27" t="s">
        <v>5890</v>
      </c>
      <c r="B1409" s="28" t="s">
        <v>5891</v>
      </c>
      <c r="C1409" s="27" t="s">
        <v>5892</v>
      </c>
      <c r="D1409" s="27">
        <v>5.0</v>
      </c>
      <c r="E1409" s="27" t="s">
        <v>5893</v>
      </c>
      <c r="F1409" s="27">
        <v>2.0</v>
      </c>
      <c r="G1409" s="29">
        <v>45601.95763888889</v>
      </c>
      <c r="H1409" s="27" t="s">
        <v>5526</v>
      </c>
      <c r="I1409" s="18"/>
      <c r="J1409" s="25" t="str">
        <f>IFERROR(__xludf.DUMMYFUNCTION("ARRAYFORMULA(REGEXEXTRACT(SPLIT(C1409, ""&lt;br&gt;""), ""([가-힣A-Za-z]+)""))"),"깡패")</f>
        <v>깡패</v>
      </c>
      <c r="K1409" s="26" t="str">
        <f>IFERROR(__xludf.DUMMYFUNCTION("""COMPUTED_VALUE"""),"강화")</f>
        <v>강화</v>
      </c>
      <c r="L1409" s="26" t="str">
        <f>IFERROR(__xludf.DUMMYFUNCTION("""COMPUTED_VALUE"""),"신형만")</f>
        <v>신형만</v>
      </c>
      <c r="M1409" s="26" t="str">
        <f>IFERROR(__xludf.DUMMYFUNCTION("""COMPUTED_VALUE"""),"짱구")</f>
        <v>짱구</v>
      </c>
      <c r="N1409" s="26" t="str">
        <f>IFERROR(__xludf.DUMMYFUNCTION("ARRAYFORMULA(REGEXEXTRACT(SPLIT(E1409, ""&lt;br&gt;""), ""([가-힣A-Za-z]+)""))"),"한메")</f>
        <v>한메</v>
      </c>
      <c r="O1409" s="26" t="str">
        <f>IFERROR(__xludf.DUMMYFUNCTION("""COMPUTED_VALUE"""),"요즘")</f>
        <v>요즘</v>
      </c>
      <c r="P1409" s="26" t="str">
        <f>IFERROR(__xludf.DUMMYFUNCTION("""COMPUTED_VALUE"""),"노인")</f>
        <v>노인</v>
      </c>
      <c r="Q1409" s="26" t="str">
        <f>IFERROR(__xludf.DUMMYFUNCTION("""COMPUTED_VALUE"""),"ACDC")</f>
        <v>ACDC</v>
      </c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</row>
    <row r="1410">
      <c r="A1410" s="27" t="s">
        <v>5894</v>
      </c>
      <c r="B1410" s="28" t="s">
        <v>5895</v>
      </c>
      <c r="C1410" s="27" t="s">
        <v>5896</v>
      </c>
      <c r="D1410" s="27">
        <v>5.0</v>
      </c>
      <c r="E1410" s="27" t="s">
        <v>5897</v>
      </c>
      <c r="F1410" s="27">
        <v>1.0</v>
      </c>
      <c r="G1410" s="29">
        <v>45601.93194444444</v>
      </c>
      <c r="H1410" s="27" t="s">
        <v>5526</v>
      </c>
      <c r="I1410" s="18"/>
      <c r="J1410" s="25" t="str">
        <f>IFERROR(__xludf.DUMMYFUNCTION("ARRAYFORMULA(REGEXEXTRACT(SPLIT(C1410, ""&lt;br&gt;""), ""([가-힣A-Za-z]+)""))"),"짱구")</f>
        <v>짱구</v>
      </c>
      <c r="K1410" s="26" t="str">
        <f>IFERROR(__xludf.DUMMYFUNCTION("""COMPUTED_VALUE"""),"노인")</f>
        <v>노인</v>
      </c>
      <c r="L1410" s="26" t="str">
        <f>IFERROR(__xludf.DUMMYFUNCTION("""COMPUTED_VALUE"""),"ACDC")</f>
        <v>ACDC</v>
      </c>
      <c r="M1410" s="26" t="str">
        <f>IFERROR(__xludf.DUMMYFUNCTION("""COMPUTED_VALUE"""),"깡패")</f>
        <v>깡패</v>
      </c>
      <c r="N1410" s="26" t="str">
        <f>IFERROR(__xludf.DUMMYFUNCTION("ARRAYFORMULA(REGEXEXTRACT(SPLIT(E1410, ""&lt;br&gt;""), ""([가-힣A-Za-z]+)""))"),"한메")</f>
        <v>한메</v>
      </c>
      <c r="O1410" s="26" t="str">
        <f>IFERROR(__xludf.DUMMYFUNCTION("""COMPUTED_VALUE"""),"강화")</f>
        <v>강화</v>
      </c>
      <c r="P1410" s="26" t="str">
        <f>IFERROR(__xludf.DUMMYFUNCTION("""COMPUTED_VALUE"""),"요즘")</f>
        <v>요즘</v>
      </c>
      <c r="Q1410" s="26" t="str">
        <f>IFERROR(__xludf.DUMMYFUNCTION("""COMPUTED_VALUE"""),"신형만")</f>
        <v>신형만</v>
      </c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</row>
    <row r="1411">
      <c r="A1411" s="27" t="s">
        <v>5898</v>
      </c>
      <c r="B1411" s="28" t="s">
        <v>5899</v>
      </c>
      <c r="C1411" s="27" t="s">
        <v>5900</v>
      </c>
      <c r="D1411" s="27">
        <v>5.0</v>
      </c>
      <c r="E1411" s="27" t="s">
        <v>5901</v>
      </c>
      <c r="F1411" s="27">
        <v>1.0</v>
      </c>
      <c r="G1411" s="29">
        <v>45601.91736111111</v>
      </c>
      <c r="H1411" s="27" t="s">
        <v>5526</v>
      </c>
      <c r="I1411" s="18"/>
      <c r="J1411" s="25" t="str">
        <f>IFERROR(__xludf.DUMMYFUNCTION("ARRAYFORMULA(REGEXEXTRACT(SPLIT(C1411, ""&lt;br&gt;""), ""([가-힣A-Za-z]+)""))"),"테리")</f>
        <v>테리</v>
      </c>
      <c r="K1411" s="26" t="str">
        <f>IFERROR(__xludf.DUMMYFUNCTION("""COMPUTED_VALUE"""),"짱구")</f>
        <v>짱구</v>
      </c>
      <c r="L1411" s="26" t="str">
        <f>IFERROR(__xludf.DUMMYFUNCTION("""COMPUTED_VALUE"""),"강화")</f>
        <v>강화</v>
      </c>
      <c r="M1411" s="26" t="str">
        <f>IFERROR(__xludf.DUMMYFUNCTION("""COMPUTED_VALUE"""),"요즘")</f>
        <v>요즘</v>
      </c>
      <c r="N1411" s="26" t="str">
        <f>IFERROR(__xludf.DUMMYFUNCTION("ARRAYFORMULA(REGEXEXTRACT(SPLIT(E1411, ""&lt;br&gt;""), ""([가-힣A-Za-z]+)""))"),"한메")</f>
        <v>한메</v>
      </c>
      <c r="O1411" s="26" t="str">
        <f>IFERROR(__xludf.DUMMYFUNCTION("""COMPUTED_VALUE"""),"ACDC")</f>
        <v>ACDC</v>
      </c>
      <c r="P1411" s="26" t="str">
        <f>IFERROR(__xludf.DUMMYFUNCTION("""COMPUTED_VALUE"""),"신형만")</f>
        <v>신형만</v>
      </c>
      <c r="Q1411" s="26" t="str">
        <f>IFERROR(__xludf.DUMMYFUNCTION("""COMPUTED_VALUE"""),"깡패")</f>
        <v>깡패</v>
      </c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</row>
    <row r="1412">
      <c r="A1412" s="27" t="s">
        <v>5902</v>
      </c>
      <c r="B1412" s="28" t="s">
        <v>5903</v>
      </c>
      <c r="C1412" s="27" t="s">
        <v>5904</v>
      </c>
      <c r="D1412" s="27">
        <v>5.0</v>
      </c>
      <c r="E1412" s="27" t="s">
        <v>5905</v>
      </c>
      <c r="F1412" s="27">
        <v>0.0</v>
      </c>
      <c r="G1412" s="29">
        <v>45601.89513888889</v>
      </c>
      <c r="H1412" s="27" t="s">
        <v>5526</v>
      </c>
      <c r="I1412" s="18"/>
      <c r="J1412" s="25" t="str">
        <f>IFERROR(__xludf.DUMMYFUNCTION("ARRAYFORMULA(REGEXEXTRACT(SPLIT(C1412, ""&lt;br&gt;""), ""([가-힣A-Za-z]+)""))"),"ACDC")</f>
        <v>ACDC</v>
      </c>
      <c r="K1412" s="26" t="str">
        <f>IFERROR(__xludf.DUMMYFUNCTION("""COMPUTED_VALUE"""),"요즘")</f>
        <v>요즘</v>
      </c>
      <c r="L1412" s="26" t="str">
        <f>IFERROR(__xludf.DUMMYFUNCTION("""COMPUTED_VALUE"""),"테리")</f>
        <v>테리</v>
      </c>
      <c r="M1412" s="26" t="str">
        <f>IFERROR(__xludf.DUMMYFUNCTION("""COMPUTED_VALUE"""),"한메")</f>
        <v>한메</v>
      </c>
      <c r="N1412" s="26" t="str">
        <f>IFERROR(__xludf.DUMMYFUNCTION("ARRAYFORMULA(REGEXEXTRACT(SPLIT(E1412, ""&lt;br&gt;""), ""([가-힣A-Za-z]+)""))"),"짱구")</f>
        <v>짱구</v>
      </c>
      <c r="O1412" s="26" t="str">
        <f>IFERROR(__xludf.DUMMYFUNCTION("""COMPUTED_VALUE"""),"깡패")</f>
        <v>깡패</v>
      </c>
      <c r="P1412" s="26" t="str">
        <f>IFERROR(__xludf.DUMMYFUNCTION("""COMPUTED_VALUE"""),"강화")</f>
        <v>강화</v>
      </c>
      <c r="Q1412" s="26" t="str">
        <f>IFERROR(__xludf.DUMMYFUNCTION("""COMPUTED_VALUE"""),"신형만")</f>
        <v>신형만</v>
      </c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</row>
    <row r="1413">
      <c r="A1413" s="27" t="s">
        <v>5906</v>
      </c>
      <c r="B1413" s="28" t="s">
        <v>5907</v>
      </c>
      <c r="C1413" s="27" t="s">
        <v>5908</v>
      </c>
      <c r="D1413" s="27">
        <v>5.0</v>
      </c>
      <c r="E1413" s="27" t="s">
        <v>5909</v>
      </c>
      <c r="F1413" s="27">
        <v>4.0</v>
      </c>
      <c r="G1413" s="29">
        <v>45601.87777777778</v>
      </c>
      <c r="H1413" s="27" t="s">
        <v>5526</v>
      </c>
      <c r="I1413" s="18"/>
      <c r="J1413" s="25" t="str">
        <f>IFERROR(__xludf.DUMMYFUNCTION("ARRAYFORMULA(REGEXEXTRACT(SPLIT(C1413, ""&lt;br&gt;""), ""([가-힣A-Za-z]+)""))"),"깡패")</f>
        <v>깡패</v>
      </c>
      <c r="K1413" s="26" t="str">
        <f>IFERROR(__xludf.DUMMYFUNCTION("""COMPUTED_VALUE"""),"재명")</f>
        <v>재명</v>
      </c>
      <c r="L1413" s="26" t="str">
        <f>IFERROR(__xludf.DUMMYFUNCTION("""COMPUTED_VALUE"""),"짱구")</f>
        <v>짱구</v>
      </c>
      <c r="M1413" s="26" t="str">
        <f>IFERROR(__xludf.DUMMYFUNCTION("""COMPUTED_VALUE"""),"한메")</f>
        <v>한메</v>
      </c>
      <c r="N1413" s="26" t="str">
        <f>IFERROR(__xludf.DUMMYFUNCTION("ARRAYFORMULA(REGEXEXTRACT(SPLIT(E1413, ""&lt;br&gt;""), ""([가-힣A-Za-z]+)""))"),"ACDC")</f>
        <v>ACDC</v>
      </c>
      <c r="O1413" s="26" t="str">
        <f>IFERROR(__xludf.DUMMYFUNCTION("""COMPUTED_VALUE"""),"요즘")</f>
        <v>요즘</v>
      </c>
      <c r="P1413" s="26" t="str">
        <f>IFERROR(__xludf.DUMMYFUNCTION("""COMPUTED_VALUE"""),"테리")</f>
        <v>테리</v>
      </c>
      <c r="Q1413" s="26" t="str">
        <f>IFERROR(__xludf.DUMMYFUNCTION("""COMPUTED_VALUE"""),"신형만")</f>
        <v>신형만</v>
      </c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</row>
    <row r="1414">
      <c r="A1414" s="27" t="s">
        <v>5910</v>
      </c>
      <c r="B1414" s="28" t="s">
        <v>5911</v>
      </c>
      <c r="C1414" s="27" t="s">
        <v>5912</v>
      </c>
      <c r="D1414" s="27">
        <v>5.0</v>
      </c>
      <c r="E1414" s="27" t="s">
        <v>5913</v>
      </c>
      <c r="F1414" s="27">
        <v>2.0</v>
      </c>
      <c r="G1414" s="29">
        <v>45601.10486111111</v>
      </c>
      <c r="H1414" s="27" t="s">
        <v>5526</v>
      </c>
      <c r="I1414" s="18"/>
      <c r="J1414" s="25" t="str">
        <f>IFERROR(__xludf.DUMMYFUNCTION("ARRAYFORMULA(REGEXEXTRACT(SPLIT(C1414, ""&lt;br&gt;""), ""([가-힣A-Za-z]+)""))"),"키키")</f>
        <v>키키</v>
      </c>
      <c r="K1414" s="26" t="str">
        <f>IFERROR(__xludf.DUMMYFUNCTION("""COMPUTED_VALUE"""),"신형만")</f>
        <v>신형만</v>
      </c>
      <c r="L1414" s="26" t="str">
        <f>IFERROR(__xludf.DUMMYFUNCTION("""COMPUTED_VALUE"""),"짱구")</f>
        <v>짱구</v>
      </c>
      <c r="M1414" s="26" t="str">
        <f>IFERROR(__xludf.DUMMYFUNCTION("""COMPUTED_VALUE"""),"윈드")</f>
        <v>윈드</v>
      </c>
      <c r="N1414" s="26" t="str">
        <f>IFERROR(__xludf.DUMMYFUNCTION("ARRAYFORMULA(REGEXEXTRACT(SPLIT(E1414, ""&lt;br&gt;""), ""([가-힣A-Za-z]+)""))"),"재우")</f>
        <v>재우</v>
      </c>
      <c r="O1414" s="26" t="str">
        <f>IFERROR(__xludf.DUMMYFUNCTION("""COMPUTED_VALUE"""),"ACDC")</f>
        <v>ACDC</v>
      </c>
      <c r="P1414" s="26" t="str">
        <f>IFERROR(__xludf.DUMMYFUNCTION("""COMPUTED_VALUE"""),"노인")</f>
        <v>노인</v>
      </c>
      <c r="Q1414" s="26" t="str">
        <f>IFERROR(__xludf.DUMMYFUNCTION("""COMPUTED_VALUE"""),"깡패")</f>
        <v>깡패</v>
      </c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</row>
    <row r="1415">
      <c r="A1415" s="27" t="s">
        <v>5914</v>
      </c>
      <c r="B1415" s="28" t="s">
        <v>5915</v>
      </c>
      <c r="C1415" s="27" t="s">
        <v>5916</v>
      </c>
      <c r="D1415" s="27">
        <v>5.0</v>
      </c>
      <c r="E1415" s="27" t="s">
        <v>5917</v>
      </c>
      <c r="F1415" s="27">
        <v>1.0</v>
      </c>
      <c r="G1415" s="29">
        <v>45601.08194444444</v>
      </c>
      <c r="H1415" s="27" t="s">
        <v>5526</v>
      </c>
      <c r="I1415" s="18"/>
      <c r="J1415" s="25" t="str">
        <f>IFERROR(__xludf.DUMMYFUNCTION("ARRAYFORMULA(REGEXEXTRACT(SPLIT(C1415, ""&lt;br&gt;""), ""([가-힣A-Za-z]+)""))"),"노인")</f>
        <v>노인</v>
      </c>
      <c r="K1415" s="26" t="str">
        <f>IFERROR(__xludf.DUMMYFUNCTION("""COMPUTED_VALUE"""),"재우")</f>
        <v>재우</v>
      </c>
      <c r="L1415" s="26" t="str">
        <f>IFERROR(__xludf.DUMMYFUNCTION("""COMPUTED_VALUE"""),"강화")</f>
        <v>강화</v>
      </c>
      <c r="M1415" s="26" t="str">
        <f>IFERROR(__xludf.DUMMYFUNCTION("""COMPUTED_VALUE"""),"깡패")</f>
        <v>깡패</v>
      </c>
      <c r="N1415" s="26" t="str">
        <f>IFERROR(__xludf.DUMMYFUNCTION("ARRAYFORMULA(REGEXEXTRACT(SPLIT(E1415, ""&lt;br&gt;""), ""([가-힣A-Za-z]+)""))"),"신형만")</f>
        <v>신형만</v>
      </c>
      <c r="O1415" s="26" t="str">
        <f>IFERROR(__xludf.DUMMYFUNCTION("""COMPUTED_VALUE"""),"한메")</f>
        <v>한메</v>
      </c>
      <c r="P1415" s="26" t="str">
        <f>IFERROR(__xludf.DUMMYFUNCTION("""COMPUTED_VALUE"""),"키키")</f>
        <v>키키</v>
      </c>
      <c r="Q1415" s="26" t="str">
        <f>IFERROR(__xludf.DUMMYFUNCTION("""COMPUTED_VALUE"""),"윈드")</f>
        <v>윈드</v>
      </c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</row>
    <row r="1416">
      <c r="A1416" s="27" t="s">
        <v>5918</v>
      </c>
      <c r="B1416" s="28" t="s">
        <v>5919</v>
      </c>
      <c r="C1416" s="27" t="s">
        <v>5920</v>
      </c>
      <c r="D1416" s="27">
        <v>5.0</v>
      </c>
      <c r="E1416" s="27" t="s">
        <v>5921</v>
      </c>
      <c r="F1416" s="27">
        <v>1.0</v>
      </c>
      <c r="G1416" s="29">
        <v>45601.05069444444</v>
      </c>
      <c r="H1416" s="27" t="s">
        <v>5526</v>
      </c>
      <c r="I1416" s="18"/>
      <c r="J1416" s="25" t="str">
        <f>IFERROR(__xludf.DUMMYFUNCTION("ARRAYFORMULA(REGEXEXTRACT(SPLIT(C1416, ""&lt;br&gt;""), ""([가-힣A-Za-z]+)""))"),"깡패")</f>
        <v>깡패</v>
      </c>
      <c r="K1416" s="26" t="str">
        <f>IFERROR(__xludf.DUMMYFUNCTION("""COMPUTED_VALUE"""),"신형만")</f>
        <v>신형만</v>
      </c>
      <c r="L1416" s="26" t="str">
        <f>IFERROR(__xludf.DUMMYFUNCTION("""COMPUTED_VALUE"""),"재명")</f>
        <v>재명</v>
      </c>
      <c r="M1416" s="26" t="str">
        <f>IFERROR(__xludf.DUMMYFUNCTION("""COMPUTED_VALUE"""),"윈드")</f>
        <v>윈드</v>
      </c>
      <c r="N1416" s="26" t="str">
        <f>IFERROR(__xludf.DUMMYFUNCTION("ARRAYFORMULA(REGEXEXTRACT(SPLIT(E1416, ""&lt;br&gt;""), ""([가-힣A-Za-z]+)""))"),"강화")</f>
        <v>강화</v>
      </c>
      <c r="O1416" s="26" t="str">
        <f>IFERROR(__xludf.DUMMYFUNCTION("""COMPUTED_VALUE"""),"ACDC")</f>
        <v>ACDC</v>
      </c>
      <c r="P1416" s="26" t="str">
        <f>IFERROR(__xludf.DUMMYFUNCTION("""COMPUTED_VALUE"""),"노인")</f>
        <v>노인</v>
      </c>
      <c r="Q1416" s="26" t="str">
        <f>IFERROR(__xludf.DUMMYFUNCTION("""COMPUTED_VALUE"""),"한메")</f>
        <v>한메</v>
      </c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</row>
    <row r="1417">
      <c r="A1417" s="27" t="s">
        <v>5922</v>
      </c>
      <c r="B1417" s="28" t="s">
        <v>5923</v>
      </c>
      <c r="C1417" s="27" t="s">
        <v>5924</v>
      </c>
      <c r="D1417" s="27">
        <v>5.0</v>
      </c>
      <c r="E1417" s="27" t="s">
        <v>5925</v>
      </c>
      <c r="F1417" s="27">
        <v>1.0</v>
      </c>
      <c r="G1417" s="29">
        <v>45601.03402777778</v>
      </c>
      <c r="H1417" s="27" t="s">
        <v>5526</v>
      </c>
      <c r="I1417" s="18"/>
      <c r="J1417" s="25" t="str">
        <f>IFERROR(__xludf.DUMMYFUNCTION("ARRAYFORMULA(REGEXEXTRACT(SPLIT(C1417, ""&lt;br&gt;""), ""([가-힣A-Za-z]+)""))"),"신형만")</f>
        <v>신형만</v>
      </c>
      <c r="K1417" s="26" t="str">
        <f>IFERROR(__xludf.DUMMYFUNCTION("""COMPUTED_VALUE"""),"노인")</f>
        <v>노인</v>
      </c>
      <c r="L1417" s="26" t="str">
        <f>IFERROR(__xludf.DUMMYFUNCTION("""COMPUTED_VALUE"""),"ACDC")</f>
        <v>ACDC</v>
      </c>
      <c r="M1417" s="26" t="str">
        <f>IFERROR(__xludf.DUMMYFUNCTION("""COMPUTED_VALUE"""),"윈드")</f>
        <v>윈드</v>
      </c>
      <c r="N1417" s="26" t="str">
        <f>IFERROR(__xludf.DUMMYFUNCTION("ARRAYFORMULA(REGEXEXTRACT(SPLIT(E1417, ""&lt;br&gt;""), ""([가-힣A-Za-z]+)""))"),"강화")</f>
        <v>강화</v>
      </c>
      <c r="O1417" s="26" t="str">
        <f>IFERROR(__xludf.DUMMYFUNCTION("""COMPUTED_VALUE"""),"깡패")</f>
        <v>깡패</v>
      </c>
      <c r="P1417" s="26" t="str">
        <f>IFERROR(__xludf.DUMMYFUNCTION("""COMPUTED_VALUE"""),"한메")</f>
        <v>한메</v>
      </c>
      <c r="Q1417" s="26" t="str">
        <f>IFERROR(__xludf.DUMMYFUNCTION("""COMPUTED_VALUE"""),"재명")</f>
        <v>재명</v>
      </c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</row>
    <row r="1418">
      <c r="A1418" s="27" t="s">
        <v>5926</v>
      </c>
      <c r="B1418" s="28" t="s">
        <v>5927</v>
      </c>
      <c r="C1418" s="27" t="s">
        <v>5928</v>
      </c>
      <c r="D1418" s="27">
        <v>5.0</v>
      </c>
      <c r="E1418" s="27" t="s">
        <v>5929</v>
      </c>
      <c r="F1418" s="27">
        <v>2.0</v>
      </c>
      <c r="G1418" s="29">
        <v>45601.01458333333</v>
      </c>
      <c r="H1418" s="27" t="s">
        <v>5526</v>
      </c>
      <c r="I1418" s="18"/>
      <c r="J1418" s="25" t="str">
        <f>IFERROR(__xludf.DUMMYFUNCTION("ARRAYFORMULA(REGEXEXTRACT(SPLIT(C1418, ""&lt;br&gt;""), ""([가-힣A-Za-z]+)""))"),"신형만")</f>
        <v>신형만</v>
      </c>
      <c r="K1418" s="26" t="str">
        <f>IFERROR(__xludf.DUMMYFUNCTION("""COMPUTED_VALUE"""),"깡패")</f>
        <v>깡패</v>
      </c>
      <c r="L1418" s="26" t="str">
        <f>IFERROR(__xludf.DUMMYFUNCTION("""COMPUTED_VALUE"""),"강화")</f>
        <v>강화</v>
      </c>
      <c r="M1418" s="26" t="str">
        <f>IFERROR(__xludf.DUMMYFUNCTION("""COMPUTED_VALUE"""),"노인")</f>
        <v>노인</v>
      </c>
      <c r="N1418" s="26" t="str">
        <f>IFERROR(__xludf.DUMMYFUNCTION("ARRAYFORMULA(REGEXEXTRACT(SPLIT(E1418, ""&lt;br&gt;""), ""([가-힣A-Za-z]+)""))"),"한메")</f>
        <v>한메</v>
      </c>
      <c r="O1418" s="26" t="str">
        <f>IFERROR(__xludf.DUMMYFUNCTION("""COMPUTED_VALUE"""),"재명")</f>
        <v>재명</v>
      </c>
      <c r="P1418" s="26" t="str">
        <f>IFERROR(__xludf.DUMMYFUNCTION("""COMPUTED_VALUE"""),"ACDC")</f>
        <v>ACDC</v>
      </c>
      <c r="Q1418" s="26" t="str">
        <f>IFERROR(__xludf.DUMMYFUNCTION("""COMPUTED_VALUE"""),"윈드")</f>
        <v>윈드</v>
      </c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</row>
    <row r="1419">
      <c r="A1419" s="27" t="s">
        <v>5930</v>
      </c>
      <c r="B1419" s="28" t="s">
        <v>5931</v>
      </c>
      <c r="C1419" s="27" t="s">
        <v>5932</v>
      </c>
      <c r="D1419" s="27">
        <v>5.0</v>
      </c>
      <c r="E1419" s="27" t="s">
        <v>5933</v>
      </c>
      <c r="F1419" s="27">
        <v>0.0</v>
      </c>
      <c r="G1419" s="29">
        <v>45600.99513888889</v>
      </c>
      <c r="H1419" s="27" t="s">
        <v>5526</v>
      </c>
      <c r="I1419" s="18"/>
      <c r="J1419" s="25" t="str">
        <f>IFERROR(__xludf.DUMMYFUNCTION("ARRAYFORMULA(REGEXEXTRACT(SPLIT(C1419, ""&lt;br&gt;""), ""([가-힣A-Za-z]+)""))"),"깡패")</f>
        <v>깡패</v>
      </c>
      <c r="K1419" s="26" t="str">
        <f>IFERROR(__xludf.DUMMYFUNCTION("""COMPUTED_VALUE"""),"신형만")</f>
        <v>신형만</v>
      </c>
      <c r="L1419" s="26" t="str">
        <f>IFERROR(__xludf.DUMMYFUNCTION("""COMPUTED_VALUE"""),"강화")</f>
        <v>강화</v>
      </c>
      <c r="M1419" s="26" t="str">
        <f>IFERROR(__xludf.DUMMYFUNCTION("""COMPUTED_VALUE"""),"재우")</f>
        <v>재우</v>
      </c>
      <c r="N1419" s="26" t="str">
        <f>IFERROR(__xludf.DUMMYFUNCTION("ARRAYFORMULA(REGEXEXTRACT(SPLIT(E1419, ""&lt;br&gt;""), ""([가-힣A-Za-z]+)""))"),"재명")</f>
        <v>재명</v>
      </c>
      <c r="O1419" s="26" t="str">
        <f>IFERROR(__xludf.DUMMYFUNCTION("""COMPUTED_VALUE"""),"ACDC")</f>
        <v>ACDC</v>
      </c>
      <c r="P1419" s="26" t="str">
        <f>IFERROR(__xludf.DUMMYFUNCTION("""COMPUTED_VALUE"""),"짱구")</f>
        <v>짱구</v>
      </c>
      <c r="Q1419" s="26" t="str">
        <f>IFERROR(__xludf.DUMMYFUNCTION("""COMPUTED_VALUE"""),"윈드")</f>
        <v>윈드</v>
      </c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</row>
    <row r="1420">
      <c r="A1420" s="27" t="s">
        <v>5934</v>
      </c>
      <c r="B1420" s="28" t="s">
        <v>5935</v>
      </c>
      <c r="C1420" s="27" t="s">
        <v>5936</v>
      </c>
      <c r="D1420" s="27">
        <v>5.0</v>
      </c>
      <c r="E1420" s="27" t="s">
        <v>5937</v>
      </c>
      <c r="F1420" s="27">
        <v>3.0</v>
      </c>
      <c r="G1420" s="29">
        <v>45600.970138888886</v>
      </c>
      <c r="H1420" s="27" t="s">
        <v>5526</v>
      </c>
      <c r="I1420" s="18"/>
      <c r="J1420" s="25" t="str">
        <f>IFERROR(__xludf.DUMMYFUNCTION("ARRAYFORMULA(REGEXEXTRACT(SPLIT(C1420, ""&lt;br&gt;""), ""([가-힣A-Za-z]+)""))"),"깡패")</f>
        <v>깡패</v>
      </c>
      <c r="K1420" s="26" t="str">
        <f>IFERROR(__xludf.DUMMYFUNCTION("""COMPUTED_VALUE"""),"재명")</f>
        <v>재명</v>
      </c>
      <c r="L1420" s="26" t="str">
        <f>IFERROR(__xludf.DUMMYFUNCTION("""COMPUTED_VALUE"""),"강화")</f>
        <v>강화</v>
      </c>
      <c r="M1420" s="26" t="str">
        <f>IFERROR(__xludf.DUMMYFUNCTION("""COMPUTED_VALUE"""),"재우")</f>
        <v>재우</v>
      </c>
      <c r="N1420" s="26" t="str">
        <f>IFERROR(__xludf.DUMMYFUNCTION("ARRAYFORMULA(REGEXEXTRACT(SPLIT(E1420, ""&lt;br&gt;""), ""([가-힣A-Za-z]+)""))"),"한메")</f>
        <v>한메</v>
      </c>
      <c r="O1420" s="26" t="str">
        <f>IFERROR(__xludf.DUMMYFUNCTION("""COMPUTED_VALUE"""),"신형만")</f>
        <v>신형만</v>
      </c>
      <c r="P1420" s="26" t="str">
        <f>IFERROR(__xludf.DUMMYFUNCTION("""COMPUTED_VALUE"""),"짱구")</f>
        <v>짱구</v>
      </c>
      <c r="Q1420" s="26" t="str">
        <f>IFERROR(__xludf.DUMMYFUNCTION("""COMPUTED_VALUE"""),"ACDC")</f>
        <v>ACDC</v>
      </c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</row>
    <row r="1421">
      <c r="A1421" s="27" t="s">
        <v>5938</v>
      </c>
      <c r="B1421" s="28" t="s">
        <v>5939</v>
      </c>
      <c r="C1421" s="27" t="s">
        <v>5940</v>
      </c>
      <c r="D1421" s="27">
        <v>5.0</v>
      </c>
      <c r="E1421" s="27" t="s">
        <v>5941</v>
      </c>
      <c r="F1421" s="27">
        <v>3.0</v>
      </c>
      <c r="G1421" s="29">
        <v>45600.94375</v>
      </c>
      <c r="H1421" s="27" t="s">
        <v>5526</v>
      </c>
      <c r="I1421" s="18"/>
      <c r="J1421" s="25" t="str">
        <f>IFERROR(__xludf.DUMMYFUNCTION("ARRAYFORMULA(REGEXEXTRACT(SPLIT(C1421, ""&lt;br&gt;""), ""([가-힣A-Za-z]+)""))"),"한메")</f>
        <v>한메</v>
      </c>
      <c r="K1421" s="26" t="str">
        <f>IFERROR(__xludf.DUMMYFUNCTION("""COMPUTED_VALUE"""),"재명")</f>
        <v>재명</v>
      </c>
      <c r="L1421" s="26" t="str">
        <f>IFERROR(__xludf.DUMMYFUNCTION("""COMPUTED_VALUE"""),"재우")</f>
        <v>재우</v>
      </c>
      <c r="M1421" s="26" t="str">
        <f>IFERROR(__xludf.DUMMYFUNCTION("""COMPUTED_VALUE"""),"ACDC")</f>
        <v>ACDC</v>
      </c>
      <c r="N1421" s="26" t="str">
        <f>IFERROR(__xludf.DUMMYFUNCTION("ARRAYFORMULA(REGEXEXTRACT(SPLIT(E1421, ""&lt;br&gt;""), ""([가-힣A-Za-z]+)""))"),"원정")</f>
        <v>원정</v>
      </c>
      <c r="O1421" s="26" t="str">
        <f>IFERROR(__xludf.DUMMYFUNCTION("""COMPUTED_VALUE"""),"테리")</f>
        <v>테리</v>
      </c>
      <c r="P1421" s="26" t="str">
        <f>IFERROR(__xludf.DUMMYFUNCTION("""COMPUTED_VALUE"""),"강화")</f>
        <v>강화</v>
      </c>
      <c r="Q1421" s="26" t="str">
        <f>IFERROR(__xludf.DUMMYFUNCTION("""COMPUTED_VALUE"""),"신형만")</f>
        <v>신형만</v>
      </c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</row>
    <row r="1422">
      <c r="A1422" s="27" t="s">
        <v>5942</v>
      </c>
      <c r="B1422" s="28" t="s">
        <v>5943</v>
      </c>
      <c r="C1422" s="27" t="s">
        <v>5944</v>
      </c>
      <c r="D1422" s="27">
        <v>5.0</v>
      </c>
      <c r="E1422" s="27" t="s">
        <v>5945</v>
      </c>
      <c r="F1422" s="27">
        <v>4.0</v>
      </c>
      <c r="G1422" s="29">
        <v>45600.91111111111</v>
      </c>
      <c r="H1422" s="27" t="s">
        <v>5526</v>
      </c>
      <c r="I1422" s="18"/>
      <c r="J1422" s="25" t="str">
        <f>IFERROR(__xludf.DUMMYFUNCTION("ARRAYFORMULA(REGEXEXTRACT(SPLIT(C1422, ""&lt;br&gt;""), ""([가-힣A-Za-z]+)""))"),"강화")</f>
        <v>강화</v>
      </c>
      <c r="K1422" s="26" t="str">
        <f>IFERROR(__xludf.DUMMYFUNCTION("""COMPUTED_VALUE"""),"재명")</f>
        <v>재명</v>
      </c>
      <c r="L1422" s="26" t="str">
        <f>IFERROR(__xludf.DUMMYFUNCTION("""COMPUTED_VALUE"""),"테리")</f>
        <v>테리</v>
      </c>
      <c r="M1422" s="26" t="str">
        <f>IFERROR(__xludf.DUMMYFUNCTION("""COMPUTED_VALUE"""),"ACDC")</f>
        <v>ACDC</v>
      </c>
      <c r="N1422" s="26" t="str">
        <f>IFERROR(__xludf.DUMMYFUNCTION("ARRAYFORMULA(REGEXEXTRACT(SPLIT(E1422, ""&lt;br&gt;""), ""([가-힣A-Za-z]+)""))"),"신형만")</f>
        <v>신형만</v>
      </c>
      <c r="O1422" s="26" t="str">
        <f>IFERROR(__xludf.DUMMYFUNCTION("""COMPUTED_VALUE"""),"재우")</f>
        <v>재우</v>
      </c>
      <c r="P1422" s="26" t="str">
        <f>IFERROR(__xludf.DUMMYFUNCTION("""COMPUTED_VALUE"""),"요즘")</f>
        <v>요즘</v>
      </c>
      <c r="Q1422" s="26" t="str">
        <f>IFERROR(__xludf.DUMMYFUNCTION("""COMPUTED_VALUE"""),"한메")</f>
        <v>한메</v>
      </c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</row>
    <row r="1423">
      <c r="A1423" s="27" t="s">
        <v>5946</v>
      </c>
      <c r="B1423" s="28" t="s">
        <v>5947</v>
      </c>
      <c r="C1423" s="27" t="s">
        <v>5948</v>
      </c>
      <c r="D1423" s="27">
        <v>5.0</v>
      </c>
      <c r="E1423" s="27" t="s">
        <v>5949</v>
      </c>
      <c r="F1423" s="27">
        <v>2.0</v>
      </c>
      <c r="G1423" s="29">
        <v>45600.873611111114</v>
      </c>
      <c r="H1423" s="27" t="s">
        <v>5526</v>
      </c>
      <c r="I1423" s="18"/>
      <c r="J1423" s="25" t="str">
        <f>IFERROR(__xludf.DUMMYFUNCTION("ARRAYFORMULA(REGEXEXTRACT(SPLIT(C1423, ""&lt;br&gt;""), ""([가-힣A-Za-z]+)""))"),"깡패")</f>
        <v>깡패</v>
      </c>
      <c r="K1423" s="26" t="str">
        <f>IFERROR(__xludf.DUMMYFUNCTION("""COMPUTED_VALUE"""),"ACDC")</f>
        <v>ACDC</v>
      </c>
      <c r="L1423" s="26" t="str">
        <f>IFERROR(__xludf.DUMMYFUNCTION("""COMPUTED_VALUE"""),"테리")</f>
        <v>테리</v>
      </c>
      <c r="M1423" s="26" t="str">
        <f>IFERROR(__xludf.DUMMYFUNCTION("""COMPUTED_VALUE"""),"요즘")</f>
        <v>요즘</v>
      </c>
      <c r="N1423" s="26" t="str">
        <f>IFERROR(__xludf.DUMMYFUNCTION("ARRAYFORMULA(REGEXEXTRACT(SPLIT(E1423, ""&lt;br&gt;""), ""([가-힣A-Za-z]+)""))"),"재우")</f>
        <v>재우</v>
      </c>
      <c r="O1423" s="26" t="str">
        <f>IFERROR(__xludf.DUMMYFUNCTION("""COMPUTED_VALUE"""),"재명")</f>
        <v>재명</v>
      </c>
      <c r="P1423" s="26" t="str">
        <f>IFERROR(__xludf.DUMMYFUNCTION("""COMPUTED_VALUE"""),"한메")</f>
        <v>한메</v>
      </c>
      <c r="Q1423" s="26" t="str">
        <f>IFERROR(__xludf.DUMMYFUNCTION("""COMPUTED_VALUE"""),"강화")</f>
        <v>강화</v>
      </c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</row>
    <row r="1424">
      <c r="A1424" s="27" t="s">
        <v>5950</v>
      </c>
      <c r="B1424" s="28" t="s">
        <v>5951</v>
      </c>
      <c r="C1424" s="27" t="s">
        <v>5952</v>
      </c>
      <c r="D1424" s="27">
        <v>5.0</v>
      </c>
      <c r="E1424" s="27" t="s">
        <v>5953</v>
      </c>
      <c r="F1424" s="27">
        <v>0.0</v>
      </c>
      <c r="G1424" s="29">
        <v>45600.84930555556</v>
      </c>
      <c r="H1424" s="27" t="s">
        <v>5526</v>
      </c>
      <c r="I1424" s="18"/>
      <c r="J1424" s="25" t="str">
        <f>IFERROR(__xludf.DUMMYFUNCTION("ARRAYFORMULA(REGEXEXTRACT(SPLIT(C1424, ""&lt;br&gt;""), ""([가-힣A-Za-z]+)""))"),"깡패")</f>
        <v>깡패</v>
      </c>
      <c r="K1424" s="26" t="str">
        <f>IFERROR(__xludf.DUMMYFUNCTION("""COMPUTED_VALUE"""),"테리")</f>
        <v>테리</v>
      </c>
      <c r="L1424" s="26" t="str">
        <f>IFERROR(__xludf.DUMMYFUNCTION("""COMPUTED_VALUE"""),"재우")</f>
        <v>재우</v>
      </c>
      <c r="M1424" s="26" t="str">
        <f>IFERROR(__xludf.DUMMYFUNCTION("""COMPUTED_VALUE"""),"한메")</f>
        <v>한메</v>
      </c>
      <c r="N1424" s="26" t="str">
        <f>IFERROR(__xludf.DUMMYFUNCTION("ARRAYFORMULA(REGEXEXTRACT(SPLIT(E1424, ""&lt;br&gt;""), ""([가-힣A-Za-z]+)""))"),"ACDC")</f>
        <v>ACDC</v>
      </c>
      <c r="O1424" s="26" t="str">
        <f>IFERROR(__xludf.DUMMYFUNCTION("""COMPUTED_VALUE"""),"요즘")</f>
        <v>요즘</v>
      </c>
      <c r="P1424" s="26" t="str">
        <f>IFERROR(__xludf.DUMMYFUNCTION("""COMPUTED_VALUE"""),"재명")</f>
        <v>재명</v>
      </c>
      <c r="Q1424" s="26" t="str">
        <f>IFERROR(__xludf.DUMMYFUNCTION("""COMPUTED_VALUE"""),"강화")</f>
        <v>강화</v>
      </c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</row>
    <row r="1425">
      <c r="A1425" s="27" t="s">
        <v>5954</v>
      </c>
      <c r="B1425" s="28" t="s">
        <v>5955</v>
      </c>
      <c r="C1425" s="27" t="s">
        <v>5956</v>
      </c>
      <c r="D1425" s="27">
        <v>5.0</v>
      </c>
      <c r="E1425" s="27" t="s">
        <v>5957</v>
      </c>
      <c r="F1425" s="27">
        <v>4.0</v>
      </c>
      <c r="G1425" s="29">
        <v>45600.09652777778</v>
      </c>
      <c r="H1425" s="27" t="s">
        <v>5526</v>
      </c>
      <c r="I1425" s="18"/>
      <c r="J1425" s="25" t="str">
        <f>IFERROR(__xludf.DUMMYFUNCTION("ARRAYFORMULA(REGEXEXTRACT(SPLIT(C1425, ""&lt;br&gt;""), ""([가-힣A-Za-z]+)""))"),"ACDC")</f>
        <v>ACDC</v>
      </c>
      <c r="K1425" s="26" t="str">
        <f>IFERROR(__xludf.DUMMYFUNCTION("""COMPUTED_VALUE"""),"짱구")</f>
        <v>짱구</v>
      </c>
      <c r="L1425" s="26" t="str">
        <f>IFERROR(__xludf.DUMMYFUNCTION("""COMPUTED_VALUE"""),"미등록")</f>
        <v>미등록</v>
      </c>
      <c r="M1425" s="26" t="str">
        <f>IFERROR(__xludf.DUMMYFUNCTION("""COMPUTED_VALUE"""),"깡패")</f>
        <v>깡패</v>
      </c>
      <c r="N1425" s="26" t="str">
        <f>IFERROR(__xludf.DUMMYFUNCTION("ARRAYFORMULA(REGEXEXTRACT(SPLIT(E1425, ""&lt;br&gt;""), ""([가-힣A-Za-z]+)""))"),"테리")</f>
        <v>테리</v>
      </c>
      <c r="O1425" s="26" t="str">
        <f>IFERROR(__xludf.DUMMYFUNCTION("""COMPUTED_VALUE"""),"신형만")</f>
        <v>신형만</v>
      </c>
      <c r="P1425" s="26" t="str">
        <f>IFERROR(__xludf.DUMMYFUNCTION("""COMPUTED_VALUE"""),"노인")</f>
        <v>노인</v>
      </c>
      <c r="Q1425" s="26" t="str">
        <f>IFERROR(__xludf.DUMMYFUNCTION("""COMPUTED_VALUE"""),"윈드")</f>
        <v>윈드</v>
      </c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</row>
    <row r="1426">
      <c r="A1426" s="27" t="s">
        <v>5958</v>
      </c>
      <c r="B1426" s="28" t="s">
        <v>5959</v>
      </c>
      <c r="C1426" s="27" t="s">
        <v>5960</v>
      </c>
      <c r="D1426" s="27">
        <v>5.0</v>
      </c>
      <c r="E1426" s="27" t="s">
        <v>5961</v>
      </c>
      <c r="F1426" s="27">
        <v>4.0</v>
      </c>
      <c r="G1426" s="29">
        <v>45600.05763888889</v>
      </c>
      <c r="H1426" s="27" t="s">
        <v>5526</v>
      </c>
      <c r="I1426" s="18"/>
      <c r="J1426" s="25" t="str">
        <f>IFERROR(__xludf.DUMMYFUNCTION("ARRAYFORMULA(REGEXEXTRACT(SPLIT(C1426, ""&lt;br&gt;""), ""([가-힣A-Za-z]+)""))"),"노인")</f>
        <v>노인</v>
      </c>
      <c r="K1426" s="26" t="str">
        <f>IFERROR(__xludf.DUMMYFUNCTION("""COMPUTED_VALUE"""),"깡패")</f>
        <v>깡패</v>
      </c>
      <c r="L1426" s="26" t="str">
        <f>IFERROR(__xludf.DUMMYFUNCTION("""COMPUTED_VALUE"""),"짱구")</f>
        <v>짱구</v>
      </c>
      <c r="M1426" s="26" t="str">
        <f>IFERROR(__xludf.DUMMYFUNCTION("""COMPUTED_VALUE"""),"윈드")</f>
        <v>윈드</v>
      </c>
      <c r="N1426" s="26" t="str">
        <f>IFERROR(__xludf.DUMMYFUNCTION("ARRAYFORMULA(REGEXEXTRACT(SPLIT(E1426, ""&lt;br&gt;""), ""([가-힣A-Za-z]+)""))"),"미등록")</f>
        <v>미등록</v>
      </c>
      <c r="O1426" s="26" t="str">
        <f>IFERROR(__xludf.DUMMYFUNCTION("""COMPUTED_VALUE"""),"테리")</f>
        <v>테리</v>
      </c>
      <c r="P1426" s="26" t="str">
        <f>IFERROR(__xludf.DUMMYFUNCTION("""COMPUTED_VALUE"""),"신형만")</f>
        <v>신형만</v>
      </c>
      <c r="Q1426" s="26" t="str">
        <f>IFERROR(__xludf.DUMMYFUNCTION("""COMPUTED_VALUE"""),"ACDC")</f>
        <v>ACDC</v>
      </c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</row>
    <row r="1427">
      <c r="A1427" s="27" t="s">
        <v>5962</v>
      </c>
      <c r="B1427" s="28" t="s">
        <v>5963</v>
      </c>
      <c r="C1427" s="27" t="s">
        <v>5964</v>
      </c>
      <c r="D1427" s="27">
        <v>5.0</v>
      </c>
      <c r="E1427" s="27" t="s">
        <v>5965</v>
      </c>
      <c r="F1427" s="27">
        <v>3.0</v>
      </c>
      <c r="G1427" s="29">
        <v>45600.01458333333</v>
      </c>
      <c r="H1427" s="27" t="s">
        <v>5526</v>
      </c>
      <c r="I1427" s="18"/>
      <c r="J1427" s="25" t="str">
        <f>IFERROR(__xludf.DUMMYFUNCTION("ARRAYFORMULA(REGEXEXTRACT(SPLIT(C1427, ""&lt;br&gt;""), ""([가-힣A-Za-z]+)""))"),"깡패")</f>
        <v>깡패</v>
      </c>
      <c r="K1427" s="26" t="str">
        <f>IFERROR(__xludf.DUMMYFUNCTION("""COMPUTED_VALUE"""),"짱구")</f>
        <v>짱구</v>
      </c>
      <c r="L1427" s="26" t="str">
        <f>IFERROR(__xludf.DUMMYFUNCTION("""COMPUTED_VALUE"""),"미등록")</f>
        <v>미등록</v>
      </c>
      <c r="M1427" s="26" t="str">
        <f>IFERROR(__xludf.DUMMYFUNCTION("""COMPUTED_VALUE"""),"요즘")</f>
        <v>요즘</v>
      </c>
      <c r="N1427" s="26" t="str">
        <f>IFERROR(__xludf.DUMMYFUNCTION("ARRAYFORMULA(REGEXEXTRACT(SPLIT(E1427, ""&lt;br&gt;""), ""([가-힣A-Za-z]+)""))"),"ACDC")</f>
        <v>ACDC</v>
      </c>
      <c r="O1427" s="26" t="str">
        <f>IFERROR(__xludf.DUMMYFUNCTION("""COMPUTED_VALUE"""),"신형만")</f>
        <v>신형만</v>
      </c>
      <c r="P1427" s="26" t="str">
        <f>IFERROR(__xludf.DUMMYFUNCTION("""COMPUTED_VALUE"""),"노인")</f>
        <v>노인</v>
      </c>
      <c r="Q1427" s="26" t="str">
        <f>IFERROR(__xludf.DUMMYFUNCTION("""COMPUTED_VALUE"""),"윈드")</f>
        <v>윈드</v>
      </c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</row>
    <row r="1428">
      <c r="A1428" s="27" t="s">
        <v>5966</v>
      </c>
      <c r="B1428" s="28" t="s">
        <v>5967</v>
      </c>
      <c r="C1428" s="27" t="s">
        <v>5968</v>
      </c>
      <c r="D1428" s="27">
        <v>5.0</v>
      </c>
      <c r="E1428" s="27" t="s">
        <v>5969</v>
      </c>
      <c r="F1428" s="27">
        <v>0.0</v>
      </c>
      <c r="G1428" s="29">
        <v>45599.98263888889</v>
      </c>
      <c r="H1428" s="27" t="s">
        <v>5526</v>
      </c>
      <c r="I1428" s="18"/>
      <c r="J1428" s="25" t="str">
        <f>IFERROR(__xludf.DUMMYFUNCTION("ARRAYFORMULA(REGEXEXTRACT(SPLIT(C1428, ""&lt;br&gt;""), ""([가-힣A-Za-z]+)""))"),"미등록")</f>
        <v>미등록</v>
      </c>
      <c r="K1428" s="26" t="str">
        <f>IFERROR(__xludf.DUMMYFUNCTION("""COMPUTED_VALUE"""),"짱구")</f>
        <v>짱구</v>
      </c>
      <c r="L1428" s="26" t="str">
        <f>IFERROR(__xludf.DUMMYFUNCTION("""COMPUTED_VALUE"""),"신형만")</f>
        <v>신형만</v>
      </c>
      <c r="M1428" s="26" t="str">
        <f>IFERROR(__xludf.DUMMYFUNCTION("""COMPUTED_VALUE"""),"윈드")</f>
        <v>윈드</v>
      </c>
      <c r="N1428" s="26" t="str">
        <f>IFERROR(__xludf.DUMMYFUNCTION("ARRAYFORMULA(REGEXEXTRACT(SPLIT(E1428, ""&lt;br&gt;""), ""([가-힣A-Za-z]+)""))"),"깡패")</f>
        <v>깡패</v>
      </c>
      <c r="O1428" s="26" t="str">
        <f>IFERROR(__xludf.DUMMYFUNCTION("""COMPUTED_VALUE"""),"요즘")</f>
        <v>요즘</v>
      </c>
      <c r="P1428" s="26" t="str">
        <f>IFERROR(__xludf.DUMMYFUNCTION("""COMPUTED_VALUE"""),"노인")</f>
        <v>노인</v>
      </c>
      <c r="Q1428" s="26" t="str">
        <f>IFERROR(__xludf.DUMMYFUNCTION("""COMPUTED_VALUE"""),"ACDC")</f>
        <v>ACDC</v>
      </c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</row>
    <row r="1429">
      <c r="A1429" s="27" t="s">
        <v>5970</v>
      </c>
      <c r="B1429" s="28" t="s">
        <v>5971</v>
      </c>
      <c r="C1429" s="27" t="s">
        <v>5972</v>
      </c>
      <c r="D1429" s="27">
        <v>5.0</v>
      </c>
      <c r="E1429" s="27" t="s">
        <v>5973</v>
      </c>
      <c r="F1429" s="27">
        <v>2.0</v>
      </c>
      <c r="G1429" s="29">
        <v>45599.96388888889</v>
      </c>
      <c r="H1429" s="27" t="s">
        <v>5526</v>
      </c>
      <c r="I1429" s="18"/>
      <c r="J1429" s="25" t="str">
        <f>IFERROR(__xludf.DUMMYFUNCTION("ARRAYFORMULA(REGEXEXTRACT(SPLIT(C1429, ""&lt;br&gt;""), ""([가-힣A-Za-z]+)""))"),"신형만")</f>
        <v>신형만</v>
      </c>
      <c r="K1429" s="26" t="str">
        <f>IFERROR(__xludf.DUMMYFUNCTION("""COMPUTED_VALUE"""),"깡패")</f>
        <v>깡패</v>
      </c>
      <c r="L1429" s="26" t="str">
        <f>IFERROR(__xludf.DUMMYFUNCTION("""COMPUTED_VALUE"""),"ACDC")</f>
        <v>ACDC</v>
      </c>
      <c r="M1429" s="26" t="str">
        <f>IFERROR(__xludf.DUMMYFUNCTION("""COMPUTED_VALUE"""),"윈드")</f>
        <v>윈드</v>
      </c>
      <c r="N1429" s="26" t="str">
        <f>IFERROR(__xludf.DUMMYFUNCTION("ARRAYFORMULA(REGEXEXTRACT(SPLIT(E1429, ""&lt;br&gt;""), ""([가-힣A-Za-z]+)""))"),"미등록")</f>
        <v>미등록</v>
      </c>
      <c r="O1429" s="26" t="str">
        <f>IFERROR(__xludf.DUMMYFUNCTION("""COMPUTED_VALUE"""),"짱구")</f>
        <v>짱구</v>
      </c>
      <c r="P1429" s="26" t="str">
        <f>IFERROR(__xludf.DUMMYFUNCTION("""COMPUTED_VALUE"""),"요즘")</f>
        <v>요즘</v>
      </c>
      <c r="Q1429" s="26" t="str">
        <f>IFERROR(__xludf.DUMMYFUNCTION("""COMPUTED_VALUE"""),"노인")</f>
        <v>노인</v>
      </c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</row>
    <row r="1430">
      <c r="A1430" s="27" t="s">
        <v>5974</v>
      </c>
      <c r="B1430" s="28" t="s">
        <v>5975</v>
      </c>
      <c r="C1430" s="27" t="s">
        <v>5976</v>
      </c>
      <c r="D1430" s="27">
        <v>5.0</v>
      </c>
      <c r="E1430" s="27" t="s">
        <v>5977</v>
      </c>
      <c r="F1430" s="27">
        <v>3.0</v>
      </c>
      <c r="G1430" s="29">
        <v>45599.94375</v>
      </c>
      <c r="H1430" s="27" t="s">
        <v>5526</v>
      </c>
      <c r="I1430" s="18"/>
      <c r="J1430" s="25" t="str">
        <f>IFERROR(__xludf.DUMMYFUNCTION("ARRAYFORMULA(REGEXEXTRACT(SPLIT(C1430, ""&lt;br&gt;""), ""([가-힣A-Za-z]+)""))"),"신형만")</f>
        <v>신형만</v>
      </c>
      <c r="K1430" s="26" t="str">
        <f>IFERROR(__xludf.DUMMYFUNCTION("""COMPUTED_VALUE"""),"요즘")</f>
        <v>요즘</v>
      </c>
      <c r="L1430" s="26" t="str">
        <f>IFERROR(__xludf.DUMMYFUNCTION("""COMPUTED_VALUE"""),"ACDC")</f>
        <v>ACDC</v>
      </c>
      <c r="M1430" s="26" t="str">
        <f>IFERROR(__xludf.DUMMYFUNCTION("""COMPUTED_VALUE"""),"깡패")</f>
        <v>깡패</v>
      </c>
      <c r="N1430" s="26" t="str">
        <f>IFERROR(__xludf.DUMMYFUNCTION("ARRAYFORMULA(REGEXEXTRACT(SPLIT(E1430, ""&lt;br&gt;""), ""([가-힣A-Za-z]+)""))"),"테리")</f>
        <v>테리</v>
      </c>
      <c r="O1430" s="26" t="str">
        <f>IFERROR(__xludf.DUMMYFUNCTION("""COMPUTED_VALUE"""),"봉구")</f>
        <v>봉구</v>
      </c>
      <c r="P1430" s="26" t="str">
        <f>IFERROR(__xludf.DUMMYFUNCTION("""COMPUTED_VALUE"""),"노인")</f>
        <v>노인</v>
      </c>
      <c r="Q1430" s="26" t="str">
        <f>IFERROR(__xludf.DUMMYFUNCTION("""COMPUTED_VALUE"""),"미등록")</f>
        <v>미등록</v>
      </c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</row>
    <row r="1431">
      <c r="A1431" s="27" t="s">
        <v>5978</v>
      </c>
      <c r="B1431" s="28" t="s">
        <v>5979</v>
      </c>
      <c r="C1431" s="27" t="s">
        <v>5980</v>
      </c>
      <c r="D1431" s="27">
        <v>5.0</v>
      </c>
      <c r="E1431" s="27" t="s">
        <v>5981</v>
      </c>
      <c r="F1431" s="27">
        <v>3.0</v>
      </c>
      <c r="G1431" s="29">
        <v>45599.91527777778</v>
      </c>
      <c r="H1431" s="27" t="s">
        <v>5526</v>
      </c>
      <c r="I1431" s="18"/>
      <c r="J1431" s="25" t="str">
        <f>IFERROR(__xludf.DUMMYFUNCTION("ARRAYFORMULA(REGEXEXTRACT(SPLIT(C1431, ""&lt;br&gt;""), ""([가-힣A-Za-z]+)""))"),"깡패")</f>
        <v>깡패</v>
      </c>
      <c r="K1431" s="26" t="str">
        <f>IFERROR(__xludf.DUMMYFUNCTION("""COMPUTED_VALUE"""),"봉구")</f>
        <v>봉구</v>
      </c>
      <c r="L1431" s="26" t="str">
        <f>IFERROR(__xludf.DUMMYFUNCTION("""COMPUTED_VALUE"""),"테리")</f>
        <v>테리</v>
      </c>
      <c r="M1431" s="26" t="str">
        <f>IFERROR(__xludf.DUMMYFUNCTION("""COMPUTED_VALUE"""),"ACDC")</f>
        <v>ACDC</v>
      </c>
      <c r="N1431" s="26" t="str">
        <f>IFERROR(__xludf.DUMMYFUNCTION("ARRAYFORMULA(REGEXEXTRACT(SPLIT(E1431, ""&lt;br&gt;""), ""([가-힣A-Za-z]+)""))"),"신형만")</f>
        <v>신형만</v>
      </c>
      <c r="O1431" s="26" t="str">
        <f>IFERROR(__xludf.DUMMYFUNCTION("""COMPUTED_VALUE"""),"요즘")</f>
        <v>요즘</v>
      </c>
      <c r="P1431" s="26" t="str">
        <f>IFERROR(__xludf.DUMMYFUNCTION("""COMPUTED_VALUE"""),"미등록")</f>
        <v>미등록</v>
      </c>
      <c r="Q1431" s="26" t="str">
        <f>IFERROR(__xludf.DUMMYFUNCTION("""COMPUTED_VALUE"""),"노인")</f>
        <v>노인</v>
      </c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</row>
    <row r="1432">
      <c r="A1432" s="27" t="s">
        <v>5982</v>
      </c>
      <c r="B1432" s="28" t="s">
        <v>5983</v>
      </c>
      <c r="C1432" s="27" t="s">
        <v>5984</v>
      </c>
      <c r="D1432" s="27">
        <v>5.0</v>
      </c>
      <c r="E1432" s="27" t="s">
        <v>5985</v>
      </c>
      <c r="F1432" s="27">
        <v>3.0</v>
      </c>
      <c r="G1432" s="29">
        <v>45598.17569444444</v>
      </c>
      <c r="H1432" s="27" t="s">
        <v>5526</v>
      </c>
      <c r="I1432" s="18"/>
      <c r="J1432" s="25" t="str">
        <f>IFERROR(__xludf.DUMMYFUNCTION("ARRAYFORMULA(REGEXEXTRACT(SPLIT(C1432, ""&lt;br&gt;""), ""([가-힣A-Za-z]+)""))"),"테리")</f>
        <v>테리</v>
      </c>
      <c r="K1432" s="26" t="str">
        <f>IFERROR(__xludf.DUMMYFUNCTION("""COMPUTED_VALUE"""),"신형만")</f>
        <v>신형만</v>
      </c>
      <c r="L1432" s="26" t="str">
        <f>IFERROR(__xludf.DUMMYFUNCTION("""COMPUTED_VALUE"""),"튜브")</f>
        <v>튜브</v>
      </c>
      <c r="M1432" s="26" t="str">
        <f>IFERROR(__xludf.DUMMYFUNCTION("""COMPUTED_VALUE"""),"짱구")</f>
        <v>짱구</v>
      </c>
      <c r="N1432" s="26" t="str">
        <f>IFERROR(__xludf.DUMMYFUNCTION("ARRAYFORMULA(REGEXEXTRACT(SPLIT(E1432, ""&lt;br&gt;""), ""([가-힣A-Za-z]+)""))"),"깡패")</f>
        <v>깡패</v>
      </c>
      <c r="O1432" s="26" t="str">
        <f>IFERROR(__xludf.DUMMYFUNCTION("""COMPUTED_VALUE"""),"재명")</f>
        <v>재명</v>
      </c>
      <c r="P1432" s="26" t="str">
        <f>IFERROR(__xludf.DUMMYFUNCTION("""COMPUTED_VALUE"""),"미등록")</f>
        <v>미등록</v>
      </c>
      <c r="Q1432" s="26" t="str">
        <f>IFERROR(__xludf.DUMMYFUNCTION("""COMPUTED_VALUE"""),"노인")</f>
        <v>노인</v>
      </c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</row>
    <row r="1433">
      <c r="A1433" s="27" t="s">
        <v>5986</v>
      </c>
      <c r="B1433" s="28" t="s">
        <v>5987</v>
      </c>
      <c r="C1433" s="27" t="s">
        <v>5988</v>
      </c>
      <c r="D1433" s="27">
        <v>5.0</v>
      </c>
      <c r="E1433" s="27" t="s">
        <v>5989</v>
      </c>
      <c r="F1433" s="27">
        <v>1.0</v>
      </c>
      <c r="G1433" s="29">
        <v>45598.146527777775</v>
      </c>
      <c r="H1433" s="27" t="s">
        <v>5526</v>
      </c>
      <c r="I1433" s="18"/>
      <c r="J1433" s="25" t="str">
        <f>IFERROR(__xludf.DUMMYFUNCTION("ARRAYFORMULA(REGEXEXTRACT(SPLIT(C1433, ""&lt;br&gt;""), ""([가-힣A-Za-z]+)""))"),"테리")</f>
        <v>테리</v>
      </c>
      <c r="K1433" s="26" t="str">
        <f>IFERROR(__xludf.DUMMYFUNCTION("""COMPUTED_VALUE"""),"짱구")</f>
        <v>짱구</v>
      </c>
      <c r="L1433" s="26" t="str">
        <f>IFERROR(__xludf.DUMMYFUNCTION("""COMPUTED_VALUE"""),"노인")</f>
        <v>노인</v>
      </c>
      <c r="M1433" s="26" t="str">
        <f>IFERROR(__xludf.DUMMYFUNCTION("""COMPUTED_VALUE"""),"깡패")</f>
        <v>깡패</v>
      </c>
      <c r="N1433" s="26" t="str">
        <f>IFERROR(__xludf.DUMMYFUNCTION("ARRAYFORMULA(REGEXEXTRACT(SPLIT(E1433, ""&lt;br&gt;""), ""([가-힣A-Za-z]+)""))"),"튜브")</f>
        <v>튜브</v>
      </c>
      <c r="O1433" s="26" t="str">
        <f>IFERROR(__xludf.DUMMYFUNCTION("""COMPUTED_VALUE"""),"신형만")</f>
        <v>신형만</v>
      </c>
      <c r="P1433" s="26" t="str">
        <f>IFERROR(__xludf.DUMMYFUNCTION("""COMPUTED_VALUE"""),"Leaf")</f>
        <v>Leaf</v>
      </c>
      <c r="Q1433" s="26" t="str">
        <f>IFERROR(__xludf.DUMMYFUNCTION("""COMPUTED_VALUE"""),"재명")</f>
        <v>재명</v>
      </c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</row>
    <row r="1434">
      <c r="A1434" s="27" t="s">
        <v>5990</v>
      </c>
      <c r="B1434" s="28" t="s">
        <v>5991</v>
      </c>
      <c r="C1434" s="27" t="s">
        <v>5992</v>
      </c>
      <c r="D1434" s="27">
        <v>5.0</v>
      </c>
      <c r="E1434" s="27" t="s">
        <v>5993</v>
      </c>
      <c r="F1434" s="27">
        <v>3.0</v>
      </c>
      <c r="G1434" s="29">
        <v>45598.138194444444</v>
      </c>
      <c r="H1434" s="27" t="s">
        <v>5526</v>
      </c>
      <c r="I1434" s="18"/>
      <c r="J1434" s="25" t="str">
        <f>IFERROR(__xludf.DUMMYFUNCTION("ARRAYFORMULA(REGEXEXTRACT(SPLIT(C1434, ""&lt;br&gt;""), ""([가-힣A-Za-z]+)""))"),"짱구")</f>
        <v>짱구</v>
      </c>
      <c r="K1434" s="26" t="str">
        <f>IFERROR(__xludf.DUMMYFUNCTION("""COMPUTED_VALUE"""),"재명")</f>
        <v>재명</v>
      </c>
      <c r="L1434" s="26" t="str">
        <f>IFERROR(__xludf.DUMMYFUNCTION("""COMPUTED_VALUE"""),"노인")</f>
        <v>노인</v>
      </c>
      <c r="M1434" s="26" t="str">
        <f>IFERROR(__xludf.DUMMYFUNCTION("""COMPUTED_VALUE"""),"신형만")</f>
        <v>신형만</v>
      </c>
      <c r="N1434" s="26" t="str">
        <f>IFERROR(__xludf.DUMMYFUNCTION("ARRAYFORMULA(REGEXEXTRACT(SPLIT(E1434, ""&lt;br&gt;""), ""([가-힣A-Za-z]+)""))"),"깡패")</f>
        <v>깡패</v>
      </c>
      <c r="O1434" s="26" t="str">
        <f>IFERROR(__xludf.DUMMYFUNCTION("""COMPUTED_VALUE"""),"튜브")</f>
        <v>튜브</v>
      </c>
      <c r="P1434" s="26" t="str">
        <f>IFERROR(__xludf.DUMMYFUNCTION("""COMPUTED_VALUE"""),"테리")</f>
        <v>테리</v>
      </c>
      <c r="Q1434" s="26" t="str">
        <f>IFERROR(__xludf.DUMMYFUNCTION("""COMPUTED_VALUE"""),"Leaf")</f>
        <v>Leaf</v>
      </c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</row>
    <row r="1435">
      <c r="A1435" s="27" t="s">
        <v>5994</v>
      </c>
      <c r="B1435" s="28" t="s">
        <v>5995</v>
      </c>
      <c r="C1435" s="27" t="s">
        <v>5996</v>
      </c>
      <c r="D1435" s="27">
        <v>5.0</v>
      </c>
      <c r="E1435" s="27" t="s">
        <v>5997</v>
      </c>
      <c r="F1435" s="27">
        <v>2.0</v>
      </c>
      <c r="G1435" s="29">
        <v>45598.118055555555</v>
      </c>
      <c r="H1435" s="27" t="s">
        <v>5526</v>
      </c>
      <c r="I1435" s="18"/>
      <c r="J1435" s="25" t="str">
        <f>IFERROR(__xludf.DUMMYFUNCTION("ARRAYFORMULA(REGEXEXTRACT(SPLIT(C1435, ""&lt;br&gt;""), ""([가-힣A-Za-z]+)""))"),"미등록")</f>
        <v>미등록</v>
      </c>
      <c r="K1435" s="26" t="str">
        <f>IFERROR(__xludf.DUMMYFUNCTION("""COMPUTED_VALUE"""),"테리")</f>
        <v>테리</v>
      </c>
      <c r="L1435" s="26" t="str">
        <f>IFERROR(__xludf.DUMMYFUNCTION("""COMPUTED_VALUE"""),"Leaf")</f>
        <v>Leaf</v>
      </c>
      <c r="M1435" s="26" t="str">
        <f>IFERROR(__xludf.DUMMYFUNCTION("""COMPUTED_VALUE"""),"신형만")</f>
        <v>신형만</v>
      </c>
      <c r="N1435" s="26" t="str">
        <f>IFERROR(__xludf.DUMMYFUNCTION("ARRAYFORMULA(REGEXEXTRACT(SPLIT(E1435, ""&lt;br&gt;""), ""([가-힣A-Za-z]+)""))"),"튜브")</f>
        <v>튜브</v>
      </c>
      <c r="O1435" s="26" t="str">
        <f>IFERROR(__xludf.DUMMYFUNCTION("""COMPUTED_VALUE"""),"짱구")</f>
        <v>짱구</v>
      </c>
      <c r="P1435" s="26" t="str">
        <f>IFERROR(__xludf.DUMMYFUNCTION("""COMPUTED_VALUE"""),"재명")</f>
        <v>재명</v>
      </c>
      <c r="Q1435" s="26" t="str">
        <f>IFERROR(__xludf.DUMMYFUNCTION("""COMPUTED_VALUE"""),"깡패")</f>
        <v>깡패</v>
      </c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</row>
    <row r="1436">
      <c r="A1436" s="27" t="s">
        <v>5998</v>
      </c>
      <c r="B1436" s="28" t="s">
        <v>5999</v>
      </c>
      <c r="C1436" s="27" t="s">
        <v>6000</v>
      </c>
      <c r="D1436" s="27">
        <v>5.0</v>
      </c>
      <c r="E1436" s="27" t="s">
        <v>6001</v>
      </c>
      <c r="F1436" s="27">
        <v>3.0</v>
      </c>
      <c r="G1436" s="29">
        <v>45598.09722222222</v>
      </c>
      <c r="H1436" s="27" t="s">
        <v>5526</v>
      </c>
      <c r="I1436" s="18"/>
      <c r="J1436" s="25" t="str">
        <f>IFERROR(__xludf.DUMMYFUNCTION("ARRAYFORMULA(REGEXEXTRACT(SPLIT(C1436, ""&lt;br&gt;""), ""([가-힣A-Za-z]+)""))"),"깡패")</f>
        <v>깡패</v>
      </c>
      <c r="K1436" s="26" t="str">
        <f>IFERROR(__xludf.DUMMYFUNCTION("""COMPUTED_VALUE"""),"짱구")</f>
        <v>짱구</v>
      </c>
      <c r="L1436" s="26" t="str">
        <f>IFERROR(__xludf.DUMMYFUNCTION("""COMPUTED_VALUE"""),"재명")</f>
        <v>재명</v>
      </c>
      <c r="M1436" s="26" t="str">
        <f>IFERROR(__xludf.DUMMYFUNCTION("""COMPUTED_VALUE"""),"미등록")</f>
        <v>미등록</v>
      </c>
      <c r="N1436" s="26" t="str">
        <f>IFERROR(__xludf.DUMMYFUNCTION("ARRAYFORMULA(REGEXEXTRACT(SPLIT(E1436, ""&lt;br&gt;""), ""([가-힣A-Za-z]+)""))"),"테리")</f>
        <v>테리</v>
      </c>
      <c r="O1436" s="26" t="str">
        <f>IFERROR(__xludf.DUMMYFUNCTION("""COMPUTED_VALUE"""),"요즘")</f>
        <v>요즘</v>
      </c>
      <c r="P1436" s="26" t="str">
        <f>IFERROR(__xludf.DUMMYFUNCTION("""COMPUTED_VALUE"""),"신형만")</f>
        <v>신형만</v>
      </c>
      <c r="Q1436" s="26" t="str">
        <f>IFERROR(__xludf.DUMMYFUNCTION("""COMPUTED_VALUE"""),"튜브")</f>
        <v>튜브</v>
      </c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</row>
    <row r="1437">
      <c r="A1437" s="27" t="s">
        <v>6002</v>
      </c>
      <c r="B1437" s="28" t="s">
        <v>6003</v>
      </c>
      <c r="C1437" s="27" t="s">
        <v>6004</v>
      </c>
      <c r="D1437" s="27">
        <v>5.0</v>
      </c>
      <c r="E1437" s="27" t="s">
        <v>6005</v>
      </c>
      <c r="F1437" s="27">
        <v>4.0</v>
      </c>
      <c r="G1437" s="29">
        <v>45598.05972222222</v>
      </c>
      <c r="H1437" s="27" t="s">
        <v>5526</v>
      </c>
      <c r="I1437" s="18"/>
      <c r="J1437" s="25" t="str">
        <f>IFERROR(__xludf.DUMMYFUNCTION("ARRAYFORMULA(REGEXEXTRACT(SPLIT(C1437, ""&lt;br&gt;""), ""([가-힣A-Za-z]+)""))"),"튜브")</f>
        <v>튜브</v>
      </c>
      <c r="K1437" s="26" t="str">
        <f>IFERROR(__xludf.DUMMYFUNCTION("""COMPUTED_VALUE"""),"짱구")</f>
        <v>짱구</v>
      </c>
      <c r="L1437" s="26" t="str">
        <f>IFERROR(__xludf.DUMMYFUNCTION("""COMPUTED_VALUE"""),"요즘")</f>
        <v>요즘</v>
      </c>
      <c r="M1437" s="26" t="str">
        <f>IFERROR(__xludf.DUMMYFUNCTION("""COMPUTED_VALUE"""),"랄")</f>
        <v>랄</v>
      </c>
      <c r="N1437" s="26" t="str">
        <f>IFERROR(__xludf.DUMMYFUNCTION("ARRAYFORMULA(REGEXEXTRACT(SPLIT(E1437, ""&lt;br&gt;""), ""([가-힣A-Za-z]+)""))"),"ACDC")</f>
        <v>ACDC</v>
      </c>
      <c r="O1437" s="26" t="str">
        <f>IFERROR(__xludf.DUMMYFUNCTION("""COMPUTED_VALUE"""),"재명")</f>
        <v>재명</v>
      </c>
      <c r="P1437" s="26" t="str">
        <f>IFERROR(__xludf.DUMMYFUNCTION("""COMPUTED_VALUE"""),"신형만")</f>
        <v>신형만</v>
      </c>
      <c r="Q1437" s="26" t="str">
        <f>IFERROR(__xludf.DUMMYFUNCTION("""COMPUTED_VALUE"""),"깡패")</f>
        <v>깡패</v>
      </c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</row>
    <row r="1438">
      <c r="A1438" s="27" t="s">
        <v>6006</v>
      </c>
      <c r="B1438" s="28" t="s">
        <v>6007</v>
      </c>
      <c r="C1438" s="27" t="s">
        <v>6008</v>
      </c>
      <c r="D1438" s="27">
        <v>5.0</v>
      </c>
      <c r="E1438" s="27" t="s">
        <v>6009</v>
      </c>
      <c r="F1438" s="27">
        <v>1.0</v>
      </c>
      <c r="G1438" s="29">
        <v>45598.02638888889</v>
      </c>
      <c r="H1438" s="27" t="s">
        <v>5526</v>
      </c>
      <c r="I1438" s="18"/>
      <c r="J1438" s="25" t="str">
        <f>IFERROR(__xludf.DUMMYFUNCTION("ARRAYFORMULA(REGEXEXTRACT(SPLIT(C1438, ""&lt;br&gt;""), ""([가-힣A-Za-z]+)""))"),"튜브")</f>
        <v>튜브</v>
      </c>
      <c r="K1438" s="26" t="str">
        <f>IFERROR(__xludf.DUMMYFUNCTION("""COMPUTED_VALUE"""),"깡패")</f>
        <v>깡패</v>
      </c>
      <c r="L1438" s="26" t="str">
        <f>IFERROR(__xludf.DUMMYFUNCTION("""COMPUTED_VALUE"""),"짱구")</f>
        <v>짱구</v>
      </c>
      <c r="M1438" s="26" t="str">
        <f>IFERROR(__xludf.DUMMYFUNCTION("""COMPUTED_VALUE"""),"신형만")</f>
        <v>신형만</v>
      </c>
      <c r="N1438" s="26" t="str">
        <f>IFERROR(__xludf.DUMMYFUNCTION("ARRAYFORMULA(REGEXEXTRACT(SPLIT(E1438, ""&lt;br&gt;""), ""([가-힣A-Za-z]+)""))"),"랄")</f>
        <v>랄</v>
      </c>
      <c r="O1438" s="26" t="str">
        <f>IFERROR(__xludf.DUMMYFUNCTION("""COMPUTED_VALUE"""),"요즘")</f>
        <v>요즘</v>
      </c>
      <c r="P1438" s="26" t="str">
        <f>IFERROR(__xludf.DUMMYFUNCTION("""COMPUTED_VALUE"""),"재명")</f>
        <v>재명</v>
      </c>
      <c r="Q1438" s="26" t="str">
        <f>IFERROR(__xludf.DUMMYFUNCTION("""COMPUTED_VALUE"""),"ACDC")</f>
        <v>ACDC</v>
      </c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</row>
    <row r="1439">
      <c r="A1439" s="27" t="s">
        <v>6010</v>
      </c>
      <c r="B1439" s="28" t="s">
        <v>6011</v>
      </c>
      <c r="C1439" s="27" t="s">
        <v>6012</v>
      </c>
      <c r="D1439" s="27">
        <v>5.0</v>
      </c>
      <c r="E1439" s="27" t="s">
        <v>6013</v>
      </c>
      <c r="F1439" s="27">
        <v>1.0</v>
      </c>
      <c r="G1439" s="29">
        <v>45598.010416666664</v>
      </c>
      <c r="H1439" s="27" t="s">
        <v>5526</v>
      </c>
      <c r="I1439" s="18"/>
      <c r="J1439" s="25" t="str">
        <f>IFERROR(__xludf.DUMMYFUNCTION("ARRAYFORMULA(REGEXEXTRACT(SPLIT(C1439, ""&lt;br&gt;""), ""([가-힣A-Za-z]+)""))"),"랄")</f>
        <v>랄</v>
      </c>
      <c r="K1439" s="26" t="str">
        <f>IFERROR(__xludf.DUMMYFUNCTION("""COMPUTED_VALUE"""),"재명")</f>
        <v>재명</v>
      </c>
      <c r="L1439" s="26" t="str">
        <f>IFERROR(__xludf.DUMMYFUNCTION("""COMPUTED_VALUE"""),"신형만")</f>
        <v>신형만</v>
      </c>
      <c r="M1439" s="26" t="str">
        <f>IFERROR(__xludf.DUMMYFUNCTION("""COMPUTED_VALUE"""),"깡패")</f>
        <v>깡패</v>
      </c>
      <c r="N1439" s="26" t="str">
        <f>IFERROR(__xludf.DUMMYFUNCTION("ARRAYFORMULA(REGEXEXTRACT(SPLIT(E1439, ""&lt;br&gt;""), ""([가-힣A-Za-z]+)""))"),"튜브")</f>
        <v>튜브</v>
      </c>
      <c r="O1439" s="26" t="str">
        <f>IFERROR(__xludf.DUMMYFUNCTION("""COMPUTED_VALUE"""),"ACDC")</f>
        <v>ACDC</v>
      </c>
      <c r="P1439" s="26" t="str">
        <f>IFERROR(__xludf.DUMMYFUNCTION("""COMPUTED_VALUE"""),"요즘")</f>
        <v>요즘</v>
      </c>
      <c r="Q1439" s="26" t="str">
        <f>IFERROR(__xludf.DUMMYFUNCTION("""COMPUTED_VALUE"""),"짱구")</f>
        <v>짱구</v>
      </c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</row>
    <row r="1440">
      <c r="A1440" s="27" t="s">
        <v>6014</v>
      </c>
      <c r="B1440" s="28" t="s">
        <v>6015</v>
      </c>
      <c r="C1440" s="27" t="s">
        <v>6016</v>
      </c>
      <c r="D1440" s="27">
        <v>5.0</v>
      </c>
      <c r="E1440" s="27" t="s">
        <v>6017</v>
      </c>
      <c r="F1440" s="27">
        <v>3.0</v>
      </c>
      <c r="G1440" s="29">
        <v>45597.99513888889</v>
      </c>
      <c r="H1440" s="27" t="s">
        <v>5526</v>
      </c>
      <c r="I1440" s="18"/>
      <c r="J1440" s="25" t="str">
        <f>IFERROR(__xludf.DUMMYFUNCTION("ARRAYFORMULA(REGEXEXTRACT(SPLIT(C1440, ""&lt;br&gt;""), ""([가-힣A-Za-z]+)""))"),"오크")</f>
        <v>오크</v>
      </c>
      <c r="K1440" s="26" t="str">
        <f>IFERROR(__xludf.DUMMYFUNCTION("""COMPUTED_VALUE"""),"랄")</f>
        <v>랄</v>
      </c>
      <c r="L1440" s="26" t="str">
        <f>IFERROR(__xludf.DUMMYFUNCTION("""COMPUTED_VALUE"""),"미르진")</f>
        <v>미르진</v>
      </c>
      <c r="M1440" s="26" t="str">
        <f>IFERROR(__xludf.DUMMYFUNCTION("""COMPUTED_VALUE"""),"깡패")</f>
        <v>깡패</v>
      </c>
      <c r="N1440" s="26" t="str">
        <f>IFERROR(__xludf.DUMMYFUNCTION("ARRAYFORMULA(REGEXEXTRACT(SPLIT(E1440, ""&lt;br&gt;""), ""([가-힣A-Za-z]+)""))"),"ACDC")</f>
        <v>ACDC</v>
      </c>
      <c r="O1440" s="26" t="str">
        <f>IFERROR(__xludf.DUMMYFUNCTION("""COMPUTED_VALUE"""),"신형만")</f>
        <v>신형만</v>
      </c>
      <c r="P1440" s="26" t="str">
        <f>IFERROR(__xludf.DUMMYFUNCTION("""COMPUTED_VALUE"""),"튜브")</f>
        <v>튜브</v>
      </c>
      <c r="Q1440" s="26" t="str">
        <f>IFERROR(__xludf.DUMMYFUNCTION("""COMPUTED_VALUE"""),"재명")</f>
        <v>재명</v>
      </c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</row>
    <row r="1441">
      <c r="A1441" s="27" t="s">
        <v>6018</v>
      </c>
      <c r="B1441" s="28" t="s">
        <v>6019</v>
      </c>
      <c r="C1441" s="27" t="s">
        <v>6020</v>
      </c>
      <c r="D1441" s="27">
        <v>5.0</v>
      </c>
      <c r="E1441" s="27" t="s">
        <v>6021</v>
      </c>
      <c r="F1441" s="27">
        <v>3.0</v>
      </c>
      <c r="G1441" s="29">
        <v>45597.96666666667</v>
      </c>
      <c r="H1441" s="27" t="s">
        <v>5526</v>
      </c>
      <c r="I1441" s="18"/>
      <c r="J1441" s="25" t="str">
        <f>IFERROR(__xludf.DUMMYFUNCTION("ARRAYFORMULA(REGEXEXTRACT(SPLIT(C1441, ""&lt;br&gt;""), ""([가-힣A-Za-z]+)""))"),"튜브")</f>
        <v>튜브</v>
      </c>
      <c r="K1441" s="26" t="str">
        <f>IFERROR(__xludf.DUMMYFUNCTION("""COMPUTED_VALUE"""),"요즘")</f>
        <v>요즘</v>
      </c>
      <c r="L1441" s="26" t="str">
        <f>IFERROR(__xludf.DUMMYFUNCTION("""COMPUTED_VALUE"""),"노인")</f>
        <v>노인</v>
      </c>
      <c r="M1441" s="26" t="str">
        <f>IFERROR(__xludf.DUMMYFUNCTION("""COMPUTED_VALUE"""),"오크")</f>
        <v>오크</v>
      </c>
      <c r="N1441" s="26" t="str">
        <f>IFERROR(__xludf.DUMMYFUNCTION("ARRAYFORMULA(REGEXEXTRACT(SPLIT(E1441, ""&lt;br&gt;""), ""([가-힣A-Za-z]+)""))"),"미르진")</f>
        <v>미르진</v>
      </c>
      <c r="O1441" s="26" t="str">
        <f>IFERROR(__xludf.DUMMYFUNCTION("""COMPUTED_VALUE"""),"ACDC")</f>
        <v>ACDC</v>
      </c>
      <c r="P1441" s="26" t="str">
        <f>IFERROR(__xludf.DUMMYFUNCTION("""COMPUTED_VALUE"""),"신형만")</f>
        <v>신형만</v>
      </c>
      <c r="Q1441" s="26" t="str">
        <f>IFERROR(__xludf.DUMMYFUNCTION("""COMPUTED_VALUE"""),"깡패")</f>
        <v>깡패</v>
      </c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</row>
    <row r="1442">
      <c r="A1442" s="27" t="s">
        <v>6022</v>
      </c>
      <c r="B1442" s="28" t="s">
        <v>6023</v>
      </c>
      <c r="C1442" s="27" t="s">
        <v>5809</v>
      </c>
      <c r="D1442" s="27">
        <v>5.0</v>
      </c>
      <c r="E1442" s="27" t="s">
        <v>5809</v>
      </c>
      <c r="F1442" s="27">
        <v>4.0</v>
      </c>
      <c r="G1442" s="29">
        <v>45597.455555555556</v>
      </c>
      <c r="H1442" s="27" t="s">
        <v>5526</v>
      </c>
      <c r="I1442" s="18"/>
      <c r="J1442" s="25" t="str">
        <f>IFERROR(__xludf.DUMMYFUNCTION("ARRAYFORMULA(REGEXEXTRACT(SPLIT(C1442, ""&lt;br&gt;""), ""([가-힣A-Za-z]+)""))"),"미등록")</f>
        <v>미등록</v>
      </c>
      <c r="K1442" s="26" t="str">
        <f>IFERROR(__xludf.DUMMYFUNCTION("""COMPUTED_VALUE"""),"미등록")</f>
        <v>미등록</v>
      </c>
      <c r="L1442" s="26" t="str">
        <f>IFERROR(__xludf.DUMMYFUNCTION("""COMPUTED_VALUE"""),"미등록")</f>
        <v>미등록</v>
      </c>
      <c r="M1442" s="26" t="str">
        <f>IFERROR(__xludf.DUMMYFUNCTION("""COMPUTED_VALUE"""),"미등록")</f>
        <v>미등록</v>
      </c>
      <c r="N1442" s="26" t="str">
        <f>IFERROR(__xludf.DUMMYFUNCTION("ARRAYFORMULA(REGEXEXTRACT(SPLIT(E1442, ""&lt;br&gt;""), ""([가-힣A-Za-z]+)""))"),"미등록")</f>
        <v>미등록</v>
      </c>
      <c r="O1442" s="26" t="str">
        <f>IFERROR(__xludf.DUMMYFUNCTION("""COMPUTED_VALUE"""),"미등록")</f>
        <v>미등록</v>
      </c>
      <c r="P1442" s="26" t="str">
        <f>IFERROR(__xludf.DUMMYFUNCTION("""COMPUTED_VALUE"""),"미등록")</f>
        <v>미등록</v>
      </c>
      <c r="Q1442" s="26" t="str">
        <f>IFERROR(__xludf.DUMMYFUNCTION("""COMPUTED_VALUE"""),"미등록")</f>
        <v>미등록</v>
      </c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</row>
    <row r="1443">
      <c r="A1443" s="27" t="s">
        <v>6024</v>
      </c>
      <c r="B1443" s="28" t="s">
        <v>6025</v>
      </c>
      <c r="C1443" s="27" t="s">
        <v>6026</v>
      </c>
      <c r="D1443" s="27">
        <v>5.0</v>
      </c>
      <c r="E1443" s="27" t="s">
        <v>6027</v>
      </c>
      <c r="F1443" s="27">
        <v>3.0</v>
      </c>
      <c r="G1443" s="29">
        <v>45597.07847222222</v>
      </c>
      <c r="H1443" s="27" t="s">
        <v>5526</v>
      </c>
      <c r="I1443" s="18"/>
      <c r="J1443" s="25" t="str">
        <f>IFERROR(__xludf.DUMMYFUNCTION("ARRAYFORMULA(REGEXEXTRACT(SPLIT(C1443, ""&lt;br&gt;""), ""([가-힣A-Za-z]+)""))"),"ACDC")</f>
        <v>ACDC</v>
      </c>
      <c r="K1443" s="26" t="str">
        <f>IFERROR(__xludf.DUMMYFUNCTION("""COMPUTED_VALUE"""),"테리")</f>
        <v>테리</v>
      </c>
      <c r="L1443" s="26" t="str">
        <f>IFERROR(__xludf.DUMMYFUNCTION("""COMPUTED_VALUE"""),"짱구")</f>
        <v>짱구</v>
      </c>
      <c r="M1443" s="26" t="str">
        <f>IFERROR(__xludf.DUMMYFUNCTION("""COMPUTED_VALUE"""),"신형만")</f>
        <v>신형만</v>
      </c>
      <c r="N1443" s="26" t="str">
        <f>IFERROR(__xludf.DUMMYFUNCTION("ARRAYFORMULA(REGEXEXTRACT(SPLIT(E1443, ""&lt;br&gt;""), ""([가-힣A-Za-z]+)""))"),"요즘")</f>
        <v>요즘</v>
      </c>
      <c r="O1443" s="26" t="str">
        <f>IFERROR(__xludf.DUMMYFUNCTION("""COMPUTED_VALUE"""),"깡패")</f>
        <v>깡패</v>
      </c>
      <c r="P1443" s="26" t="str">
        <f>IFERROR(__xludf.DUMMYFUNCTION("""COMPUTED_VALUE"""),"재우")</f>
        <v>재우</v>
      </c>
      <c r="Q1443" s="26" t="str">
        <f>IFERROR(__xludf.DUMMYFUNCTION("""COMPUTED_VALUE"""),"노인")</f>
        <v>노인</v>
      </c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</row>
    <row r="1444">
      <c r="A1444" s="27" t="s">
        <v>6028</v>
      </c>
      <c r="B1444" s="28" t="s">
        <v>6029</v>
      </c>
      <c r="C1444" s="27" t="s">
        <v>6030</v>
      </c>
      <c r="D1444" s="27">
        <v>5.0</v>
      </c>
      <c r="E1444" s="27" t="s">
        <v>6031</v>
      </c>
      <c r="F1444" s="27">
        <v>4.0</v>
      </c>
      <c r="G1444" s="29">
        <v>45597.058333333334</v>
      </c>
      <c r="H1444" s="27" t="s">
        <v>5526</v>
      </c>
      <c r="I1444" s="18"/>
      <c r="J1444" s="25" t="str">
        <f>IFERROR(__xludf.DUMMYFUNCTION("ARRAYFORMULA(REGEXEXTRACT(SPLIT(C1444, ""&lt;br&gt;""), ""([가-힣A-Za-z]+)""))"),"짱구")</f>
        <v>짱구</v>
      </c>
      <c r="K1444" s="26" t="str">
        <f>IFERROR(__xludf.DUMMYFUNCTION("""COMPUTED_VALUE"""),"미등록")</f>
        <v>미등록</v>
      </c>
      <c r="L1444" s="26" t="str">
        <f>IFERROR(__xludf.DUMMYFUNCTION("""COMPUTED_VALUE"""),"신형만")</f>
        <v>신형만</v>
      </c>
      <c r="M1444" s="26" t="str">
        <f>IFERROR(__xludf.DUMMYFUNCTION("""COMPUTED_VALUE"""),"재우")</f>
        <v>재우</v>
      </c>
      <c r="N1444" s="26" t="str">
        <f>IFERROR(__xludf.DUMMYFUNCTION("ARRAYFORMULA(REGEXEXTRACT(SPLIT(E1444, ""&lt;br&gt;""), ""([가-힣A-Za-z]+)""))"),"노인")</f>
        <v>노인</v>
      </c>
      <c r="O1444" s="26" t="str">
        <f>IFERROR(__xludf.DUMMYFUNCTION("""COMPUTED_VALUE"""),"원")</f>
        <v>원</v>
      </c>
      <c r="P1444" s="26" t="str">
        <f>IFERROR(__xludf.DUMMYFUNCTION("""COMPUTED_VALUE"""),"요즘")</f>
        <v>요즘</v>
      </c>
      <c r="Q1444" s="26" t="str">
        <f>IFERROR(__xludf.DUMMYFUNCTION("""COMPUTED_VALUE"""),"깡패")</f>
        <v>깡패</v>
      </c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</row>
    <row r="1445">
      <c r="A1445" s="27" t="s">
        <v>6032</v>
      </c>
      <c r="B1445" s="28" t="s">
        <v>6033</v>
      </c>
      <c r="C1445" s="27" t="s">
        <v>6034</v>
      </c>
      <c r="D1445" s="27">
        <v>5.0</v>
      </c>
      <c r="E1445" s="27" t="s">
        <v>6035</v>
      </c>
      <c r="F1445" s="27">
        <v>4.0</v>
      </c>
      <c r="G1445" s="29">
        <v>45597.03055555555</v>
      </c>
      <c r="H1445" s="27" t="s">
        <v>5526</v>
      </c>
      <c r="I1445" s="18"/>
      <c r="J1445" s="25" t="str">
        <f>IFERROR(__xludf.DUMMYFUNCTION("ARRAYFORMULA(REGEXEXTRACT(SPLIT(C1445, ""&lt;br&gt;""), ""([가-힣A-Za-z]+)""))"),"신형만")</f>
        <v>신형만</v>
      </c>
      <c r="K1445" s="26" t="str">
        <f>IFERROR(__xludf.DUMMYFUNCTION("""COMPUTED_VALUE"""),"원")</f>
        <v>원</v>
      </c>
      <c r="L1445" s="26" t="str">
        <f>IFERROR(__xludf.DUMMYFUNCTION("""COMPUTED_VALUE"""),"짱구")</f>
        <v>짱구</v>
      </c>
      <c r="M1445" s="26" t="str">
        <f>IFERROR(__xludf.DUMMYFUNCTION("""COMPUTED_VALUE"""),"미등록")</f>
        <v>미등록</v>
      </c>
      <c r="N1445" s="26" t="str">
        <f>IFERROR(__xludf.DUMMYFUNCTION("ARRAYFORMULA(REGEXEXTRACT(SPLIT(E1445, ""&lt;br&gt;""), ""([가-힣A-Za-z]+)""))"),"깡패")</f>
        <v>깡패</v>
      </c>
      <c r="O1445" s="26" t="str">
        <f>IFERROR(__xludf.DUMMYFUNCTION("""COMPUTED_VALUE"""),"재우")</f>
        <v>재우</v>
      </c>
      <c r="P1445" s="26" t="str">
        <f>IFERROR(__xludf.DUMMYFUNCTION("""COMPUTED_VALUE"""),"요즘")</f>
        <v>요즘</v>
      </c>
      <c r="Q1445" s="26" t="str">
        <f>IFERROR(__xludf.DUMMYFUNCTION("""COMPUTED_VALUE"""),"미등록")</f>
        <v>미등록</v>
      </c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</row>
    <row r="1446">
      <c r="A1446" s="27" t="s">
        <v>6036</v>
      </c>
      <c r="B1446" s="28" t="s">
        <v>6037</v>
      </c>
      <c r="C1446" s="27" t="s">
        <v>6038</v>
      </c>
      <c r="D1446" s="27">
        <v>5.0</v>
      </c>
      <c r="E1446" s="27" t="s">
        <v>6039</v>
      </c>
      <c r="F1446" s="27">
        <v>2.0</v>
      </c>
      <c r="G1446" s="29">
        <v>45597.00833333333</v>
      </c>
      <c r="H1446" s="27" t="s">
        <v>5526</v>
      </c>
      <c r="I1446" s="18"/>
      <c r="J1446" s="25" t="str">
        <f>IFERROR(__xludf.DUMMYFUNCTION("ARRAYFORMULA(REGEXEXTRACT(SPLIT(C1446, ""&lt;br&gt;""), ""([가-힣A-Za-z]+)""))"),"깡패")</f>
        <v>깡패</v>
      </c>
      <c r="K1446" s="26" t="str">
        <f>IFERROR(__xludf.DUMMYFUNCTION("""COMPUTED_VALUE"""),"신형만")</f>
        <v>신형만</v>
      </c>
      <c r="L1446" s="26" t="str">
        <f>IFERROR(__xludf.DUMMYFUNCTION("""COMPUTED_VALUE"""),"한메")</f>
        <v>한메</v>
      </c>
      <c r="M1446" s="26" t="str">
        <f>IFERROR(__xludf.DUMMYFUNCTION("""COMPUTED_VALUE"""),"미등록")</f>
        <v>미등록</v>
      </c>
      <c r="N1446" s="26" t="str">
        <f>IFERROR(__xludf.DUMMYFUNCTION("ARRAYFORMULA(REGEXEXTRACT(SPLIT(E1446, ""&lt;br&gt;""), ""([가-힣A-Za-z]+)""))"),"오크")</f>
        <v>오크</v>
      </c>
      <c r="O1446" s="26" t="str">
        <f>IFERROR(__xludf.DUMMYFUNCTION("""COMPUTED_VALUE"""),"짱구")</f>
        <v>짱구</v>
      </c>
      <c r="P1446" s="26" t="str">
        <f>IFERROR(__xludf.DUMMYFUNCTION("""COMPUTED_VALUE"""),"재우")</f>
        <v>재우</v>
      </c>
      <c r="Q1446" s="26" t="str">
        <f>IFERROR(__xludf.DUMMYFUNCTION("""COMPUTED_VALUE"""),"요즘")</f>
        <v>요즘</v>
      </c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</row>
    <row r="1447">
      <c r="A1447" s="27" t="s">
        <v>6040</v>
      </c>
      <c r="B1447" s="28" t="s">
        <v>6041</v>
      </c>
      <c r="C1447" s="27" t="s">
        <v>6042</v>
      </c>
      <c r="D1447" s="27">
        <v>5.0</v>
      </c>
      <c r="E1447" s="27" t="s">
        <v>6043</v>
      </c>
      <c r="F1447" s="27">
        <v>0.0</v>
      </c>
      <c r="G1447" s="29">
        <v>45596.99097222222</v>
      </c>
      <c r="H1447" s="27" t="s">
        <v>5526</v>
      </c>
      <c r="I1447" s="18"/>
      <c r="J1447" s="25" t="str">
        <f>IFERROR(__xludf.DUMMYFUNCTION("ARRAYFORMULA(REGEXEXTRACT(SPLIT(C1447, ""&lt;br&gt;""), ""([가-힣A-Za-z]+)""))"),"신형만")</f>
        <v>신형만</v>
      </c>
      <c r="K1447" s="26" t="str">
        <f>IFERROR(__xludf.DUMMYFUNCTION("""COMPUTED_VALUE"""),"짱구")</f>
        <v>짱구</v>
      </c>
      <c r="L1447" s="26" t="str">
        <f>IFERROR(__xludf.DUMMYFUNCTION("""COMPUTED_VALUE"""),"요즘")</f>
        <v>요즘</v>
      </c>
      <c r="M1447" s="26" t="str">
        <f>IFERROR(__xludf.DUMMYFUNCTION("""COMPUTED_VALUE"""),"오크")</f>
        <v>오크</v>
      </c>
      <c r="N1447" s="26" t="str">
        <f>IFERROR(__xludf.DUMMYFUNCTION("ARRAYFORMULA(REGEXEXTRACT(SPLIT(E1447, ""&lt;br&gt;""), ""([가-힣A-Za-z]+)""))"),"깡패")</f>
        <v>깡패</v>
      </c>
      <c r="O1447" s="26" t="str">
        <f>IFERROR(__xludf.DUMMYFUNCTION("""COMPUTED_VALUE"""),"ACDC")</f>
        <v>ACDC</v>
      </c>
      <c r="P1447" s="26" t="str">
        <f>IFERROR(__xludf.DUMMYFUNCTION("""COMPUTED_VALUE"""),"미등록")</f>
        <v>미등록</v>
      </c>
      <c r="Q1447" s="26" t="str">
        <f>IFERROR(__xludf.DUMMYFUNCTION("""COMPUTED_VALUE"""),"재우")</f>
        <v>재우</v>
      </c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</row>
    <row r="1448">
      <c r="A1448" s="27" t="s">
        <v>6044</v>
      </c>
      <c r="B1448" s="28" t="s">
        <v>6045</v>
      </c>
      <c r="C1448" s="27" t="s">
        <v>6046</v>
      </c>
      <c r="D1448" s="27">
        <v>5.0</v>
      </c>
      <c r="E1448" s="27" t="s">
        <v>6047</v>
      </c>
      <c r="F1448" s="27">
        <v>3.0</v>
      </c>
      <c r="G1448" s="29">
        <v>45596.972916666666</v>
      </c>
      <c r="H1448" s="27" t="s">
        <v>5526</v>
      </c>
      <c r="I1448" s="18"/>
      <c r="J1448" s="25" t="str">
        <f>IFERROR(__xludf.DUMMYFUNCTION("ARRAYFORMULA(REGEXEXTRACT(SPLIT(C1448, ""&lt;br&gt;""), ""([가-힣A-Za-z]+)""))"),"재우")</f>
        <v>재우</v>
      </c>
      <c r="K1448" s="26" t="str">
        <f>IFERROR(__xludf.DUMMYFUNCTION("""COMPUTED_VALUE"""),"신형만")</f>
        <v>신형만</v>
      </c>
      <c r="L1448" s="26" t="str">
        <f>IFERROR(__xludf.DUMMYFUNCTION("""COMPUTED_VALUE"""),"한메")</f>
        <v>한메</v>
      </c>
      <c r="M1448" s="26" t="str">
        <f>IFERROR(__xludf.DUMMYFUNCTION("""COMPUTED_VALUE"""),"깡패")</f>
        <v>깡패</v>
      </c>
      <c r="N1448" s="26" t="str">
        <f>IFERROR(__xludf.DUMMYFUNCTION("ARRAYFORMULA(REGEXEXTRACT(SPLIT(E1448, ""&lt;br&gt;""), ""([가-힣A-Za-z]+)""))"),"오크")</f>
        <v>오크</v>
      </c>
      <c r="O1448" s="26" t="str">
        <f>IFERROR(__xludf.DUMMYFUNCTION("""COMPUTED_VALUE"""),"미등록")</f>
        <v>미등록</v>
      </c>
      <c r="P1448" s="26" t="str">
        <f>IFERROR(__xludf.DUMMYFUNCTION("""COMPUTED_VALUE"""),"ACDC")</f>
        <v>ACDC</v>
      </c>
      <c r="Q1448" s="26" t="str">
        <f>IFERROR(__xludf.DUMMYFUNCTION("""COMPUTED_VALUE"""),"짱구")</f>
        <v>짱구</v>
      </c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</row>
    <row r="1449">
      <c r="A1449" s="27" t="s">
        <v>6048</v>
      </c>
      <c r="B1449" s="28" t="s">
        <v>6049</v>
      </c>
      <c r="C1449" s="27" t="s">
        <v>6050</v>
      </c>
      <c r="D1449" s="27">
        <v>5.0</v>
      </c>
      <c r="E1449" s="27" t="s">
        <v>6051</v>
      </c>
      <c r="F1449" s="27">
        <v>3.0</v>
      </c>
      <c r="G1449" s="29">
        <v>45596.941666666666</v>
      </c>
      <c r="H1449" s="27" t="s">
        <v>5526</v>
      </c>
      <c r="I1449" s="18"/>
      <c r="J1449" s="25" t="str">
        <f>IFERROR(__xludf.DUMMYFUNCTION("ARRAYFORMULA(REGEXEXTRACT(SPLIT(C1449, ""&lt;br&gt;""), ""([가-힣A-Za-z]+)""))"),"테리")</f>
        <v>테리</v>
      </c>
      <c r="K1449" s="26" t="str">
        <f>IFERROR(__xludf.DUMMYFUNCTION("""COMPUTED_VALUE"""),"요즘")</f>
        <v>요즘</v>
      </c>
      <c r="L1449" s="26" t="str">
        <f>IFERROR(__xludf.DUMMYFUNCTION("""COMPUTED_VALUE"""),"강화")</f>
        <v>강화</v>
      </c>
      <c r="M1449" s="26" t="str">
        <f>IFERROR(__xludf.DUMMYFUNCTION("""COMPUTED_VALUE"""),"깡패")</f>
        <v>깡패</v>
      </c>
      <c r="N1449" s="26" t="str">
        <f>IFERROR(__xludf.DUMMYFUNCTION("ARRAYFORMULA(REGEXEXTRACT(SPLIT(E1449, ""&lt;br&gt;""), ""([가-힣A-Za-z]+)""))"),"ACDC")</f>
        <v>ACDC</v>
      </c>
      <c r="O1449" s="26" t="str">
        <f>IFERROR(__xludf.DUMMYFUNCTION("""COMPUTED_VALUE"""),"봉구")</f>
        <v>봉구</v>
      </c>
      <c r="P1449" s="26" t="str">
        <f>IFERROR(__xludf.DUMMYFUNCTION("""COMPUTED_VALUE"""),"신형만")</f>
        <v>신형만</v>
      </c>
      <c r="Q1449" s="26" t="str">
        <f>IFERROR(__xludf.DUMMYFUNCTION("""COMPUTED_VALUE"""),"짱구")</f>
        <v>짱구</v>
      </c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</row>
    <row r="1450">
      <c r="A1450" s="27" t="s">
        <v>6052</v>
      </c>
      <c r="B1450" s="28" t="s">
        <v>6053</v>
      </c>
      <c r="C1450" s="27" t="s">
        <v>6054</v>
      </c>
      <c r="D1450" s="27">
        <v>5.0</v>
      </c>
      <c r="E1450" s="27" t="s">
        <v>6055</v>
      </c>
      <c r="F1450" s="27">
        <v>1.0</v>
      </c>
      <c r="G1450" s="29">
        <v>45596.91458333333</v>
      </c>
      <c r="H1450" s="27" t="s">
        <v>5526</v>
      </c>
      <c r="I1450" s="18"/>
      <c r="J1450" s="25" t="str">
        <f>IFERROR(__xludf.DUMMYFUNCTION("ARRAYFORMULA(REGEXEXTRACT(SPLIT(C1450, ""&lt;br&gt;""), ""([가-힣A-Za-z]+)""))"),"깡패")</f>
        <v>깡패</v>
      </c>
      <c r="K1450" s="26" t="str">
        <f>IFERROR(__xludf.DUMMYFUNCTION("""COMPUTED_VALUE"""),"봉구")</f>
        <v>봉구</v>
      </c>
      <c r="L1450" s="26" t="str">
        <f>IFERROR(__xludf.DUMMYFUNCTION("""COMPUTED_VALUE"""),"테리")</f>
        <v>테리</v>
      </c>
      <c r="M1450" s="26" t="str">
        <f>IFERROR(__xludf.DUMMYFUNCTION("""COMPUTED_VALUE"""),"ACDC")</f>
        <v>ACDC</v>
      </c>
      <c r="N1450" s="26" t="str">
        <f>IFERROR(__xludf.DUMMYFUNCTION("ARRAYFORMULA(REGEXEXTRACT(SPLIT(E1450, ""&lt;br&gt;""), ""([가-힣A-Za-z]+)""))"),"짱구")</f>
        <v>짱구</v>
      </c>
      <c r="O1450" s="26" t="str">
        <f>IFERROR(__xludf.DUMMYFUNCTION("""COMPUTED_VALUE"""),"강화")</f>
        <v>강화</v>
      </c>
      <c r="P1450" s="26" t="str">
        <f>IFERROR(__xludf.DUMMYFUNCTION("""COMPUTED_VALUE"""),"신형만")</f>
        <v>신형만</v>
      </c>
      <c r="Q1450" s="26" t="str">
        <f>IFERROR(__xludf.DUMMYFUNCTION("""COMPUTED_VALUE"""),"요즘")</f>
        <v>요즘</v>
      </c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</row>
    <row r="1451">
      <c r="A1451" s="27" t="s">
        <v>6056</v>
      </c>
      <c r="B1451" s="28" t="s">
        <v>6057</v>
      </c>
      <c r="C1451" s="27" t="s">
        <v>6058</v>
      </c>
      <c r="D1451" s="27">
        <v>5.0</v>
      </c>
      <c r="E1451" s="27" t="s">
        <v>6059</v>
      </c>
      <c r="F1451" s="27">
        <v>4.0</v>
      </c>
      <c r="G1451" s="29">
        <v>45596.89513888889</v>
      </c>
      <c r="H1451" s="27" t="s">
        <v>5526</v>
      </c>
      <c r="I1451" s="18"/>
      <c r="J1451" s="25" t="str">
        <f>IFERROR(__xludf.DUMMYFUNCTION("ARRAYFORMULA(REGEXEXTRACT(SPLIT(C1451, ""&lt;br&gt;""), ""([가-힣A-Za-z]+)""))"),"강화")</f>
        <v>강화</v>
      </c>
      <c r="K1451" s="26" t="str">
        <f>IFERROR(__xludf.DUMMYFUNCTION("""COMPUTED_VALUE"""),"깡패")</f>
        <v>깡패</v>
      </c>
      <c r="L1451" s="26" t="str">
        <f>IFERROR(__xludf.DUMMYFUNCTION("""COMPUTED_VALUE"""),"신형만")</f>
        <v>신형만</v>
      </c>
      <c r="M1451" s="26" t="str">
        <f>IFERROR(__xludf.DUMMYFUNCTION("""COMPUTED_VALUE"""),"봉구")</f>
        <v>봉구</v>
      </c>
      <c r="N1451" s="26" t="str">
        <f>IFERROR(__xludf.DUMMYFUNCTION("ARRAYFORMULA(REGEXEXTRACT(SPLIT(E1451, ""&lt;br&gt;""), ""([가-힣A-Za-z]+)""))"),"ACDC")</f>
        <v>ACDC</v>
      </c>
      <c r="O1451" s="26" t="str">
        <f>IFERROR(__xludf.DUMMYFUNCTION("""COMPUTED_VALUE"""),"재명")</f>
        <v>재명</v>
      </c>
      <c r="P1451" s="26" t="str">
        <f>IFERROR(__xludf.DUMMYFUNCTION("""COMPUTED_VALUE"""),"테리")</f>
        <v>테리</v>
      </c>
      <c r="Q1451" s="26" t="str">
        <f>IFERROR(__xludf.DUMMYFUNCTION("""COMPUTED_VALUE"""),"밍구")</f>
        <v>밍구</v>
      </c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</row>
    <row r="1452">
      <c r="A1452" s="27" t="s">
        <v>6060</v>
      </c>
      <c r="B1452" s="28" t="s">
        <v>6061</v>
      </c>
      <c r="C1452" s="27" t="s">
        <v>6062</v>
      </c>
      <c r="D1452" s="27">
        <v>5.0</v>
      </c>
      <c r="E1452" s="27" t="s">
        <v>6063</v>
      </c>
      <c r="F1452" s="27">
        <v>1.0</v>
      </c>
      <c r="G1452" s="29">
        <v>45596.0875</v>
      </c>
      <c r="H1452" s="27" t="s">
        <v>5526</v>
      </c>
      <c r="I1452" s="18"/>
      <c r="J1452" s="25" t="str">
        <f>IFERROR(__xludf.DUMMYFUNCTION("ARRAYFORMULA(REGEXEXTRACT(SPLIT(C1452, ""&lt;br&gt;""), ""([가-힣A-Za-z]+)""))"),"신형만")</f>
        <v>신형만</v>
      </c>
      <c r="K1452" s="26" t="str">
        <f>IFERROR(__xludf.DUMMYFUNCTION("""COMPUTED_VALUE"""),"강화")</f>
        <v>강화</v>
      </c>
      <c r="L1452" s="26" t="str">
        <f>IFERROR(__xludf.DUMMYFUNCTION("""COMPUTED_VALUE"""),"재우")</f>
        <v>재우</v>
      </c>
      <c r="M1452" s="26" t="str">
        <f>IFERROR(__xludf.DUMMYFUNCTION("""COMPUTED_VALUE"""),"깡패")</f>
        <v>깡패</v>
      </c>
      <c r="N1452" s="26" t="str">
        <f>IFERROR(__xludf.DUMMYFUNCTION("ARRAYFORMULA(REGEXEXTRACT(SPLIT(E1452, ""&lt;br&gt;""), ""([가-힣A-Za-z]+)""))"),"짱구")</f>
        <v>짱구</v>
      </c>
      <c r="O1452" s="26" t="str">
        <f>IFERROR(__xludf.DUMMYFUNCTION("""COMPUTED_VALUE"""),"한메")</f>
        <v>한메</v>
      </c>
      <c r="P1452" s="26" t="str">
        <f>IFERROR(__xludf.DUMMYFUNCTION("""COMPUTED_VALUE"""),"재명")</f>
        <v>재명</v>
      </c>
      <c r="Q1452" s="26" t="str">
        <f>IFERROR(__xludf.DUMMYFUNCTION("""COMPUTED_VALUE"""),"ACDC")</f>
        <v>ACDC</v>
      </c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</row>
    <row r="1453">
      <c r="A1453" s="27" t="s">
        <v>6064</v>
      </c>
      <c r="B1453" s="28" t="s">
        <v>6065</v>
      </c>
      <c r="C1453" s="27" t="s">
        <v>6066</v>
      </c>
      <c r="D1453" s="27">
        <v>5.0</v>
      </c>
      <c r="E1453" s="27" t="s">
        <v>6067</v>
      </c>
      <c r="F1453" s="27">
        <v>1.0</v>
      </c>
      <c r="G1453" s="29">
        <v>45596.07013888889</v>
      </c>
      <c r="H1453" s="27" t="s">
        <v>5526</v>
      </c>
      <c r="I1453" s="18"/>
      <c r="J1453" s="25" t="str">
        <f>IFERROR(__xludf.DUMMYFUNCTION("ARRAYFORMULA(REGEXEXTRACT(SPLIT(C1453, ""&lt;br&gt;""), ""([가-힣A-Za-z]+)""))"),"재우")</f>
        <v>재우</v>
      </c>
      <c r="K1453" s="26" t="str">
        <f>IFERROR(__xludf.DUMMYFUNCTION("""COMPUTED_VALUE"""),"한메")</f>
        <v>한메</v>
      </c>
      <c r="L1453" s="26" t="str">
        <f>IFERROR(__xludf.DUMMYFUNCTION("""COMPUTED_VALUE"""),"짱구")</f>
        <v>짱구</v>
      </c>
      <c r="M1453" s="26" t="str">
        <f>IFERROR(__xludf.DUMMYFUNCTION("""COMPUTED_VALUE"""),"깡패")</f>
        <v>깡패</v>
      </c>
      <c r="N1453" s="26" t="str">
        <f>IFERROR(__xludf.DUMMYFUNCTION("ARRAYFORMULA(REGEXEXTRACT(SPLIT(E1453, ""&lt;br&gt;""), ""([가-힣A-Za-z]+)""))"),"재명")</f>
        <v>재명</v>
      </c>
      <c r="O1453" s="26" t="str">
        <f>IFERROR(__xludf.DUMMYFUNCTION("""COMPUTED_VALUE"""),"신형만")</f>
        <v>신형만</v>
      </c>
      <c r="P1453" s="26" t="str">
        <f>IFERROR(__xludf.DUMMYFUNCTION("""COMPUTED_VALUE"""),"강화")</f>
        <v>강화</v>
      </c>
      <c r="Q1453" s="26" t="str">
        <f>IFERROR(__xludf.DUMMYFUNCTION("""COMPUTED_VALUE"""),"ACDC")</f>
        <v>ACDC</v>
      </c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</row>
    <row r="1454">
      <c r="A1454" s="27" t="s">
        <v>6068</v>
      </c>
      <c r="B1454" s="28" t="s">
        <v>6069</v>
      </c>
      <c r="C1454" s="27" t="s">
        <v>6070</v>
      </c>
      <c r="D1454" s="27">
        <v>5.0</v>
      </c>
      <c r="E1454" s="27" t="s">
        <v>6071</v>
      </c>
      <c r="F1454" s="27">
        <v>2.0</v>
      </c>
      <c r="G1454" s="29">
        <v>45596.05763888889</v>
      </c>
      <c r="H1454" s="27" t="s">
        <v>5526</v>
      </c>
      <c r="I1454" s="18"/>
      <c r="J1454" s="25" t="str">
        <f>IFERROR(__xludf.DUMMYFUNCTION("ARRAYFORMULA(REGEXEXTRACT(SPLIT(C1454, ""&lt;br&gt;""), ""([가-힣A-Za-z]+)""))"),"재우")</f>
        <v>재우</v>
      </c>
      <c r="K1454" s="26" t="str">
        <f>IFERROR(__xludf.DUMMYFUNCTION("""COMPUTED_VALUE"""),"짱구")</f>
        <v>짱구</v>
      </c>
      <c r="L1454" s="26" t="str">
        <f>IFERROR(__xludf.DUMMYFUNCTION("""COMPUTED_VALUE"""),"한메")</f>
        <v>한메</v>
      </c>
      <c r="M1454" s="26" t="str">
        <f>IFERROR(__xludf.DUMMYFUNCTION("""COMPUTED_VALUE"""),"깡패")</f>
        <v>깡패</v>
      </c>
      <c r="N1454" s="26" t="str">
        <f>IFERROR(__xludf.DUMMYFUNCTION("ARRAYFORMULA(REGEXEXTRACT(SPLIT(E1454, ""&lt;br&gt;""), ""([가-힣A-Za-z]+)""))"),"신형만")</f>
        <v>신형만</v>
      </c>
      <c r="O1454" s="26" t="str">
        <f>IFERROR(__xludf.DUMMYFUNCTION("""COMPUTED_VALUE"""),"강화")</f>
        <v>강화</v>
      </c>
      <c r="P1454" s="26" t="str">
        <f>IFERROR(__xludf.DUMMYFUNCTION("""COMPUTED_VALUE"""),"ACDC")</f>
        <v>ACDC</v>
      </c>
      <c r="Q1454" s="26" t="str">
        <f>IFERROR(__xludf.DUMMYFUNCTION("""COMPUTED_VALUE"""),"재명")</f>
        <v>재명</v>
      </c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</row>
    <row r="1455">
      <c r="A1455" s="27" t="s">
        <v>6072</v>
      </c>
      <c r="B1455" s="28" t="s">
        <v>6073</v>
      </c>
      <c r="C1455" s="27" t="s">
        <v>6074</v>
      </c>
      <c r="D1455" s="27">
        <v>5.0</v>
      </c>
      <c r="E1455" s="27" t="s">
        <v>6075</v>
      </c>
      <c r="F1455" s="27">
        <v>0.0</v>
      </c>
      <c r="G1455" s="29">
        <v>45596.0375</v>
      </c>
      <c r="H1455" s="27" t="s">
        <v>5526</v>
      </c>
      <c r="I1455" s="18"/>
      <c r="J1455" s="25" t="str">
        <f>IFERROR(__xludf.DUMMYFUNCTION("ARRAYFORMULA(REGEXEXTRACT(SPLIT(C1455, ""&lt;br&gt;""), ""([가-힣A-Za-z]+)""))"),"짱구")</f>
        <v>짱구</v>
      </c>
      <c r="K1455" s="26" t="str">
        <f>IFERROR(__xludf.DUMMYFUNCTION("""COMPUTED_VALUE"""),"재우")</f>
        <v>재우</v>
      </c>
      <c r="L1455" s="26" t="str">
        <f>IFERROR(__xludf.DUMMYFUNCTION("""COMPUTED_VALUE"""),"신형만")</f>
        <v>신형만</v>
      </c>
      <c r="M1455" s="26" t="str">
        <f>IFERROR(__xludf.DUMMYFUNCTION("""COMPUTED_VALUE"""),"ACDC")</f>
        <v>ACDC</v>
      </c>
      <c r="N1455" s="26" t="str">
        <f>IFERROR(__xludf.DUMMYFUNCTION("ARRAYFORMULA(REGEXEXTRACT(SPLIT(E1455, ""&lt;br&gt;""), ""([가-힣A-Za-z]+)""))"),"깡패")</f>
        <v>깡패</v>
      </c>
      <c r="O1455" s="26" t="str">
        <f>IFERROR(__xludf.DUMMYFUNCTION("""COMPUTED_VALUE"""),"강화")</f>
        <v>강화</v>
      </c>
      <c r="P1455" s="26" t="str">
        <f>IFERROR(__xludf.DUMMYFUNCTION("""COMPUTED_VALUE"""),"한메")</f>
        <v>한메</v>
      </c>
      <c r="Q1455" s="26" t="str">
        <f>IFERROR(__xludf.DUMMYFUNCTION("""COMPUTED_VALUE"""),"재명")</f>
        <v>재명</v>
      </c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</row>
    <row r="1456">
      <c r="A1456" s="27" t="s">
        <v>6076</v>
      </c>
      <c r="B1456" s="28" t="s">
        <v>6077</v>
      </c>
      <c r="C1456" s="27" t="s">
        <v>6078</v>
      </c>
      <c r="D1456" s="27">
        <v>5.0</v>
      </c>
      <c r="E1456" s="27" t="s">
        <v>6079</v>
      </c>
      <c r="F1456" s="27">
        <v>4.0</v>
      </c>
      <c r="G1456" s="29">
        <v>45596.02222222222</v>
      </c>
      <c r="H1456" s="27" t="s">
        <v>5526</v>
      </c>
      <c r="I1456" s="18"/>
      <c r="J1456" s="25" t="str">
        <f>IFERROR(__xludf.DUMMYFUNCTION("ARRAYFORMULA(REGEXEXTRACT(SPLIT(C1456, ""&lt;br&gt;""), ""([가-힣A-Za-z]+)""))"),"강화")</f>
        <v>강화</v>
      </c>
      <c r="K1456" s="26" t="str">
        <f>IFERROR(__xludf.DUMMYFUNCTION("""COMPUTED_VALUE"""),"ACDC")</f>
        <v>ACDC</v>
      </c>
      <c r="L1456" s="26" t="str">
        <f>IFERROR(__xludf.DUMMYFUNCTION("""COMPUTED_VALUE"""),"한메")</f>
        <v>한메</v>
      </c>
      <c r="M1456" s="26" t="str">
        <f>IFERROR(__xludf.DUMMYFUNCTION("""COMPUTED_VALUE"""),"짱구")</f>
        <v>짱구</v>
      </c>
      <c r="N1456" s="26" t="str">
        <f>IFERROR(__xludf.DUMMYFUNCTION("ARRAYFORMULA(REGEXEXTRACT(SPLIT(E1456, ""&lt;br&gt;""), ""([가-힣A-Za-z]+)""))"),"재명")</f>
        <v>재명</v>
      </c>
      <c r="O1456" s="26" t="str">
        <f>IFERROR(__xludf.DUMMYFUNCTION("""COMPUTED_VALUE"""),"깡패")</f>
        <v>깡패</v>
      </c>
      <c r="P1456" s="26" t="str">
        <f>IFERROR(__xludf.DUMMYFUNCTION("""COMPUTED_VALUE"""),"재우")</f>
        <v>재우</v>
      </c>
      <c r="Q1456" s="26" t="str">
        <f>IFERROR(__xludf.DUMMYFUNCTION("""COMPUTED_VALUE"""),"신형만")</f>
        <v>신형만</v>
      </c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</row>
    <row r="1457">
      <c r="A1457" s="27" t="s">
        <v>6080</v>
      </c>
      <c r="B1457" s="28" t="s">
        <v>6081</v>
      </c>
      <c r="C1457" s="27" t="s">
        <v>6082</v>
      </c>
      <c r="D1457" s="27">
        <v>5.0</v>
      </c>
      <c r="E1457" s="27" t="s">
        <v>6083</v>
      </c>
      <c r="F1457" s="27">
        <v>2.0</v>
      </c>
      <c r="G1457" s="29">
        <v>45595.995833333334</v>
      </c>
      <c r="H1457" s="27" t="s">
        <v>5526</v>
      </c>
      <c r="I1457" s="18"/>
      <c r="J1457" s="25" t="str">
        <f>IFERROR(__xludf.DUMMYFUNCTION("ARRAYFORMULA(REGEXEXTRACT(SPLIT(C1457, ""&lt;br&gt;""), ""([가-힣A-Za-z]+)""))"),"재명")</f>
        <v>재명</v>
      </c>
      <c r="K1457" s="26" t="str">
        <f>IFERROR(__xludf.DUMMYFUNCTION("""COMPUTED_VALUE"""),"짱구")</f>
        <v>짱구</v>
      </c>
      <c r="L1457" s="26" t="str">
        <f>IFERROR(__xludf.DUMMYFUNCTION("""COMPUTED_VALUE"""),"신형만")</f>
        <v>신형만</v>
      </c>
      <c r="M1457" s="26" t="str">
        <f>IFERROR(__xludf.DUMMYFUNCTION("""COMPUTED_VALUE"""),"강화")</f>
        <v>강화</v>
      </c>
      <c r="N1457" s="26" t="str">
        <f>IFERROR(__xludf.DUMMYFUNCTION("ARRAYFORMULA(REGEXEXTRACT(SPLIT(E1457, ""&lt;br&gt;""), ""([가-힣A-Za-z]+)""))"),"깡패")</f>
        <v>깡패</v>
      </c>
      <c r="O1457" s="26" t="str">
        <f>IFERROR(__xludf.DUMMYFUNCTION("""COMPUTED_VALUE"""),"한메")</f>
        <v>한메</v>
      </c>
      <c r="P1457" s="26" t="str">
        <f>IFERROR(__xludf.DUMMYFUNCTION("""COMPUTED_VALUE"""),"ACDC")</f>
        <v>ACDC</v>
      </c>
      <c r="Q1457" s="26" t="str">
        <f>IFERROR(__xludf.DUMMYFUNCTION("""COMPUTED_VALUE"""),"재우")</f>
        <v>재우</v>
      </c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</row>
    <row r="1458">
      <c r="A1458" s="27" t="s">
        <v>6084</v>
      </c>
      <c r="B1458" s="28" t="s">
        <v>6085</v>
      </c>
      <c r="C1458" s="27" t="s">
        <v>6086</v>
      </c>
      <c r="D1458" s="27">
        <v>5.0</v>
      </c>
      <c r="E1458" s="27" t="s">
        <v>6087</v>
      </c>
      <c r="F1458" s="27">
        <v>4.0</v>
      </c>
      <c r="G1458" s="29">
        <v>45595.975</v>
      </c>
      <c r="H1458" s="27" t="s">
        <v>5526</v>
      </c>
      <c r="I1458" s="18"/>
      <c r="J1458" s="25" t="str">
        <f>IFERROR(__xludf.DUMMYFUNCTION("ARRAYFORMULA(REGEXEXTRACT(SPLIT(C1458, ""&lt;br&gt;""), ""([가-힣A-Za-z]+)""))"),"짱구")</f>
        <v>짱구</v>
      </c>
      <c r="K1458" s="26" t="str">
        <f>IFERROR(__xludf.DUMMYFUNCTION("""COMPUTED_VALUE"""),"재명")</f>
        <v>재명</v>
      </c>
      <c r="L1458" s="26" t="str">
        <f>IFERROR(__xludf.DUMMYFUNCTION("""COMPUTED_VALUE"""),"한메")</f>
        <v>한메</v>
      </c>
      <c r="M1458" s="26" t="str">
        <f>IFERROR(__xludf.DUMMYFUNCTION("""COMPUTED_VALUE"""),"ACDC")</f>
        <v>ACDC</v>
      </c>
      <c r="N1458" s="26" t="str">
        <f>IFERROR(__xludf.DUMMYFUNCTION("ARRAYFORMULA(REGEXEXTRACT(SPLIT(E1458, ""&lt;br&gt;""), ""([가-힣A-Za-z]+)""))"),"강화")</f>
        <v>강화</v>
      </c>
      <c r="O1458" s="26" t="str">
        <f>IFERROR(__xludf.DUMMYFUNCTION("""COMPUTED_VALUE"""),"깡패")</f>
        <v>깡패</v>
      </c>
      <c r="P1458" s="26" t="str">
        <f>IFERROR(__xludf.DUMMYFUNCTION("""COMPUTED_VALUE"""),"재우")</f>
        <v>재우</v>
      </c>
      <c r="Q1458" s="26" t="str">
        <f>IFERROR(__xludf.DUMMYFUNCTION("""COMPUTED_VALUE"""),"신형만")</f>
        <v>신형만</v>
      </c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</row>
    <row r="1459">
      <c r="A1459" s="27" t="s">
        <v>6088</v>
      </c>
      <c r="B1459" s="28" t="s">
        <v>6089</v>
      </c>
      <c r="C1459" s="27" t="s">
        <v>6090</v>
      </c>
      <c r="D1459" s="27">
        <v>5.0</v>
      </c>
      <c r="E1459" s="27" t="s">
        <v>6091</v>
      </c>
      <c r="F1459" s="27">
        <v>3.0</v>
      </c>
      <c r="G1459" s="29">
        <v>45595.947222222225</v>
      </c>
      <c r="H1459" s="27" t="s">
        <v>5526</v>
      </c>
      <c r="I1459" s="18"/>
      <c r="J1459" s="25" t="str">
        <f>IFERROR(__xludf.DUMMYFUNCTION("ARRAYFORMULA(REGEXEXTRACT(SPLIT(C1459, ""&lt;br&gt;""), ""([가-힣A-Za-z]+)""))"),"재우")</f>
        <v>재우</v>
      </c>
      <c r="K1459" s="26" t="str">
        <f>IFERROR(__xludf.DUMMYFUNCTION("""COMPUTED_VALUE"""),"테리")</f>
        <v>테리</v>
      </c>
      <c r="L1459" s="26" t="str">
        <f>IFERROR(__xludf.DUMMYFUNCTION("""COMPUTED_VALUE"""),"ACDC")</f>
        <v>ACDC</v>
      </c>
      <c r="M1459" s="26" t="str">
        <f>IFERROR(__xludf.DUMMYFUNCTION("""COMPUTED_VALUE"""),"재명")</f>
        <v>재명</v>
      </c>
      <c r="N1459" s="26" t="str">
        <f>IFERROR(__xludf.DUMMYFUNCTION("ARRAYFORMULA(REGEXEXTRACT(SPLIT(E1459, ""&lt;br&gt;""), ""([가-힣A-Za-z]+)""))"),"깡패")</f>
        <v>깡패</v>
      </c>
      <c r="O1459" s="26" t="str">
        <f>IFERROR(__xludf.DUMMYFUNCTION("""COMPUTED_VALUE"""),"한메")</f>
        <v>한메</v>
      </c>
      <c r="P1459" s="26" t="str">
        <f>IFERROR(__xludf.DUMMYFUNCTION("""COMPUTED_VALUE"""),"짱구")</f>
        <v>짱구</v>
      </c>
      <c r="Q1459" s="26" t="str">
        <f>IFERROR(__xludf.DUMMYFUNCTION("""COMPUTED_VALUE"""),"신형만")</f>
        <v>신형만</v>
      </c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</row>
    <row r="1460">
      <c r="A1460" s="27" t="s">
        <v>6092</v>
      </c>
      <c r="B1460" s="28" t="s">
        <v>6093</v>
      </c>
      <c r="C1460" s="27" t="s">
        <v>6094</v>
      </c>
      <c r="D1460" s="27">
        <v>5.0</v>
      </c>
      <c r="E1460" s="27" t="s">
        <v>6095</v>
      </c>
      <c r="F1460" s="27">
        <v>4.0</v>
      </c>
      <c r="G1460" s="29">
        <v>45595.915972222225</v>
      </c>
      <c r="H1460" s="27" t="s">
        <v>5526</v>
      </c>
      <c r="I1460" s="18"/>
      <c r="J1460" s="25" t="str">
        <f>IFERROR(__xludf.DUMMYFUNCTION("ARRAYFORMULA(REGEXEXTRACT(SPLIT(C1460, ""&lt;br&gt;""), ""([가-힣A-Za-z]+)""))"),"짱구")</f>
        <v>짱구</v>
      </c>
      <c r="K1460" s="26" t="str">
        <f>IFERROR(__xludf.DUMMYFUNCTION("""COMPUTED_VALUE"""),"테리")</f>
        <v>테리</v>
      </c>
      <c r="L1460" s="26" t="str">
        <f>IFERROR(__xludf.DUMMYFUNCTION("""COMPUTED_VALUE"""),"재명")</f>
        <v>재명</v>
      </c>
      <c r="M1460" s="26" t="str">
        <f>IFERROR(__xludf.DUMMYFUNCTION("""COMPUTED_VALUE"""),"깡패")</f>
        <v>깡패</v>
      </c>
      <c r="N1460" s="26" t="str">
        <f>IFERROR(__xludf.DUMMYFUNCTION("ARRAYFORMULA(REGEXEXTRACT(SPLIT(E1460, ""&lt;br&gt;""), ""([가-힣A-Za-z]+)""))"),"신형만")</f>
        <v>신형만</v>
      </c>
      <c r="O1460" s="26" t="str">
        <f>IFERROR(__xludf.DUMMYFUNCTION("""COMPUTED_VALUE"""),"한메")</f>
        <v>한메</v>
      </c>
      <c r="P1460" s="26" t="str">
        <f>IFERROR(__xludf.DUMMYFUNCTION("""COMPUTED_VALUE"""),"재우")</f>
        <v>재우</v>
      </c>
      <c r="Q1460" s="26" t="str">
        <f>IFERROR(__xludf.DUMMYFUNCTION("""COMPUTED_VALUE"""),"ACDC")</f>
        <v>ACDC</v>
      </c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</row>
    <row r="1461">
      <c r="A1461" s="27" t="s">
        <v>6096</v>
      </c>
      <c r="B1461" s="28" t="s">
        <v>6097</v>
      </c>
      <c r="C1461" s="27" t="s">
        <v>6098</v>
      </c>
      <c r="D1461" s="27">
        <v>5.0</v>
      </c>
      <c r="E1461" s="27" t="s">
        <v>6099</v>
      </c>
      <c r="F1461" s="27">
        <v>3.0</v>
      </c>
      <c r="G1461" s="29">
        <v>45595.873611111114</v>
      </c>
      <c r="H1461" s="27" t="s">
        <v>5526</v>
      </c>
      <c r="I1461" s="18"/>
      <c r="J1461" s="25" t="str">
        <f>IFERROR(__xludf.DUMMYFUNCTION("ARRAYFORMULA(REGEXEXTRACT(SPLIT(C1461, ""&lt;br&gt;""), ""([가-힣A-Za-z]+)""))"),"재우")</f>
        <v>재우</v>
      </c>
      <c r="K1461" s="26" t="str">
        <f>IFERROR(__xludf.DUMMYFUNCTION("""COMPUTED_VALUE"""),"테리")</f>
        <v>테리</v>
      </c>
      <c r="L1461" s="26" t="str">
        <f>IFERROR(__xludf.DUMMYFUNCTION("""COMPUTED_VALUE"""),"미등록")</f>
        <v>미등록</v>
      </c>
      <c r="M1461" s="26" t="str">
        <f>IFERROR(__xludf.DUMMYFUNCTION("""COMPUTED_VALUE"""),"깡패")</f>
        <v>깡패</v>
      </c>
      <c r="N1461" s="26" t="str">
        <f>IFERROR(__xludf.DUMMYFUNCTION("ARRAYFORMULA(REGEXEXTRACT(SPLIT(E1461, ""&lt;br&gt;""), ""([가-힣A-Za-z]+)""))"),"재명")</f>
        <v>재명</v>
      </c>
      <c r="O1461" s="26" t="str">
        <f>IFERROR(__xludf.DUMMYFUNCTION("""COMPUTED_VALUE"""),"신형만")</f>
        <v>신형만</v>
      </c>
      <c r="P1461" s="26" t="str">
        <f>IFERROR(__xludf.DUMMYFUNCTION("""COMPUTED_VALUE"""),"요즘")</f>
        <v>요즘</v>
      </c>
      <c r="Q1461" s="26" t="str">
        <f>IFERROR(__xludf.DUMMYFUNCTION("""COMPUTED_VALUE"""),"ACDC")</f>
        <v>ACDC</v>
      </c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</row>
    <row r="1462">
      <c r="A1462" s="27" t="s">
        <v>6100</v>
      </c>
      <c r="B1462" s="28" t="s">
        <v>6101</v>
      </c>
      <c r="C1462" s="27" t="s">
        <v>6102</v>
      </c>
      <c r="D1462" s="27">
        <v>5.0</v>
      </c>
      <c r="E1462" s="27" t="s">
        <v>6103</v>
      </c>
      <c r="F1462" s="27">
        <v>4.0</v>
      </c>
      <c r="G1462" s="29">
        <v>45595.126388888886</v>
      </c>
      <c r="H1462" s="27" t="s">
        <v>5526</v>
      </c>
      <c r="I1462" s="18"/>
      <c r="J1462" s="25" t="str">
        <f>IFERROR(__xludf.DUMMYFUNCTION("ARRAYFORMULA(REGEXEXTRACT(SPLIT(C1462, ""&lt;br&gt;""), ""([가-힣A-Za-z]+)""))"),"오크")</f>
        <v>오크</v>
      </c>
      <c r="K1462" s="26" t="str">
        <f>IFERROR(__xludf.DUMMYFUNCTION("""COMPUTED_VALUE"""),"신형만")</f>
        <v>신형만</v>
      </c>
      <c r="L1462" s="26" t="str">
        <f>IFERROR(__xludf.DUMMYFUNCTION("""COMPUTED_VALUE"""),"노인")</f>
        <v>노인</v>
      </c>
      <c r="M1462" s="26" t="str">
        <f>IFERROR(__xludf.DUMMYFUNCTION("""COMPUTED_VALUE"""),"튜브")</f>
        <v>튜브</v>
      </c>
      <c r="N1462" s="26" t="str">
        <f>IFERROR(__xludf.DUMMYFUNCTION("ARRAYFORMULA(REGEXEXTRACT(SPLIT(E1462, ""&lt;br&gt;""), ""([가-힣A-Za-z]+)""))"),"테리")</f>
        <v>테리</v>
      </c>
      <c r="O1462" s="26" t="str">
        <f>IFERROR(__xludf.DUMMYFUNCTION("""COMPUTED_VALUE"""),"깡패")</f>
        <v>깡패</v>
      </c>
      <c r="P1462" s="26" t="str">
        <f>IFERROR(__xludf.DUMMYFUNCTION("""COMPUTED_VALUE"""),"ACDC")</f>
        <v>ACDC</v>
      </c>
      <c r="Q1462" s="26" t="str">
        <f>IFERROR(__xludf.DUMMYFUNCTION("""COMPUTED_VALUE"""),"재우")</f>
        <v>재우</v>
      </c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</row>
    <row r="1463">
      <c r="A1463" s="27" t="s">
        <v>6104</v>
      </c>
      <c r="B1463" s="28" t="s">
        <v>6105</v>
      </c>
      <c r="C1463" s="27" t="s">
        <v>6106</v>
      </c>
      <c r="D1463" s="27">
        <v>5.0</v>
      </c>
      <c r="E1463" s="27" t="s">
        <v>6107</v>
      </c>
      <c r="F1463" s="27">
        <v>2.0</v>
      </c>
      <c r="G1463" s="29">
        <v>45595.08819444444</v>
      </c>
      <c r="H1463" s="27" t="s">
        <v>5526</v>
      </c>
      <c r="I1463" s="18"/>
      <c r="J1463" s="25" t="str">
        <f>IFERROR(__xludf.DUMMYFUNCTION("ARRAYFORMULA(REGEXEXTRACT(SPLIT(C1463, ""&lt;br&gt;""), ""([가-힣A-Za-z]+)""))"),"ACDC")</f>
        <v>ACDC</v>
      </c>
      <c r="K1463" s="26" t="str">
        <f>IFERROR(__xludf.DUMMYFUNCTION("""COMPUTED_VALUE"""),"노인")</f>
        <v>노인</v>
      </c>
      <c r="L1463" s="26" t="str">
        <f>IFERROR(__xludf.DUMMYFUNCTION("""COMPUTED_VALUE"""),"튜브")</f>
        <v>튜브</v>
      </c>
      <c r="M1463" s="26" t="str">
        <f>IFERROR(__xludf.DUMMYFUNCTION("""COMPUTED_VALUE"""),"재우")</f>
        <v>재우</v>
      </c>
      <c r="N1463" s="26" t="str">
        <f>IFERROR(__xludf.DUMMYFUNCTION("ARRAYFORMULA(REGEXEXTRACT(SPLIT(E1463, ""&lt;br&gt;""), ""([가-힣A-Za-z]+)""))"),"오크")</f>
        <v>오크</v>
      </c>
      <c r="O1463" s="26" t="str">
        <f>IFERROR(__xludf.DUMMYFUNCTION("""COMPUTED_VALUE"""),"강화")</f>
        <v>강화</v>
      </c>
      <c r="P1463" s="26" t="str">
        <f>IFERROR(__xludf.DUMMYFUNCTION("""COMPUTED_VALUE"""),"재명")</f>
        <v>재명</v>
      </c>
      <c r="Q1463" s="26" t="str">
        <f>IFERROR(__xludf.DUMMYFUNCTION("""COMPUTED_VALUE"""),"깡패")</f>
        <v>깡패</v>
      </c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</row>
    <row r="1464">
      <c r="A1464" s="27" t="s">
        <v>6108</v>
      </c>
      <c r="B1464" s="28" t="s">
        <v>6109</v>
      </c>
      <c r="C1464" s="27" t="s">
        <v>6110</v>
      </c>
      <c r="D1464" s="27">
        <v>5.0</v>
      </c>
      <c r="E1464" s="27" t="s">
        <v>6111</v>
      </c>
      <c r="F1464" s="27">
        <v>1.0</v>
      </c>
      <c r="G1464" s="29">
        <v>45595.06180555555</v>
      </c>
      <c r="H1464" s="27" t="s">
        <v>5526</v>
      </c>
      <c r="I1464" s="18"/>
      <c r="J1464" s="25" t="str">
        <f>IFERROR(__xludf.DUMMYFUNCTION("ARRAYFORMULA(REGEXEXTRACT(SPLIT(C1464, ""&lt;br&gt;""), ""([가-힣A-Za-z]+)""))"),"신형만")</f>
        <v>신형만</v>
      </c>
      <c r="K1464" s="26" t="str">
        <f>IFERROR(__xludf.DUMMYFUNCTION("""COMPUTED_VALUE"""),"ACDC")</f>
        <v>ACDC</v>
      </c>
      <c r="L1464" s="26" t="str">
        <f>IFERROR(__xludf.DUMMYFUNCTION("""COMPUTED_VALUE"""),"노인")</f>
        <v>노인</v>
      </c>
      <c r="M1464" s="26" t="str">
        <f>IFERROR(__xludf.DUMMYFUNCTION("""COMPUTED_VALUE"""),"강화")</f>
        <v>강화</v>
      </c>
      <c r="N1464" s="26" t="str">
        <f>IFERROR(__xludf.DUMMYFUNCTION("ARRAYFORMULA(REGEXEXTRACT(SPLIT(E1464, ""&lt;br&gt;""), ""([가-힣A-Za-z]+)""))"),"깡패")</f>
        <v>깡패</v>
      </c>
      <c r="O1464" s="26" t="str">
        <f>IFERROR(__xludf.DUMMYFUNCTION("""COMPUTED_VALUE"""),"한메")</f>
        <v>한메</v>
      </c>
      <c r="P1464" s="26" t="str">
        <f>IFERROR(__xludf.DUMMYFUNCTION("""COMPUTED_VALUE"""),"재우")</f>
        <v>재우</v>
      </c>
      <c r="Q1464" s="26" t="str">
        <f>IFERROR(__xludf.DUMMYFUNCTION("""COMPUTED_VALUE"""),"재명")</f>
        <v>재명</v>
      </c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</row>
    <row r="1465">
      <c r="A1465" s="27" t="s">
        <v>6112</v>
      </c>
      <c r="B1465" s="28" t="s">
        <v>6113</v>
      </c>
      <c r="C1465" s="27" t="s">
        <v>6114</v>
      </c>
      <c r="D1465" s="27">
        <v>5.0</v>
      </c>
      <c r="E1465" s="27" t="s">
        <v>6115</v>
      </c>
      <c r="F1465" s="27">
        <v>1.0</v>
      </c>
      <c r="G1465" s="29">
        <v>45595.044444444444</v>
      </c>
      <c r="H1465" s="27" t="s">
        <v>5526</v>
      </c>
      <c r="I1465" s="18"/>
      <c r="J1465" s="25" t="str">
        <f>IFERROR(__xludf.DUMMYFUNCTION("ARRAYFORMULA(REGEXEXTRACT(SPLIT(C1465, ""&lt;br&gt;""), ""([가-힣A-Za-z]+)""))"),"깡패")</f>
        <v>깡패</v>
      </c>
      <c r="K1465" s="26" t="str">
        <f>IFERROR(__xludf.DUMMYFUNCTION("""COMPUTED_VALUE"""),"재우")</f>
        <v>재우</v>
      </c>
      <c r="L1465" s="26" t="str">
        <f>IFERROR(__xludf.DUMMYFUNCTION("""COMPUTED_VALUE"""),"신형만")</f>
        <v>신형만</v>
      </c>
      <c r="M1465" s="26" t="str">
        <f>IFERROR(__xludf.DUMMYFUNCTION("""COMPUTED_VALUE"""),"노인")</f>
        <v>노인</v>
      </c>
      <c r="N1465" s="26" t="str">
        <f>IFERROR(__xludf.DUMMYFUNCTION("ARRAYFORMULA(REGEXEXTRACT(SPLIT(E1465, ""&lt;br&gt;""), ""([가-힣A-Za-z]+)""))"),"재명")</f>
        <v>재명</v>
      </c>
      <c r="O1465" s="26" t="str">
        <f>IFERROR(__xludf.DUMMYFUNCTION("""COMPUTED_VALUE"""),"강화")</f>
        <v>강화</v>
      </c>
      <c r="P1465" s="26" t="str">
        <f>IFERROR(__xludf.DUMMYFUNCTION("""COMPUTED_VALUE"""),"ACDC")</f>
        <v>ACDC</v>
      </c>
      <c r="Q1465" s="26" t="str">
        <f>IFERROR(__xludf.DUMMYFUNCTION("""COMPUTED_VALUE"""),"한메")</f>
        <v>한메</v>
      </c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</row>
    <row r="1466">
      <c r="A1466" s="27" t="s">
        <v>6116</v>
      </c>
      <c r="B1466" s="28" t="s">
        <v>6117</v>
      </c>
      <c r="C1466" s="27" t="s">
        <v>6118</v>
      </c>
      <c r="D1466" s="27">
        <v>5.0</v>
      </c>
      <c r="E1466" s="27" t="s">
        <v>6119</v>
      </c>
      <c r="F1466" s="27">
        <v>0.0</v>
      </c>
      <c r="G1466" s="29">
        <v>45595.02361111111</v>
      </c>
      <c r="H1466" s="27" t="s">
        <v>5526</v>
      </c>
      <c r="I1466" s="18"/>
      <c r="J1466" s="25" t="str">
        <f>IFERROR(__xludf.DUMMYFUNCTION("ARRAYFORMULA(REGEXEXTRACT(SPLIT(C1466, ""&lt;br&gt;""), ""([가-힣A-Za-z]+)""))"),"한메")</f>
        <v>한메</v>
      </c>
      <c r="K1466" s="26" t="str">
        <f>IFERROR(__xludf.DUMMYFUNCTION("""COMPUTED_VALUE"""),"신형만")</f>
        <v>신형만</v>
      </c>
      <c r="L1466" s="26" t="str">
        <f>IFERROR(__xludf.DUMMYFUNCTION("""COMPUTED_VALUE"""),"노인")</f>
        <v>노인</v>
      </c>
      <c r="M1466" s="26" t="str">
        <f>IFERROR(__xludf.DUMMYFUNCTION("""COMPUTED_VALUE"""),"ACDC")</f>
        <v>ACDC</v>
      </c>
      <c r="N1466" s="26" t="str">
        <f>IFERROR(__xludf.DUMMYFUNCTION("ARRAYFORMULA(REGEXEXTRACT(SPLIT(E1466, ""&lt;br&gt;""), ""([가-힣A-Za-z]+)""))"),"재명")</f>
        <v>재명</v>
      </c>
      <c r="O1466" s="26" t="str">
        <f>IFERROR(__xludf.DUMMYFUNCTION("""COMPUTED_VALUE"""),"깡패")</f>
        <v>깡패</v>
      </c>
      <c r="P1466" s="26" t="str">
        <f>IFERROR(__xludf.DUMMYFUNCTION("""COMPUTED_VALUE"""),"재우")</f>
        <v>재우</v>
      </c>
      <c r="Q1466" s="26" t="str">
        <f>IFERROR(__xludf.DUMMYFUNCTION("""COMPUTED_VALUE"""),"강화")</f>
        <v>강화</v>
      </c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</row>
    <row r="1467">
      <c r="A1467" s="27" t="s">
        <v>6120</v>
      </c>
      <c r="B1467" s="28" t="s">
        <v>6121</v>
      </c>
      <c r="C1467" s="27" t="s">
        <v>6122</v>
      </c>
      <c r="D1467" s="27">
        <v>5.0</v>
      </c>
      <c r="E1467" s="27" t="s">
        <v>6123</v>
      </c>
      <c r="F1467" s="27">
        <v>0.0</v>
      </c>
      <c r="G1467" s="29">
        <v>45595.001388888886</v>
      </c>
      <c r="H1467" s="27" t="s">
        <v>5526</v>
      </c>
      <c r="I1467" s="18"/>
      <c r="J1467" s="25" t="str">
        <f>IFERROR(__xludf.DUMMYFUNCTION("ARRAYFORMULA(REGEXEXTRACT(SPLIT(C1467, ""&lt;br&gt;""), ""([가-힣A-Za-z]+)""))"),"신형만")</f>
        <v>신형만</v>
      </c>
      <c r="K1467" s="26" t="str">
        <f>IFERROR(__xludf.DUMMYFUNCTION("""COMPUTED_VALUE"""),"깡패")</f>
        <v>깡패</v>
      </c>
      <c r="L1467" s="26" t="str">
        <f>IFERROR(__xludf.DUMMYFUNCTION("""COMPUTED_VALUE"""),"ACDC")</f>
        <v>ACDC</v>
      </c>
      <c r="M1467" s="26" t="str">
        <f>IFERROR(__xludf.DUMMYFUNCTION("""COMPUTED_VALUE"""),"강화")</f>
        <v>강화</v>
      </c>
      <c r="N1467" s="26" t="str">
        <f>IFERROR(__xludf.DUMMYFUNCTION("ARRAYFORMULA(REGEXEXTRACT(SPLIT(E1467, ""&lt;br&gt;""), ""([가-힣A-Za-z]+)""))"),"한메")</f>
        <v>한메</v>
      </c>
      <c r="O1467" s="26" t="str">
        <f>IFERROR(__xludf.DUMMYFUNCTION("""COMPUTED_VALUE"""),"재우")</f>
        <v>재우</v>
      </c>
      <c r="P1467" s="26" t="str">
        <f>IFERROR(__xludf.DUMMYFUNCTION("""COMPUTED_VALUE"""),"시아")</f>
        <v>시아</v>
      </c>
      <c r="Q1467" s="26" t="str">
        <f>IFERROR(__xludf.DUMMYFUNCTION("""COMPUTED_VALUE"""),"노인")</f>
        <v>노인</v>
      </c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</row>
    <row r="1468">
      <c r="A1468" s="27" t="s">
        <v>6124</v>
      </c>
      <c r="B1468" s="28" t="s">
        <v>6125</v>
      </c>
      <c r="C1468" s="27" t="s">
        <v>6126</v>
      </c>
      <c r="D1468" s="27">
        <v>5.0</v>
      </c>
      <c r="E1468" s="27" t="s">
        <v>6127</v>
      </c>
      <c r="F1468" s="27">
        <v>2.0</v>
      </c>
      <c r="G1468" s="29">
        <v>45594.98611111111</v>
      </c>
      <c r="H1468" s="27" t="s">
        <v>5526</v>
      </c>
      <c r="I1468" s="18"/>
      <c r="J1468" s="25" t="str">
        <f>IFERROR(__xludf.DUMMYFUNCTION("ARRAYFORMULA(REGEXEXTRACT(SPLIT(C1468, ""&lt;br&gt;""), ""([가-힣A-Za-z]+)""))"),"ACDC")</f>
        <v>ACDC</v>
      </c>
      <c r="K1468" s="26" t="str">
        <f>IFERROR(__xludf.DUMMYFUNCTION("""COMPUTED_VALUE"""),"노인")</f>
        <v>노인</v>
      </c>
      <c r="L1468" s="26" t="str">
        <f>IFERROR(__xludf.DUMMYFUNCTION("""COMPUTED_VALUE"""),"테리")</f>
        <v>테리</v>
      </c>
      <c r="M1468" s="26" t="str">
        <f>IFERROR(__xludf.DUMMYFUNCTION("""COMPUTED_VALUE"""),"한메")</f>
        <v>한메</v>
      </c>
      <c r="N1468" s="26" t="str">
        <f>IFERROR(__xludf.DUMMYFUNCTION("ARRAYFORMULA(REGEXEXTRACT(SPLIT(E1468, ""&lt;br&gt;""), ""([가-힣A-Za-z]+)""))"),"시아")</f>
        <v>시아</v>
      </c>
      <c r="O1468" s="26" t="str">
        <f>IFERROR(__xludf.DUMMYFUNCTION("""COMPUTED_VALUE"""),"재우")</f>
        <v>재우</v>
      </c>
      <c r="P1468" s="26" t="str">
        <f>IFERROR(__xludf.DUMMYFUNCTION("""COMPUTED_VALUE"""),"강화")</f>
        <v>강화</v>
      </c>
      <c r="Q1468" s="26" t="str">
        <f>IFERROR(__xludf.DUMMYFUNCTION("""COMPUTED_VALUE"""),"신형만")</f>
        <v>신형만</v>
      </c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</row>
    <row r="1469">
      <c r="A1469" s="27" t="s">
        <v>6128</v>
      </c>
      <c r="B1469" s="28" t="s">
        <v>6129</v>
      </c>
      <c r="C1469" s="27" t="s">
        <v>6130</v>
      </c>
      <c r="D1469" s="27">
        <v>5.0</v>
      </c>
      <c r="E1469" s="27" t="s">
        <v>6131</v>
      </c>
      <c r="F1469" s="27">
        <v>3.0</v>
      </c>
      <c r="G1469" s="29">
        <v>45594.96388888889</v>
      </c>
      <c r="H1469" s="27" t="s">
        <v>5526</v>
      </c>
      <c r="I1469" s="18"/>
      <c r="J1469" s="25" t="str">
        <f>IFERROR(__xludf.DUMMYFUNCTION("ARRAYFORMULA(REGEXEXTRACT(SPLIT(C1469, ""&lt;br&gt;""), ""([가-힣A-Za-z]+)""))"),"강화")</f>
        <v>강화</v>
      </c>
      <c r="K1469" s="26" t="str">
        <f>IFERROR(__xludf.DUMMYFUNCTION("""COMPUTED_VALUE"""),"한메")</f>
        <v>한메</v>
      </c>
      <c r="L1469" s="26" t="str">
        <f>IFERROR(__xludf.DUMMYFUNCTION("""COMPUTED_VALUE"""),"테리")</f>
        <v>테리</v>
      </c>
      <c r="M1469" s="26" t="str">
        <f>IFERROR(__xludf.DUMMYFUNCTION("""COMPUTED_VALUE"""),"재우")</f>
        <v>재우</v>
      </c>
      <c r="N1469" s="26" t="str">
        <f>IFERROR(__xludf.DUMMYFUNCTION("ARRAYFORMULA(REGEXEXTRACT(SPLIT(E1469, ""&lt;br&gt;""), ""([가-힣A-Za-z]+)""))"),"시아")</f>
        <v>시아</v>
      </c>
      <c r="O1469" s="26" t="str">
        <f>IFERROR(__xludf.DUMMYFUNCTION("""COMPUTED_VALUE"""),"ACDC")</f>
        <v>ACDC</v>
      </c>
      <c r="P1469" s="26" t="str">
        <f>IFERROR(__xludf.DUMMYFUNCTION("""COMPUTED_VALUE"""),"신형만")</f>
        <v>신형만</v>
      </c>
      <c r="Q1469" s="26" t="str">
        <f>IFERROR(__xludf.DUMMYFUNCTION("""COMPUTED_VALUE"""),"노인")</f>
        <v>노인</v>
      </c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</row>
    <row r="1470">
      <c r="A1470" s="27" t="s">
        <v>6132</v>
      </c>
      <c r="B1470" s="28" t="s">
        <v>6133</v>
      </c>
      <c r="C1470" s="27" t="s">
        <v>6134</v>
      </c>
      <c r="D1470" s="27">
        <v>5.0</v>
      </c>
      <c r="E1470" s="27" t="s">
        <v>6135</v>
      </c>
      <c r="F1470" s="27">
        <v>1.0</v>
      </c>
      <c r="G1470" s="29">
        <v>45594.93680555555</v>
      </c>
      <c r="H1470" s="27" t="s">
        <v>5526</v>
      </c>
      <c r="I1470" s="18"/>
      <c r="J1470" s="25" t="str">
        <f>IFERROR(__xludf.DUMMYFUNCTION("ARRAYFORMULA(REGEXEXTRACT(SPLIT(C1470, ""&lt;br&gt;""), ""([가-힣A-Za-z]+)""))"),"테리")</f>
        <v>테리</v>
      </c>
      <c r="K1470" s="26" t="str">
        <f>IFERROR(__xludf.DUMMYFUNCTION("""COMPUTED_VALUE"""),"재우")</f>
        <v>재우</v>
      </c>
      <c r="L1470" s="26" t="str">
        <f>IFERROR(__xludf.DUMMYFUNCTION("""COMPUTED_VALUE"""),"노인")</f>
        <v>노인</v>
      </c>
      <c r="M1470" s="26" t="str">
        <f>IFERROR(__xludf.DUMMYFUNCTION("""COMPUTED_VALUE"""),"신형만")</f>
        <v>신형만</v>
      </c>
      <c r="N1470" s="26" t="str">
        <f>IFERROR(__xludf.DUMMYFUNCTION("ARRAYFORMULA(REGEXEXTRACT(SPLIT(E1470, ""&lt;br&gt;""), ""([가-힣A-Za-z]+)""))"),"시아")</f>
        <v>시아</v>
      </c>
      <c r="O1470" s="26" t="str">
        <f>IFERROR(__xludf.DUMMYFUNCTION("""COMPUTED_VALUE"""),"강화")</f>
        <v>강화</v>
      </c>
      <c r="P1470" s="26" t="str">
        <f>IFERROR(__xludf.DUMMYFUNCTION("""COMPUTED_VALUE"""),"ACDC")</f>
        <v>ACDC</v>
      </c>
      <c r="Q1470" s="26" t="str">
        <f>IFERROR(__xludf.DUMMYFUNCTION("""COMPUTED_VALUE"""),"한메")</f>
        <v>한메</v>
      </c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</row>
    <row r="1471">
      <c r="A1471" s="27" t="s">
        <v>6136</v>
      </c>
      <c r="B1471" s="28" t="s">
        <v>6137</v>
      </c>
      <c r="C1471" s="27" t="s">
        <v>6138</v>
      </c>
      <c r="D1471" s="27">
        <v>5.0</v>
      </c>
      <c r="E1471" s="27" t="s">
        <v>6139</v>
      </c>
      <c r="F1471" s="27">
        <v>3.0</v>
      </c>
      <c r="G1471" s="29">
        <v>45594.92083333333</v>
      </c>
      <c r="H1471" s="27" t="s">
        <v>5526</v>
      </c>
      <c r="I1471" s="18"/>
      <c r="J1471" s="25" t="str">
        <f>IFERROR(__xludf.DUMMYFUNCTION("ARRAYFORMULA(REGEXEXTRACT(SPLIT(C1471, ""&lt;br&gt;""), ""([가-힣A-Za-z]+)""))"),"한메")</f>
        <v>한메</v>
      </c>
      <c r="K1471" s="26" t="str">
        <f>IFERROR(__xludf.DUMMYFUNCTION("""COMPUTED_VALUE"""),"테리")</f>
        <v>테리</v>
      </c>
      <c r="L1471" s="26" t="str">
        <f>IFERROR(__xludf.DUMMYFUNCTION("""COMPUTED_VALUE"""),"시아")</f>
        <v>시아</v>
      </c>
      <c r="M1471" s="26" t="str">
        <f>IFERROR(__xludf.DUMMYFUNCTION("""COMPUTED_VALUE"""),"신형만")</f>
        <v>신형만</v>
      </c>
      <c r="N1471" s="26" t="str">
        <f>IFERROR(__xludf.DUMMYFUNCTION("ARRAYFORMULA(REGEXEXTRACT(SPLIT(E1471, ""&lt;br&gt;""), ""([가-힣A-Za-z]+)""))"),"ACDC")</f>
        <v>ACDC</v>
      </c>
      <c r="O1471" s="26" t="str">
        <f>IFERROR(__xludf.DUMMYFUNCTION("""COMPUTED_VALUE"""),"요즘")</f>
        <v>요즘</v>
      </c>
      <c r="P1471" s="26" t="str">
        <f>IFERROR(__xludf.DUMMYFUNCTION("""COMPUTED_VALUE"""),"재명")</f>
        <v>재명</v>
      </c>
      <c r="Q1471" s="26" t="str">
        <f>IFERROR(__xludf.DUMMYFUNCTION("""COMPUTED_VALUE"""),"재우")</f>
        <v>재우</v>
      </c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</row>
    <row r="1472">
      <c r="A1472" s="27" t="s">
        <v>6140</v>
      </c>
      <c r="B1472" s="28" t="s">
        <v>6141</v>
      </c>
      <c r="C1472" s="27" t="s">
        <v>6142</v>
      </c>
      <c r="D1472" s="27">
        <v>5.0</v>
      </c>
      <c r="E1472" s="27" t="s">
        <v>6143</v>
      </c>
      <c r="F1472" s="27">
        <v>2.0</v>
      </c>
      <c r="G1472" s="29">
        <v>45594.896527777775</v>
      </c>
      <c r="H1472" s="27" t="s">
        <v>5526</v>
      </c>
      <c r="I1472" s="18"/>
      <c r="J1472" s="25" t="str">
        <f>IFERROR(__xludf.DUMMYFUNCTION("ARRAYFORMULA(REGEXEXTRACT(SPLIT(C1472, ""&lt;br&gt;""), ""([가-힣A-Za-z]+)""))"),"신형만")</f>
        <v>신형만</v>
      </c>
      <c r="K1472" s="26" t="str">
        <f>IFERROR(__xludf.DUMMYFUNCTION("""COMPUTED_VALUE"""),"한메")</f>
        <v>한메</v>
      </c>
      <c r="L1472" s="26" t="str">
        <f>IFERROR(__xludf.DUMMYFUNCTION("""COMPUTED_VALUE"""),"재명")</f>
        <v>재명</v>
      </c>
      <c r="M1472" s="26" t="str">
        <f>IFERROR(__xludf.DUMMYFUNCTION("""COMPUTED_VALUE"""),"재우")</f>
        <v>재우</v>
      </c>
      <c r="N1472" s="26" t="str">
        <f>IFERROR(__xludf.DUMMYFUNCTION("ARRAYFORMULA(REGEXEXTRACT(SPLIT(E1472, ""&lt;br&gt;""), ""([가-힣A-Za-z]+)""))"),"시아")</f>
        <v>시아</v>
      </c>
      <c r="O1472" s="26" t="str">
        <f>IFERROR(__xludf.DUMMYFUNCTION("""COMPUTED_VALUE"""),"테리")</f>
        <v>테리</v>
      </c>
      <c r="P1472" s="26" t="str">
        <f>IFERROR(__xludf.DUMMYFUNCTION("""COMPUTED_VALUE"""),"ACDC")</f>
        <v>ACDC</v>
      </c>
      <c r="Q1472" s="26" t="str">
        <f>IFERROR(__xludf.DUMMYFUNCTION("""COMPUTED_VALUE"""),"요즘")</f>
        <v>요즘</v>
      </c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</row>
    <row r="1473">
      <c r="A1473" s="27" t="s">
        <v>6144</v>
      </c>
      <c r="B1473" s="28" t="s">
        <v>6145</v>
      </c>
      <c r="C1473" s="27" t="s">
        <v>6146</v>
      </c>
      <c r="D1473" s="27">
        <v>5.0</v>
      </c>
      <c r="E1473" s="27" t="s">
        <v>6147</v>
      </c>
      <c r="F1473" s="27">
        <v>1.0</v>
      </c>
      <c r="G1473" s="29">
        <v>45594.88055555556</v>
      </c>
      <c r="H1473" s="27" t="s">
        <v>5526</v>
      </c>
      <c r="I1473" s="18"/>
      <c r="J1473" s="25" t="str">
        <f>IFERROR(__xludf.DUMMYFUNCTION("ARRAYFORMULA(REGEXEXTRACT(SPLIT(C1473, ""&lt;br&gt;""), ""([가-힣A-Za-z]+)""))"),"요즘")</f>
        <v>요즘</v>
      </c>
      <c r="K1473" s="26" t="str">
        <f>IFERROR(__xludf.DUMMYFUNCTION("""COMPUTED_VALUE"""),"ACDC")</f>
        <v>ACDC</v>
      </c>
      <c r="L1473" s="26" t="str">
        <f>IFERROR(__xludf.DUMMYFUNCTION("""COMPUTED_VALUE"""),"신형만")</f>
        <v>신형만</v>
      </c>
      <c r="M1473" s="26" t="str">
        <f>IFERROR(__xludf.DUMMYFUNCTION("""COMPUTED_VALUE"""),"한메")</f>
        <v>한메</v>
      </c>
      <c r="N1473" s="26" t="str">
        <f>IFERROR(__xludf.DUMMYFUNCTION("ARRAYFORMULA(REGEXEXTRACT(SPLIT(E1473, ""&lt;br&gt;""), ""([가-힣A-Za-z]+)""))"),"시아")</f>
        <v>시아</v>
      </c>
      <c r="O1473" s="26" t="str">
        <f>IFERROR(__xludf.DUMMYFUNCTION("""COMPUTED_VALUE"""),"재우")</f>
        <v>재우</v>
      </c>
      <c r="P1473" s="26" t="str">
        <f>IFERROR(__xludf.DUMMYFUNCTION("""COMPUTED_VALUE"""),"테리")</f>
        <v>테리</v>
      </c>
      <c r="Q1473" s="26" t="str">
        <f>IFERROR(__xludf.DUMMYFUNCTION("""COMPUTED_VALUE"""),"재명")</f>
        <v>재명</v>
      </c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</row>
    <row r="1474">
      <c r="A1474" s="27" t="s">
        <v>6148</v>
      </c>
      <c r="B1474" s="28" t="s">
        <v>6149</v>
      </c>
      <c r="C1474" s="27" t="s">
        <v>6150</v>
      </c>
      <c r="D1474" s="27">
        <v>5.0</v>
      </c>
      <c r="E1474" s="27" t="s">
        <v>6151</v>
      </c>
      <c r="F1474" s="27">
        <v>2.0</v>
      </c>
      <c r="G1474" s="29">
        <v>45594.85486111111</v>
      </c>
      <c r="H1474" s="27" t="s">
        <v>5526</v>
      </c>
      <c r="I1474" s="18"/>
      <c r="J1474" s="25" t="str">
        <f>IFERROR(__xludf.DUMMYFUNCTION("ARRAYFORMULA(REGEXEXTRACT(SPLIT(C1474, ""&lt;br&gt;""), ""([가-힣A-Za-z]+)""))"),"테리")</f>
        <v>테리</v>
      </c>
      <c r="K1474" s="26" t="str">
        <f>IFERROR(__xludf.DUMMYFUNCTION("""COMPUTED_VALUE"""),"ACDC")</f>
        <v>ACDC</v>
      </c>
      <c r="L1474" s="26" t="str">
        <f>IFERROR(__xludf.DUMMYFUNCTION("""COMPUTED_VALUE"""),"시아")</f>
        <v>시아</v>
      </c>
      <c r="M1474" s="26" t="str">
        <f>IFERROR(__xludf.DUMMYFUNCTION("""COMPUTED_VALUE"""),"신형만")</f>
        <v>신형만</v>
      </c>
      <c r="N1474" s="26" t="str">
        <f>IFERROR(__xludf.DUMMYFUNCTION("ARRAYFORMULA(REGEXEXTRACT(SPLIT(E1474, ""&lt;br&gt;""), ""([가-힣A-Za-z]+)""))"),"한메")</f>
        <v>한메</v>
      </c>
      <c r="O1474" s="26" t="str">
        <f>IFERROR(__xludf.DUMMYFUNCTION("""COMPUTED_VALUE"""),"재우")</f>
        <v>재우</v>
      </c>
      <c r="P1474" s="26" t="str">
        <f>IFERROR(__xludf.DUMMYFUNCTION("""COMPUTED_VALUE"""),"재명")</f>
        <v>재명</v>
      </c>
      <c r="Q1474" s="26" t="str">
        <f>IFERROR(__xludf.DUMMYFUNCTION("""COMPUTED_VALUE"""),"요즘")</f>
        <v>요즘</v>
      </c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</row>
    <row r="1475">
      <c r="A1475" s="27" t="s">
        <v>6152</v>
      </c>
      <c r="B1475" s="28" t="s">
        <v>6153</v>
      </c>
      <c r="C1475" s="27" t="s">
        <v>6154</v>
      </c>
      <c r="D1475" s="27">
        <v>5.0</v>
      </c>
      <c r="E1475" s="27" t="s">
        <v>6155</v>
      </c>
      <c r="F1475" s="27">
        <v>0.0</v>
      </c>
      <c r="G1475" s="29">
        <v>45594.04652777778</v>
      </c>
      <c r="H1475" s="27" t="s">
        <v>5526</v>
      </c>
      <c r="I1475" s="18"/>
      <c r="J1475" s="25" t="str">
        <f>IFERROR(__xludf.DUMMYFUNCTION("ARRAYFORMULA(REGEXEXTRACT(SPLIT(C1475, ""&lt;br&gt;""), ""([가-힣A-Za-z]+)""))"),"깡패")</f>
        <v>깡패</v>
      </c>
      <c r="K1475" s="26" t="str">
        <f>IFERROR(__xludf.DUMMYFUNCTION("""COMPUTED_VALUE"""),"노인")</f>
        <v>노인</v>
      </c>
      <c r="L1475" s="26" t="str">
        <f>IFERROR(__xludf.DUMMYFUNCTION("""COMPUTED_VALUE"""),"테리")</f>
        <v>테리</v>
      </c>
      <c r="M1475" s="26" t="str">
        <f>IFERROR(__xludf.DUMMYFUNCTION("""COMPUTED_VALUE"""),"강화")</f>
        <v>강화</v>
      </c>
      <c r="N1475" s="26" t="str">
        <f>IFERROR(__xludf.DUMMYFUNCTION("ARRAYFORMULA(REGEXEXTRACT(SPLIT(E1475, ""&lt;br&gt;""), ""([가-힣A-Za-z]+)""))"),"ACDC")</f>
        <v>ACDC</v>
      </c>
      <c r="O1475" s="26" t="str">
        <f>IFERROR(__xludf.DUMMYFUNCTION("""COMPUTED_VALUE"""),"재명")</f>
        <v>재명</v>
      </c>
      <c r="P1475" s="26" t="str">
        <f>IFERROR(__xludf.DUMMYFUNCTION("""COMPUTED_VALUE"""),"신형만")</f>
        <v>신형만</v>
      </c>
      <c r="Q1475" s="26" t="str">
        <f>IFERROR(__xludf.DUMMYFUNCTION("""COMPUTED_VALUE"""),"오크")</f>
        <v>오크</v>
      </c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</row>
    <row r="1476">
      <c r="A1476" s="27" t="s">
        <v>6156</v>
      </c>
      <c r="B1476" s="28" t="s">
        <v>6157</v>
      </c>
      <c r="C1476" s="27" t="s">
        <v>6158</v>
      </c>
      <c r="D1476" s="27">
        <v>5.0</v>
      </c>
      <c r="E1476" s="27" t="s">
        <v>6159</v>
      </c>
      <c r="F1476" s="27">
        <v>4.0</v>
      </c>
      <c r="G1476" s="29">
        <v>45594.01666666667</v>
      </c>
      <c r="H1476" s="27" t="s">
        <v>5526</v>
      </c>
      <c r="I1476" s="18"/>
      <c r="J1476" s="25" t="str">
        <f>IFERROR(__xludf.DUMMYFUNCTION("ARRAYFORMULA(REGEXEXTRACT(SPLIT(C1476, ""&lt;br&gt;""), ""([가-힣A-Za-z]+)""))"),"깡패")</f>
        <v>깡패</v>
      </c>
      <c r="K1476" s="26" t="str">
        <f>IFERROR(__xludf.DUMMYFUNCTION("""COMPUTED_VALUE"""),"노인")</f>
        <v>노인</v>
      </c>
      <c r="L1476" s="26" t="str">
        <f>IFERROR(__xludf.DUMMYFUNCTION("""COMPUTED_VALUE"""),"신형만")</f>
        <v>신형만</v>
      </c>
      <c r="M1476" s="26" t="str">
        <f>IFERROR(__xludf.DUMMYFUNCTION("""COMPUTED_VALUE"""),"강화")</f>
        <v>강화</v>
      </c>
      <c r="N1476" s="26" t="str">
        <f>IFERROR(__xludf.DUMMYFUNCTION("ARRAYFORMULA(REGEXEXTRACT(SPLIT(E1476, ""&lt;br&gt;""), ""([가-힣A-Za-z]+)""))"),"ACDC")</f>
        <v>ACDC</v>
      </c>
      <c r="O1476" s="26" t="str">
        <f>IFERROR(__xludf.DUMMYFUNCTION("""COMPUTED_VALUE"""),"한메")</f>
        <v>한메</v>
      </c>
      <c r="P1476" s="26" t="str">
        <f>IFERROR(__xludf.DUMMYFUNCTION("""COMPUTED_VALUE"""),"테리")</f>
        <v>테리</v>
      </c>
      <c r="Q1476" s="26" t="str">
        <f>IFERROR(__xludf.DUMMYFUNCTION("""COMPUTED_VALUE"""),"재우")</f>
        <v>재우</v>
      </c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</row>
    <row r="1477">
      <c r="A1477" s="27" t="s">
        <v>6160</v>
      </c>
      <c r="B1477" s="28" t="s">
        <v>6161</v>
      </c>
      <c r="C1477" s="27" t="s">
        <v>6162</v>
      </c>
      <c r="D1477" s="27">
        <v>5.0</v>
      </c>
      <c r="E1477" s="27" t="s">
        <v>6163</v>
      </c>
      <c r="F1477" s="27">
        <v>3.0</v>
      </c>
      <c r="G1477" s="29">
        <v>45593.98333333333</v>
      </c>
      <c r="H1477" s="27" t="s">
        <v>5526</v>
      </c>
      <c r="I1477" s="18"/>
      <c r="J1477" s="25" t="str">
        <f>IFERROR(__xludf.DUMMYFUNCTION("ARRAYFORMULA(REGEXEXTRACT(SPLIT(C1477, ""&lt;br&gt;""), ""([가-힣A-Za-z]+)""))"),"ACDC")</f>
        <v>ACDC</v>
      </c>
      <c r="K1477" s="26" t="str">
        <f>IFERROR(__xludf.DUMMYFUNCTION("""COMPUTED_VALUE"""),"노인")</f>
        <v>노인</v>
      </c>
      <c r="L1477" s="26" t="str">
        <f>IFERROR(__xludf.DUMMYFUNCTION("""COMPUTED_VALUE"""),"재명")</f>
        <v>재명</v>
      </c>
      <c r="M1477" s="26" t="str">
        <f>IFERROR(__xludf.DUMMYFUNCTION("""COMPUTED_VALUE"""),"깡패")</f>
        <v>깡패</v>
      </c>
      <c r="N1477" s="26" t="str">
        <f>IFERROR(__xludf.DUMMYFUNCTION("ARRAYFORMULA(REGEXEXTRACT(SPLIT(E1477, ""&lt;br&gt;""), ""([가-힣A-Za-z]+)""))"),"한메")</f>
        <v>한메</v>
      </c>
      <c r="O1477" s="26" t="str">
        <f>IFERROR(__xludf.DUMMYFUNCTION("""COMPUTED_VALUE"""),"재우")</f>
        <v>재우</v>
      </c>
      <c r="P1477" s="26" t="str">
        <f>IFERROR(__xludf.DUMMYFUNCTION("""COMPUTED_VALUE"""),"신형만")</f>
        <v>신형만</v>
      </c>
      <c r="Q1477" s="26" t="str">
        <f>IFERROR(__xludf.DUMMYFUNCTION("""COMPUTED_VALUE"""),"강화")</f>
        <v>강화</v>
      </c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</row>
    <row r="1478">
      <c r="A1478" s="27" t="s">
        <v>6164</v>
      </c>
      <c r="B1478" s="28" t="s">
        <v>6165</v>
      </c>
      <c r="C1478" s="27" t="s">
        <v>6166</v>
      </c>
      <c r="D1478" s="27">
        <v>5.0</v>
      </c>
      <c r="E1478" s="27" t="s">
        <v>6167</v>
      </c>
      <c r="F1478" s="27">
        <v>3.0</v>
      </c>
      <c r="G1478" s="29">
        <v>45593.95347222222</v>
      </c>
      <c r="H1478" s="27" t="s">
        <v>5526</v>
      </c>
      <c r="I1478" s="18"/>
      <c r="J1478" s="25" t="str">
        <f>IFERROR(__xludf.DUMMYFUNCTION("ARRAYFORMULA(REGEXEXTRACT(SPLIT(C1478, ""&lt;br&gt;""), ""([가-힣A-Za-z]+)""))"),"테리")</f>
        <v>테리</v>
      </c>
      <c r="K1478" s="26" t="str">
        <f>IFERROR(__xludf.DUMMYFUNCTION("""COMPUTED_VALUE"""),"강화")</f>
        <v>강화</v>
      </c>
      <c r="L1478" s="26" t="str">
        <f>IFERROR(__xludf.DUMMYFUNCTION("""COMPUTED_VALUE"""),"노인")</f>
        <v>노인</v>
      </c>
      <c r="M1478" s="26" t="str">
        <f>IFERROR(__xludf.DUMMYFUNCTION("""COMPUTED_VALUE"""),"재명")</f>
        <v>재명</v>
      </c>
      <c r="N1478" s="26" t="str">
        <f>IFERROR(__xludf.DUMMYFUNCTION("ARRAYFORMULA(REGEXEXTRACT(SPLIT(E1478, ""&lt;br&gt;""), ""([가-힣A-Za-z]+)""))"),"ACDC")</f>
        <v>ACDC</v>
      </c>
      <c r="O1478" s="26" t="str">
        <f>IFERROR(__xludf.DUMMYFUNCTION("""COMPUTED_VALUE"""),"한메")</f>
        <v>한메</v>
      </c>
      <c r="P1478" s="26" t="str">
        <f>IFERROR(__xludf.DUMMYFUNCTION("""COMPUTED_VALUE"""),"재우")</f>
        <v>재우</v>
      </c>
      <c r="Q1478" s="26" t="str">
        <f>IFERROR(__xludf.DUMMYFUNCTION("""COMPUTED_VALUE"""),"깡패")</f>
        <v>깡패</v>
      </c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</row>
    <row r="1479">
      <c r="A1479" s="27" t="s">
        <v>6168</v>
      </c>
      <c r="B1479" s="28" t="s">
        <v>6169</v>
      </c>
      <c r="C1479" s="27" t="s">
        <v>6170</v>
      </c>
      <c r="D1479" s="27">
        <v>5.0</v>
      </c>
      <c r="E1479" s="27" t="s">
        <v>6171</v>
      </c>
      <c r="F1479" s="27">
        <v>3.0</v>
      </c>
      <c r="G1479" s="29">
        <v>45593.925</v>
      </c>
      <c r="H1479" s="27" t="s">
        <v>5526</v>
      </c>
      <c r="I1479" s="18"/>
      <c r="J1479" s="25" t="str">
        <f>IFERROR(__xludf.DUMMYFUNCTION("ARRAYFORMULA(REGEXEXTRACT(SPLIT(C1479, ""&lt;br&gt;""), ""([가-힣A-Za-z]+)""))"),"한메")</f>
        <v>한메</v>
      </c>
      <c r="K1479" s="26" t="str">
        <f>IFERROR(__xludf.DUMMYFUNCTION("""COMPUTED_VALUE"""),"재우")</f>
        <v>재우</v>
      </c>
      <c r="L1479" s="26" t="str">
        <f>IFERROR(__xludf.DUMMYFUNCTION("""COMPUTED_VALUE"""),"테리")</f>
        <v>테리</v>
      </c>
      <c r="M1479" s="26" t="str">
        <f>IFERROR(__xludf.DUMMYFUNCTION("""COMPUTED_VALUE"""),"ACDC")</f>
        <v>ACDC</v>
      </c>
      <c r="N1479" s="26" t="str">
        <f>IFERROR(__xludf.DUMMYFUNCTION("ARRAYFORMULA(REGEXEXTRACT(SPLIT(E1479, ""&lt;br&gt;""), ""([가-힣A-Za-z]+)""))"),"요즘")</f>
        <v>요즘</v>
      </c>
      <c r="O1479" s="26" t="str">
        <f>IFERROR(__xludf.DUMMYFUNCTION("""COMPUTED_VALUE"""),"깡패")</f>
        <v>깡패</v>
      </c>
      <c r="P1479" s="26" t="str">
        <f>IFERROR(__xludf.DUMMYFUNCTION("""COMPUTED_VALUE"""),"강화")</f>
        <v>강화</v>
      </c>
      <c r="Q1479" s="26" t="str">
        <f>IFERROR(__xludf.DUMMYFUNCTION("""COMPUTED_VALUE"""),"재명")</f>
        <v>재명</v>
      </c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</row>
    <row r="1480">
      <c r="A1480" s="27" t="s">
        <v>6172</v>
      </c>
      <c r="B1480" s="28" t="s">
        <v>6173</v>
      </c>
      <c r="C1480" s="27" t="s">
        <v>6174</v>
      </c>
      <c r="D1480" s="27">
        <v>5.0</v>
      </c>
      <c r="E1480" s="27" t="s">
        <v>6175</v>
      </c>
      <c r="F1480" s="27">
        <v>3.0</v>
      </c>
      <c r="G1480" s="29">
        <v>45593.904861111114</v>
      </c>
      <c r="H1480" s="27" t="s">
        <v>5526</v>
      </c>
      <c r="I1480" s="18"/>
      <c r="J1480" s="25" t="str">
        <f>IFERROR(__xludf.DUMMYFUNCTION("ARRAYFORMULA(REGEXEXTRACT(SPLIT(C1480, ""&lt;br&gt;""), ""([가-힣A-Za-z]+)""))"),"테리")</f>
        <v>테리</v>
      </c>
      <c r="K1480" s="26" t="str">
        <f>IFERROR(__xludf.DUMMYFUNCTION("""COMPUTED_VALUE"""),"재명")</f>
        <v>재명</v>
      </c>
      <c r="L1480" s="26" t="str">
        <f>IFERROR(__xludf.DUMMYFUNCTION("""COMPUTED_VALUE"""),"요즘")</f>
        <v>요즘</v>
      </c>
      <c r="M1480" s="26" t="str">
        <f>IFERROR(__xludf.DUMMYFUNCTION("""COMPUTED_VALUE"""),"한메")</f>
        <v>한메</v>
      </c>
      <c r="N1480" s="26" t="str">
        <f>IFERROR(__xludf.DUMMYFUNCTION("ARRAYFORMULA(REGEXEXTRACT(SPLIT(E1480, ""&lt;br&gt;""), ""([가-힣A-Za-z]+)""))"),"ACDC")</f>
        <v>ACDC</v>
      </c>
      <c r="O1480" s="26" t="str">
        <f>IFERROR(__xludf.DUMMYFUNCTION("""COMPUTED_VALUE"""),"깡패")</f>
        <v>깡패</v>
      </c>
      <c r="P1480" s="26" t="str">
        <f>IFERROR(__xludf.DUMMYFUNCTION("""COMPUTED_VALUE"""),"강화")</f>
        <v>강화</v>
      </c>
      <c r="Q1480" s="26" t="str">
        <f>IFERROR(__xludf.DUMMYFUNCTION("""COMPUTED_VALUE"""),"재우")</f>
        <v>재우</v>
      </c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</row>
    <row r="1481">
      <c r="A1481" s="27" t="s">
        <v>6176</v>
      </c>
      <c r="B1481" s="28" t="s">
        <v>6177</v>
      </c>
      <c r="C1481" s="27" t="s">
        <v>6178</v>
      </c>
      <c r="D1481" s="27">
        <v>5.0</v>
      </c>
      <c r="E1481" s="27" t="s">
        <v>6179</v>
      </c>
      <c r="F1481" s="27">
        <v>1.0</v>
      </c>
      <c r="G1481" s="29">
        <v>45593.044444444444</v>
      </c>
      <c r="H1481" s="27" t="s">
        <v>5526</v>
      </c>
      <c r="I1481" s="18"/>
      <c r="J1481" s="25" t="str">
        <f>IFERROR(__xludf.DUMMYFUNCTION("ARRAYFORMULA(REGEXEXTRACT(SPLIT(C1481, ""&lt;br&gt;""), ""([가-힣A-Za-z]+)""))"),"테리")</f>
        <v>테리</v>
      </c>
      <c r="K1481" s="26" t="str">
        <f>IFERROR(__xludf.DUMMYFUNCTION("""COMPUTED_VALUE"""),"신형만")</f>
        <v>신형만</v>
      </c>
      <c r="L1481" s="26" t="str">
        <f>IFERROR(__xludf.DUMMYFUNCTION("""COMPUTED_VALUE"""),"미등록")</f>
        <v>미등록</v>
      </c>
      <c r="M1481" s="26" t="str">
        <f>IFERROR(__xludf.DUMMYFUNCTION("""COMPUTED_VALUE"""),"재우")</f>
        <v>재우</v>
      </c>
      <c r="N1481" s="26" t="str">
        <f>IFERROR(__xludf.DUMMYFUNCTION("ARRAYFORMULA(REGEXEXTRACT(SPLIT(E1481, ""&lt;br&gt;""), ""([가-힣A-Za-z]+)""))"),"깡패")</f>
        <v>깡패</v>
      </c>
      <c r="O1481" s="26" t="str">
        <f>IFERROR(__xludf.DUMMYFUNCTION("""COMPUTED_VALUE"""),"ACDC")</f>
        <v>ACDC</v>
      </c>
      <c r="P1481" s="26" t="str">
        <f>IFERROR(__xludf.DUMMYFUNCTION("""COMPUTED_VALUE"""),"오크")</f>
        <v>오크</v>
      </c>
      <c r="Q1481" s="26" t="str">
        <f>IFERROR(__xludf.DUMMYFUNCTION("""COMPUTED_VALUE"""),"윈드")</f>
        <v>윈드</v>
      </c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</row>
    <row r="1482">
      <c r="A1482" s="27" t="s">
        <v>6180</v>
      </c>
      <c r="B1482" s="28" t="s">
        <v>6181</v>
      </c>
      <c r="C1482" s="27" t="s">
        <v>6182</v>
      </c>
      <c r="D1482" s="27">
        <v>5.0</v>
      </c>
      <c r="E1482" s="27" t="s">
        <v>6183</v>
      </c>
      <c r="F1482" s="27">
        <v>1.0</v>
      </c>
      <c r="G1482" s="29">
        <v>45593.032638888886</v>
      </c>
      <c r="H1482" s="27" t="s">
        <v>5526</v>
      </c>
      <c r="I1482" s="18"/>
      <c r="J1482" s="25" t="str">
        <f>IFERROR(__xludf.DUMMYFUNCTION("ARRAYFORMULA(REGEXEXTRACT(SPLIT(C1482, ""&lt;br&gt;""), ""([가-힣A-Za-z]+)""))"),"테리")</f>
        <v>테리</v>
      </c>
      <c r="K1482" s="26" t="str">
        <f>IFERROR(__xludf.DUMMYFUNCTION("""COMPUTED_VALUE"""),"노인")</f>
        <v>노인</v>
      </c>
      <c r="L1482" s="26" t="str">
        <f>IFERROR(__xludf.DUMMYFUNCTION("""COMPUTED_VALUE"""),"오크")</f>
        <v>오크</v>
      </c>
      <c r="M1482" s="26" t="str">
        <f>IFERROR(__xludf.DUMMYFUNCTION("""COMPUTED_VALUE"""),"ACDC")</f>
        <v>ACDC</v>
      </c>
      <c r="N1482" s="26" t="str">
        <f>IFERROR(__xludf.DUMMYFUNCTION("ARRAYFORMULA(REGEXEXTRACT(SPLIT(E1482, ""&lt;br&gt;""), ""([가-힣A-Za-z]+)""))"),"깡패")</f>
        <v>깡패</v>
      </c>
      <c r="O1482" s="26" t="str">
        <f>IFERROR(__xludf.DUMMYFUNCTION("""COMPUTED_VALUE"""),"신형만")</f>
        <v>신형만</v>
      </c>
      <c r="P1482" s="26" t="str">
        <f>IFERROR(__xludf.DUMMYFUNCTION("""COMPUTED_VALUE"""),"재우")</f>
        <v>재우</v>
      </c>
      <c r="Q1482" s="26" t="str">
        <f>IFERROR(__xludf.DUMMYFUNCTION("""COMPUTED_VALUE"""),"윈드")</f>
        <v>윈드</v>
      </c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</row>
    <row r="1483">
      <c r="A1483" s="27" t="s">
        <v>6184</v>
      </c>
      <c r="B1483" s="28" t="s">
        <v>6185</v>
      </c>
      <c r="C1483" s="27" t="s">
        <v>6186</v>
      </c>
      <c r="D1483" s="27">
        <v>5.0</v>
      </c>
      <c r="E1483" s="27" t="s">
        <v>6187</v>
      </c>
      <c r="F1483" s="27">
        <v>0.0</v>
      </c>
      <c r="G1483" s="29">
        <v>45593.01944444444</v>
      </c>
      <c r="H1483" s="27" t="s">
        <v>5526</v>
      </c>
      <c r="I1483" s="18"/>
      <c r="J1483" s="25" t="str">
        <f>IFERROR(__xludf.DUMMYFUNCTION("ARRAYFORMULA(REGEXEXTRACT(SPLIT(C1483, ""&lt;br&gt;""), ""([가-힣A-Za-z]+)""))"),"필찌")</f>
        <v>필찌</v>
      </c>
      <c r="K1483" s="26" t="str">
        <f>IFERROR(__xludf.DUMMYFUNCTION("""COMPUTED_VALUE"""),"재우")</f>
        <v>재우</v>
      </c>
      <c r="L1483" s="26" t="str">
        <f>IFERROR(__xludf.DUMMYFUNCTION("""COMPUTED_VALUE"""),"테리")</f>
        <v>테리</v>
      </c>
      <c r="M1483" s="26" t="str">
        <f>IFERROR(__xludf.DUMMYFUNCTION("""COMPUTED_VALUE"""),"윈드")</f>
        <v>윈드</v>
      </c>
      <c r="N1483" s="26" t="str">
        <f>IFERROR(__xludf.DUMMYFUNCTION("ARRAYFORMULA(REGEXEXTRACT(SPLIT(E1483, ""&lt;br&gt;""), ""([가-힣A-Za-z]+)""))"),"깡패")</f>
        <v>깡패</v>
      </c>
      <c r="O1483" s="26" t="str">
        <f>IFERROR(__xludf.DUMMYFUNCTION("""COMPUTED_VALUE"""),"ACDC")</f>
        <v>ACDC</v>
      </c>
      <c r="P1483" s="26" t="str">
        <f>IFERROR(__xludf.DUMMYFUNCTION("""COMPUTED_VALUE"""),"신형만")</f>
        <v>신형만</v>
      </c>
      <c r="Q1483" s="26" t="str">
        <f>IFERROR(__xludf.DUMMYFUNCTION("""COMPUTED_VALUE"""),"오크")</f>
        <v>오크</v>
      </c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</row>
    <row r="1484">
      <c r="A1484" s="27" t="s">
        <v>6188</v>
      </c>
      <c r="B1484" s="28" t="s">
        <v>6189</v>
      </c>
      <c r="C1484" s="27" t="s">
        <v>6190</v>
      </c>
      <c r="D1484" s="27">
        <v>5.0</v>
      </c>
      <c r="E1484" s="27" t="s">
        <v>6191</v>
      </c>
      <c r="F1484" s="27">
        <v>4.0</v>
      </c>
      <c r="G1484" s="29">
        <v>45592.99652777778</v>
      </c>
      <c r="H1484" s="27" t="s">
        <v>5526</v>
      </c>
      <c r="I1484" s="18"/>
      <c r="J1484" s="25" t="str">
        <f>IFERROR(__xludf.DUMMYFUNCTION("ARRAYFORMULA(REGEXEXTRACT(SPLIT(C1484, ""&lt;br&gt;""), ""([가-힣A-Za-z]+)""))"),"필찌")</f>
        <v>필찌</v>
      </c>
      <c r="K1484" s="26" t="str">
        <f>IFERROR(__xludf.DUMMYFUNCTION("""COMPUTED_VALUE"""),"신형만")</f>
        <v>신형만</v>
      </c>
      <c r="L1484" s="26" t="str">
        <f>IFERROR(__xludf.DUMMYFUNCTION("""COMPUTED_VALUE"""),"테리")</f>
        <v>테리</v>
      </c>
      <c r="M1484" s="26" t="str">
        <f>IFERROR(__xludf.DUMMYFUNCTION("""COMPUTED_VALUE"""),"깡패")</f>
        <v>깡패</v>
      </c>
      <c r="N1484" s="26" t="str">
        <f>IFERROR(__xludf.DUMMYFUNCTION("ARRAYFORMULA(REGEXEXTRACT(SPLIT(E1484, ""&lt;br&gt;""), ""([가-힣A-Za-z]+)""))"),"ACDC")</f>
        <v>ACDC</v>
      </c>
      <c r="O1484" s="26" t="str">
        <f>IFERROR(__xludf.DUMMYFUNCTION("""COMPUTED_VALUE"""),"재우")</f>
        <v>재우</v>
      </c>
      <c r="P1484" s="26" t="str">
        <f>IFERROR(__xludf.DUMMYFUNCTION("""COMPUTED_VALUE"""),"오크")</f>
        <v>오크</v>
      </c>
      <c r="Q1484" s="26" t="str">
        <f>IFERROR(__xludf.DUMMYFUNCTION("""COMPUTED_VALUE"""),"윈드")</f>
        <v>윈드</v>
      </c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</row>
    <row r="1485">
      <c r="A1485" s="27" t="s">
        <v>6192</v>
      </c>
      <c r="B1485" s="28" t="s">
        <v>6193</v>
      </c>
      <c r="C1485" s="27" t="s">
        <v>6194</v>
      </c>
      <c r="D1485" s="27">
        <v>5.0</v>
      </c>
      <c r="E1485" s="27" t="s">
        <v>6195</v>
      </c>
      <c r="F1485" s="27">
        <v>3.0</v>
      </c>
      <c r="G1485" s="29">
        <v>45592.972916666666</v>
      </c>
      <c r="H1485" s="27" t="s">
        <v>5526</v>
      </c>
      <c r="I1485" s="18"/>
      <c r="J1485" s="25" t="str">
        <f>IFERROR(__xludf.DUMMYFUNCTION("ARRAYFORMULA(REGEXEXTRACT(SPLIT(C1485, ""&lt;br&gt;""), ""([가-힣A-Za-z]+)""))"),"신형만")</f>
        <v>신형만</v>
      </c>
      <c r="K1485" s="26" t="str">
        <f>IFERROR(__xludf.DUMMYFUNCTION("""COMPUTED_VALUE"""),"미등록")</f>
        <v>미등록</v>
      </c>
      <c r="L1485" s="26" t="str">
        <f>IFERROR(__xludf.DUMMYFUNCTION("""COMPUTED_VALUE"""),"ACDC")</f>
        <v>ACDC</v>
      </c>
      <c r="M1485" s="26" t="str">
        <f>IFERROR(__xludf.DUMMYFUNCTION("""COMPUTED_VALUE"""),"깡패")</f>
        <v>깡패</v>
      </c>
      <c r="N1485" s="26" t="str">
        <f>IFERROR(__xludf.DUMMYFUNCTION("ARRAYFORMULA(REGEXEXTRACT(SPLIT(E1485, ""&lt;br&gt;""), ""([가-힣A-Za-z]+)""))"),"재우")</f>
        <v>재우</v>
      </c>
      <c r="O1485" s="26" t="str">
        <f>IFERROR(__xludf.DUMMYFUNCTION("""COMPUTED_VALUE"""),"요즘")</f>
        <v>요즘</v>
      </c>
      <c r="P1485" s="26" t="str">
        <f>IFERROR(__xludf.DUMMYFUNCTION("""COMPUTED_VALUE"""),"필찌")</f>
        <v>필찌</v>
      </c>
      <c r="Q1485" s="26" t="str">
        <f>IFERROR(__xludf.DUMMYFUNCTION("""COMPUTED_VALUE"""),"윈드")</f>
        <v>윈드</v>
      </c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</row>
    <row r="1486">
      <c r="A1486" s="27" t="s">
        <v>6196</v>
      </c>
      <c r="B1486" s="28" t="s">
        <v>6197</v>
      </c>
      <c r="C1486" s="27" t="s">
        <v>6198</v>
      </c>
      <c r="D1486" s="27">
        <v>5.0</v>
      </c>
      <c r="E1486" s="27" t="s">
        <v>6199</v>
      </c>
      <c r="F1486" s="27">
        <v>4.0</v>
      </c>
      <c r="G1486" s="29">
        <v>45592.95</v>
      </c>
      <c r="H1486" s="27" t="s">
        <v>5526</v>
      </c>
      <c r="I1486" s="18"/>
      <c r="J1486" s="25" t="str">
        <f>IFERROR(__xludf.DUMMYFUNCTION("ARRAYFORMULA(REGEXEXTRACT(SPLIT(C1486, ""&lt;br&gt;""), ""([가-힣A-Za-z]+)""))"),"테리")</f>
        <v>테리</v>
      </c>
      <c r="K1486" s="26" t="str">
        <f>IFERROR(__xludf.DUMMYFUNCTION("""COMPUTED_VALUE"""),"미등록")</f>
        <v>미등록</v>
      </c>
      <c r="L1486" s="26" t="str">
        <f>IFERROR(__xludf.DUMMYFUNCTION("""COMPUTED_VALUE"""),"요즘")</f>
        <v>요즘</v>
      </c>
      <c r="M1486" s="26" t="str">
        <f>IFERROR(__xludf.DUMMYFUNCTION("""COMPUTED_VALUE"""),"윈드")</f>
        <v>윈드</v>
      </c>
      <c r="N1486" s="26" t="str">
        <f>IFERROR(__xludf.DUMMYFUNCTION("ARRAYFORMULA(REGEXEXTRACT(SPLIT(E1486, ""&lt;br&gt;""), ""([가-힣A-Za-z]+)""))"),"깡패")</f>
        <v>깡패</v>
      </c>
      <c r="O1486" s="26" t="str">
        <f>IFERROR(__xludf.DUMMYFUNCTION("""COMPUTED_VALUE"""),"필찌")</f>
        <v>필찌</v>
      </c>
      <c r="P1486" s="26" t="str">
        <f>IFERROR(__xludf.DUMMYFUNCTION("""COMPUTED_VALUE"""),"신형만")</f>
        <v>신형만</v>
      </c>
      <c r="Q1486" s="26" t="str">
        <f>IFERROR(__xludf.DUMMYFUNCTION("""COMPUTED_VALUE"""),"재우")</f>
        <v>재우</v>
      </c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</row>
    <row r="1487">
      <c r="A1487" s="27" t="s">
        <v>6200</v>
      </c>
      <c r="B1487" s="28" t="s">
        <v>6201</v>
      </c>
      <c r="C1487" s="27" t="s">
        <v>6202</v>
      </c>
      <c r="D1487" s="27">
        <v>5.0</v>
      </c>
      <c r="E1487" s="27" t="s">
        <v>6203</v>
      </c>
      <c r="F1487" s="27">
        <v>4.0</v>
      </c>
      <c r="G1487" s="29">
        <v>45592.92569444444</v>
      </c>
      <c r="H1487" s="27" t="s">
        <v>5526</v>
      </c>
      <c r="I1487" s="18"/>
      <c r="J1487" s="25" t="str">
        <f>IFERROR(__xludf.DUMMYFUNCTION("ARRAYFORMULA(REGEXEXTRACT(SPLIT(C1487, ""&lt;br&gt;""), ""([가-힣A-Za-z]+)""))"),"한메")</f>
        <v>한메</v>
      </c>
      <c r="K1487" s="26" t="str">
        <f>IFERROR(__xludf.DUMMYFUNCTION("""COMPUTED_VALUE"""),"요즘")</f>
        <v>요즘</v>
      </c>
      <c r="L1487" s="26" t="str">
        <f>IFERROR(__xludf.DUMMYFUNCTION("""COMPUTED_VALUE"""),"노인")</f>
        <v>노인</v>
      </c>
      <c r="M1487" s="26" t="str">
        <f>IFERROR(__xludf.DUMMYFUNCTION("""COMPUTED_VALUE"""),"조드")</f>
        <v>조드</v>
      </c>
      <c r="N1487" s="26" t="str">
        <f>IFERROR(__xludf.DUMMYFUNCTION("ARRAYFORMULA(REGEXEXTRACT(SPLIT(E1487, ""&lt;br&gt;""), ""([가-힣A-Za-z]+)""))"),"신형만")</f>
        <v>신형만</v>
      </c>
      <c r="O1487" s="26" t="str">
        <f>IFERROR(__xludf.DUMMYFUNCTION("""COMPUTED_VALUE"""),"깡패")</f>
        <v>깡패</v>
      </c>
      <c r="P1487" s="26" t="str">
        <f>IFERROR(__xludf.DUMMYFUNCTION("""COMPUTED_VALUE"""),"테리")</f>
        <v>테리</v>
      </c>
      <c r="Q1487" s="26" t="str">
        <f>IFERROR(__xludf.DUMMYFUNCTION("""COMPUTED_VALUE"""),"재우")</f>
        <v>재우</v>
      </c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</row>
    <row r="1488">
      <c r="A1488" s="27" t="s">
        <v>6204</v>
      </c>
      <c r="B1488" s="28" t="s">
        <v>6205</v>
      </c>
      <c r="C1488" s="27" t="s">
        <v>6206</v>
      </c>
      <c r="D1488" s="27">
        <v>5.0</v>
      </c>
      <c r="E1488" s="27" t="s">
        <v>6207</v>
      </c>
      <c r="F1488" s="27">
        <v>3.0</v>
      </c>
      <c r="G1488" s="29">
        <v>45592.89722222222</v>
      </c>
      <c r="H1488" s="27" t="s">
        <v>5526</v>
      </c>
      <c r="I1488" s="18"/>
      <c r="J1488" s="25" t="str">
        <f>IFERROR(__xludf.DUMMYFUNCTION("ARRAYFORMULA(REGEXEXTRACT(SPLIT(C1488, ""&lt;br&gt;""), ""([가-힣A-Za-z]+)""))"),"테리")</f>
        <v>테리</v>
      </c>
      <c r="K1488" s="26" t="str">
        <f>IFERROR(__xludf.DUMMYFUNCTION("""COMPUTED_VALUE"""),"재우")</f>
        <v>재우</v>
      </c>
      <c r="L1488" s="26" t="str">
        <f>IFERROR(__xludf.DUMMYFUNCTION("""COMPUTED_VALUE"""),"노인")</f>
        <v>노인</v>
      </c>
      <c r="M1488" s="26" t="str">
        <f>IFERROR(__xludf.DUMMYFUNCTION("""COMPUTED_VALUE"""),"조드")</f>
        <v>조드</v>
      </c>
      <c r="N1488" s="26" t="str">
        <f>IFERROR(__xludf.DUMMYFUNCTION("ARRAYFORMULA(REGEXEXTRACT(SPLIT(E1488, ""&lt;br&gt;""), ""([가-힣A-Za-z]+)""))"),"한메")</f>
        <v>한메</v>
      </c>
      <c r="O1488" s="26" t="str">
        <f>IFERROR(__xludf.DUMMYFUNCTION("""COMPUTED_VALUE"""),"신형만")</f>
        <v>신형만</v>
      </c>
      <c r="P1488" s="26" t="str">
        <f>IFERROR(__xludf.DUMMYFUNCTION("""COMPUTED_VALUE"""),"요즘")</f>
        <v>요즘</v>
      </c>
      <c r="Q1488" s="26" t="str">
        <f>IFERROR(__xludf.DUMMYFUNCTION("""COMPUTED_VALUE"""),"깡패")</f>
        <v>깡패</v>
      </c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</row>
    <row r="1489">
      <c r="A1489" s="27" t="s">
        <v>6208</v>
      </c>
      <c r="B1489" s="28" t="s">
        <v>6209</v>
      </c>
      <c r="C1489" s="27" t="s">
        <v>6210</v>
      </c>
      <c r="D1489" s="27">
        <v>5.0</v>
      </c>
      <c r="E1489" s="27" t="s">
        <v>6211</v>
      </c>
      <c r="F1489" s="27">
        <v>0.0</v>
      </c>
      <c r="G1489" s="29">
        <v>45592.87777777778</v>
      </c>
      <c r="H1489" s="27" t="s">
        <v>5526</v>
      </c>
      <c r="I1489" s="18"/>
      <c r="J1489" s="25" t="str">
        <f>IFERROR(__xludf.DUMMYFUNCTION("ARRAYFORMULA(REGEXEXTRACT(SPLIT(C1489, ""&lt;br&gt;""), ""([가-힣A-Za-z]+)""))"),"테리")</f>
        <v>테리</v>
      </c>
      <c r="K1489" s="26" t="str">
        <f>IFERROR(__xludf.DUMMYFUNCTION("""COMPUTED_VALUE"""),"신형만")</f>
        <v>신형만</v>
      </c>
      <c r="L1489" s="26" t="str">
        <f>IFERROR(__xludf.DUMMYFUNCTION("""COMPUTED_VALUE"""),"미등록")</f>
        <v>미등록</v>
      </c>
      <c r="M1489" s="26" t="str">
        <f>IFERROR(__xludf.DUMMYFUNCTION("""COMPUTED_VALUE"""),"한메")</f>
        <v>한메</v>
      </c>
      <c r="N1489" s="26" t="str">
        <f>IFERROR(__xludf.DUMMYFUNCTION("ARRAYFORMULA(REGEXEXTRACT(SPLIT(E1489, ""&lt;br&gt;""), ""([가-힣A-Za-z]+)""))"),"깡패")</f>
        <v>깡패</v>
      </c>
      <c r="O1489" s="26" t="str">
        <f>IFERROR(__xludf.DUMMYFUNCTION("""COMPUTED_VALUE"""),"조드")</f>
        <v>조드</v>
      </c>
      <c r="P1489" s="26" t="str">
        <f>IFERROR(__xludf.DUMMYFUNCTION("""COMPUTED_VALUE"""),"요즘")</f>
        <v>요즘</v>
      </c>
      <c r="Q1489" s="26" t="str">
        <f>IFERROR(__xludf.DUMMYFUNCTION("""COMPUTED_VALUE"""),"재우")</f>
        <v>재우</v>
      </c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  <c r="AB1489" s="18"/>
    </row>
    <row r="1490">
      <c r="A1490" s="27" t="s">
        <v>6212</v>
      </c>
      <c r="B1490" s="28" t="s">
        <v>6213</v>
      </c>
      <c r="C1490" s="27" t="s">
        <v>6214</v>
      </c>
      <c r="D1490" s="27">
        <v>5.0</v>
      </c>
      <c r="E1490" s="27" t="s">
        <v>6215</v>
      </c>
      <c r="F1490" s="27">
        <v>0.0</v>
      </c>
      <c r="G1490" s="29">
        <v>45592.118055555555</v>
      </c>
      <c r="H1490" s="27" t="s">
        <v>5526</v>
      </c>
      <c r="I1490" s="18"/>
      <c r="J1490" s="25" t="str">
        <f>IFERROR(__xludf.DUMMYFUNCTION("ARRAYFORMULA(REGEXEXTRACT(SPLIT(C1490, ""&lt;br&gt;""), ""([가-힣A-Za-z]+)""))"),"신형만")</f>
        <v>신형만</v>
      </c>
      <c r="K1490" s="26" t="str">
        <f>IFERROR(__xludf.DUMMYFUNCTION("""COMPUTED_VALUE"""),"강화")</f>
        <v>강화</v>
      </c>
      <c r="L1490" s="26" t="str">
        <f>IFERROR(__xludf.DUMMYFUNCTION("""COMPUTED_VALUE"""),"테리")</f>
        <v>테리</v>
      </c>
      <c r="M1490" s="26" t="str">
        <f>IFERROR(__xludf.DUMMYFUNCTION("""COMPUTED_VALUE"""),"한메")</f>
        <v>한메</v>
      </c>
      <c r="N1490" s="26" t="str">
        <f>IFERROR(__xludf.DUMMYFUNCTION("ARRAYFORMULA(REGEXEXTRACT(SPLIT(E1490, ""&lt;br&gt;""), ""([가-힣A-Za-z]+)""))"),"시아")</f>
        <v>시아</v>
      </c>
      <c r="O1490" s="26" t="str">
        <f>IFERROR(__xludf.DUMMYFUNCTION("""COMPUTED_VALUE"""),"재명")</f>
        <v>재명</v>
      </c>
      <c r="P1490" s="26" t="str">
        <f>IFERROR(__xludf.DUMMYFUNCTION("""COMPUTED_VALUE"""),"요즘")</f>
        <v>요즘</v>
      </c>
      <c r="Q1490" s="26" t="str">
        <f>IFERROR(__xludf.DUMMYFUNCTION("""COMPUTED_VALUE"""),"ACDC")</f>
        <v>ACDC</v>
      </c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</row>
    <row r="1491">
      <c r="A1491" s="27" t="s">
        <v>6216</v>
      </c>
      <c r="B1491" s="28" t="s">
        <v>6217</v>
      </c>
      <c r="C1491" s="27" t="s">
        <v>6218</v>
      </c>
      <c r="D1491" s="27">
        <v>5.0</v>
      </c>
      <c r="E1491" s="27" t="s">
        <v>6219</v>
      </c>
      <c r="F1491" s="27">
        <v>4.0</v>
      </c>
      <c r="G1491" s="29">
        <v>45592.103472222225</v>
      </c>
      <c r="H1491" s="27" t="s">
        <v>5526</v>
      </c>
      <c r="I1491" s="18"/>
      <c r="J1491" s="25" t="str">
        <f>IFERROR(__xludf.DUMMYFUNCTION("ARRAYFORMULA(REGEXEXTRACT(SPLIT(C1491, ""&lt;br&gt;""), ""([가-힣A-Za-z]+)""))"),"신형만")</f>
        <v>신형만</v>
      </c>
      <c r="K1491" s="26" t="str">
        <f>IFERROR(__xludf.DUMMYFUNCTION("""COMPUTED_VALUE"""),"재명")</f>
        <v>재명</v>
      </c>
      <c r="L1491" s="26" t="str">
        <f>IFERROR(__xludf.DUMMYFUNCTION("""COMPUTED_VALUE"""),"한메")</f>
        <v>한메</v>
      </c>
      <c r="M1491" s="26" t="str">
        <f>IFERROR(__xludf.DUMMYFUNCTION("""COMPUTED_VALUE"""),"미르진")</f>
        <v>미르진</v>
      </c>
      <c r="N1491" s="26" t="str">
        <f>IFERROR(__xludf.DUMMYFUNCTION("ARRAYFORMULA(REGEXEXTRACT(SPLIT(E1491, ""&lt;br&gt;""), ""([가-힣A-Za-z]+)""))"),"재우")</f>
        <v>재우</v>
      </c>
      <c r="O1491" s="26" t="str">
        <f>IFERROR(__xludf.DUMMYFUNCTION("""COMPUTED_VALUE"""),"강화")</f>
        <v>강화</v>
      </c>
      <c r="P1491" s="26" t="str">
        <f>IFERROR(__xludf.DUMMYFUNCTION("""COMPUTED_VALUE"""),"ACDC")</f>
        <v>ACDC</v>
      </c>
      <c r="Q1491" s="26" t="str">
        <f>IFERROR(__xludf.DUMMYFUNCTION("""COMPUTED_VALUE"""),"요즘")</f>
        <v>요즘</v>
      </c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</row>
    <row r="1492">
      <c r="A1492" s="27" t="s">
        <v>6220</v>
      </c>
      <c r="B1492" s="28" t="s">
        <v>6221</v>
      </c>
      <c r="C1492" s="27" t="s">
        <v>6222</v>
      </c>
      <c r="D1492" s="27">
        <v>5.0</v>
      </c>
      <c r="E1492" s="27" t="s">
        <v>6223</v>
      </c>
      <c r="F1492" s="27">
        <v>2.0</v>
      </c>
      <c r="G1492" s="29">
        <v>45592.07847222222</v>
      </c>
      <c r="H1492" s="27" t="s">
        <v>5526</v>
      </c>
      <c r="I1492" s="18"/>
      <c r="J1492" s="25" t="str">
        <f>IFERROR(__xludf.DUMMYFUNCTION("ARRAYFORMULA(REGEXEXTRACT(SPLIT(C1492, ""&lt;br&gt;""), ""([가-힣A-Za-z]+)""))"),"재우")</f>
        <v>재우</v>
      </c>
      <c r="K1492" s="26" t="str">
        <f>IFERROR(__xludf.DUMMYFUNCTION("""COMPUTED_VALUE"""),"미르진")</f>
        <v>미르진</v>
      </c>
      <c r="L1492" s="26" t="str">
        <f>IFERROR(__xludf.DUMMYFUNCTION("""COMPUTED_VALUE"""),"한메")</f>
        <v>한메</v>
      </c>
      <c r="M1492" s="26" t="str">
        <f>IFERROR(__xludf.DUMMYFUNCTION("""COMPUTED_VALUE"""),"ACDC")</f>
        <v>ACDC</v>
      </c>
      <c r="N1492" s="26" t="str">
        <f>IFERROR(__xludf.DUMMYFUNCTION("ARRAYFORMULA(REGEXEXTRACT(SPLIT(E1492, ""&lt;br&gt;""), ""([가-힣A-Za-z]+)""))"),"요즘")</f>
        <v>요즘</v>
      </c>
      <c r="O1492" s="26" t="str">
        <f>IFERROR(__xludf.DUMMYFUNCTION("""COMPUTED_VALUE"""),"신형만")</f>
        <v>신형만</v>
      </c>
      <c r="P1492" s="26" t="str">
        <f>IFERROR(__xludf.DUMMYFUNCTION("""COMPUTED_VALUE"""),"강화")</f>
        <v>강화</v>
      </c>
      <c r="Q1492" s="26" t="str">
        <f>IFERROR(__xludf.DUMMYFUNCTION("""COMPUTED_VALUE"""),"재명")</f>
        <v>재명</v>
      </c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  <c r="AB1492" s="18"/>
    </row>
    <row r="1493">
      <c r="A1493" s="27" t="s">
        <v>6224</v>
      </c>
      <c r="B1493" s="28" t="s">
        <v>6225</v>
      </c>
      <c r="C1493" s="27" t="s">
        <v>6226</v>
      </c>
      <c r="D1493" s="27">
        <v>5.0</v>
      </c>
      <c r="E1493" s="27" t="s">
        <v>6227</v>
      </c>
      <c r="F1493" s="27">
        <v>2.0</v>
      </c>
      <c r="G1493" s="29">
        <v>45592.05069444444</v>
      </c>
      <c r="H1493" s="27" t="s">
        <v>5526</v>
      </c>
      <c r="I1493" s="18"/>
      <c r="J1493" s="25" t="str">
        <f>IFERROR(__xludf.DUMMYFUNCTION("ARRAYFORMULA(REGEXEXTRACT(SPLIT(C1493, ""&lt;br&gt;""), ""([가-힣A-Za-z]+)""))"),"엘")</f>
        <v>엘</v>
      </c>
      <c r="K1493" s="26" t="str">
        <f>IFERROR(__xludf.DUMMYFUNCTION("""COMPUTED_VALUE"""),"재명")</f>
        <v>재명</v>
      </c>
      <c r="L1493" s="26" t="str">
        <f>IFERROR(__xludf.DUMMYFUNCTION("""COMPUTED_VALUE"""),"테리")</f>
        <v>테리</v>
      </c>
      <c r="M1493" s="26" t="str">
        <f>IFERROR(__xludf.DUMMYFUNCTION("""COMPUTED_VALUE"""),"요즘")</f>
        <v>요즘</v>
      </c>
      <c r="N1493" s="26" t="str">
        <f>IFERROR(__xludf.DUMMYFUNCTION("ARRAYFORMULA(REGEXEXTRACT(SPLIT(E1493, ""&lt;br&gt;""), ""([가-힣A-Za-z]+)""))"),"미르진")</f>
        <v>미르진</v>
      </c>
      <c r="O1493" s="26" t="str">
        <f>IFERROR(__xludf.DUMMYFUNCTION("""COMPUTED_VALUE"""),"신형만")</f>
        <v>신형만</v>
      </c>
      <c r="P1493" s="26" t="str">
        <f>IFERROR(__xludf.DUMMYFUNCTION("""COMPUTED_VALUE"""),"강화")</f>
        <v>강화</v>
      </c>
      <c r="Q1493" s="26" t="str">
        <f>IFERROR(__xludf.DUMMYFUNCTION("""COMPUTED_VALUE"""),"ACDC")</f>
        <v>ACDC</v>
      </c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</row>
    <row r="1494">
      <c r="A1494" s="27" t="s">
        <v>6228</v>
      </c>
      <c r="B1494" s="28" t="s">
        <v>6229</v>
      </c>
      <c r="C1494" s="27" t="s">
        <v>6230</v>
      </c>
      <c r="D1494" s="27">
        <v>5.0</v>
      </c>
      <c r="E1494" s="27" t="s">
        <v>6231</v>
      </c>
      <c r="F1494" s="27">
        <v>2.0</v>
      </c>
      <c r="G1494" s="29">
        <v>45592.01875</v>
      </c>
      <c r="H1494" s="27" t="s">
        <v>5526</v>
      </c>
      <c r="I1494" s="18"/>
      <c r="J1494" s="25" t="str">
        <f>IFERROR(__xludf.DUMMYFUNCTION("ARRAYFORMULA(REGEXEXTRACT(SPLIT(C1494, ""&lt;br&gt;""), ""([가-힣A-Za-z]+)""))"),"랄")</f>
        <v>랄</v>
      </c>
      <c r="K1494" s="26" t="str">
        <f>IFERROR(__xludf.DUMMYFUNCTION("""COMPUTED_VALUE"""),"재명")</f>
        <v>재명</v>
      </c>
      <c r="L1494" s="26" t="str">
        <f>IFERROR(__xludf.DUMMYFUNCTION("""COMPUTED_VALUE"""),"ACDC")</f>
        <v>ACDC</v>
      </c>
      <c r="M1494" s="26" t="str">
        <f>IFERROR(__xludf.DUMMYFUNCTION("""COMPUTED_VALUE"""),"웅")</f>
        <v>웅</v>
      </c>
      <c r="N1494" s="26" t="str">
        <f>IFERROR(__xludf.DUMMYFUNCTION("ARRAYFORMULA(REGEXEXTRACT(SPLIT(E1494, ""&lt;br&gt;""), ""([가-힣A-Za-z]+)""))"),"엘")</f>
        <v>엘</v>
      </c>
      <c r="O1494" s="26" t="str">
        <f>IFERROR(__xludf.DUMMYFUNCTION("""COMPUTED_VALUE"""),"강화")</f>
        <v>강화</v>
      </c>
      <c r="P1494" s="26" t="str">
        <f>IFERROR(__xludf.DUMMYFUNCTION("""COMPUTED_VALUE"""),"시아")</f>
        <v>시아</v>
      </c>
      <c r="Q1494" s="26" t="str">
        <f>IFERROR(__xludf.DUMMYFUNCTION("""COMPUTED_VALUE"""),"미르진")</f>
        <v>미르진</v>
      </c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  <c r="AB1494" s="18"/>
    </row>
    <row r="1495">
      <c r="A1495" s="27" t="s">
        <v>6232</v>
      </c>
      <c r="B1495" s="28" t="s">
        <v>6233</v>
      </c>
      <c r="C1495" s="27" t="s">
        <v>6234</v>
      </c>
      <c r="D1495" s="27">
        <v>5.0</v>
      </c>
      <c r="E1495" s="27" t="s">
        <v>6235</v>
      </c>
      <c r="F1495" s="27">
        <v>3.0</v>
      </c>
      <c r="G1495" s="29">
        <v>45591.99444444444</v>
      </c>
      <c r="H1495" s="27" t="s">
        <v>5526</v>
      </c>
      <c r="I1495" s="18"/>
      <c r="J1495" s="25" t="str">
        <f>IFERROR(__xludf.DUMMYFUNCTION("ARRAYFORMULA(REGEXEXTRACT(SPLIT(C1495, ""&lt;br&gt;""), ""([가-힣A-Za-z]+)""))"),"강화")</f>
        <v>강화</v>
      </c>
      <c r="K1495" s="26" t="str">
        <f>IFERROR(__xludf.DUMMYFUNCTION("""COMPUTED_VALUE"""),"재명")</f>
        <v>재명</v>
      </c>
      <c r="L1495" s="26" t="str">
        <f>IFERROR(__xludf.DUMMYFUNCTION("""COMPUTED_VALUE"""),"시아")</f>
        <v>시아</v>
      </c>
      <c r="M1495" s="26" t="str">
        <f>IFERROR(__xludf.DUMMYFUNCTION("""COMPUTED_VALUE"""),"ACDC")</f>
        <v>ACDC</v>
      </c>
      <c r="N1495" s="26" t="str">
        <f>IFERROR(__xludf.DUMMYFUNCTION("ARRAYFORMULA(REGEXEXTRACT(SPLIT(E1495, ""&lt;br&gt;""), ""([가-힣A-Za-z]+)""))"),"엘")</f>
        <v>엘</v>
      </c>
      <c r="O1495" s="26" t="str">
        <f>IFERROR(__xludf.DUMMYFUNCTION("""COMPUTED_VALUE"""),"미르진")</f>
        <v>미르진</v>
      </c>
      <c r="P1495" s="26" t="str">
        <f>IFERROR(__xludf.DUMMYFUNCTION("""COMPUTED_VALUE"""),"웅")</f>
        <v>웅</v>
      </c>
      <c r="Q1495" s="26" t="str">
        <f>IFERROR(__xludf.DUMMYFUNCTION("""COMPUTED_VALUE"""),"랄")</f>
        <v>랄</v>
      </c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</row>
    <row r="1496">
      <c r="A1496" s="27" t="s">
        <v>6236</v>
      </c>
      <c r="B1496" s="28" t="s">
        <v>6237</v>
      </c>
      <c r="C1496" s="27" t="s">
        <v>6238</v>
      </c>
      <c r="D1496" s="27">
        <v>5.0</v>
      </c>
      <c r="E1496" s="27" t="s">
        <v>6239</v>
      </c>
      <c r="F1496" s="27">
        <v>3.0</v>
      </c>
      <c r="G1496" s="29">
        <v>45591.0625</v>
      </c>
      <c r="H1496" s="27" t="s">
        <v>5526</v>
      </c>
      <c r="I1496" s="18"/>
      <c r="J1496" s="25" t="str">
        <f>IFERROR(__xludf.DUMMYFUNCTION("ARRAYFORMULA(REGEXEXTRACT(SPLIT(C1496, ""&lt;br&gt;""), ""([가-힣A-Za-z]+)""))"),"한메")</f>
        <v>한메</v>
      </c>
      <c r="K1496" s="26" t="str">
        <f>IFERROR(__xludf.DUMMYFUNCTION("""COMPUTED_VALUE"""),"강화")</f>
        <v>강화</v>
      </c>
      <c r="L1496" s="26" t="str">
        <f>IFERROR(__xludf.DUMMYFUNCTION("""COMPUTED_VALUE"""),"ACDC")</f>
        <v>ACDC</v>
      </c>
      <c r="M1496" s="26" t="str">
        <f>IFERROR(__xludf.DUMMYFUNCTION("""COMPUTED_VALUE"""),"깡패")</f>
        <v>깡패</v>
      </c>
      <c r="N1496" s="26" t="str">
        <f>IFERROR(__xludf.DUMMYFUNCTION("ARRAYFORMULA(REGEXEXTRACT(SPLIT(E1496, ""&lt;br&gt;""), ""([가-힣A-Za-z]+)""))"),"랄")</f>
        <v>랄</v>
      </c>
      <c r="O1496" s="26" t="str">
        <f>IFERROR(__xludf.DUMMYFUNCTION("""COMPUTED_VALUE"""),"재명")</f>
        <v>재명</v>
      </c>
      <c r="P1496" s="26" t="str">
        <f>IFERROR(__xludf.DUMMYFUNCTION("""COMPUTED_VALUE"""),"시아")</f>
        <v>시아</v>
      </c>
      <c r="Q1496" s="26" t="str">
        <f>IFERROR(__xludf.DUMMYFUNCTION("""COMPUTED_VALUE"""),"신형만")</f>
        <v>신형만</v>
      </c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</row>
    <row r="1497">
      <c r="A1497" s="27" t="s">
        <v>6240</v>
      </c>
      <c r="B1497" s="28" t="s">
        <v>6241</v>
      </c>
      <c r="C1497" s="27" t="s">
        <v>6242</v>
      </c>
      <c r="D1497" s="27">
        <v>5.0</v>
      </c>
      <c r="E1497" s="27" t="s">
        <v>6243</v>
      </c>
      <c r="F1497" s="27">
        <v>4.0</v>
      </c>
      <c r="G1497" s="29">
        <v>45591.02916666667</v>
      </c>
      <c r="H1497" s="27" t="s">
        <v>5526</v>
      </c>
      <c r="I1497" s="18"/>
      <c r="J1497" s="25" t="str">
        <f>IFERROR(__xludf.DUMMYFUNCTION("ARRAYFORMULA(REGEXEXTRACT(SPLIT(C1497, ""&lt;br&gt;""), ""([가-힣A-Za-z]+)""))"),"강화")</f>
        <v>강화</v>
      </c>
      <c r="K1497" s="26" t="str">
        <f>IFERROR(__xludf.DUMMYFUNCTION("""COMPUTED_VALUE"""),"신형만")</f>
        <v>신형만</v>
      </c>
      <c r="L1497" s="26" t="str">
        <f>IFERROR(__xludf.DUMMYFUNCTION("""COMPUTED_VALUE"""),"시아")</f>
        <v>시아</v>
      </c>
      <c r="M1497" s="26" t="str">
        <f>IFERROR(__xludf.DUMMYFUNCTION("""COMPUTED_VALUE"""),"한메")</f>
        <v>한메</v>
      </c>
      <c r="N1497" s="26" t="str">
        <f>IFERROR(__xludf.DUMMYFUNCTION("ARRAYFORMULA(REGEXEXTRACT(SPLIT(E1497, ""&lt;br&gt;""), ""([가-힣A-Za-z]+)""))"),"랄")</f>
        <v>랄</v>
      </c>
      <c r="O1497" s="26" t="str">
        <f>IFERROR(__xludf.DUMMYFUNCTION("""COMPUTED_VALUE"""),"ACDC")</f>
        <v>ACDC</v>
      </c>
      <c r="P1497" s="26" t="str">
        <f>IFERROR(__xludf.DUMMYFUNCTION("""COMPUTED_VALUE"""),"재명")</f>
        <v>재명</v>
      </c>
      <c r="Q1497" s="26" t="str">
        <f>IFERROR(__xludf.DUMMYFUNCTION("""COMPUTED_VALUE"""),"깡패")</f>
        <v>깡패</v>
      </c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</row>
    <row r="1498">
      <c r="A1498" s="27" t="s">
        <v>6244</v>
      </c>
      <c r="B1498" s="28" t="s">
        <v>6245</v>
      </c>
      <c r="C1498" s="27" t="s">
        <v>6246</v>
      </c>
      <c r="D1498" s="27">
        <v>5.0</v>
      </c>
      <c r="E1498" s="27" t="s">
        <v>6247</v>
      </c>
      <c r="F1498" s="27">
        <v>3.0</v>
      </c>
      <c r="G1498" s="29">
        <v>45591.00208333333</v>
      </c>
      <c r="H1498" s="27" t="s">
        <v>5526</v>
      </c>
      <c r="I1498" s="18"/>
      <c r="J1498" s="25" t="str">
        <f>IFERROR(__xludf.DUMMYFUNCTION("ARRAYFORMULA(REGEXEXTRACT(SPLIT(C1498, ""&lt;br&gt;""), ""([가-힣A-Za-z]+)""))"),"깡패")</f>
        <v>깡패</v>
      </c>
      <c r="K1498" s="26" t="str">
        <f>IFERROR(__xludf.DUMMYFUNCTION("""COMPUTED_VALUE"""),"한메")</f>
        <v>한메</v>
      </c>
      <c r="L1498" s="26" t="str">
        <f>IFERROR(__xludf.DUMMYFUNCTION("""COMPUTED_VALUE"""),"ACDC")</f>
        <v>ACDC</v>
      </c>
      <c r="M1498" s="26" t="str">
        <f>IFERROR(__xludf.DUMMYFUNCTION("""COMPUTED_VALUE"""),"랄")</f>
        <v>랄</v>
      </c>
      <c r="N1498" s="26" t="str">
        <f>IFERROR(__xludf.DUMMYFUNCTION("ARRAYFORMULA(REGEXEXTRACT(SPLIT(E1498, ""&lt;br&gt;""), ""([가-힣A-Za-z]+)""))"),"강화")</f>
        <v>강화</v>
      </c>
      <c r="O1498" s="26" t="str">
        <f>IFERROR(__xludf.DUMMYFUNCTION("""COMPUTED_VALUE"""),"신형만")</f>
        <v>신형만</v>
      </c>
      <c r="P1498" s="26" t="str">
        <f>IFERROR(__xludf.DUMMYFUNCTION("""COMPUTED_VALUE"""),"시아")</f>
        <v>시아</v>
      </c>
      <c r="Q1498" s="26" t="str">
        <f>IFERROR(__xludf.DUMMYFUNCTION("""COMPUTED_VALUE"""),"재명")</f>
        <v>재명</v>
      </c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  <c r="AB1498" s="18"/>
    </row>
    <row r="1499">
      <c r="A1499" s="27" t="s">
        <v>6248</v>
      </c>
      <c r="B1499" s="28" t="s">
        <v>6249</v>
      </c>
      <c r="C1499" s="27" t="s">
        <v>6250</v>
      </c>
      <c r="D1499" s="27">
        <v>5.0</v>
      </c>
      <c r="E1499" s="27" t="s">
        <v>6251</v>
      </c>
      <c r="F1499" s="27">
        <v>2.0</v>
      </c>
      <c r="G1499" s="29">
        <v>45590.978472222225</v>
      </c>
      <c r="H1499" s="27" t="s">
        <v>5526</v>
      </c>
      <c r="I1499" s="18"/>
      <c r="J1499" s="25" t="str">
        <f>IFERROR(__xludf.DUMMYFUNCTION("ARRAYFORMULA(REGEXEXTRACT(SPLIT(C1499, ""&lt;br&gt;""), ""([가-힣A-Za-z]+)""))"),"신형만")</f>
        <v>신형만</v>
      </c>
      <c r="K1499" s="26" t="str">
        <f>IFERROR(__xludf.DUMMYFUNCTION("""COMPUTED_VALUE"""),"깡패")</f>
        <v>깡패</v>
      </c>
      <c r="L1499" s="26" t="str">
        <f>IFERROR(__xludf.DUMMYFUNCTION("""COMPUTED_VALUE"""),"시아")</f>
        <v>시아</v>
      </c>
      <c r="M1499" s="26" t="str">
        <f>IFERROR(__xludf.DUMMYFUNCTION("""COMPUTED_VALUE"""),"재명")</f>
        <v>재명</v>
      </c>
      <c r="N1499" s="26" t="str">
        <f>IFERROR(__xludf.DUMMYFUNCTION("ARRAYFORMULA(REGEXEXTRACT(SPLIT(E1499, ""&lt;br&gt;""), ""([가-힣A-Za-z]+)""))"),"ACDC")</f>
        <v>ACDC</v>
      </c>
      <c r="O1499" s="26" t="str">
        <f>IFERROR(__xludf.DUMMYFUNCTION("""COMPUTED_VALUE"""),"랄")</f>
        <v>랄</v>
      </c>
      <c r="P1499" s="26" t="str">
        <f>IFERROR(__xludf.DUMMYFUNCTION("""COMPUTED_VALUE"""),"한메")</f>
        <v>한메</v>
      </c>
      <c r="Q1499" s="26" t="str">
        <f>IFERROR(__xludf.DUMMYFUNCTION("""COMPUTED_VALUE"""),"강화")</f>
        <v>강화</v>
      </c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</row>
    <row r="1500">
      <c r="A1500" s="27" t="s">
        <v>6252</v>
      </c>
      <c r="B1500" s="28" t="s">
        <v>6253</v>
      </c>
      <c r="C1500" s="27" t="s">
        <v>6254</v>
      </c>
      <c r="D1500" s="27">
        <v>5.0</v>
      </c>
      <c r="E1500" s="27" t="s">
        <v>6255</v>
      </c>
      <c r="F1500" s="27">
        <v>3.0</v>
      </c>
      <c r="G1500" s="29">
        <v>45590.955555555556</v>
      </c>
      <c r="H1500" s="27" t="s">
        <v>5526</v>
      </c>
      <c r="I1500" s="18"/>
      <c r="J1500" s="25" t="str">
        <f>IFERROR(__xludf.DUMMYFUNCTION("ARRAYFORMULA(REGEXEXTRACT(SPLIT(C1500, ""&lt;br&gt;""), ""([가-힣A-Za-z]+)""))"),"한메")</f>
        <v>한메</v>
      </c>
      <c r="K1500" s="26" t="str">
        <f>IFERROR(__xludf.DUMMYFUNCTION("""COMPUTED_VALUE"""),"강화")</f>
        <v>강화</v>
      </c>
      <c r="L1500" s="26" t="str">
        <f>IFERROR(__xludf.DUMMYFUNCTION("""COMPUTED_VALUE"""),"랄")</f>
        <v>랄</v>
      </c>
      <c r="M1500" s="26" t="str">
        <f>IFERROR(__xludf.DUMMYFUNCTION("""COMPUTED_VALUE"""),"신형만")</f>
        <v>신형만</v>
      </c>
      <c r="N1500" s="26" t="str">
        <f>IFERROR(__xludf.DUMMYFUNCTION("ARRAYFORMULA(REGEXEXTRACT(SPLIT(E1500, ""&lt;br&gt;""), ""([가-힣A-Za-z]+)""))"),"재명")</f>
        <v>재명</v>
      </c>
      <c r="O1500" s="26" t="str">
        <f>IFERROR(__xludf.DUMMYFUNCTION("""COMPUTED_VALUE"""),"ACDC")</f>
        <v>ACDC</v>
      </c>
      <c r="P1500" s="26" t="str">
        <f>IFERROR(__xludf.DUMMYFUNCTION("""COMPUTED_VALUE"""),"요즘")</f>
        <v>요즘</v>
      </c>
      <c r="Q1500" s="26" t="str">
        <f>IFERROR(__xludf.DUMMYFUNCTION("""COMPUTED_VALUE"""),"깡패")</f>
        <v>깡패</v>
      </c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</row>
    <row r="1501">
      <c r="A1501" s="27" t="s">
        <v>6256</v>
      </c>
      <c r="B1501" s="28" t="s">
        <v>6257</v>
      </c>
      <c r="C1501" s="27" t="s">
        <v>6258</v>
      </c>
      <c r="D1501" s="27">
        <v>5.0</v>
      </c>
      <c r="E1501" s="27" t="s">
        <v>6259</v>
      </c>
      <c r="F1501" s="27">
        <v>3.0</v>
      </c>
      <c r="G1501" s="29">
        <v>45589.972916666666</v>
      </c>
      <c r="H1501" s="27" t="s">
        <v>5526</v>
      </c>
      <c r="I1501" s="18"/>
      <c r="J1501" s="25" t="str">
        <f>IFERROR(__xludf.DUMMYFUNCTION("ARRAYFORMULA(REGEXEXTRACT(SPLIT(C1501, ""&lt;br&gt;""), ""([가-힣A-Za-z]+)""))"),"요즘")</f>
        <v>요즘</v>
      </c>
      <c r="K1501" s="26" t="str">
        <f>IFERROR(__xludf.DUMMYFUNCTION("""COMPUTED_VALUE"""),"노픽업")</f>
        <v>노픽업</v>
      </c>
      <c r="L1501" s="26" t="str">
        <f>IFERROR(__xludf.DUMMYFUNCTION("""COMPUTED_VALUE"""),"미등록")</f>
        <v>미등록</v>
      </c>
      <c r="M1501" s="26" t="str">
        <f>IFERROR(__xludf.DUMMYFUNCTION("""COMPUTED_VALUE"""),"ACDC")</f>
        <v>ACDC</v>
      </c>
      <c r="N1501" s="26" t="str">
        <f>IFERROR(__xludf.DUMMYFUNCTION("ARRAYFORMULA(REGEXEXTRACT(SPLIT(E1501, ""&lt;br&gt;""), ""([가-힣A-Za-z]+)""))"),"한메")</f>
        <v>한메</v>
      </c>
      <c r="O1501" s="26" t="str">
        <f>IFERROR(__xludf.DUMMYFUNCTION("""COMPUTED_VALUE"""),"재명")</f>
        <v>재명</v>
      </c>
      <c r="P1501" s="26" t="str">
        <f>IFERROR(__xludf.DUMMYFUNCTION("""COMPUTED_VALUE"""),"재우")</f>
        <v>재우</v>
      </c>
      <c r="Q1501" s="26" t="str">
        <f>IFERROR(__xludf.DUMMYFUNCTION("""COMPUTED_VALUE"""),"신형만")</f>
        <v>신형만</v>
      </c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</row>
    <row r="1502">
      <c r="A1502" s="27" t="s">
        <v>6260</v>
      </c>
      <c r="B1502" s="28" t="s">
        <v>6261</v>
      </c>
      <c r="C1502" s="27" t="s">
        <v>6262</v>
      </c>
      <c r="D1502" s="27">
        <v>5.0</v>
      </c>
      <c r="E1502" s="27" t="s">
        <v>6263</v>
      </c>
      <c r="F1502" s="27">
        <v>4.0</v>
      </c>
      <c r="G1502" s="29">
        <v>45589.95763888889</v>
      </c>
      <c r="H1502" s="27" t="s">
        <v>5526</v>
      </c>
      <c r="I1502" s="18"/>
      <c r="J1502" s="25" t="str">
        <f>IFERROR(__xludf.DUMMYFUNCTION("ARRAYFORMULA(REGEXEXTRACT(SPLIT(C1502, ""&lt;br&gt;""), ""([가-힣A-Za-z]+)""))"),"ACDC")</f>
        <v>ACDC</v>
      </c>
      <c r="K1502" s="26" t="str">
        <f>IFERROR(__xludf.DUMMYFUNCTION("""COMPUTED_VALUE"""),"재명")</f>
        <v>재명</v>
      </c>
      <c r="L1502" s="26" t="str">
        <f>IFERROR(__xludf.DUMMYFUNCTION("""COMPUTED_VALUE"""),"테리")</f>
        <v>테리</v>
      </c>
      <c r="M1502" s="26" t="str">
        <f>IFERROR(__xludf.DUMMYFUNCTION("""COMPUTED_VALUE"""),"재우")</f>
        <v>재우</v>
      </c>
      <c r="N1502" s="26" t="str">
        <f>IFERROR(__xludf.DUMMYFUNCTION("ARRAYFORMULA(REGEXEXTRACT(SPLIT(E1502, ""&lt;br&gt;""), ""([가-힣A-Za-z]+)""))"),"요즘")</f>
        <v>요즘</v>
      </c>
      <c r="O1502" s="26" t="str">
        <f>IFERROR(__xludf.DUMMYFUNCTION("""COMPUTED_VALUE"""),"봉구")</f>
        <v>봉구</v>
      </c>
      <c r="P1502" s="26" t="str">
        <f>IFERROR(__xludf.DUMMYFUNCTION("""COMPUTED_VALUE"""),"한메")</f>
        <v>한메</v>
      </c>
      <c r="Q1502" s="26" t="str">
        <f>IFERROR(__xludf.DUMMYFUNCTION("""COMPUTED_VALUE"""),"신형만")</f>
        <v>신형만</v>
      </c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  <c r="AB1502" s="18"/>
    </row>
    <row r="1503">
      <c r="A1503" s="27" t="s">
        <v>6264</v>
      </c>
      <c r="B1503" s="28" t="s">
        <v>6265</v>
      </c>
      <c r="C1503" s="27" t="s">
        <v>6266</v>
      </c>
      <c r="D1503" s="27">
        <v>5.0</v>
      </c>
      <c r="E1503" s="27" t="s">
        <v>6267</v>
      </c>
      <c r="F1503" s="27">
        <v>4.0</v>
      </c>
      <c r="G1503" s="29">
        <v>45589.9125</v>
      </c>
      <c r="H1503" s="27" t="s">
        <v>5526</v>
      </c>
      <c r="I1503" s="18"/>
      <c r="J1503" s="25" t="str">
        <f>IFERROR(__xludf.DUMMYFUNCTION("ARRAYFORMULA(REGEXEXTRACT(SPLIT(C1503, ""&lt;br&gt;""), ""([가-힣A-Za-z]+)""))"),"한메")</f>
        <v>한메</v>
      </c>
      <c r="K1503" s="26" t="str">
        <f>IFERROR(__xludf.DUMMYFUNCTION("""COMPUTED_VALUE"""),"재명")</f>
        <v>재명</v>
      </c>
      <c r="L1503" s="26" t="str">
        <f>IFERROR(__xludf.DUMMYFUNCTION("""COMPUTED_VALUE"""),"요즘")</f>
        <v>요즘</v>
      </c>
      <c r="M1503" s="26" t="str">
        <f>IFERROR(__xludf.DUMMYFUNCTION("""COMPUTED_VALUE"""),"재우")</f>
        <v>재우</v>
      </c>
      <c r="N1503" s="26" t="str">
        <f>IFERROR(__xludf.DUMMYFUNCTION("ARRAYFORMULA(REGEXEXTRACT(SPLIT(E1503, ""&lt;br&gt;""), ""([가-힣A-Za-z]+)""))"),"신형만")</f>
        <v>신형만</v>
      </c>
      <c r="O1503" s="26" t="str">
        <f>IFERROR(__xludf.DUMMYFUNCTION("""COMPUTED_VALUE"""),"ACDC")</f>
        <v>ACDC</v>
      </c>
      <c r="P1503" s="26" t="str">
        <f>IFERROR(__xludf.DUMMYFUNCTION("""COMPUTED_VALUE"""),"테리")</f>
        <v>테리</v>
      </c>
      <c r="Q1503" s="26" t="str">
        <f>IFERROR(__xludf.DUMMYFUNCTION("""COMPUTED_VALUE"""),"봉구")</f>
        <v>봉구</v>
      </c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</row>
    <row r="1504">
      <c r="A1504" s="27" t="s">
        <v>6268</v>
      </c>
      <c r="B1504" s="28" t="s">
        <v>6269</v>
      </c>
      <c r="C1504" s="27" t="s">
        <v>6262</v>
      </c>
      <c r="D1504" s="27">
        <v>5.0</v>
      </c>
      <c r="E1504" s="27" t="s">
        <v>6270</v>
      </c>
      <c r="F1504" s="27">
        <v>0.0</v>
      </c>
      <c r="G1504" s="29">
        <v>45589.88055555556</v>
      </c>
      <c r="H1504" s="27" t="s">
        <v>5526</v>
      </c>
      <c r="I1504" s="18"/>
      <c r="J1504" s="25" t="str">
        <f>IFERROR(__xludf.DUMMYFUNCTION("ARRAYFORMULA(REGEXEXTRACT(SPLIT(C1504, ""&lt;br&gt;""), ""([가-힣A-Za-z]+)""))"),"ACDC")</f>
        <v>ACDC</v>
      </c>
      <c r="K1504" s="26" t="str">
        <f>IFERROR(__xludf.DUMMYFUNCTION("""COMPUTED_VALUE"""),"재명")</f>
        <v>재명</v>
      </c>
      <c r="L1504" s="26" t="str">
        <f>IFERROR(__xludf.DUMMYFUNCTION("""COMPUTED_VALUE"""),"테리")</f>
        <v>테리</v>
      </c>
      <c r="M1504" s="26" t="str">
        <f>IFERROR(__xludf.DUMMYFUNCTION("""COMPUTED_VALUE"""),"재우")</f>
        <v>재우</v>
      </c>
      <c r="N1504" s="26" t="str">
        <f>IFERROR(__xludf.DUMMYFUNCTION("ARRAYFORMULA(REGEXEXTRACT(SPLIT(E1504, ""&lt;br&gt;""), ""([가-힣A-Za-z]+)""))"),"요즘")</f>
        <v>요즘</v>
      </c>
      <c r="O1504" s="26" t="str">
        <f>IFERROR(__xludf.DUMMYFUNCTION("""COMPUTED_VALUE"""),"봉구")</f>
        <v>봉구</v>
      </c>
      <c r="P1504" s="26" t="str">
        <f>IFERROR(__xludf.DUMMYFUNCTION("""COMPUTED_VALUE"""),"신형만")</f>
        <v>신형만</v>
      </c>
      <c r="Q1504" s="26" t="str">
        <f>IFERROR(__xludf.DUMMYFUNCTION("""COMPUTED_VALUE"""),"한메")</f>
        <v>한메</v>
      </c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</row>
    <row r="1505">
      <c r="A1505" s="27" t="s">
        <v>6271</v>
      </c>
      <c r="B1505" s="28" t="s">
        <v>6272</v>
      </c>
      <c r="C1505" s="27" t="s">
        <v>6273</v>
      </c>
      <c r="D1505" s="27">
        <v>5.0</v>
      </c>
      <c r="E1505" s="27" t="s">
        <v>6274</v>
      </c>
      <c r="F1505" s="27">
        <v>2.0</v>
      </c>
      <c r="G1505" s="29">
        <v>45589.86319444444</v>
      </c>
      <c r="H1505" s="27" t="s">
        <v>5526</v>
      </c>
      <c r="I1505" s="18"/>
      <c r="J1505" s="25" t="str">
        <f>IFERROR(__xludf.DUMMYFUNCTION("ARRAYFORMULA(REGEXEXTRACT(SPLIT(C1505, ""&lt;br&gt;""), ""([가-힣A-Za-z]+)""))"),"ACDC")</f>
        <v>ACDC</v>
      </c>
      <c r="K1505" s="26" t="str">
        <f>IFERROR(__xludf.DUMMYFUNCTION("""COMPUTED_VALUE"""),"재명")</f>
        <v>재명</v>
      </c>
      <c r="L1505" s="26" t="str">
        <f>IFERROR(__xludf.DUMMYFUNCTION("""COMPUTED_VALUE"""),"요즘")</f>
        <v>요즘</v>
      </c>
      <c r="M1505" s="26" t="str">
        <f>IFERROR(__xludf.DUMMYFUNCTION("""COMPUTED_VALUE"""),"신형만")</f>
        <v>신형만</v>
      </c>
      <c r="N1505" s="26" t="str">
        <f>IFERROR(__xludf.DUMMYFUNCTION("ARRAYFORMULA(REGEXEXTRACT(SPLIT(E1505, ""&lt;br&gt;""), ""([가-힣A-Za-z]+)""))"),"한메")</f>
        <v>한메</v>
      </c>
      <c r="O1505" s="26" t="str">
        <f>IFERROR(__xludf.DUMMYFUNCTION("""COMPUTED_VALUE"""),"봉구")</f>
        <v>봉구</v>
      </c>
      <c r="P1505" s="26" t="str">
        <f>IFERROR(__xludf.DUMMYFUNCTION("""COMPUTED_VALUE"""),"테리")</f>
        <v>테리</v>
      </c>
      <c r="Q1505" s="26" t="str">
        <f>IFERROR(__xludf.DUMMYFUNCTION("""COMPUTED_VALUE"""),"재우")</f>
        <v>재우</v>
      </c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</row>
    <row r="1506">
      <c r="A1506" s="27" t="s">
        <v>6275</v>
      </c>
      <c r="B1506" s="28" t="s">
        <v>6276</v>
      </c>
      <c r="C1506" s="27" t="s">
        <v>6277</v>
      </c>
      <c r="D1506" s="27">
        <v>5.0</v>
      </c>
      <c r="E1506" s="27" t="s">
        <v>6278</v>
      </c>
      <c r="F1506" s="27">
        <v>2.0</v>
      </c>
      <c r="G1506" s="29">
        <v>45570.06527777778</v>
      </c>
      <c r="H1506" s="27" t="s">
        <v>6279</v>
      </c>
      <c r="I1506" s="18"/>
      <c r="J1506" s="25" t="str">
        <f>IFERROR(__xludf.DUMMYFUNCTION("ARRAYFORMULA(REGEXEXTRACT(SPLIT(C1506, ""&lt;br&gt;""), ""([가-힣A-Za-z]+)""))"),"미등록")</f>
        <v>미등록</v>
      </c>
      <c r="K1506" s="26" t="str">
        <f>IFERROR(__xludf.DUMMYFUNCTION("""COMPUTED_VALUE"""),"미르진")</f>
        <v>미르진</v>
      </c>
      <c r="L1506" s="26" t="str">
        <f>IFERROR(__xludf.DUMMYFUNCTION("""COMPUTED_VALUE"""),"재명")</f>
        <v>재명</v>
      </c>
      <c r="M1506" s="26" t="str">
        <f>IFERROR(__xludf.DUMMYFUNCTION("""COMPUTED_VALUE"""),"한메")</f>
        <v>한메</v>
      </c>
      <c r="N1506" s="26" t="str">
        <f>IFERROR(__xludf.DUMMYFUNCTION("ARRAYFORMULA(REGEXEXTRACT(SPLIT(E1506, ""&lt;br&gt;""), ""([가-힣A-Za-z]+)""))"),"강화")</f>
        <v>강화</v>
      </c>
      <c r="O1506" s="26" t="str">
        <f>IFERROR(__xludf.DUMMYFUNCTION("""COMPUTED_VALUE"""),"신형만")</f>
        <v>신형만</v>
      </c>
      <c r="P1506" s="26" t="str">
        <f>IFERROR(__xludf.DUMMYFUNCTION("""COMPUTED_VALUE"""),"구리다")</f>
        <v>구리다</v>
      </c>
      <c r="Q1506" s="26" t="str">
        <f>IFERROR(__xludf.DUMMYFUNCTION("""COMPUTED_VALUE"""),"엘")</f>
        <v>엘</v>
      </c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</row>
    <row r="1507">
      <c r="A1507" s="27" t="s">
        <v>6280</v>
      </c>
      <c r="B1507" s="28" t="s">
        <v>6281</v>
      </c>
      <c r="C1507" s="27" t="s">
        <v>6282</v>
      </c>
      <c r="D1507" s="27">
        <v>5.0</v>
      </c>
      <c r="E1507" s="27" t="s">
        <v>6283</v>
      </c>
      <c r="F1507" s="27">
        <v>3.0</v>
      </c>
      <c r="G1507" s="29">
        <v>45570.04652777778</v>
      </c>
      <c r="H1507" s="27" t="s">
        <v>6279</v>
      </c>
      <c r="I1507" s="18"/>
      <c r="J1507" s="25" t="str">
        <f>IFERROR(__xludf.DUMMYFUNCTION("ARRAYFORMULA(REGEXEXTRACT(SPLIT(C1507, ""&lt;br&gt;""), ""([가-힣A-Za-z]+)""))"),"미르진")</f>
        <v>미르진</v>
      </c>
      <c r="K1507" s="26" t="str">
        <f>IFERROR(__xludf.DUMMYFUNCTION("""COMPUTED_VALUE"""),"구리다")</f>
        <v>구리다</v>
      </c>
      <c r="L1507" s="26" t="str">
        <f>IFERROR(__xludf.DUMMYFUNCTION("""COMPUTED_VALUE"""),"신형만")</f>
        <v>신형만</v>
      </c>
      <c r="M1507" s="26" t="str">
        <f>IFERROR(__xludf.DUMMYFUNCTION("""COMPUTED_VALUE"""),"강화")</f>
        <v>강화</v>
      </c>
      <c r="N1507" s="26" t="str">
        <f>IFERROR(__xludf.DUMMYFUNCTION("ARRAYFORMULA(REGEXEXTRACT(SPLIT(E1507, ""&lt;br&gt;""), ""([가-힣A-Za-z]+)""))"),"한메")</f>
        <v>한메</v>
      </c>
      <c r="O1507" s="26" t="str">
        <f>IFERROR(__xludf.DUMMYFUNCTION("""COMPUTED_VALUE"""),"재명")</f>
        <v>재명</v>
      </c>
      <c r="P1507" s="26" t="str">
        <f>IFERROR(__xludf.DUMMYFUNCTION("""COMPUTED_VALUE"""),"미등록")</f>
        <v>미등록</v>
      </c>
      <c r="Q1507" s="26" t="str">
        <f>IFERROR(__xludf.DUMMYFUNCTION("""COMPUTED_VALUE"""),"엘")</f>
        <v>엘</v>
      </c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</row>
    <row r="1508">
      <c r="A1508" s="27" t="s">
        <v>6284</v>
      </c>
      <c r="B1508" s="28" t="s">
        <v>6285</v>
      </c>
      <c r="C1508" s="27" t="s">
        <v>6286</v>
      </c>
      <c r="D1508" s="27">
        <v>5.0</v>
      </c>
      <c r="E1508" s="27" t="s">
        <v>6287</v>
      </c>
      <c r="F1508" s="27">
        <v>4.0</v>
      </c>
      <c r="G1508" s="29">
        <v>45570.001388888886</v>
      </c>
      <c r="H1508" s="27" t="s">
        <v>6279</v>
      </c>
      <c r="I1508" s="18"/>
      <c r="J1508" s="25" t="str">
        <f>IFERROR(__xludf.DUMMYFUNCTION("ARRAYFORMULA(REGEXEXTRACT(SPLIT(C1508, ""&lt;br&gt;""), ""([가-힣A-Za-z]+)""))"),"웅")</f>
        <v>웅</v>
      </c>
      <c r="K1508" s="26" t="str">
        <f>IFERROR(__xludf.DUMMYFUNCTION("""COMPUTED_VALUE"""),"재명")</f>
        <v>재명</v>
      </c>
      <c r="L1508" s="26" t="str">
        <f>IFERROR(__xludf.DUMMYFUNCTION("""COMPUTED_VALUE"""),"구리다")</f>
        <v>구리다</v>
      </c>
      <c r="M1508" s="26" t="str">
        <f>IFERROR(__xludf.DUMMYFUNCTION("""COMPUTED_VALUE"""),"강화")</f>
        <v>강화</v>
      </c>
      <c r="N1508" s="26" t="str">
        <f>IFERROR(__xludf.DUMMYFUNCTION("ARRAYFORMULA(REGEXEXTRACT(SPLIT(E1508, ""&lt;br&gt;""), ""([가-힣A-Za-z]+)""))"),"ACDC")</f>
        <v>ACDC</v>
      </c>
      <c r="O1508" s="26" t="str">
        <f>IFERROR(__xludf.DUMMYFUNCTION("""COMPUTED_VALUE"""),"한메")</f>
        <v>한메</v>
      </c>
      <c r="P1508" s="26" t="str">
        <f>IFERROR(__xludf.DUMMYFUNCTION("""COMPUTED_VALUE"""),"미르진")</f>
        <v>미르진</v>
      </c>
      <c r="Q1508" s="26" t="str">
        <f>IFERROR(__xludf.DUMMYFUNCTION("""COMPUTED_VALUE"""),"엘")</f>
        <v>엘</v>
      </c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  <c r="AB1508" s="18"/>
    </row>
    <row r="1509">
      <c r="A1509" s="27" t="s">
        <v>6288</v>
      </c>
      <c r="B1509" s="28" t="s">
        <v>6289</v>
      </c>
      <c r="C1509" s="27" t="s">
        <v>6290</v>
      </c>
      <c r="D1509" s="27">
        <v>5.0</v>
      </c>
      <c r="E1509" s="27" t="s">
        <v>6291</v>
      </c>
      <c r="F1509" s="27">
        <v>2.0</v>
      </c>
      <c r="G1509" s="29">
        <v>45569.96666666667</v>
      </c>
      <c r="H1509" s="27" t="s">
        <v>6279</v>
      </c>
      <c r="I1509" s="18"/>
      <c r="J1509" s="25" t="str">
        <f>IFERROR(__xludf.DUMMYFUNCTION("ARRAYFORMULA(REGEXEXTRACT(SPLIT(C1509, ""&lt;br&gt;""), ""([가-힣A-Za-z]+)""))"),"강화")</f>
        <v>강화</v>
      </c>
      <c r="K1509" s="26" t="str">
        <f>IFERROR(__xludf.DUMMYFUNCTION("""COMPUTED_VALUE"""),"재명")</f>
        <v>재명</v>
      </c>
      <c r="L1509" s="26" t="str">
        <f>IFERROR(__xludf.DUMMYFUNCTION("""COMPUTED_VALUE"""),"테리")</f>
        <v>테리</v>
      </c>
      <c r="M1509" s="26" t="str">
        <f>IFERROR(__xludf.DUMMYFUNCTION("""COMPUTED_VALUE"""),"미르진")</f>
        <v>미르진</v>
      </c>
      <c r="N1509" s="26" t="str">
        <f>IFERROR(__xludf.DUMMYFUNCTION("ARRAYFORMULA(REGEXEXTRACT(SPLIT(E1509, ""&lt;br&gt;""), ""([가-힣A-Za-z]+)""))"),"엘")</f>
        <v>엘</v>
      </c>
      <c r="O1509" s="26" t="str">
        <f>IFERROR(__xludf.DUMMYFUNCTION("""COMPUTED_VALUE"""),"한메")</f>
        <v>한메</v>
      </c>
      <c r="P1509" s="26" t="str">
        <f>IFERROR(__xludf.DUMMYFUNCTION("""COMPUTED_VALUE"""),"웅")</f>
        <v>웅</v>
      </c>
      <c r="Q1509" s="26" t="str">
        <f>IFERROR(__xludf.DUMMYFUNCTION("""COMPUTED_VALUE"""),"ACDC")</f>
        <v>ACDC</v>
      </c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</row>
    <row r="1510">
      <c r="A1510" s="27" t="s">
        <v>6292</v>
      </c>
      <c r="B1510" s="28" t="s">
        <v>6293</v>
      </c>
      <c r="C1510" s="27" t="s">
        <v>6294</v>
      </c>
      <c r="D1510" s="27">
        <v>5.0</v>
      </c>
      <c r="E1510" s="27" t="s">
        <v>6295</v>
      </c>
      <c r="F1510" s="27">
        <v>3.0</v>
      </c>
      <c r="G1510" s="29">
        <v>45569.944444444445</v>
      </c>
      <c r="H1510" s="27" t="s">
        <v>6279</v>
      </c>
      <c r="I1510" s="18"/>
      <c r="J1510" s="25" t="str">
        <f>IFERROR(__xludf.DUMMYFUNCTION("ARRAYFORMULA(REGEXEXTRACT(SPLIT(C1510, ""&lt;br&gt;""), ""([가-힣A-Za-z]+)""))"),"재명")</f>
        <v>재명</v>
      </c>
      <c r="K1510" s="26" t="str">
        <f>IFERROR(__xludf.DUMMYFUNCTION("""COMPUTED_VALUE"""),"ACDC")</f>
        <v>ACDC</v>
      </c>
      <c r="L1510" s="26" t="str">
        <f>IFERROR(__xludf.DUMMYFUNCTION("""COMPUTED_VALUE"""),"테리")</f>
        <v>테리</v>
      </c>
      <c r="M1510" s="26" t="str">
        <f>IFERROR(__xludf.DUMMYFUNCTION("""COMPUTED_VALUE"""),"미르진")</f>
        <v>미르진</v>
      </c>
      <c r="N1510" s="26" t="str">
        <f>IFERROR(__xludf.DUMMYFUNCTION("ARRAYFORMULA(REGEXEXTRACT(SPLIT(E1510, ""&lt;br&gt;""), ""([가-힣A-Za-z]+)""))"),"웅")</f>
        <v>웅</v>
      </c>
      <c r="O1510" s="26" t="str">
        <f>IFERROR(__xludf.DUMMYFUNCTION("""COMPUTED_VALUE"""),"한메")</f>
        <v>한메</v>
      </c>
      <c r="P1510" s="26" t="str">
        <f>IFERROR(__xludf.DUMMYFUNCTION("""COMPUTED_VALUE"""),"강화")</f>
        <v>강화</v>
      </c>
      <c r="Q1510" s="26" t="str">
        <f>IFERROR(__xludf.DUMMYFUNCTION("""COMPUTED_VALUE"""),"엘")</f>
        <v>엘</v>
      </c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</row>
    <row r="1511">
      <c r="A1511" s="27" t="s">
        <v>6296</v>
      </c>
      <c r="B1511" s="28" t="s">
        <v>6297</v>
      </c>
      <c r="C1511" s="27" t="s">
        <v>6298</v>
      </c>
      <c r="D1511" s="27">
        <v>5.0</v>
      </c>
      <c r="E1511" s="27" t="s">
        <v>6299</v>
      </c>
      <c r="F1511" s="27">
        <v>3.0</v>
      </c>
      <c r="G1511" s="29">
        <v>45569.02291666667</v>
      </c>
      <c r="H1511" s="27" t="s">
        <v>6279</v>
      </c>
      <c r="I1511" s="18"/>
      <c r="J1511" s="25" t="str">
        <f>IFERROR(__xludf.DUMMYFUNCTION("ARRAYFORMULA(REGEXEXTRACT(SPLIT(C1511, ""&lt;br&gt;""), ""([가-힣A-Za-z]+)""))"),"ACDC")</f>
        <v>ACDC</v>
      </c>
      <c r="K1511" s="26" t="str">
        <f>IFERROR(__xludf.DUMMYFUNCTION("""COMPUTED_VALUE"""),"신형만")</f>
        <v>신형만</v>
      </c>
      <c r="L1511" s="26" t="str">
        <f>IFERROR(__xludf.DUMMYFUNCTION("""COMPUTED_VALUE"""),"미등록")</f>
        <v>미등록</v>
      </c>
      <c r="M1511" s="26" t="str">
        <f>IFERROR(__xludf.DUMMYFUNCTION("""COMPUTED_VALUE"""),"깡패")</f>
        <v>깡패</v>
      </c>
      <c r="N1511" s="26" t="str">
        <f>IFERROR(__xludf.DUMMYFUNCTION("ARRAYFORMULA(REGEXEXTRACT(SPLIT(E1511, ""&lt;br&gt;""), ""([가-힣A-Za-z]+)""))"),"웅")</f>
        <v>웅</v>
      </c>
      <c r="O1511" s="26" t="str">
        <f>IFERROR(__xludf.DUMMYFUNCTION("""COMPUTED_VALUE"""),"한메")</f>
        <v>한메</v>
      </c>
      <c r="P1511" s="26" t="str">
        <f>IFERROR(__xludf.DUMMYFUNCTION("""COMPUTED_VALUE"""),"아이딘")</f>
        <v>아이딘</v>
      </c>
      <c r="Q1511" s="26" t="str">
        <f>IFERROR(__xludf.DUMMYFUNCTION("""COMPUTED_VALUE"""),"엘")</f>
        <v>엘</v>
      </c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</row>
    <row r="1512">
      <c r="A1512" s="27" t="s">
        <v>6300</v>
      </c>
      <c r="B1512" s="28" t="s">
        <v>6301</v>
      </c>
      <c r="C1512" s="27" t="s">
        <v>6302</v>
      </c>
      <c r="D1512" s="27">
        <v>5.0</v>
      </c>
      <c r="E1512" s="27" t="s">
        <v>6303</v>
      </c>
      <c r="F1512" s="27">
        <v>4.0</v>
      </c>
      <c r="G1512" s="29">
        <v>45568.99791666667</v>
      </c>
      <c r="H1512" s="27" t="s">
        <v>6279</v>
      </c>
      <c r="I1512" s="18"/>
      <c r="J1512" s="25" t="str">
        <f>IFERROR(__xludf.DUMMYFUNCTION("ARRAYFORMULA(REGEXEXTRACT(SPLIT(C1512, ""&lt;br&gt;""), ""([가-힣A-Za-z]+)""))"),"아이딘")</f>
        <v>아이딘</v>
      </c>
      <c r="K1512" s="26" t="str">
        <f>IFERROR(__xludf.DUMMYFUNCTION("""COMPUTED_VALUE"""),"한메")</f>
        <v>한메</v>
      </c>
      <c r="L1512" s="26" t="str">
        <f>IFERROR(__xludf.DUMMYFUNCTION("""COMPUTED_VALUE"""),"미등록")</f>
        <v>미등록</v>
      </c>
      <c r="M1512" s="26" t="str">
        <f>IFERROR(__xludf.DUMMYFUNCTION("""COMPUTED_VALUE"""),"신형만")</f>
        <v>신형만</v>
      </c>
      <c r="N1512" s="26" t="str">
        <f>IFERROR(__xludf.DUMMYFUNCTION("ARRAYFORMULA(REGEXEXTRACT(SPLIT(E1512, ""&lt;br&gt;""), ""([가-힣A-Za-z]+)""))"),"노인")</f>
        <v>노인</v>
      </c>
      <c r="O1512" s="26" t="str">
        <f>IFERROR(__xludf.DUMMYFUNCTION("""COMPUTED_VALUE"""),"깡패")</f>
        <v>깡패</v>
      </c>
      <c r="P1512" s="26" t="str">
        <f>IFERROR(__xludf.DUMMYFUNCTION("""COMPUTED_VALUE"""),"ACDC")</f>
        <v>ACDC</v>
      </c>
      <c r="Q1512" s="26" t="str">
        <f>IFERROR(__xludf.DUMMYFUNCTION("""COMPUTED_VALUE"""),"엘")</f>
        <v>엘</v>
      </c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</row>
    <row r="1513">
      <c r="A1513" s="27" t="s">
        <v>6304</v>
      </c>
      <c r="B1513" s="28" t="s">
        <v>6305</v>
      </c>
      <c r="C1513" s="27" t="s">
        <v>6306</v>
      </c>
      <c r="D1513" s="27">
        <v>5.0</v>
      </c>
      <c r="E1513" s="27" t="s">
        <v>6307</v>
      </c>
      <c r="F1513" s="27">
        <v>4.0</v>
      </c>
      <c r="G1513" s="29">
        <v>45568.979166666664</v>
      </c>
      <c r="H1513" s="27" t="s">
        <v>6279</v>
      </c>
      <c r="I1513" s="18"/>
      <c r="J1513" s="25" t="str">
        <f>IFERROR(__xludf.DUMMYFUNCTION("ARRAYFORMULA(REGEXEXTRACT(SPLIT(C1513, ""&lt;br&gt;""), ""([가-힣A-Za-z]+)""))"),"한메")</f>
        <v>한메</v>
      </c>
      <c r="K1513" s="26" t="str">
        <f>IFERROR(__xludf.DUMMYFUNCTION("""COMPUTED_VALUE"""),"ACDC")</f>
        <v>ACDC</v>
      </c>
      <c r="L1513" s="26" t="str">
        <f>IFERROR(__xludf.DUMMYFUNCTION("""COMPUTED_VALUE"""),"미등록")</f>
        <v>미등록</v>
      </c>
      <c r="M1513" s="26" t="str">
        <f>IFERROR(__xludf.DUMMYFUNCTION("""COMPUTED_VALUE"""),"신형만")</f>
        <v>신형만</v>
      </c>
      <c r="N1513" s="26" t="str">
        <f>IFERROR(__xludf.DUMMYFUNCTION("ARRAYFORMULA(REGEXEXTRACT(SPLIT(E1513, ""&lt;br&gt;""), ""([가-힣A-Za-z]+)""))"),"엘")</f>
        <v>엘</v>
      </c>
      <c r="O1513" s="26" t="str">
        <f>IFERROR(__xludf.DUMMYFUNCTION("""COMPUTED_VALUE"""),"노인")</f>
        <v>노인</v>
      </c>
      <c r="P1513" s="26" t="str">
        <f>IFERROR(__xludf.DUMMYFUNCTION("""COMPUTED_VALUE"""),"아이딘")</f>
        <v>아이딘</v>
      </c>
      <c r="Q1513" s="26" t="str">
        <f>IFERROR(__xludf.DUMMYFUNCTION("""COMPUTED_VALUE"""),"미등록")</f>
        <v>미등록</v>
      </c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</row>
    <row r="1514">
      <c r="A1514" s="27" t="s">
        <v>6308</v>
      </c>
      <c r="B1514" s="28" t="s">
        <v>6309</v>
      </c>
      <c r="C1514" s="27" t="s">
        <v>6310</v>
      </c>
      <c r="D1514" s="27">
        <v>5.0</v>
      </c>
      <c r="E1514" s="27" t="s">
        <v>6311</v>
      </c>
      <c r="F1514" s="27">
        <v>1.0</v>
      </c>
      <c r="G1514" s="29">
        <v>45568.95138888889</v>
      </c>
      <c r="H1514" s="27" t="s">
        <v>6279</v>
      </c>
      <c r="I1514" s="18"/>
      <c r="J1514" s="25" t="str">
        <f>IFERROR(__xludf.DUMMYFUNCTION("ARRAYFORMULA(REGEXEXTRACT(SPLIT(C1514, ""&lt;br&gt;""), ""([가-힣A-Za-z]+)""))"),"아이딘")</f>
        <v>아이딘</v>
      </c>
      <c r="K1514" s="26" t="str">
        <f>IFERROR(__xludf.DUMMYFUNCTION("""COMPUTED_VALUE"""),"신형만")</f>
        <v>신형만</v>
      </c>
      <c r="L1514" s="26" t="str">
        <f>IFERROR(__xludf.DUMMYFUNCTION("""COMPUTED_VALUE"""),"미등록")</f>
        <v>미등록</v>
      </c>
      <c r="M1514" s="26" t="str">
        <f>IFERROR(__xludf.DUMMYFUNCTION("""COMPUTED_VALUE"""),"미등록")</f>
        <v>미등록</v>
      </c>
      <c r="N1514" s="26" t="str">
        <f>IFERROR(__xludf.DUMMYFUNCTION("ARRAYFORMULA(REGEXEXTRACT(SPLIT(E1514, ""&lt;br&gt;""), ""([가-힣A-Za-z]+)""))"),"엘")</f>
        <v>엘</v>
      </c>
      <c r="O1514" s="26" t="str">
        <f>IFERROR(__xludf.DUMMYFUNCTION("""COMPUTED_VALUE"""),"노인")</f>
        <v>노인</v>
      </c>
      <c r="P1514" s="26" t="str">
        <f>IFERROR(__xludf.DUMMYFUNCTION("""COMPUTED_VALUE"""),"한메")</f>
        <v>한메</v>
      </c>
      <c r="Q1514" s="26" t="str">
        <f>IFERROR(__xludf.DUMMYFUNCTION("""COMPUTED_VALUE"""),"ACDC")</f>
        <v>ACDC</v>
      </c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  <c r="AB1514" s="18"/>
    </row>
    <row r="1515">
      <c r="A1515" s="27" t="s">
        <v>6312</v>
      </c>
      <c r="B1515" s="28" t="s">
        <v>6313</v>
      </c>
      <c r="C1515" s="27" t="s">
        <v>6314</v>
      </c>
      <c r="D1515" s="27">
        <v>5.0</v>
      </c>
      <c r="E1515" s="27" t="s">
        <v>6315</v>
      </c>
      <c r="F1515" s="27">
        <v>2.0</v>
      </c>
      <c r="G1515" s="29">
        <v>45568.00069444445</v>
      </c>
      <c r="H1515" s="27" t="s">
        <v>6279</v>
      </c>
      <c r="I1515" s="18"/>
      <c r="J1515" s="25" t="str">
        <f>IFERROR(__xludf.DUMMYFUNCTION("ARRAYFORMULA(REGEXEXTRACT(SPLIT(C1515, ""&lt;br&gt;""), ""([가-힣A-Za-z]+)""))"),"신형만")</f>
        <v>신형만</v>
      </c>
      <c r="K1515" s="26" t="str">
        <f>IFERROR(__xludf.DUMMYFUNCTION("""COMPUTED_VALUE"""),"재우")</f>
        <v>재우</v>
      </c>
      <c r="L1515" s="26" t="str">
        <f>IFERROR(__xludf.DUMMYFUNCTION("""COMPUTED_VALUE"""),"시아")</f>
        <v>시아</v>
      </c>
      <c r="M1515" s="26" t="str">
        <f>IFERROR(__xludf.DUMMYFUNCTION("""COMPUTED_VALUE"""),"깡패")</f>
        <v>깡패</v>
      </c>
      <c r="N1515" s="26" t="str">
        <f>IFERROR(__xludf.DUMMYFUNCTION("ARRAYFORMULA(REGEXEXTRACT(SPLIT(E1515, ""&lt;br&gt;""), ""([가-힣A-Za-z]+)""))"),"아이딘")</f>
        <v>아이딘</v>
      </c>
      <c r="O1515" s="26" t="str">
        <f>IFERROR(__xludf.DUMMYFUNCTION("""COMPUTED_VALUE"""),"ACDC")</f>
        <v>ACDC</v>
      </c>
      <c r="P1515" s="26" t="str">
        <f>IFERROR(__xludf.DUMMYFUNCTION("""COMPUTED_VALUE"""),"강화")</f>
        <v>강화</v>
      </c>
      <c r="Q1515" s="26" t="str">
        <f>IFERROR(__xludf.DUMMYFUNCTION("""COMPUTED_VALUE"""),"한메")</f>
        <v>한메</v>
      </c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</row>
    <row r="1516">
      <c r="A1516" s="27" t="s">
        <v>6316</v>
      </c>
      <c r="B1516" s="28" t="s">
        <v>6317</v>
      </c>
      <c r="C1516" s="27" t="s">
        <v>6318</v>
      </c>
      <c r="D1516" s="27">
        <v>5.0</v>
      </c>
      <c r="E1516" s="27" t="s">
        <v>6319</v>
      </c>
      <c r="F1516" s="27">
        <v>2.0</v>
      </c>
      <c r="G1516" s="29">
        <v>45567.96875</v>
      </c>
      <c r="H1516" s="27" t="s">
        <v>6279</v>
      </c>
      <c r="I1516" s="18"/>
      <c r="J1516" s="25" t="str">
        <f>IFERROR(__xludf.DUMMYFUNCTION("ARRAYFORMULA(REGEXEXTRACT(SPLIT(C1516, ""&lt;br&gt;""), ""([가-힣A-Za-z]+)""))"),"미등록")</f>
        <v>미등록</v>
      </c>
      <c r="K1516" s="26" t="str">
        <f>IFERROR(__xludf.DUMMYFUNCTION("""COMPUTED_VALUE"""),"신형만")</f>
        <v>신형만</v>
      </c>
      <c r="L1516" s="26" t="str">
        <f>IFERROR(__xludf.DUMMYFUNCTION("""COMPUTED_VALUE"""),"시아")</f>
        <v>시아</v>
      </c>
      <c r="M1516" s="26" t="str">
        <f>IFERROR(__xludf.DUMMYFUNCTION("""COMPUTED_VALUE"""),"ACDC")</f>
        <v>ACDC</v>
      </c>
      <c r="N1516" s="26" t="str">
        <f>IFERROR(__xludf.DUMMYFUNCTION("ARRAYFORMULA(REGEXEXTRACT(SPLIT(E1516, ""&lt;br&gt;""), ""([가-힣A-Za-z]+)""))"),"테리")</f>
        <v>테리</v>
      </c>
      <c r="O1516" s="26" t="str">
        <f>IFERROR(__xludf.DUMMYFUNCTION("""COMPUTED_VALUE"""),"한메")</f>
        <v>한메</v>
      </c>
      <c r="P1516" s="26" t="str">
        <f>IFERROR(__xludf.DUMMYFUNCTION("""COMPUTED_VALUE"""),"강화")</f>
        <v>강화</v>
      </c>
      <c r="Q1516" s="26" t="str">
        <f>IFERROR(__xludf.DUMMYFUNCTION("""COMPUTED_VALUE"""),"재우")</f>
        <v>재우</v>
      </c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</row>
    <row r="1517">
      <c r="A1517" s="27" t="s">
        <v>6320</v>
      </c>
      <c r="B1517" s="28" t="s">
        <v>6321</v>
      </c>
      <c r="C1517" s="27" t="s">
        <v>6322</v>
      </c>
      <c r="D1517" s="27">
        <v>5.0</v>
      </c>
      <c r="E1517" s="27" t="s">
        <v>6323</v>
      </c>
      <c r="F1517" s="27">
        <v>3.0</v>
      </c>
      <c r="G1517" s="29">
        <v>45567.94583333333</v>
      </c>
      <c r="H1517" s="27" t="s">
        <v>6279</v>
      </c>
      <c r="I1517" s="18"/>
      <c r="J1517" s="25" t="str">
        <f>IFERROR(__xludf.DUMMYFUNCTION("ARRAYFORMULA(REGEXEXTRACT(SPLIT(C1517, ""&lt;br&gt;""), ""([가-힣A-Za-z]+)""))"),"미등록")</f>
        <v>미등록</v>
      </c>
      <c r="K1517" s="26" t="str">
        <f>IFERROR(__xludf.DUMMYFUNCTION("""COMPUTED_VALUE"""),"테리")</f>
        <v>테리</v>
      </c>
      <c r="L1517" s="26" t="str">
        <f>IFERROR(__xludf.DUMMYFUNCTION("""COMPUTED_VALUE"""),"시아")</f>
        <v>시아</v>
      </c>
      <c r="M1517" s="26" t="str">
        <f>IFERROR(__xludf.DUMMYFUNCTION("""COMPUTED_VALUE"""),"재우")</f>
        <v>재우</v>
      </c>
      <c r="N1517" s="26" t="str">
        <f>IFERROR(__xludf.DUMMYFUNCTION("ARRAYFORMULA(REGEXEXTRACT(SPLIT(E1517, ""&lt;br&gt;""), ""([가-힣A-Za-z]+)""))"),"신형만")</f>
        <v>신형만</v>
      </c>
      <c r="O1517" s="26" t="str">
        <f>IFERROR(__xludf.DUMMYFUNCTION("""COMPUTED_VALUE"""),"강화")</f>
        <v>강화</v>
      </c>
      <c r="P1517" s="26" t="str">
        <f>IFERROR(__xludf.DUMMYFUNCTION("""COMPUTED_VALUE"""),"ACDC")</f>
        <v>ACDC</v>
      </c>
      <c r="Q1517" s="26" t="str">
        <f>IFERROR(__xludf.DUMMYFUNCTION("""COMPUTED_VALUE"""),"미르진")</f>
        <v>미르진</v>
      </c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</row>
    <row r="1518">
      <c r="A1518" s="27" t="s">
        <v>6324</v>
      </c>
      <c r="B1518" s="28" t="s">
        <v>6325</v>
      </c>
      <c r="C1518" s="27" t="s">
        <v>6326</v>
      </c>
      <c r="D1518" s="27">
        <v>5.0</v>
      </c>
      <c r="E1518" s="27" t="s">
        <v>6327</v>
      </c>
      <c r="F1518" s="27">
        <v>4.0</v>
      </c>
      <c r="G1518" s="29">
        <v>45567.09097222222</v>
      </c>
      <c r="H1518" s="27" t="s">
        <v>6279</v>
      </c>
      <c r="I1518" s="18"/>
      <c r="J1518" s="25" t="str">
        <f>IFERROR(__xludf.DUMMYFUNCTION("ARRAYFORMULA(REGEXEXTRACT(SPLIT(C1518, ""&lt;br&gt;""), ""([가-힣A-Za-z]+)""))"),"구리다")</f>
        <v>구리다</v>
      </c>
      <c r="K1518" s="26" t="str">
        <f>IFERROR(__xludf.DUMMYFUNCTION("""COMPUTED_VALUE"""),"한메")</f>
        <v>한메</v>
      </c>
      <c r="L1518" s="26" t="str">
        <f>IFERROR(__xludf.DUMMYFUNCTION("""COMPUTED_VALUE"""),"신형만")</f>
        <v>신형만</v>
      </c>
      <c r="M1518" s="26" t="str">
        <f>IFERROR(__xludf.DUMMYFUNCTION("""COMPUTED_VALUE"""),"ACDC")</f>
        <v>ACDC</v>
      </c>
      <c r="N1518" s="26" t="str">
        <f>IFERROR(__xludf.DUMMYFUNCTION("ARRAYFORMULA(REGEXEXTRACT(SPLIT(E1518, ""&lt;br&gt;""), ""([가-힣A-Za-z]+)""))"),"깡패")</f>
        <v>깡패</v>
      </c>
      <c r="O1518" s="26" t="str">
        <f>IFERROR(__xludf.DUMMYFUNCTION("""COMPUTED_VALUE"""),"미등록")</f>
        <v>미등록</v>
      </c>
      <c r="P1518" s="26" t="str">
        <f>IFERROR(__xludf.DUMMYFUNCTION("""COMPUTED_VALUE"""),"Leaf")</f>
        <v>Leaf</v>
      </c>
      <c r="Q1518" s="26" t="str">
        <f>IFERROR(__xludf.DUMMYFUNCTION("""COMPUTED_VALUE"""),"강화")</f>
        <v>강화</v>
      </c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</row>
    <row r="1519">
      <c r="A1519" s="27" t="s">
        <v>6328</v>
      </c>
      <c r="B1519" s="28" t="s">
        <v>6329</v>
      </c>
      <c r="C1519" s="27" t="s">
        <v>6330</v>
      </c>
      <c r="D1519" s="27">
        <v>5.0</v>
      </c>
      <c r="E1519" s="27" t="s">
        <v>6331</v>
      </c>
      <c r="F1519" s="27">
        <v>3.0</v>
      </c>
      <c r="G1519" s="29">
        <v>45567.06319444445</v>
      </c>
      <c r="H1519" s="27" t="s">
        <v>6279</v>
      </c>
      <c r="I1519" s="18"/>
      <c r="J1519" s="25" t="str">
        <f>IFERROR(__xludf.DUMMYFUNCTION("ARRAYFORMULA(REGEXEXTRACT(SPLIT(C1519, ""&lt;br&gt;""), ""([가-힣A-Za-z]+)""))"),"구리다")</f>
        <v>구리다</v>
      </c>
      <c r="K1519" s="26" t="str">
        <f>IFERROR(__xludf.DUMMYFUNCTION("""COMPUTED_VALUE"""),"재우")</f>
        <v>재우</v>
      </c>
      <c r="L1519" s="26" t="str">
        <f>IFERROR(__xludf.DUMMYFUNCTION("""COMPUTED_VALUE"""),"ACDC")</f>
        <v>ACDC</v>
      </c>
      <c r="M1519" s="26" t="str">
        <f>IFERROR(__xludf.DUMMYFUNCTION("""COMPUTED_VALUE"""),"한메")</f>
        <v>한메</v>
      </c>
      <c r="N1519" s="26" t="str">
        <f>IFERROR(__xludf.DUMMYFUNCTION("ARRAYFORMULA(REGEXEXTRACT(SPLIT(E1519, ""&lt;br&gt;""), ""([가-힣A-Za-z]+)""))"),"강화")</f>
        <v>강화</v>
      </c>
      <c r="O1519" s="26" t="str">
        <f>IFERROR(__xludf.DUMMYFUNCTION("""COMPUTED_VALUE"""),"깡패")</f>
        <v>깡패</v>
      </c>
      <c r="P1519" s="26" t="str">
        <f>IFERROR(__xludf.DUMMYFUNCTION("""COMPUTED_VALUE"""),"Leaf")</f>
        <v>Leaf</v>
      </c>
      <c r="Q1519" s="26" t="str">
        <f>IFERROR(__xludf.DUMMYFUNCTION("""COMPUTED_VALUE"""),"악동")</f>
        <v>악동</v>
      </c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</row>
    <row r="1520">
      <c r="A1520" s="27" t="s">
        <v>6332</v>
      </c>
      <c r="B1520" s="28" t="s">
        <v>6333</v>
      </c>
      <c r="C1520" s="27" t="s">
        <v>6334</v>
      </c>
      <c r="D1520" s="27">
        <v>5.0</v>
      </c>
      <c r="E1520" s="27" t="s">
        <v>6335</v>
      </c>
      <c r="F1520" s="27">
        <v>1.0</v>
      </c>
      <c r="G1520" s="29">
        <v>45567.03958333333</v>
      </c>
      <c r="H1520" s="27" t="s">
        <v>6279</v>
      </c>
      <c r="I1520" s="18"/>
      <c r="J1520" s="25" t="str">
        <f>IFERROR(__xludf.DUMMYFUNCTION("ARRAYFORMULA(REGEXEXTRACT(SPLIT(C1520, ""&lt;br&gt;""), ""([가-힣A-Za-z]+)""))"),"구리다")</f>
        <v>구리다</v>
      </c>
      <c r="K1520" s="26" t="str">
        <f>IFERROR(__xludf.DUMMYFUNCTION("""COMPUTED_VALUE"""),"신형만")</f>
        <v>신형만</v>
      </c>
      <c r="L1520" s="26" t="str">
        <f>IFERROR(__xludf.DUMMYFUNCTION("""COMPUTED_VALUE"""),"재우")</f>
        <v>재우</v>
      </c>
      <c r="M1520" s="26" t="str">
        <f>IFERROR(__xludf.DUMMYFUNCTION("""COMPUTED_VALUE"""),"한메")</f>
        <v>한메</v>
      </c>
      <c r="N1520" s="26" t="str">
        <f>IFERROR(__xludf.DUMMYFUNCTION("ARRAYFORMULA(REGEXEXTRACT(SPLIT(E1520, ""&lt;br&gt;""), ""([가-힣A-Za-z]+)""))"),"악동")</f>
        <v>악동</v>
      </c>
      <c r="O1520" s="26" t="str">
        <f>IFERROR(__xludf.DUMMYFUNCTION("""COMPUTED_VALUE"""),"ACDC")</f>
        <v>ACDC</v>
      </c>
      <c r="P1520" s="26" t="str">
        <f>IFERROR(__xludf.DUMMYFUNCTION("""COMPUTED_VALUE"""),"Leaf")</f>
        <v>Leaf</v>
      </c>
      <c r="Q1520" s="26" t="str">
        <f>IFERROR(__xludf.DUMMYFUNCTION("""COMPUTED_VALUE"""),"강화")</f>
        <v>강화</v>
      </c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</row>
    <row r="1521">
      <c r="A1521" s="27" t="s">
        <v>6336</v>
      </c>
      <c r="B1521" s="28" t="s">
        <v>6337</v>
      </c>
      <c r="C1521" s="27" t="s">
        <v>6338</v>
      </c>
      <c r="D1521" s="27">
        <v>5.0</v>
      </c>
      <c r="E1521" s="27" t="s">
        <v>6339</v>
      </c>
      <c r="F1521" s="27">
        <v>2.0</v>
      </c>
      <c r="G1521" s="29">
        <v>45567.02777777778</v>
      </c>
      <c r="H1521" s="27" t="s">
        <v>6279</v>
      </c>
      <c r="I1521" s="18"/>
      <c r="J1521" s="25" t="str">
        <f>IFERROR(__xludf.DUMMYFUNCTION("ARRAYFORMULA(REGEXEXTRACT(SPLIT(C1521, ""&lt;br&gt;""), ""([가-힣A-Za-z]+)""))"),"한메")</f>
        <v>한메</v>
      </c>
      <c r="K1521" s="26" t="str">
        <f>IFERROR(__xludf.DUMMYFUNCTION("""COMPUTED_VALUE"""),"악동")</f>
        <v>악동</v>
      </c>
      <c r="L1521" s="26" t="str">
        <f>IFERROR(__xludf.DUMMYFUNCTION("""COMPUTED_VALUE"""),"신형만")</f>
        <v>신형만</v>
      </c>
      <c r="M1521" s="26" t="str">
        <f>IFERROR(__xludf.DUMMYFUNCTION("""COMPUTED_VALUE"""),"강화")</f>
        <v>강화</v>
      </c>
      <c r="N1521" s="26" t="str">
        <f>IFERROR(__xludf.DUMMYFUNCTION("ARRAYFORMULA(REGEXEXTRACT(SPLIT(E1521, ""&lt;br&gt;""), ""([가-힣A-Za-z]+)""))"),"재우")</f>
        <v>재우</v>
      </c>
      <c r="O1521" s="26" t="str">
        <f>IFERROR(__xludf.DUMMYFUNCTION("""COMPUTED_VALUE"""),"구리다")</f>
        <v>구리다</v>
      </c>
      <c r="P1521" s="26" t="str">
        <f>IFERROR(__xludf.DUMMYFUNCTION("""COMPUTED_VALUE"""),"Leaf")</f>
        <v>Leaf</v>
      </c>
      <c r="Q1521" s="26" t="str">
        <f>IFERROR(__xludf.DUMMYFUNCTION("""COMPUTED_VALUE"""),"ACDC")</f>
        <v>ACDC</v>
      </c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</row>
    <row r="1522">
      <c r="A1522" s="27" t="s">
        <v>6340</v>
      </c>
      <c r="B1522" s="28" t="s">
        <v>6341</v>
      </c>
      <c r="C1522" s="27" t="s">
        <v>6342</v>
      </c>
      <c r="D1522" s="27">
        <v>5.0</v>
      </c>
      <c r="E1522" s="27" t="s">
        <v>6343</v>
      </c>
      <c r="F1522" s="27">
        <v>1.0</v>
      </c>
      <c r="G1522" s="29">
        <v>45567.00555555556</v>
      </c>
      <c r="H1522" s="27" t="s">
        <v>6279</v>
      </c>
      <c r="I1522" s="18"/>
      <c r="J1522" s="25" t="str">
        <f>IFERROR(__xludf.DUMMYFUNCTION("ARRAYFORMULA(REGEXEXTRACT(SPLIT(C1522, ""&lt;br&gt;""), ""([가-힣A-Za-z]+)""))"),"신형만")</f>
        <v>신형만</v>
      </c>
      <c r="K1522" s="26" t="str">
        <f>IFERROR(__xludf.DUMMYFUNCTION("""COMPUTED_VALUE"""),"ACDC")</f>
        <v>ACDC</v>
      </c>
      <c r="L1522" s="26" t="str">
        <f>IFERROR(__xludf.DUMMYFUNCTION("""COMPUTED_VALUE"""),"구리다")</f>
        <v>구리다</v>
      </c>
      <c r="M1522" s="26" t="str">
        <f>IFERROR(__xludf.DUMMYFUNCTION("""COMPUTED_VALUE"""),"한메")</f>
        <v>한메</v>
      </c>
      <c r="N1522" s="26" t="str">
        <f>IFERROR(__xludf.DUMMYFUNCTION("ARRAYFORMULA(REGEXEXTRACT(SPLIT(E1522, ""&lt;br&gt;""), ""([가-힣A-Za-z]+)""))"),"강화")</f>
        <v>강화</v>
      </c>
      <c r="O1522" s="26" t="str">
        <f>IFERROR(__xludf.DUMMYFUNCTION("""COMPUTED_VALUE"""),"악동")</f>
        <v>악동</v>
      </c>
      <c r="P1522" s="26" t="str">
        <f>IFERROR(__xludf.DUMMYFUNCTION("""COMPUTED_VALUE"""),"Leaf")</f>
        <v>Leaf</v>
      </c>
      <c r="Q1522" s="26" t="str">
        <f>IFERROR(__xludf.DUMMYFUNCTION("""COMPUTED_VALUE"""),"재우")</f>
        <v>재우</v>
      </c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</row>
    <row r="1523">
      <c r="A1523" s="27" t="s">
        <v>6344</v>
      </c>
      <c r="B1523" s="28" t="s">
        <v>6345</v>
      </c>
      <c r="C1523" s="27" t="s">
        <v>6346</v>
      </c>
      <c r="D1523" s="27">
        <v>5.0</v>
      </c>
      <c r="E1523" s="27" t="s">
        <v>6347</v>
      </c>
      <c r="F1523" s="27">
        <v>3.0</v>
      </c>
      <c r="G1523" s="29">
        <v>45566.98333333333</v>
      </c>
      <c r="H1523" s="27" t="s">
        <v>6279</v>
      </c>
      <c r="I1523" s="18"/>
      <c r="J1523" s="25" t="str">
        <f>IFERROR(__xludf.DUMMYFUNCTION("ARRAYFORMULA(REGEXEXTRACT(SPLIT(C1523, ""&lt;br&gt;""), ""([가-힣A-Za-z]+)""))"),"구리다")</f>
        <v>구리다</v>
      </c>
      <c r="K1523" s="26" t="str">
        <f>IFERROR(__xludf.DUMMYFUNCTION("""COMPUTED_VALUE"""),"재우")</f>
        <v>재우</v>
      </c>
      <c r="L1523" s="26" t="str">
        <f>IFERROR(__xludf.DUMMYFUNCTION("""COMPUTED_VALUE"""),"악동")</f>
        <v>악동</v>
      </c>
      <c r="M1523" s="26" t="str">
        <f>IFERROR(__xludf.DUMMYFUNCTION("""COMPUTED_VALUE"""),"한메")</f>
        <v>한메</v>
      </c>
      <c r="N1523" s="26" t="str">
        <f>IFERROR(__xludf.DUMMYFUNCTION("ARRAYFORMULA(REGEXEXTRACT(SPLIT(E1523, ""&lt;br&gt;""), ""([가-힣A-Za-z]+)""))"),"신형만")</f>
        <v>신형만</v>
      </c>
      <c r="O1523" s="26" t="str">
        <f>IFERROR(__xludf.DUMMYFUNCTION("""COMPUTED_VALUE"""),"강화")</f>
        <v>강화</v>
      </c>
      <c r="P1523" s="26" t="str">
        <f>IFERROR(__xludf.DUMMYFUNCTION("""COMPUTED_VALUE"""),"시아")</f>
        <v>시아</v>
      </c>
      <c r="Q1523" s="26" t="str">
        <f>IFERROR(__xludf.DUMMYFUNCTION("""COMPUTED_VALUE"""),"ACDC")</f>
        <v>ACDC</v>
      </c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</row>
    <row r="1524">
      <c r="A1524" s="27" t="s">
        <v>6348</v>
      </c>
      <c r="B1524" s="28" t="s">
        <v>6349</v>
      </c>
      <c r="C1524" s="27" t="s">
        <v>6350</v>
      </c>
      <c r="D1524" s="27">
        <v>5.0</v>
      </c>
      <c r="E1524" s="27" t="s">
        <v>6351</v>
      </c>
      <c r="F1524" s="27">
        <v>2.0</v>
      </c>
      <c r="G1524" s="29">
        <v>45566.95486111111</v>
      </c>
      <c r="H1524" s="27" t="s">
        <v>6279</v>
      </c>
      <c r="I1524" s="18"/>
      <c r="J1524" s="25" t="str">
        <f>IFERROR(__xludf.DUMMYFUNCTION("ARRAYFORMULA(REGEXEXTRACT(SPLIT(C1524, ""&lt;br&gt;""), ""([가-힣A-Za-z]+)""))"),"ACDC")</f>
        <v>ACDC</v>
      </c>
      <c r="K1524" s="26" t="str">
        <f>IFERROR(__xludf.DUMMYFUNCTION("""COMPUTED_VALUE"""),"한메")</f>
        <v>한메</v>
      </c>
      <c r="L1524" s="26" t="str">
        <f>IFERROR(__xludf.DUMMYFUNCTION("""COMPUTED_VALUE"""),"시아")</f>
        <v>시아</v>
      </c>
      <c r="M1524" s="26" t="str">
        <f>IFERROR(__xludf.DUMMYFUNCTION("""COMPUTED_VALUE"""),"악동")</f>
        <v>악동</v>
      </c>
      <c r="N1524" s="26" t="str">
        <f>IFERROR(__xludf.DUMMYFUNCTION("ARRAYFORMULA(REGEXEXTRACT(SPLIT(E1524, ""&lt;br&gt;""), ""([가-힣A-Za-z]+)""))"),"구리다")</f>
        <v>구리다</v>
      </c>
      <c r="O1524" s="26" t="str">
        <f>IFERROR(__xludf.DUMMYFUNCTION("""COMPUTED_VALUE"""),"강화")</f>
        <v>강화</v>
      </c>
      <c r="P1524" s="26" t="str">
        <f>IFERROR(__xludf.DUMMYFUNCTION("""COMPUTED_VALUE"""),"재우")</f>
        <v>재우</v>
      </c>
      <c r="Q1524" s="26" t="str">
        <f>IFERROR(__xludf.DUMMYFUNCTION("""COMPUTED_VALUE"""),"신형만")</f>
        <v>신형만</v>
      </c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</row>
    <row r="1525">
      <c r="A1525" s="27" t="s">
        <v>6352</v>
      </c>
      <c r="B1525" s="28" t="s">
        <v>6353</v>
      </c>
      <c r="C1525" s="27" t="s">
        <v>6354</v>
      </c>
      <c r="D1525" s="27">
        <v>5.0</v>
      </c>
      <c r="E1525" s="27" t="s">
        <v>6355</v>
      </c>
      <c r="F1525" s="27">
        <v>4.0</v>
      </c>
      <c r="G1525" s="29">
        <v>45566.13402777778</v>
      </c>
      <c r="H1525" s="27" t="s">
        <v>6279</v>
      </c>
      <c r="I1525" s="18"/>
      <c r="J1525" s="25" t="str">
        <f>IFERROR(__xludf.DUMMYFUNCTION("ARRAYFORMULA(REGEXEXTRACT(SPLIT(C1525, ""&lt;br&gt;""), ""([가-힣A-Za-z]+)""))"),"ACDC")</f>
        <v>ACDC</v>
      </c>
      <c r="K1525" s="26" t="str">
        <f>IFERROR(__xludf.DUMMYFUNCTION("""COMPUTED_VALUE"""),"신형만")</f>
        <v>신형만</v>
      </c>
      <c r="L1525" s="26" t="str">
        <f>IFERROR(__xludf.DUMMYFUNCTION("""COMPUTED_VALUE"""),"구리다")</f>
        <v>구리다</v>
      </c>
      <c r="M1525" s="26" t="str">
        <f>IFERROR(__xludf.DUMMYFUNCTION("""COMPUTED_VALUE"""),"조드")</f>
        <v>조드</v>
      </c>
      <c r="N1525" s="26" t="str">
        <f>IFERROR(__xludf.DUMMYFUNCTION("ARRAYFORMULA(REGEXEXTRACT(SPLIT(E1525, ""&lt;br&gt;""), ""([가-힣A-Za-z]+)""))"),"랄")</f>
        <v>랄</v>
      </c>
      <c r="O1525" s="26" t="str">
        <f>IFERROR(__xludf.DUMMYFUNCTION("""COMPUTED_VALUE"""),"강화")</f>
        <v>강화</v>
      </c>
      <c r="P1525" s="26" t="str">
        <f>IFERROR(__xludf.DUMMYFUNCTION("""COMPUTED_VALUE"""),"악동")</f>
        <v>악동</v>
      </c>
      <c r="Q1525" s="26" t="str">
        <f>IFERROR(__xludf.DUMMYFUNCTION("""COMPUTED_VALUE"""),"한메")</f>
        <v>한메</v>
      </c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</row>
    <row r="1526">
      <c r="A1526" s="27" t="s">
        <v>6356</v>
      </c>
      <c r="B1526" s="28" t="s">
        <v>6357</v>
      </c>
      <c r="C1526" s="27" t="s">
        <v>6358</v>
      </c>
      <c r="D1526" s="27">
        <v>5.0</v>
      </c>
      <c r="E1526" s="27" t="s">
        <v>6359</v>
      </c>
      <c r="F1526" s="27">
        <v>3.0</v>
      </c>
      <c r="G1526" s="29">
        <v>45566.11111111111</v>
      </c>
      <c r="H1526" s="27" t="s">
        <v>6279</v>
      </c>
      <c r="I1526" s="18"/>
      <c r="J1526" s="25" t="str">
        <f>IFERROR(__xludf.DUMMYFUNCTION("ARRAYFORMULA(REGEXEXTRACT(SPLIT(C1526, ""&lt;br&gt;""), ""([가-힣A-Za-z]+)""))"),"ACDC")</f>
        <v>ACDC</v>
      </c>
      <c r="K1526" s="26" t="str">
        <f>IFERROR(__xludf.DUMMYFUNCTION("""COMPUTED_VALUE"""),"신형만")</f>
        <v>신형만</v>
      </c>
      <c r="L1526" s="26" t="str">
        <f>IFERROR(__xludf.DUMMYFUNCTION("""COMPUTED_VALUE"""),"조드")</f>
        <v>조드</v>
      </c>
      <c r="M1526" s="26" t="str">
        <f>IFERROR(__xludf.DUMMYFUNCTION("""COMPUTED_VALUE"""),"강화")</f>
        <v>강화</v>
      </c>
      <c r="N1526" s="26" t="str">
        <f>IFERROR(__xludf.DUMMYFUNCTION("ARRAYFORMULA(REGEXEXTRACT(SPLIT(E1526, ""&lt;br&gt;""), ""([가-힣A-Za-z]+)""))"),"랄")</f>
        <v>랄</v>
      </c>
      <c r="O1526" s="26" t="str">
        <f>IFERROR(__xludf.DUMMYFUNCTION("""COMPUTED_VALUE"""),"악동")</f>
        <v>악동</v>
      </c>
      <c r="P1526" s="26" t="str">
        <f>IFERROR(__xludf.DUMMYFUNCTION("""COMPUTED_VALUE"""),"구리다")</f>
        <v>구리다</v>
      </c>
      <c r="Q1526" s="26" t="str">
        <f>IFERROR(__xludf.DUMMYFUNCTION("""COMPUTED_VALUE"""),"한메")</f>
        <v>한메</v>
      </c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</row>
    <row r="1527">
      <c r="A1527" s="27" t="s">
        <v>6360</v>
      </c>
      <c r="B1527" s="28" t="s">
        <v>6361</v>
      </c>
      <c r="C1527" s="27" t="s">
        <v>6362</v>
      </c>
      <c r="D1527" s="27">
        <v>5.0</v>
      </c>
      <c r="E1527" s="27" t="s">
        <v>6363</v>
      </c>
      <c r="F1527" s="27">
        <v>2.0</v>
      </c>
      <c r="G1527" s="29">
        <v>45566.08263888889</v>
      </c>
      <c r="H1527" s="27" t="s">
        <v>6279</v>
      </c>
      <c r="I1527" s="18"/>
      <c r="J1527" s="25" t="str">
        <f>IFERROR(__xludf.DUMMYFUNCTION("ARRAYFORMULA(REGEXEXTRACT(SPLIT(C1527, ""&lt;br&gt;""), ""([가-힣A-Za-z]+)""))"),"악동")</f>
        <v>악동</v>
      </c>
      <c r="K1527" s="26" t="str">
        <f>IFERROR(__xludf.DUMMYFUNCTION("""COMPUTED_VALUE"""),"ACDC")</f>
        <v>ACDC</v>
      </c>
      <c r="L1527" s="26" t="str">
        <f>IFERROR(__xludf.DUMMYFUNCTION("""COMPUTED_VALUE"""),"랄")</f>
        <v>랄</v>
      </c>
      <c r="M1527" s="26" t="str">
        <f>IFERROR(__xludf.DUMMYFUNCTION("""COMPUTED_VALUE"""),"신형만")</f>
        <v>신형만</v>
      </c>
      <c r="N1527" s="26" t="str">
        <f>IFERROR(__xludf.DUMMYFUNCTION("ARRAYFORMULA(REGEXEXTRACT(SPLIT(E1527, ""&lt;br&gt;""), ""([가-힣A-Za-z]+)""))"),"한메")</f>
        <v>한메</v>
      </c>
      <c r="O1527" s="26" t="str">
        <f>IFERROR(__xludf.DUMMYFUNCTION("""COMPUTED_VALUE"""),"구리다")</f>
        <v>구리다</v>
      </c>
      <c r="P1527" s="26" t="str">
        <f>IFERROR(__xludf.DUMMYFUNCTION("""COMPUTED_VALUE"""),"조드")</f>
        <v>조드</v>
      </c>
      <c r="Q1527" s="26" t="str">
        <f>IFERROR(__xludf.DUMMYFUNCTION("""COMPUTED_VALUE"""),"강화")</f>
        <v>강화</v>
      </c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</row>
    <row r="1528">
      <c r="A1528" s="27" t="s">
        <v>6364</v>
      </c>
      <c r="B1528" s="28" t="s">
        <v>6365</v>
      </c>
      <c r="C1528" s="27" t="s">
        <v>6366</v>
      </c>
      <c r="D1528" s="27">
        <v>5.0</v>
      </c>
      <c r="E1528" s="27" t="s">
        <v>6367</v>
      </c>
      <c r="F1528" s="27">
        <v>2.0</v>
      </c>
      <c r="G1528" s="29">
        <v>45566.06319444445</v>
      </c>
      <c r="H1528" s="27" t="s">
        <v>6279</v>
      </c>
      <c r="I1528" s="18"/>
      <c r="J1528" s="25" t="str">
        <f>IFERROR(__xludf.DUMMYFUNCTION("ARRAYFORMULA(REGEXEXTRACT(SPLIT(C1528, ""&lt;br&gt;""), ""([가-힣A-Za-z]+)""))"),"한메")</f>
        <v>한메</v>
      </c>
      <c r="K1528" s="26" t="str">
        <f>IFERROR(__xludf.DUMMYFUNCTION("""COMPUTED_VALUE"""),"조드")</f>
        <v>조드</v>
      </c>
      <c r="L1528" s="26" t="str">
        <f>IFERROR(__xludf.DUMMYFUNCTION("""COMPUTED_VALUE"""),"ACDC")</f>
        <v>ACDC</v>
      </c>
      <c r="M1528" s="26" t="str">
        <f>IFERROR(__xludf.DUMMYFUNCTION("""COMPUTED_VALUE"""),"미르진")</f>
        <v>미르진</v>
      </c>
      <c r="N1528" s="26" t="str">
        <f>IFERROR(__xludf.DUMMYFUNCTION("ARRAYFORMULA(REGEXEXTRACT(SPLIT(E1528, ""&lt;br&gt;""), ""([가-힣A-Za-z]+)""))"),"엘")</f>
        <v>엘</v>
      </c>
      <c r="O1528" s="26" t="str">
        <f>IFERROR(__xludf.DUMMYFUNCTION("""COMPUTED_VALUE"""),"강화")</f>
        <v>강화</v>
      </c>
      <c r="P1528" s="26" t="str">
        <f>IFERROR(__xludf.DUMMYFUNCTION("""COMPUTED_VALUE"""),"악동")</f>
        <v>악동</v>
      </c>
      <c r="Q1528" s="26" t="str">
        <f>IFERROR(__xludf.DUMMYFUNCTION("""COMPUTED_VALUE"""),"재우")</f>
        <v>재우</v>
      </c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</row>
    <row r="1529">
      <c r="A1529" s="27" t="s">
        <v>6368</v>
      </c>
      <c r="B1529" s="28" t="s">
        <v>6369</v>
      </c>
      <c r="C1529" s="27" t="s">
        <v>6370</v>
      </c>
      <c r="D1529" s="27">
        <v>5.0</v>
      </c>
      <c r="E1529" s="27" t="s">
        <v>6371</v>
      </c>
      <c r="F1529" s="27">
        <v>2.0</v>
      </c>
      <c r="G1529" s="29">
        <v>45566.04027777778</v>
      </c>
      <c r="H1529" s="27" t="s">
        <v>6279</v>
      </c>
      <c r="I1529" s="18"/>
      <c r="J1529" s="25" t="str">
        <f>IFERROR(__xludf.DUMMYFUNCTION("ARRAYFORMULA(REGEXEXTRACT(SPLIT(C1529, ""&lt;br&gt;""), ""([가-힣A-Za-z]+)""))"),"악동")</f>
        <v>악동</v>
      </c>
      <c r="K1529" s="26" t="str">
        <f>IFERROR(__xludf.DUMMYFUNCTION("""COMPUTED_VALUE"""),"조드")</f>
        <v>조드</v>
      </c>
      <c r="L1529" s="26" t="str">
        <f>IFERROR(__xludf.DUMMYFUNCTION("""COMPUTED_VALUE"""),"강화")</f>
        <v>강화</v>
      </c>
      <c r="M1529" s="26" t="str">
        <f>IFERROR(__xludf.DUMMYFUNCTION("""COMPUTED_VALUE"""),"미르진")</f>
        <v>미르진</v>
      </c>
      <c r="N1529" s="26" t="str">
        <f>IFERROR(__xludf.DUMMYFUNCTION("ARRAYFORMULA(REGEXEXTRACT(SPLIT(E1529, ""&lt;br&gt;""), ""([가-힣A-Za-z]+)""))"),"미등록")</f>
        <v>미등록</v>
      </c>
      <c r="O1529" s="26" t="str">
        <f>IFERROR(__xludf.DUMMYFUNCTION("""COMPUTED_VALUE"""),"ACDC")</f>
        <v>ACDC</v>
      </c>
      <c r="P1529" s="26" t="str">
        <f>IFERROR(__xludf.DUMMYFUNCTION("""COMPUTED_VALUE"""),"한메")</f>
        <v>한메</v>
      </c>
      <c r="Q1529" s="26" t="str">
        <f>IFERROR(__xludf.DUMMYFUNCTION("""COMPUTED_VALUE"""),"재우")</f>
        <v>재우</v>
      </c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  <c r="AB1529" s="18"/>
    </row>
    <row r="1530">
      <c r="A1530" s="27" t="s">
        <v>6372</v>
      </c>
      <c r="B1530" s="28" t="s">
        <v>6373</v>
      </c>
      <c r="C1530" s="27" t="s">
        <v>6374</v>
      </c>
      <c r="D1530" s="27">
        <v>5.0</v>
      </c>
      <c r="E1530" s="27" t="s">
        <v>6375</v>
      </c>
      <c r="F1530" s="27">
        <v>2.0</v>
      </c>
      <c r="G1530" s="29">
        <v>45566.01666666667</v>
      </c>
      <c r="H1530" s="27" t="s">
        <v>6279</v>
      </c>
      <c r="I1530" s="18"/>
      <c r="J1530" s="25" t="str">
        <f>IFERROR(__xludf.DUMMYFUNCTION("ARRAYFORMULA(REGEXEXTRACT(SPLIT(C1530, ""&lt;br&gt;""), ""([가-힣A-Za-z]+)""))"),"ACDC")</f>
        <v>ACDC</v>
      </c>
      <c r="K1530" s="26" t="str">
        <f>IFERROR(__xludf.DUMMYFUNCTION("""COMPUTED_VALUE"""),"한메")</f>
        <v>한메</v>
      </c>
      <c r="L1530" s="26" t="str">
        <f>IFERROR(__xludf.DUMMYFUNCTION("""COMPUTED_VALUE"""),"악동")</f>
        <v>악동</v>
      </c>
      <c r="M1530" s="26" t="str">
        <f>IFERROR(__xludf.DUMMYFUNCTION("""COMPUTED_VALUE"""),"조드")</f>
        <v>조드</v>
      </c>
      <c r="N1530" s="26" t="str">
        <f>IFERROR(__xludf.DUMMYFUNCTION("ARRAYFORMULA(REGEXEXTRACT(SPLIT(E1530, ""&lt;br&gt;""), ""([가-힣A-Za-z]+)""))"),"엘")</f>
        <v>엘</v>
      </c>
      <c r="O1530" s="26" t="str">
        <f>IFERROR(__xludf.DUMMYFUNCTION("""COMPUTED_VALUE"""),"강화")</f>
        <v>강화</v>
      </c>
      <c r="P1530" s="26" t="str">
        <f>IFERROR(__xludf.DUMMYFUNCTION("""COMPUTED_VALUE"""),"미르진")</f>
        <v>미르진</v>
      </c>
      <c r="Q1530" s="26" t="str">
        <f>IFERROR(__xludf.DUMMYFUNCTION("""COMPUTED_VALUE"""),"재우")</f>
        <v>재우</v>
      </c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</row>
    <row r="1531">
      <c r="A1531" s="27" t="s">
        <v>6376</v>
      </c>
      <c r="B1531" s="28" t="s">
        <v>6377</v>
      </c>
      <c r="C1531" s="27" t="s">
        <v>6378</v>
      </c>
      <c r="D1531" s="27">
        <v>5.0</v>
      </c>
      <c r="E1531" s="27" t="s">
        <v>6379</v>
      </c>
      <c r="F1531" s="27">
        <v>4.0</v>
      </c>
      <c r="G1531" s="29">
        <v>45565.998611111114</v>
      </c>
      <c r="H1531" s="27" t="s">
        <v>6279</v>
      </c>
      <c r="I1531" s="18"/>
      <c r="J1531" s="25" t="str">
        <f>IFERROR(__xludf.DUMMYFUNCTION("ARRAYFORMULA(REGEXEXTRACT(SPLIT(C1531, ""&lt;br&gt;""), ""([가-힣A-Za-z]+)""))"),"엘")</f>
        <v>엘</v>
      </c>
      <c r="K1531" s="26" t="str">
        <f>IFERROR(__xludf.DUMMYFUNCTION("""COMPUTED_VALUE"""),"미르진")</f>
        <v>미르진</v>
      </c>
      <c r="L1531" s="26" t="str">
        <f>IFERROR(__xludf.DUMMYFUNCTION("""COMPUTED_VALUE"""),"강화")</f>
        <v>강화</v>
      </c>
      <c r="M1531" s="26" t="str">
        <f>IFERROR(__xludf.DUMMYFUNCTION("""COMPUTED_VALUE"""),"한메")</f>
        <v>한메</v>
      </c>
      <c r="N1531" s="26" t="str">
        <f>IFERROR(__xludf.DUMMYFUNCTION("ARRAYFORMULA(REGEXEXTRACT(SPLIT(E1531, ""&lt;br&gt;""), ""([가-힣A-Za-z]+)""))"),"노픽업")</f>
        <v>노픽업</v>
      </c>
      <c r="O1531" s="26" t="str">
        <f>IFERROR(__xludf.DUMMYFUNCTION("""COMPUTED_VALUE"""),"ACDC")</f>
        <v>ACDC</v>
      </c>
      <c r="P1531" s="26" t="str">
        <f>IFERROR(__xludf.DUMMYFUNCTION("""COMPUTED_VALUE"""),"조드")</f>
        <v>조드</v>
      </c>
      <c r="Q1531" s="26" t="str">
        <f>IFERROR(__xludf.DUMMYFUNCTION("""COMPUTED_VALUE"""),"재우")</f>
        <v>재우</v>
      </c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</row>
    <row r="1532">
      <c r="A1532" s="27" t="s">
        <v>6380</v>
      </c>
      <c r="B1532" s="28" t="s">
        <v>6381</v>
      </c>
      <c r="C1532" s="27" t="s">
        <v>6382</v>
      </c>
      <c r="D1532" s="27">
        <v>5.0</v>
      </c>
      <c r="E1532" s="27" t="s">
        <v>6383</v>
      </c>
      <c r="F1532" s="27">
        <v>2.0</v>
      </c>
      <c r="G1532" s="29">
        <v>45562.02222222222</v>
      </c>
      <c r="H1532" s="27" t="s">
        <v>6279</v>
      </c>
      <c r="I1532" s="18"/>
      <c r="J1532" s="25" t="str">
        <f>IFERROR(__xludf.DUMMYFUNCTION("ARRAYFORMULA(REGEXEXTRACT(SPLIT(C1532, ""&lt;br&gt;""), ""([가-힣A-Za-z]+)""))"),"신형만")</f>
        <v>신형만</v>
      </c>
      <c r="K1532" s="26" t="str">
        <f>IFERROR(__xludf.DUMMYFUNCTION("""COMPUTED_VALUE"""),"재우")</f>
        <v>재우</v>
      </c>
      <c r="L1532" s="26" t="str">
        <f>IFERROR(__xludf.DUMMYFUNCTION("""COMPUTED_VALUE"""),"강화")</f>
        <v>강화</v>
      </c>
      <c r="M1532" s="26" t="str">
        <f>IFERROR(__xludf.DUMMYFUNCTION("""COMPUTED_VALUE"""),"엘")</f>
        <v>엘</v>
      </c>
      <c r="N1532" s="26" t="str">
        <f>IFERROR(__xludf.DUMMYFUNCTION("ARRAYFORMULA(REGEXEXTRACT(SPLIT(E1532, ""&lt;br&gt;""), ""([가-힣A-Za-z]+)""))"),"랄")</f>
        <v>랄</v>
      </c>
      <c r="O1532" s="26" t="str">
        <f>IFERROR(__xludf.DUMMYFUNCTION("""COMPUTED_VALUE"""),"구리다")</f>
        <v>구리다</v>
      </c>
      <c r="P1532" s="26" t="str">
        <f>IFERROR(__xludf.DUMMYFUNCTION("""COMPUTED_VALUE"""),"미등록")</f>
        <v>미등록</v>
      </c>
      <c r="Q1532" s="26" t="str">
        <f>IFERROR(__xludf.DUMMYFUNCTION("""COMPUTED_VALUE"""),"ACDC")</f>
        <v>ACDC</v>
      </c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</row>
    <row r="1533">
      <c r="A1533" s="27" t="s">
        <v>6384</v>
      </c>
      <c r="B1533" s="28" t="s">
        <v>6385</v>
      </c>
      <c r="C1533" s="27" t="s">
        <v>6386</v>
      </c>
      <c r="D1533" s="27">
        <v>5.0</v>
      </c>
      <c r="E1533" s="27" t="s">
        <v>6387</v>
      </c>
      <c r="F1533" s="27">
        <v>4.0</v>
      </c>
      <c r="G1533" s="29">
        <v>45562.001388888886</v>
      </c>
      <c r="H1533" s="27" t="s">
        <v>6279</v>
      </c>
      <c r="I1533" s="18"/>
      <c r="J1533" s="25" t="str">
        <f>IFERROR(__xludf.DUMMYFUNCTION("ARRAYFORMULA(REGEXEXTRACT(SPLIT(C1533, ""&lt;br&gt;""), ""([가-힣A-Za-z]+)""))"),"랄")</f>
        <v>랄</v>
      </c>
      <c r="K1533" s="26" t="str">
        <f>IFERROR(__xludf.DUMMYFUNCTION("""COMPUTED_VALUE"""),"재우")</f>
        <v>재우</v>
      </c>
      <c r="L1533" s="26" t="str">
        <f>IFERROR(__xludf.DUMMYFUNCTION("""COMPUTED_VALUE"""),"신형만")</f>
        <v>신형만</v>
      </c>
      <c r="M1533" s="26" t="str">
        <f>IFERROR(__xludf.DUMMYFUNCTION("""COMPUTED_VALUE"""),"ACDC")</f>
        <v>ACDC</v>
      </c>
      <c r="N1533" s="26" t="str">
        <f>IFERROR(__xludf.DUMMYFUNCTION("ARRAYFORMULA(REGEXEXTRACT(SPLIT(E1533, ""&lt;br&gt;""), ""([가-힣A-Za-z]+)""))"),"구리다")</f>
        <v>구리다</v>
      </c>
      <c r="O1533" s="26" t="str">
        <f>IFERROR(__xludf.DUMMYFUNCTION("""COMPUTED_VALUE"""),"강화")</f>
        <v>강화</v>
      </c>
      <c r="P1533" s="26" t="str">
        <f>IFERROR(__xludf.DUMMYFUNCTION("""COMPUTED_VALUE"""),"미등록")</f>
        <v>미등록</v>
      </c>
      <c r="Q1533" s="26" t="str">
        <f>IFERROR(__xludf.DUMMYFUNCTION("""COMPUTED_VALUE"""),"엘")</f>
        <v>엘</v>
      </c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</row>
    <row r="1534">
      <c r="A1534" s="27" t="s">
        <v>6388</v>
      </c>
      <c r="B1534" s="28" t="s">
        <v>6389</v>
      </c>
      <c r="C1534" s="27" t="s">
        <v>6390</v>
      </c>
      <c r="D1534" s="27">
        <v>5.0</v>
      </c>
      <c r="E1534" s="27" t="s">
        <v>6391</v>
      </c>
      <c r="F1534" s="27">
        <v>2.0</v>
      </c>
      <c r="G1534" s="29">
        <v>45561.96944444445</v>
      </c>
      <c r="H1534" s="27" t="s">
        <v>6279</v>
      </c>
      <c r="I1534" s="18"/>
      <c r="J1534" s="25" t="str">
        <f>IFERROR(__xludf.DUMMYFUNCTION("ARRAYFORMULA(REGEXEXTRACT(SPLIT(C1534, ""&lt;br&gt;""), ""([가-힣A-Za-z]+)""))"),"재우")</f>
        <v>재우</v>
      </c>
      <c r="K1534" s="26" t="str">
        <f>IFERROR(__xludf.DUMMYFUNCTION("""COMPUTED_VALUE"""),"구리다")</f>
        <v>구리다</v>
      </c>
      <c r="L1534" s="26" t="str">
        <f>IFERROR(__xludf.DUMMYFUNCTION("""COMPUTED_VALUE"""),"강화")</f>
        <v>강화</v>
      </c>
      <c r="M1534" s="26" t="str">
        <f>IFERROR(__xludf.DUMMYFUNCTION("""COMPUTED_VALUE"""),"미르진")</f>
        <v>미르진</v>
      </c>
      <c r="N1534" s="26" t="str">
        <f>IFERROR(__xludf.DUMMYFUNCTION("ARRAYFORMULA(REGEXEXTRACT(SPLIT(E1534, ""&lt;br&gt;""), ""([가-힣A-Za-z]+)""))"),"엘")</f>
        <v>엘</v>
      </c>
      <c r="O1534" s="26" t="str">
        <f>IFERROR(__xludf.DUMMYFUNCTION("""COMPUTED_VALUE"""),"랄")</f>
        <v>랄</v>
      </c>
      <c r="P1534" s="26" t="str">
        <f>IFERROR(__xludf.DUMMYFUNCTION("""COMPUTED_VALUE"""),"신형만")</f>
        <v>신형만</v>
      </c>
      <c r="Q1534" s="26" t="str">
        <f>IFERROR(__xludf.DUMMYFUNCTION("""COMPUTED_VALUE"""),"ACDC")</f>
        <v>ACDC</v>
      </c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</row>
    <row r="1535">
      <c r="A1535" s="27" t="s">
        <v>6392</v>
      </c>
      <c r="B1535" s="28" t="s">
        <v>6393</v>
      </c>
      <c r="C1535" s="27" t="s">
        <v>6394</v>
      </c>
      <c r="D1535" s="27">
        <v>5.0</v>
      </c>
      <c r="E1535" s="27" t="s">
        <v>6395</v>
      </c>
      <c r="F1535" s="27">
        <v>3.0</v>
      </c>
      <c r="G1535" s="29">
        <v>45561.95138888889</v>
      </c>
      <c r="H1535" s="27" t="s">
        <v>6279</v>
      </c>
      <c r="I1535" s="18"/>
      <c r="J1535" s="25" t="str">
        <f>IFERROR(__xludf.DUMMYFUNCTION("ARRAYFORMULA(REGEXEXTRACT(SPLIT(C1535, ""&lt;br&gt;""), ""([가-힣A-Za-z]+)""))"),"신형만")</f>
        <v>신형만</v>
      </c>
      <c r="K1535" s="26" t="str">
        <f>IFERROR(__xludf.DUMMYFUNCTION("""COMPUTED_VALUE"""),"한메")</f>
        <v>한메</v>
      </c>
      <c r="L1535" s="26" t="str">
        <f>IFERROR(__xludf.DUMMYFUNCTION("""COMPUTED_VALUE"""),"강화")</f>
        <v>강화</v>
      </c>
      <c r="M1535" s="26" t="str">
        <f>IFERROR(__xludf.DUMMYFUNCTION("""COMPUTED_VALUE"""),"ACDC")</f>
        <v>ACDC</v>
      </c>
      <c r="N1535" s="26" t="str">
        <f>IFERROR(__xludf.DUMMYFUNCTION("ARRAYFORMULA(REGEXEXTRACT(SPLIT(E1535, ""&lt;br&gt;""), ""([가-힣A-Za-z]+)""))"),"구리다")</f>
        <v>구리다</v>
      </c>
      <c r="O1535" s="26" t="str">
        <f>IFERROR(__xludf.DUMMYFUNCTION("""COMPUTED_VALUE"""),"재우")</f>
        <v>재우</v>
      </c>
      <c r="P1535" s="26" t="str">
        <f>IFERROR(__xludf.DUMMYFUNCTION("""COMPUTED_VALUE"""),"미르진")</f>
        <v>미르진</v>
      </c>
      <c r="Q1535" s="26" t="str">
        <f>IFERROR(__xludf.DUMMYFUNCTION("""COMPUTED_VALUE"""),"재명")</f>
        <v>재명</v>
      </c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</row>
    <row r="1536">
      <c r="A1536" s="27" t="s">
        <v>6396</v>
      </c>
      <c r="B1536" s="28" t="s">
        <v>6397</v>
      </c>
      <c r="C1536" s="27" t="s">
        <v>6398</v>
      </c>
      <c r="D1536" s="27">
        <v>5.0</v>
      </c>
      <c r="E1536" s="27" t="s">
        <v>6399</v>
      </c>
      <c r="F1536" s="27">
        <v>2.0</v>
      </c>
      <c r="G1536" s="29">
        <v>45561.92916666667</v>
      </c>
      <c r="H1536" s="27" t="s">
        <v>6279</v>
      </c>
      <c r="I1536" s="18"/>
      <c r="J1536" s="25" t="str">
        <f>IFERROR(__xludf.DUMMYFUNCTION("ARRAYFORMULA(REGEXEXTRACT(SPLIT(C1536, ""&lt;br&gt;""), ""([가-힣A-Za-z]+)""))"),"ACDC")</f>
        <v>ACDC</v>
      </c>
      <c r="K1536" s="26" t="str">
        <f>IFERROR(__xludf.DUMMYFUNCTION("""COMPUTED_VALUE"""),"미르진")</f>
        <v>미르진</v>
      </c>
      <c r="L1536" s="26" t="str">
        <f>IFERROR(__xludf.DUMMYFUNCTION("""COMPUTED_VALUE"""),"한메")</f>
        <v>한메</v>
      </c>
      <c r="M1536" s="26" t="str">
        <f>IFERROR(__xludf.DUMMYFUNCTION("""COMPUTED_VALUE"""),"신형만")</f>
        <v>신형만</v>
      </c>
      <c r="N1536" s="26" t="str">
        <f>IFERROR(__xludf.DUMMYFUNCTION("ARRAYFORMULA(REGEXEXTRACT(SPLIT(E1536, ""&lt;br&gt;""), ""([가-힣A-Za-z]+)""))"),"구리다")</f>
        <v>구리다</v>
      </c>
      <c r="O1536" s="26" t="str">
        <f>IFERROR(__xludf.DUMMYFUNCTION("""COMPUTED_VALUE"""),"강화")</f>
        <v>강화</v>
      </c>
      <c r="P1536" s="26" t="str">
        <f>IFERROR(__xludf.DUMMYFUNCTION("""COMPUTED_VALUE"""),"재명")</f>
        <v>재명</v>
      </c>
      <c r="Q1536" s="26" t="str">
        <f>IFERROR(__xludf.DUMMYFUNCTION("""COMPUTED_VALUE"""),"재우")</f>
        <v>재우</v>
      </c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</row>
    <row r="1537">
      <c r="A1537" s="27" t="s">
        <v>6400</v>
      </c>
      <c r="B1537" s="28" t="s">
        <v>6401</v>
      </c>
      <c r="C1537" s="27" t="s">
        <v>6402</v>
      </c>
      <c r="D1537" s="27">
        <v>5.0</v>
      </c>
      <c r="E1537" s="27" t="s">
        <v>6403</v>
      </c>
      <c r="F1537" s="27">
        <v>4.0</v>
      </c>
      <c r="G1537" s="29">
        <v>45561.907638888886</v>
      </c>
      <c r="H1537" s="27" t="s">
        <v>6279</v>
      </c>
      <c r="I1537" s="18"/>
      <c r="J1537" s="25" t="str">
        <f>IFERROR(__xludf.DUMMYFUNCTION("ARRAYFORMULA(REGEXEXTRACT(SPLIT(C1537, ""&lt;br&gt;""), ""([가-힣A-Za-z]+)""))"),"ACDC")</f>
        <v>ACDC</v>
      </c>
      <c r="K1537" s="26" t="str">
        <f>IFERROR(__xludf.DUMMYFUNCTION("""COMPUTED_VALUE"""),"신형만")</f>
        <v>신형만</v>
      </c>
      <c r="L1537" s="26" t="str">
        <f>IFERROR(__xludf.DUMMYFUNCTION("""COMPUTED_VALUE"""),"미르진")</f>
        <v>미르진</v>
      </c>
      <c r="M1537" s="26" t="str">
        <f>IFERROR(__xludf.DUMMYFUNCTION("""COMPUTED_VALUE"""),"구리다")</f>
        <v>구리다</v>
      </c>
      <c r="N1537" s="26" t="str">
        <f>IFERROR(__xludf.DUMMYFUNCTION("ARRAYFORMULA(REGEXEXTRACT(SPLIT(E1537, ""&lt;br&gt;""), ""([가-힣A-Za-z]+)""))"),"강화")</f>
        <v>강화</v>
      </c>
      <c r="O1537" s="26" t="str">
        <f>IFERROR(__xludf.DUMMYFUNCTION("""COMPUTED_VALUE"""),"재명")</f>
        <v>재명</v>
      </c>
      <c r="P1537" s="26" t="str">
        <f>IFERROR(__xludf.DUMMYFUNCTION("""COMPUTED_VALUE"""),"한메")</f>
        <v>한메</v>
      </c>
      <c r="Q1537" s="26" t="str">
        <f>IFERROR(__xludf.DUMMYFUNCTION("""COMPUTED_VALUE"""),"재우")</f>
        <v>재우</v>
      </c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</row>
    <row r="1538">
      <c r="A1538" s="27" t="s">
        <v>6404</v>
      </c>
      <c r="B1538" s="28" t="s">
        <v>6405</v>
      </c>
      <c r="C1538" s="27" t="s">
        <v>6406</v>
      </c>
      <c r="D1538" s="27">
        <v>5.0</v>
      </c>
      <c r="E1538" s="27" t="s">
        <v>6407</v>
      </c>
      <c r="F1538" s="27">
        <v>2.0</v>
      </c>
      <c r="G1538" s="29">
        <v>45561.00555555556</v>
      </c>
      <c r="H1538" s="27" t="s">
        <v>6279</v>
      </c>
      <c r="I1538" s="18"/>
      <c r="J1538" s="25" t="str">
        <f>IFERROR(__xludf.DUMMYFUNCTION("ARRAYFORMULA(REGEXEXTRACT(SPLIT(C1538, ""&lt;br&gt;""), ""([가-힣A-Za-z]+)""))"),"키키")</f>
        <v>키키</v>
      </c>
      <c r="K1538" s="26" t="str">
        <f>IFERROR(__xludf.DUMMYFUNCTION("""COMPUTED_VALUE"""),"신형만")</f>
        <v>신형만</v>
      </c>
      <c r="L1538" s="26" t="str">
        <f>IFERROR(__xludf.DUMMYFUNCTION("""COMPUTED_VALUE"""),"제로스")</f>
        <v>제로스</v>
      </c>
      <c r="M1538" s="26" t="str">
        <f>IFERROR(__xludf.DUMMYFUNCTION("""COMPUTED_VALUE"""),"랄")</f>
        <v>랄</v>
      </c>
      <c r="N1538" s="26" t="str">
        <f>IFERROR(__xludf.DUMMYFUNCTION("ARRAYFORMULA(REGEXEXTRACT(SPLIT(E1538, ""&lt;br&gt;""), ""([가-힣A-Za-z]+)""))"),"ACDC")</f>
        <v>ACDC</v>
      </c>
      <c r="O1538" s="26" t="str">
        <f>IFERROR(__xludf.DUMMYFUNCTION("""COMPUTED_VALUE"""),"미르진")</f>
        <v>미르진</v>
      </c>
      <c r="P1538" s="26" t="str">
        <f>IFERROR(__xludf.DUMMYFUNCTION("""COMPUTED_VALUE"""),"재우")</f>
        <v>재우</v>
      </c>
      <c r="Q1538" s="26" t="str">
        <f>IFERROR(__xludf.DUMMYFUNCTION("""COMPUTED_VALUE"""),"재명")</f>
        <v>재명</v>
      </c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</row>
    <row r="1539">
      <c r="A1539" s="27" t="s">
        <v>6408</v>
      </c>
      <c r="B1539" s="28" t="s">
        <v>6409</v>
      </c>
      <c r="C1539" s="27" t="s">
        <v>6410</v>
      </c>
      <c r="D1539" s="27">
        <v>5.0</v>
      </c>
      <c r="E1539" s="27" t="s">
        <v>6411</v>
      </c>
      <c r="F1539" s="27">
        <v>2.0</v>
      </c>
      <c r="G1539" s="29">
        <v>45560.97638888889</v>
      </c>
      <c r="H1539" s="27" t="s">
        <v>6279</v>
      </c>
      <c r="I1539" s="18"/>
      <c r="J1539" s="25" t="str">
        <f>IFERROR(__xludf.DUMMYFUNCTION("ARRAYFORMULA(REGEXEXTRACT(SPLIT(C1539, ""&lt;br&gt;""), ""([가-힣A-Za-z]+)""))"),"키키")</f>
        <v>키키</v>
      </c>
      <c r="K1539" s="26" t="str">
        <f>IFERROR(__xludf.DUMMYFUNCTION("""COMPUTED_VALUE"""),"재우")</f>
        <v>재우</v>
      </c>
      <c r="L1539" s="26" t="str">
        <f>IFERROR(__xludf.DUMMYFUNCTION("""COMPUTED_VALUE"""),"ACDC")</f>
        <v>ACDC</v>
      </c>
      <c r="M1539" s="26" t="str">
        <f>IFERROR(__xludf.DUMMYFUNCTION("""COMPUTED_VALUE"""),"미르진")</f>
        <v>미르진</v>
      </c>
      <c r="N1539" s="26" t="str">
        <f>IFERROR(__xludf.DUMMYFUNCTION("ARRAYFORMULA(REGEXEXTRACT(SPLIT(E1539, ""&lt;br&gt;""), ""([가-힣A-Za-z]+)""))"),"제로스")</f>
        <v>제로스</v>
      </c>
      <c r="O1539" s="26" t="str">
        <f>IFERROR(__xludf.DUMMYFUNCTION("""COMPUTED_VALUE"""),"재명")</f>
        <v>재명</v>
      </c>
      <c r="P1539" s="26" t="str">
        <f>IFERROR(__xludf.DUMMYFUNCTION("""COMPUTED_VALUE"""),"신형만")</f>
        <v>신형만</v>
      </c>
      <c r="Q1539" s="26" t="str">
        <f>IFERROR(__xludf.DUMMYFUNCTION("""COMPUTED_VALUE"""),"랄")</f>
        <v>랄</v>
      </c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</row>
    <row r="1540">
      <c r="A1540" s="27" t="s">
        <v>6412</v>
      </c>
      <c r="B1540" s="28" t="s">
        <v>6413</v>
      </c>
      <c r="C1540" s="27" t="s">
        <v>6414</v>
      </c>
      <c r="D1540" s="27">
        <v>5.0</v>
      </c>
      <c r="E1540" s="27" t="s">
        <v>6415</v>
      </c>
      <c r="F1540" s="27">
        <v>1.0</v>
      </c>
      <c r="G1540" s="29">
        <v>45560.94375</v>
      </c>
      <c r="H1540" s="27" t="s">
        <v>6279</v>
      </c>
      <c r="I1540" s="18"/>
      <c r="J1540" s="25" t="str">
        <f>IFERROR(__xludf.DUMMYFUNCTION("ARRAYFORMULA(REGEXEXTRACT(SPLIT(C1540, ""&lt;br&gt;""), ""([가-힣A-Za-z]+)""))"),"미르진")</f>
        <v>미르진</v>
      </c>
      <c r="K1540" s="26" t="str">
        <f>IFERROR(__xludf.DUMMYFUNCTION("""COMPUTED_VALUE"""),"신형만")</f>
        <v>신형만</v>
      </c>
      <c r="L1540" s="26" t="str">
        <f>IFERROR(__xludf.DUMMYFUNCTION("""COMPUTED_VALUE"""),"제로스")</f>
        <v>제로스</v>
      </c>
      <c r="M1540" s="26" t="str">
        <f>IFERROR(__xludf.DUMMYFUNCTION("""COMPUTED_VALUE"""),"재우")</f>
        <v>재우</v>
      </c>
      <c r="N1540" s="26" t="str">
        <f>IFERROR(__xludf.DUMMYFUNCTION("ARRAYFORMULA(REGEXEXTRACT(SPLIT(E1540, ""&lt;br&gt;""), ""([가-힣A-Za-z]+)""))"),"키키")</f>
        <v>키키</v>
      </c>
      <c r="O1540" s="26" t="str">
        <f>IFERROR(__xludf.DUMMYFUNCTION("""COMPUTED_VALUE"""),"ACDC")</f>
        <v>ACDC</v>
      </c>
      <c r="P1540" s="26" t="str">
        <f>IFERROR(__xludf.DUMMYFUNCTION("""COMPUTED_VALUE"""),"재명")</f>
        <v>재명</v>
      </c>
      <c r="Q1540" s="26" t="str">
        <f>IFERROR(__xludf.DUMMYFUNCTION("""COMPUTED_VALUE"""),"랄")</f>
        <v>랄</v>
      </c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</row>
    <row r="1541">
      <c r="A1541" s="27" t="s">
        <v>6416</v>
      </c>
      <c r="B1541" s="28" t="s">
        <v>6417</v>
      </c>
      <c r="C1541" s="27" t="s">
        <v>6418</v>
      </c>
      <c r="D1541" s="27">
        <v>5.0</v>
      </c>
      <c r="E1541" s="27" t="s">
        <v>6419</v>
      </c>
      <c r="F1541" s="27">
        <v>2.0</v>
      </c>
      <c r="G1541" s="29">
        <v>45559.01666666667</v>
      </c>
      <c r="H1541" s="27" t="s">
        <v>6279</v>
      </c>
      <c r="I1541" s="18"/>
      <c r="J1541" s="25" t="str">
        <f>IFERROR(__xludf.DUMMYFUNCTION("ARRAYFORMULA(REGEXEXTRACT(SPLIT(C1541, ""&lt;br&gt;""), ""([가-힣A-Za-z]+)""))"),"한메")</f>
        <v>한메</v>
      </c>
      <c r="K1541" s="26" t="str">
        <f>IFERROR(__xludf.DUMMYFUNCTION("""COMPUTED_VALUE"""),"짱구")</f>
        <v>짱구</v>
      </c>
      <c r="L1541" s="26" t="str">
        <f>IFERROR(__xludf.DUMMYFUNCTION("""COMPUTED_VALUE"""),"재우")</f>
        <v>재우</v>
      </c>
      <c r="M1541" s="26" t="str">
        <f>IFERROR(__xludf.DUMMYFUNCTION("""COMPUTED_VALUE"""),"엘")</f>
        <v>엘</v>
      </c>
      <c r="N1541" s="26" t="str">
        <f>IFERROR(__xludf.DUMMYFUNCTION("ARRAYFORMULA(REGEXEXTRACT(SPLIT(E1541, ""&lt;br&gt;""), ""([가-힣A-Za-z]+)""))"),"구리다")</f>
        <v>구리다</v>
      </c>
      <c r="O1541" s="26" t="str">
        <f>IFERROR(__xludf.DUMMYFUNCTION("""COMPUTED_VALUE"""),"ACDC")</f>
        <v>ACDC</v>
      </c>
      <c r="P1541" s="26" t="str">
        <f>IFERROR(__xludf.DUMMYFUNCTION("""COMPUTED_VALUE"""),"신형만")</f>
        <v>신형만</v>
      </c>
      <c r="Q1541" s="26" t="str">
        <f>IFERROR(__xludf.DUMMYFUNCTION("""COMPUTED_VALUE"""),"강화")</f>
        <v>강화</v>
      </c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</row>
    <row r="1542">
      <c r="A1542" s="27" t="s">
        <v>6420</v>
      </c>
      <c r="B1542" s="28" t="s">
        <v>6421</v>
      </c>
      <c r="C1542" s="27" t="s">
        <v>6422</v>
      </c>
      <c r="D1542" s="27">
        <v>5.0</v>
      </c>
      <c r="E1542" s="27" t="s">
        <v>6423</v>
      </c>
      <c r="F1542" s="27">
        <v>3.0</v>
      </c>
      <c r="G1542" s="29">
        <v>45559.01597222222</v>
      </c>
      <c r="H1542" s="27" t="s">
        <v>6279</v>
      </c>
      <c r="I1542" s="18"/>
      <c r="J1542" s="25" t="str">
        <f>IFERROR(__xludf.DUMMYFUNCTION("ARRAYFORMULA(REGEXEXTRACT(SPLIT(C1542, ""&lt;br&gt;""), ""([가-힣A-Za-z]+)""))"),"신형만")</f>
        <v>신형만</v>
      </c>
      <c r="K1542" s="26" t="str">
        <f>IFERROR(__xludf.DUMMYFUNCTION("""COMPUTED_VALUE"""),"ACDC")</f>
        <v>ACDC</v>
      </c>
      <c r="L1542" s="26" t="str">
        <f>IFERROR(__xludf.DUMMYFUNCTION("""COMPUTED_VALUE"""),"강화")</f>
        <v>강화</v>
      </c>
      <c r="M1542" s="26" t="str">
        <f>IFERROR(__xludf.DUMMYFUNCTION("""COMPUTED_VALUE"""),"짱구")</f>
        <v>짱구</v>
      </c>
      <c r="N1542" s="26" t="str">
        <f>IFERROR(__xludf.DUMMYFUNCTION("ARRAYFORMULA(REGEXEXTRACT(SPLIT(E1542, ""&lt;br&gt;""), ""([가-힣A-Za-z]+)""))"),"재우")</f>
        <v>재우</v>
      </c>
      <c r="O1542" s="26" t="str">
        <f>IFERROR(__xludf.DUMMYFUNCTION("""COMPUTED_VALUE"""),"한메")</f>
        <v>한메</v>
      </c>
      <c r="P1542" s="26" t="str">
        <f>IFERROR(__xludf.DUMMYFUNCTION("""COMPUTED_VALUE"""),"구리다")</f>
        <v>구리다</v>
      </c>
      <c r="Q1542" s="26" t="str">
        <f>IFERROR(__xludf.DUMMYFUNCTION("""COMPUTED_VALUE"""),"엘")</f>
        <v>엘</v>
      </c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</row>
    <row r="1543">
      <c r="A1543" s="27" t="s">
        <v>6424</v>
      </c>
      <c r="B1543" s="28" t="s">
        <v>6425</v>
      </c>
      <c r="C1543" s="27" t="s">
        <v>6426</v>
      </c>
      <c r="D1543" s="27">
        <v>5.0</v>
      </c>
      <c r="E1543" s="27" t="s">
        <v>6427</v>
      </c>
      <c r="F1543" s="27">
        <v>3.0</v>
      </c>
      <c r="G1543" s="29">
        <v>45559.0125</v>
      </c>
      <c r="H1543" s="27" t="s">
        <v>6279</v>
      </c>
      <c r="I1543" s="18"/>
      <c r="J1543" s="25" t="str">
        <f>IFERROR(__xludf.DUMMYFUNCTION("ARRAYFORMULA(REGEXEXTRACT(SPLIT(C1543, ""&lt;br&gt;""), ""([가-힣A-Za-z]+)""))"),"엘")</f>
        <v>엘</v>
      </c>
      <c r="K1543" s="26" t="str">
        <f>IFERROR(__xludf.DUMMYFUNCTION("""COMPUTED_VALUE"""),"강화")</f>
        <v>강화</v>
      </c>
      <c r="L1543" s="26" t="str">
        <f>IFERROR(__xludf.DUMMYFUNCTION("""COMPUTED_VALUE"""),"테리")</f>
        <v>테리</v>
      </c>
      <c r="M1543" s="26" t="str">
        <f>IFERROR(__xludf.DUMMYFUNCTION("""COMPUTED_VALUE"""),"미등록")</f>
        <v>미등록</v>
      </c>
      <c r="N1543" s="26" t="str">
        <f>IFERROR(__xludf.DUMMYFUNCTION("ARRAYFORMULA(REGEXEXTRACT(SPLIT(E1543, ""&lt;br&gt;""), ""([가-힣A-Za-z]+)""))"),"재우")</f>
        <v>재우</v>
      </c>
      <c r="O1543" s="26" t="str">
        <f>IFERROR(__xludf.DUMMYFUNCTION("""COMPUTED_VALUE"""),"ACDC")</f>
        <v>ACDC</v>
      </c>
      <c r="P1543" s="26" t="str">
        <f>IFERROR(__xludf.DUMMYFUNCTION("""COMPUTED_VALUE"""),"짱구")</f>
        <v>짱구</v>
      </c>
      <c r="Q1543" s="26" t="str">
        <f>IFERROR(__xludf.DUMMYFUNCTION("""COMPUTED_VALUE"""),"한메")</f>
        <v>한메</v>
      </c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</row>
    <row r="1544">
      <c r="A1544" s="27" t="s">
        <v>6428</v>
      </c>
      <c r="B1544" s="28" t="s">
        <v>6429</v>
      </c>
      <c r="C1544" s="27" t="s">
        <v>6430</v>
      </c>
      <c r="D1544" s="27">
        <v>5.0</v>
      </c>
      <c r="E1544" s="27" t="s">
        <v>6431</v>
      </c>
      <c r="F1544" s="27">
        <v>3.0</v>
      </c>
      <c r="G1544" s="29">
        <v>45559.01180555556</v>
      </c>
      <c r="H1544" s="27" t="s">
        <v>6279</v>
      </c>
      <c r="I1544" s="18"/>
      <c r="J1544" s="25" t="str">
        <f>IFERROR(__xludf.DUMMYFUNCTION("ARRAYFORMULA(REGEXEXTRACT(SPLIT(C1544, ""&lt;br&gt;""), ""([가-힣A-Za-z]+)""))"),"엘")</f>
        <v>엘</v>
      </c>
      <c r="K1544" s="26" t="str">
        <f>IFERROR(__xludf.DUMMYFUNCTION("""COMPUTED_VALUE"""),"테리")</f>
        <v>테리</v>
      </c>
      <c r="L1544" s="26" t="str">
        <f>IFERROR(__xludf.DUMMYFUNCTION("""COMPUTED_VALUE"""),"짱구")</f>
        <v>짱구</v>
      </c>
      <c r="M1544" s="26" t="str">
        <f>IFERROR(__xludf.DUMMYFUNCTION("""COMPUTED_VALUE"""),"미등록")</f>
        <v>미등록</v>
      </c>
      <c r="N1544" s="26" t="str">
        <f>IFERROR(__xludf.DUMMYFUNCTION("ARRAYFORMULA(REGEXEXTRACT(SPLIT(E1544, ""&lt;br&gt;""), ""([가-힣A-Za-z]+)""))"),"한메")</f>
        <v>한메</v>
      </c>
      <c r="O1544" s="26" t="str">
        <f>IFERROR(__xludf.DUMMYFUNCTION("""COMPUTED_VALUE"""),"강화")</f>
        <v>강화</v>
      </c>
      <c r="P1544" s="26" t="str">
        <f>IFERROR(__xludf.DUMMYFUNCTION("""COMPUTED_VALUE"""),"ACDC")</f>
        <v>ACDC</v>
      </c>
      <c r="Q1544" s="26" t="str">
        <f>IFERROR(__xludf.DUMMYFUNCTION("""COMPUTED_VALUE"""),"재우")</f>
        <v>재우</v>
      </c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</row>
    <row r="1545">
      <c r="A1545" s="27" t="s">
        <v>6432</v>
      </c>
      <c r="B1545" s="28" t="s">
        <v>6433</v>
      </c>
      <c r="C1545" s="27" t="s">
        <v>6434</v>
      </c>
      <c r="D1545" s="27">
        <v>5.0</v>
      </c>
      <c r="E1545" s="27" t="s">
        <v>6435</v>
      </c>
      <c r="F1545" s="27">
        <v>1.0</v>
      </c>
      <c r="G1545" s="29">
        <v>45558.99722222222</v>
      </c>
      <c r="H1545" s="27" t="s">
        <v>6279</v>
      </c>
      <c r="I1545" s="18"/>
      <c r="J1545" s="25" t="str">
        <f>IFERROR(__xludf.DUMMYFUNCTION("ARRAYFORMULA(REGEXEXTRACT(SPLIT(C1545, ""&lt;br&gt;""), ""([가-힣A-Za-z]+)""))"),"웅")</f>
        <v>웅</v>
      </c>
      <c r="K1545" s="26" t="str">
        <f>IFERROR(__xludf.DUMMYFUNCTION("""COMPUTED_VALUE"""),"ACDC")</f>
        <v>ACDC</v>
      </c>
      <c r="L1545" s="26" t="str">
        <f>IFERROR(__xludf.DUMMYFUNCTION("""COMPUTED_VALUE"""),"재우")</f>
        <v>재우</v>
      </c>
      <c r="M1545" s="26" t="str">
        <f>IFERROR(__xludf.DUMMYFUNCTION("""COMPUTED_VALUE"""),"신형만")</f>
        <v>신형만</v>
      </c>
      <c r="N1545" s="26" t="str">
        <f>IFERROR(__xludf.DUMMYFUNCTION("ARRAYFORMULA(REGEXEXTRACT(SPLIT(E1545, ""&lt;br&gt;""), ""([가-힣A-Za-z]+)""))"),"짱구")</f>
        <v>짱구</v>
      </c>
      <c r="O1545" s="26" t="str">
        <f>IFERROR(__xludf.DUMMYFUNCTION("""COMPUTED_VALUE"""),"강화")</f>
        <v>강화</v>
      </c>
      <c r="P1545" s="26" t="str">
        <f>IFERROR(__xludf.DUMMYFUNCTION("""COMPUTED_VALUE"""),"구리다")</f>
        <v>구리다</v>
      </c>
      <c r="Q1545" s="26" t="str">
        <f>IFERROR(__xludf.DUMMYFUNCTION("""COMPUTED_VALUE"""),"엘")</f>
        <v>엘</v>
      </c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</row>
    <row r="1546">
      <c r="A1546" s="27" t="s">
        <v>6436</v>
      </c>
      <c r="B1546" s="28" t="s">
        <v>6437</v>
      </c>
      <c r="C1546" s="27" t="s">
        <v>6438</v>
      </c>
      <c r="D1546" s="27">
        <v>5.0</v>
      </c>
      <c r="E1546" s="27" t="s">
        <v>6439</v>
      </c>
      <c r="F1546" s="27">
        <v>2.0</v>
      </c>
      <c r="G1546" s="29">
        <v>45555.899305555555</v>
      </c>
      <c r="H1546" s="27" t="s">
        <v>6279</v>
      </c>
      <c r="I1546" s="18"/>
      <c r="J1546" s="25" t="str">
        <f>IFERROR(__xludf.DUMMYFUNCTION("ARRAYFORMULA(REGEXEXTRACT(SPLIT(C1546, ""&lt;br&gt;""), ""([가-힣A-Za-z]+)""))"),"신형만")</f>
        <v>신형만</v>
      </c>
      <c r="K1546" s="26" t="str">
        <f>IFERROR(__xludf.DUMMYFUNCTION("""COMPUTED_VALUE"""),"재우")</f>
        <v>재우</v>
      </c>
      <c r="L1546" s="26" t="str">
        <f>IFERROR(__xludf.DUMMYFUNCTION("""COMPUTED_VALUE"""),"강화")</f>
        <v>강화</v>
      </c>
      <c r="M1546" s="26" t="str">
        <f>IFERROR(__xludf.DUMMYFUNCTION("""COMPUTED_VALUE"""),"재명")</f>
        <v>재명</v>
      </c>
      <c r="N1546" s="26" t="str">
        <f>IFERROR(__xludf.DUMMYFUNCTION("ARRAYFORMULA(REGEXEXTRACT(SPLIT(E1546, ""&lt;br&gt;""), ""([가-힣A-Za-z]+)""))"),"미르진")</f>
        <v>미르진</v>
      </c>
      <c r="O1546" s="26" t="str">
        <f>IFERROR(__xludf.DUMMYFUNCTION("""COMPUTED_VALUE"""),"미등록")</f>
        <v>미등록</v>
      </c>
      <c r="P1546" s="26" t="str">
        <f>IFERROR(__xludf.DUMMYFUNCTION("""COMPUTED_VALUE"""),"시아")</f>
        <v>시아</v>
      </c>
      <c r="Q1546" s="26" t="str">
        <f>IFERROR(__xludf.DUMMYFUNCTION("""COMPUTED_VALUE"""),"미등록")</f>
        <v>미등록</v>
      </c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</row>
    <row r="1547">
      <c r="A1547" s="27" t="s">
        <v>6440</v>
      </c>
      <c r="B1547" s="28" t="s">
        <v>6441</v>
      </c>
      <c r="C1547" s="27" t="s">
        <v>6442</v>
      </c>
      <c r="D1547" s="27">
        <v>5.0</v>
      </c>
      <c r="E1547" s="27" t="s">
        <v>6443</v>
      </c>
      <c r="F1547" s="27">
        <v>4.0</v>
      </c>
      <c r="G1547" s="29">
        <v>45555.02569444444</v>
      </c>
      <c r="H1547" s="27" t="s">
        <v>6279</v>
      </c>
      <c r="I1547" s="18"/>
      <c r="J1547" s="25" t="str">
        <f>IFERROR(__xludf.DUMMYFUNCTION("ARRAYFORMULA(REGEXEXTRACT(SPLIT(C1547, ""&lt;br&gt;""), ""([가-힣A-Za-z]+)""))"),"제로스")</f>
        <v>제로스</v>
      </c>
      <c r="K1547" s="26" t="str">
        <f>IFERROR(__xludf.DUMMYFUNCTION("""COMPUTED_VALUE"""),"미르진")</f>
        <v>미르진</v>
      </c>
      <c r="L1547" s="26" t="str">
        <f>IFERROR(__xludf.DUMMYFUNCTION("""COMPUTED_VALUE"""),"윙크")</f>
        <v>윙크</v>
      </c>
      <c r="M1547" s="26" t="str">
        <f>IFERROR(__xludf.DUMMYFUNCTION("""COMPUTED_VALUE"""),"한메")</f>
        <v>한메</v>
      </c>
      <c r="N1547" s="26" t="str">
        <f>IFERROR(__xludf.DUMMYFUNCTION("ARRAYFORMULA(REGEXEXTRACT(SPLIT(E1547, ""&lt;br&gt;""), ""([가-힣A-Za-z]+)""))"),"구리다")</f>
        <v>구리다</v>
      </c>
      <c r="O1547" s="26" t="str">
        <f>IFERROR(__xludf.DUMMYFUNCTION("""COMPUTED_VALUE"""),"ACDC")</f>
        <v>ACDC</v>
      </c>
      <c r="P1547" s="26" t="str">
        <f>IFERROR(__xludf.DUMMYFUNCTION("""COMPUTED_VALUE"""),"Leaf")</f>
        <v>Leaf</v>
      </c>
      <c r="Q1547" s="26" t="str">
        <f>IFERROR(__xludf.DUMMYFUNCTION("""COMPUTED_VALUE"""),"미등록")</f>
        <v>미등록</v>
      </c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</row>
    <row r="1548">
      <c r="A1548" s="27" t="s">
        <v>6444</v>
      </c>
      <c r="B1548" s="28" t="s">
        <v>6445</v>
      </c>
      <c r="C1548" s="27" t="s">
        <v>6446</v>
      </c>
      <c r="D1548" s="27">
        <v>5.0</v>
      </c>
      <c r="E1548" s="27" t="s">
        <v>6447</v>
      </c>
      <c r="F1548" s="27">
        <v>0.0</v>
      </c>
      <c r="G1548" s="29">
        <v>45554.979166666664</v>
      </c>
      <c r="H1548" s="27" t="s">
        <v>6279</v>
      </c>
      <c r="I1548" s="18"/>
      <c r="J1548" s="25" t="str">
        <f>IFERROR(__xludf.DUMMYFUNCTION("ARRAYFORMULA(REGEXEXTRACT(SPLIT(C1548, ""&lt;br&gt;""), ""([가-힣A-Za-z]+)""))"),"윙크")</f>
        <v>윙크</v>
      </c>
      <c r="K1548" s="26" t="str">
        <f>IFERROR(__xludf.DUMMYFUNCTION("""COMPUTED_VALUE"""),"한메")</f>
        <v>한메</v>
      </c>
      <c r="L1548" s="26" t="str">
        <f>IFERROR(__xludf.DUMMYFUNCTION("""COMPUTED_VALUE"""),"Leaf")</f>
        <v>Leaf</v>
      </c>
      <c r="M1548" s="26" t="str">
        <f>IFERROR(__xludf.DUMMYFUNCTION("""COMPUTED_VALUE"""),"미등록")</f>
        <v>미등록</v>
      </c>
      <c r="N1548" s="26" t="str">
        <f>IFERROR(__xludf.DUMMYFUNCTION("ARRAYFORMULA(REGEXEXTRACT(SPLIT(E1548, ""&lt;br&gt;""), ""([가-힣A-Za-z]+)""))"),"미르진")</f>
        <v>미르진</v>
      </c>
      <c r="O1548" s="26" t="str">
        <f>IFERROR(__xludf.DUMMYFUNCTION("""COMPUTED_VALUE"""),"구리다")</f>
        <v>구리다</v>
      </c>
      <c r="P1548" s="26" t="str">
        <f>IFERROR(__xludf.DUMMYFUNCTION("""COMPUTED_VALUE"""),"제로스")</f>
        <v>제로스</v>
      </c>
      <c r="Q1548" s="26" t="str">
        <f>IFERROR(__xludf.DUMMYFUNCTION("""COMPUTED_VALUE"""),"ACDC")</f>
        <v>ACDC</v>
      </c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</row>
    <row r="1549">
      <c r="A1549" s="27" t="s">
        <v>6448</v>
      </c>
      <c r="B1549" s="28" t="s">
        <v>6449</v>
      </c>
      <c r="C1549" s="27" t="s">
        <v>6450</v>
      </c>
      <c r="D1549" s="27">
        <v>5.0</v>
      </c>
      <c r="E1549" s="27" t="s">
        <v>6451</v>
      </c>
      <c r="F1549" s="27">
        <v>2.0</v>
      </c>
      <c r="G1549" s="29">
        <v>45554.96041666667</v>
      </c>
      <c r="H1549" s="27" t="s">
        <v>6279</v>
      </c>
      <c r="I1549" s="18"/>
      <c r="J1549" s="25" t="str">
        <f>IFERROR(__xludf.DUMMYFUNCTION("ARRAYFORMULA(REGEXEXTRACT(SPLIT(C1549, ""&lt;br&gt;""), ""([가-힣A-Za-z]+)""))"),"미등록")</f>
        <v>미등록</v>
      </c>
      <c r="K1549" s="26" t="str">
        <f>IFERROR(__xludf.DUMMYFUNCTION("""COMPUTED_VALUE"""),"한메")</f>
        <v>한메</v>
      </c>
      <c r="L1549" s="26" t="str">
        <f>IFERROR(__xludf.DUMMYFUNCTION("""COMPUTED_VALUE"""),"Leaf")</f>
        <v>Leaf</v>
      </c>
      <c r="M1549" s="26" t="str">
        <f>IFERROR(__xludf.DUMMYFUNCTION("""COMPUTED_VALUE"""),"ACDC")</f>
        <v>ACDC</v>
      </c>
      <c r="N1549" s="26" t="str">
        <f>IFERROR(__xludf.DUMMYFUNCTION("ARRAYFORMULA(REGEXEXTRACT(SPLIT(E1549, ""&lt;br&gt;""), ""([가-힣A-Za-z]+)""))"),"제로스")</f>
        <v>제로스</v>
      </c>
      <c r="O1549" s="26" t="str">
        <f>IFERROR(__xludf.DUMMYFUNCTION("""COMPUTED_VALUE"""),"미르진")</f>
        <v>미르진</v>
      </c>
      <c r="P1549" s="26" t="str">
        <f>IFERROR(__xludf.DUMMYFUNCTION("""COMPUTED_VALUE"""),"윙크")</f>
        <v>윙크</v>
      </c>
      <c r="Q1549" s="26" t="str">
        <f>IFERROR(__xludf.DUMMYFUNCTION("""COMPUTED_VALUE"""),"구리다")</f>
        <v>구리다</v>
      </c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</row>
    <row r="1550">
      <c r="A1550" s="27" t="s">
        <v>6452</v>
      </c>
      <c r="B1550" s="28" t="s">
        <v>6453</v>
      </c>
      <c r="C1550" s="27" t="s">
        <v>6454</v>
      </c>
      <c r="D1550" s="27">
        <v>5.0</v>
      </c>
      <c r="E1550" s="27" t="s">
        <v>6455</v>
      </c>
      <c r="F1550" s="27">
        <v>3.0</v>
      </c>
      <c r="G1550" s="29">
        <v>45553.967361111114</v>
      </c>
      <c r="H1550" s="27" t="s">
        <v>6279</v>
      </c>
      <c r="I1550" s="18"/>
      <c r="J1550" s="25" t="str">
        <f>IFERROR(__xludf.DUMMYFUNCTION("ARRAYFORMULA(REGEXEXTRACT(SPLIT(C1550, ""&lt;br&gt;""), ""([가-힣A-Za-z]+)""))"),"강화")</f>
        <v>강화</v>
      </c>
      <c r="K1550" s="26" t="str">
        <f>IFERROR(__xludf.DUMMYFUNCTION("""COMPUTED_VALUE"""),"조드")</f>
        <v>조드</v>
      </c>
      <c r="L1550" s="26" t="str">
        <f>IFERROR(__xludf.DUMMYFUNCTION("""COMPUTED_VALUE"""),"구리다")</f>
        <v>구리다</v>
      </c>
      <c r="M1550" s="26" t="str">
        <f>IFERROR(__xludf.DUMMYFUNCTION("""COMPUTED_VALUE"""),"ACDC")</f>
        <v>ACDC</v>
      </c>
      <c r="N1550" s="26" t="str">
        <f>IFERROR(__xludf.DUMMYFUNCTION("ARRAYFORMULA(REGEXEXTRACT(SPLIT(E1550, ""&lt;br&gt;""), ""([가-힣A-Za-z]+)""))"),"랄")</f>
        <v>랄</v>
      </c>
      <c r="O1550" s="26" t="str">
        <f>IFERROR(__xludf.DUMMYFUNCTION("""COMPUTED_VALUE"""),"재명")</f>
        <v>재명</v>
      </c>
      <c r="P1550" s="26" t="str">
        <f>IFERROR(__xludf.DUMMYFUNCTION("""COMPUTED_VALUE"""),"미등록")</f>
        <v>미등록</v>
      </c>
      <c r="Q1550" s="26" t="str">
        <f>IFERROR(__xludf.DUMMYFUNCTION("""COMPUTED_VALUE"""),"신형만")</f>
        <v>신형만</v>
      </c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</row>
    <row r="1551">
      <c r="A1551" s="27" t="s">
        <v>6456</v>
      </c>
      <c r="B1551" s="28" t="s">
        <v>6457</v>
      </c>
      <c r="C1551" s="27" t="s">
        <v>6458</v>
      </c>
      <c r="D1551" s="27">
        <v>5.0</v>
      </c>
      <c r="E1551" s="27" t="s">
        <v>6459</v>
      </c>
      <c r="F1551" s="27">
        <v>3.0</v>
      </c>
      <c r="G1551" s="29">
        <v>45553.94305555556</v>
      </c>
      <c r="H1551" s="27" t="s">
        <v>6279</v>
      </c>
      <c r="I1551" s="18"/>
      <c r="J1551" s="25" t="str">
        <f>IFERROR(__xludf.DUMMYFUNCTION("ARRAYFORMULA(REGEXEXTRACT(SPLIT(C1551, ""&lt;br&gt;""), ""([가-힣A-Za-z]+)""))"),"신형만")</f>
        <v>신형만</v>
      </c>
      <c r="K1551" s="26" t="str">
        <f>IFERROR(__xludf.DUMMYFUNCTION("""COMPUTED_VALUE"""),"재명")</f>
        <v>재명</v>
      </c>
      <c r="L1551" s="26" t="str">
        <f>IFERROR(__xludf.DUMMYFUNCTION("""COMPUTED_VALUE"""),"미등록")</f>
        <v>미등록</v>
      </c>
      <c r="M1551" s="26" t="str">
        <f>IFERROR(__xludf.DUMMYFUNCTION("""COMPUTED_VALUE"""),"강화")</f>
        <v>강화</v>
      </c>
      <c r="N1551" s="26" t="str">
        <f>IFERROR(__xludf.DUMMYFUNCTION("ARRAYFORMULA(REGEXEXTRACT(SPLIT(E1551, ""&lt;br&gt;""), ""([가-힣A-Za-z]+)""))"),"ACDC")</f>
        <v>ACDC</v>
      </c>
      <c r="O1551" s="26" t="str">
        <f>IFERROR(__xludf.DUMMYFUNCTION("""COMPUTED_VALUE"""),"조드")</f>
        <v>조드</v>
      </c>
      <c r="P1551" s="26" t="str">
        <f>IFERROR(__xludf.DUMMYFUNCTION("""COMPUTED_VALUE"""),"구리다")</f>
        <v>구리다</v>
      </c>
      <c r="Q1551" s="26" t="str">
        <f>IFERROR(__xludf.DUMMYFUNCTION("""COMPUTED_VALUE"""),"랄")</f>
        <v>랄</v>
      </c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</row>
    <row r="1552">
      <c r="A1552" s="27" t="s">
        <v>6460</v>
      </c>
      <c r="B1552" s="28" t="s">
        <v>6461</v>
      </c>
      <c r="C1552" s="27" t="s">
        <v>6462</v>
      </c>
      <c r="D1552" s="27">
        <v>5.0</v>
      </c>
      <c r="E1552" s="27" t="s">
        <v>6463</v>
      </c>
      <c r="F1552" s="27">
        <v>4.0</v>
      </c>
      <c r="G1552" s="29">
        <v>45553.916666666664</v>
      </c>
      <c r="H1552" s="27" t="s">
        <v>6279</v>
      </c>
      <c r="I1552" s="18"/>
      <c r="J1552" s="25" t="str">
        <f>IFERROR(__xludf.DUMMYFUNCTION("ARRAYFORMULA(REGEXEXTRACT(SPLIT(C1552, ""&lt;br&gt;""), ""([가-힣A-Za-z]+)""))"),"랄")</f>
        <v>랄</v>
      </c>
      <c r="K1552" s="26" t="str">
        <f>IFERROR(__xludf.DUMMYFUNCTION("""COMPUTED_VALUE"""),"재명")</f>
        <v>재명</v>
      </c>
      <c r="L1552" s="26" t="str">
        <f>IFERROR(__xludf.DUMMYFUNCTION("""COMPUTED_VALUE"""),"구리다")</f>
        <v>구리다</v>
      </c>
      <c r="M1552" s="26" t="str">
        <f>IFERROR(__xludf.DUMMYFUNCTION("""COMPUTED_VALUE"""),"신형만")</f>
        <v>신형만</v>
      </c>
      <c r="N1552" s="26" t="str">
        <f>IFERROR(__xludf.DUMMYFUNCTION("ARRAYFORMULA(REGEXEXTRACT(SPLIT(E1552, ""&lt;br&gt;""), ""([가-힣A-Za-z]+)""))"),"미등록")</f>
        <v>미등록</v>
      </c>
      <c r="O1552" s="26" t="str">
        <f>IFERROR(__xludf.DUMMYFUNCTION("""COMPUTED_VALUE"""),"강화")</f>
        <v>강화</v>
      </c>
      <c r="P1552" s="26" t="str">
        <f>IFERROR(__xludf.DUMMYFUNCTION("""COMPUTED_VALUE"""),"ACDC")</f>
        <v>ACDC</v>
      </c>
      <c r="Q1552" s="26" t="str">
        <f>IFERROR(__xludf.DUMMYFUNCTION("""COMPUTED_VALUE"""),"조드")</f>
        <v>조드</v>
      </c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</row>
    <row r="1553">
      <c r="A1553" s="27" t="s">
        <v>6464</v>
      </c>
      <c r="B1553" s="28" t="s">
        <v>6465</v>
      </c>
      <c r="C1553" s="27" t="s">
        <v>6466</v>
      </c>
      <c r="D1553" s="27">
        <v>5.0</v>
      </c>
      <c r="E1553" s="27" t="s">
        <v>6467</v>
      </c>
      <c r="F1553" s="27">
        <v>4.0</v>
      </c>
      <c r="G1553" s="29">
        <v>45549.120833333334</v>
      </c>
      <c r="H1553" s="27" t="s">
        <v>6279</v>
      </c>
      <c r="I1553" s="18"/>
      <c r="J1553" s="25" t="str">
        <f>IFERROR(__xludf.DUMMYFUNCTION("ARRAYFORMULA(REGEXEXTRACT(SPLIT(C1553, ""&lt;br&gt;""), ""([가-힣A-Za-z]+)""))"),"신형만")</f>
        <v>신형만</v>
      </c>
      <c r="K1553" s="26" t="str">
        <f>IFERROR(__xludf.DUMMYFUNCTION("""COMPUTED_VALUE"""),"재명")</f>
        <v>재명</v>
      </c>
      <c r="L1553" s="26" t="str">
        <f>IFERROR(__xludf.DUMMYFUNCTION("""COMPUTED_VALUE"""),"시아")</f>
        <v>시아</v>
      </c>
      <c r="M1553" s="26" t="str">
        <f>IFERROR(__xludf.DUMMYFUNCTION("""COMPUTED_VALUE"""),"악동")</f>
        <v>악동</v>
      </c>
      <c r="N1553" s="26" t="str">
        <f>IFERROR(__xludf.DUMMYFUNCTION("ARRAYFORMULA(REGEXEXTRACT(SPLIT(E1553, ""&lt;br&gt;""), ""([가-힣A-Za-z]+)""))"),"미등록")</f>
        <v>미등록</v>
      </c>
      <c r="O1553" s="26" t="str">
        <f>IFERROR(__xludf.DUMMYFUNCTION("""COMPUTED_VALUE"""),"구리다")</f>
        <v>구리다</v>
      </c>
      <c r="P1553" s="26" t="str">
        <f>IFERROR(__xludf.DUMMYFUNCTION("""COMPUTED_VALUE"""),"미르진")</f>
        <v>미르진</v>
      </c>
      <c r="Q1553" s="26" t="str">
        <f>IFERROR(__xludf.DUMMYFUNCTION("""COMPUTED_VALUE"""),"랄")</f>
        <v>랄</v>
      </c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</row>
    <row r="1554">
      <c r="A1554" s="27" t="s">
        <v>6468</v>
      </c>
      <c r="B1554" s="28" t="s">
        <v>6469</v>
      </c>
      <c r="C1554" s="27" t="s">
        <v>6470</v>
      </c>
      <c r="D1554" s="27">
        <v>5.0</v>
      </c>
      <c r="E1554" s="27" t="s">
        <v>6471</v>
      </c>
      <c r="F1554" s="27">
        <v>3.0</v>
      </c>
      <c r="G1554" s="29">
        <v>45549.09375</v>
      </c>
      <c r="H1554" s="27" t="s">
        <v>6279</v>
      </c>
      <c r="I1554" s="18"/>
      <c r="J1554" s="25" t="str">
        <f>IFERROR(__xludf.DUMMYFUNCTION("ARRAYFORMULA(REGEXEXTRACT(SPLIT(C1554, ""&lt;br&gt;""), ""([가-힣A-Za-z]+)""))"),"재명")</f>
        <v>재명</v>
      </c>
      <c r="K1554" s="26" t="str">
        <f>IFERROR(__xludf.DUMMYFUNCTION("""COMPUTED_VALUE"""),"구리다")</f>
        <v>구리다</v>
      </c>
      <c r="L1554" s="26" t="str">
        <f>IFERROR(__xludf.DUMMYFUNCTION("""COMPUTED_VALUE"""),"시아")</f>
        <v>시아</v>
      </c>
      <c r="M1554" s="26" t="str">
        <f>IFERROR(__xludf.DUMMYFUNCTION("""COMPUTED_VALUE"""),"신형만")</f>
        <v>신형만</v>
      </c>
      <c r="N1554" s="26" t="str">
        <f>IFERROR(__xludf.DUMMYFUNCTION("ARRAYFORMULA(REGEXEXTRACT(SPLIT(E1554, ""&lt;br&gt;""), ""([가-힣A-Za-z]+)""))"),"미등록")</f>
        <v>미등록</v>
      </c>
      <c r="O1554" s="26" t="str">
        <f>IFERROR(__xludf.DUMMYFUNCTION("""COMPUTED_VALUE"""),"랄")</f>
        <v>랄</v>
      </c>
      <c r="P1554" s="26" t="str">
        <f>IFERROR(__xludf.DUMMYFUNCTION("""COMPUTED_VALUE"""),"미르진")</f>
        <v>미르진</v>
      </c>
      <c r="Q1554" s="26" t="str">
        <f>IFERROR(__xludf.DUMMYFUNCTION("""COMPUTED_VALUE"""),"악동")</f>
        <v>악동</v>
      </c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</row>
    <row r="1555">
      <c r="A1555" s="27" t="s">
        <v>6472</v>
      </c>
      <c r="B1555" s="28" t="s">
        <v>6473</v>
      </c>
      <c r="C1555" s="27" t="s">
        <v>6474</v>
      </c>
      <c r="D1555" s="27">
        <v>5.0</v>
      </c>
      <c r="E1555" s="27" t="s">
        <v>6475</v>
      </c>
      <c r="F1555" s="27">
        <v>1.0</v>
      </c>
      <c r="G1555" s="29">
        <v>45549.04236111111</v>
      </c>
      <c r="H1555" s="27" t="s">
        <v>6279</v>
      </c>
      <c r="I1555" s="18"/>
      <c r="J1555" s="25" t="str">
        <f>IFERROR(__xludf.DUMMYFUNCTION("ARRAYFORMULA(REGEXEXTRACT(SPLIT(C1555, ""&lt;br&gt;""), ""([가-힣A-Za-z]+)""))"),"강화")</f>
        <v>강화</v>
      </c>
      <c r="K1555" s="26" t="str">
        <f>IFERROR(__xludf.DUMMYFUNCTION("""COMPUTED_VALUE"""),"구리다")</f>
        <v>구리다</v>
      </c>
      <c r="L1555" s="26" t="str">
        <f>IFERROR(__xludf.DUMMYFUNCTION("""COMPUTED_VALUE"""),"랄")</f>
        <v>랄</v>
      </c>
      <c r="M1555" s="26" t="str">
        <f>IFERROR(__xludf.DUMMYFUNCTION("""COMPUTED_VALUE"""),"노픽업")</f>
        <v>노픽업</v>
      </c>
      <c r="N1555" s="26" t="str">
        <f>IFERROR(__xludf.DUMMYFUNCTION("ARRAYFORMULA(REGEXEXTRACT(SPLIT(E1555, ""&lt;br&gt;""), ""([가-힣A-Za-z]+)""))"),"미르진")</f>
        <v>미르진</v>
      </c>
      <c r="O1555" s="26" t="str">
        <f>IFERROR(__xludf.DUMMYFUNCTION("""COMPUTED_VALUE"""),"ACDC")</f>
        <v>ACDC</v>
      </c>
      <c r="P1555" s="26" t="str">
        <f>IFERROR(__xludf.DUMMYFUNCTION("""COMPUTED_VALUE"""),"신형만")</f>
        <v>신형만</v>
      </c>
      <c r="Q1555" s="26" t="str">
        <f>IFERROR(__xludf.DUMMYFUNCTION("""COMPUTED_VALUE"""),"미등록")</f>
        <v>미등록</v>
      </c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</row>
    <row r="1556">
      <c r="A1556" s="27" t="s">
        <v>6476</v>
      </c>
      <c r="B1556" s="28" t="s">
        <v>6477</v>
      </c>
      <c r="C1556" s="27" t="s">
        <v>6478</v>
      </c>
      <c r="D1556" s="27">
        <v>5.0</v>
      </c>
      <c r="E1556" s="27" t="s">
        <v>6479</v>
      </c>
      <c r="F1556" s="27">
        <v>1.0</v>
      </c>
      <c r="G1556" s="29">
        <v>45549.01666666667</v>
      </c>
      <c r="H1556" s="27" t="s">
        <v>6279</v>
      </c>
      <c r="I1556" s="18"/>
      <c r="J1556" s="25" t="str">
        <f>IFERROR(__xludf.DUMMYFUNCTION("ARRAYFORMULA(REGEXEXTRACT(SPLIT(C1556, ""&lt;br&gt;""), ""([가-힣A-Za-z]+)""))"),"강화")</f>
        <v>강화</v>
      </c>
      <c r="K1556" s="26" t="str">
        <f>IFERROR(__xludf.DUMMYFUNCTION("""COMPUTED_VALUE"""),"노픽업")</f>
        <v>노픽업</v>
      </c>
      <c r="L1556" s="26" t="str">
        <f>IFERROR(__xludf.DUMMYFUNCTION("""COMPUTED_VALUE"""),"신형만")</f>
        <v>신형만</v>
      </c>
      <c r="M1556" s="26" t="str">
        <f>IFERROR(__xludf.DUMMYFUNCTION("""COMPUTED_VALUE"""),"랄")</f>
        <v>랄</v>
      </c>
      <c r="N1556" s="26" t="str">
        <f>IFERROR(__xludf.DUMMYFUNCTION("ARRAYFORMULA(REGEXEXTRACT(SPLIT(E1556, ""&lt;br&gt;""), ""([가-힣A-Za-z]+)""))"),"미르진")</f>
        <v>미르진</v>
      </c>
      <c r="O1556" s="26" t="str">
        <f>IFERROR(__xludf.DUMMYFUNCTION("""COMPUTED_VALUE"""),"구리다")</f>
        <v>구리다</v>
      </c>
      <c r="P1556" s="26" t="str">
        <f>IFERROR(__xludf.DUMMYFUNCTION("""COMPUTED_VALUE"""),"ACDC")</f>
        <v>ACDC</v>
      </c>
      <c r="Q1556" s="26" t="str">
        <f>IFERROR(__xludf.DUMMYFUNCTION("""COMPUTED_VALUE"""),"미등록")</f>
        <v>미등록</v>
      </c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</row>
    <row r="1557">
      <c r="A1557" s="27" t="s">
        <v>6480</v>
      </c>
      <c r="B1557" s="28" t="s">
        <v>6481</v>
      </c>
      <c r="C1557" s="27" t="s">
        <v>6482</v>
      </c>
      <c r="D1557" s="27">
        <v>5.0</v>
      </c>
      <c r="E1557" s="27" t="s">
        <v>6483</v>
      </c>
      <c r="F1557" s="27">
        <v>2.0</v>
      </c>
      <c r="G1557" s="29">
        <v>45548.99722222222</v>
      </c>
      <c r="H1557" s="27" t="s">
        <v>6279</v>
      </c>
      <c r="I1557" s="18"/>
      <c r="J1557" s="25" t="str">
        <f>IFERROR(__xludf.DUMMYFUNCTION("ARRAYFORMULA(REGEXEXTRACT(SPLIT(C1557, ""&lt;br&gt;""), ""([가-힣A-Za-z]+)""))"),"랄")</f>
        <v>랄</v>
      </c>
      <c r="K1557" s="26" t="str">
        <f>IFERROR(__xludf.DUMMYFUNCTION("""COMPUTED_VALUE"""),"미르진")</f>
        <v>미르진</v>
      </c>
      <c r="L1557" s="26" t="str">
        <f>IFERROR(__xludf.DUMMYFUNCTION("""COMPUTED_VALUE"""),"노픽업")</f>
        <v>노픽업</v>
      </c>
      <c r="M1557" s="26" t="str">
        <f>IFERROR(__xludf.DUMMYFUNCTION("""COMPUTED_VALUE"""),"구리다")</f>
        <v>구리다</v>
      </c>
      <c r="N1557" s="26" t="str">
        <f>IFERROR(__xludf.DUMMYFUNCTION("ARRAYFORMULA(REGEXEXTRACT(SPLIT(E1557, ""&lt;br&gt;""), ""([가-힣A-Za-z]+)""))"),"미등록")</f>
        <v>미등록</v>
      </c>
      <c r="O1557" s="26" t="str">
        <f>IFERROR(__xludf.DUMMYFUNCTION("""COMPUTED_VALUE"""),"ACDC")</f>
        <v>ACDC</v>
      </c>
      <c r="P1557" s="26" t="str">
        <f>IFERROR(__xludf.DUMMYFUNCTION("""COMPUTED_VALUE"""),"신형만")</f>
        <v>신형만</v>
      </c>
      <c r="Q1557" s="26" t="str">
        <f>IFERROR(__xludf.DUMMYFUNCTION("""COMPUTED_VALUE"""),"강화")</f>
        <v>강화</v>
      </c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</row>
    <row r="1558">
      <c r="A1558" s="27" t="s">
        <v>6484</v>
      </c>
      <c r="B1558" s="28" t="s">
        <v>6485</v>
      </c>
      <c r="C1558" s="27" t="s">
        <v>6486</v>
      </c>
      <c r="D1558" s="27">
        <v>5.0</v>
      </c>
      <c r="E1558" s="27" t="s">
        <v>6487</v>
      </c>
      <c r="F1558" s="27">
        <v>4.0</v>
      </c>
      <c r="G1558" s="29">
        <v>45548.96875</v>
      </c>
      <c r="H1558" s="27" t="s">
        <v>6279</v>
      </c>
      <c r="I1558" s="18"/>
      <c r="J1558" s="25" t="str">
        <f>IFERROR(__xludf.DUMMYFUNCTION("ARRAYFORMULA(REGEXEXTRACT(SPLIT(C1558, ""&lt;br&gt;""), ""([가-힣A-Za-z]+)""))"),"미르진")</f>
        <v>미르진</v>
      </c>
      <c r="K1558" s="26" t="str">
        <f>IFERROR(__xludf.DUMMYFUNCTION("""COMPUTED_VALUE"""),"구리다")</f>
        <v>구리다</v>
      </c>
      <c r="L1558" s="26" t="str">
        <f>IFERROR(__xludf.DUMMYFUNCTION("""COMPUTED_VALUE"""),"노픽업")</f>
        <v>노픽업</v>
      </c>
      <c r="M1558" s="26" t="str">
        <f>IFERROR(__xludf.DUMMYFUNCTION("""COMPUTED_VALUE"""),"ACDC")</f>
        <v>ACDC</v>
      </c>
      <c r="N1558" s="26" t="str">
        <f>IFERROR(__xludf.DUMMYFUNCTION("ARRAYFORMULA(REGEXEXTRACT(SPLIT(E1558, ""&lt;br&gt;""), ""([가-힣A-Za-z]+)""))"),"미등록")</f>
        <v>미등록</v>
      </c>
      <c r="O1558" s="26" t="str">
        <f>IFERROR(__xludf.DUMMYFUNCTION("""COMPUTED_VALUE"""),"랄")</f>
        <v>랄</v>
      </c>
      <c r="P1558" s="26" t="str">
        <f>IFERROR(__xludf.DUMMYFUNCTION("""COMPUTED_VALUE"""),"강화")</f>
        <v>강화</v>
      </c>
      <c r="Q1558" s="26" t="str">
        <f>IFERROR(__xludf.DUMMYFUNCTION("""COMPUTED_VALUE"""),"신형만")</f>
        <v>신형만</v>
      </c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</row>
    <row r="1559">
      <c r="A1559" s="27" t="s">
        <v>6488</v>
      </c>
      <c r="B1559" s="28" t="s">
        <v>6489</v>
      </c>
      <c r="C1559" s="27" t="s">
        <v>6490</v>
      </c>
      <c r="D1559" s="27">
        <v>5.0</v>
      </c>
      <c r="E1559" s="27" t="s">
        <v>6491</v>
      </c>
      <c r="F1559" s="27">
        <v>3.0</v>
      </c>
      <c r="G1559" s="29">
        <v>45548.944444444445</v>
      </c>
      <c r="H1559" s="27" t="s">
        <v>6279</v>
      </c>
      <c r="I1559" s="18"/>
      <c r="J1559" s="25" t="str">
        <f>IFERROR(__xludf.DUMMYFUNCTION("ARRAYFORMULA(REGEXEXTRACT(SPLIT(C1559, ""&lt;br&gt;""), ""([가-힣A-Za-z]+)""))"),"신형만")</f>
        <v>신형만</v>
      </c>
      <c r="K1559" s="26" t="str">
        <f>IFERROR(__xludf.DUMMYFUNCTION("""COMPUTED_VALUE"""),"구리다")</f>
        <v>구리다</v>
      </c>
      <c r="L1559" s="26" t="str">
        <f>IFERROR(__xludf.DUMMYFUNCTION("""COMPUTED_VALUE"""),"ACDC")</f>
        <v>ACDC</v>
      </c>
      <c r="M1559" s="26" t="str">
        <f>IFERROR(__xludf.DUMMYFUNCTION("""COMPUTED_VALUE"""),"강화")</f>
        <v>강화</v>
      </c>
      <c r="N1559" s="26" t="str">
        <f>IFERROR(__xludf.DUMMYFUNCTION("ARRAYFORMULA(REGEXEXTRACT(SPLIT(E1559, ""&lt;br&gt;""), ""([가-힣A-Za-z]+)""))"),"랄")</f>
        <v>랄</v>
      </c>
      <c r="O1559" s="26" t="str">
        <f>IFERROR(__xludf.DUMMYFUNCTION("""COMPUTED_VALUE"""),"노픽업")</f>
        <v>노픽업</v>
      </c>
      <c r="P1559" s="26" t="str">
        <f>IFERROR(__xludf.DUMMYFUNCTION("""COMPUTED_VALUE"""),"미르진")</f>
        <v>미르진</v>
      </c>
      <c r="Q1559" s="26" t="str">
        <f>IFERROR(__xludf.DUMMYFUNCTION("""COMPUTED_VALUE"""),"미등록")</f>
        <v>미등록</v>
      </c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</row>
    <row r="1560">
      <c r="A1560" s="27" t="s">
        <v>6492</v>
      </c>
      <c r="B1560" s="28" t="s">
        <v>6493</v>
      </c>
      <c r="C1560" s="27" t="s">
        <v>6494</v>
      </c>
      <c r="D1560" s="27">
        <v>5.0</v>
      </c>
      <c r="E1560" s="27" t="s">
        <v>6495</v>
      </c>
      <c r="F1560" s="27">
        <v>1.0</v>
      </c>
      <c r="G1560" s="29">
        <v>45548.01180555556</v>
      </c>
      <c r="H1560" s="27" t="s">
        <v>6279</v>
      </c>
      <c r="I1560" s="18"/>
      <c r="J1560" s="25" t="str">
        <f>IFERROR(__xludf.DUMMYFUNCTION("ARRAYFORMULA(REGEXEXTRACT(SPLIT(C1560, ""&lt;br&gt;""), ""([가-힣A-Za-z]+)""))"),"신형만")</f>
        <v>신형만</v>
      </c>
      <c r="K1560" s="26" t="str">
        <f>IFERROR(__xludf.DUMMYFUNCTION("""COMPUTED_VALUE"""),"봉구")</f>
        <v>봉구</v>
      </c>
      <c r="L1560" s="26" t="str">
        <f>IFERROR(__xludf.DUMMYFUNCTION("""COMPUTED_VALUE"""),"ACDC")</f>
        <v>ACDC</v>
      </c>
      <c r="M1560" s="26" t="str">
        <f>IFERROR(__xludf.DUMMYFUNCTION("""COMPUTED_VALUE"""),"한메")</f>
        <v>한메</v>
      </c>
      <c r="N1560" s="26" t="str">
        <f>IFERROR(__xludf.DUMMYFUNCTION("ARRAYFORMULA(REGEXEXTRACT(SPLIT(E1560, ""&lt;br&gt;""), ""([가-힣A-Za-z]+)""))"),"구리다")</f>
        <v>구리다</v>
      </c>
      <c r="O1560" s="26" t="str">
        <f>IFERROR(__xludf.DUMMYFUNCTION("""COMPUTED_VALUE"""),"재명")</f>
        <v>재명</v>
      </c>
      <c r="P1560" s="26" t="str">
        <f>IFERROR(__xludf.DUMMYFUNCTION("""COMPUTED_VALUE"""),"노픽업")</f>
        <v>노픽업</v>
      </c>
      <c r="Q1560" s="26" t="str">
        <f>IFERROR(__xludf.DUMMYFUNCTION("""COMPUTED_VALUE"""),"재우")</f>
        <v>재우</v>
      </c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</row>
    <row r="1561">
      <c r="A1561" s="27" t="s">
        <v>6496</v>
      </c>
      <c r="B1561" s="28" t="s">
        <v>6497</v>
      </c>
      <c r="C1561" s="27" t="s">
        <v>6498</v>
      </c>
      <c r="D1561" s="27">
        <v>5.0</v>
      </c>
      <c r="E1561" s="27" t="s">
        <v>6499</v>
      </c>
      <c r="F1561" s="27">
        <v>4.0</v>
      </c>
      <c r="G1561" s="29">
        <v>45547.99166666667</v>
      </c>
      <c r="H1561" s="27" t="s">
        <v>6279</v>
      </c>
      <c r="I1561" s="18"/>
      <c r="J1561" s="25" t="str">
        <f>IFERROR(__xludf.DUMMYFUNCTION("ARRAYFORMULA(REGEXEXTRACT(SPLIT(C1561, ""&lt;br&gt;""), ""([가-힣A-Za-z]+)""))"),"재우")</f>
        <v>재우</v>
      </c>
      <c r="K1561" s="26" t="str">
        <f>IFERROR(__xludf.DUMMYFUNCTION("""COMPUTED_VALUE"""),"노픽업")</f>
        <v>노픽업</v>
      </c>
      <c r="L1561" s="26" t="str">
        <f>IFERROR(__xludf.DUMMYFUNCTION("""COMPUTED_VALUE"""),"신형만")</f>
        <v>신형만</v>
      </c>
      <c r="M1561" s="26" t="str">
        <f>IFERROR(__xludf.DUMMYFUNCTION("""COMPUTED_VALUE"""),"재명")</f>
        <v>재명</v>
      </c>
      <c r="N1561" s="26" t="str">
        <f>IFERROR(__xludf.DUMMYFUNCTION("ARRAYFORMULA(REGEXEXTRACT(SPLIT(E1561, ""&lt;br&gt;""), ""([가-힣A-Za-z]+)""))"),"구리다")</f>
        <v>구리다</v>
      </c>
      <c r="O1561" s="26" t="str">
        <f>IFERROR(__xludf.DUMMYFUNCTION("""COMPUTED_VALUE"""),"한메")</f>
        <v>한메</v>
      </c>
      <c r="P1561" s="26" t="str">
        <f>IFERROR(__xludf.DUMMYFUNCTION("""COMPUTED_VALUE"""),"봉구")</f>
        <v>봉구</v>
      </c>
      <c r="Q1561" s="26" t="str">
        <f>IFERROR(__xludf.DUMMYFUNCTION("""COMPUTED_VALUE"""),"ACDC")</f>
        <v>ACDC</v>
      </c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</row>
    <row r="1562">
      <c r="A1562" s="27" t="s">
        <v>6500</v>
      </c>
      <c r="B1562" s="28" t="s">
        <v>6501</v>
      </c>
      <c r="C1562" s="27" t="s">
        <v>6502</v>
      </c>
      <c r="D1562" s="27">
        <v>5.0</v>
      </c>
      <c r="E1562" s="27" t="s">
        <v>6503</v>
      </c>
      <c r="F1562" s="27">
        <v>3.0</v>
      </c>
      <c r="G1562" s="29">
        <v>45547.98263888889</v>
      </c>
      <c r="H1562" s="27" t="s">
        <v>6279</v>
      </c>
      <c r="I1562" s="18"/>
      <c r="J1562" s="25" t="str">
        <f>IFERROR(__xludf.DUMMYFUNCTION("ARRAYFORMULA(REGEXEXTRACT(SPLIT(C1562, ""&lt;br&gt;""), ""([가-힣A-Za-z]+)""))"),"ACDC")</f>
        <v>ACDC</v>
      </c>
      <c r="K1562" s="26" t="str">
        <f>IFERROR(__xludf.DUMMYFUNCTION("""COMPUTED_VALUE"""),"봉구")</f>
        <v>봉구</v>
      </c>
      <c r="L1562" s="26" t="str">
        <f>IFERROR(__xludf.DUMMYFUNCTION("""COMPUTED_VALUE"""),"노픽업")</f>
        <v>노픽업</v>
      </c>
      <c r="M1562" s="26" t="str">
        <f>IFERROR(__xludf.DUMMYFUNCTION("""COMPUTED_VALUE"""),"한메")</f>
        <v>한메</v>
      </c>
      <c r="N1562" s="26" t="str">
        <f>IFERROR(__xludf.DUMMYFUNCTION("ARRAYFORMULA(REGEXEXTRACT(SPLIT(E1562, ""&lt;br&gt;""), ""([가-힣A-Za-z]+)""))"),"재우")</f>
        <v>재우</v>
      </c>
      <c r="O1562" s="26" t="str">
        <f>IFERROR(__xludf.DUMMYFUNCTION("""COMPUTED_VALUE"""),"재명")</f>
        <v>재명</v>
      </c>
      <c r="P1562" s="26" t="str">
        <f>IFERROR(__xludf.DUMMYFUNCTION("""COMPUTED_VALUE"""),"신형만")</f>
        <v>신형만</v>
      </c>
      <c r="Q1562" s="26" t="str">
        <f>IFERROR(__xludf.DUMMYFUNCTION("""COMPUTED_VALUE"""),"구리다")</f>
        <v>구리다</v>
      </c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</row>
    <row r="1563">
      <c r="A1563" s="27" t="s">
        <v>6504</v>
      </c>
      <c r="B1563" s="28" t="s">
        <v>6505</v>
      </c>
      <c r="C1563" s="27" t="s">
        <v>6506</v>
      </c>
      <c r="D1563" s="27">
        <v>5.0</v>
      </c>
      <c r="E1563" s="27" t="s">
        <v>6507</v>
      </c>
      <c r="F1563" s="27">
        <v>2.0</v>
      </c>
      <c r="G1563" s="29">
        <v>45547.95277777778</v>
      </c>
      <c r="H1563" s="27" t="s">
        <v>6279</v>
      </c>
      <c r="I1563" s="18"/>
      <c r="J1563" s="25" t="str">
        <f>IFERROR(__xludf.DUMMYFUNCTION("ARRAYFORMULA(REGEXEXTRACT(SPLIT(C1563, ""&lt;br&gt;""), ""([가-힣A-Za-z]+)""))"),"신형만")</f>
        <v>신형만</v>
      </c>
      <c r="K1563" s="26" t="str">
        <f>IFERROR(__xludf.DUMMYFUNCTION("""COMPUTED_VALUE"""),"구리다")</f>
        <v>구리다</v>
      </c>
      <c r="L1563" s="26" t="str">
        <f>IFERROR(__xludf.DUMMYFUNCTION("""COMPUTED_VALUE"""),"테리")</f>
        <v>테리</v>
      </c>
      <c r="M1563" s="26" t="str">
        <f>IFERROR(__xludf.DUMMYFUNCTION("""COMPUTED_VALUE"""),"봉구")</f>
        <v>봉구</v>
      </c>
      <c r="N1563" s="26" t="str">
        <f>IFERROR(__xludf.DUMMYFUNCTION("ARRAYFORMULA(REGEXEXTRACT(SPLIT(E1563, ""&lt;br&gt;""), ""([가-힣A-Za-z]+)""))"),"ACDC")</f>
        <v>ACDC</v>
      </c>
      <c r="O1563" s="26" t="str">
        <f>IFERROR(__xludf.DUMMYFUNCTION("""COMPUTED_VALUE"""),"재명")</f>
        <v>재명</v>
      </c>
      <c r="P1563" s="26" t="str">
        <f>IFERROR(__xludf.DUMMYFUNCTION("""COMPUTED_VALUE"""),"노픽업")</f>
        <v>노픽업</v>
      </c>
      <c r="Q1563" s="26" t="str">
        <f>IFERROR(__xludf.DUMMYFUNCTION("""COMPUTED_VALUE"""),"한메")</f>
        <v>한메</v>
      </c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</row>
    <row r="1564">
      <c r="A1564" s="27" t="s">
        <v>6508</v>
      </c>
      <c r="B1564" s="28" t="s">
        <v>6509</v>
      </c>
      <c r="C1564" s="27" t="s">
        <v>6510</v>
      </c>
      <c r="D1564" s="27">
        <v>5.0</v>
      </c>
      <c r="E1564" s="27" t="s">
        <v>6511</v>
      </c>
      <c r="F1564" s="27">
        <v>2.0</v>
      </c>
      <c r="G1564" s="29">
        <v>45547.92847222222</v>
      </c>
      <c r="H1564" s="27" t="s">
        <v>6279</v>
      </c>
      <c r="I1564" s="18"/>
      <c r="J1564" s="25" t="str">
        <f>IFERROR(__xludf.DUMMYFUNCTION("ARRAYFORMULA(REGEXEXTRACT(SPLIT(C1564, ""&lt;br&gt;""), ""([가-힣A-Za-z]+)""))"),"ACDC")</f>
        <v>ACDC</v>
      </c>
      <c r="K1564" s="26" t="str">
        <f>IFERROR(__xludf.DUMMYFUNCTION("""COMPUTED_VALUE"""),"한메")</f>
        <v>한메</v>
      </c>
      <c r="L1564" s="26" t="str">
        <f>IFERROR(__xludf.DUMMYFUNCTION("""COMPUTED_VALUE"""),"신형만")</f>
        <v>신형만</v>
      </c>
      <c r="M1564" s="26" t="str">
        <f>IFERROR(__xludf.DUMMYFUNCTION("""COMPUTED_VALUE"""),"봉구")</f>
        <v>봉구</v>
      </c>
      <c r="N1564" s="26" t="str">
        <f>IFERROR(__xludf.DUMMYFUNCTION("ARRAYFORMULA(REGEXEXTRACT(SPLIT(E1564, ""&lt;br&gt;""), ""([가-힣A-Za-z]+)""))"),"재명")</f>
        <v>재명</v>
      </c>
      <c r="O1564" s="26" t="str">
        <f>IFERROR(__xludf.DUMMYFUNCTION("""COMPUTED_VALUE"""),"테리")</f>
        <v>테리</v>
      </c>
      <c r="P1564" s="26" t="str">
        <f>IFERROR(__xludf.DUMMYFUNCTION("""COMPUTED_VALUE"""),"시아")</f>
        <v>시아</v>
      </c>
      <c r="Q1564" s="26" t="str">
        <f>IFERROR(__xludf.DUMMYFUNCTION("""COMPUTED_VALUE"""),"구리다")</f>
        <v>구리다</v>
      </c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</row>
    <row r="1565">
      <c r="A1565" s="27" t="s">
        <v>6512</v>
      </c>
      <c r="B1565" s="28" t="s">
        <v>6513</v>
      </c>
      <c r="C1565" s="27" t="s">
        <v>6514</v>
      </c>
      <c r="D1565" s="27">
        <v>5.0</v>
      </c>
      <c r="E1565" s="27" t="s">
        <v>6515</v>
      </c>
      <c r="F1565" s="27">
        <v>3.0</v>
      </c>
      <c r="G1565" s="29">
        <v>45547.90555555555</v>
      </c>
      <c r="H1565" s="27" t="s">
        <v>6279</v>
      </c>
      <c r="I1565" s="18"/>
      <c r="J1565" s="25" t="str">
        <f>IFERROR(__xludf.DUMMYFUNCTION("ARRAYFORMULA(REGEXEXTRACT(SPLIT(C1565, ""&lt;br&gt;""), ""([가-힣A-Za-z]+)""))"),"구리다")</f>
        <v>구리다</v>
      </c>
      <c r="K1565" s="26" t="str">
        <f>IFERROR(__xludf.DUMMYFUNCTION("""COMPUTED_VALUE"""),"테리")</f>
        <v>테리</v>
      </c>
      <c r="L1565" s="26" t="str">
        <f>IFERROR(__xludf.DUMMYFUNCTION("""COMPUTED_VALUE"""),"ACDC")</f>
        <v>ACDC</v>
      </c>
      <c r="M1565" s="26" t="str">
        <f>IFERROR(__xludf.DUMMYFUNCTION("""COMPUTED_VALUE"""),"한메")</f>
        <v>한메</v>
      </c>
      <c r="N1565" s="26" t="str">
        <f>IFERROR(__xludf.DUMMYFUNCTION("ARRAYFORMULA(REGEXEXTRACT(SPLIT(E1565, ""&lt;br&gt;""), ""([가-힣A-Za-z]+)""))"),"재명")</f>
        <v>재명</v>
      </c>
      <c r="O1565" s="26" t="str">
        <f>IFERROR(__xludf.DUMMYFUNCTION("""COMPUTED_VALUE"""),"신형만")</f>
        <v>신형만</v>
      </c>
      <c r="P1565" s="26" t="str">
        <f>IFERROR(__xludf.DUMMYFUNCTION("""COMPUTED_VALUE"""),"시아")</f>
        <v>시아</v>
      </c>
      <c r="Q1565" s="26" t="str">
        <f>IFERROR(__xludf.DUMMYFUNCTION("""COMPUTED_VALUE"""),"봉구")</f>
        <v>봉구</v>
      </c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</row>
    <row r="1566">
      <c r="A1566" s="27" t="s">
        <v>6516</v>
      </c>
      <c r="B1566" s="28" t="s">
        <v>6517</v>
      </c>
      <c r="C1566" s="27" t="s">
        <v>6518</v>
      </c>
      <c r="D1566" s="27">
        <v>5.0</v>
      </c>
      <c r="E1566" s="27" t="s">
        <v>6519</v>
      </c>
      <c r="F1566" s="27">
        <v>4.0</v>
      </c>
      <c r="G1566" s="29">
        <v>45546.00902777778</v>
      </c>
      <c r="H1566" s="27" t="s">
        <v>6279</v>
      </c>
      <c r="I1566" s="18"/>
      <c r="J1566" s="25" t="str">
        <f>IFERROR(__xludf.DUMMYFUNCTION("ARRAYFORMULA(REGEXEXTRACT(SPLIT(C1566, ""&lt;br&gt;""), ""([가-힣A-Za-z]+)""))"),"강화")</f>
        <v>강화</v>
      </c>
      <c r="K1566" s="26" t="str">
        <f>IFERROR(__xludf.DUMMYFUNCTION("""COMPUTED_VALUE"""),"신형만")</f>
        <v>신형만</v>
      </c>
      <c r="L1566" s="26" t="str">
        <f>IFERROR(__xludf.DUMMYFUNCTION("""COMPUTED_VALUE"""),"재우")</f>
        <v>재우</v>
      </c>
      <c r="M1566" s="26" t="str">
        <f>IFERROR(__xludf.DUMMYFUNCTION("""COMPUTED_VALUE"""),"미등록")</f>
        <v>미등록</v>
      </c>
      <c r="N1566" s="26" t="str">
        <f>IFERROR(__xludf.DUMMYFUNCTION("ARRAYFORMULA(REGEXEXTRACT(SPLIT(E1566, ""&lt;br&gt;""), ""([가-힣A-Za-z]+)""))"),"한메")</f>
        <v>한메</v>
      </c>
      <c r="O1566" s="26" t="str">
        <f>IFERROR(__xludf.DUMMYFUNCTION("""COMPUTED_VALUE"""),"ACDC")</f>
        <v>ACDC</v>
      </c>
      <c r="P1566" s="26" t="str">
        <f>IFERROR(__xludf.DUMMYFUNCTION("""COMPUTED_VALUE"""),"재명")</f>
        <v>재명</v>
      </c>
      <c r="Q1566" s="26" t="str">
        <f>IFERROR(__xludf.DUMMYFUNCTION("""COMPUTED_VALUE"""),"구리다")</f>
        <v>구리다</v>
      </c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</row>
    <row r="1567">
      <c r="A1567" s="27" t="s">
        <v>6520</v>
      </c>
      <c r="B1567" s="28" t="s">
        <v>6521</v>
      </c>
      <c r="C1567" s="27" t="s">
        <v>6522</v>
      </c>
      <c r="D1567" s="27">
        <v>5.0</v>
      </c>
      <c r="E1567" s="27" t="s">
        <v>6523</v>
      </c>
      <c r="F1567" s="27">
        <v>4.0</v>
      </c>
      <c r="G1567" s="29">
        <v>45545.98333333333</v>
      </c>
      <c r="H1567" s="27" t="s">
        <v>6279</v>
      </c>
      <c r="I1567" s="18"/>
      <c r="J1567" s="25" t="str">
        <f>IFERROR(__xludf.DUMMYFUNCTION("ARRAYFORMULA(REGEXEXTRACT(SPLIT(C1567, ""&lt;br&gt;""), ""([가-힣A-Za-z]+)""))"),"구리다")</f>
        <v>구리다</v>
      </c>
      <c r="K1567" s="26" t="str">
        <f>IFERROR(__xludf.DUMMYFUNCTION("""COMPUTED_VALUE"""),"미르진")</f>
        <v>미르진</v>
      </c>
      <c r="L1567" s="26" t="str">
        <f>IFERROR(__xludf.DUMMYFUNCTION("""COMPUTED_VALUE"""),"재우")</f>
        <v>재우</v>
      </c>
      <c r="M1567" s="26" t="str">
        <f>IFERROR(__xludf.DUMMYFUNCTION("""COMPUTED_VALUE"""),"강화")</f>
        <v>강화</v>
      </c>
      <c r="N1567" s="26" t="str">
        <f>IFERROR(__xludf.DUMMYFUNCTION("ARRAYFORMULA(REGEXEXTRACT(SPLIT(E1567, ""&lt;br&gt;""), ""([가-힣A-Za-z]+)""))"),"재명")</f>
        <v>재명</v>
      </c>
      <c r="O1567" s="26" t="str">
        <f>IFERROR(__xludf.DUMMYFUNCTION("""COMPUTED_VALUE"""),"신형만")</f>
        <v>신형만</v>
      </c>
      <c r="P1567" s="26" t="str">
        <f>IFERROR(__xludf.DUMMYFUNCTION("""COMPUTED_VALUE"""),"ACDC")</f>
        <v>ACDC</v>
      </c>
      <c r="Q1567" s="26" t="str">
        <f>IFERROR(__xludf.DUMMYFUNCTION("""COMPUTED_VALUE"""),"미등록")</f>
        <v>미등록</v>
      </c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</row>
    <row r="1568">
      <c r="A1568" s="27" t="s">
        <v>6524</v>
      </c>
      <c r="B1568" s="28" t="s">
        <v>6525</v>
      </c>
      <c r="C1568" s="27" t="s">
        <v>6526</v>
      </c>
      <c r="D1568" s="27">
        <v>5.0</v>
      </c>
      <c r="E1568" s="27" t="s">
        <v>6527</v>
      </c>
      <c r="F1568" s="27">
        <v>4.0</v>
      </c>
      <c r="G1568" s="29">
        <v>45545.947222222225</v>
      </c>
      <c r="H1568" s="27" t="s">
        <v>6279</v>
      </c>
      <c r="I1568" s="18"/>
      <c r="J1568" s="25" t="str">
        <f>IFERROR(__xludf.DUMMYFUNCTION("ARRAYFORMULA(REGEXEXTRACT(SPLIT(C1568, ""&lt;br&gt;""), ""([가-힣A-Za-z]+)""))"),"구리다")</f>
        <v>구리다</v>
      </c>
      <c r="K1568" s="26" t="str">
        <f>IFERROR(__xludf.DUMMYFUNCTION("""COMPUTED_VALUE"""),"미르진")</f>
        <v>미르진</v>
      </c>
      <c r="L1568" s="26" t="str">
        <f>IFERROR(__xludf.DUMMYFUNCTION("""COMPUTED_VALUE"""),"ACDC")</f>
        <v>ACDC</v>
      </c>
      <c r="M1568" s="26" t="str">
        <f>IFERROR(__xludf.DUMMYFUNCTION("""COMPUTED_VALUE"""),"신형만")</f>
        <v>신형만</v>
      </c>
      <c r="N1568" s="26" t="str">
        <f>IFERROR(__xludf.DUMMYFUNCTION("ARRAYFORMULA(REGEXEXTRACT(SPLIT(E1568, ""&lt;br&gt;""), ""([가-힣A-Za-z]+)""))"),"미등록")</f>
        <v>미등록</v>
      </c>
      <c r="O1568" s="26" t="str">
        <f>IFERROR(__xludf.DUMMYFUNCTION("""COMPUTED_VALUE"""),"재명")</f>
        <v>재명</v>
      </c>
      <c r="P1568" s="26" t="str">
        <f>IFERROR(__xludf.DUMMYFUNCTION("""COMPUTED_VALUE"""),"재우")</f>
        <v>재우</v>
      </c>
      <c r="Q1568" s="26" t="str">
        <f>IFERROR(__xludf.DUMMYFUNCTION("""COMPUTED_VALUE"""),"강화")</f>
        <v>강화</v>
      </c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</row>
    <row r="1569">
      <c r="A1569" s="27" t="s">
        <v>6528</v>
      </c>
      <c r="B1569" s="28" t="s">
        <v>6529</v>
      </c>
      <c r="C1569" s="27" t="s">
        <v>6530</v>
      </c>
      <c r="D1569" s="27">
        <v>5.0</v>
      </c>
      <c r="E1569" s="27" t="s">
        <v>6531</v>
      </c>
      <c r="F1569" s="27">
        <v>4.0</v>
      </c>
      <c r="G1569" s="29">
        <v>45544.958333333336</v>
      </c>
      <c r="H1569" s="27" t="s">
        <v>6279</v>
      </c>
      <c r="I1569" s="18"/>
      <c r="J1569" s="25" t="str">
        <f>IFERROR(__xludf.DUMMYFUNCTION("ARRAYFORMULA(REGEXEXTRACT(SPLIT(C1569, ""&lt;br&gt;""), ""([가-힣A-Za-z]+)""))"),"강화")</f>
        <v>강화</v>
      </c>
      <c r="K1569" s="26" t="str">
        <f>IFERROR(__xludf.DUMMYFUNCTION("""COMPUTED_VALUE"""),"신형만")</f>
        <v>신형만</v>
      </c>
      <c r="L1569" s="26" t="str">
        <f>IFERROR(__xludf.DUMMYFUNCTION("""COMPUTED_VALUE"""),"시아")</f>
        <v>시아</v>
      </c>
      <c r="M1569" s="26" t="str">
        <f>IFERROR(__xludf.DUMMYFUNCTION("""COMPUTED_VALUE"""),"한메")</f>
        <v>한메</v>
      </c>
      <c r="N1569" s="26" t="str">
        <f>IFERROR(__xludf.DUMMYFUNCTION("ARRAYFORMULA(REGEXEXTRACT(SPLIT(E1569, ""&lt;br&gt;""), ""([가-힣A-Za-z]+)""))"),"조심")</f>
        <v>조심</v>
      </c>
      <c r="O1569" s="26" t="str">
        <f>IFERROR(__xludf.DUMMYFUNCTION("""COMPUTED_VALUE"""),"ACDC")</f>
        <v>ACDC</v>
      </c>
      <c r="P1569" s="26" t="str">
        <f>IFERROR(__xludf.DUMMYFUNCTION("""COMPUTED_VALUE"""),"랄")</f>
        <v>랄</v>
      </c>
      <c r="Q1569" s="26" t="str">
        <f>IFERROR(__xludf.DUMMYFUNCTION("""COMPUTED_VALUE"""),"노픽업")</f>
        <v>노픽업</v>
      </c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</row>
    <row r="1570">
      <c r="A1570" s="27" t="s">
        <v>6532</v>
      </c>
      <c r="B1570" s="28" t="s">
        <v>6533</v>
      </c>
      <c r="C1570" s="27" t="s">
        <v>6534</v>
      </c>
      <c r="D1570" s="27">
        <v>5.0</v>
      </c>
      <c r="E1570" s="27" t="s">
        <v>6535</v>
      </c>
      <c r="F1570" s="27">
        <v>4.0</v>
      </c>
      <c r="G1570" s="29">
        <v>45544.93958333333</v>
      </c>
      <c r="H1570" s="27" t="s">
        <v>6279</v>
      </c>
      <c r="I1570" s="18"/>
      <c r="J1570" s="25" t="str">
        <f>IFERROR(__xludf.DUMMYFUNCTION("ARRAYFORMULA(REGEXEXTRACT(SPLIT(C1570, ""&lt;br&gt;""), ""([가-힣A-Za-z]+)""))"),"강화")</f>
        <v>강화</v>
      </c>
      <c r="K1570" s="26" t="str">
        <f>IFERROR(__xludf.DUMMYFUNCTION("""COMPUTED_VALUE"""),"ACDC")</f>
        <v>ACDC</v>
      </c>
      <c r="L1570" s="26" t="str">
        <f>IFERROR(__xludf.DUMMYFUNCTION("""COMPUTED_VALUE"""),"노픽업")</f>
        <v>노픽업</v>
      </c>
      <c r="M1570" s="26" t="str">
        <f>IFERROR(__xludf.DUMMYFUNCTION("""COMPUTED_VALUE"""),"한메")</f>
        <v>한메</v>
      </c>
      <c r="N1570" s="26" t="str">
        <f>IFERROR(__xludf.DUMMYFUNCTION("ARRAYFORMULA(REGEXEXTRACT(SPLIT(E1570, ""&lt;br&gt;""), ""([가-힣A-Za-z]+)""))"),"랄")</f>
        <v>랄</v>
      </c>
      <c r="O1570" s="26" t="str">
        <f>IFERROR(__xludf.DUMMYFUNCTION("""COMPUTED_VALUE"""),"신형만")</f>
        <v>신형만</v>
      </c>
      <c r="P1570" s="26" t="str">
        <f>IFERROR(__xludf.DUMMYFUNCTION("""COMPUTED_VALUE"""),"시아")</f>
        <v>시아</v>
      </c>
      <c r="Q1570" s="26" t="str">
        <f>IFERROR(__xludf.DUMMYFUNCTION("""COMPUTED_VALUE"""),"조심")</f>
        <v>조심</v>
      </c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</row>
    <row r="1571">
      <c r="A1571" s="27" t="s">
        <v>6536</v>
      </c>
      <c r="B1571" s="28" t="s">
        <v>6537</v>
      </c>
      <c r="C1571" s="27" t="s">
        <v>6538</v>
      </c>
      <c r="D1571" s="27">
        <v>5.0</v>
      </c>
      <c r="E1571" s="27" t="s">
        <v>6539</v>
      </c>
      <c r="F1571" s="27">
        <v>4.0</v>
      </c>
      <c r="G1571" s="29">
        <v>45544.927777777775</v>
      </c>
      <c r="H1571" s="27" t="s">
        <v>6279</v>
      </c>
      <c r="I1571" s="18"/>
      <c r="J1571" s="25" t="str">
        <f>IFERROR(__xludf.DUMMYFUNCTION("ARRAYFORMULA(REGEXEXTRACT(SPLIT(C1571, ""&lt;br&gt;""), ""([가-힣A-Za-z]+)""))"),"ACDC")</f>
        <v>ACDC</v>
      </c>
      <c r="K1571" s="26" t="str">
        <f>IFERROR(__xludf.DUMMYFUNCTION("""COMPUTED_VALUE"""),"랄")</f>
        <v>랄</v>
      </c>
      <c r="L1571" s="26" t="str">
        <f>IFERROR(__xludf.DUMMYFUNCTION("""COMPUTED_VALUE"""),"신형만")</f>
        <v>신형만</v>
      </c>
      <c r="M1571" s="26" t="str">
        <f>IFERROR(__xludf.DUMMYFUNCTION("""COMPUTED_VALUE"""),"조심")</f>
        <v>조심</v>
      </c>
      <c r="N1571" s="26" t="str">
        <f>IFERROR(__xludf.DUMMYFUNCTION("ARRAYFORMULA(REGEXEXTRACT(SPLIT(E1571, ""&lt;br&gt;""), ""([가-힣A-Za-z]+)""))"),"시아")</f>
        <v>시아</v>
      </c>
      <c r="O1571" s="26" t="str">
        <f>IFERROR(__xludf.DUMMYFUNCTION("""COMPUTED_VALUE"""),"노픽업")</f>
        <v>노픽업</v>
      </c>
      <c r="P1571" s="26" t="str">
        <f>IFERROR(__xludf.DUMMYFUNCTION("""COMPUTED_VALUE"""),"한메")</f>
        <v>한메</v>
      </c>
      <c r="Q1571" s="26" t="str">
        <f>IFERROR(__xludf.DUMMYFUNCTION("""COMPUTED_VALUE"""),"강화")</f>
        <v>강화</v>
      </c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</row>
    <row r="1572">
      <c r="A1572" s="27" t="s">
        <v>6540</v>
      </c>
      <c r="B1572" s="28" t="s">
        <v>6541</v>
      </c>
      <c r="C1572" s="27" t="s">
        <v>6542</v>
      </c>
      <c r="D1572" s="27">
        <v>5.0</v>
      </c>
      <c r="E1572" s="27" t="s">
        <v>6543</v>
      </c>
      <c r="F1572" s="27">
        <v>4.0</v>
      </c>
      <c r="G1572" s="29">
        <v>45544.9125</v>
      </c>
      <c r="H1572" s="27" t="s">
        <v>6279</v>
      </c>
      <c r="I1572" s="18"/>
      <c r="J1572" s="25" t="str">
        <f>IFERROR(__xludf.DUMMYFUNCTION("ARRAYFORMULA(REGEXEXTRACT(SPLIT(C1572, ""&lt;br&gt;""), ""([가-힣A-Za-z]+)""))"),"신형만")</f>
        <v>신형만</v>
      </c>
      <c r="K1572" s="26" t="str">
        <f>IFERROR(__xludf.DUMMYFUNCTION("""COMPUTED_VALUE"""),"노픽업")</f>
        <v>노픽업</v>
      </c>
      <c r="L1572" s="26" t="str">
        <f>IFERROR(__xludf.DUMMYFUNCTION("""COMPUTED_VALUE"""),"시아")</f>
        <v>시아</v>
      </c>
      <c r="M1572" s="26" t="str">
        <f>IFERROR(__xludf.DUMMYFUNCTION("""COMPUTED_VALUE"""),"ACDC")</f>
        <v>ACDC</v>
      </c>
      <c r="N1572" s="26" t="str">
        <f>IFERROR(__xludf.DUMMYFUNCTION("ARRAYFORMULA(REGEXEXTRACT(SPLIT(E1572, ""&lt;br&gt;""), ""([가-힣A-Za-z]+)""))"),"강화")</f>
        <v>강화</v>
      </c>
      <c r="O1572" s="26" t="str">
        <f>IFERROR(__xludf.DUMMYFUNCTION("""COMPUTED_VALUE"""),"랄")</f>
        <v>랄</v>
      </c>
      <c r="P1572" s="26" t="str">
        <f>IFERROR(__xludf.DUMMYFUNCTION("""COMPUTED_VALUE"""),"한메")</f>
        <v>한메</v>
      </c>
      <c r="Q1572" s="26" t="str">
        <f>IFERROR(__xludf.DUMMYFUNCTION("""COMPUTED_VALUE"""),"조심")</f>
        <v>조심</v>
      </c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</row>
    <row r="1573">
      <c r="A1573" s="27" t="s">
        <v>6544</v>
      </c>
      <c r="B1573" s="28" t="s">
        <v>6545</v>
      </c>
      <c r="C1573" s="27" t="s">
        <v>6546</v>
      </c>
      <c r="D1573" s="27">
        <v>5.0</v>
      </c>
      <c r="E1573" s="27" t="s">
        <v>6547</v>
      </c>
      <c r="F1573" s="27">
        <v>3.0</v>
      </c>
      <c r="G1573" s="29">
        <v>45540.978472222225</v>
      </c>
      <c r="H1573" s="27" t="s">
        <v>6279</v>
      </c>
      <c r="I1573" s="18"/>
      <c r="J1573" s="25" t="str">
        <f>IFERROR(__xludf.DUMMYFUNCTION("ARRAYFORMULA(REGEXEXTRACT(SPLIT(C1573, ""&lt;br&gt;""), ""([가-힣A-Za-z]+)""))"),"미르진")</f>
        <v>미르진</v>
      </c>
      <c r="K1573" s="26" t="str">
        <f>IFERROR(__xludf.DUMMYFUNCTION("""COMPUTED_VALUE"""),"조심")</f>
        <v>조심</v>
      </c>
      <c r="L1573" s="26" t="str">
        <f>IFERROR(__xludf.DUMMYFUNCTION("""COMPUTED_VALUE"""),"구리다")</f>
        <v>구리다</v>
      </c>
      <c r="M1573" s="26" t="str">
        <f>IFERROR(__xludf.DUMMYFUNCTION("""COMPUTED_VALUE"""),"한메")</f>
        <v>한메</v>
      </c>
      <c r="N1573" s="26" t="str">
        <f>IFERROR(__xludf.DUMMYFUNCTION("ARRAYFORMULA(REGEXEXTRACT(SPLIT(E1573, ""&lt;br&gt;""), ""([가-힣A-Za-z]+)""))"),"윙크")</f>
        <v>윙크</v>
      </c>
      <c r="O1573" s="26" t="str">
        <f>IFERROR(__xludf.DUMMYFUNCTION("""COMPUTED_VALUE"""),"노픽업")</f>
        <v>노픽업</v>
      </c>
      <c r="P1573" s="26" t="str">
        <f>IFERROR(__xludf.DUMMYFUNCTION("""COMPUTED_VALUE"""),"시아")</f>
        <v>시아</v>
      </c>
      <c r="Q1573" s="26" t="str">
        <f>IFERROR(__xludf.DUMMYFUNCTION("""COMPUTED_VALUE"""),"신형만")</f>
        <v>신형만</v>
      </c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</row>
    <row r="1574">
      <c r="A1574" s="27" t="s">
        <v>6548</v>
      </c>
      <c r="B1574" s="28" t="s">
        <v>6549</v>
      </c>
      <c r="C1574" s="27" t="s">
        <v>6550</v>
      </c>
      <c r="D1574" s="27">
        <v>5.0</v>
      </c>
      <c r="E1574" s="27" t="s">
        <v>6551</v>
      </c>
      <c r="F1574" s="27">
        <v>2.0</v>
      </c>
      <c r="G1574" s="29">
        <v>45540.978472222225</v>
      </c>
      <c r="H1574" s="27" t="s">
        <v>6279</v>
      </c>
      <c r="I1574" s="18"/>
      <c r="J1574" s="25" t="str">
        <f>IFERROR(__xludf.DUMMYFUNCTION("ARRAYFORMULA(REGEXEXTRACT(SPLIT(C1574, ""&lt;br&gt;""), ""([가-힣A-Za-z]+)""))"),"윙크")</f>
        <v>윙크</v>
      </c>
      <c r="K1574" s="26" t="str">
        <f>IFERROR(__xludf.DUMMYFUNCTION("""COMPUTED_VALUE"""),"조심")</f>
        <v>조심</v>
      </c>
      <c r="L1574" s="26" t="str">
        <f>IFERROR(__xludf.DUMMYFUNCTION("""COMPUTED_VALUE"""),"시아")</f>
        <v>시아</v>
      </c>
      <c r="M1574" s="26" t="str">
        <f>IFERROR(__xludf.DUMMYFUNCTION("""COMPUTED_VALUE"""),"한메")</f>
        <v>한메</v>
      </c>
      <c r="N1574" s="26" t="str">
        <f>IFERROR(__xludf.DUMMYFUNCTION("ARRAYFORMULA(REGEXEXTRACT(SPLIT(E1574, ""&lt;br&gt;""), ""([가-힣A-Za-z]+)""))"),"미르진")</f>
        <v>미르진</v>
      </c>
      <c r="O1574" s="26" t="str">
        <f>IFERROR(__xludf.DUMMYFUNCTION("""COMPUTED_VALUE"""),"노픽업")</f>
        <v>노픽업</v>
      </c>
      <c r="P1574" s="26" t="str">
        <f>IFERROR(__xludf.DUMMYFUNCTION("""COMPUTED_VALUE"""),"구리다")</f>
        <v>구리다</v>
      </c>
      <c r="Q1574" s="26" t="str">
        <f>IFERROR(__xludf.DUMMYFUNCTION("""COMPUTED_VALUE"""),"신형만")</f>
        <v>신형만</v>
      </c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</row>
    <row r="1575">
      <c r="A1575" s="27" t="s">
        <v>6552</v>
      </c>
      <c r="B1575" s="28" t="s">
        <v>6553</v>
      </c>
      <c r="C1575" s="27" t="s">
        <v>6554</v>
      </c>
      <c r="D1575" s="27">
        <v>5.0</v>
      </c>
      <c r="E1575" s="27" t="s">
        <v>6555</v>
      </c>
      <c r="F1575" s="27">
        <v>1.0</v>
      </c>
      <c r="G1575" s="29">
        <v>45540.927777777775</v>
      </c>
      <c r="H1575" s="27" t="s">
        <v>6279</v>
      </c>
      <c r="I1575" s="18"/>
      <c r="J1575" s="25" t="str">
        <f>IFERROR(__xludf.DUMMYFUNCTION("ARRAYFORMULA(REGEXEXTRACT(SPLIT(C1575, ""&lt;br&gt;""), ""([가-힣A-Za-z]+)""))"),"미르진")</f>
        <v>미르진</v>
      </c>
      <c r="K1575" s="26" t="str">
        <f>IFERROR(__xludf.DUMMYFUNCTION("""COMPUTED_VALUE"""),"노픽업")</f>
        <v>노픽업</v>
      </c>
      <c r="L1575" s="26" t="str">
        <f>IFERROR(__xludf.DUMMYFUNCTION("""COMPUTED_VALUE"""),"구리다")</f>
        <v>구리다</v>
      </c>
      <c r="M1575" s="26" t="str">
        <f>IFERROR(__xludf.DUMMYFUNCTION("""COMPUTED_VALUE"""),"조심")</f>
        <v>조심</v>
      </c>
      <c r="N1575" s="26" t="str">
        <f>IFERROR(__xludf.DUMMYFUNCTION("ARRAYFORMULA(REGEXEXTRACT(SPLIT(E1575, ""&lt;br&gt;""), ""([가-힣A-Za-z]+)""))"),"윙크")</f>
        <v>윙크</v>
      </c>
      <c r="O1575" s="26" t="str">
        <f>IFERROR(__xludf.DUMMYFUNCTION("""COMPUTED_VALUE"""),"신형만")</f>
        <v>신형만</v>
      </c>
      <c r="P1575" s="26" t="str">
        <f>IFERROR(__xludf.DUMMYFUNCTION("""COMPUTED_VALUE"""),"시아")</f>
        <v>시아</v>
      </c>
      <c r="Q1575" s="26" t="str">
        <f>IFERROR(__xludf.DUMMYFUNCTION("""COMPUTED_VALUE"""),"한메")</f>
        <v>한메</v>
      </c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</row>
    <row r="1576">
      <c r="A1576" s="27" t="s">
        <v>6556</v>
      </c>
      <c r="B1576" s="28" t="s">
        <v>6557</v>
      </c>
      <c r="C1576" s="27" t="s">
        <v>6558</v>
      </c>
      <c r="D1576" s="27">
        <v>5.0</v>
      </c>
      <c r="E1576" s="27" t="s">
        <v>6559</v>
      </c>
      <c r="F1576" s="27">
        <v>3.0</v>
      </c>
      <c r="G1576" s="29">
        <v>45540.90694444445</v>
      </c>
      <c r="H1576" s="27" t="s">
        <v>6279</v>
      </c>
      <c r="I1576" s="18"/>
      <c r="J1576" s="25" t="str">
        <f>IFERROR(__xludf.DUMMYFUNCTION("ARRAYFORMULA(REGEXEXTRACT(SPLIT(C1576, ""&lt;br&gt;""), ""([가-힣A-Za-z]+)""))"),"미르진")</f>
        <v>미르진</v>
      </c>
      <c r="K1576" s="26" t="str">
        <f>IFERROR(__xludf.DUMMYFUNCTION("""COMPUTED_VALUE"""),"신형만")</f>
        <v>신형만</v>
      </c>
      <c r="L1576" s="26" t="str">
        <f>IFERROR(__xludf.DUMMYFUNCTION("""COMPUTED_VALUE"""),"구리다")</f>
        <v>구리다</v>
      </c>
      <c r="M1576" s="26" t="str">
        <f>IFERROR(__xludf.DUMMYFUNCTION("""COMPUTED_VALUE"""),"한메")</f>
        <v>한메</v>
      </c>
      <c r="N1576" s="26" t="str">
        <f>IFERROR(__xludf.DUMMYFUNCTION("ARRAYFORMULA(REGEXEXTRACT(SPLIT(E1576, ""&lt;br&gt;""), ""([가-힣A-Za-z]+)""))"),"윙크")</f>
        <v>윙크</v>
      </c>
      <c r="O1576" s="26" t="str">
        <f>IFERROR(__xludf.DUMMYFUNCTION("""COMPUTED_VALUE"""),"노픽업")</f>
        <v>노픽업</v>
      </c>
      <c r="P1576" s="26" t="str">
        <f>IFERROR(__xludf.DUMMYFUNCTION("""COMPUTED_VALUE"""),"시아")</f>
        <v>시아</v>
      </c>
      <c r="Q1576" s="26" t="str">
        <f>IFERROR(__xludf.DUMMYFUNCTION("""COMPUTED_VALUE"""),"조심")</f>
        <v>조심</v>
      </c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</row>
    <row r="1577">
      <c r="A1577" s="27" t="s">
        <v>6560</v>
      </c>
      <c r="B1577" s="28" t="s">
        <v>6561</v>
      </c>
      <c r="C1577" s="27" t="s">
        <v>6562</v>
      </c>
      <c r="D1577" s="27">
        <v>5.0</v>
      </c>
      <c r="E1577" s="27" t="s">
        <v>6563</v>
      </c>
      <c r="F1577" s="27">
        <v>3.0</v>
      </c>
      <c r="G1577" s="29">
        <v>45539.98263888889</v>
      </c>
      <c r="H1577" s="27" t="s">
        <v>6279</v>
      </c>
      <c r="I1577" s="18"/>
      <c r="J1577" s="25" t="str">
        <f>IFERROR(__xludf.DUMMYFUNCTION("ARRAYFORMULA(REGEXEXTRACT(SPLIT(C1577, ""&lt;br&gt;""), ""([가-힣A-Za-z]+)""))"),"한메")</f>
        <v>한메</v>
      </c>
      <c r="K1577" s="26" t="str">
        <f>IFERROR(__xludf.DUMMYFUNCTION("""COMPUTED_VALUE"""),"노픽업")</f>
        <v>노픽업</v>
      </c>
      <c r="L1577" s="26" t="str">
        <f>IFERROR(__xludf.DUMMYFUNCTION("""COMPUTED_VALUE"""),"강화")</f>
        <v>강화</v>
      </c>
      <c r="M1577" s="26" t="str">
        <f>IFERROR(__xludf.DUMMYFUNCTION("""COMPUTED_VALUE"""),"재우")</f>
        <v>재우</v>
      </c>
      <c r="N1577" s="26" t="str">
        <f>IFERROR(__xludf.DUMMYFUNCTION("ARRAYFORMULA(REGEXEXTRACT(SPLIT(E1577, ""&lt;br&gt;""), ""([가-힣A-Za-z]+)""))"),"신형만")</f>
        <v>신형만</v>
      </c>
      <c r="O1577" s="26" t="str">
        <f>IFERROR(__xludf.DUMMYFUNCTION("""COMPUTED_VALUE"""),"재명")</f>
        <v>재명</v>
      </c>
      <c r="P1577" s="26" t="str">
        <f>IFERROR(__xludf.DUMMYFUNCTION("""COMPUTED_VALUE"""),"시아")</f>
        <v>시아</v>
      </c>
      <c r="Q1577" s="26" t="str">
        <f>IFERROR(__xludf.DUMMYFUNCTION("""COMPUTED_VALUE"""),"조심")</f>
        <v>조심</v>
      </c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</row>
    <row r="1578">
      <c r="A1578" s="27" t="s">
        <v>6564</v>
      </c>
      <c r="B1578" s="28" t="s">
        <v>6565</v>
      </c>
      <c r="C1578" s="27" t="s">
        <v>6566</v>
      </c>
      <c r="D1578" s="27">
        <v>5.0</v>
      </c>
      <c r="E1578" s="27" t="s">
        <v>6567</v>
      </c>
      <c r="F1578" s="27">
        <v>3.0</v>
      </c>
      <c r="G1578" s="29">
        <v>45539.955555555556</v>
      </c>
      <c r="H1578" s="27" t="s">
        <v>6279</v>
      </c>
      <c r="I1578" s="18"/>
      <c r="J1578" s="25" t="str">
        <f>IFERROR(__xludf.DUMMYFUNCTION("ARRAYFORMULA(REGEXEXTRACT(SPLIT(C1578, ""&lt;br&gt;""), ""([가-힣A-Za-z]+)""))"),"강화")</f>
        <v>강화</v>
      </c>
      <c r="K1578" s="26" t="str">
        <f>IFERROR(__xludf.DUMMYFUNCTION("""COMPUTED_VALUE"""),"재우")</f>
        <v>재우</v>
      </c>
      <c r="L1578" s="26" t="str">
        <f>IFERROR(__xludf.DUMMYFUNCTION("""COMPUTED_VALUE"""),"한메")</f>
        <v>한메</v>
      </c>
      <c r="M1578" s="26" t="str">
        <f>IFERROR(__xludf.DUMMYFUNCTION("""COMPUTED_VALUE"""),"조심")</f>
        <v>조심</v>
      </c>
      <c r="N1578" s="26" t="str">
        <f>IFERROR(__xludf.DUMMYFUNCTION("ARRAYFORMULA(REGEXEXTRACT(SPLIT(E1578, ""&lt;br&gt;""), ""([가-힣A-Za-z]+)""))"),"신형만")</f>
        <v>신형만</v>
      </c>
      <c r="O1578" s="26" t="str">
        <f>IFERROR(__xludf.DUMMYFUNCTION("""COMPUTED_VALUE"""),"재명")</f>
        <v>재명</v>
      </c>
      <c r="P1578" s="26" t="str">
        <f>IFERROR(__xludf.DUMMYFUNCTION("""COMPUTED_VALUE"""),"시아")</f>
        <v>시아</v>
      </c>
      <c r="Q1578" s="26" t="str">
        <f>IFERROR(__xludf.DUMMYFUNCTION("""COMPUTED_VALUE"""),"노픽업")</f>
        <v>노픽업</v>
      </c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</row>
    <row r="1579">
      <c r="A1579" s="27" t="s">
        <v>6568</v>
      </c>
      <c r="B1579" s="28" t="s">
        <v>6565</v>
      </c>
      <c r="C1579" s="27" t="s">
        <v>6569</v>
      </c>
      <c r="D1579" s="27">
        <v>5.0</v>
      </c>
      <c r="E1579" s="27" t="s">
        <v>6570</v>
      </c>
      <c r="F1579" s="27">
        <v>3.0</v>
      </c>
      <c r="G1579" s="29">
        <v>45539.955555555556</v>
      </c>
      <c r="H1579" s="27" t="s">
        <v>6279</v>
      </c>
      <c r="I1579" s="18"/>
      <c r="J1579" s="25" t="str">
        <f>IFERROR(__xludf.DUMMYFUNCTION("ARRAYFORMULA(REGEXEXTRACT(SPLIT(C1579, ""&lt;br&gt;""), ""([가-힣A-Za-z]+)""))"),"신형만")</f>
        <v>신형만</v>
      </c>
      <c r="K1579" s="26" t="str">
        <f>IFERROR(__xludf.DUMMYFUNCTION("""COMPUTED_VALUE"""),"노픽업")</f>
        <v>노픽업</v>
      </c>
      <c r="L1579" s="26" t="str">
        <f>IFERROR(__xludf.DUMMYFUNCTION("""COMPUTED_VALUE"""),"시아")</f>
        <v>시아</v>
      </c>
      <c r="M1579" s="26" t="str">
        <f>IFERROR(__xludf.DUMMYFUNCTION("""COMPUTED_VALUE"""),"한메")</f>
        <v>한메</v>
      </c>
      <c r="N1579" s="26" t="str">
        <f>IFERROR(__xludf.DUMMYFUNCTION("ARRAYFORMULA(REGEXEXTRACT(SPLIT(E1579, ""&lt;br&gt;""), ""([가-힣A-Za-z]+)""))"),"강화")</f>
        <v>강화</v>
      </c>
      <c r="O1579" s="26" t="str">
        <f>IFERROR(__xludf.DUMMYFUNCTION("""COMPUTED_VALUE"""),"재명")</f>
        <v>재명</v>
      </c>
      <c r="P1579" s="26" t="str">
        <f>IFERROR(__xludf.DUMMYFUNCTION("""COMPUTED_VALUE"""),"조심")</f>
        <v>조심</v>
      </c>
      <c r="Q1579" s="26" t="str">
        <f>IFERROR(__xludf.DUMMYFUNCTION("""COMPUTED_VALUE"""),"재우")</f>
        <v>재우</v>
      </c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</row>
    <row r="1580">
      <c r="A1580" s="27" t="s">
        <v>6571</v>
      </c>
      <c r="B1580" s="28" t="s">
        <v>6572</v>
      </c>
      <c r="C1580" s="27" t="s">
        <v>6573</v>
      </c>
      <c r="D1580" s="27">
        <v>5.0</v>
      </c>
      <c r="E1580" s="27" t="s">
        <v>6574</v>
      </c>
      <c r="F1580" s="27">
        <v>1.0</v>
      </c>
      <c r="G1580" s="29">
        <v>45539.895833333336</v>
      </c>
      <c r="H1580" s="27" t="s">
        <v>6279</v>
      </c>
      <c r="I1580" s="18"/>
      <c r="J1580" s="25" t="str">
        <f>IFERROR(__xludf.DUMMYFUNCTION("ARRAYFORMULA(REGEXEXTRACT(SPLIT(C1580, ""&lt;br&gt;""), ""([가-힣A-Za-z]+)""))"),"신형만")</f>
        <v>신형만</v>
      </c>
      <c r="K1580" s="26" t="str">
        <f>IFERROR(__xludf.DUMMYFUNCTION("""COMPUTED_VALUE"""),"노픽업")</f>
        <v>노픽업</v>
      </c>
      <c r="L1580" s="26" t="str">
        <f>IFERROR(__xludf.DUMMYFUNCTION("""COMPUTED_VALUE"""),"재명")</f>
        <v>재명</v>
      </c>
      <c r="M1580" s="26" t="str">
        <f>IFERROR(__xludf.DUMMYFUNCTION("""COMPUTED_VALUE"""),"재우")</f>
        <v>재우</v>
      </c>
      <c r="N1580" s="26" t="str">
        <f>IFERROR(__xludf.DUMMYFUNCTION("ARRAYFORMULA(REGEXEXTRACT(SPLIT(E1580, ""&lt;br&gt;""), ""([가-힣A-Za-z]+)""))"),"강화")</f>
        <v>강화</v>
      </c>
      <c r="O1580" s="26" t="str">
        <f>IFERROR(__xludf.DUMMYFUNCTION("""COMPUTED_VALUE"""),"조심")</f>
        <v>조심</v>
      </c>
      <c r="P1580" s="26" t="str">
        <f>IFERROR(__xludf.DUMMYFUNCTION("""COMPUTED_VALUE"""),"시아")</f>
        <v>시아</v>
      </c>
      <c r="Q1580" s="26" t="str">
        <f>IFERROR(__xludf.DUMMYFUNCTION("""COMPUTED_VALUE"""),"한메")</f>
        <v>한메</v>
      </c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</row>
    <row r="1581">
      <c r="A1581" s="27" t="s">
        <v>6575</v>
      </c>
      <c r="B1581" s="28" t="s">
        <v>6576</v>
      </c>
      <c r="C1581" s="27" t="s">
        <v>6577</v>
      </c>
      <c r="D1581" s="27">
        <v>5.0</v>
      </c>
      <c r="E1581" s="27" t="s">
        <v>6578</v>
      </c>
      <c r="F1581" s="27">
        <v>4.0</v>
      </c>
      <c r="G1581" s="29">
        <v>45539.063888888886</v>
      </c>
      <c r="H1581" s="27" t="s">
        <v>6279</v>
      </c>
      <c r="I1581" s="18"/>
      <c r="J1581" s="25" t="str">
        <f>IFERROR(__xludf.DUMMYFUNCTION("ARRAYFORMULA(REGEXEXTRACT(SPLIT(C1581, ""&lt;br&gt;""), ""([가-힣A-Za-z]+)""))"),"미등록")</f>
        <v>미등록</v>
      </c>
      <c r="K1581" s="26" t="str">
        <f>IFERROR(__xludf.DUMMYFUNCTION("""COMPUTED_VALUE"""),"구리다")</f>
        <v>구리다</v>
      </c>
      <c r="L1581" s="26" t="str">
        <f>IFERROR(__xludf.DUMMYFUNCTION("""COMPUTED_VALUE"""),"재명")</f>
        <v>재명</v>
      </c>
      <c r="M1581" s="26" t="str">
        <f>IFERROR(__xludf.DUMMYFUNCTION("""COMPUTED_VALUE"""),"재우")</f>
        <v>재우</v>
      </c>
      <c r="N1581" s="26" t="str">
        <f>IFERROR(__xludf.DUMMYFUNCTION("ARRAYFORMULA(REGEXEXTRACT(SPLIT(E1581, ""&lt;br&gt;""), ""([가-힣A-Za-z]+)""))"),"강화")</f>
        <v>강화</v>
      </c>
      <c r="O1581" s="26" t="str">
        <f>IFERROR(__xludf.DUMMYFUNCTION("""COMPUTED_VALUE"""),"ACDC")</f>
        <v>ACDC</v>
      </c>
      <c r="P1581" s="26" t="str">
        <f>IFERROR(__xludf.DUMMYFUNCTION("""COMPUTED_VALUE"""),"미등록")</f>
        <v>미등록</v>
      </c>
      <c r="Q1581" s="26" t="str">
        <f>IFERROR(__xludf.DUMMYFUNCTION("""COMPUTED_VALUE"""),"조드")</f>
        <v>조드</v>
      </c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</row>
    <row r="1582">
      <c r="A1582" s="27" t="s">
        <v>6579</v>
      </c>
      <c r="B1582" s="28" t="s">
        <v>6580</v>
      </c>
      <c r="C1582" s="27" t="s">
        <v>6581</v>
      </c>
      <c r="D1582" s="27">
        <v>5.0</v>
      </c>
      <c r="E1582" s="27" t="s">
        <v>6582</v>
      </c>
      <c r="F1582" s="27">
        <v>2.0</v>
      </c>
      <c r="G1582" s="29">
        <v>45539.03611111111</v>
      </c>
      <c r="H1582" s="27" t="s">
        <v>6279</v>
      </c>
      <c r="I1582" s="18"/>
      <c r="J1582" s="25" t="str">
        <f>IFERROR(__xludf.DUMMYFUNCTION("ARRAYFORMULA(REGEXEXTRACT(SPLIT(C1582, ""&lt;br&gt;""), ""([가-힣A-Za-z]+)""))"),"미등록")</f>
        <v>미등록</v>
      </c>
      <c r="K1582" s="26" t="str">
        <f>IFERROR(__xludf.DUMMYFUNCTION("""COMPUTED_VALUE"""),"ACDC")</f>
        <v>ACDC</v>
      </c>
      <c r="L1582" s="26" t="str">
        <f>IFERROR(__xludf.DUMMYFUNCTION("""COMPUTED_VALUE"""),"재명")</f>
        <v>재명</v>
      </c>
      <c r="M1582" s="26" t="str">
        <f>IFERROR(__xludf.DUMMYFUNCTION("""COMPUTED_VALUE"""),"조드")</f>
        <v>조드</v>
      </c>
      <c r="N1582" s="26" t="str">
        <f>IFERROR(__xludf.DUMMYFUNCTION("ARRAYFORMULA(REGEXEXTRACT(SPLIT(E1582, ""&lt;br&gt;""), ""([가-힣A-Za-z]+)""))"),"강화")</f>
        <v>강화</v>
      </c>
      <c r="O1582" s="26" t="str">
        <f>IFERROR(__xludf.DUMMYFUNCTION("""COMPUTED_VALUE"""),"구리다")</f>
        <v>구리다</v>
      </c>
      <c r="P1582" s="26" t="str">
        <f>IFERROR(__xludf.DUMMYFUNCTION("""COMPUTED_VALUE"""),"제로스")</f>
        <v>제로스</v>
      </c>
      <c r="Q1582" s="26" t="str">
        <f>IFERROR(__xludf.DUMMYFUNCTION("""COMPUTED_VALUE"""),"재우")</f>
        <v>재우</v>
      </c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  <c r="AB1582" s="18"/>
    </row>
    <row r="1583">
      <c r="A1583" s="27" t="s">
        <v>6583</v>
      </c>
      <c r="B1583" s="28" t="s">
        <v>6584</v>
      </c>
      <c r="C1583" s="27" t="s">
        <v>6585</v>
      </c>
      <c r="D1583" s="27">
        <v>5.0</v>
      </c>
      <c r="E1583" s="27" t="s">
        <v>6586</v>
      </c>
      <c r="F1583" s="27">
        <v>4.0</v>
      </c>
      <c r="G1583" s="29">
        <v>45538.98611111111</v>
      </c>
      <c r="H1583" s="27" t="s">
        <v>6279</v>
      </c>
      <c r="I1583" s="18"/>
      <c r="J1583" s="25" t="str">
        <f>IFERROR(__xludf.DUMMYFUNCTION("ARRAYFORMULA(REGEXEXTRACT(SPLIT(C1583, ""&lt;br&gt;""), ""([가-힣A-Za-z]+)""))"),"재명")</f>
        <v>재명</v>
      </c>
      <c r="K1583" s="26" t="str">
        <f>IFERROR(__xludf.DUMMYFUNCTION("""COMPUTED_VALUE"""),"강화")</f>
        <v>강화</v>
      </c>
      <c r="L1583" s="26" t="str">
        <f>IFERROR(__xludf.DUMMYFUNCTION("""COMPUTED_VALUE"""),"조드")</f>
        <v>조드</v>
      </c>
      <c r="M1583" s="26" t="str">
        <f>IFERROR(__xludf.DUMMYFUNCTION("""COMPUTED_VALUE"""),"노픽업")</f>
        <v>노픽업</v>
      </c>
      <c r="N1583" s="26" t="str">
        <f>IFERROR(__xludf.DUMMYFUNCTION("ARRAYFORMULA(REGEXEXTRACT(SPLIT(E1583, ""&lt;br&gt;""), ""([가-힣A-Za-z]+)""))"),"ACDC")</f>
        <v>ACDC</v>
      </c>
      <c r="O1583" s="26" t="str">
        <f>IFERROR(__xludf.DUMMYFUNCTION("""COMPUTED_VALUE"""),"구리다")</f>
        <v>구리다</v>
      </c>
      <c r="P1583" s="26" t="str">
        <f>IFERROR(__xludf.DUMMYFUNCTION("""COMPUTED_VALUE"""),"재우")</f>
        <v>재우</v>
      </c>
      <c r="Q1583" s="26" t="str">
        <f>IFERROR(__xludf.DUMMYFUNCTION("""COMPUTED_VALUE"""),"조심")</f>
        <v>조심</v>
      </c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</row>
    <row r="1584">
      <c r="A1584" s="27" t="s">
        <v>6587</v>
      </c>
      <c r="B1584" s="28" t="s">
        <v>6588</v>
      </c>
      <c r="C1584" s="27" t="s">
        <v>6589</v>
      </c>
      <c r="D1584" s="27">
        <v>5.0</v>
      </c>
      <c r="E1584" s="27" t="s">
        <v>6590</v>
      </c>
      <c r="F1584" s="27">
        <v>3.0</v>
      </c>
      <c r="G1584" s="29">
        <v>45538.95694444444</v>
      </c>
      <c r="H1584" s="27" t="s">
        <v>6279</v>
      </c>
      <c r="I1584" s="18"/>
      <c r="J1584" s="25" t="str">
        <f>IFERROR(__xludf.DUMMYFUNCTION("ARRAYFORMULA(REGEXEXTRACT(SPLIT(C1584, ""&lt;br&gt;""), ""([가-힣A-Za-z]+)""))"),"신형만")</f>
        <v>신형만</v>
      </c>
      <c r="K1584" s="26" t="str">
        <f>IFERROR(__xludf.DUMMYFUNCTION("""COMPUTED_VALUE"""),"재명")</f>
        <v>재명</v>
      </c>
      <c r="L1584" s="26" t="str">
        <f>IFERROR(__xludf.DUMMYFUNCTION("""COMPUTED_VALUE"""),"강화")</f>
        <v>강화</v>
      </c>
      <c r="M1584" s="26" t="str">
        <f>IFERROR(__xludf.DUMMYFUNCTION("""COMPUTED_VALUE"""),"노픽업")</f>
        <v>노픽업</v>
      </c>
      <c r="N1584" s="26" t="str">
        <f>IFERROR(__xludf.DUMMYFUNCTION("ARRAYFORMULA(REGEXEXTRACT(SPLIT(E1584, ""&lt;br&gt;""), ""([가-힣A-Za-z]+)""))"),"재우")</f>
        <v>재우</v>
      </c>
      <c r="O1584" s="26" t="str">
        <f>IFERROR(__xludf.DUMMYFUNCTION("""COMPUTED_VALUE"""),"ACDC")</f>
        <v>ACDC</v>
      </c>
      <c r="P1584" s="26" t="str">
        <f>IFERROR(__xludf.DUMMYFUNCTION("""COMPUTED_VALUE"""),"구리다")</f>
        <v>구리다</v>
      </c>
      <c r="Q1584" s="26" t="str">
        <f>IFERROR(__xludf.DUMMYFUNCTION("""COMPUTED_VALUE"""),"미르진")</f>
        <v>미르진</v>
      </c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</row>
    <row r="1585">
      <c r="A1585" s="27" t="s">
        <v>6591</v>
      </c>
      <c r="B1585" s="28" t="s">
        <v>6592</v>
      </c>
      <c r="C1585" s="27" t="s">
        <v>6593</v>
      </c>
      <c r="D1585" s="27">
        <v>5.0</v>
      </c>
      <c r="E1585" s="27" t="s">
        <v>6594</v>
      </c>
      <c r="F1585" s="27">
        <v>2.0</v>
      </c>
      <c r="G1585" s="29">
        <v>45538.93472222222</v>
      </c>
      <c r="H1585" s="27" t="s">
        <v>6279</v>
      </c>
      <c r="I1585" s="18"/>
      <c r="J1585" s="25" t="str">
        <f>IFERROR(__xludf.DUMMYFUNCTION("ARRAYFORMULA(REGEXEXTRACT(SPLIT(C1585, ""&lt;br&gt;""), ""([가-힣A-Za-z]+)""))"),"미르진")</f>
        <v>미르진</v>
      </c>
      <c r="K1585" s="26" t="str">
        <f>IFERROR(__xludf.DUMMYFUNCTION("""COMPUTED_VALUE"""),"재우")</f>
        <v>재우</v>
      </c>
      <c r="L1585" s="26" t="str">
        <f>IFERROR(__xludf.DUMMYFUNCTION("""COMPUTED_VALUE"""),"노픽업")</f>
        <v>노픽업</v>
      </c>
      <c r="M1585" s="26" t="str">
        <f>IFERROR(__xludf.DUMMYFUNCTION("""COMPUTED_VALUE"""),"재명")</f>
        <v>재명</v>
      </c>
      <c r="N1585" s="26" t="str">
        <f>IFERROR(__xludf.DUMMYFUNCTION("ARRAYFORMULA(REGEXEXTRACT(SPLIT(E1585, ""&lt;br&gt;""), ""([가-힣A-Za-z]+)""))"),"구리다")</f>
        <v>구리다</v>
      </c>
      <c r="O1585" s="26" t="str">
        <f>IFERROR(__xludf.DUMMYFUNCTION("""COMPUTED_VALUE"""),"강화")</f>
        <v>강화</v>
      </c>
      <c r="P1585" s="26" t="str">
        <f>IFERROR(__xludf.DUMMYFUNCTION("""COMPUTED_VALUE"""),"신형만")</f>
        <v>신형만</v>
      </c>
      <c r="Q1585" s="26" t="str">
        <f>IFERROR(__xludf.DUMMYFUNCTION("""COMPUTED_VALUE"""),"ACDC")</f>
        <v>ACDC</v>
      </c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</row>
    <row r="1586">
      <c r="A1586" s="27" t="s">
        <v>6595</v>
      </c>
      <c r="B1586" s="28" t="s">
        <v>6596</v>
      </c>
      <c r="C1586" s="27" t="s">
        <v>6597</v>
      </c>
      <c r="D1586" s="27">
        <v>5.0</v>
      </c>
      <c r="E1586" s="27" t="s">
        <v>6598</v>
      </c>
      <c r="F1586" s="27">
        <v>4.0</v>
      </c>
      <c r="G1586" s="29">
        <v>45538.91111111111</v>
      </c>
      <c r="H1586" s="27" t="s">
        <v>6279</v>
      </c>
      <c r="I1586" s="18"/>
      <c r="J1586" s="25" t="str">
        <f>IFERROR(__xludf.DUMMYFUNCTION("ARRAYFORMULA(REGEXEXTRACT(SPLIT(C1586, ""&lt;br&gt;""), ""([가-힣A-Za-z]+)""))"),"ACDC")</f>
        <v>ACDC</v>
      </c>
      <c r="K1586" s="26" t="str">
        <f>IFERROR(__xludf.DUMMYFUNCTION("""COMPUTED_VALUE"""),"노픽업")</f>
        <v>노픽업</v>
      </c>
      <c r="L1586" s="26" t="str">
        <f>IFERROR(__xludf.DUMMYFUNCTION("""COMPUTED_VALUE"""),"강화")</f>
        <v>강화</v>
      </c>
      <c r="M1586" s="26" t="str">
        <f>IFERROR(__xludf.DUMMYFUNCTION("""COMPUTED_VALUE"""),"미르진")</f>
        <v>미르진</v>
      </c>
      <c r="N1586" s="26" t="str">
        <f>IFERROR(__xludf.DUMMYFUNCTION("ARRAYFORMULA(REGEXEXTRACT(SPLIT(E1586, ""&lt;br&gt;""), ""([가-힣A-Za-z]+)""))"),"재명")</f>
        <v>재명</v>
      </c>
      <c r="O1586" s="26" t="str">
        <f>IFERROR(__xludf.DUMMYFUNCTION("""COMPUTED_VALUE"""),"재우")</f>
        <v>재우</v>
      </c>
      <c r="P1586" s="26" t="str">
        <f>IFERROR(__xludf.DUMMYFUNCTION("""COMPUTED_VALUE"""),"신형만")</f>
        <v>신형만</v>
      </c>
      <c r="Q1586" s="26" t="str">
        <f>IFERROR(__xludf.DUMMYFUNCTION("""COMPUTED_VALUE"""),"구리다")</f>
        <v>구리다</v>
      </c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</row>
    <row r="1587">
      <c r="A1587" s="27" t="s">
        <v>6599</v>
      </c>
      <c r="B1587" s="28" t="s">
        <v>6600</v>
      </c>
      <c r="C1587" s="27" t="s">
        <v>6601</v>
      </c>
      <c r="D1587" s="27">
        <v>5.0</v>
      </c>
      <c r="E1587" s="27" t="s">
        <v>6602</v>
      </c>
      <c r="F1587" s="27">
        <v>4.0</v>
      </c>
      <c r="G1587" s="29">
        <v>45537.99444444444</v>
      </c>
      <c r="H1587" s="27" t="s">
        <v>6279</v>
      </c>
      <c r="I1587" s="18"/>
      <c r="J1587" s="25" t="str">
        <f>IFERROR(__xludf.DUMMYFUNCTION("ARRAYFORMULA(REGEXEXTRACT(SPLIT(C1587, ""&lt;br&gt;""), ""([가-힣A-Za-z]+)""))"),"ACDC")</f>
        <v>ACDC</v>
      </c>
      <c r="K1587" s="26" t="str">
        <f>IFERROR(__xludf.DUMMYFUNCTION("""COMPUTED_VALUE"""),"재명")</f>
        <v>재명</v>
      </c>
      <c r="L1587" s="26" t="str">
        <f>IFERROR(__xludf.DUMMYFUNCTION("""COMPUTED_VALUE"""),"조심")</f>
        <v>조심</v>
      </c>
      <c r="M1587" s="26" t="str">
        <f>IFERROR(__xludf.DUMMYFUNCTION("""COMPUTED_VALUE"""),"한메")</f>
        <v>한메</v>
      </c>
      <c r="N1587" s="26" t="str">
        <f>IFERROR(__xludf.DUMMYFUNCTION("ARRAYFORMULA(REGEXEXTRACT(SPLIT(E1587, ""&lt;br&gt;""), ""([가-힣A-Za-z]+)""))"),"미르진")</f>
        <v>미르진</v>
      </c>
      <c r="O1587" s="26" t="str">
        <f>IFERROR(__xludf.DUMMYFUNCTION("""COMPUTED_VALUE"""),"짱구")</f>
        <v>짱구</v>
      </c>
      <c r="P1587" s="26" t="str">
        <f>IFERROR(__xludf.DUMMYFUNCTION("""COMPUTED_VALUE"""),"신형만")</f>
        <v>신형만</v>
      </c>
      <c r="Q1587" s="26" t="str">
        <f>IFERROR(__xludf.DUMMYFUNCTION("""COMPUTED_VALUE"""),"미등록")</f>
        <v>미등록</v>
      </c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</row>
    <row r="1588">
      <c r="A1588" s="27" t="s">
        <v>6603</v>
      </c>
      <c r="B1588" s="28" t="s">
        <v>6604</v>
      </c>
      <c r="C1588" s="27" t="s">
        <v>6605</v>
      </c>
      <c r="D1588" s="27">
        <v>5.0</v>
      </c>
      <c r="E1588" s="27" t="s">
        <v>6606</v>
      </c>
      <c r="F1588" s="27">
        <v>2.0</v>
      </c>
      <c r="G1588" s="29">
        <v>45537.96111111111</v>
      </c>
      <c r="H1588" s="27" t="s">
        <v>6279</v>
      </c>
      <c r="I1588" s="18"/>
      <c r="J1588" s="25" t="str">
        <f>IFERROR(__xludf.DUMMYFUNCTION("ARRAYFORMULA(REGEXEXTRACT(SPLIT(C1588, ""&lt;br&gt;""), ""([가-힣A-Za-z]+)""))"),"신형만")</f>
        <v>신형만</v>
      </c>
      <c r="K1588" s="26" t="str">
        <f>IFERROR(__xludf.DUMMYFUNCTION("""COMPUTED_VALUE"""),"깡패")</f>
        <v>깡패</v>
      </c>
      <c r="L1588" s="26" t="str">
        <f>IFERROR(__xludf.DUMMYFUNCTION("""COMPUTED_VALUE"""),"재명")</f>
        <v>재명</v>
      </c>
      <c r="M1588" s="26" t="str">
        <f>IFERROR(__xludf.DUMMYFUNCTION("""COMPUTED_VALUE"""),"한메")</f>
        <v>한메</v>
      </c>
      <c r="N1588" s="26" t="str">
        <f>IFERROR(__xludf.DUMMYFUNCTION("ARRAYFORMULA(REGEXEXTRACT(SPLIT(E1588, ""&lt;br&gt;""), ""([가-힣A-Za-z]+)""))"),"ACDC")</f>
        <v>ACDC</v>
      </c>
      <c r="O1588" s="26" t="str">
        <f>IFERROR(__xludf.DUMMYFUNCTION("""COMPUTED_VALUE"""),"조심")</f>
        <v>조심</v>
      </c>
      <c r="P1588" s="26" t="str">
        <f>IFERROR(__xludf.DUMMYFUNCTION("""COMPUTED_VALUE"""),"짱구")</f>
        <v>짱구</v>
      </c>
      <c r="Q1588" s="26" t="str">
        <f>IFERROR(__xludf.DUMMYFUNCTION("""COMPUTED_VALUE"""),"미르진")</f>
        <v>미르진</v>
      </c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</row>
    <row r="1589">
      <c r="A1589" s="27" t="s">
        <v>6607</v>
      </c>
      <c r="B1589" s="28" t="s">
        <v>6608</v>
      </c>
      <c r="C1589" s="27" t="s">
        <v>6609</v>
      </c>
      <c r="D1589" s="27">
        <v>5.0</v>
      </c>
      <c r="E1589" s="27" t="s">
        <v>6610</v>
      </c>
      <c r="F1589" s="27">
        <v>3.0</v>
      </c>
      <c r="G1589" s="29">
        <v>45537.938888888886</v>
      </c>
      <c r="H1589" s="27" t="s">
        <v>6279</v>
      </c>
      <c r="I1589" s="18"/>
      <c r="J1589" s="25" t="str">
        <f>IFERROR(__xludf.DUMMYFUNCTION("ARRAYFORMULA(REGEXEXTRACT(SPLIT(C1589, ""&lt;br&gt;""), ""([가-힣A-Za-z]+)""))"),"깡패")</f>
        <v>깡패</v>
      </c>
      <c r="K1589" s="26" t="str">
        <f>IFERROR(__xludf.DUMMYFUNCTION("""COMPUTED_VALUE"""),"조심")</f>
        <v>조심</v>
      </c>
      <c r="L1589" s="26" t="str">
        <f>IFERROR(__xludf.DUMMYFUNCTION("""COMPUTED_VALUE"""),"시아")</f>
        <v>시아</v>
      </c>
      <c r="M1589" s="26" t="str">
        <f>IFERROR(__xludf.DUMMYFUNCTION("""COMPUTED_VALUE"""),"짱구")</f>
        <v>짱구</v>
      </c>
      <c r="N1589" s="26" t="str">
        <f>IFERROR(__xludf.DUMMYFUNCTION("ARRAYFORMULA(REGEXEXTRACT(SPLIT(E1589, ""&lt;br&gt;""), ""([가-힣A-Za-z]+)""))"),"미르진")</f>
        <v>미르진</v>
      </c>
      <c r="O1589" s="26" t="str">
        <f>IFERROR(__xludf.DUMMYFUNCTION("""COMPUTED_VALUE"""),"신형만")</f>
        <v>신형만</v>
      </c>
      <c r="P1589" s="26" t="str">
        <f>IFERROR(__xludf.DUMMYFUNCTION("""COMPUTED_VALUE"""),"한메")</f>
        <v>한메</v>
      </c>
      <c r="Q1589" s="26" t="str">
        <f>IFERROR(__xludf.DUMMYFUNCTION("""COMPUTED_VALUE"""),"ACDC")</f>
        <v>ACDC</v>
      </c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</row>
    <row r="1590">
      <c r="A1590" s="27" t="s">
        <v>6611</v>
      </c>
      <c r="B1590" s="28" t="s">
        <v>6612</v>
      </c>
      <c r="C1590" s="27" t="s">
        <v>6613</v>
      </c>
      <c r="D1590" s="27">
        <v>5.0</v>
      </c>
      <c r="E1590" s="27" t="s">
        <v>6614</v>
      </c>
      <c r="F1590" s="27">
        <v>4.0</v>
      </c>
      <c r="G1590" s="29">
        <v>45537.90972222222</v>
      </c>
      <c r="H1590" s="27" t="s">
        <v>6279</v>
      </c>
      <c r="I1590" s="18"/>
      <c r="J1590" s="25" t="str">
        <f>IFERROR(__xludf.DUMMYFUNCTION("ARRAYFORMULA(REGEXEXTRACT(SPLIT(C1590, ""&lt;br&gt;""), ""([가-힣A-Za-z]+)""))"),"신형만")</f>
        <v>신형만</v>
      </c>
      <c r="K1590" s="26" t="str">
        <f>IFERROR(__xludf.DUMMYFUNCTION("""COMPUTED_VALUE"""),"짱구")</f>
        <v>짱구</v>
      </c>
      <c r="L1590" s="26" t="str">
        <f>IFERROR(__xludf.DUMMYFUNCTION("""COMPUTED_VALUE"""),"한메")</f>
        <v>한메</v>
      </c>
      <c r="M1590" s="26" t="str">
        <f>IFERROR(__xludf.DUMMYFUNCTION("""COMPUTED_VALUE"""),"미르진")</f>
        <v>미르진</v>
      </c>
      <c r="N1590" s="26" t="str">
        <f>IFERROR(__xludf.DUMMYFUNCTION("ARRAYFORMULA(REGEXEXTRACT(SPLIT(E1590, ""&lt;br&gt;""), ""([가-힣A-Za-z]+)""))"),"ACDC")</f>
        <v>ACDC</v>
      </c>
      <c r="O1590" s="26" t="str">
        <f>IFERROR(__xludf.DUMMYFUNCTION("""COMPUTED_VALUE"""),"깡패")</f>
        <v>깡패</v>
      </c>
      <c r="P1590" s="26" t="str">
        <f>IFERROR(__xludf.DUMMYFUNCTION("""COMPUTED_VALUE"""),"시아")</f>
        <v>시아</v>
      </c>
      <c r="Q1590" s="26" t="str">
        <f>IFERROR(__xludf.DUMMYFUNCTION("""COMPUTED_VALUE"""),"조심")</f>
        <v>조심</v>
      </c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</row>
    <row r="1591">
      <c r="A1591" s="27" t="s">
        <v>6615</v>
      </c>
      <c r="B1591" s="28" t="s">
        <v>6616</v>
      </c>
      <c r="C1591" s="27" t="s">
        <v>6617</v>
      </c>
      <c r="D1591" s="27">
        <v>5.0</v>
      </c>
      <c r="E1591" s="27" t="s">
        <v>6618</v>
      </c>
      <c r="F1591" s="27">
        <v>2.0</v>
      </c>
      <c r="G1591" s="29">
        <v>45532.98472222222</v>
      </c>
      <c r="H1591" s="27" t="s">
        <v>6619</v>
      </c>
      <c r="I1591" s="18"/>
      <c r="J1591" s="25" t="str">
        <f>IFERROR(__xludf.DUMMYFUNCTION("ARRAYFORMULA(REGEXEXTRACT(SPLIT(C1591, ""&lt;br&gt;""), ""([가-힣A-Za-z]+)""))"),"신형만")</f>
        <v>신형만</v>
      </c>
      <c r="K1591" s="26" t="str">
        <f>IFERROR(__xludf.DUMMYFUNCTION("""COMPUTED_VALUE"""),"구리다")</f>
        <v>구리다</v>
      </c>
      <c r="L1591" s="26" t="str">
        <f>IFERROR(__xludf.DUMMYFUNCTION("""COMPUTED_VALUE"""),"짱구")</f>
        <v>짱구</v>
      </c>
      <c r="M1591" s="26" t="str">
        <f>IFERROR(__xludf.DUMMYFUNCTION("""COMPUTED_VALUE"""),"한메")</f>
        <v>한메</v>
      </c>
      <c r="N1591" s="26" t="str">
        <f>IFERROR(__xludf.DUMMYFUNCTION("ARRAYFORMULA(REGEXEXTRACT(SPLIT(E1591, ""&lt;br&gt;""), ""([가-힣A-Za-z]+)""))"),"강화")</f>
        <v>강화</v>
      </c>
      <c r="O1591" s="26" t="str">
        <f>IFERROR(__xludf.DUMMYFUNCTION("""COMPUTED_VALUE"""),"ACDC")</f>
        <v>ACDC</v>
      </c>
      <c r="P1591" s="26" t="str">
        <f>IFERROR(__xludf.DUMMYFUNCTION("""COMPUTED_VALUE"""),"조심")</f>
        <v>조심</v>
      </c>
      <c r="Q1591" s="26" t="str">
        <f>IFERROR(__xludf.DUMMYFUNCTION("""COMPUTED_VALUE"""),"재우")</f>
        <v>재우</v>
      </c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</row>
    <row r="1592">
      <c r="A1592" s="27" t="s">
        <v>6620</v>
      </c>
      <c r="B1592" s="28" t="s">
        <v>6621</v>
      </c>
      <c r="C1592" s="27" t="s">
        <v>6622</v>
      </c>
      <c r="D1592" s="27">
        <v>5.0</v>
      </c>
      <c r="E1592" s="27" t="s">
        <v>6623</v>
      </c>
      <c r="F1592" s="27">
        <v>0.0</v>
      </c>
      <c r="G1592" s="29">
        <v>45532.96666666667</v>
      </c>
      <c r="H1592" s="27" t="s">
        <v>6619</v>
      </c>
      <c r="I1592" s="18"/>
      <c r="J1592" s="25" t="str">
        <f>IFERROR(__xludf.DUMMYFUNCTION("ARRAYFORMULA(REGEXEXTRACT(SPLIT(C1592, ""&lt;br&gt;""), ""([가-힣A-Za-z]+)""))"),"신형만")</f>
        <v>신형만</v>
      </c>
      <c r="K1592" s="26" t="str">
        <f>IFERROR(__xludf.DUMMYFUNCTION("""COMPUTED_VALUE"""),"ACDC")</f>
        <v>ACDC</v>
      </c>
      <c r="L1592" s="26" t="str">
        <f>IFERROR(__xludf.DUMMYFUNCTION("""COMPUTED_VALUE"""),"짱구")</f>
        <v>짱구</v>
      </c>
      <c r="M1592" s="26" t="str">
        <f>IFERROR(__xludf.DUMMYFUNCTION("""COMPUTED_VALUE"""),"재우")</f>
        <v>재우</v>
      </c>
      <c r="N1592" s="26" t="str">
        <f>IFERROR(__xludf.DUMMYFUNCTION("ARRAYFORMULA(REGEXEXTRACT(SPLIT(E1592, ""&lt;br&gt;""), ""([가-힣A-Za-z]+)""))"),"강화")</f>
        <v>강화</v>
      </c>
      <c r="O1592" s="26" t="str">
        <f>IFERROR(__xludf.DUMMYFUNCTION("""COMPUTED_VALUE"""),"구리다")</f>
        <v>구리다</v>
      </c>
      <c r="P1592" s="26" t="str">
        <f>IFERROR(__xludf.DUMMYFUNCTION("""COMPUTED_VALUE"""),"조심")</f>
        <v>조심</v>
      </c>
      <c r="Q1592" s="26" t="str">
        <f>IFERROR(__xludf.DUMMYFUNCTION("""COMPUTED_VALUE"""),"한메")</f>
        <v>한메</v>
      </c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  <c r="AB1592" s="18"/>
    </row>
    <row r="1593">
      <c r="A1593" s="27" t="s">
        <v>6624</v>
      </c>
      <c r="B1593" s="28" t="s">
        <v>6625</v>
      </c>
      <c r="C1593" s="27" t="s">
        <v>6626</v>
      </c>
      <c r="D1593" s="27">
        <v>5.0</v>
      </c>
      <c r="E1593" s="27" t="s">
        <v>6627</v>
      </c>
      <c r="F1593" s="27">
        <v>3.0</v>
      </c>
      <c r="G1593" s="29">
        <v>45532.950694444444</v>
      </c>
      <c r="H1593" s="27" t="s">
        <v>6619</v>
      </c>
      <c r="I1593" s="18"/>
      <c r="J1593" s="25" t="str">
        <f>IFERROR(__xludf.DUMMYFUNCTION("ARRAYFORMULA(REGEXEXTRACT(SPLIT(C1593, ""&lt;br&gt;""), ""([가-힣A-Za-z]+)""))"),"강화")</f>
        <v>강화</v>
      </c>
      <c r="K1593" s="26" t="str">
        <f>IFERROR(__xludf.DUMMYFUNCTION("""COMPUTED_VALUE"""),"ACDC")</f>
        <v>ACDC</v>
      </c>
      <c r="L1593" s="26" t="str">
        <f>IFERROR(__xludf.DUMMYFUNCTION("""COMPUTED_VALUE"""),"조심")</f>
        <v>조심</v>
      </c>
      <c r="M1593" s="26" t="str">
        <f>IFERROR(__xludf.DUMMYFUNCTION("""COMPUTED_VALUE"""),"재우")</f>
        <v>재우</v>
      </c>
      <c r="N1593" s="26" t="str">
        <f>IFERROR(__xludf.DUMMYFUNCTION("ARRAYFORMULA(REGEXEXTRACT(SPLIT(E1593, ""&lt;br&gt;""), ""([가-힣A-Za-z]+)""))"),"신형만")</f>
        <v>신형만</v>
      </c>
      <c r="O1593" s="26" t="str">
        <f>IFERROR(__xludf.DUMMYFUNCTION("""COMPUTED_VALUE"""),"구리다")</f>
        <v>구리다</v>
      </c>
      <c r="P1593" s="26" t="str">
        <f>IFERROR(__xludf.DUMMYFUNCTION("""COMPUTED_VALUE"""),"테리")</f>
        <v>테리</v>
      </c>
      <c r="Q1593" s="26" t="str">
        <f>IFERROR(__xludf.DUMMYFUNCTION("""COMPUTED_VALUE"""),"한메")</f>
        <v>한메</v>
      </c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</row>
    <row r="1594">
      <c r="A1594" s="27" t="s">
        <v>6628</v>
      </c>
      <c r="B1594" s="28" t="s">
        <v>6629</v>
      </c>
      <c r="C1594" s="27" t="s">
        <v>6630</v>
      </c>
      <c r="D1594" s="27">
        <v>5.0</v>
      </c>
      <c r="E1594" s="27" t="s">
        <v>6631</v>
      </c>
      <c r="F1594" s="27">
        <v>2.0</v>
      </c>
      <c r="G1594" s="29">
        <v>45532.92152777778</v>
      </c>
      <c r="H1594" s="27" t="s">
        <v>6619</v>
      </c>
      <c r="I1594" s="18"/>
      <c r="J1594" s="25" t="str">
        <f>IFERROR(__xludf.DUMMYFUNCTION("ARRAYFORMULA(REGEXEXTRACT(SPLIT(C1594, ""&lt;br&gt;""), ""([가-힣A-Za-z]+)""))"),"ACDC")</f>
        <v>ACDC</v>
      </c>
      <c r="K1594" s="26" t="str">
        <f>IFERROR(__xludf.DUMMYFUNCTION("""COMPUTED_VALUE"""),"조심")</f>
        <v>조심</v>
      </c>
      <c r="L1594" s="26" t="str">
        <f>IFERROR(__xludf.DUMMYFUNCTION("""COMPUTED_VALUE"""),"신형만")</f>
        <v>신형만</v>
      </c>
      <c r="M1594" s="26" t="str">
        <f>IFERROR(__xludf.DUMMYFUNCTION("""COMPUTED_VALUE"""),"재우")</f>
        <v>재우</v>
      </c>
      <c r="N1594" s="26" t="str">
        <f>IFERROR(__xludf.DUMMYFUNCTION("ARRAYFORMULA(REGEXEXTRACT(SPLIT(E1594, ""&lt;br&gt;""), ""([가-힣A-Za-z]+)""))"),"강화")</f>
        <v>강화</v>
      </c>
      <c r="O1594" s="26" t="str">
        <f>IFERROR(__xludf.DUMMYFUNCTION("""COMPUTED_VALUE"""),"한메")</f>
        <v>한메</v>
      </c>
      <c r="P1594" s="26" t="str">
        <f>IFERROR(__xludf.DUMMYFUNCTION("""COMPUTED_VALUE"""),"테리")</f>
        <v>테리</v>
      </c>
      <c r="Q1594" s="26" t="str">
        <f>IFERROR(__xludf.DUMMYFUNCTION("""COMPUTED_VALUE"""),"구리다")</f>
        <v>구리다</v>
      </c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</row>
    <row r="1595">
      <c r="A1595" s="27" t="s">
        <v>6632</v>
      </c>
      <c r="B1595" s="28" t="s">
        <v>6633</v>
      </c>
      <c r="C1595" s="27" t="s">
        <v>6634</v>
      </c>
      <c r="D1595" s="27">
        <v>5.0</v>
      </c>
      <c r="E1595" s="27" t="s">
        <v>6635</v>
      </c>
      <c r="F1595" s="27">
        <v>4.0</v>
      </c>
      <c r="G1595" s="29">
        <v>45532.90416666667</v>
      </c>
      <c r="H1595" s="27" t="s">
        <v>6619</v>
      </c>
      <c r="I1595" s="18"/>
      <c r="J1595" s="25" t="str">
        <f>IFERROR(__xludf.DUMMYFUNCTION("ARRAYFORMULA(REGEXEXTRACT(SPLIT(C1595, ""&lt;br&gt;""), ""([가-힣A-Za-z]+)""))"),"신형만")</f>
        <v>신형만</v>
      </c>
      <c r="K1595" s="26" t="str">
        <f>IFERROR(__xludf.DUMMYFUNCTION("""COMPUTED_VALUE"""),"재우")</f>
        <v>재우</v>
      </c>
      <c r="L1595" s="26" t="str">
        <f>IFERROR(__xludf.DUMMYFUNCTION("""COMPUTED_VALUE"""),"한메")</f>
        <v>한메</v>
      </c>
      <c r="M1595" s="26" t="str">
        <f>IFERROR(__xludf.DUMMYFUNCTION("""COMPUTED_VALUE"""),"강화")</f>
        <v>강화</v>
      </c>
      <c r="N1595" s="26" t="str">
        <f>IFERROR(__xludf.DUMMYFUNCTION("ARRAYFORMULA(REGEXEXTRACT(SPLIT(E1595, ""&lt;br&gt;""), ""([가-힣A-Za-z]+)""))"),"구리다")</f>
        <v>구리다</v>
      </c>
      <c r="O1595" s="26" t="str">
        <f>IFERROR(__xludf.DUMMYFUNCTION("""COMPUTED_VALUE"""),"ACDC")</f>
        <v>ACDC</v>
      </c>
      <c r="P1595" s="26" t="str">
        <f>IFERROR(__xludf.DUMMYFUNCTION("""COMPUTED_VALUE"""),"테리")</f>
        <v>테리</v>
      </c>
      <c r="Q1595" s="26" t="str">
        <f>IFERROR(__xludf.DUMMYFUNCTION("""COMPUTED_VALUE"""),"조심")</f>
        <v>조심</v>
      </c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</row>
    <row r="1596">
      <c r="A1596" s="27" t="s">
        <v>6636</v>
      </c>
      <c r="B1596" s="28" t="s">
        <v>6637</v>
      </c>
      <c r="C1596" s="27" t="s">
        <v>6638</v>
      </c>
      <c r="D1596" s="27">
        <v>5.0</v>
      </c>
      <c r="E1596" s="27" t="s">
        <v>6639</v>
      </c>
      <c r="F1596" s="27">
        <v>3.0</v>
      </c>
      <c r="G1596" s="29">
        <v>45532.021527777775</v>
      </c>
      <c r="H1596" s="27" t="s">
        <v>6619</v>
      </c>
      <c r="I1596" s="18"/>
      <c r="J1596" s="25" t="str">
        <f>IFERROR(__xludf.DUMMYFUNCTION("ARRAYFORMULA(REGEXEXTRACT(SPLIT(C1596, ""&lt;br&gt;""), ""([가-힣A-Za-z]+)""))"),"신형만")</f>
        <v>신형만</v>
      </c>
      <c r="K1596" s="26" t="str">
        <f>IFERROR(__xludf.DUMMYFUNCTION("""COMPUTED_VALUE"""),"구리다")</f>
        <v>구리다</v>
      </c>
      <c r="L1596" s="26" t="str">
        <f>IFERROR(__xludf.DUMMYFUNCTION("""COMPUTED_VALUE"""),"조심")</f>
        <v>조심</v>
      </c>
      <c r="M1596" s="26" t="str">
        <f>IFERROR(__xludf.DUMMYFUNCTION("""COMPUTED_VALUE"""),"재우")</f>
        <v>재우</v>
      </c>
      <c r="N1596" s="26" t="str">
        <f>IFERROR(__xludf.DUMMYFUNCTION("ARRAYFORMULA(REGEXEXTRACT(SPLIT(E1596, ""&lt;br&gt;""), ""([가-힣A-Za-z]+)""))"),"강화")</f>
        <v>강화</v>
      </c>
      <c r="O1596" s="26" t="str">
        <f>IFERROR(__xludf.DUMMYFUNCTION("""COMPUTED_VALUE"""),"ACDC")</f>
        <v>ACDC</v>
      </c>
      <c r="P1596" s="26" t="str">
        <f>IFERROR(__xludf.DUMMYFUNCTION("""COMPUTED_VALUE"""),"미등록")</f>
        <v>미등록</v>
      </c>
      <c r="Q1596" s="26" t="str">
        <f>IFERROR(__xludf.DUMMYFUNCTION("""COMPUTED_VALUE"""),"조드")</f>
        <v>조드</v>
      </c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</row>
    <row r="1597">
      <c r="A1597" s="27" t="s">
        <v>6640</v>
      </c>
      <c r="B1597" s="28" t="s">
        <v>6641</v>
      </c>
      <c r="C1597" s="27" t="s">
        <v>6642</v>
      </c>
      <c r="D1597" s="27">
        <v>5.0</v>
      </c>
      <c r="E1597" s="27" t="s">
        <v>6643</v>
      </c>
      <c r="F1597" s="27">
        <v>3.0</v>
      </c>
      <c r="G1597" s="29">
        <v>45531.99652777778</v>
      </c>
      <c r="H1597" s="27" t="s">
        <v>6619</v>
      </c>
      <c r="I1597" s="18"/>
      <c r="J1597" s="25" t="str">
        <f>IFERROR(__xludf.DUMMYFUNCTION("ARRAYFORMULA(REGEXEXTRACT(SPLIT(C1597, ""&lt;br&gt;""), ""([가-힣A-Za-z]+)""))"),"조심")</f>
        <v>조심</v>
      </c>
      <c r="K1597" s="26" t="str">
        <f>IFERROR(__xludf.DUMMYFUNCTION("""COMPUTED_VALUE"""),"구리다")</f>
        <v>구리다</v>
      </c>
      <c r="L1597" s="26" t="str">
        <f>IFERROR(__xludf.DUMMYFUNCTION("""COMPUTED_VALUE"""),"신형만")</f>
        <v>신형만</v>
      </c>
      <c r="M1597" s="26" t="str">
        <f>IFERROR(__xludf.DUMMYFUNCTION("""COMPUTED_VALUE"""),"재우")</f>
        <v>재우</v>
      </c>
      <c r="N1597" s="26" t="str">
        <f>IFERROR(__xludf.DUMMYFUNCTION("ARRAYFORMULA(REGEXEXTRACT(SPLIT(E1597, ""&lt;br&gt;""), ""([가-힣A-Za-z]+)""))"),"ACDC")</f>
        <v>ACDC</v>
      </c>
      <c r="O1597" s="26" t="str">
        <f>IFERROR(__xludf.DUMMYFUNCTION("""COMPUTED_VALUE"""),"짱구")</f>
        <v>짱구</v>
      </c>
      <c r="P1597" s="26" t="str">
        <f>IFERROR(__xludf.DUMMYFUNCTION("""COMPUTED_VALUE"""),"강화")</f>
        <v>강화</v>
      </c>
      <c r="Q1597" s="26" t="str">
        <f>IFERROR(__xludf.DUMMYFUNCTION("""COMPUTED_VALUE"""),"한메")</f>
        <v>한메</v>
      </c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</row>
    <row r="1598">
      <c r="A1598" s="27" t="s">
        <v>6644</v>
      </c>
      <c r="B1598" s="28" t="s">
        <v>6645</v>
      </c>
      <c r="C1598" s="27" t="s">
        <v>6646</v>
      </c>
      <c r="D1598" s="27">
        <v>5.0</v>
      </c>
      <c r="E1598" s="27" t="s">
        <v>6647</v>
      </c>
      <c r="F1598" s="27">
        <v>4.0</v>
      </c>
      <c r="G1598" s="29">
        <v>45531.961805555555</v>
      </c>
      <c r="H1598" s="27" t="s">
        <v>6619</v>
      </c>
      <c r="I1598" s="18"/>
      <c r="J1598" s="25" t="str">
        <f>IFERROR(__xludf.DUMMYFUNCTION("ARRAYFORMULA(REGEXEXTRACT(SPLIT(C1598, ""&lt;br&gt;""), ""([가-힣A-Za-z]+)""))"),"신형만")</f>
        <v>신형만</v>
      </c>
      <c r="K1598" s="26" t="str">
        <f>IFERROR(__xludf.DUMMYFUNCTION("""COMPUTED_VALUE"""),"테리")</f>
        <v>테리</v>
      </c>
      <c r="L1598" s="26" t="str">
        <f>IFERROR(__xludf.DUMMYFUNCTION("""COMPUTED_VALUE"""),"ACDC")</f>
        <v>ACDC</v>
      </c>
      <c r="M1598" s="26" t="str">
        <f>IFERROR(__xludf.DUMMYFUNCTION("""COMPUTED_VALUE"""),"한메")</f>
        <v>한메</v>
      </c>
      <c r="N1598" s="26" t="str">
        <f>IFERROR(__xludf.DUMMYFUNCTION("ARRAYFORMULA(REGEXEXTRACT(SPLIT(E1598, ""&lt;br&gt;""), ""([가-힣A-Za-z]+)""))"),"강화")</f>
        <v>강화</v>
      </c>
      <c r="O1598" s="26" t="str">
        <f>IFERROR(__xludf.DUMMYFUNCTION("""COMPUTED_VALUE"""),"조심")</f>
        <v>조심</v>
      </c>
      <c r="P1598" s="26" t="str">
        <f>IFERROR(__xludf.DUMMYFUNCTION("""COMPUTED_VALUE"""),"짱구")</f>
        <v>짱구</v>
      </c>
      <c r="Q1598" s="26" t="str">
        <f>IFERROR(__xludf.DUMMYFUNCTION("""COMPUTED_VALUE"""),"재우")</f>
        <v>재우</v>
      </c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18"/>
    </row>
    <row r="1599">
      <c r="A1599" s="27" t="s">
        <v>6648</v>
      </c>
      <c r="B1599" s="28" t="s">
        <v>6649</v>
      </c>
      <c r="C1599" s="27" t="s">
        <v>6650</v>
      </c>
      <c r="D1599" s="27">
        <v>5.0</v>
      </c>
      <c r="E1599" s="27" t="s">
        <v>6651</v>
      </c>
      <c r="F1599" s="27">
        <v>4.0</v>
      </c>
      <c r="G1599" s="29">
        <v>45531.93263888889</v>
      </c>
      <c r="H1599" s="27" t="s">
        <v>6619</v>
      </c>
      <c r="I1599" s="18"/>
      <c r="J1599" s="25" t="str">
        <f>IFERROR(__xludf.DUMMYFUNCTION("ARRAYFORMULA(REGEXEXTRACT(SPLIT(C1599, ""&lt;br&gt;""), ""([가-힣A-Za-z]+)""))"),"한메")</f>
        <v>한메</v>
      </c>
      <c r="K1599" s="26" t="str">
        <f>IFERROR(__xludf.DUMMYFUNCTION("""COMPUTED_VALUE"""),"테리")</f>
        <v>테리</v>
      </c>
      <c r="L1599" s="26" t="str">
        <f>IFERROR(__xludf.DUMMYFUNCTION("""COMPUTED_VALUE"""),"강화")</f>
        <v>강화</v>
      </c>
      <c r="M1599" s="26" t="str">
        <f>IFERROR(__xludf.DUMMYFUNCTION("""COMPUTED_VALUE"""),"짱구")</f>
        <v>짱구</v>
      </c>
      <c r="N1599" s="26" t="str">
        <f>IFERROR(__xludf.DUMMYFUNCTION("ARRAYFORMULA(REGEXEXTRACT(SPLIT(E1599, ""&lt;br&gt;""), ""([가-힣A-Za-z]+)""))"),"ACDC")</f>
        <v>ACDC</v>
      </c>
      <c r="O1599" s="26" t="str">
        <f>IFERROR(__xludf.DUMMYFUNCTION("""COMPUTED_VALUE"""),"신형만")</f>
        <v>신형만</v>
      </c>
      <c r="P1599" s="26" t="str">
        <f>IFERROR(__xludf.DUMMYFUNCTION("""COMPUTED_VALUE"""),"재우")</f>
        <v>재우</v>
      </c>
      <c r="Q1599" s="26" t="str">
        <f>IFERROR(__xludf.DUMMYFUNCTION("""COMPUTED_VALUE"""),"조심")</f>
        <v>조심</v>
      </c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</row>
    <row r="1600">
      <c r="A1600" s="27" t="s">
        <v>6652</v>
      </c>
      <c r="B1600" s="28" t="s">
        <v>6653</v>
      </c>
      <c r="C1600" s="27" t="s">
        <v>6654</v>
      </c>
      <c r="D1600" s="27">
        <v>5.0</v>
      </c>
      <c r="E1600" s="27" t="s">
        <v>6655</v>
      </c>
      <c r="F1600" s="27">
        <v>4.0</v>
      </c>
      <c r="G1600" s="29">
        <v>45531.910416666666</v>
      </c>
      <c r="H1600" s="27" t="s">
        <v>6619</v>
      </c>
      <c r="I1600" s="18"/>
      <c r="J1600" s="25" t="str">
        <f>IFERROR(__xludf.DUMMYFUNCTION("ARRAYFORMULA(REGEXEXTRACT(SPLIT(C1600, ""&lt;br&gt;""), ""([가-힣A-Za-z]+)""))"),"재우")</f>
        <v>재우</v>
      </c>
      <c r="K1600" s="26" t="str">
        <f>IFERROR(__xludf.DUMMYFUNCTION("""COMPUTED_VALUE"""),"강화")</f>
        <v>강화</v>
      </c>
      <c r="L1600" s="26" t="str">
        <f>IFERROR(__xludf.DUMMYFUNCTION("""COMPUTED_VALUE"""),"테리")</f>
        <v>테리</v>
      </c>
      <c r="M1600" s="26" t="str">
        <f>IFERROR(__xludf.DUMMYFUNCTION("""COMPUTED_VALUE"""),"짱구")</f>
        <v>짱구</v>
      </c>
      <c r="N1600" s="26" t="str">
        <f>IFERROR(__xludf.DUMMYFUNCTION("ARRAYFORMULA(REGEXEXTRACT(SPLIT(E1600, ""&lt;br&gt;""), ""([가-힣A-Za-z]+)""))"),"한메")</f>
        <v>한메</v>
      </c>
      <c r="O1600" s="26" t="str">
        <f>IFERROR(__xludf.DUMMYFUNCTION("""COMPUTED_VALUE"""),"신형만")</f>
        <v>신형만</v>
      </c>
      <c r="P1600" s="26" t="str">
        <f>IFERROR(__xludf.DUMMYFUNCTION("""COMPUTED_VALUE"""),"ACDC")</f>
        <v>ACDC</v>
      </c>
      <c r="Q1600" s="26" t="str">
        <f>IFERROR(__xludf.DUMMYFUNCTION("""COMPUTED_VALUE"""),"조심")</f>
        <v>조심</v>
      </c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</row>
    <row r="1601">
      <c r="A1601" s="27" t="s">
        <v>6656</v>
      </c>
      <c r="B1601" s="28" t="s">
        <v>6657</v>
      </c>
      <c r="C1601" s="27" t="s">
        <v>6658</v>
      </c>
      <c r="D1601" s="27">
        <v>5.0</v>
      </c>
      <c r="E1601" s="27" t="s">
        <v>6659</v>
      </c>
      <c r="F1601" s="27">
        <v>1.0</v>
      </c>
      <c r="G1601" s="29">
        <v>45526.993055555555</v>
      </c>
      <c r="H1601" s="27" t="s">
        <v>6619</v>
      </c>
      <c r="I1601" s="18"/>
      <c r="J1601" s="25" t="str">
        <f>IFERROR(__xludf.DUMMYFUNCTION("ARRAYFORMULA(REGEXEXTRACT(SPLIT(C1601, ""&lt;br&gt;""), ""([가-힣A-Za-z]+)""))"),"테리")</f>
        <v>테리</v>
      </c>
      <c r="K1601" s="26" t="str">
        <f>IFERROR(__xludf.DUMMYFUNCTION("""COMPUTED_VALUE"""),"미등록")</f>
        <v>미등록</v>
      </c>
      <c r="L1601" s="26" t="str">
        <f>IFERROR(__xludf.DUMMYFUNCTION("""COMPUTED_VALUE"""),"한메")</f>
        <v>한메</v>
      </c>
      <c r="M1601" s="26" t="str">
        <f>IFERROR(__xludf.DUMMYFUNCTION("""COMPUTED_VALUE"""),"조드")</f>
        <v>조드</v>
      </c>
      <c r="N1601" s="26" t="str">
        <f>IFERROR(__xludf.DUMMYFUNCTION("ARRAYFORMULA(REGEXEXTRACT(SPLIT(E1601, ""&lt;br&gt;""), ""([가-힣A-Za-z]+)""))"),"신형만")</f>
        <v>신형만</v>
      </c>
      <c r="O1601" s="26" t="str">
        <f>IFERROR(__xludf.DUMMYFUNCTION("""COMPUTED_VALUE"""),"ACDC")</f>
        <v>ACDC</v>
      </c>
      <c r="P1601" s="26" t="str">
        <f>IFERROR(__xludf.DUMMYFUNCTION("""COMPUTED_VALUE"""),"지피")</f>
        <v>지피</v>
      </c>
      <c r="Q1601" s="26" t="str">
        <f>IFERROR(__xludf.DUMMYFUNCTION("""COMPUTED_VALUE"""),"조심")</f>
        <v>조심</v>
      </c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</row>
    <row r="1602">
      <c r="A1602" s="27" t="s">
        <v>6660</v>
      </c>
      <c r="B1602" s="28" t="s">
        <v>6661</v>
      </c>
      <c r="C1602" s="27" t="s">
        <v>6662</v>
      </c>
      <c r="D1602" s="27">
        <v>5.0</v>
      </c>
      <c r="E1602" s="27" t="s">
        <v>6663</v>
      </c>
      <c r="F1602" s="27">
        <v>3.0</v>
      </c>
      <c r="G1602" s="29">
        <v>45526.97222222222</v>
      </c>
      <c r="H1602" s="27" t="s">
        <v>6619</v>
      </c>
      <c r="I1602" s="18"/>
      <c r="J1602" s="25" t="str">
        <f>IFERROR(__xludf.DUMMYFUNCTION("ARRAYFORMULA(REGEXEXTRACT(SPLIT(C1602, ""&lt;br&gt;""), ""([가-힣A-Za-z]+)""))"),"신형만")</f>
        <v>신형만</v>
      </c>
      <c r="K1602" s="26" t="str">
        <f>IFERROR(__xludf.DUMMYFUNCTION("""COMPUTED_VALUE"""),"구리다")</f>
        <v>구리다</v>
      </c>
      <c r="L1602" s="26" t="str">
        <f>IFERROR(__xludf.DUMMYFUNCTION("""COMPUTED_VALUE"""),"한메")</f>
        <v>한메</v>
      </c>
      <c r="M1602" s="26" t="str">
        <f>IFERROR(__xludf.DUMMYFUNCTION("""COMPUTED_VALUE"""),"조드")</f>
        <v>조드</v>
      </c>
      <c r="N1602" s="26" t="str">
        <f>IFERROR(__xludf.DUMMYFUNCTION("ARRAYFORMULA(REGEXEXTRACT(SPLIT(E1602, ""&lt;br&gt;""), ""([가-힣A-Za-z]+)""))"),"강화")</f>
        <v>강화</v>
      </c>
      <c r="O1602" s="26" t="str">
        <f>IFERROR(__xludf.DUMMYFUNCTION("""COMPUTED_VALUE"""),"ACDC")</f>
        <v>ACDC</v>
      </c>
      <c r="P1602" s="26" t="str">
        <f>IFERROR(__xludf.DUMMYFUNCTION("""COMPUTED_VALUE"""),"짱구")</f>
        <v>짱구</v>
      </c>
      <c r="Q1602" s="26" t="str">
        <f>IFERROR(__xludf.DUMMYFUNCTION("""COMPUTED_VALUE"""),"조심")</f>
        <v>조심</v>
      </c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</row>
    <row r="1603">
      <c r="A1603" s="27" t="s">
        <v>6664</v>
      </c>
      <c r="B1603" s="28" t="s">
        <v>6665</v>
      </c>
      <c r="C1603" s="27" t="s">
        <v>6666</v>
      </c>
      <c r="D1603" s="27">
        <v>5.0</v>
      </c>
      <c r="E1603" s="27" t="s">
        <v>6667</v>
      </c>
      <c r="F1603" s="27">
        <v>3.0</v>
      </c>
      <c r="G1603" s="29">
        <v>45526.95486111111</v>
      </c>
      <c r="H1603" s="27" t="s">
        <v>6619</v>
      </c>
      <c r="I1603" s="18"/>
      <c r="J1603" s="25" t="str">
        <f>IFERROR(__xludf.DUMMYFUNCTION("ARRAYFORMULA(REGEXEXTRACT(SPLIT(C1603, ""&lt;br&gt;""), ""([가-힣A-Za-z]+)""))"),"신형만")</f>
        <v>신형만</v>
      </c>
      <c r="K1603" s="26" t="str">
        <f>IFERROR(__xludf.DUMMYFUNCTION("""COMPUTED_VALUE"""),"ACDC")</f>
        <v>ACDC</v>
      </c>
      <c r="L1603" s="26" t="str">
        <f>IFERROR(__xludf.DUMMYFUNCTION("""COMPUTED_VALUE"""),"한메")</f>
        <v>한메</v>
      </c>
      <c r="M1603" s="26" t="str">
        <f>IFERROR(__xludf.DUMMYFUNCTION("""COMPUTED_VALUE"""),"조심")</f>
        <v>조심</v>
      </c>
      <c r="N1603" s="26" t="str">
        <f>IFERROR(__xludf.DUMMYFUNCTION("ARRAYFORMULA(REGEXEXTRACT(SPLIT(E1603, ""&lt;br&gt;""), ""([가-힣A-Za-z]+)""))"),"강화")</f>
        <v>강화</v>
      </c>
      <c r="O1603" s="26" t="str">
        <f>IFERROR(__xludf.DUMMYFUNCTION("""COMPUTED_VALUE"""),"구리다")</f>
        <v>구리다</v>
      </c>
      <c r="P1603" s="26" t="str">
        <f>IFERROR(__xludf.DUMMYFUNCTION("""COMPUTED_VALUE"""),"짱구")</f>
        <v>짱구</v>
      </c>
      <c r="Q1603" s="26" t="str">
        <f>IFERROR(__xludf.DUMMYFUNCTION("""COMPUTED_VALUE"""),"조드")</f>
        <v>조드</v>
      </c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</row>
    <row r="1604">
      <c r="A1604" s="27" t="s">
        <v>6668</v>
      </c>
      <c r="B1604" s="28" t="s">
        <v>6669</v>
      </c>
      <c r="C1604" s="27" t="s">
        <v>6670</v>
      </c>
      <c r="D1604" s="27">
        <v>5.0</v>
      </c>
      <c r="E1604" s="27" t="s">
        <v>6671</v>
      </c>
      <c r="F1604" s="27">
        <v>1.0</v>
      </c>
      <c r="G1604" s="29">
        <v>45526.930555555555</v>
      </c>
      <c r="H1604" s="27" t="s">
        <v>6619</v>
      </c>
      <c r="I1604" s="18"/>
      <c r="J1604" s="25" t="str">
        <f>IFERROR(__xludf.DUMMYFUNCTION("ARRAYFORMULA(REGEXEXTRACT(SPLIT(C1604, ""&lt;br&gt;""), ""([가-힣A-Za-z]+)""))"),"조심")</f>
        <v>조심</v>
      </c>
      <c r="K1604" s="26" t="str">
        <f>IFERROR(__xludf.DUMMYFUNCTION("""COMPUTED_VALUE"""),"강화")</f>
        <v>강화</v>
      </c>
      <c r="L1604" s="26" t="str">
        <f>IFERROR(__xludf.DUMMYFUNCTION("""COMPUTED_VALUE"""),"간달프")</f>
        <v>간달프</v>
      </c>
      <c r="M1604" s="26" t="str">
        <f>IFERROR(__xludf.DUMMYFUNCTION("""COMPUTED_VALUE"""),"한메")</f>
        <v>한메</v>
      </c>
      <c r="N1604" s="26" t="str">
        <f>IFERROR(__xludf.DUMMYFUNCTION("ARRAYFORMULA(REGEXEXTRACT(SPLIT(E1604, ""&lt;br&gt;""), ""([가-힣A-Za-z]+)""))"),"윙크")</f>
        <v>윙크</v>
      </c>
      <c r="O1604" s="26" t="str">
        <f>IFERROR(__xludf.DUMMYFUNCTION("""COMPUTED_VALUE"""),"ACDC")</f>
        <v>ACDC</v>
      </c>
      <c r="P1604" s="26" t="str">
        <f>IFERROR(__xludf.DUMMYFUNCTION("""COMPUTED_VALUE"""),"구리다")</f>
        <v>구리다</v>
      </c>
      <c r="Q1604" s="26" t="str">
        <f>IFERROR(__xludf.DUMMYFUNCTION("""COMPUTED_VALUE"""),"신형만")</f>
        <v>신형만</v>
      </c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</row>
    <row r="1605">
      <c r="A1605" s="27" t="s">
        <v>6672</v>
      </c>
      <c r="B1605" s="28" t="s">
        <v>6673</v>
      </c>
      <c r="C1605" s="27" t="s">
        <v>6674</v>
      </c>
      <c r="D1605" s="27">
        <v>5.0</v>
      </c>
      <c r="E1605" s="27" t="s">
        <v>6675</v>
      </c>
      <c r="F1605" s="27">
        <v>4.0</v>
      </c>
      <c r="G1605" s="29">
        <v>45526.91458333333</v>
      </c>
      <c r="H1605" s="27" t="s">
        <v>6619</v>
      </c>
      <c r="I1605" s="18"/>
      <c r="J1605" s="25" t="str">
        <f>IFERROR(__xludf.DUMMYFUNCTION("ARRAYFORMULA(REGEXEXTRACT(SPLIT(C1605, ""&lt;br&gt;""), ""([가-힣A-Za-z]+)""))"),"한메")</f>
        <v>한메</v>
      </c>
      <c r="K1605" s="26" t="str">
        <f>IFERROR(__xludf.DUMMYFUNCTION("""COMPUTED_VALUE"""),"조심")</f>
        <v>조심</v>
      </c>
      <c r="L1605" s="26" t="str">
        <f>IFERROR(__xludf.DUMMYFUNCTION("""COMPUTED_VALUE"""),"간달프")</f>
        <v>간달프</v>
      </c>
      <c r="M1605" s="26" t="str">
        <f>IFERROR(__xludf.DUMMYFUNCTION("""COMPUTED_VALUE"""),"구리다")</f>
        <v>구리다</v>
      </c>
      <c r="N1605" s="26" t="str">
        <f>IFERROR(__xludf.DUMMYFUNCTION("ARRAYFORMULA(REGEXEXTRACT(SPLIT(E1605, ""&lt;br&gt;""), ""([가-힣A-Za-z]+)""))"),"ACDC")</f>
        <v>ACDC</v>
      </c>
      <c r="O1605" s="26" t="str">
        <f>IFERROR(__xludf.DUMMYFUNCTION("""COMPUTED_VALUE"""),"신형만")</f>
        <v>신형만</v>
      </c>
      <c r="P1605" s="26" t="str">
        <f>IFERROR(__xludf.DUMMYFUNCTION("""COMPUTED_VALUE"""),"윙크")</f>
        <v>윙크</v>
      </c>
      <c r="Q1605" s="26" t="str">
        <f>IFERROR(__xludf.DUMMYFUNCTION("""COMPUTED_VALUE"""),"강화")</f>
        <v>강화</v>
      </c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</row>
    <row r="1606">
      <c r="A1606" s="27" t="s">
        <v>6676</v>
      </c>
      <c r="B1606" s="28" t="s">
        <v>6677</v>
      </c>
      <c r="C1606" s="27" t="s">
        <v>6678</v>
      </c>
      <c r="D1606" s="27">
        <v>5.0</v>
      </c>
      <c r="E1606" s="27" t="s">
        <v>6679</v>
      </c>
      <c r="F1606" s="27">
        <v>4.0</v>
      </c>
      <c r="G1606" s="29">
        <v>45525.99375</v>
      </c>
      <c r="H1606" s="27" t="s">
        <v>6619</v>
      </c>
      <c r="I1606" s="18"/>
      <c r="J1606" s="25" t="str">
        <f>IFERROR(__xludf.DUMMYFUNCTION("ARRAYFORMULA(REGEXEXTRACT(SPLIT(C1606, ""&lt;br&gt;""), ""([가-힣A-Za-z]+)""))"),"강화")</f>
        <v>강화</v>
      </c>
      <c r="K1606" s="26" t="str">
        <f>IFERROR(__xludf.DUMMYFUNCTION("""COMPUTED_VALUE"""),"미등록")</f>
        <v>미등록</v>
      </c>
      <c r="L1606" s="26" t="str">
        <f>IFERROR(__xludf.DUMMYFUNCTION("""COMPUTED_VALUE"""),"간달프")</f>
        <v>간달프</v>
      </c>
      <c r="M1606" s="26" t="str">
        <f>IFERROR(__xludf.DUMMYFUNCTION("""COMPUTED_VALUE"""),"ACDC")</f>
        <v>ACDC</v>
      </c>
      <c r="N1606" s="26" t="str">
        <f>IFERROR(__xludf.DUMMYFUNCTION("ARRAYFORMULA(REGEXEXTRACT(SPLIT(E1606, ""&lt;br&gt;""), ""([가-힣A-Za-z]+)""))"),"조심")</f>
        <v>조심</v>
      </c>
      <c r="O1606" s="26" t="str">
        <f>IFERROR(__xludf.DUMMYFUNCTION("""COMPUTED_VALUE"""),"한메")</f>
        <v>한메</v>
      </c>
      <c r="P1606" s="26" t="str">
        <f>IFERROR(__xludf.DUMMYFUNCTION("""COMPUTED_VALUE"""),"재규어")</f>
        <v>재규어</v>
      </c>
      <c r="Q1606" s="26" t="str">
        <f>IFERROR(__xludf.DUMMYFUNCTION("""COMPUTED_VALUE"""),"구리다")</f>
        <v>구리다</v>
      </c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</row>
    <row r="1607">
      <c r="A1607" s="27" t="s">
        <v>6680</v>
      </c>
      <c r="B1607" s="28" t="s">
        <v>6681</v>
      </c>
      <c r="C1607" s="27" t="s">
        <v>6682</v>
      </c>
      <c r="D1607" s="27">
        <v>2.0</v>
      </c>
      <c r="E1607" s="27" t="s">
        <v>6683</v>
      </c>
      <c r="F1607" s="27">
        <v>5.0</v>
      </c>
      <c r="G1607" s="29">
        <v>45525.97152777778</v>
      </c>
      <c r="H1607" s="27" t="s">
        <v>6619</v>
      </c>
      <c r="I1607" s="18"/>
      <c r="J1607" s="25" t="str">
        <f>IFERROR(__xludf.DUMMYFUNCTION("ARRAYFORMULA(REGEXEXTRACT(SPLIT(C1607, ""&lt;br&gt;""), ""([가-힣A-Za-z]+)""))"),"ACDC")</f>
        <v>ACDC</v>
      </c>
      <c r="K1607" s="26" t="str">
        <f>IFERROR(__xludf.DUMMYFUNCTION("""COMPUTED_VALUE"""),"미등록")</f>
        <v>미등록</v>
      </c>
      <c r="L1607" s="26" t="str">
        <f>IFERROR(__xludf.DUMMYFUNCTION("""COMPUTED_VALUE"""),"간달프")</f>
        <v>간달프</v>
      </c>
      <c r="M1607" s="26" t="str">
        <f>IFERROR(__xludf.DUMMYFUNCTION("""COMPUTED_VALUE"""),"한메")</f>
        <v>한메</v>
      </c>
      <c r="N1607" s="26" t="str">
        <f>IFERROR(__xludf.DUMMYFUNCTION("ARRAYFORMULA(REGEXEXTRACT(SPLIT(E1607, ""&lt;br&gt;""), ""([가-힣A-Za-z]+)""))"),"구리다")</f>
        <v>구리다</v>
      </c>
      <c r="O1607" s="26" t="str">
        <f>IFERROR(__xludf.DUMMYFUNCTION("""COMPUTED_VALUE"""),"강화")</f>
        <v>강화</v>
      </c>
      <c r="P1607" s="26" t="str">
        <f>IFERROR(__xludf.DUMMYFUNCTION("""COMPUTED_VALUE"""),"재규어")</f>
        <v>재규어</v>
      </c>
      <c r="Q1607" s="26" t="str">
        <f>IFERROR(__xludf.DUMMYFUNCTION("""COMPUTED_VALUE"""),"조심")</f>
        <v>조심</v>
      </c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18"/>
    </row>
    <row r="1608">
      <c r="A1608" s="27" t="s">
        <v>6684</v>
      </c>
      <c r="B1608" s="28" t="s">
        <v>6685</v>
      </c>
      <c r="C1608" s="27" t="s">
        <v>6686</v>
      </c>
      <c r="D1608" s="27">
        <v>5.0</v>
      </c>
      <c r="E1608" s="27" t="s">
        <v>6687</v>
      </c>
      <c r="F1608" s="27">
        <v>2.0</v>
      </c>
      <c r="G1608" s="29">
        <v>45525.95277777778</v>
      </c>
      <c r="H1608" s="27" t="s">
        <v>6619</v>
      </c>
      <c r="I1608" s="18"/>
      <c r="J1608" s="25" t="str">
        <f>IFERROR(__xludf.DUMMYFUNCTION("ARRAYFORMULA(REGEXEXTRACT(SPLIT(C1608, ""&lt;br&gt;""), ""([가-힣A-Za-z]+)""))"),"ACDC")</f>
        <v>ACDC</v>
      </c>
      <c r="K1608" s="26" t="str">
        <f>IFERROR(__xludf.DUMMYFUNCTION("""COMPUTED_VALUE"""),"미등록")</f>
        <v>미등록</v>
      </c>
      <c r="L1608" s="26" t="str">
        <f>IFERROR(__xludf.DUMMYFUNCTION("""COMPUTED_VALUE"""),"구리다")</f>
        <v>구리다</v>
      </c>
      <c r="M1608" s="26" t="str">
        <f>IFERROR(__xludf.DUMMYFUNCTION("""COMPUTED_VALUE"""),"조심")</f>
        <v>조심</v>
      </c>
      <c r="N1608" s="26" t="str">
        <f>IFERROR(__xludf.DUMMYFUNCTION("ARRAYFORMULA(REGEXEXTRACT(SPLIT(E1608, ""&lt;br&gt;""), ""([가-힣A-Za-z]+)""))"),"재규어")</f>
        <v>재규어</v>
      </c>
      <c r="O1608" s="26" t="str">
        <f>IFERROR(__xludf.DUMMYFUNCTION("""COMPUTED_VALUE"""),"강화")</f>
        <v>강화</v>
      </c>
      <c r="P1608" s="26" t="str">
        <f>IFERROR(__xludf.DUMMYFUNCTION("""COMPUTED_VALUE"""),"간달프")</f>
        <v>간달프</v>
      </c>
      <c r="Q1608" s="26" t="str">
        <f>IFERROR(__xludf.DUMMYFUNCTION("""COMPUTED_VALUE"""),"한메")</f>
        <v>한메</v>
      </c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</row>
    <row r="1609">
      <c r="A1609" s="27" t="s">
        <v>6688</v>
      </c>
      <c r="B1609" s="28" t="s">
        <v>6689</v>
      </c>
      <c r="C1609" s="27" t="s">
        <v>6690</v>
      </c>
      <c r="D1609" s="27">
        <v>5.0</v>
      </c>
      <c r="E1609" s="27" t="s">
        <v>6691</v>
      </c>
      <c r="F1609" s="27">
        <v>1.0</v>
      </c>
      <c r="G1609" s="29">
        <v>45525.93125</v>
      </c>
      <c r="H1609" s="27" t="s">
        <v>6619</v>
      </c>
      <c r="I1609" s="18"/>
      <c r="J1609" s="25" t="str">
        <f>IFERROR(__xludf.DUMMYFUNCTION("ARRAYFORMULA(REGEXEXTRACT(SPLIT(C1609, ""&lt;br&gt;""), ""([가-힣A-Za-z]+)""))"),"신형만")</f>
        <v>신형만</v>
      </c>
      <c r="K1609" s="26" t="str">
        <f>IFERROR(__xludf.DUMMYFUNCTION("""COMPUTED_VALUE"""),"구리다")</f>
        <v>구리다</v>
      </c>
      <c r="L1609" s="26" t="str">
        <f>IFERROR(__xludf.DUMMYFUNCTION("""COMPUTED_VALUE"""),"간달프")</f>
        <v>간달프</v>
      </c>
      <c r="M1609" s="26" t="str">
        <f>IFERROR(__xludf.DUMMYFUNCTION("""COMPUTED_VALUE"""),"한메")</f>
        <v>한메</v>
      </c>
      <c r="N1609" s="26" t="str">
        <f>IFERROR(__xludf.DUMMYFUNCTION("ARRAYFORMULA(REGEXEXTRACT(SPLIT(E1609, ""&lt;br&gt;""), ""([가-힣A-Za-z]+)""))"),"깡패")</f>
        <v>깡패</v>
      </c>
      <c r="O1609" s="26" t="str">
        <f>IFERROR(__xludf.DUMMYFUNCTION("""COMPUTED_VALUE"""),"ACDC")</f>
        <v>ACDC</v>
      </c>
      <c r="P1609" s="26" t="str">
        <f>IFERROR(__xludf.DUMMYFUNCTION("""COMPUTED_VALUE"""),"조심")</f>
        <v>조심</v>
      </c>
      <c r="Q1609" s="26" t="str">
        <f>IFERROR(__xludf.DUMMYFUNCTION("""COMPUTED_VALUE"""),"강화")</f>
        <v>강화</v>
      </c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  <c r="AB1609" s="18"/>
    </row>
    <row r="1610">
      <c r="A1610" s="27" t="s">
        <v>6692</v>
      </c>
      <c r="B1610" s="28" t="s">
        <v>6693</v>
      </c>
      <c r="C1610" s="27" t="s">
        <v>6694</v>
      </c>
      <c r="D1610" s="27">
        <v>5.0</v>
      </c>
      <c r="E1610" s="27" t="s">
        <v>6695</v>
      </c>
      <c r="F1610" s="27">
        <v>3.0</v>
      </c>
      <c r="G1610" s="29">
        <v>45525.91180555556</v>
      </c>
      <c r="H1610" s="27" t="s">
        <v>6619</v>
      </c>
      <c r="I1610" s="18"/>
      <c r="J1610" s="25" t="str">
        <f>IFERROR(__xludf.DUMMYFUNCTION("ARRAYFORMULA(REGEXEXTRACT(SPLIT(C1610, ""&lt;br&gt;""), ""([가-힣A-Za-z]+)""))"),"ACDC")</f>
        <v>ACDC</v>
      </c>
      <c r="K1610" s="26" t="str">
        <f>IFERROR(__xludf.DUMMYFUNCTION("""COMPUTED_VALUE"""),"깡패")</f>
        <v>깡패</v>
      </c>
      <c r="L1610" s="26" t="str">
        <f>IFERROR(__xludf.DUMMYFUNCTION("""COMPUTED_VALUE"""),"간달프")</f>
        <v>간달프</v>
      </c>
      <c r="M1610" s="26" t="str">
        <f>IFERROR(__xludf.DUMMYFUNCTION("""COMPUTED_VALUE"""),"한메")</f>
        <v>한메</v>
      </c>
      <c r="N1610" s="26" t="str">
        <f>IFERROR(__xludf.DUMMYFUNCTION("ARRAYFORMULA(REGEXEXTRACT(SPLIT(E1610, ""&lt;br&gt;""), ""([가-힣A-Za-z]+)""))"),"강화")</f>
        <v>강화</v>
      </c>
      <c r="O1610" s="26" t="str">
        <f>IFERROR(__xludf.DUMMYFUNCTION("""COMPUTED_VALUE"""),"조심")</f>
        <v>조심</v>
      </c>
      <c r="P1610" s="26" t="str">
        <f>IFERROR(__xludf.DUMMYFUNCTION("""COMPUTED_VALUE"""),"신형만")</f>
        <v>신형만</v>
      </c>
      <c r="Q1610" s="26" t="str">
        <f>IFERROR(__xludf.DUMMYFUNCTION("""COMPUTED_VALUE"""),"오딘")</f>
        <v>오딘</v>
      </c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</row>
    <row r="1611">
      <c r="A1611" s="27" t="s">
        <v>6696</v>
      </c>
      <c r="B1611" s="28" t="s">
        <v>6697</v>
      </c>
      <c r="C1611" s="27" t="s">
        <v>6698</v>
      </c>
      <c r="D1611" s="27">
        <v>5.0</v>
      </c>
      <c r="E1611" s="27" t="s">
        <v>6699</v>
      </c>
      <c r="F1611" s="27">
        <v>0.0</v>
      </c>
      <c r="G1611" s="29">
        <v>45525.88958333333</v>
      </c>
      <c r="H1611" s="27" t="s">
        <v>6619</v>
      </c>
      <c r="I1611" s="18"/>
      <c r="J1611" s="25" t="str">
        <f>IFERROR(__xludf.DUMMYFUNCTION("ARRAYFORMULA(REGEXEXTRACT(SPLIT(C1611, ""&lt;br&gt;""), ""([가-힣A-Za-z]+)""))"),"깡패")</f>
        <v>깡패</v>
      </c>
      <c r="K1611" s="26" t="str">
        <f>IFERROR(__xludf.DUMMYFUNCTION("""COMPUTED_VALUE"""),"조심")</f>
        <v>조심</v>
      </c>
      <c r="L1611" s="26" t="str">
        <f>IFERROR(__xludf.DUMMYFUNCTION("""COMPUTED_VALUE"""),"신형만")</f>
        <v>신형만</v>
      </c>
      <c r="M1611" s="26" t="str">
        <f>IFERROR(__xludf.DUMMYFUNCTION("""COMPUTED_VALUE"""),"오딘")</f>
        <v>오딘</v>
      </c>
      <c r="N1611" s="26" t="str">
        <f>IFERROR(__xludf.DUMMYFUNCTION("ARRAYFORMULA(REGEXEXTRACT(SPLIT(E1611, ""&lt;br&gt;""), ""([가-힣A-Za-z]+)""))"),"한메")</f>
        <v>한메</v>
      </c>
      <c r="O1611" s="26" t="str">
        <f>IFERROR(__xludf.DUMMYFUNCTION("""COMPUTED_VALUE"""),"ACDC")</f>
        <v>ACDC</v>
      </c>
      <c r="P1611" s="26" t="str">
        <f>IFERROR(__xludf.DUMMYFUNCTION("""COMPUTED_VALUE"""),"간달프")</f>
        <v>간달프</v>
      </c>
      <c r="Q1611" s="26" t="str">
        <f>IFERROR(__xludf.DUMMYFUNCTION("""COMPUTED_VALUE"""),"강화")</f>
        <v>강화</v>
      </c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</row>
    <row r="1612">
      <c r="A1612" s="27" t="s">
        <v>6700</v>
      </c>
      <c r="B1612" s="28" t="s">
        <v>6701</v>
      </c>
      <c r="C1612" s="27" t="s">
        <v>6702</v>
      </c>
      <c r="D1612" s="27">
        <v>5.0</v>
      </c>
      <c r="E1612" s="27" t="s">
        <v>6703</v>
      </c>
      <c r="F1612" s="27">
        <v>2.0</v>
      </c>
      <c r="G1612" s="29">
        <v>45524.97638888889</v>
      </c>
      <c r="H1612" s="27" t="s">
        <v>6619</v>
      </c>
      <c r="I1612" s="18"/>
      <c r="J1612" s="25" t="str">
        <f>IFERROR(__xludf.DUMMYFUNCTION("ARRAYFORMULA(REGEXEXTRACT(SPLIT(C1612, ""&lt;br&gt;""), ""([가-힣A-Za-z]+)""))"),"신형만")</f>
        <v>신형만</v>
      </c>
      <c r="K1612" s="26" t="str">
        <f>IFERROR(__xludf.DUMMYFUNCTION("""COMPUTED_VALUE"""),"조심")</f>
        <v>조심</v>
      </c>
      <c r="L1612" s="26" t="str">
        <f>IFERROR(__xludf.DUMMYFUNCTION("""COMPUTED_VALUE"""),"재규어")</f>
        <v>재규어</v>
      </c>
      <c r="M1612" s="26" t="str">
        <f>IFERROR(__xludf.DUMMYFUNCTION("""COMPUTED_VALUE"""),"조드")</f>
        <v>조드</v>
      </c>
      <c r="N1612" s="26" t="str">
        <f>IFERROR(__xludf.DUMMYFUNCTION("ARRAYFORMULA(REGEXEXTRACT(SPLIT(E1612, ""&lt;br&gt;""), ""([가-힣A-Za-z]+)""))"),"미등록")</f>
        <v>미등록</v>
      </c>
      <c r="O1612" s="26" t="str">
        <f>IFERROR(__xludf.DUMMYFUNCTION("""COMPUTED_VALUE"""),"강화")</f>
        <v>강화</v>
      </c>
      <c r="P1612" s="26" t="str">
        <f>IFERROR(__xludf.DUMMYFUNCTION("""COMPUTED_VALUE"""),"간달프")</f>
        <v>간달프</v>
      </c>
      <c r="Q1612" s="26" t="str">
        <f>IFERROR(__xludf.DUMMYFUNCTION("""COMPUTED_VALUE"""),"ACDC")</f>
        <v>ACDC</v>
      </c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</row>
    <row r="1613">
      <c r="A1613" s="27" t="s">
        <v>6704</v>
      </c>
      <c r="B1613" s="28" t="s">
        <v>6705</v>
      </c>
      <c r="C1613" s="27" t="s">
        <v>6706</v>
      </c>
      <c r="D1613" s="27">
        <v>5.0</v>
      </c>
      <c r="E1613" s="27" t="s">
        <v>6707</v>
      </c>
      <c r="F1613" s="27">
        <v>4.0</v>
      </c>
      <c r="G1613" s="29">
        <v>45524.94097222222</v>
      </c>
      <c r="H1613" s="27" t="s">
        <v>6619</v>
      </c>
      <c r="I1613" s="18"/>
      <c r="J1613" s="25" t="str">
        <f>IFERROR(__xludf.DUMMYFUNCTION("ARRAYFORMULA(REGEXEXTRACT(SPLIT(C1613, ""&lt;br&gt;""), ""([가-힣A-Za-z]+)""))"),"미등록")</f>
        <v>미등록</v>
      </c>
      <c r="K1613" s="26" t="str">
        <f>IFERROR(__xludf.DUMMYFUNCTION("""COMPUTED_VALUE"""),"조심")</f>
        <v>조심</v>
      </c>
      <c r="L1613" s="26" t="str">
        <f>IFERROR(__xludf.DUMMYFUNCTION("""COMPUTED_VALUE"""),"간달프")</f>
        <v>간달프</v>
      </c>
      <c r="M1613" s="26" t="str">
        <f>IFERROR(__xludf.DUMMYFUNCTION("""COMPUTED_VALUE"""),"깡패")</f>
        <v>깡패</v>
      </c>
      <c r="N1613" s="26" t="str">
        <f>IFERROR(__xludf.DUMMYFUNCTION("ARRAYFORMULA(REGEXEXTRACT(SPLIT(E1613, ""&lt;br&gt;""), ""([가-힣A-Za-z]+)""))"),"강화")</f>
        <v>강화</v>
      </c>
      <c r="O1613" s="26" t="str">
        <f>IFERROR(__xludf.DUMMYFUNCTION("""COMPUTED_VALUE"""),"신형만")</f>
        <v>신형만</v>
      </c>
      <c r="P1613" s="26" t="str">
        <f>IFERROR(__xludf.DUMMYFUNCTION("""COMPUTED_VALUE"""),"ACDC")</f>
        <v>ACDC</v>
      </c>
      <c r="Q1613" s="26" t="str">
        <f>IFERROR(__xludf.DUMMYFUNCTION("""COMPUTED_VALUE"""),"조드")</f>
        <v>조드</v>
      </c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  <c r="AB1613" s="18"/>
    </row>
    <row r="1614">
      <c r="A1614" s="27" t="s">
        <v>6708</v>
      </c>
      <c r="B1614" s="28" t="s">
        <v>6709</v>
      </c>
      <c r="C1614" s="27" t="s">
        <v>6710</v>
      </c>
      <c r="D1614" s="27">
        <v>5.0</v>
      </c>
      <c r="E1614" s="27" t="s">
        <v>6711</v>
      </c>
      <c r="F1614" s="27">
        <v>3.0</v>
      </c>
      <c r="G1614" s="29">
        <v>45524.90416666667</v>
      </c>
      <c r="H1614" s="27" t="s">
        <v>6619</v>
      </c>
      <c r="I1614" s="18"/>
      <c r="J1614" s="25" t="str">
        <f>IFERROR(__xludf.DUMMYFUNCTION("ARRAYFORMULA(REGEXEXTRACT(SPLIT(C1614, ""&lt;br&gt;""), ""([가-힣A-Za-z]+)""))"),"만두")</f>
        <v>만두</v>
      </c>
      <c r="K1614" s="26" t="str">
        <f>IFERROR(__xludf.DUMMYFUNCTION("""COMPUTED_VALUE"""),"깡패")</f>
        <v>깡패</v>
      </c>
      <c r="L1614" s="26" t="str">
        <f>IFERROR(__xludf.DUMMYFUNCTION("""COMPUTED_VALUE"""),"간달프")</f>
        <v>간달프</v>
      </c>
      <c r="M1614" s="26" t="str">
        <f>IFERROR(__xludf.DUMMYFUNCTION("""COMPUTED_VALUE"""),"조드")</f>
        <v>조드</v>
      </c>
      <c r="N1614" s="26" t="str">
        <f>IFERROR(__xludf.DUMMYFUNCTION("ARRAYFORMULA(REGEXEXTRACT(SPLIT(E1614, ""&lt;br&gt;""), ""([가-힣A-Za-z]+)""))"),"강화")</f>
        <v>강화</v>
      </c>
      <c r="O1614" s="26" t="str">
        <f>IFERROR(__xludf.DUMMYFUNCTION("""COMPUTED_VALUE"""),"ACDC")</f>
        <v>ACDC</v>
      </c>
      <c r="P1614" s="26" t="str">
        <f>IFERROR(__xludf.DUMMYFUNCTION("""COMPUTED_VALUE"""),"신형만")</f>
        <v>신형만</v>
      </c>
      <c r="Q1614" s="26" t="str">
        <f>IFERROR(__xludf.DUMMYFUNCTION("""COMPUTED_VALUE"""),"조심")</f>
        <v>조심</v>
      </c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</row>
    <row r="1615">
      <c r="A1615" s="27" t="s">
        <v>6712</v>
      </c>
      <c r="B1615" s="28" t="s">
        <v>6713</v>
      </c>
      <c r="C1615" s="27" t="s">
        <v>6714</v>
      </c>
      <c r="D1615" s="27">
        <v>5.0</v>
      </c>
      <c r="E1615" s="27" t="s">
        <v>6715</v>
      </c>
      <c r="F1615" s="27">
        <v>1.0</v>
      </c>
      <c r="G1615" s="29">
        <v>45524.03472222222</v>
      </c>
      <c r="H1615" s="27" t="s">
        <v>6619</v>
      </c>
      <c r="I1615" s="18"/>
      <c r="J1615" s="25" t="str">
        <f>IFERROR(__xludf.DUMMYFUNCTION("ARRAYFORMULA(REGEXEXTRACT(SPLIT(C1615, ""&lt;br&gt;""), ""([가-힣A-Za-z]+)""))"),"구리다")</f>
        <v>구리다</v>
      </c>
      <c r="K1615" s="26" t="str">
        <f>IFERROR(__xludf.DUMMYFUNCTION("""COMPUTED_VALUE"""),"깡패")</f>
        <v>깡패</v>
      </c>
      <c r="L1615" s="26" t="str">
        <f>IFERROR(__xludf.DUMMYFUNCTION("""COMPUTED_VALUE"""),"간달프")</f>
        <v>간달프</v>
      </c>
      <c r="M1615" s="26" t="str">
        <f>IFERROR(__xludf.DUMMYFUNCTION("""COMPUTED_VALUE"""),"랄")</f>
        <v>랄</v>
      </c>
      <c r="N1615" s="26" t="str">
        <f>IFERROR(__xludf.DUMMYFUNCTION("ARRAYFORMULA(REGEXEXTRACT(SPLIT(E1615, ""&lt;br&gt;""), ""([가-힣A-Za-z]+)""))"),"신형만")</f>
        <v>신형만</v>
      </c>
      <c r="O1615" s="26" t="str">
        <f>IFERROR(__xludf.DUMMYFUNCTION("""COMPUTED_VALUE"""),"미르진")</f>
        <v>미르진</v>
      </c>
      <c r="P1615" s="26" t="str">
        <f>IFERROR(__xludf.DUMMYFUNCTION("""COMPUTED_VALUE"""),"ACDC")</f>
        <v>ACDC</v>
      </c>
      <c r="Q1615" s="26" t="str">
        <f>IFERROR(__xludf.DUMMYFUNCTION("""COMPUTED_VALUE"""),"한메")</f>
        <v>한메</v>
      </c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  <c r="AB1615" s="18"/>
    </row>
    <row r="1616">
      <c r="A1616" s="27" t="s">
        <v>6716</v>
      </c>
      <c r="B1616" s="28" t="s">
        <v>6717</v>
      </c>
      <c r="C1616" s="27" t="s">
        <v>6718</v>
      </c>
      <c r="D1616" s="27">
        <v>5.0</v>
      </c>
      <c r="E1616" s="27" t="s">
        <v>6719</v>
      </c>
      <c r="F1616" s="27">
        <v>4.0</v>
      </c>
      <c r="G1616" s="29">
        <v>45524.01666666667</v>
      </c>
      <c r="H1616" s="27" t="s">
        <v>6619</v>
      </c>
      <c r="I1616" s="18"/>
      <c r="J1616" s="25" t="str">
        <f>IFERROR(__xludf.DUMMYFUNCTION("ARRAYFORMULA(REGEXEXTRACT(SPLIT(C1616, ""&lt;br&gt;""), ""([가-힣A-Za-z]+)""))"),"ACDC")</f>
        <v>ACDC</v>
      </c>
      <c r="K1616" s="26" t="str">
        <f>IFERROR(__xludf.DUMMYFUNCTION("""COMPUTED_VALUE"""),"구리다")</f>
        <v>구리다</v>
      </c>
      <c r="L1616" s="26" t="str">
        <f>IFERROR(__xludf.DUMMYFUNCTION("""COMPUTED_VALUE"""),"간달프")</f>
        <v>간달프</v>
      </c>
      <c r="M1616" s="26" t="str">
        <f>IFERROR(__xludf.DUMMYFUNCTION("""COMPUTED_VALUE"""),"랄")</f>
        <v>랄</v>
      </c>
      <c r="N1616" s="26" t="str">
        <f>IFERROR(__xludf.DUMMYFUNCTION("ARRAYFORMULA(REGEXEXTRACT(SPLIT(E1616, ""&lt;br&gt;""), ""([가-힣A-Za-z]+)""))"),"깡패")</f>
        <v>깡패</v>
      </c>
      <c r="O1616" s="26" t="str">
        <f>IFERROR(__xludf.DUMMYFUNCTION("""COMPUTED_VALUE"""),"신형만")</f>
        <v>신형만</v>
      </c>
      <c r="P1616" s="26" t="str">
        <f>IFERROR(__xludf.DUMMYFUNCTION("""COMPUTED_VALUE"""),"한메")</f>
        <v>한메</v>
      </c>
      <c r="Q1616" s="26" t="str">
        <f>IFERROR(__xludf.DUMMYFUNCTION("""COMPUTED_VALUE"""),"미르진")</f>
        <v>미르진</v>
      </c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</row>
    <row r="1617">
      <c r="A1617" s="27" t="s">
        <v>6720</v>
      </c>
      <c r="B1617" s="28" t="s">
        <v>6721</v>
      </c>
      <c r="C1617" s="27" t="s">
        <v>6722</v>
      </c>
      <c r="D1617" s="27">
        <v>5.0</v>
      </c>
      <c r="E1617" s="27" t="s">
        <v>6723</v>
      </c>
      <c r="F1617" s="27">
        <v>0.0</v>
      </c>
      <c r="G1617" s="29">
        <v>45523.99236111111</v>
      </c>
      <c r="H1617" s="27" t="s">
        <v>6619</v>
      </c>
      <c r="I1617" s="18"/>
      <c r="J1617" s="25" t="str">
        <f>IFERROR(__xludf.DUMMYFUNCTION("ARRAYFORMULA(REGEXEXTRACT(SPLIT(C1617, ""&lt;br&gt;""), ""([가-힣A-Za-z]+)""))"),"신형만")</f>
        <v>신형만</v>
      </c>
      <c r="K1617" s="26" t="str">
        <f>IFERROR(__xludf.DUMMYFUNCTION("""COMPUTED_VALUE"""),"랄")</f>
        <v>랄</v>
      </c>
      <c r="L1617" s="26" t="str">
        <f>IFERROR(__xludf.DUMMYFUNCTION("""COMPUTED_VALUE"""),"간달프")</f>
        <v>간달프</v>
      </c>
      <c r="M1617" s="26" t="str">
        <f>IFERROR(__xludf.DUMMYFUNCTION("""COMPUTED_VALUE"""),"한메")</f>
        <v>한메</v>
      </c>
      <c r="N1617" s="26" t="str">
        <f>IFERROR(__xludf.DUMMYFUNCTION("ARRAYFORMULA(REGEXEXTRACT(SPLIT(E1617, ""&lt;br&gt;""), ""([가-힣A-Za-z]+)""))"),"구리다")</f>
        <v>구리다</v>
      </c>
      <c r="O1617" s="26" t="str">
        <f>IFERROR(__xludf.DUMMYFUNCTION("""COMPUTED_VALUE"""),"깡패")</f>
        <v>깡패</v>
      </c>
      <c r="P1617" s="26" t="str">
        <f>IFERROR(__xludf.DUMMYFUNCTION("""COMPUTED_VALUE"""),"ACDC")</f>
        <v>ACDC</v>
      </c>
      <c r="Q1617" s="26" t="str">
        <f>IFERROR(__xludf.DUMMYFUNCTION("""COMPUTED_VALUE"""),"미르진")</f>
        <v>미르진</v>
      </c>
      <c r="R1617" s="18"/>
      <c r="S1617" s="18"/>
      <c r="T1617" s="18"/>
      <c r="U1617" s="18"/>
      <c r="V1617" s="18"/>
      <c r="W1617" s="18"/>
      <c r="X1617" s="18"/>
      <c r="Y1617" s="18"/>
      <c r="Z1617" s="18"/>
      <c r="AA1617" s="18"/>
      <c r="AB1617" s="18"/>
    </row>
    <row r="1618">
      <c r="A1618" s="27" t="s">
        <v>6724</v>
      </c>
      <c r="B1618" s="28" t="s">
        <v>6725</v>
      </c>
      <c r="C1618" s="27" t="s">
        <v>6726</v>
      </c>
      <c r="D1618" s="27">
        <v>5.0</v>
      </c>
      <c r="E1618" s="27" t="s">
        <v>6727</v>
      </c>
      <c r="F1618" s="27">
        <v>4.0</v>
      </c>
      <c r="G1618" s="29">
        <v>45523.95972222222</v>
      </c>
      <c r="H1618" s="27" t="s">
        <v>6619</v>
      </c>
      <c r="I1618" s="18"/>
      <c r="J1618" s="25" t="str">
        <f>IFERROR(__xludf.DUMMYFUNCTION("ARRAYFORMULA(REGEXEXTRACT(SPLIT(C1618, ""&lt;br&gt;""), ""([가-힣A-Za-z]+)""))"),"아이딘")</f>
        <v>아이딘</v>
      </c>
      <c r="K1618" s="26" t="str">
        <f>IFERROR(__xludf.DUMMYFUNCTION("""COMPUTED_VALUE"""),"신형만")</f>
        <v>신형만</v>
      </c>
      <c r="L1618" s="26" t="str">
        <f>IFERROR(__xludf.DUMMYFUNCTION("""COMPUTED_VALUE"""),"ACDC")</f>
        <v>ACDC</v>
      </c>
      <c r="M1618" s="26" t="str">
        <f>IFERROR(__xludf.DUMMYFUNCTION("""COMPUTED_VALUE"""),"한메")</f>
        <v>한메</v>
      </c>
      <c r="N1618" s="26" t="str">
        <f>IFERROR(__xludf.DUMMYFUNCTION("ARRAYFORMULA(REGEXEXTRACT(SPLIT(E1618, ""&lt;br&gt;""), ""([가-힣A-Za-z]+)""))"),"구리다")</f>
        <v>구리다</v>
      </c>
      <c r="O1618" s="26" t="str">
        <f>IFERROR(__xludf.DUMMYFUNCTION("""COMPUTED_VALUE"""),"미르진")</f>
        <v>미르진</v>
      </c>
      <c r="P1618" s="26" t="str">
        <f>IFERROR(__xludf.DUMMYFUNCTION("""COMPUTED_VALUE"""),"미등록")</f>
        <v>미등록</v>
      </c>
      <c r="Q1618" s="26" t="str">
        <f>IFERROR(__xludf.DUMMYFUNCTION("""COMPUTED_VALUE"""),"랄")</f>
        <v>랄</v>
      </c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18"/>
    </row>
    <row r="1619">
      <c r="A1619" s="27" t="s">
        <v>6728</v>
      </c>
      <c r="B1619" s="28" t="s">
        <v>6729</v>
      </c>
      <c r="C1619" s="27" t="s">
        <v>6730</v>
      </c>
      <c r="D1619" s="27">
        <v>5.0</v>
      </c>
      <c r="E1619" s="27" t="s">
        <v>6731</v>
      </c>
      <c r="F1619" s="27">
        <v>2.0</v>
      </c>
      <c r="G1619" s="29">
        <v>45523.9375</v>
      </c>
      <c r="H1619" s="27" t="s">
        <v>6619</v>
      </c>
      <c r="I1619" s="18"/>
      <c r="J1619" s="25" t="str">
        <f>IFERROR(__xludf.DUMMYFUNCTION("ARRAYFORMULA(REGEXEXTRACT(SPLIT(C1619, ""&lt;br&gt;""), ""([가-힣A-Za-z]+)""))"),"아이딘")</f>
        <v>아이딘</v>
      </c>
      <c r="K1619" s="26" t="str">
        <f>IFERROR(__xludf.DUMMYFUNCTION("""COMPUTED_VALUE"""),"한메")</f>
        <v>한메</v>
      </c>
      <c r="L1619" s="26" t="str">
        <f>IFERROR(__xludf.DUMMYFUNCTION("""COMPUTED_VALUE"""),"미등록")</f>
        <v>미등록</v>
      </c>
      <c r="M1619" s="26" t="str">
        <f>IFERROR(__xludf.DUMMYFUNCTION("""COMPUTED_VALUE"""),"신형만")</f>
        <v>신형만</v>
      </c>
      <c r="N1619" s="26" t="str">
        <f>IFERROR(__xludf.DUMMYFUNCTION("ARRAYFORMULA(REGEXEXTRACT(SPLIT(E1619, ""&lt;br&gt;""), ""([가-힣A-Za-z]+)""))"),"미르진")</f>
        <v>미르진</v>
      </c>
      <c r="O1619" s="26" t="str">
        <f>IFERROR(__xludf.DUMMYFUNCTION("""COMPUTED_VALUE"""),"구리다")</f>
        <v>구리다</v>
      </c>
      <c r="P1619" s="26" t="str">
        <f>IFERROR(__xludf.DUMMYFUNCTION("""COMPUTED_VALUE"""),"ACDC")</f>
        <v>ACDC</v>
      </c>
      <c r="Q1619" s="26" t="str">
        <f>IFERROR(__xludf.DUMMYFUNCTION("""COMPUTED_VALUE"""),"랄")</f>
        <v>랄</v>
      </c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18"/>
    </row>
    <row r="1620">
      <c r="A1620" s="27" t="s">
        <v>6732</v>
      </c>
      <c r="B1620" s="28" t="s">
        <v>6733</v>
      </c>
      <c r="C1620" s="27" t="s">
        <v>6734</v>
      </c>
      <c r="D1620" s="27">
        <v>5.0</v>
      </c>
      <c r="E1620" s="27" t="s">
        <v>6735</v>
      </c>
      <c r="F1620" s="27">
        <v>2.0</v>
      </c>
      <c r="G1620" s="29">
        <v>45523.907638888886</v>
      </c>
      <c r="H1620" s="27" t="s">
        <v>6619</v>
      </c>
      <c r="I1620" s="18"/>
      <c r="J1620" s="25" t="str">
        <f>IFERROR(__xludf.DUMMYFUNCTION("ARRAYFORMULA(REGEXEXTRACT(SPLIT(C1620, ""&lt;br&gt;""), ""([가-힣A-Za-z]+)""))"),"ACDC")</f>
        <v>ACDC</v>
      </c>
      <c r="K1620" s="26" t="str">
        <f>IFERROR(__xludf.DUMMYFUNCTION("""COMPUTED_VALUE"""),"신형만")</f>
        <v>신형만</v>
      </c>
      <c r="L1620" s="26" t="str">
        <f>IFERROR(__xludf.DUMMYFUNCTION("""COMPUTED_VALUE"""),"미등록")</f>
        <v>미등록</v>
      </c>
      <c r="M1620" s="26" t="str">
        <f>IFERROR(__xludf.DUMMYFUNCTION("""COMPUTED_VALUE"""),"깡패")</f>
        <v>깡패</v>
      </c>
      <c r="N1620" s="26" t="str">
        <f>IFERROR(__xludf.DUMMYFUNCTION("ARRAYFORMULA(REGEXEXTRACT(SPLIT(E1620, ""&lt;br&gt;""), ""([가-힣A-Za-z]+)""))"),"아이딘")</f>
        <v>아이딘</v>
      </c>
      <c r="O1620" s="26" t="str">
        <f>IFERROR(__xludf.DUMMYFUNCTION("""COMPUTED_VALUE"""),"한메")</f>
        <v>한메</v>
      </c>
      <c r="P1620" s="26" t="str">
        <f>IFERROR(__xludf.DUMMYFUNCTION("""COMPUTED_VALUE"""),"구리다")</f>
        <v>구리다</v>
      </c>
      <c r="Q1620" s="26" t="str">
        <f>IFERROR(__xludf.DUMMYFUNCTION("""COMPUTED_VALUE"""),"미르진")</f>
        <v>미르진</v>
      </c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</row>
    <row r="1621">
      <c r="A1621" s="27" t="s">
        <v>6736</v>
      </c>
      <c r="B1621" s="28" t="s">
        <v>6737</v>
      </c>
      <c r="C1621" s="27" t="s">
        <v>6738</v>
      </c>
      <c r="D1621" s="27">
        <v>5.0</v>
      </c>
      <c r="E1621" s="27" t="s">
        <v>6739</v>
      </c>
      <c r="F1621" s="27">
        <v>2.0</v>
      </c>
      <c r="G1621" s="29">
        <v>45523.89097222222</v>
      </c>
      <c r="H1621" s="27" t="s">
        <v>6619</v>
      </c>
      <c r="I1621" s="18"/>
      <c r="J1621" s="25" t="str">
        <f>IFERROR(__xludf.DUMMYFUNCTION("ARRAYFORMULA(REGEXEXTRACT(SPLIT(C1621, ""&lt;br&gt;""), ""([가-힣A-Za-z]+)""))"),"신형만")</f>
        <v>신형만</v>
      </c>
      <c r="K1621" s="26" t="str">
        <f>IFERROR(__xludf.DUMMYFUNCTION("""COMPUTED_VALUE"""),"ACDC")</f>
        <v>ACDC</v>
      </c>
      <c r="L1621" s="26" t="str">
        <f>IFERROR(__xludf.DUMMYFUNCTION("""COMPUTED_VALUE"""),"미등록")</f>
        <v>미등록</v>
      </c>
      <c r="M1621" s="26" t="str">
        <f>IFERROR(__xludf.DUMMYFUNCTION("""COMPUTED_VALUE"""),"한메")</f>
        <v>한메</v>
      </c>
      <c r="N1621" s="26" t="str">
        <f>IFERROR(__xludf.DUMMYFUNCTION("ARRAYFORMULA(REGEXEXTRACT(SPLIT(E1621, ""&lt;br&gt;""), ""([가-힣A-Za-z]+)""))"),"아이딘")</f>
        <v>아이딘</v>
      </c>
      <c r="O1621" s="26" t="str">
        <f>IFERROR(__xludf.DUMMYFUNCTION("""COMPUTED_VALUE"""),"구리다")</f>
        <v>구리다</v>
      </c>
      <c r="P1621" s="26" t="str">
        <f>IFERROR(__xludf.DUMMYFUNCTION("""COMPUTED_VALUE"""),"미르진")</f>
        <v>미르진</v>
      </c>
      <c r="Q1621" s="26" t="str">
        <f>IFERROR(__xludf.DUMMYFUNCTION("""COMPUTED_VALUE"""),"깡패")</f>
        <v>깡패</v>
      </c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</row>
    <row r="1622">
      <c r="A1622" s="27" t="s">
        <v>6740</v>
      </c>
      <c r="B1622" s="28" t="s">
        <v>6741</v>
      </c>
      <c r="C1622" s="27" t="s">
        <v>6742</v>
      </c>
      <c r="D1622" s="27">
        <v>5.0</v>
      </c>
      <c r="E1622" s="27" t="s">
        <v>6743</v>
      </c>
      <c r="F1622" s="27">
        <v>4.0</v>
      </c>
      <c r="G1622" s="29">
        <v>45523.87013888889</v>
      </c>
      <c r="H1622" s="27" t="s">
        <v>6619</v>
      </c>
      <c r="I1622" s="18"/>
      <c r="J1622" s="25" t="str">
        <f>IFERROR(__xludf.DUMMYFUNCTION("ARRAYFORMULA(REGEXEXTRACT(SPLIT(C1622, ""&lt;br&gt;""), ""([가-힣A-Za-z]+)""))"),"미르진")</f>
        <v>미르진</v>
      </c>
      <c r="K1622" s="26" t="str">
        <f>IFERROR(__xludf.DUMMYFUNCTION("""COMPUTED_VALUE"""),"구리다")</f>
        <v>구리다</v>
      </c>
      <c r="L1622" s="26" t="str">
        <f>IFERROR(__xludf.DUMMYFUNCTION("""COMPUTED_VALUE"""),"한메")</f>
        <v>한메</v>
      </c>
      <c r="M1622" s="26" t="str">
        <f>IFERROR(__xludf.DUMMYFUNCTION("""COMPUTED_VALUE"""),"ACDC")</f>
        <v>ACDC</v>
      </c>
      <c r="N1622" s="26" t="str">
        <f>IFERROR(__xludf.DUMMYFUNCTION("ARRAYFORMULA(REGEXEXTRACT(SPLIT(E1622, ""&lt;br&gt;""), ""([가-힣A-Za-z]+)""))"),"깡패")</f>
        <v>깡패</v>
      </c>
      <c r="O1622" s="26" t="str">
        <f>IFERROR(__xludf.DUMMYFUNCTION("""COMPUTED_VALUE"""),"신형만")</f>
        <v>신형만</v>
      </c>
      <c r="P1622" s="26" t="str">
        <f>IFERROR(__xludf.DUMMYFUNCTION("""COMPUTED_VALUE"""),"봉구")</f>
        <v>봉구</v>
      </c>
      <c r="Q1622" s="26" t="str">
        <f>IFERROR(__xludf.DUMMYFUNCTION("""COMPUTED_VALUE"""),"강화")</f>
        <v>강화</v>
      </c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  <c r="AB1622" s="18"/>
    </row>
    <row r="1623">
      <c r="A1623" s="27" t="s">
        <v>6744</v>
      </c>
      <c r="B1623" s="28" t="s">
        <v>6745</v>
      </c>
      <c r="C1623" s="27" t="s">
        <v>6746</v>
      </c>
      <c r="D1623" s="27">
        <v>5.0</v>
      </c>
      <c r="E1623" s="27" t="s">
        <v>6747</v>
      </c>
      <c r="F1623" s="27">
        <v>4.0</v>
      </c>
      <c r="G1623" s="29">
        <v>45521.106944444444</v>
      </c>
      <c r="H1623" s="27" t="s">
        <v>6619</v>
      </c>
      <c r="I1623" s="18"/>
      <c r="J1623" s="25" t="str">
        <f>IFERROR(__xludf.DUMMYFUNCTION("ARRAYFORMULA(REGEXEXTRACT(SPLIT(C1623, ""&lt;br&gt;""), ""([가-힣A-Za-z]+)""))"),"한메")</f>
        <v>한메</v>
      </c>
      <c r="K1623" s="26" t="str">
        <f>IFERROR(__xludf.DUMMYFUNCTION("""COMPUTED_VALUE"""),"신형만")</f>
        <v>신형만</v>
      </c>
      <c r="L1623" s="26" t="str">
        <f>IFERROR(__xludf.DUMMYFUNCTION("""COMPUTED_VALUE"""),"민우")</f>
        <v>민우</v>
      </c>
      <c r="M1623" s="26" t="str">
        <f>IFERROR(__xludf.DUMMYFUNCTION("""COMPUTED_VALUE"""),"미등록")</f>
        <v>미등록</v>
      </c>
      <c r="N1623" s="26" t="str">
        <f>IFERROR(__xludf.DUMMYFUNCTION("ARRAYFORMULA(REGEXEXTRACT(SPLIT(E1623, ""&lt;br&gt;""), ""([가-힣A-Za-z]+)""))"),"깡패")</f>
        <v>깡패</v>
      </c>
      <c r="O1623" s="26" t="str">
        <f>IFERROR(__xludf.DUMMYFUNCTION("""COMPUTED_VALUE"""),"강화")</f>
        <v>강화</v>
      </c>
      <c r="P1623" s="26" t="str">
        <f>IFERROR(__xludf.DUMMYFUNCTION("""COMPUTED_VALUE"""),"미르진")</f>
        <v>미르진</v>
      </c>
      <c r="Q1623" s="26" t="str">
        <f>IFERROR(__xludf.DUMMYFUNCTION("""COMPUTED_VALUE"""),"ACDC")</f>
        <v>ACDC</v>
      </c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  <c r="AB1623" s="18"/>
    </row>
    <row r="1624">
      <c r="A1624" s="27" t="s">
        <v>6748</v>
      </c>
      <c r="B1624" s="28" t="s">
        <v>6749</v>
      </c>
      <c r="C1624" s="27" t="s">
        <v>6750</v>
      </c>
      <c r="D1624" s="27">
        <v>5.0</v>
      </c>
      <c r="E1624" s="27" t="s">
        <v>6751</v>
      </c>
      <c r="F1624" s="27">
        <v>4.0</v>
      </c>
      <c r="G1624" s="29">
        <v>45521.07638888889</v>
      </c>
      <c r="H1624" s="27" t="s">
        <v>6619</v>
      </c>
      <c r="I1624" s="18"/>
      <c r="J1624" s="25" t="str">
        <f>IFERROR(__xludf.DUMMYFUNCTION("ARRAYFORMULA(REGEXEXTRACT(SPLIT(C1624, ""&lt;br&gt;""), ""([가-힣A-Za-z]+)""))"),"ACDC")</f>
        <v>ACDC</v>
      </c>
      <c r="K1624" s="26" t="str">
        <f>IFERROR(__xludf.DUMMYFUNCTION("""COMPUTED_VALUE"""),"강화")</f>
        <v>강화</v>
      </c>
      <c r="L1624" s="26" t="str">
        <f>IFERROR(__xludf.DUMMYFUNCTION("""COMPUTED_VALUE"""),"신형만")</f>
        <v>신형만</v>
      </c>
      <c r="M1624" s="26" t="str">
        <f>IFERROR(__xludf.DUMMYFUNCTION("""COMPUTED_VALUE"""),"깡패")</f>
        <v>깡패</v>
      </c>
      <c r="N1624" s="26" t="str">
        <f>IFERROR(__xludf.DUMMYFUNCTION("ARRAYFORMULA(REGEXEXTRACT(SPLIT(E1624, ""&lt;br&gt;""), ""([가-힣A-Za-z]+)""))"),"미등록")</f>
        <v>미등록</v>
      </c>
      <c r="O1624" s="26" t="str">
        <f>IFERROR(__xludf.DUMMYFUNCTION("""COMPUTED_VALUE"""),"한메")</f>
        <v>한메</v>
      </c>
      <c r="P1624" s="26" t="str">
        <f>IFERROR(__xludf.DUMMYFUNCTION("""COMPUTED_VALUE"""),"미르진")</f>
        <v>미르진</v>
      </c>
      <c r="Q1624" s="26" t="str">
        <f>IFERROR(__xludf.DUMMYFUNCTION("""COMPUTED_VALUE"""),"민우")</f>
        <v>민우</v>
      </c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  <c r="AB1624" s="18"/>
    </row>
    <row r="1625">
      <c r="A1625" s="27" t="s">
        <v>6752</v>
      </c>
      <c r="B1625" s="28" t="s">
        <v>6753</v>
      </c>
      <c r="C1625" s="27" t="s">
        <v>6754</v>
      </c>
      <c r="D1625" s="27">
        <v>5.0</v>
      </c>
      <c r="E1625" s="27" t="s">
        <v>6755</v>
      </c>
      <c r="F1625" s="27">
        <v>2.0</v>
      </c>
      <c r="G1625" s="29">
        <v>45521.04305555556</v>
      </c>
      <c r="H1625" s="27" t="s">
        <v>6619</v>
      </c>
      <c r="I1625" s="18"/>
      <c r="J1625" s="25" t="str">
        <f>IFERROR(__xludf.DUMMYFUNCTION("ARRAYFORMULA(REGEXEXTRACT(SPLIT(C1625, ""&lt;br&gt;""), ""([가-힣A-Za-z]+)""))"),"강화")</f>
        <v>강화</v>
      </c>
      <c r="K1625" s="26" t="str">
        <f>IFERROR(__xludf.DUMMYFUNCTION("""COMPUTED_VALUE"""),"랄")</f>
        <v>랄</v>
      </c>
      <c r="L1625" s="26" t="str">
        <f>IFERROR(__xludf.DUMMYFUNCTION("""COMPUTED_VALUE"""),"제로스")</f>
        <v>제로스</v>
      </c>
      <c r="M1625" s="26" t="str">
        <f>IFERROR(__xludf.DUMMYFUNCTION("""COMPUTED_VALUE"""),"신형만")</f>
        <v>신형만</v>
      </c>
      <c r="N1625" s="26" t="str">
        <f>IFERROR(__xludf.DUMMYFUNCTION("ARRAYFORMULA(REGEXEXTRACT(SPLIT(E1625, ""&lt;br&gt;""), ""([가-힣A-Za-z]+)""))"),"미등록")</f>
        <v>미등록</v>
      </c>
      <c r="O1625" s="26" t="str">
        <f>IFERROR(__xludf.DUMMYFUNCTION("""COMPUTED_VALUE"""),"미르진")</f>
        <v>미르진</v>
      </c>
      <c r="P1625" s="26" t="str">
        <f>IFERROR(__xludf.DUMMYFUNCTION("""COMPUTED_VALUE"""),"ACDC")</f>
        <v>ACDC</v>
      </c>
      <c r="Q1625" s="26" t="str">
        <f>IFERROR(__xludf.DUMMYFUNCTION("""COMPUTED_VALUE"""),"한메")</f>
        <v>한메</v>
      </c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  <c r="AB1625" s="18"/>
    </row>
    <row r="1626">
      <c r="A1626" s="27" t="s">
        <v>6756</v>
      </c>
      <c r="B1626" s="28" t="s">
        <v>6757</v>
      </c>
      <c r="C1626" s="27" t="s">
        <v>6758</v>
      </c>
      <c r="D1626" s="27">
        <v>5.0</v>
      </c>
      <c r="E1626" s="27" t="s">
        <v>6759</v>
      </c>
      <c r="F1626" s="27">
        <v>2.0</v>
      </c>
      <c r="G1626" s="29">
        <v>45521.009722222225</v>
      </c>
      <c r="H1626" s="27" t="s">
        <v>6619</v>
      </c>
      <c r="I1626" s="18"/>
      <c r="J1626" s="25" t="str">
        <f>IFERROR(__xludf.DUMMYFUNCTION("ARRAYFORMULA(REGEXEXTRACT(SPLIT(C1626, ""&lt;br&gt;""), ""([가-힣A-Za-z]+)""))"),"미르진")</f>
        <v>미르진</v>
      </c>
      <c r="K1626" s="26" t="str">
        <f>IFERROR(__xludf.DUMMYFUNCTION("""COMPUTED_VALUE"""),"랄")</f>
        <v>랄</v>
      </c>
      <c r="L1626" s="26" t="str">
        <f>IFERROR(__xludf.DUMMYFUNCTION("""COMPUTED_VALUE"""),"재명")</f>
        <v>재명</v>
      </c>
      <c r="M1626" s="26" t="str">
        <f>IFERROR(__xludf.DUMMYFUNCTION("""COMPUTED_VALUE"""),"강화")</f>
        <v>강화</v>
      </c>
      <c r="N1626" s="26" t="str">
        <f>IFERROR(__xludf.DUMMYFUNCTION("ARRAYFORMULA(REGEXEXTRACT(SPLIT(E1626, ""&lt;br&gt;""), ""([가-힣A-Za-z]+)""))"),"제로스")</f>
        <v>제로스</v>
      </c>
      <c r="O1626" s="26" t="str">
        <f>IFERROR(__xludf.DUMMYFUNCTION("""COMPUTED_VALUE"""),"한메")</f>
        <v>한메</v>
      </c>
      <c r="P1626" s="26" t="str">
        <f>IFERROR(__xludf.DUMMYFUNCTION("""COMPUTED_VALUE"""),"ACDC")</f>
        <v>ACDC</v>
      </c>
      <c r="Q1626" s="26" t="str">
        <f>IFERROR(__xludf.DUMMYFUNCTION("""COMPUTED_VALUE"""),"미등록")</f>
        <v>미등록</v>
      </c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</row>
    <row r="1627">
      <c r="A1627" s="27" t="s">
        <v>6760</v>
      </c>
      <c r="B1627" s="28" t="s">
        <v>6761</v>
      </c>
      <c r="C1627" s="27" t="s">
        <v>6762</v>
      </c>
      <c r="D1627" s="27">
        <v>5.0</v>
      </c>
      <c r="E1627" s="27" t="s">
        <v>6763</v>
      </c>
      <c r="F1627" s="27">
        <v>0.0</v>
      </c>
      <c r="G1627" s="29">
        <v>45520.98472222222</v>
      </c>
      <c r="H1627" s="27" t="s">
        <v>6619</v>
      </c>
      <c r="I1627" s="18"/>
      <c r="J1627" s="25" t="str">
        <f>IFERROR(__xludf.DUMMYFUNCTION("ARRAYFORMULA(REGEXEXTRACT(SPLIT(C1627, ""&lt;br&gt;""), ""([가-힣A-Za-z]+)""))"),"미르진")</f>
        <v>미르진</v>
      </c>
      <c r="K1627" s="26" t="str">
        <f>IFERROR(__xludf.DUMMYFUNCTION("""COMPUTED_VALUE"""),"한메")</f>
        <v>한메</v>
      </c>
      <c r="L1627" s="26" t="str">
        <f>IFERROR(__xludf.DUMMYFUNCTION("""COMPUTED_VALUE"""),"랄")</f>
        <v>랄</v>
      </c>
      <c r="M1627" s="26" t="str">
        <f>IFERROR(__xludf.DUMMYFUNCTION("""COMPUTED_VALUE"""),"강화")</f>
        <v>강화</v>
      </c>
      <c r="N1627" s="26" t="str">
        <f>IFERROR(__xludf.DUMMYFUNCTION("ARRAYFORMULA(REGEXEXTRACT(SPLIT(E1627, ""&lt;br&gt;""), ""([가-힣A-Za-z]+)""))"),"제로스")</f>
        <v>제로스</v>
      </c>
      <c r="O1627" s="26" t="str">
        <f>IFERROR(__xludf.DUMMYFUNCTION("""COMPUTED_VALUE"""),"ACDC")</f>
        <v>ACDC</v>
      </c>
      <c r="P1627" s="26" t="str">
        <f>IFERROR(__xludf.DUMMYFUNCTION("""COMPUTED_VALUE"""),"재명")</f>
        <v>재명</v>
      </c>
      <c r="Q1627" s="26" t="str">
        <f>IFERROR(__xludf.DUMMYFUNCTION("""COMPUTED_VALUE"""),"미등록")</f>
        <v>미등록</v>
      </c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  <c r="AB1627" s="18"/>
    </row>
    <row r="1628">
      <c r="A1628" s="27" t="s">
        <v>6764</v>
      </c>
      <c r="B1628" s="28" t="s">
        <v>6765</v>
      </c>
      <c r="C1628" s="27" t="s">
        <v>6766</v>
      </c>
      <c r="D1628" s="27">
        <v>5.0</v>
      </c>
      <c r="E1628" s="27" t="s">
        <v>6767</v>
      </c>
      <c r="F1628" s="27">
        <v>2.0</v>
      </c>
      <c r="G1628" s="29">
        <v>45520.96944444445</v>
      </c>
      <c r="H1628" s="27" t="s">
        <v>6619</v>
      </c>
      <c r="I1628" s="18"/>
      <c r="J1628" s="25" t="str">
        <f>IFERROR(__xludf.DUMMYFUNCTION("ARRAYFORMULA(REGEXEXTRACT(SPLIT(C1628, ""&lt;br&gt;""), ""([가-힣A-Za-z]+)""))"),"미등록")</f>
        <v>미등록</v>
      </c>
      <c r="K1628" s="26" t="str">
        <f>IFERROR(__xludf.DUMMYFUNCTION("""COMPUTED_VALUE"""),"신형만")</f>
        <v>신형만</v>
      </c>
      <c r="L1628" s="26" t="str">
        <f>IFERROR(__xludf.DUMMYFUNCTION("""COMPUTED_VALUE"""),"강화")</f>
        <v>강화</v>
      </c>
      <c r="M1628" s="26" t="str">
        <f>IFERROR(__xludf.DUMMYFUNCTION("""COMPUTED_VALUE"""),"랄")</f>
        <v>랄</v>
      </c>
      <c r="N1628" s="26" t="str">
        <f>IFERROR(__xludf.DUMMYFUNCTION("ARRAYFORMULA(REGEXEXTRACT(SPLIT(E1628, ""&lt;br&gt;""), ""([가-힣A-Za-z]+)""))"),"한메")</f>
        <v>한메</v>
      </c>
      <c r="O1628" s="26" t="str">
        <f>IFERROR(__xludf.DUMMYFUNCTION("""COMPUTED_VALUE"""),"미르진")</f>
        <v>미르진</v>
      </c>
      <c r="P1628" s="26" t="str">
        <f>IFERROR(__xludf.DUMMYFUNCTION("""COMPUTED_VALUE"""),"제로스")</f>
        <v>제로스</v>
      </c>
      <c r="Q1628" s="26" t="str">
        <f>IFERROR(__xludf.DUMMYFUNCTION("""COMPUTED_VALUE"""),"ACDC")</f>
        <v>ACDC</v>
      </c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  <c r="AB1628" s="18"/>
    </row>
    <row r="1629">
      <c r="A1629" s="27" t="s">
        <v>6768</v>
      </c>
      <c r="B1629" s="28" t="s">
        <v>6769</v>
      </c>
      <c r="C1629" s="27" t="s">
        <v>6770</v>
      </c>
      <c r="D1629" s="27">
        <v>5.0</v>
      </c>
      <c r="E1629" s="27" t="s">
        <v>6771</v>
      </c>
      <c r="F1629" s="27">
        <v>2.0</v>
      </c>
      <c r="G1629" s="29">
        <v>45520.95277777778</v>
      </c>
      <c r="H1629" s="27" t="s">
        <v>6619</v>
      </c>
      <c r="I1629" s="18"/>
      <c r="J1629" s="25" t="str">
        <f>IFERROR(__xludf.DUMMYFUNCTION("ARRAYFORMULA(REGEXEXTRACT(SPLIT(C1629, ""&lt;br&gt;""), ""([가-힣A-Za-z]+)""))"),"미등록")</f>
        <v>미등록</v>
      </c>
      <c r="K1629" s="26" t="str">
        <f>IFERROR(__xludf.DUMMYFUNCTION("""COMPUTED_VALUE"""),"미르진")</f>
        <v>미르진</v>
      </c>
      <c r="L1629" s="26" t="str">
        <f>IFERROR(__xludf.DUMMYFUNCTION("""COMPUTED_VALUE"""),"ACDC")</f>
        <v>ACDC</v>
      </c>
      <c r="M1629" s="26" t="str">
        <f>IFERROR(__xludf.DUMMYFUNCTION("""COMPUTED_VALUE"""),"신형만")</f>
        <v>신형만</v>
      </c>
      <c r="N1629" s="26" t="str">
        <f>IFERROR(__xludf.DUMMYFUNCTION("ARRAYFORMULA(REGEXEXTRACT(SPLIT(E1629, ""&lt;br&gt;""), ""([가-힣A-Za-z]+)""))"),"제로스")</f>
        <v>제로스</v>
      </c>
      <c r="O1629" s="26" t="str">
        <f>IFERROR(__xludf.DUMMYFUNCTION("""COMPUTED_VALUE"""),"한메")</f>
        <v>한메</v>
      </c>
      <c r="P1629" s="26" t="str">
        <f>IFERROR(__xludf.DUMMYFUNCTION("""COMPUTED_VALUE"""),"강화")</f>
        <v>강화</v>
      </c>
      <c r="Q1629" s="26" t="str">
        <f>IFERROR(__xludf.DUMMYFUNCTION("""COMPUTED_VALUE"""),"랄")</f>
        <v>랄</v>
      </c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  <c r="AB1629" s="18"/>
    </row>
    <row r="1630">
      <c r="A1630" s="27" t="s">
        <v>6772</v>
      </c>
      <c r="B1630" s="28" t="s">
        <v>6773</v>
      </c>
      <c r="C1630" s="27" t="s">
        <v>6774</v>
      </c>
      <c r="D1630" s="27">
        <v>5.0</v>
      </c>
      <c r="E1630" s="27" t="s">
        <v>6775</v>
      </c>
      <c r="F1630" s="27">
        <v>1.0</v>
      </c>
      <c r="G1630" s="29">
        <v>45520.936111111114</v>
      </c>
      <c r="H1630" s="27" t="s">
        <v>6619</v>
      </c>
      <c r="I1630" s="18"/>
      <c r="J1630" s="25" t="str">
        <f>IFERROR(__xludf.DUMMYFUNCTION("ARRAYFORMULA(REGEXEXTRACT(SPLIT(C1630, ""&lt;br&gt;""), ""([가-힣A-Za-z]+)""))"),"미등록")</f>
        <v>미등록</v>
      </c>
      <c r="K1630" s="26" t="str">
        <f>IFERROR(__xludf.DUMMYFUNCTION("""COMPUTED_VALUE"""),"신형만")</f>
        <v>신형만</v>
      </c>
      <c r="L1630" s="26" t="str">
        <f>IFERROR(__xludf.DUMMYFUNCTION("""COMPUTED_VALUE"""),"한메")</f>
        <v>한메</v>
      </c>
      <c r="M1630" s="26" t="str">
        <f>IFERROR(__xludf.DUMMYFUNCTION("""COMPUTED_VALUE"""),"랄")</f>
        <v>랄</v>
      </c>
      <c r="N1630" s="26" t="str">
        <f>IFERROR(__xludf.DUMMYFUNCTION("ARRAYFORMULA(REGEXEXTRACT(SPLIT(E1630, ""&lt;br&gt;""), ""([가-힣A-Za-z]+)""))"),"강화")</f>
        <v>강화</v>
      </c>
      <c r="O1630" s="26" t="str">
        <f>IFERROR(__xludf.DUMMYFUNCTION("""COMPUTED_VALUE"""),"ACDC")</f>
        <v>ACDC</v>
      </c>
      <c r="P1630" s="26" t="str">
        <f>IFERROR(__xludf.DUMMYFUNCTION("""COMPUTED_VALUE"""),"제로스")</f>
        <v>제로스</v>
      </c>
      <c r="Q1630" s="26" t="str">
        <f>IFERROR(__xludf.DUMMYFUNCTION("""COMPUTED_VALUE"""),"미르진")</f>
        <v>미르진</v>
      </c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</row>
    <row r="1631">
      <c r="A1631" s="27" t="s">
        <v>6776</v>
      </c>
      <c r="B1631" s="28" t="s">
        <v>6777</v>
      </c>
      <c r="C1631" s="27" t="s">
        <v>6778</v>
      </c>
      <c r="D1631" s="27">
        <v>5.0</v>
      </c>
      <c r="E1631" s="27" t="s">
        <v>6779</v>
      </c>
      <c r="F1631" s="27">
        <v>2.0</v>
      </c>
      <c r="G1631" s="29">
        <v>45520.01736111111</v>
      </c>
      <c r="H1631" s="27" t="s">
        <v>6619</v>
      </c>
      <c r="I1631" s="18"/>
      <c r="J1631" s="25" t="str">
        <f>IFERROR(__xludf.DUMMYFUNCTION("ARRAYFORMULA(REGEXEXTRACT(SPLIT(C1631, ""&lt;br&gt;""), ""([가-힣A-Za-z]+)""))"),"강화")</f>
        <v>강화</v>
      </c>
      <c r="K1631" s="26" t="str">
        <f>IFERROR(__xludf.DUMMYFUNCTION("""COMPUTED_VALUE"""),"윙크")</f>
        <v>윙크</v>
      </c>
      <c r="L1631" s="26" t="str">
        <f>IFERROR(__xludf.DUMMYFUNCTION("""COMPUTED_VALUE"""),"짱구")</f>
        <v>짱구</v>
      </c>
      <c r="M1631" s="26" t="str">
        <f>IFERROR(__xludf.DUMMYFUNCTION("""COMPUTED_VALUE"""),"미등록")</f>
        <v>미등록</v>
      </c>
      <c r="N1631" s="26" t="str">
        <f>IFERROR(__xludf.DUMMYFUNCTION("ARRAYFORMULA(REGEXEXTRACT(SPLIT(E1631, ""&lt;br&gt;""), ""([가-힣A-Za-z]+)""))"),"제로스")</f>
        <v>제로스</v>
      </c>
      <c r="O1631" s="26" t="str">
        <f>IFERROR(__xludf.DUMMYFUNCTION("""COMPUTED_VALUE"""),"한메")</f>
        <v>한메</v>
      </c>
      <c r="P1631" s="26" t="str">
        <f>IFERROR(__xludf.DUMMYFUNCTION("""COMPUTED_VALUE"""),"조드")</f>
        <v>조드</v>
      </c>
      <c r="Q1631" s="26" t="str">
        <f>IFERROR(__xludf.DUMMYFUNCTION("""COMPUTED_VALUE"""),"랄")</f>
        <v>랄</v>
      </c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</row>
    <row r="1632">
      <c r="A1632" s="27" t="s">
        <v>6780</v>
      </c>
      <c r="B1632" s="28" t="s">
        <v>6781</v>
      </c>
      <c r="C1632" s="27" t="s">
        <v>6782</v>
      </c>
      <c r="D1632" s="27">
        <v>5.0</v>
      </c>
      <c r="E1632" s="27" t="s">
        <v>6783</v>
      </c>
      <c r="F1632" s="27">
        <v>4.0</v>
      </c>
      <c r="G1632" s="29">
        <v>45519.99930555555</v>
      </c>
      <c r="H1632" s="27" t="s">
        <v>6619</v>
      </c>
      <c r="I1632" s="18"/>
      <c r="J1632" s="25" t="str">
        <f>IFERROR(__xludf.DUMMYFUNCTION("ARRAYFORMULA(REGEXEXTRACT(SPLIT(C1632, ""&lt;br&gt;""), ""([가-힣A-Za-z]+)""))"),"랄")</f>
        <v>랄</v>
      </c>
      <c r="K1632" s="26" t="str">
        <f>IFERROR(__xludf.DUMMYFUNCTION("""COMPUTED_VALUE"""),"짱구")</f>
        <v>짱구</v>
      </c>
      <c r="L1632" s="26" t="str">
        <f>IFERROR(__xludf.DUMMYFUNCTION("""COMPUTED_VALUE"""),"제로스")</f>
        <v>제로스</v>
      </c>
      <c r="M1632" s="26" t="str">
        <f>IFERROR(__xludf.DUMMYFUNCTION("""COMPUTED_VALUE"""),"한메")</f>
        <v>한메</v>
      </c>
      <c r="N1632" s="26" t="str">
        <f>IFERROR(__xludf.DUMMYFUNCTION("ARRAYFORMULA(REGEXEXTRACT(SPLIT(E1632, ""&lt;br&gt;""), ""([가-힣A-Za-z]+)""))"),"키키")</f>
        <v>키키</v>
      </c>
      <c r="O1632" s="26" t="str">
        <f>IFERROR(__xludf.DUMMYFUNCTION("""COMPUTED_VALUE"""),"조드")</f>
        <v>조드</v>
      </c>
      <c r="P1632" s="26" t="str">
        <f>IFERROR(__xludf.DUMMYFUNCTION("""COMPUTED_VALUE"""),"강화")</f>
        <v>강화</v>
      </c>
      <c r="Q1632" s="26" t="str">
        <f>IFERROR(__xludf.DUMMYFUNCTION("""COMPUTED_VALUE"""),"미등록")</f>
        <v>미등록</v>
      </c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  <c r="AB1632" s="18"/>
    </row>
    <row r="1633">
      <c r="A1633" s="27" t="s">
        <v>6784</v>
      </c>
      <c r="B1633" s="28" t="s">
        <v>6785</v>
      </c>
      <c r="C1633" s="27" t="s">
        <v>6786</v>
      </c>
      <c r="D1633" s="27">
        <v>5.0</v>
      </c>
      <c r="E1633" s="27" t="s">
        <v>6787</v>
      </c>
      <c r="F1633" s="27">
        <v>1.0</v>
      </c>
      <c r="G1633" s="29">
        <v>45519.96805555555</v>
      </c>
      <c r="H1633" s="27" t="s">
        <v>6619</v>
      </c>
      <c r="I1633" s="18"/>
      <c r="J1633" s="25" t="str">
        <f>IFERROR(__xludf.DUMMYFUNCTION("ARRAYFORMULA(REGEXEXTRACT(SPLIT(C1633, ""&lt;br&gt;""), ""([가-힣A-Za-z]+)""))"),"강화")</f>
        <v>강화</v>
      </c>
      <c r="K1633" s="26" t="str">
        <f>IFERROR(__xludf.DUMMYFUNCTION("""COMPUTED_VALUE"""),"조심")</f>
        <v>조심</v>
      </c>
      <c r="L1633" s="26" t="str">
        <f>IFERROR(__xludf.DUMMYFUNCTION("""COMPUTED_VALUE"""),"한메")</f>
        <v>한메</v>
      </c>
      <c r="M1633" s="26" t="str">
        <f>IFERROR(__xludf.DUMMYFUNCTION("""COMPUTED_VALUE"""),"조드")</f>
        <v>조드</v>
      </c>
      <c r="N1633" s="26" t="str">
        <f>IFERROR(__xludf.DUMMYFUNCTION("ARRAYFORMULA(REGEXEXTRACT(SPLIT(E1633, ""&lt;br&gt;""), ""([가-힣A-Za-z]+)""))"),"ACDC")</f>
        <v>ACDC</v>
      </c>
      <c r="O1633" s="26" t="str">
        <f>IFERROR(__xludf.DUMMYFUNCTION("""COMPUTED_VALUE"""),"랄")</f>
        <v>랄</v>
      </c>
      <c r="P1633" s="26" t="str">
        <f>IFERROR(__xludf.DUMMYFUNCTION("""COMPUTED_VALUE"""),"키키")</f>
        <v>키키</v>
      </c>
      <c r="Q1633" s="26" t="str">
        <f>IFERROR(__xludf.DUMMYFUNCTION("""COMPUTED_VALUE"""),"깡패")</f>
        <v>깡패</v>
      </c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  <c r="AB1633" s="18"/>
    </row>
    <row r="1634">
      <c r="A1634" s="27" t="s">
        <v>6788</v>
      </c>
      <c r="B1634" s="28" t="s">
        <v>6789</v>
      </c>
      <c r="C1634" s="27" t="s">
        <v>6790</v>
      </c>
      <c r="D1634" s="27">
        <v>5.0</v>
      </c>
      <c r="E1634" s="27" t="s">
        <v>6791</v>
      </c>
      <c r="F1634" s="27">
        <v>3.0</v>
      </c>
      <c r="G1634" s="29">
        <v>45519.950694444444</v>
      </c>
      <c r="H1634" s="27" t="s">
        <v>6619</v>
      </c>
      <c r="I1634" s="18"/>
      <c r="J1634" s="25" t="str">
        <f>IFERROR(__xludf.DUMMYFUNCTION("ARRAYFORMULA(REGEXEXTRACT(SPLIT(C1634, ""&lt;br&gt;""), ""([가-힣A-Za-z]+)""))"),"키키")</f>
        <v>키키</v>
      </c>
      <c r="K1634" s="26" t="str">
        <f>IFERROR(__xludf.DUMMYFUNCTION("""COMPUTED_VALUE"""),"강화")</f>
        <v>강화</v>
      </c>
      <c r="L1634" s="26" t="str">
        <f>IFERROR(__xludf.DUMMYFUNCTION("""COMPUTED_VALUE"""),"한메")</f>
        <v>한메</v>
      </c>
      <c r="M1634" s="26" t="str">
        <f>IFERROR(__xludf.DUMMYFUNCTION("""COMPUTED_VALUE"""),"조드")</f>
        <v>조드</v>
      </c>
      <c r="N1634" s="26" t="str">
        <f>IFERROR(__xludf.DUMMYFUNCTION("ARRAYFORMULA(REGEXEXTRACT(SPLIT(E1634, ""&lt;br&gt;""), ""([가-힣A-Za-z]+)""))"),"미르진")</f>
        <v>미르진</v>
      </c>
      <c r="O1634" s="26" t="str">
        <f>IFERROR(__xludf.DUMMYFUNCTION("""COMPUTED_VALUE"""),"조심")</f>
        <v>조심</v>
      </c>
      <c r="P1634" s="26" t="str">
        <f>IFERROR(__xludf.DUMMYFUNCTION("""COMPUTED_VALUE"""),"ACDC")</f>
        <v>ACDC</v>
      </c>
      <c r="Q1634" s="26" t="str">
        <f>IFERROR(__xludf.DUMMYFUNCTION("""COMPUTED_VALUE"""),"깡패")</f>
        <v>깡패</v>
      </c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  <c r="AB1634" s="18"/>
    </row>
    <row r="1635">
      <c r="A1635" s="27" t="s">
        <v>6792</v>
      </c>
      <c r="B1635" s="28" t="s">
        <v>6793</v>
      </c>
      <c r="C1635" s="27" t="s">
        <v>6794</v>
      </c>
      <c r="D1635" s="27">
        <v>5.0</v>
      </c>
      <c r="E1635" s="27" t="s">
        <v>6795</v>
      </c>
      <c r="F1635" s="27">
        <v>3.0</v>
      </c>
      <c r="G1635" s="29">
        <v>45519.01111111111</v>
      </c>
      <c r="H1635" s="27" t="s">
        <v>6619</v>
      </c>
      <c r="I1635" s="18"/>
      <c r="J1635" s="25" t="str">
        <f>IFERROR(__xludf.DUMMYFUNCTION("ARRAYFORMULA(REGEXEXTRACT(SPLIT(C1635, ""&lt;br&gt;""), ""([가-힣A-Za-z]+)""))"),"조심")</f>
        <v>조심</v>
      </c>
      <c r="K1635" s="26" t="str">
        <f>IFERROR(__xludf.DUMMYFUNCTION("""COMPUTED_VALUE"""),"깡패")</f>
        <v>깡패</v>
      </c>
      <c r="L1635" s="26" t="str">
        <f>IFERROR(__xludf.DUMMYFUNCTION("""COMPUTED_VALUE"""),"아이딘")</f>
        <v>아이딘</v>
      </c>
      <c r="M1635" s="26" t="str">
        <f>IFERROR(__xludf.DUMMYFUNCTION("""COMPUTED_VALUE"""),"신형만")</f>
        <v>신형만</v>
      </c>
      <c r="N1635" s="26" t="str">
        <f>IFERROR(__xludf.DUMMYFUNCTION("ARRAYFORMULA(REGEXEXTRACT(SPLIT(E1635, ""&lt;br&gt;""), ""([가-힣A-Za-z]+)""))"),"재명")</f>
        <v>재명</v>
      </c>
      <c r="O1635" s="26" t="str">
        <f>IFERROR(__xludf.DUMMYFUNCTION("""COMPUTED_VALUE"""),"조드")</f>
        <v>조드</v>
      </c>
      <c r="P1635" s="26" t="str">
        <f>IFERROR(__xludf.DUMMYFUNCTION("""COMPUTED_VALUE"""),"미르진")</f>
        <v>미르진</v>
      </c>
      <c r="Q1635" s="26" t="str">
        <f>IFERROR(__xludf.DUMMYFUNCTION("""COMPUTED_VALUE"""),"ACDC")</f>
        <v>ACDC</v>
      </c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  <c r="AB1635" s="18"/>
    </row>
    <row r="1636">
      <c r="A1636" s="27" t="s">
        <v>6796</v>
      </c>
      <c r="B1636" s="28" t="s">
        <v>6797</v>
      </c>
      <c r="C1636" s="27" t="s">
        <v>6798</v>
      </c>
      <c r="D1636" s="27">
        <v>5.0</v>
      </c>
      <c r="E1636" s="27" t="s">
        <v>6799</v>
      </c>
      <c r="F1636" s="27">
        <v>4.0</v>
      </c>
      <c r="G1636" s="29">
        <v>45518.98333333333</v>
      </c>
      <c r="H1636" s="27" t="s">
        <v>6619</v>
      </c>
      <c r="I1636" s="18"/>
      <c r="J1636" s="25" t="str">
        <f>IFERROR(__xludf.DUMMYFUNCTION("ARRAYFORMULA(REGEXEXTRACT(SPLIT(C1636, ""&lt;br&gt;""), ""([가-힣A-Za-z]+)""))"),"신형만")</f>
        <v>신형만</v>
      </c>
      <c r="K1636" s="26" t="str">
        <f>IFERROR(__xludf.DUMMYFUNCTION("""COMPUTED_VALUE"""),"ACDC")</f>
        <v>ACDC</v>
      </c>
      <c r="L1636" s="26" t="str">
        <f>IFERROR(__xludf.DUMMYFUNCTION("""COMPUTED_VALUE"""),"재명")</f>
        <v>재명</v>
      </c>
      <c r="M1636" s="26" t="str">
        <f>IFERROR(__xludf.DUMMYFUNCTION("""COMPUTED_VALUE"""),"미르진")</f>
        <v>미르진</v>
      </c>
      <c r="N1636" s="26" t="str">
        <f>IFERROR(__xludf.DUMMYFUNCTION("ARRAYFORMULA(REGEXEXTRACT(SPLIT(E1636, ""&lt;br&gt;""), ""([가-힣A-Za-z]+)""))"),"아이딘")</f>
        <v>아이딘</v>
      </c>
      <c r="O1636" s="26" t="str">
        <f>IFERROR(__xludf.DUMMYFUNCTION("""COMPUTED_VALUE"""),"조심")</f>
        <v>조심</v>
      </c>
      <c r="P1636" s="26" t="str">
        <f>IFERROR(__xludf.DUMMYFUNCTION("""COMPUTED_VALUE"""),"조드")</f>
        <v>조드</v>
      </c>
      <c r="Q1636" s="26" t="str">
        <f>IFERROR(__xludf.DUMMYFUNCTION("""COMPUTED_VALUE"""),"깡패")</f>
        <v>깡패</v>
      </c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</row>
    <row r="1637">
      <c r="A1637" s="27" t="s">
        <v>6800</v>
      </c>
      <c r="B1637" s="28" t="s">
        <v>6801</v>
      </c>
      <c r="C1637" s="27" t="s">
        <v>6802</v>
      </c>
      <c r="D1637" s="27">
        <v>5.0</v>
      </c>
      <c r="E1637" s="27" t="s">
        <v>6803</v>
      </c>
      <c r="F1637" s="27">
        <v>4.0</v>
      </c>
      <c r="G1637" s="29">
        <v>45518.941666666666</v>
      </c>
      <c r="H1637" s="27" t="s">
        <v>6619</v>
      </c>
      <c r="I1637" s="18"/>
      <c r="J1637" s="25" t="str">
        <f>IFERROR(__xludf.DUMMYFUNCTION("ARRAYFORMULA(REGEXEXTRACT(SPLIT(C1637, ""&lt;br&gt;""), ""([가-힣A-Za-z]+)""))"),"깡패")</f>
        <v>깡패</v>
      </c>
      <c r="K1637" s="26" t="str">
        <f>IFERROR(__xludf.DUMMYFUNCTION("""COMPUTED_VALUE"""),"ACDC")</f>
        <v>ACDC</v>
      </c>
      <c r="L1637" s="26" t="str">
        <f>IFERROR(__xludf.DUMMYFUNCTION("""COMPUTED_VALUE"""),"신형만")</f>
        <v>신형만</v>
      </c>
      <c r="M1637" s="26" t="str">
        <f>IFERROR(__xludf.DUMMYFUNCTION("""COMPUTED_VALUE"""),"조드")</f>
        <v>조드</v>
      </c>
      <c r="N1637" s="26" t="str">
        <f>IFERROR(__xludf.DUMMYFUNCTION("ARRAYFORMULA(REGEXEXTRACT(SPLIT(E1637, ""&lt;br&gt;""), ""([가-힣A-Za-z]+)""))"),"랄")</f>
        <v>랄</v>
      </c>
      <c r="O1637" s="26" t="str">
        <f>IFERROR(__xludf.DUMMYFUNCTION("""COMPUTED_VALUE"""),"미르진")</f>
        <v>미르진</v>
      </c>
      <c r="P1637" s="26" t="str">
        <f>IFERROR(__xludf.DUMMYFUNCTION("""COMPUTED_VALUE"""),"아이딘")</f>
        <v>아이딘</v>
      </c>
      <c r="Q1637" s="26" t="str">
        <f>IFERROR(__xludf.DUMMYFUNCTION("""COMPUTED_VALUE"""),"조심")</f>
        <v>조심</v>
      </c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  <c r="AB1637" s="18"/>
    </row>
    <row r="1638">
      <c r="A1638" s="27" t="s">
        <v>6804</v>
      </c>
      <c r="B1638" s="28" t="s">
        <v>6805</v>
      </c>
      <c r="C1638" s="27" t="s">
        <v>6806</v>
      </c>
      <c r="D1638" s="27">
        <v>5.0</v>
      </c>
      <c r="E1638" s="27" t="s">
        <v>6807</v>
      </c>
      <c r="F1638" s="27">
        <v>1.0</v>
      </c>
      <c r="G1638" s="29">
        <v>45518.91527777778</v>
      </c>
      <c r="H1638" s="27" t="s">
        <v>6619</v>
      </c>
      <c r="I1638" s="18"/>
      <c r="J1638" s="25" t="str">
        <f>IFERROR(__xludf.DUMMYFUNCTION("ARRAYFORMULA(REGEXEXTRACT(SPLIT(C1638, ""&lt;br&gt;""), ""([가-힣A-Za-z]+)""))"),"신형만")</f>
        <v>신형만</v>
      </c>
      <c r="K1638" s="26" t="str">
        <f>IFERROR(__xludf.DUMMYFUNCTION("""COMPUTED_VALUE"""),"조심")</f>
        <v>조심</v>
      </c>
      <c r="L1638" s="26" t="str">
        <f>IFERROR(__xludf.DUMMYFUNCTION("""COMPUTED_VALUE"""),"아이딘")</f>
        <v>아이딘</v>
      </c>
      <c r="M1638" s="26" t="str">
        <f>IFERROR(__xludf.DUMMYFUNCTION("""COMPUTED_VALUE"""),"랄")</f>
        <v>랄</v>
      </c>
      <c r="N1638" s="26" t="str">
        <f>IFERROR(__xludf.DUMMYFUNCTION("ARRAYFORMULA(REGEXEXTRACT(SPLIT(E1638, ""&lt;br&gt;""), ""([가-힣A-Za-z]+)""))"),"깡패")</f>
        <v>깡패</v>
      </c>
      <c r="O1638" s="26" t="str">
        <f>IFERROR(__xludf.DUMMYFUNCTION("""COMPUTED_VALUE"""),"조드")</f>
        <v>조드</v>
      </c>
      <c r="P1638" s="26" t="str">
        <f>IFERROR(__xludf.DUMMYFUNCTION("""COMPUTED_VALUE"""),"ACDC")</f>
        <v>ACDC</v>
      </c>
      <c r="Q1638" s="26" t="str">
        <f>IFERROR(__xludf.DUMMYFUNCTION("""COMPUTED_VALUE"""),"미르진")</f>
        <v>미르진</v>
      </c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  <c r="AB1638" s="18"/>
    </row>
    <row r="1639">
      <c r="A1639" s="27" t="s">
        <v>6808</v>
      </c>
      <c r="B1639" s="28" t="s">
        <v>6809</v>
      </c>
      <c r="C1639" s="27" t="s">
        <v>6810</v>
      </c>
      <c r="D1639" s="27">
        <v>5.0</v>
      </c>
      <c r="E1639" s="27" t="s">
        <v>6811</v>
      </c>
      <c r="F1639" s="27">
        <v>1.0</v>
      </c>
      <c r="G1639" s="29">
        <v>45514.07013888889</v>
      </c>
      <c r="H1639" s="27" t="s">
        <v>6619</v>
      </c>
      <c r="I1639" s="18"/>
      <c r="J1639" s="25" t="str">
        <f>IFERROR(__xludf.DUMMYFUNCTION("ARRAYFORMULA(REGEXEXTRACT(SPLIT(C1639, ""&lt;br&gt;""), ""([가-힣A-Za-z]+)""))"),"조심")</f>
        <v>조심</v>
      </c>
      <c r="K1639" s="26" t="str">
        <f>IFERROR(__xludf.DUMMYFUNCTION("""COMPUTED_VALUE"""),"신형만")</f>
        <v>신형만</v>
      </c>
      <c r="L1639" s="26" t="str">
        <f>IFERROR(__xludf.DUMMYFUNCTION("""COMPUTED_VALUE"""),"재규어")</f>
        <v>재규어</v>
      </c>
      <c r="M1639" s="26" t="str">
        <f>IFERROR(__xludf.DUMMYFUNCTION("""COMPUTED_VALUE"""),"조드")</f>
        <v>조드</v>
      </c>
      <c r="N1639" s="26" t="str">
        <f>IFERROR(__xludf.DUMMYFUNCTION("ARRAYFORMULA(REGEXEXTRACT(SPLIT(E1639, ""&lt;br&gt;""), ""([가-힣A-Za-z]+)""))"),"미등록")</f>
        <v>미등록</v>
      </c>
      <c r="O1639" s="26" t="str">
        <f>IFERROR(__xludf.DUMMYFUNCTION("""COMPUTED_VALUE"""),"깡패")</f>
        <v>깡패</v>
      </c>
      <c r="P1639" s="26" t="str">
        <f>IFERROR(__xludf.DUMMYFUNCTION("""COMPUTED_VALUE"""),"ACDC")</f>
        <v>ACDC</v>
      </c>
      <c r="Q1639" s="26" t="str">
        <f>IFERROR(__xludf.DUMMYFUNCTION("""COMPUTED_VALUE"""),"짱구")</f>
        <v>짱구</v>
      </c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  <c r="AB1639" s="18"/>
    </row>
    <row r="1640">
      <c r="A1640" s="27" t="s">
        <v>6812</v>
      </c>
      <c r="B1640" s="28" t="s">
        <v>6813</v>
      </c>
      <c r="C1640" s="27" t="s">
        <v>6814</v>
      </c>
      <c r="D1640" s="27">
        <v>5.0</v>
      </c>
      <c r="E1640" s="27" t="s">
        <v>6815</v>
      </c>
      <c r="F1640" s="27">
        <v>2.0</v>
      </c>
      <c r="G1640" s="29">
        <v>45514.05694444444</v>
      </c>
      <c r="H1640" s="27" t="s">
        <v>6619</v>
      </c>
      <c r="I1640" s="18"/>
      <c r="J1640" s="25" t="str">
        <f>IFERROR(__xludf.DUMMYFUNCTION("ARRAYFORMULA(REGEXEXTRACT(SPLIT(C1640, ""&lt;br&gt;""), ""([가-힣A-Za-z]+)""))"),"미등록")</f>
        <v>미등록</v>
      </c>
      <c r="K1640" s="26" t="str">
        <f>IFERROR(__xludf.DUMMYFUNCTION("""COMPUTED_VALUE"""),"조심")</f>
        <v>조심</v>
      </c>
      <c r="L1640" s="26" t="str">
        <f>IFERROR(__xludf.DUMMYFUNCTION("""COMPUTED_VALUE"""),"조드")</f>
        <v>조드</v>
      </c>
      <c r="M1640" s="26" t="str">
        <f>IFERROR(__xludf.DUMMYFUNCTION("""COMPUTED_VALUE"""),"깡패")</f>
        <v>깡패</v>
      </c>
      <c r="N1640" s="26" t="str">
        <f>IFERROR(__xludf.DUMMYFUNCTION("ARRAYFORMULA(REGEXEXTRACT(SPLIT(E1640, ""&lt;br&gt;""), ""([가-힣A-Za-z]+)""))"),"짱구")</f>
        <v>짱구</v>
      </c>
      <c r="O1640" s="26" t="str">
        <f>IFERROR(__xludf.DUMMYFUNCTION("""COMPUTED_VALUE"""),"ACDC")</f>
        <v>ACDC</v>
      </c>
      <c r="P1640" s="26" t="str">
        <f>IFERROR(__xludf.DUMMYFUNCTION("""COMPUTED_VALUE"""),"재규어")</f>
        <v>재규어</v>
      </c>
      <c r="Q1640" s="26" t="str">
        <f>IFERROR(__xludf.DUMMYFUNCTION("""COMPUTED_VALUE"""),"신형만")</f>
        <v>신형만</v>
      </c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</row>
    <row r="1641">
      <c r="A1641" s="27" t="s">
        <v>6816</v>
      </c>
      <c r="B1641" s="28" t="s">
        <v>6817</v>
      </c>
      <c r="C1641" s="27" t="s">
        <v>6818</v>
      </c>
      <c r="D1641" s="27">
        <v>5.0</v>
      </c>
      <c r="E1641" s="27" t="s">
        <v>6819</v>
      </c>
      <c r="F1641" s="27">
        <v>4.0</v>
      </c>
      <c r="G1641" s="29">
        <v>45514.03472222222</v>
      </c>
      <c r="H1641" s="27" t="s">
        <v>6619</v>
      </c>
      <c r="I1641" s="18"/>
      <c r="J1641" s="25" t="str">
        <f>IFERROR(__xludf.DUMMYFUNCTION("ARRAYFORMULA(REGEXEXTRACT(SPLIT(C1641, ""&lt;br&gt;""), ""([가-힣A-Za-z]+)""))"),"신형만")</f>
        <v>신형만</v>
      </c>
      <c r="K1641" s="26" t="str">
        <f>IFERROR(__xludf.DUMMYFUNCTION("""COMPUTED_VALUE"""),"구리다")</f>
        <v>구리다</v>
      </c>
      <c r="L1641" s="26" t="str">
        <f>IFERROR(__xludf.DUMMYFUNCTION("""COMPUTED_VALUE"""),"재규어")</f>
        <v>재규어</v>
      </c>
      <c r="M1641" s="26" t="str">
        <f>IFERROR(__xludf.DUMMYFUNCTION("""COMPUTED_VALUE"""),"깡패")</f>
        <v>깡패</v>
      </c>
      <c r="N1641" s="26" t="str">
        <f>IFERROR(__xludf.DUMMYFUNCTION("ARRAYFORMULA(REGEXEXTRACT(SPLIT(E1641, ""&lt;br&gt;""), ""([가-힣A-Za-z]+)""))"),"재명")</f>
        <v>재명</v>
      </c>
      <c r="O1641" s="26" t="str">
        <f>IFERROR(__xludf.DUMMYFUNCTION("""COMPUTED_VALUE"""),"ACDC")</f>
        <v>ACDC</v>
      </c>
      <c r="P1641" s="26" t="str">
        <f>IFERROR(__xludf.DUMMYFUNCTION("""COMPUTED_VALUE"""),"강화")</f>
        <v>강화</v>
      </c>
      <c r="Q1641" s="26" t="str">
        <f>IFERROR(__xludf.DUMMYFUNCTION("""COMPUTED_VALUE"""),"한메")</f>
        <v>한메</v>
      </c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</row>
    <row r="1642">
      <c r="A1642" s="27" t="s">
        <v>6820</v>
      </c>
      <c r="B1642" s="28" t="s">
        <v>6821</v>
      </c>
      <c r="C1642" s="27" t="s">
        <v>6822</v>
      </c>
      <c r="D1642" s="27">
        <v>5.0</v>
      </c>
      <c r="E1642" s="27" t="s">
        <v>6823</v>
      </c>
      <c r="F1642" s="27">
        <v>3.0</v>
      </c>
      <c r="G1642" s="29">
        <v>45514.006944444445</v>
      </c>
      <c r="H1642" s="27" t="s">
        <v>6619</v>
      </c>
      <c r="I1642" s="18"/>
      <c r="J1642" s="25" t="str">
        <f>IFERROR(__xludf.DUMMYFUNCTION("ARRAYFORMULA(REGEXEXTRACT(SPLIT(C1642, ""&lt;br&gt;""), ""([가-힣A-Za-z]+)""))"),"신형만")</f>
        <v>신형만</v>
      </c>
      <c r="K1642" s="26" t="str">
        <f>IFERROR(__xludf.DUMMYFUNCTION("""COMPUTED_VALUE"""),"ACDC")</f>
        <v>ACDC</v>
      </c>
      <c r="L1642" s="26" t="str">
        <f>IFERROR(__xludf.DUMMYFUNCTION("""COMPUTED_VALUE"""),"재규어")</f>
        <v>재규어</v>
      </c>
      <c r="M1642" s="26" t="str">
        <f>IFERROR(__xludf.DUMMYFUNCTION("""COMPUTED_VALUE"""),"깡패")</f>
        <v>깡패</v>
      </c>
      <c r="N1642" s="26" t="str">
        <f>IFERROR(__xludf.DUMMYFUNCTION("ARRAYFORMULA(REGEXEXTRACT(SPLIT(E1642, ""&lt;br&gt;""), ""([가-힣A-Za-z]+)""))"),"구리다")</f>
        <v>구리다</v>
      </c>
      <c r="O1642" s="26" t="str">
        <f>IFERROR(__xludf.DUMMYFUNCTION("""COMPUTED_VALUE"""),"강화")</f>
        <v>강화</v>
      </c>
      <c r="P1642" s="26" t="str">
        <f>IFERROR(__xludf.DUMMYFUNCTION("""COMPUTED_VALUE"""),"재명")</f>
        <v>재명</v>
      </c>
      <c r="Q1642" s="26" t="str">
        <f>IFERROR(__xludf.DUMMYFUNCTION("""COMPUTED_VALUE"""),"한메")</f>
        <v>한메</v>
      </c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  <c r="AB1642" s="18"/>
    </row>
    <row r="1643">
      <c r="A1643" s="27" t="s">
        <v>6824</v>
      </c>
      <c r="B1643" s="28" t="s">
        <v>6825</v>
      </c>
      <c r="C1643" s="27" t="s">
        <v>6826</v>
      </c>
      <c r="D1643" s="27">
        <v>5.0</v>
      </c>
      <c r="E1643" s="27" t="s">
        <v>6827</v>
      </c>
      <c r="F1643" s="27">
        <v>1.0</v>
      </c>
      <c r="G1643" s="29">
        <v>45513.978472222225</v>
      </c>
      <c r="H1643" s="27" t="s">
        <v>6619</v>
      </c>
      <c r="I1643" s="18"/>
      <c r="J1643" s="25" t="str">
        <f>IFERROR(__xludf.DUMMYFUNCTION("ARRAYFORMULA(REGEXEXTRACT(SPLIT(C1643, ""&lt;br&gt;""), ""([가-힣A-Za-z]+)""))"),"강화")</f>
        <v>강화</v>
      </c>
      <c r="K1643" s="26" t="str">
        <f>IFERROR(__xludf.DUMMYFUNCTION("""COMPUTED_VALUE"""),"깡패")</f>
        <v>깡패</v>
      </c>
      <c r="L1643" s="26" t="str">
        <f>IFERROR(__xludf.DUMMYFUNCTION("""COMPUTED_VALUE"""),"미르진")</f>
        <v>미르진</v>
      </c>
      <c r="M1643" s="26" t="str">
        <f>IFERROR(__xludf.DUMMYFUNCTION("""COMPUTED_VALUE"""),"신형만")</f>
        <v>신형만</v>
      </c>
      <c r="N1643" s="26" t="str">
        <f>IFERROR(__xludf.DUMMYFUNCTION("ARRAYFORMULA(REGEXEXTRACT(SPLIT(E1643, ""&lt;br&gt;""), ""([가-힣A-Za-z]+)""))"),"ACDC")</f>
        <v>ACDC</v>
      </c>
      <c r="O1643" s="26" t="str">
        <f>IFERROR(__xludf.DUMMYFUNCTION("""COMPUTED_VALUE"""),"재명")</f>
        <v>재명</v>
      </c>
      <c r="P1643" s="26" t="str">
        <f>IFERROR(__xludf.DUMMYFUNCTION("""COMPUTED_VALUE"""),"구리다")</f>
        <v>구리다</v>
      </c>
      <c r="Q1643" s="26" t="str">
        <f>IFERROR(__xludf.DUMMYFUNCTION("""COMPUTED_VALUE"""),"한메")</f>
        <v>한메</v>
      </c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  <c r="AB1643" s="18"/>
    </row>
    <row r="1644">
      <c r="A1644" s="27" t="s">
        <v>6828</v>
      </c>
      <c r="B1644" s="28" t="s">
        <v>6829</v>
      </c>
      <c r="C1644" s="27" t="s">
        <v>6830</v>
      </c>
      <c r="D1644" s="27">
        <v>5.0</v>
      </c>
      <c r="E1644" s="27" t="s">
        <v>6831</v>
      </c>
      <c r="F1644" s="27">
        <v>3.0</v>
      </c>
      <c r="G1644" s="29">
        <v>45513.95763888889</v>
      </c>
      <c r="H1644" s="27" t="s">
        <v>6619</v>
      </c>
      <c r="I1644" s="18"/>
      <c r="J1644" s="25" t="str">
        <f>IFERROR(__xludf.DUMMYFUNCTION("ARRAYFORMULA(REGEXEXTRACT(SPLIT(C1644, ""&lt;br&gt;""), ""([가-힣A-Za-z]+)""))"),"강화")</f>
        <v>강화</v>
      </c>
      <c r="K1644" s="26" t="str">
        <f>IFERROR(__xludf.DUMMYFUNCTION("""COMPUTED_VALUE"""),"미르진")</f>
        <v>미르진</v>
      </c>
      <c r="L1644" s="26" t="str">
        <f>IFERROR(__xludf.DUMMYFUNCTION("""COMPUTED_VALUE"""),"ACDC")</f>
        <v>ACDC</v>
      </c>
      <c r="M1644" s="26" t="str">
        <f>IFERROR(__xludf.DUMMYFUNCTION("""COMPUTED_VALUE"""),"신형만")</f>
        <v>신형만</v>
      </c>
      <c r="N1644" s="26" t="str">
        <f>IFERROR(__xludf.DUMMYFUNCTION("ARRAYFORMULA(REGEXEXTRACT(SPLIT(E1644, ""&lt;br&gt;""), ""([가-힣A-Za-z]+)""))"),"깡패")</f>
        <v>깡패</v>
      </c>
      <c r="O1644" s="26" t="str">
        <f>IFERROR(__xludf.DUMMYFUNCTION("""COMPUTED_VALUE"""),"구리다")</f>
        <v>구리다</v>
      </c>
      <c r="P1644" s="26" t="str">
        <f>IFERROR(__xludf.DUMMYFUNCTION("""COMPUTED_VALUE"""),"재명")</f>
        <v>재명</v>
      </c>
      <c r="Q1644" s="26" t="str">
        <f>IFERROR(__xludf.DUMMYFUNCTION("""COMPUTED_VALUE"""),"한메")</f>
        <v>한메</v>
      </c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  <c r="AB1644" s="18"/>
    </row>
    <row r="1645">
      <c r="A1645" s="27" t="s">
        <v>6832</v>
      </c>
      <c r="B1645" s="28" t="s">
        <v>6833</v>
      </c>
      <c r="C1645" s="27" t="s">
        <v>6834</v>
      </c>
      <c r="D1645" s="27">
        <v>5.0</v>
      </c>
      <c r="E1645" s="27" t="s">
        <v>6835</v>
      </c>
      <c r="F1645" s="27">
        <v>3.0</v>
      </c>
      <c r="G1645" s="29">
        <v>45513.9375</v>
      </c>
      <c r="H1645" s="27" t="s">
        <v>6619</v>
      </c>
      <c r="I1645" s="18"/>
      <c r="J1645" s="25" t="str">
        <f>IFERROR(__xludf.DUMMYFUNCTION("ARRAYFORMULA(REGEXEXTRACT(SPLIT(C1645, ""&lt;br&gt;""), ""([가-힣A-Za-z]+)""))"),"구리다")</f>
        <v>구리다</v>
      </c>
      <c r="K1645" s="26" t="str">
        <f>IFERROR(__xludf.DUMMYFUNCTION("""COMPUTED_VALUE"""),"신형만")</f>
        <v>신형만</v>
      </c>
      <c r="L1645" s="26" t="str">
        <f>IFERROR(__xludf.DUMMYFUNCTION("""COMPUTED_VALUE"""),"재명")</f>
        <v>재명</v>
      </c>
      <c r="M1645" s="26" t="str">
        <f>IFERROR(__xludf.DUMMYFUNCTION("""COMPUTED_VALUE"""),"강화")</f>
        <v>강화</v>
      </c>
      <c r="N1645" s="26" t="str">
        <f>IFERROR(__xludf.DUMMYFUNCTION("ARRAYFORMULA(REGEXEXTRACT(SPLIT(E1645, ""&lt;br&gt;""), ""([가-힣A-Za-z]+)""))"),"아이딘")</f>
        <v>아이딘</v>
      </c>
      <c r="O1645" s="26" t="str">
        <f>IFERROR(__xludf.DUMMYFUNCTION("""COMPUTED_VALUE"""),"ACDC")</f>
        <v>ACDC</v>
      </c>
      <c r="P1645" s="26" t="str">
        <f>IFERROR(__xludf.DUMMYFUNCTION("""COMPUTED_VALUE"""),"미르진")</f>
        <v>미르진</v>
      </c>
      <c r="Q1645" s="26" t="str">
        <f>IFERROR(__xludf.DUMMYFUNCTION("""COMPUTED_VALUE"""),"깡패")</f>
        <v>깡패</v>
      </c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</row>
    <row r="1646">
      <c r="A1646" s="27" t="s">
        <v>6836</v>
      </c>
      <c r="B1646" s="28" t="s">
        <v>6837</v>
      </c>
      <c r="C1646" s="27" t="s">
        <v>6838</v>
      </c>
      <c r="D1646" s="27">
        <v>5.0</v>
      </c>
      <c r="E1646" s="27" t="s">
        <v>6839</v>
      </c>
      <c r="F1646" s="27">
        <v>3.0</v>
      </c>
      <c r="G1646" s="29">
        <v>45513.90694444445</v>
      </c>
      <c r="H1646" s="27" t="s">
        <v>6619</v>
      </c>
      <c r="I1646" s="18"/>
      <c r="J1646" s="25" t="str">
        <f>IFERROR(__xludf.DUMMYFUNCTION("ARRAYFORMULA(REGEXEXTRACT(SPLIT(C1646, ""&lt;br&gt;""), ""([가-힣A-Za-z]+)""))"),"신형만")</f>
        <v>신형만</v>
      </c>
      <c r="K1646" s="26" t="str">
        <f>IFERROR(__xludf.DUMMYFUNCTION("""COMPUTED_VALUE"""),"한메")</f>
        <v>한메</v>
      </c>
      <c r="L1646" s="26" t="str">
        <f>IFERROR(__xludf.DUMMYFUNCTION("""COMPUTED_VALUE"""),"ACDC")</f>
        <v>ACDC</v>
      </c>
      <c r="M1646" s="26" t="str">
        <f>IFERROR(__xludf.DUMMYFUNCTION("""COMPUTED_VALUE"""),"강화")</f>
        <v>강화</v>
      </c>
      <c r="N1646" s="26" t="str">
        <f>IFERROR(__xludf.DUMMYFUNCTION("ARRAYFORMULA(REGEXEXTRACT(SPLIT(E1646, ""&lt;br&gt;""), ""([가-힣A-Za-z]+)""))"),"아이딘")</f>
        <v>아이딘</v>
      </c>
      <c r="O1646" s="26" t="str">
        <f>IFERROR(__xludf.DUMMYFUNCTION("""COMPUTED_VALUE"""),"미르진")</f>
        <v>미르진</v>
      </c>
      <c r="P1646" s="26" t="str">
        <f>IFERROR(__xludf.DUMMYFUNCTION("""COMPUTED_VALUE"""),"구리다")</f>
        <v>구리다</v>
      </c>
      <c r="Q1646" s="26" t="str">
        <f>IFERROR(__xludf.DUMMYFUNCTION("""COMPUTED_VALUE"""),"깡패")</f>
        <v>깡패</v>
      </c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</row>
    <row r="1647">
      <c r="A1647" s="27" t="s">
        <v>6840</v>
      </c>
      <c r="B1647" s="28" t="s">
        <v>6841</v>
      </c>
      <c r="C1647" s="27" t="s">
        <v>6842</v>
      </c>
      <c r="D1647" s="27">
        <v>5.0</v>
      </c>
      <c r="E1647" s="27" t="s">
        <v>6843</v>
      </c>
      <c r="F1647" s="27">
        <v>4.0</v>
      </c>
      <c r="G1647" s="29">
        <v>45512.07152777778</v>
      </c>
      <c r="H1647" s="27" t="s">
        <v>6619</v>
      </c>
      <c r="I1647" s="18"/>
      <c r="J1647" s="25" t="str">
        <f>IFERROR(__xludf.DUMMYFUNCTION("ARRAYFORMULA(REGEXEXTRACT(SPLIT(C1647, ""&lt;br&gt;""), ""([가-힣A-Za-z]+)""))"),"ACDC")</f>
        <v>ACDC</v>
      </c>
      <c r="K1647" s="26" t="str">
        <f>IFERROR(__xludf.DUMMYFUNCTION("""COMPUTED_VALUE"""),"깡패")</f>
        <v>깡패</v>
      </c>
      <c r="L1647" s="26" t="str">
        <f>IFERROR(__xludf.DUMMYFUNCTION("""COMPUTED_VALUE"""),"짱구")</f>
        <v>짱구</v>
      </c>
      <c r="M1647" s="26" t="str">
        <f>IFERROR(__xludf.DUMMYFUNCTION("""COMPUTED_VALUE"""),"미등록")</f>
        <v>미등록</v>
      </c>
      <c r="N1647" s="26" t="str">
        <f>IFERROR(__xludf.DUMMYFUNCTION("ARRAYFORMULA(REGEXEXTRACT(SPLIT(E1647, ""&lt;br&gt;""), ""([가-힣A-Za-z]+)""))"),"노인")</f>
        <v>노인</v>
      </c>
      <c r="O1647" s="26" t="str">
        <f>IFERROR(__xludf.DUMMYFUNCTION("""COMPUTED_VALUE"""),"강화")</f>
        <v>강화</v>
      </c>
      <c r="P1647" s="26" t="str">
        <f>IFERROR(__xludf.DUMMYFUNCTION("""COMPUTED_VALUE"""),"미등록")</f>
        <v>미등록</v>
      </c>
      <c r="Q1647" s="26" t="str">
        <f>IFERROR(__xludf.DUMMYFUNCTION("""COMPUTED_VALUE"""),"신형만")</f>
        <v>신형만</v>
      </c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</row>
    <row r="1648">
      <c r="A1648" s="27" t="s">
        <v>6844</v>
      </c>
      <c r="B1648" s="28" t="s">
        <v>6845</v>
      </c>
      <c r="C1648" s="27" t="s">
        <v>6846</v>
      </c>
      <c r="D1648" s="27">
        <v>5.0</v>
      </c>
      <c r="E1648" s="27" t="s">
        <v>6847</v>
      </c>
      <c r="F1648" s="27">
        <v>0.0</v>
      </c>
      <c r="G1648" s="29">
        <v>45512.04305555556</v>
      </c>
      <c r="H1648" s="27" t="s">
        <v>6619</v>
      </c>
      <c r="I1648" s="18"/>
      <c r="J1648" s="25" t="str">
        <f>IFERROR(__xludf.DUMMYFUNCTION("ARRAYFORMULA(REGEXEXTRACT(SPLIT(C1648, ""&lt;br&gt;""), ""([가-힣A-Za-z]+)""))"),"한메")</f>
        <v>한메</v>
      </c>
      <c r="K1648" s="26" t="str">
        <f>IFERROR(__xludf.DUMMYFUNCTION("""COMPUTED_VALUE"""),"짱구")</f>
        <v>짱구</v>
      </c>
      <c r="L1648" s="26" t="str">
        <f>IFERROR(__xludf.DUMMYFUNCTION("""COMPUTED_VALUE"""),"강화")</f>
        <v>강화</v>
      </c>
      <c r="M1648" s="26" t="str">
        <f>IFERROR(__xludf.DUMMYFUNCTION("""COMPUTED_VALUE"""),"신형만")</f>
        <v>신형만</v>
      </c>
      <c r="N1648" s="26" t="str">
        <f>IFERROR(__xludf.DUMMYFUNCTION("ARRAYFORMULA(REGEXEXTRACT(SPLIT(E1648, ""&lt;br&gt;""), ""([가-힣A-Za-z]+)""))"),"조심")</f>
        <v>조심</v>
      </c>
      <c r="O1648" s="26" t="str">
        <f>IFERROR(__xludf.DUMMYFUNCTION("""COMPUTED_VALUE"""),"깡패")</f>
        <v>깡패</v>
      </c>
      <c r="P1648" s="26" t="str">
        <f>IFERROR(__xludf.DUMMYFUNCTION("""COMPUTED_VALUE"""),"ACDC")</f>
        <v>ACDC</v>
      </c>
      <c r="Q1648" s="26" t="str">
        <f>IFERROR(__xludf.DUMMYFUNCTION("""COMPUTED_VALUE"""),"노인")</f>
        <v>노인</v>
      </c>
      <c r="R1648" s="18"/>
      <c r="S1648" s="18"/>
      <c r="T1648" s="18"/>
      <c r="U1648" s="18"/>
      <c r="V1648" s="18"/>
      <c r="W1648" s="18"/>
      <c r="X1648" s="18"/>
      <c r="Y1648" s="18"/>
      <c r="Z1648" s="18"/>
      <c r="AA1648" s="18"/>
      <c r="AB1648" s="18"/>
    </row>
    <row r="1649">
      <c r="A1649" s="27" t="s">
        <v>6848</v>
      </c>
      <c r="B1649" s="28" t="s">
        <v>6849</v>
      </c>
      <c r="C1649" s="27" t="s">
        <v>6850</v>
      </c>
      <c r="D1649" s="27">
        <v>5.0</v>
      </c>
      <c r="E1649" s="27" t="s">
        <v>6851</v>
      </c>
      <c r="F1649" s="27">
        <v>1.0</v>
      </c>
      <c r="G1649" s="29">
        <v>45512.03125</v>
      </c>
      <c r="H1649" s="27" t="s">
        <v>6619</v>
      </c>
      <c r="I1649" s="18"/>
      <c r="J1649" s="25" t="str">
        <f>IFERROR(__xludf.DUMMYFUNCTION("ARRAYFORMULA(REGEXEXTRACT(SPLIT(C1649, ""&lt;br&gt;""), ""([가-힣A-Za-z]+)""))"),"ACDC")</f>
        <v>ACDC</v>
      </c>
      <c r="K1649" s="26" t="str">
        <f>IFERROR(__xludf.DUMMYFUNCTION("""COMPUTED_VALUE"""),"노인")</f>
        <v>노인</v>
      </c>
      <c r="L1649" s="26" t="str">
        <f>IFERROR(__xludf.DUMMYFUNCTION("""COMPUTED_VALUE"""),"짱구")</f>
        <v>짱구</v>
      </c>
      <c r="M1649" s="26" t="str">
        <f>IFERROR(__xludf.DUMMYFUNCTION("""COMPUTED_VALUE"""),"조심")</f>
        <v>조심</v>
      </c>
      <c r="N1649" s="26" t="str">
        <f>IFERROR(__xludf.DUMMYFUNCTION("ARRAYFORMULA(REGEXEXTRACT(SPLIT(E1649, ""&lt;br&gt;""), ""([가-힣A-Za-z]+)""))"),"깡패")</f>
        <v>깡패</v>
      </c>
      <c r="O1649" s="26" t="str">
        <f>IFERROR(__xludf.DUMMYFUNCTION("""COMPUTED_VALUE"""),"강화")</f>
        <v>강화</v>
      </c>
      <c r="P1649" s="26" t="str">
        <f>IFERROR(__xludf.DUMMYFUNCTION("""COMPUTED_VALUE"""),"한메")</f>
        <v>한메</v>
      </c>
      <c r="Q1649" s="26" t="str">
        <f>IFERROR(__xludf.DUMMYFUNCTION("""COMPUTED_VALUE"""),"신형만")</f>
        <v>신형만</v>
      </c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  <c r="AB1649" s="18"/>
    </row>
    <row r="1650">
      <c r="A1650" s="27" t="s">
        <v>6852</v>
      </c>
      <c r="B1650" s="28" t="s">
        <v>6853</v>
      </c>
      <c r="C1650" s="27" t="s">
        <v>6854</v>
      </c>
      <c r="D1650" s="27">
        <v>5.0</v>
      </c>
      <c r="E1650" s="27" t="s">
        <v>6855</v>
      </c>
      <c r="F1650" s="27">
        <v>2.0</v>
      </c>
      <c r="G1650" s="29">
        <v>45512.02013888889</v>
      </c>
      <c r="H1650" s="27" t="s">
        <v>6619</v>
      </c>
      <c r="I1650" s="18"/>
      <c r="J1650" s="25" t="str">
        <f>IFERROR(__xludf.DUMMYFUNCTION("ARRAYFORMULA(REGEXEXTRACT(SPLIT(C1650, ""&lt;br&gt;""), ""([가-힣A-Za-z]+)""))"),"짱구")</f>
        <v>짱구</v>
      </c>
      <c r="K1650" s="26" t="str">
        <f>IFERROR(__xludf.DUMMYFUNCTION("""COMPUTED_VALUE"""),"노인")</f>
        <v>노인</v>
      </c>
      <c r="L1650" s="26" t="str">
        <f>IFERROR(__xludf.DUMMYFUNCTION("""COMPUTED_VALUE"""),"조심")</f>
        <v>조심</v>
      </c>
      <c r="M1650" s="26" t="str">
        <f>IFERROR(__xludf.DUMMYFUNCTION("""COMPUTED_VALUE"""),"한메")</f>
        <v>한메</v>
      </c>
      <c r="N1650" s="26" t="str">
        <f>IFERROR(__xludf.DUMMYFUNCTION("ARRAYFORMULA(REGEXEXTRACT(SPLIT(E1650, ""&lt;br&gt;""), ""([가-힣A-Za-z]+)""))"),"강화")</f>
        <v>강화</v>
      </c>
      <c r="O1650" s="26" t="str">
        <f>IFERROR(__xludf.DUMMYFUNCTION("""COMPUTED_VALUE"""),"깡패")</f>
        <v>깡패</v>
      </c>
      <c r="P1650" s="26" t="str">
        <f>IFERROR(__xludf.DUMMYFUNCTION("""COMPUTED_VALUE"""),"ACDC")</f>
        <v>ACDC</v>
      </c>
      <c r="Q1650" s="26" t="str">
        <f>IFERROR(__xludf.DUMMYFUNCTION("""COMPUTED_VALUE"""),"신형만")</f>
        <v>신형만</v>
      </c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</row>
    <row r="1651">
      <c r="A1651" s="27" t="s">
        <v>6856</v>
      </c>
      <c r="B1651" s="28" t="s">
        <v>6857</v>
      </c>
      <c r="C1651" s="27" t="s">
        <v>6858</v>
      </c>
      <c r="D1651" s="27">
        <v>5.0</v>
      </c>
      <c r="E1651" s="27" t="s">
        <v>6859</v>
      </c>
      <c r="F1651" s="27">
        <v>3.0</v>
      </c>
      <c r="G1651" s="29">
        <v>45512.00486111111</v>
      </c>
      <c r="H1651" s="27" t="s">
        <v>6619</v>
      </c>
      <c r="I1651" s="18"/>
      <c r="J1651" s="25" t="str">
        <f>IFERROR(__xludf.DUMMYFUNCTION("ARRAYFORMULA(REGEXEXTRACT(SPLIT(C1651, ""&lt;br&gt;""), ""([가-힣A-Za-z]+)""))"),"ACDC")</f>
        <v>ACDC</v>
      </c>
      <c r="K1651" s="26" t="str">
        <f>IFERROR(__xludf.DUMMYFUNCTION("""COMPUTED_VALUE"""),"구리다")</f>
        <v>구리다</v>
      </c>
      <c r="L1651" s="26" t="str">
        <f>IFERROR(__xludf.DUMMYFUNCTION("""COMPUTED_VALUE"""),"짱구")</f>
        <v>짱구</v>
      </c>
      <c r="M1651" s="26" t="str">
        <f>IFERROR(__xludf.DUMMYFUNCTION("""COMPUTED_VALUE"""),"깡패")</f>
        <v>깡패</v>
      </c>
      <c r="N1651" s="26" t="str">
        <f>IFERROR(__xludf.DUMMYFUNCTION("ARRAYFORMULA(REGEXEXTRACT(SPLIT(E1651, ""&lt;br&gt;""), ""([가-힣A-Za-z]+)""))"),"신형만")</f>
        <v>신형만</v>
      </c>
      <c r="O1651" s="26" t="str">
        <f>IFERROR(__xludf.DUMMYFUNCTION("""COMPUTED_VALUE"""),"조심")</f>
        <v>조심</v>
      </c>
      <c r="P1651" s="26" t="str">
        <f>IFERROR(__xludf.DUMMYFUNCTION("""COMPUTED_VALUE"""),"강화")</f>
        <v>강화</v>
      </c>
      <c r="Q1651" s="26" t="str">
        <f>IFERROR(__xludf.DUMMYFUNCTION("""COMPUTED_VALUE"""),"노인")</f>
        <v>노인</v>
      </c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</row>
    <row r="1652">
      <c r="A1652" s="27" t="s">
        <v>6860</v>
      </c>
      <c r="B1652" s="28" t="s">
        <v>6861</v>
      </c>
      <c r="C1652" s="27" t="s">
        <v>6862</v>
      </c>
      <c r="D1652" s="27">
        <v>5.0</v>
      </c>
      <c r="E1652" s="27" t="s">
        <v>6863</v>
      </c>
      <c r="F1652" s="27">
        <v>2.0</v>
      </c>
      <c r="G1652" s="29">
        <v>45511.98125</v>
      </c>
      <c r="H1652" s="27" t="s">
        <v>6619</v>
      </c>
      <c r="I1652" s="18"/>
      <c r="J1652" s="25" t="str">
        <f>IFERROR(__xludf.DUMMYFUNCTION("ARRAYFORMULA(REGEXEXTRACT(SPLIT(C1652, ""&lt;br&gt;""), ""([가-힣A-Za-z]+)""))"),"조심")</f>
        <v>조심</v>
      </c>
      <c r="K1652" s="26" t="str">
        <f>IFERROR(__xludf.DUMMYFUNCTION("""COMPUTED_VALUE"""),"신형만")</f>
        <v>신형만</v>
      </c>
      <c r="L1652" s="26" t="str">
        <f>IFERROR(__xludf.DUMMYFUNCTION("""COMPUTED_VALUE"""),"구리다")</f>
        <v>구리다</v>
      </c>
      <c r="M1652" s="26" t="str">
        <f>IFERROR(__xludf.DUMMYFUNCTION("""COMPUTED_VALUE"""),"짱구")</f>
        <v>짱구</v>
      </c>
      <c r="N1652" s="26" t="str">
        <f>IFERROR(__xludf.DUMMYFUNCTION("ARRAYFORMULA(REGEXEXTRACT(SPLIT(E1652, ""&lt;br&gt;""), ""([가-힣A-Za-z]+)""))"),"깡패")</f>
        <v>깡패</v>
      </c>
      <c r="O1652" s="26" t="str">
        <f>IFERROR(__xludf.DUMMYFUNCTION("""COMPUTED_VALUE"""),"노인")</f>
        <v>노인</v>
      </c>
      <c r="P1652" s="26" t="str">
        <f>IFERROR(__xludf.DUMMYFUNCTION("""COMPUTED_VALUE"""),"강화")</f>
        <v>강화</v>
      </c>
      <c r="Q1652" s="26" t="str">
        <f>IFERROR(__xludf.DUMMYFUNCTION("""COMPUTED_VALUE"""),"ACDC")</f>
        <v>ACDC</v>
      </c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  <c r="AB1652" s="18"/>
    </row>
    <row r="1653">
      <c r="A1653" s="27" t="s">
        <v>6864</v>
      </c>
      <c r="B1653" s="28" t="s">
        <v>6865</v>
      </c>
      <c r="C1653" s="27" t="s">
        <v>6866</v>
      </c>
      <c r="D1653" s="27">
        <v>5.0</v>
      </c>
      <c r="E1653" s="27" t="s">
        <v>6867</v>
      </c>
      <c r="F1653" s="27">
        <v>1.0</v>
      </c>
      <c r="G1653" s="29">
        <v>45511.96666666667</v>
      </c>
      <c r="H1653" s="27" t="s">
        <v>6619</v>
      </c>
      <c r="I1653" s="18"/>
      <c r="J1653" s="25" t="str">
        <f>IFERROR(__xludf.DUMMYFUNCTION("ARRAYFORMULA(REGEXEXTRACT(SPLIT(C1653, ""&lt;br&gt;""), ""([가-힣A-Za-z]+)""))"),"깡패")</f>
        <v>깡패</v>
      </c>
      <c r="K1653" s="26" t="str">
        <f>IFERROR(__xludf.DUMMYFUNCTION("""COMPUTED_VALUE"""),"짱구")</f>
        <v>짱구</v>
      </c>
      <c r="L1653" s="26" t="str">
        <f>IFERROR(__xludf.DUMMYFUNCTION("""COMPUTED_VALUE"""),"ACDC")</f>
        <v>ACDC</v>
      </c>
      <c r="M1653" s="26" t="str">
        <f>IFERROR(__xludf.DUMMYFUNCTION("""COMPUTED_VALUE"""),"조심")</f>
        <v>조심</v>
      </c>
      <c r="N1653" s="26" t="str">
        <f>IFERROR(__xludf.DUMMYFUNCTION("ARRAYFORMULA(REGEXEXTRACT(SPLIT(E1653, ""&lt;br&gt;""), ""([가-힣A-Za-z]+)""))"),"강화")</f>
        <v>강화</v>
      </c>
      <c r="O1653" s="26" t="str">
        <f>IFERROR(__xludf.DUMMYFUNCTION("""COMPUTED_VALUE"""),"미등록")</f>
        <v>미등록</v>
      </c>
      <c r="P1653" s="26" t="str">
        <f>IFERROR(__xludf.DUMMYFUNCTION("""COMPUTED_VALUE"""),"구리다")</f>
        <v>구리다</v>
      </c>
      <c r="Q1653" s="26" t="str">
        <f>IFERROR(__xludf.DUMMYFUNCTION("""COMPUTED_VALUE"""),"신형만")</f>
        <v>신형만</v>
      </c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  <c r="AB1653" s="18"/>
    </row>
    <row r="1654">
      <c r="A1654" s="27" t="s">
        <v>6868</v>
      </c>
      <c r="B1654" s="28" t="s">
        <v>6869</v>
      </c>
      <c r="C1654" s="27" t="s">
        <v>6870</v>
      </c>
      <c r="D1654" s="27">
        <v>5.0</v>
      </c>
      <c r="E1654" s="27" t="s">
        <v>6871</v>
      </c>
      <c r="F1654" s="27">
        <v>1.0</v>
      </c>
      <c r="G1654" s="29">
        <v>45511.94583333333</v>
      </c>
      <c r="H1654" s="27" t="s">
        <v>6619</v>
      </c>
      <c r="I1654" s="18"/>
      <c r="J1654" s="25" t="str">
        <f>IFERROR(__xludf.DUMMYFUNCTION("ARRAYFORMULA(REGEXEXTRACT(SPLIT(C1654, ""&lt;br&gt;""), ""([가-힣A-Za-z]+)""))"),"구리다")</f>
        <v>구리다</v>
      </c>
      <c r="K1654" s="26" t="str">
        <f>IFERROR(__xludf.DUMMYFUNCTION("""COMPUTED_VALUE"""),"조심")</f>
        <v>조심</v>
      </c>
      <c r="L1654" s="26" t="str">
        <f>IFERROR(__xludf.DUMMYFUNCTION("""COMPUTED_VALUE"""),"강화")</f>
        <v>강화</v>
      </c>
      <c r="M1654" s="26" t="str">
        <f>IFERROR(__xludf.DUMMYFUNCTION("""COMPUTED_VALUE"""),"짱구")</f>
        <v>짱구</v>
      </c>
      <c r="N1654" s="26" t="str">
        <f>IFERROR(__xludf.DUMMYFUNCTION("ARRAYFORMULA(REGEXEXTRACT(SPLIT(E1654, ""&lt;br&gt;""), ""([가-힣A-Za-z]+)""))"),"ACDC")</f>
        <v>ACDC</v>
      </c>
      <c r="O1654" s="26" t="str">
        <f>IFERROR(__xludf.DUMMYFUNCTION("""COMPUTED_VALUE"""),"미르진")</f>
        <v>미르진</v>
      </c>
      <c r="P1654" s="26" t="str">
        <f>IFERROR(__xludf.DUMMYFUNCTION("""COMPUTED_VALUE"""),"한메")</f>
        <v>한메</v>
      </c>
      <c r="Q1654" s="26" t="str">
        <f>IFERROR(__xludf.DUMMYFUNCTION("""COMPUTED_VALUE"""),"깡패")</f>
        <v>깡패</v>
      </c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  <c r="AB1654" s="18"/>
    </row>
    <row r="1655">
      <c r="A1655" s="27" t="s">
        <v>6872</v>
      </c>
      <c r="B1655" s="28" t="s">
        <v>6873</v>
      </c>
      <c r="C1655" s="27" t="s">
        <v>6874</v>
      </c>
      <c r="D1655" s="27">
        <v>5.0</v>
      </c>
      <c r="E1655" s="27" t="s">
        <v>6875</v>
      </c>
      <c r="F1655" s="27">
        <v>4.0</v>
      </c>
      <c r="G1655" s="29">
        <v>45511.92638888889</v>
      </c>
      <c r="H1655" s="27" t="s">
        <v>6619</v>
      </c>
      <c r="I1655" s="18"/>
      <c r="J1655" s="25" t="str">
        <f>IFERROR(__xludf.DUMMYFUNCTION("ARRAYFORMULA(REGEXEXTRACT(SPLIT(C1655, ""&lt;br&gt;""), ""([가-힣A-Za-z]+)""))"),"짱구")</f>
        <v>짱구</v>
      </c>
      <c r="K1655" s="26" t="str">
        <f>IFERROR(__xludf.DUMMYFUNCTION("""COMPUTED_VALUE"""),"한메")</f>
        <v>한메</v>
      </c>
      <c r="L1655" s="26" t="str">
        <f>IFERROR(__xludf.DUMMYFUNCTION("""COMPUTED_VALUE"""),"ACDC")</f>
        <v>ACDC</v>
      </c>
      <c r="M1655" s="26" t="str">
        <f>IFERROR(__xludf.DUMMYFUNCTION("""COMPUTED_VALUE"""),"오딘")</f>
        <v>오딘</v>
      </c>
      <c r="N1655" s="26" t="str">
        <f>IFERROR(__xludf.DUMMYFUNCTION("ARRAYFORMULA(REGEXEXTRACT(SPLIT(E1655, ""&lt;br&gt;""), ""([가-힣A-Za-z]+)""))"),"구리다")</f>
        <v>구리다</v>
      </c>
      <c r="O1655" s="26" t="str">
        <f>IFERROR(__xludf.DUMMYFUNCTION("""COMPUTED_VALUE"""),"조심")</f>
        <v>조심</v>
      </c>
      <c r="P1655" s="26" t="str">
        <f>IFERROR(__xludf.DUMMYFUNCTION("""COMPUTED_VALUE"""),"미르진")</f>
        <v>미르진</v>
      </c>
      <c r="Q1655" s="26" t="str">
        <f>IFERROR(__xludf.DUMMYFUNCTION("""COMPUTED_VALUE"""),"강화")</f>
        <v>강화</v>
      </c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</row>
    <row r="1656">
      <c r="A1656" s="27" t="s">
        <v>6876</v>
      </c>
      <c r="B1656" s="28" t="s">
        <v>6877</v>
      </c>
      <c r="C1656" s="27" t="s">
        <v>6878</v>
      </c>
      <c r="D1656" s="27">
        <v>5.0</v>
      </c>
      <c r="E1656" s="27" t="s">
        <v>6879</v>
      </c>
      <c r="F1656" s="27">
        <v>2.0</v>
      </c>
      <c r="G1656" s="29">
        <v>45511.90138888889</v>
      </c>
      <c r="H1656" s="27" t="s">
        <v>6619</v>
      </c>
      <c r="I1656" s="18"/>
      <c r="J1656" s="25" t="str">
        <f>IFERROR(__xludf.DUMMYFUNCTION("ARRAYFORMULA(REGEXEXTRACT(SPLIT(C1656, ""&lt;br&gt;""), ""([가-힣A-Za-z]+)""))"),"미르진")</f>
        <v>미르진</v>
      </c>
      <c r="K1656" s="26" t="str">
        <f>IFERROR(__xludf.DUMMYFUNCTION("""COMPUTED_VALUE"""),"한메")</f>
        <v>한메</v>
      </c>
      <c r="L1656" s="26" t="str">
        <f>IFERROR(__xludf.DUMMYFUNCTION("""COMPUTED_VALUE"""),"짱구")</f>
        <v>짱구</v>
      </c>
      <c r="M1656" s="26" t="str">
        <f>IFERROR(__xludf.DUMMYFUNCTION("""COMPUTED_VALUE"""),"ACDC")</f>
        <v>ACDC</v>
      </c>
      <c r="N1656" s="26" t="str">
        <f>IFERROR(__xludf.DUMMYFUNCTION("ARRAYFORMULA(REGEXEXTRACT(SPLIT(E1656, ""&lt;br&gt;""), ""([가-힣A-Za-z]+)""))"),"구리다")</f>
        <v>구리다</v>
      </c>
      <c r="O1656" s="26" t="str">
        <f>IFERROR(__xludf.DUMMYFUNCTION("""COMPUTED_VALUE"""),"오딘")</f>
        <v>오딘</v>
      </c>
      <c r="P1656" s="26" t="str">
        <f>IFERROR(__xludf.DUMMYFUNCTION("""COMPUTED_VALUE"""),"조심")</f>
        <v>조심</v>
      </c>
      <c r="Q1656" s="26" t="str">
        <f>IFERROR(__xludf.DUMMYFUNCTION("""COMPUTED_VALUE"""),"강화")</f>
        <v>강화</v>
      </c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</row>
    <row r="1657">
      <c r="A1657" s="27" t="s">
        <v>6880</v>
      </c>
      <c r="B1657" s="28" t="s">
        <v>6881</v>
      </c>
      <c r="C1657" s="27" t="s">
        <v>6882</v>
      </c>
      <c r="D1657" s="27">
        <v>5.0</v>
      </c>
      <c r="E1657" s="27" t="s">
        <v>6883</v>
      </c>
      <c r="F1657" s="27">
        <v>3.0</v>
      </c>
      <c r="G1657" s="29">
        <v>45511.01666666667</v>
      </c>
      <c r="H1657" s="27" t="s">
        <v>6619</v>
      </c>
      <c r="I1657" s="18"/>
      <c r="J1657" s="25" t="str">
        <f>IFERROR(__xludf.DUMMYFUNCTION("ARRAYFORMULA(REGEXEXTRACT(SPLIT(C1657, ""&lt;br&gt;""), ""([가-힣A-Za-z]+)""))"),"깡패")</f>
        <v>깡패</v>
      </c>
      <c r="K1657" s="26" t="str">
        <f>IFERROR(__xludf.DUMMYFUNCTION("""COMPUTED_VALUE"""),"신형만")</f>
        <v>신형만</v>
      </c>
      <c r="L1657" s="26" t="str">
        <f>IFERROR(__xludf.DUMMYFUNCTION("""COMPUTED_VALUE"""),"미등록")</f>
        <v>미등록</v>
      </c>
      <c r="M1657" s="26" t="str">
        <f>IFERROR(__xludf.DUMMYFUNCTION("""COMPUTED_VALUE"""),"미등록")</f>
        <v>미등록</v>
      </c>
      <c r="N1657" s="26" t="str">
        <f>IFERROR(__xludf.DUMMYFUNCTION("ARRAYFORMULA(REGEXEXTRACT(SPLIT(E1657, ""&lt;br&gt;""), ""([가-힣A-Za-z]+)""))"),"구리다")</f>
        <v>구리다</v>
      </c>
      <c r="O1657" s="26" t="str">
        <f>IFERROR(__xludf.DUMMYFUNCTION("""COMPUTED_VALUE"""),"한메")</f>
        <v>한메</v>
      </c>
      <c r="P1657" s="26" t="str">
        <f>IFERROR(__xludf.DUMMYFUNCTION("""COMPUTED_VALUE"""),"미등록")</f>
        <v>미등록</v>
      </c>
      <c r="Q1657" s="26" t="str">
        <f>IFERROR(__xludf.DUMMYFUNCTION("""COMPUTED_VALUE"""),"키키")</f>
        <v>키키</v>
      </c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18"/>
    </row>
    <row r="1658">
      <c r="A1658" s="27" t="s">
        <v>6884</v>
      </c>
      <c r="B1658" s="28" t="s">
        <v>6885</v>
      </c>
      <c r="C1658" s="27" t="s">
        <v>6886</v>
      </c>
      <c r="D1658" s="27">
        <v>5.0</v>
      </c>
      <c r="E1658" s="27" t="s">
        <v>6887</v>
      </c>
      <c r="F1658" s="27">
        <v>2.0</v>
      </c>
      <c r="G1658" s="29">
        <v>45510.99722222222</v>
      </c>
      <c r="H1658" s="27" t="s">
        <v>6619</v>
      </c>
      <c r="I1658" s="18"/>
      <c r="J1658" s="25" t="str">
        <f>IFERROR(__xludf.DUMMYFUNCTION("ARRAYFORMULA(REGEXEXTRACT(SPLIT(C1658, ""&lt;br&gt;""), ""([가-힣A-Za-z]+)""))"),"구리다")</f>
        <v>구리다</v>
      </c>
      <c r="K1658" s="26" t="str">
        <f>IFERROR(__xludf.DUMMYFUNCTION("""COMPUTED_VALUE"""),"한메")</f>
        <v>한메</v>
      </c>
      <c r="L1658" s="26" t="str">
        <f>IFERROR(__xludf.DUMMYFUNCTION("""COMPUTED_VALUE"""),"미등록")</f>
        <v>미등록</v>
      </c>
      <c r="M1658" s="26" t="str">
        <f>IFERROR(__xludf.DUMMYFUNCTION("""COMPUTED_VALUE"""),"신형만")</f>
        <v>신형만</v>
      </c>
      <c r="N1658" s="26" t="str">
        <f>IFERROR(__xludf.DUMMYFUNCTION("ARRAYFORMULA(REGEXEXTRACT(SPLIT(E1658, ""&lt;br&gt;""), ""([가-힣A-Za-z]+)""))"),"키키")</f>
        <v>키키</v>
      </c>
      <c r="O1658" s="26" t="str">
        <f>IFERROR(__xludf.DUMMYFUNCTION("""COMPUTED_VALUE"""),"깡패")</f>
        <v>깡패</v>
      </c>
      <c r="P1658" s="26" t="str">
        <f>IFERROR(__xludf.DUMMYFUNCTION("""COMPUTED_VALUE"""),"미등록")</f>
        <v>미등록</v>
      </c>
      <c r="Q1658" s="26" t="str">
        <f>IFERROR(__xludf.DUMMYFUNCTION("""COMPUTED_VALUE"""),"Leaf")</f>
        <v>Leaf</v>
      </c>
      <c r="R1658" s="18"/>
      <c r="S1658" s="18"/>
      <c r="T1658" s="18"/>
      <c r="U1658" s="18"/>
      <c r="V1658" s="18"/>
      <c r="W1658" s="18"/>
      <c r="X1658" s="18"/>
      <c r="Y1658" s="18"/>
      <c r="Z1658" s="18"/>
      <c r="AA1658" s="18"/>
      <c r="AB1658" s="18"/>
    </row>
    <row r="1659">
      <c r="A1659" s="27" t="s">
        <v>6888</v>
      </c>
      <c r="B1659" s="28" t="s">
        <v>6889</v>
      </c>
      <c r="C1659" s="27" t="s">
        <v>6890</v>
      </c>
      <c r="D1659" s="27">
        <v>5.0</v>
      </c>
      <c r="E1659" s="27" t="s">
        <v>6891</v>
      </c>
      <c r="F1659" s="27">
        <v>3.0</v>
      </c>
      <c r="G1659" s="29">
        <v>45510.97638888889</v>
      </c>
      <c r="H1659" s="27" t="s">
        <v>6619</v>
      </c>
      <c r="I1659" s="18"/>
      <c r="J1659" s="25" t="str">
        <f>IFERROR(__xludf.DUMMYFUNCTION("ARRAYFORMULA(REGEXEXTRACT(SPLIT(C1659, ""&lt;br&gt;""), ""([가-힣A-Za-z]+)""))"),"한메")</f>
        <v>한메</v>
      </c>
      <c r="K1659" s="26" t="str">
        <f>IFERROR(__xludf.DUMMYFUNCTION("""COMPUTED_VALUE"""),"랄")</f>
        <v>랄</v>
      </c>
      <c r="L1659" s="26" t="str">
        <f>IFERROR(__xludf.DUMMYFUNCTION("""COMPUTED_VALUE"""),"미등록")</f>
        <v>미등록</v>
      </c>
      <c r="M1659" s="26" t="str">
        <f>IFERROR(__xludf.DUMMYFUNCTION("""COMPUTED_VALUE"""),"키키")</f>
        <v>키키</v>
      </c>
      <c r="N1659" s="26" t="str">
        <f>IFERROR(__xludf.DUMMYFUNCTION("ARRAYFORMULA(REGEXEXTRACT(SPLIT(E1659, ""&lt;br&gt;""), ""([가-힣A-Za-z]+)""))"),"신형만")</f>
        <v>신형만</v>
      </c>
      <c r="O1659" s="26" t="str">
        <f>IFERROR(__xludf.DUMMYFUNCTION("""COMPUTED_VALUE"""),"깡패")</f>
        <v>깡패</v>
      </c>
      <c r="P1659" s="26" t="str">
        <f>IFERROR(__xludf.DUMMYFUNCTION("""COMPUTED_VALUE"""),"미등록")</f>
        <v>미등록</v>
      </c>
      <c r="Q1659" s="26" t="str">
        <f>IFERROR(__xludf.DUMMYFUNCTION("""COMPUTED_VALUE"""),"Leaf")</f>
        <v>Leaf</v>
      </c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  <c r="AB1659" s="18"/>
    </row>
    <row r="1660">
      <c r="A1660" s="27" t="s">
        <v>6892</v>
      </c>
      <c r="B1660" s="28" t="s">
        <v>6893</v>
      </c>
      <c r="C1660" s="27" t="s">
        <v>6894</v>
      </c>
      <c r="D1660" s="27">
        <v>5.0</v>
      </c>
      <c r="E1660" s="27" t="s">
        <v>6895</v>
      </c>
      <c r="F1660" s="27">
        <v>2.0</v>
      </c>
      <c r="G1660" s="29">
        <v>45510.95625</v>
      </c>
      <c r="H1660" s="27" t="s">
        <v>6619</v>
      </c>
      <c r="I1660" s="18"/>
      <c r="J1660" s="25" t="str">
        <f>IFERROR(__xludf.DUMMYFUNCTION("ARRAYFORMULA(REGEXEXTRACT(SPLIT(C1660, ""&lt;br&gt;""), ""([가-힣A-Za-z]+)""))"),"키키")</f>
        <v>키키</v>
      </c>
      <c r="K1660" s="26" t="str">
        <f>IFERROR(__xludf.DUMMYFUNCTION("""COMPUTED_VALUE"""),"깡패")</f>
        <v>깡패</v>
      </c>
      <c r="L1660" s="26" t="str">
        <f>IFERROR(__xludf.DUMMYFUNCTION("""COMPUTED_VALUE"""),"미등록")</f>
        <v>미등록</v>
      </c>
      <c r="M1660" s="26" t="str">
        <f>IFERROR(__xludf.DUMMYFUNCTION("""COMPUTED_VALUE"""),"랄")</f>
        <v>랄</v>
      </c>
      <c r="N1660" s="26" t="str">
        <f>IFERROR(__xludf.DUMMYFUNCTION("ARRAYFORMULA(REGEXEXTRACT(SPLIT(E1660, ""&lt;br&gt;""), ""([가-힣A-Za-z]+)""))"),"한메")</f>
        <v>한메</v>
      </c>
      <c r="O1660" s="26" t="str">
        <f>IFERROR(__xludf.DUMMYFUNCTION("""COMPUTED_VALUE"""),"신형만")</f>
        <v>신형만</v>
      </c>
      <c r="P1660" s="26" t="str">
        <f>IFERROR(__xludf.DUMMYFUNCTION("""COMPUTED_VALUE"""),"미등록")</f>
        <v>미등록</v>
      </c>
      <c r="Q1660" s="26" t="str">
        <f>IFERROR(__xludf.DUMMYFUNCTION("""COMPUTED_VALUE"""),"Leaf")</f>
        <v>Leaf</v>
      </c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  <c r="AB1660" s="18"/>
    </row>
    <row r="1661">
      <c r="A1661" s="27" t="s">
        <v>6896</v>
      </c>
      <c r="B1661" s="28" t="s">
        <v>6897</v>
      </c>
      <c r="C1661" s="27" t="s">
        <v>6898</v>
      </c>
      <c r="D1661" s="27">
        <v>5.0</v>
      </c>
      <c r="E1661" s="27" t="s">
        <v>6899</v>
      </c>
      <c r="F1661" s="27">
        <v>1.0</v>
      </c>
      <c r="G1661" s="29">
        <v>45510.941666666666</v>
      </c>
      <c r="H1661" s="27" t="s">
        <v>6619</v>
      </c>
      <c r="I1661" s="18"/>
      <c r="J1661" s="25" t="str">
        <f>IFERROR(__xludf.DUMMYFUNCTION("ARRAYFORMULA(REGEXEXTRACT(SPLIT(C1661, ""&lt;br&gt;""), ""([가-힣A-Za-z]+)""))"),"신형만")</f>
        <v>신형만</v>
      </c>
      <c r="K1661" s="26" t="str">
        <f>IFERROR(__xludf.DUMMYFUNCTION("""COMPUTED_VALUE"""),"한메")</f>
        <v>한메</v>
      </c>
      <c r="L1661" s="26" t="str">
        <f>IFERROR(__xludf.DUMMYFUNCTION("""COMPUTED_VALUE"""),"미등록")</f>
        <v>미등록</v>
      </c>
      <c r="M1661" s="26" t="str">
        <f>IFERROR(__xludf.DUMMYFUNCTION("""COMPUTED_VALUE"""),"키키")</f>
        <v>키키</v>
      </c>
      <c r="N1661" s="26" t="str">
        <f>IFERROR(__xludf.DUMMYFUNCTION("ARRAYFORMULA(REGEXEXTRACT(SPLIT(E1661, ""&lt;br&gt;""), ""([가-힣A-Za-z]+)""))"),"랄")</f>
        <v>랄</v>
      </c>
      <c r="O1661" s="26" t="str">
        <f>IFERROR(__xludf.DUMMYFUNCTION("""COMPUTED_VALUE"""),"깡패")</f>
        <v>깡패</v>
      </c>
      <c r="P1661" s="26" t="str">
        <f>IFERROR(__xludf.DUMMYFUNCTION("""COMPUTED_VALUE"""),"미등록")</f>
        <v>미등록</v>
      </c>
      <c r="Q1661" s="26" t="str">
        <f>IFERROR(__xludf.DUMMYFUNCTION("""COMPUTED_VALUE"""),"Leaf")</f>
        <v>Leaf</v>
      </c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</row>
    <row r="1662">
      <c r="A1662" s="27" t="s">
        <v>6900</v>
      </c>
      <c r="B1662" s="28" t="s">
        <v>6901</v>
      </c>
      <c r="C1662" s="27" t="s">
        <v>6902</v>
      </c>
      <c r="D1662" s="27">
        <v>5.0</v>
      </c>
      <c r="E1662" s="27" t="s">
        <v>6903</v>
      </c>
      <c r="F1662" s="27">
        <v>4.0</v>
      </c>
      <c r="G1662" s="29">
        <v>45509.11041666667</v>
      </c>
      <c r="H1662" s="27" t="s">
        <v>6904</v>
      </c>
      <c r="I1662" s="18"/>
      <c r="J1662" s="25" t="str">
        <f>IFERROR(__xludf.DUMMYFUNCTION("ARRAYFORMULA(REGEXEXTRACT(SPLIT(C1662, ""&lt;br&gt;""), ""([가-힣A-Za-z]+)""))"),"신형만")</f>
        <v>신형만</v>
      </c>
      <c r="K1662" s="26" t="str">
        <f>IFERROR(__xludf.DUMMYFUNCTION("""COMPUTED_VALUE"""),"깡패")</f>
        <v>깡패</v>
      </c>
      <c r="L1662" s="26" t="str">
        <f>IFERROR(__xludf.DUMMYFUNCTION("""COMPUTED_VALUE"""),"짱구")</f>
        <v>짱구</v>
      </c>
      <c r="M1662" s="26" t="str">
        <f>IFERROR(__xludf.DUMMYFUNCTION("""COMPUTED_VALUE"""),"키키")</f>
        <v>키키</v>
      </c>
      <c r="N1662" s="26" t="str">
        <f>IFERROR(__xludf.DUMMYFUNCTION("ARRAYFORMULA(REGEXEXTRACT(SPLIT(E1662, ""&lt;br&gt;""), ""([가-힣A-Za-z]+)""))"),"미등록")</f>
        <v>미등록</v>
      </c>
      <c r="O1662" s="26" t="str">
        <f>IFERROR(__xludf.DUMMYFUNCTION("""COMPUTED_VALUE"""),"미등록")</f>
        <v>미등록</v>
      </c>
      <c r="P1662" s="26" t="str">
        <f>IFERROR(__xludf.DUMMYFUNCTION("""COMPUTED_VALUE"""),"민우")</f>
        <v>민우</v>
      </c>
      <c r="Q1662" s="26" t="str">
        <f>IFERROR(__xludf.DUMMYFUNCTION("""COMPUTED_VALUE"""),"조드")</f>
        <v>조드</v>
      </c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18"/>
    </row>
    <row r="1663">
      <c r="A1663" s="27" t="s">
        <v>6905</v>
      </c>
      <c r="B1663" s="28" t="s">
        <v>6906</v>
      </c>
      <c r="C1663" s="27" t="s">
        <v>6907</v>
      </c>
      <c r="D1663" s="27">
        <v>5.0</v>
      </c>
      <c r="E1663" s="27" t="s">
        <v>6908</v>
      </c>
      <c r="F1663" s="27">
        <v>2.0</v>
      </c>
      <c r="G1663" s="29">
        <v>45509.080555555556</v>
      </c>
      <c r="H1663" s="27" t="s">
        <v>6904</v>
      </c>
      <c r="I1663" s="18"/>
      <c r="J1663" s="25" t="str">
        <f>IFERROR(__xludf.DUMMYFUNCTION("ARRAYFORMULA(REGEXEXTRACT(SPLIT(C1663, ""&lt;br&gt;""), ""([가-힣A-Za-z]+)""))"),"미등록")</f>
        <v>미등록</v>
      </c>
      <c r="K1663" s="26" t="str">
        <f>IFERROR(__xludf.DUMMYFUNCTION("""COMPUTED_VALUE"""),"신형만")</f>
        <v>신형만</v>
      </c>
      <c r="L1663" s="26" t="str">
        <f>IFERROR(__xludf.DUMMYFUNCTION("""COMPUTED_VALUE"""),"조드")</f>
        <v>조드</v>
      </c>
      <c r="M1663" s="26" t="str">
        <f>IFERROR(__xludf.DUMMYFUNCTION("""COMPUTED_VALUE"""),"키키")</f>
        <v>키키</v>
      </c>
      <c r="N1663" s="26" t="str">
        <f>IFERROR(__xludf.DUMMYFUNCTION("ARRAYFORMULA(REGEXEXTRACT(SPLIT(E1663, ""&lt;br&gt;""), ""([가-힣A-Za-z]+)""))"),"민우")</f>
        <v>민우</v>
      </c>
      <c r="O1663" s="26" t="str">
        <f>IFERROR(__xludf.DUMMYFUNCTION("""COMPUTED_VALUE"""),"미등록")</f>
        <v>미등록</v>
      </c>
      <c r="P1663" s="26" t="str">
        <f>IFERROR(__xludf.DUMMYFUNCTION("""COMPUTED_VALUE"""),"짱구")</f>
        <v>짱구</v>
      </c>
      <c r="Q1663" s="26" t="str">
        <f>IFERROR(__xludf.DUMMYFUNCTION("""COMPUTED_VALUE"""),"깡패")</f>
        <v>깡패</v>
      </c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  <c r="AB1663" s="18"/>
    </row>
    <row r="1664">
      <c r="A1664" s="27" t="s">
        <v>6909</v>
      </c>
      <c r="B1664" s="28" t="s">
        <v>6910</v>
      </c>
      <c r="C1664" s="27" t="s">
        <v>6911</v>
      </c>
      <c r="D1664" s="27">
        <v>5.0</v>
      </c>
      <c r="E1664" s="27" t="s">
        <v>6912</v>
      </c>
      <c r="F1664" s="27">
        <v>4.0</v>
      </c>
      <c r="G1664" s="29">
        <v>45509.02638888889</v>
      </c>
      <c r="H1664" s="27" t="s">
        <v>6904</v>
      </c>
      <c r="I1664" s="18"/>
      <c r="J1664" s="25" t="str">
        <f>IFERROR(__xludf.DUMMYFUNCTION("ARRAYFORMULA(REGEXEXTRACT(SPLIT(C1664, ""&lt;br&gt;""), ""([가-힣A-Za-z]+)""))"),"신형만")</f>
        <v>신형만</v>
      </c>
      <c r="K1664" s="26" t="str">
        <f>IFERROR(__xludf.DUMMYFUNCTION("""COMPUTED_VALUE"""),"랄")</f>
        <v>랄</v>
      </c>
      <c r="L1664" s="26" t="str">
        <f>IFERROR(__xludf.DUMMYFUNCTION("""COMPUTED_VALUE"""),"노인")</f>
        <v>노인</v>
      </c>
      <c r="M1664" s="26" t="str">
        <f>IFERROR(__xludf.DUMMYFUNCTION("""COMPUTED_VALUE"""),"조드")</f>
        <v>조드</v>
      </c>
      <c r="N1664" s="26" t="str">
        <f>IFERROR(__xludf.DUMMYFUNCTION("ARRAYFORMULA(REGEXEXTRACT(SPLIT(E1664, ""&lt;br&gt;""), ""([가-힣A-Za-z]+)""))"),"짱구")</f>
        <v>짱구</v>
      </c>
      <c r="O1664" s="26" t="str">
        <f>IFERROR(__xludf.DUMMYFUNCTION("""COMPUTED_VALUE"""),"깡패")</f>
        <v>깡패</v>
      </c>
      <c r="P1664" s="26" t="str">
        <f>IFERROR(__xludf.DUMMYFUNCTION("""COMPUTED_VALUE"""),"ACDC")</f>
        <v>ACDC</v>
      </c>
      <c r="Q1664" s="26" t="str">
        <f>IFERROR(__xludf.DUMMYFUNCTION("""COMPUTED_VALUE"""),"키키")</f>
        <v>키키</v>
      </c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  <c r="AB1664" s="18"/>
    </row>
    <row r="1665">
      <c r="A1665" s="27" t="s">
        <v>6913</v>
      </c>
      <c r="B1665" s="28" t="s">
        <v>6914</v>
      </c>
      <c r="C1665" s="27" t="s">
        <v>6915</v>
      </c>
      <c r="D1665" s="27">
        <v>5.0</v>
      </c>
      <c r="E1665" s="27" t="s">
        <v>6916</v>
      </c>
      <c r="F1665" s="27">
        <v>2.0</v>
      </c>
      <c r="G1665" s="29">
        <v>45509.0</v>
      </c>
      <c r="H1665" s="27" t="s">
        <v>6904</v>
      </c>
      <c r="I1665" s="18"/>
      <c r="J1665" s="25" t="str">
        <f>IFERROR(__xludf.DUMMYFUNCTION("ARRAYFORMULA(REGEXEXTRACT(SPLIT(C1665, ""&lt;br&gt;""), ""([가-힣A-Za-z]+)""))"),"신형만")</f>
        <v>신형만</v>
      </c>
      <c r="K1665" s="26" t="str">
        <f>IFERROR(__xludf.DUMMYFUNCTION("""COMPUTED_VALUE"""),"한메")</f>
        <v>한메</v>
      </c>
      <c r="L1665" s="26" t="str">
        <f>IFERROR(__xludf.DUMMYFUNCTION("""COMPUTED_VALUE"""),"짱구")</f>
        <v>짱구</v>
      </c>
      <c r="M1665" s="26" t="str">
        <f>IFERROR(__xludf.DUMMYFUNCTION("""COMPUTED_VALUE"""),"미등록")</f>
        <v>미등록</v>
      </c>
      <c r="N1665" s="26" t="str">
        <f>IFERROR(__xludf.DUMMYFUNCTION("ARRAYFORMULA(REGEXEXTRACT(SPLIT(E1665, ""&lt;br&gt;""), ""([가-힣A-Za-z]+)""))"),"랄")</f>
        <v>랄</v>
      </c>
      <c r="O1665" s="26" t="str">
        <f>IFERROR(__xludf.DUMMYFUNCTION("""COMPUTED_VALUE"""),"ACDC")</f>
        <v>ACDC</v>
      </c>
      <c r="P1665" s="26" t="str">
        <f>IFERROR(__xludf.DUMMYFUNCTION("""COMPUTED_VALUE"""),"재우")</f>
        <v>재우</v>
      </c>
      <c r="Q1665" s="26" t="str">
        <f>IFERROR(__xludf.DUMMYFUNCTION("""COMPUTED_VALUE"""),"조드")</f>
        <v>조드</v>
      </c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</row>
    <row r="1666">
      <c r="A1666" s="27" t="s">
        <v>6917</v>
      </c>
      <c r="B1666" s="28" t="s">
        <v>6918</v>
      </c>
      <c r="C1666" s="27" t="s">
        <v>6919</v>
      </c>
      <c r="D1666" s="27">
        <v>5.0</v>
      </c>
      <c r="E1666" s="27" t="s">
        <v>6920</v>
      </c>
      <c r="F1666" s="27">
        <v>2.0</v>
      </c>
      <c r="G1666" s="29">
        <v>45508.98055555556</v>
      </c>
      <c r="H1666" s="27" t="s">
        <v>6904</v>
      </c>
      <c r="I1666" s="18"/>
      <c r="J1666" s="25" t="str">
        <f>IFERROR(__xludf.DUMMYFUNCTION("ARRAYFORMULA(REGEXEXTRACT(SPLIT(C1666, ""&lt;br&gt;""), ""([가-힣A-Za-z]+)""))"),"ACDC")</f>
        <v>ACDC</v>
      </c>
      <c r="K1666" s="26" t="str">
        <f>IFERROR(__xludf.DUMMYFUNCTION("""COMPUTED_VALUE"""),"한메")</f>
        <v>한메</v>
      </c>
      <c r="L1666" s="26" t="str">
        <f>IFERROR(__xludf.DUMMYFUNCTION("""COMPUTED_VALUE"""),"짱구")</f>
        <v>짱구</v>
      </c>
      <c r="M1666" s="26" t="str">
        <f>IFERROR(__xludf.DUMMYFUNCTION("""COMPUTED_VALUE"""),"미등록")</f>
        <v>미등록</v>
      </c>
      <c r="N1666" s="26" t="str">
        <f>IFERROR(__xludf.DUMMYFUNCTION("ARRAYFORMULA(REGEXEXTRACT(SPLIT(E1666, ""&lt;br&gt;""), ""([가-힣A-Za-z]+)""))"),"신형만")</f>
        <v>신형만</v>
      </c>
      <c r="O1666" s="26" t="str">
        <f>IFERROR(__xludf.DUMMYFUNCTION("""COMPUTED_VALUE"""),"재우")</f>
        <v>재우</v>
      </c>
      <c r="P1666" s="26" t="str">
        <f>IFERROR(__xludf.DUMMYFUNCTION("""COMPUTED_VALUE"""),"봉구")</f>
        <v>봉구</v>
      </c>
      <c r="Q1666" s="26" t="str">
        <f>IFERROR(__xludf.DUMMYFUNCTION("""COMPUTED_VALUE"""),"조드")</f>
        <v>조드</v>
      </c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</row>
    <row r="1667">
      <c r="A1667" s="27" t="s">
        <v>6921</v>
      </c>
      <c r="B1667" s="28" t="s">
        <v>6922</v>
      </c>
      <c r="C1667" s="27" t="s">
        <v>6923</v>
      </c>
      <c r="D1667" s="27">
        <v>5.0</v>
      </c>
      <c r="E1667" s="27" t="s">
        <v>6924</v>
      </c>
      <c r="F1667" s="27">
        <v>1.0</v>
      </c>
      <c r="G1667" s="29">
        <v>45508.979166666664</v>
      </c>
      <c r="H1667" s="27" t="s">
        <v>6904</v>
      </c>
      <c r="I1667" s="18"/>
      <c r="J1667" s="25" t="str">
        <f>IFERROR(__xludf.DUMMYFUNCTION("ARRAYFORMULA(REGEXEXTRACT(SPLIT(C1667, ""&lt;br&gt;""), ""([가-힣A-Za-z]+)""))"),"재우")</f>
        <v>재우</v>
      </c>
      <c r="K1667" s="26" t="str">
        <f>IFERROR(__xludf.DUMMYFUNCTION("""COMPUTED_VALUE"""),"짱구")</f>
        <v>짱구</v>
      </c>
      <c r="L1667" s="26" t="str">
        <f>IFERROR(__xludf.DUMMYFUNCTION("""COMPUTED_VALUE"""),"봉구")</f>
        <v>봉구</v>
      </c>
      <c r="M1667" s="26" t="str">
        <f>IFERROR(__xludf.DUMMYFUNCTION("""COMPUTED_VALUE"""),"한메")</f>
        <v>한메</v>
      </c>
      <c r="N1667" s="26" t="str">
        <f>IFERROR(__xludf.DUMMYFUNCTION("ARRAYFORMULA(REGEXEXTRACT(SPLIT(E1667, ""&lt;br&gt;""), ""([가-힣A-Za-z]+)""))"),"신형만")</f>
        <v>신형만</v>
      </c>
      <c r="O1667" s="26" t="str">
        <f>IFERROR(__xludf.DUMMYFUNCTION("""COMPUTED_VALUE"""),"ACDC")</f>
        <v>ACDC</v>
      </c>
      <c r="P1667" s="26" t="str">
        <f>IFERROR(__xludf.DUMMYFUNCTION("""COMPUTED_VALUE"""),"미등록")</f>
        <v>미등록</v>
      </c>
      <c r="Q1667" s="26" t="str">
        <f>IFERROR(__xludf.DUMMYFUNCTION("""COMPUTED_VALUE"""),"조드")</f>
        <v>조드</v>
      </c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  <c r="AB1667" s="18"/>
    </row>
    <row r="1668">
      <c r="A1668" s="27" t="s">
        <v>6925</v>
      </c>
      <c r="B1668" s="28" t="s">
        <v>6926</v>
      </c>
      <c r="C1668" s="27" t="s">
        <v>6927</v>
      </c>
      <c r="D1668" s="27">
        <v>5.0</v>
      </c>
      <c r="E1668" s="27" t="s">
        <v>6928</v>
      </c>
      <c r="F1668" s="27">
        <v>1.0</v>
      </c>
      <c r="G1668" s="29">
        <v>45506.01527777778</v>
      </c>
      <c r="H1668" s="27" t="s">
        <v>6904</v>
      </c>
      <c r="I1668" s="18"/>
      <c r="J1668" s="25" t="str">
        <f>IFERROR(__xludf.DUMMYFUNCTION("ARRAYFORMULA(REGEXEXTRACT(SPLIT(C1668, ""&lt;br&gt;""), ""([가-힣A-Za-z]+)""))"),"재명")</f>
        <v>재명</v>
      </c>
      <c r="K1668" s="26" t="str">
        <f>IFERROR(__xludf.DUMMYFUNCTION("""COMPUTED_VALUE"""),"강화")</f>
        <v>강화</v>
      </c>
      <c r="L1668" s="26" t="str">
        <f>IFERROR(__xludf.DUMMYFUNCTION("""COMPUTED_VALUE"""),"테리")</f>
        <v>테리</v>
      </c>
      <c r="M1668" s="26" t="str">
        <f>IFERROR(__xludf.DUMMYFUNCTION("""COMPUTED_VALUE"""),"오크")</f>
        <v>오크</v>
      </c>
      <c r="N1668" s="26" t="str">
        <f>IFERROR(__xludf.DUMMYFUNCTION("ARRAYFORMULA(REGEXEXTRACT(SPLIT(E1668, ""&lt;br&gt;""), ""([가-힣A-Za-z]+)""))"),"재우")</f>
        <v>재우</v>
      </c>
      <c r="O1668" s="26" t="str">
        <f>IFERROR(__xludf.DUMMYFUNCTION("""COMPUTED_VALUE"""),"ACDC")</f>
        <v>ACDC</v>
      </c>
      <c r="P1668" s="26" t="str">
        <f>IFERROR(__xludf.DUMMYFUNCTION("""COMPUTED_VALUE"""),"미등록")</f>
        <v>미등록</v>
      </c>
      <c r="Q1668" s="26" t="str">
        <f>IFERROR(__xludf.DUMMYFUNCTION("""COMPUTED_VALUE"""),"짱구")</f>
        <v>짱구</v>
      </c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  <c r="AB1668" s="18"/>
    </row>
    <row r="1669">
      <c r="A1669" s="27" t="s">
        <v>6929</v>
      </c>
      <c r="B1669" s="28" t="s">
        <v>6930</v>
      </c>
      <c r="C1669" s="27" t="s">
        <v>6931</v>
      </c>
      <c r="D1669" s="27">
        <v>5.0</v>
      </c>
      <c r="E1669" s="27" t="s">
        <v>6932</v>
      </c>
      <c r="F1669" s="27">
        <v>2.0</v>
      </c>
      <c r="G1669" s="29">
        <v>45505.99930555555</v>
      </c>
      <c r="H1669" s="27" t="s">
        <v>6904</v>
      </c>
      <c r="I1669" s="18"/>
      <c r="J1669" s="25" t="str">
        <f>IFERROR(__xludf.DUMMYFUNCTION("ARRAYFORMULA(REGEXEXTRACT(SPLIT(C1669, ""&lt;br&gt;""), ""([가-힣A-Za-z]+)""))"),"강화")</f>
        <v>강화</v>
      </c>
      <c r="K1669" s="26" t="str">
        <f>IFERROR(__xludf.DUMMYFUNCTION("""COMPUTED_VALUE"""),"미등록")</f>
        <v>미등록</v>
      </c>
      <c r="L1669" s="26" t="str">
        <f>IFERROR(__xludf.DUMMYFUNCTION("""COMPUTED_VALUE"""),"오크")</f>
        <v>오크</v>
      </c>
      <c r="M1669" s="26" t="str">
        <f>IFERROR(__xludf.DUMMYFUNCTION("""COMPUTED_VALUE"""),"재우")</f>
        <v>재우</v>
      </c>
      <c r="N1669" s="26" t="str">
        <f>IFERROR(__xludf.DUMMYFUNCTION("ARRAYFORMULA(REGEXEXTRACT(SPLIT(E1669, ""&lt;br&gt;""), ""([가-힣A-Za-z]+)""))"),"ACDC")</f>
        <v>ACDC</v>
      </c>
      <c r="O1669" s="26" t="str">
        <f>IFERROR(__xludf.DUMMYFUNCTION("""COMPUTED_VALUE"""),"테리")</f>
        <v>테리</v>
      </c>
      <c r="P1669" s="26" t="str">
        <f>IFERROR(__xludf.DUMMYFUNCTION("""COMPUTED_VALUE"""),"재명")</f>
        <v>재명</v>
      </c>
      <c r="Q1669" s="26" t="str">
        <f>IFERROR(__xludf.DUMMYFUNCTION("""COMPUTED_VALUE"""),"키키")</f>
        <v>키키</v>
      </c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  <c r="AB1669" s="18"/>
    </row>
    <row r="1670">
      <c r="A1670" s="27" t="s">
        <v>6933</v>
      </c>
      <c r="B1670" s="28" t="s">
        <v>6934</v>
      </c>
      <c r="C1670" s="27" t="s">
        <v>6935</v>
      </c>
      <c r="D1670" s="27">
        <v>5.0</v>
      </c>
      <c r="E1670" s="27" t="s">
        <v>6936</v>
      </c>
      <c r="F1670" s="27">
        <v>3.0</v>
      </c>
      <c r="G1670" s="29">
        <v>45505.97152777778</v>
      </c>
      <c r="H1670" s="27" t="s">
        <v>6904</v>
      </c>
      <c r="I1670" s="18"/>
      <c r="J1670" s="25" t="str">
        <f>IFERROR(__xludf.DUMMYFUNCTION("ARRAYFORMULA(REGEXEXTRACT(SPLIT(C1670, ""&lt;br&gt;""), ""([가-힣A-Za-z]+)""))"),"테리")</f>
        <v>테리</v>
      </c>
      <c r="K1670" s="26" t="str">
        <f>IFERROR(__xludf.DUMMYFUNCTION("""COMPUTED_VALUE"""),"조심")</f>
        <v>조심</v>
      </c>
      <c r="L1670" s="26" t="str">
        <f>IFERROR(__xludf.DUMMYFUNCTION("""COMPUTED_VALUE"""),"강화")</f>
        <v>강화</v>
      </c>
      <c r="M1670" s="26" t="str">
        <f>IFERROR(__xludf.DUMMYFUNCTION("""COMPUTED_VALUE"""),"키키")</f>
        <v>키키</v>
      </c>
      <c r="N1670" s="26" t="str">
        <f>IFERROR(__xludf.DUMMYFUNCTION("ARRAYFORMULA(REGEXEXTRACT(SPLIT(E1670, ""&lt;br&gt;""), ""([가-힣A-Za-z]+)""))"),"ACDC")</f>
        <v>ACDC</v>
      </c>
      <c r="O1670" s="26" t="str">
        <f>IFERROR(__xludf.DUMMYFUNCTION("""COMPUTED_VALUE"""),"재우")</f>
        <v>재우</v>
      </c>
      <c r="P1670" s="26" t="str">
        <f>IFERROR(__xludf.DUMMYFUNCTION("""COMPUTED_VALUE"""),"한메")</f>
        <v>한메</v>
      </c>
      <c r="Q1670" s="26" t="str">
        <f>IFERROR(__xludf.DUMMYFUNCTION("""COMPUTED_VALUE"""),"짱구")</f>
        <v>짱구</v>
      </c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</row>
    <row r="1671">
      <c r="A1671" s="27" t="s">
        <v>6937</v>
      </c>
      <c r="B1671" s="28" t="s">
        <v>6938</v>
      </c>
      <c r="C1671" s="27" t="s">
        <v>6939</v>
      </c>
      <c r="D1671" s="27">
        <v>5.0</v>
      </c>
      <c r="E1671" s="27" t="s">
        <v>6940</v>
      </c>
      <c r="F1671" s="27">
        <v>2.0</v>
      </c>
      <c r="G1671" s="29">
        <v>45505.94652777778</v>
      </c>
      <c r="H1671" s="27" t="s">
        <v>6904</v>
      </c>
      <c r="I1671" s="18"/>
      <c r="J1671" s="25" t="str">
        <f>IFERROR(__xludf.DUMMYFUNCTION("ARRAYFORMULA(REGEXEXTRACT(SPLIT(C1671, ""&lt;br&gt;""), ""([가-힣A-Za-z]+)""))"),"한메")</f>
        <v>한메</v>
      </c>
      <c r="K1671" s="26" t="str">
        <f>IFERROR(__xludf.DUMMYFUNCTION("""COMPUTED_VALUE"""),"재우")</f>
        <v>재우</v>
      </c>
      <c r="L1671" s="26" t="str">
        <f>IFERROR(__xludf.DUMMYFUNCTION("""COMPUTED_VALUE"""),"조심")</f>
        <v>조심</v>
      </c>
      <c r="M1671" s="26" t="str">
        <f>IFERROR(__xludf.DUMMYFUNCTION("""COMPUTED_VALUE"""),"키키")</f>
        <v>키키</v>
      </c>
      <c r="N1671" s="26" t="str">
        <f>IFERROR(__xludf.DUMMYFUNCTION("ARRAYFORMULA(REGEXEXTRACT(SPLIT(E1671, ""&lt;br&gt;""), ""([가-힣A-Za-z]+)""))"),"짱구")</f>
        <v>짱구</v>
      </c>
      <c r="O1671" s="26" t="str">
        <f>IFERROR(__xludf.DUMMYFUNCTION("""COMPUTED_VALUE"""),"강화")</f>
        <v>강화</v>
      </c>
      <c r="P1671" s="26" t="str">
        <f>IFERROR(__xludf.DUMMYFUNCTION("""COMPUTED_VALUE"""),"테리")</f>
        <v>테리</v>
      </c>
      <c r="Q1671" s="26" t="str">
        <f>IFERROR(__xludf.DUMMYFUNCTION("""COMPUTED_VALUE"""),"ACDC")</f>
        <v>ACDC</v>
      </c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</row>
    <row r="1672">
      <c r="A1672" s="27" t="s">
        <v>6941</v>
      </c>
      <c r="B1672" s="28" t="s">
        <v>6942</v>
      </c>
      <c r="C1672" s="27" t="s">
        <v>6943</v>
      </c>
      <c r="D1672" s="27">
        <v>5.0</v>
      </c>
      <c r="E1672" s="27" t="s">
        <v>6944</v>
      </c>
      <c r="F1672" s="27">
        <v>1.0</v>
      </c>
      <c r="G1672" s="29">
        <v>45505.92083333333</v>
      </c>
      <c r="H1672" s="27" t="s">
        <v>6904</v>
      </c>
      <c r="I1672" s="18"/>
      <c r="J1672" s="25" t="str">
        <f>IFERROR(__xludf.DUMMYFUNCTION("ARRAYFORMULA(REGEXEXTRACT(SPLIT(C1672, ""&lt;br&gt;""), ""([가-힣A-Za-z]+)""))"),"키키")</f>
        <v>키키</v>
      </c>
      <c r="K1672" s="26" t="str">
        <f>IFERROR(__xludf.DUMMYFUNCTION("""COMPUTED_VALUE"""),"ACDC")</f>
        <v>ACDC</v>
      </c>
      <c r="L1672" s="26" t="str">
        <f>IFERROR(__xludf.DUMMYFUNCTION("""COMPUTED_VALUE"""),"조심")</f>
        <v>조심</v>
      </c>
      <c r="M1672" s="26" t="str">
        <f>IFERROR(__xludf.DUMMYFUNCTION("""COMPUTED_VALUE"""),"짱구")</f>
        <v>짱구</v>
      </c>
      <c r="N1672" s="26" t="str">
        <f>IFERROR(__xludf.DUMMYFUNCTION("ARRAYFORMULA(REGEXEXTRACT(SPLIT(E1672, ""&lt;br&gt;""), ""([가-힣A-Za-z]+)""))"),"한메")</f>
        <v>한메</v>
      </c>
      <c r="O1672" s="26" t="str">
        <f>IFERROR(__xludf.DUMMYFUNCTION("""COMPUTED_VALUE"""),"테리")</f>
        <v>테리</v>
      </c>
      <c r="P1672" s="26" t="str">
        <f>IFERROR(__xludf.DUMMYFUNCTION("""COMPUTED_VALUE"""),"강화")</f>
        <v>강화</v>
      </c>
      <c r="Q1672" s="26" t="str">
        <f>IFERROR(__xludf.DUMMYFUNCTION("""COMPUTED_VALUE"""),"재우")</f>
        <v>재우</v>
      </c>
      <c r="R1672" s="18"/>
      <c r="S1672" s="18"/>
      <c r="T1672" s="18"/>
      <c r="U1672" s="18"/>
      <c r="V1672" s="18"/>
      <c r="W1672" s="18"/>
      <c r="X1672" s="18"/>
      <c r="Y1672" s="18"/>
      <c r="Z1672" s="18"/>
      <c r="AA1672" s="18"/>
      <c r="AB1672" s="18"/>
    </row>
    <row r="1673">
      <c r="A1673" s="27" t="s">
        <v>6945</v>
      </c>
      <c r="B1673" s="28" t="s">
        <v>6946</v>
      </c>
      <c r="C1673" s="27" t="s">
        <v>6947</v>
      </c>
      <c r="D1673" s="27">
        <v>5.0</v>
      </c>
      <c r="E1673" s="27" t="s">
        <v>6948</v>
      </c>
      <c r="F1673" s="27">
        <v>2.0</v>
      </c>
      <c r="G1673" s="29">
        <v>45505.0375</v>
      </c>
      <c r="H1673" s="27" t="s">
        <v>6904</v>
      </c>
      <c r="I1673" s="18"/>
      <c r="J1673" s="25" t="str">
        <f>IFERROR(__xludf.DUMMYFUNCTION("ARRAYFORMULA(REGEXEXTRACT(SPLIT(C1673, ""&lt;br&gt;""), ""([가-힣A-Za-z]+)""))"),"민우")</f>
        <v>민우</v>
      </c>
      <c r="K1673" s="26" t="str">
        <f>IFERROR(__xludf.DUMMYFUNCTION("""COMPUTED_VALUE"""),"짱구")</f>
        <v>짱구</v>
      </c>
      <c r="L1673" s="26" t="str">
        <f>IFERROR(__xludf.DUMMYFUNCTION("""COMPUTED_VALUE"""),"ACDC")</f>
        <v>ACDC</v>
      </c>
      <c r="M1673" s="26" t="str">
        <f>IFERROR(__xludf.DUMMYFUNCTION("""COMPUTED_VALUE"""),"조드")</f>
        <v>조드</v>
      </c>
      <c r="N1673" s="26" t="str">
        <f>IFERROR(__xludf.DUMMYFUNCTION("ARRAYFORMULA(REGEXEXTRACT(SPLIT(E1673, ""&lt;br&gt;""), ""([가-힣A-Za-z]+)""))"),"신형만")</f>
        <v>신형만</v>
      </c>
      <c r="O1673" s="26" t="str">
        <f>IFERROR(__xludf.DUMMYFUNCTION("""COMPUTED_VALUE"""),"깡패")</f>
        <v>깡패</v>
      </c>
      <c r="P1673" s="26" t="str">
        <f>IFERROR(__xludf.DUMMYFUNCTION("""COMPUTED_VALUE"""),"미등록")</f>
        <v>미등록</v>
      </c>
      <c r="Q1673" s="26" t="str">
        <f>IFERROR(__xludf.DUMMYFUNCTION("""COMPUTED_VALUE"""),"키키")</f>
        <v>키키</v>
      </c>
      <c r="R1673" s="18"/>
      <c r="S1673" s="18"/>
      <c r="T1673" s="18"/>
      <c r="U1673" s="18"/>
      <c r="V1673" s="18"/>
      <c r="W1673" s="18"/>
      <c r="X1673" s="18"/>
      <c r="Y1673" s="18"/>
      <c r="Z1673" s="18"/>
      <c r="AA1673" s="18"/>
      <c r="AB1673" s="18"/>
    </row>
    <row r="1674">
      <c r="A1674" s="27" t="s">
        <v>6949</v>
      </c>
      <c r="B1674" s="28" t="s">
        <v>6950</v>
      </c>
      <c r="C1674" s="27" t="s">
        <v>6951</v>
      </c>
      <c r="D1674" s="27">
        <v>5.0</v>
      </c>
      <c r="E1674" s="27" t="s">
        <v>6952</v>
      </c>
      <c r="F1674" s="27">
        <v>3.0</v>
      </c>
      <c r="G1674" s="29">
        <v>45505.004166666666</v>
      </c>
      <c r="H1674" s="27" t="s">
        <v>6904</v>
      </c>
      <c r="I1674" s="18"/>
      <c r="J1674" s="25" t="str">
        <f>IFERROR(__xludf.DUMMYFUNCTION("ARRAYFORMULA(REGEXEXTRACT(SPLIT(C1674, ""&lt;br&gt;""), ""([가-힣A-Za-z]+)""))"),"ACDC")</f>
        <v>ACDC</v>
      </c>
      <c r="K1674" s="26" t="str">
        <f>IFERROR(__xludf.DUMMYFUNCTION("""COMPUTED_VALUE"""),"조드")</f>
        <v>조드</v>
      </c>
      <c r="L1674" s="26" t="str">
        <f>IFERROR(__xludf.DUMMYFUNCTION("""COMPUTED_VALUE"""),"미등록")</f>
        <v>미등록</v>
      </c>
      <c r="M1674" s="26" t="str">
        <f>IFERROR(__xludf.DUMMYFUNCTION("""COMPUTED_VALUE"""),"민우")</f>
        <v>민우</v>
      </c>
      <c r="N1674" s="26" t="str">
        <f>IFERROR(__xludf.DUMMYFUNCTION("ARRAYFORMULA(REGEXEXTRACT(SPLIT(E1674, ""&lt;br&gt;""), ""([가-힣A-Za-z]+)""))"),"강화")</f>
        <v>강화</v>
      </c>
      <c r="O1674" s="26" t="str">
        <f>IFERROR(__xludf.DUMMYFUNCTION("""COMPUTED_VALUE"""),"키키")</f>
        <v>키키</v>
      </c>
      <c r="P1674" s="26" t="str">
        <f>IFERROR(__xludf.DUMMYFUNCTION("""COMPUTED_VALUE"""),"짱구")</f>
        <v>짱구</v>
      </c>
      <c r="Q1674" s="26" t="str">
        <f>IFERROR(__xludf.DUMMYFUNCTION("""COMPUTED_VALUE"""),"신형만")</f>
        <v>신형만</v>
      </c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  <c r="AB1674" s="18"/>
    </row>
    <row r="1675">
      <c r="A1675" s="27" t="s">
        <v>6953</v>
      </c>
      <c r="B1675" s="28" t="s">
        <v>6954</v>
      </c>
      <c r="C1675" s="27" t="s">
        <v>6955</v>
      </c>
      <c r="D1675" s="27">
        <v>5.0</v>
      </c>
      <c r="E1675" s="27" t="s">
        <v>6956</v>
      </c>
      <c r="F1675" s="27">
        <v>1.0</v>
      </c>
      <c r="G1675" s="29">
        <v>45504.98055555556</v>
      </c>
      <c r="H1675" s="27" t="s">
        <v>6904</v>
      </c>
      <c r="I1675" s="18"/>
      <c r="J1675" s="25" t="str">
        <f>IFERROR(__xludf.DUMMYFUNCTION("ARRAYFORMULA(REGEXEXTRACT(SPLIT(C1675, ""&lt;br&gt;""), ""([가-힣A-Za-z]+)""))"),"강화")</f>
        <v>강화</v>
      </c>
      <c r="K1675" s="26" t="str">
        <f>IFERROR(__xludf.DUMMYFUNCTION("""COMPUTED_VALUE"""),"키키")</f>
        <v>키키</v>
      </c>
      <c r="L1675" s="26" t="str">
        <f>IFERROR(__xludf.DUMMYFUNCTION("""COMPUTED_VALUE"""),"조드")</f>
        <v>조드</v>
      </c>
      <c r="M1675" s="26" t="str">
        <f>IFERROR(__xludf.DUMMYFUNCTION("""COMPUTED_VALUE"""),"신형만")</f>
        <v>신형만</v>
      </c>
      <c r="N1675" s="26" t="str">
        <f>IFERROR(__xludf.DUMMYFUNCTION("ARRAYFORMULA(REGEXEXTRACT(SPLIT(E1675, ""&lt;br&gt;""), ""([가-힣A-Za-z]+)""))"),"아이딘")</f>
        <v>아이딘</v>
      </c>
      <c r="O1675" s="26" t="str">
        <f>IFERROR(__xludf.DUMMYFUNCTION("""COMPUTED_VALUE"""),"ACDC")</f>
        <v>ACDC</v>
      </c>
      <c r="P1675" s="26" t="str">
        <f>IFERROR(__xludf.DUMMYFUNCTION("""COMPUTED_VALUE"""),"테리")</f>
        <v>테리</v>
      </c>
      <c r="Q1675" s="26" t="str">
        <f>IFERROR(__xludf.DUMMYFUNCTION("""COMPUTED_VALUE"""),"민우")</f>
        <v>민우</v>
      </c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  <c r="AB1675" s="18"/>
    </row>
    <row r="1676">
      <c r="A1676" s="27" t="s">
        <v>6957</v>
      </c>
      <c r="B1676" s="28" t="s">
        <v>6958</v>
      </c>
      <c r="C1676" s="27" t="s">
        <v>6959</v>
      </c>
      <c r="D1676" s="27">
        <v>5.0</v>
      </c>
      <c r="E1676" s="27" t="s">
        <v>6960</v>
      </c>
      <c r="F1676" s="27">
        <v>2.0</v>
      </c>
      <c r="G1676" s="29">
        <v>45504.96111111111</v>
      </c>
      <c r="H1676" s="27" t="s">
        <v>6904</v>
      </c>
      <c r="I1676" s="18"/>
      <c r="J1676" s="25" t="str">
        <f>IFERROR(__xludf.DUMMYFUNCTION("ARRAYFORMULA(REGEXEXTRACT(SPLIT(C1676, ""&lt;br&gt;""), ""([가-힣A-Za-z]+)""))"),"아이딘")</f>
        <v>아이딘</v>
      </c>
      <c r="K1676" s="26" t="str">
        <f>IFERROR(__xludf.DUMMYFUNCTION("""COMPUTED_VALUE"""),"짱구")</f>
        <v>짱구</v>
      </c>
      <c r="L1676" s="26" t="str">
        <f>IFERROR(__xludf.DUMMYFUNCTION("""COMPUTED_VALUE"""),"민우")</f>
        <v>민우</v>
      </c>
      <c r="M1676" s="26" t="str">
        <f>IFERROR(__xludf.DUMMYFUNCTION("""COMPUTED_VALUE"""),"랄")</f>
        <v>랄</v>
      </c>
      <c r="N1676" s="26" t="str">
        <f>IFERROR(__xludf.DUMMYFUNCTION("ARRAYFORMULA(REGEXEXTRACT(SPLIT(E1676, ""&lt;br&gt;""), ""([가-힣A-Za-z]+)""))"),"한메")</f>
        <v>한메</v>
      </c>
      <c r="O1676" s="26" t="str">
        <f>IFERROR(__xludf.DUMMYFUNCTION("""COMPUTED_VALUE"""),"키키")</f>
        <v>키키</v>
      </c>
      <c r="P1676" s="26" t="str">
        <f>IFERROR(__xludf.DUMMYFUNCTION("""COMPUTED_VALUE"""),"ACDC")</f>
        <v>ACDC</v>
      </c>
      <c r="Q1676" s="26" t="str">
        <f>IFERROR(__xludf.DUMMYFUNCTION("""COMPUTED_VALUE"""),"강화")</f>
        <v>강화</v>
      </c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  <c r="AB1676" s="18"/>
    </row>
    <row r="1677">
      <c r="A1677" s="27" t="s">
        <v>6961</v>
      </c>
      <c r="B1677" s="28" t="s">
        <v>6962</v>
      </c>
      <c r="C1677" s="27" t="s">
        <v>6963</v>
      </c>
      <c r="D1677" s="27">
        <v>5.0</v>
      </c>
      <c r="E1677" s="27" t="s">
        <v>6964</v>
      </c>
      <c r="F1677" s="27">
        <v>1.0</v>
      </c>
      <c r="G1677" s="29">
        <v>45504.938888888886</v>
      </c>
      <c r="H1677" s="27" t="s">
        <v>6904</v>
      </c>
      <c r="I1677" s="18"/>
      <c r="J1677" s="25" t="str">
        <f>IFERROR(__xludf.DUMMYFUNCTION("ARRAYFORMULA(REGEXEXTRACT(SPLIT(C1677, ""&lt;br&gt;""), ""([가-힣A-Za-z]+)""))"),"짱구")</f>
        <v>짱구</v>
      </c>
      <c r="K1677" s="26" t="str">
        <f>IFERROR(__xludf.DUMMYFUNCTION("""COMPUTED_VALUE"""),"랄")</f>
        <v>랄</v>
      </c>
      <c r="L1677" s="26" t="str">
        <f>IFERROR(__xludf.DUMMYFUNCTION("""COMPUTED_VALUE"""),"신형만")</f>
        <v>신형만</v>
      </c>
      <c r="M1677" s="26" t="str">
        <f>IFERROR(__xludf.DUMMYFUNCTION("""COMPUTED_VALUE"""),"한메")</f>
        <v>한메</v>
      </c>
      <c r="N1677" s="26" t="str">
        <f>IFERROR(__xludf.DUMMYFUNCTION("ARRAYFORMULA(REGEXEXTRACT(SPLIT(E1677, ""&lt;br&gt;""), ""([가-힣A-Za-z]+)""))"),"아이딘")</f>
        <v>아이딘</v>
      </c>
      <c r="O1677" s="26" t="str">
        <f>IFERROR(__xludf.DUMMYFUNCTION("""COMPUTED_VALUE"""),"ACDC")</f>
        <v>ACDC</v>
      </c>
      <c r="P1677" s="26" t="str">
        <f>IFERROR(__xludf.DUMMYFUNCTION("""COMPUTED_VALUE"""),"강화")</f>
        <v>강화</v>
      </c>
      <c r="Q1677" s="26" t="str">
        <f>IFERROR(__xludf.DUMMYFUNCTION("""COMPUTED_VALUE"""),"키키")</f>
        <v>키키</v>
      </c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  <c r="AB1677" s="18"/>
    </row>
    <row r="1678">
      <c r="A1678" s="27" t="s">
        <v>6965</v>
      </c>
      <c r="B1678" s="28" t="s">
        <v>6966</v>
      </c>
      <c r="C1678" s="27" t="s">
        <v>6967</v>
      </c>
      <c r="D1678" s="27">
        <v>5.0</v>
      </c>
      <c r="E1678" s="27" t="s">
        <v>6968</v>
      </c>
      <c r="F1678" s="27">
        <v>2.0</v>
      </c>
      <c r="G1678" s="29">
        <v>45504.92152777778</v>
      </c>
      <c r="H1678" s="27" t="s">
        <v>6904</v>
      </c>
      <c r="I1678" s="18"/>
      <c r="J1678" s="25" t="str">
        <f>IFERROR(__xludf.DUMMYFUNCTION("ARRAYFORMULA(REGEXEXTRACT(SPLIT(C1678, ""&lt;br&gt;""), ""([가-힣A-Za-z]+)""))"),"아이딘")</f>
        <v>아이딘</v>
      </c>
      <c r="K1678" s="26" t="str">
        <f>IFERROR(__xludf.DUMMYFUNCTION("""COMPUTED_VALUE"""),"짱구")</f>
        <v>짱구</v>
      </c>
      <c r="L1678" s="26" t="str">
        <f>IFERROR(__xludf.DUMMYFUNCTION("""COMPUTED_VALUE"""),"강화")</f>
        <v>강화</v>
      </c>
      <c r="M1678" s="26" t="str">
        <f>IFERROR(__xludf.DUMMYFUNCTION("""COMPUTED_VALUE"""),"신형만")</f>
        <v>신형만</v>
      </c>
      <c r="N1678" s="26" t="str">
        <f>IFERROR(__xludf.DUMMYFUNCTION("ARRAYFORMULA(REGEXEXTRACT(SPLIT(E1678, ""&lt;br&gt;""), ""([가-힣A-Za-z]+)""))"),"랄")</f>
        <v>랄</v>
      </c>
      <c r="O1678" s="26" t="str">
        <f>IFERROR(__xludf.DUMMYFUNCTION("""COMPUTED_VALUE"""),"ACDC")</f>
        <v>ACDC</v>
      </c>
      <c r="P1678" s="26" t="str">
        <f>IFERROR(__xludf.DUMMYFUNCTION("""COMPUTED_VALUE"""),"재명")</f>
        <v>재명</v>
      </c>
      <c r="Q1678" s="26" t="str">
        <f>IFERROR(__xludf.DUMMYFUNCTION("""COMPUTED_VALUE"""),"한메")</f>
        <v>한메</v>
      </c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  <c r="AB1678" s="18"/>
    </row>
    <row r="1679">
      <c r="A1679" s="27" t="s">
        <v>6969</v>
      </c>
      <c r="B1679" s="28" t="s">
        <v>6970</v>
      </c>
      <c r="C1679" s="27" t="s">
        <v>6971</v>
      </c>
      <c r="D1679" s="27">
        <v>5.0</v>
      </c>
      <c r="E1679" s="27" t="s">
        <v>6972</v>
      </c>
      <c r="F1679" s="27">
        <v>4.0</v>
      </c>
      <c r="G1679" s="29">
        <v>45504.90625</v>
      </c>
      <c r="H1679" s="27" t="s">
        <v>6904</v>
      </c>
      <c r="I1679" s="18"/>
      <c r="J1679" s="25" t="str">
        <f>IFERROR(__xludf.DUMMYFUNCTION("ARRAYFORMULA(REGEXEXTRACT(SPLIT(C1679, ""&lt;br&gt;""), ""([가-힣A-Za-z]+)""))"),"아이딘")</f>
        <v>아이딘</v>
      </c>
      <c r="K1679" s="26" t="str">
        <f>IFERROR(__xludf.DUMMYFUNCTION("""COMPUTED_VALUE"""),"한메")</f>
        <v>한메</v>
      </c>
      <c r="L1679" s="26" t="str">
        <f>IFERROR(__xludf.DUMMYFUNCTION("""COMPUTED_VALUE"""),"재명")</f>
        <v>재명</v>
      </c>
      <c r="M1679" s="26" t="str">
        <f>IFERROR(__xludf.DUMMYFUNCTION("""COMPUTED_VALUE"""),"신형만")</f>
        <v>신형만</v>
      </c>
      <c r="N1679" s="26" t="str">
        <f>IFERROR(__xludf.DUMMYFUNCTION("ARRAYFORMULA(REGEXEXTRACT(SPLIT(E1679, ""&lt;br&gt;""), ""([가-힣A-Za-z]+)""))"),"짱구")</f>
        <v>짱구</v>
      </c>
      <c r="O1679" s="26" t="str">
        <f>IFERROR(__xludf.DUMMYFUNCTION("""COMPUTED_VALUE"""),"ACDC")</f>
        <v>ACDC</v>
      </c>
      <c r="P1679" s="26" t="str">
        <f>IFERROR(__xludf.DUMMYFUNCTION("""COMPUTED_VALUE"""),"랄")</f>
        <v>랄</v>
      </c>
      <c r="Q1679" s="26" t="str">
        <f>IFERROR(__xludf.DUMMYFUNCTION("""COMPUTED_VALUE"""),"강화")</f>
        <v>강화</v>
      </c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</row>
    <row r="1680">
      <c r="A1680" s="27" t="s">
        <v>6973</v>
      </c>
      <c r="B1680" s="28" t="s">
        <v>6974</v>
      </c>
      <c r="C1680" s="27" t="s">
        <v>6975</v>
      </c>
      <c r="D1680" s="27">
        <v>5.0</v>
      </c>
      <c r="E1680" s="27" t="s">
        <v>6976</v>
      </c>
      <c r="F1680" s="27">
        <v>4.0</v>
      </c>
      <c r="G1680" s="29">
        <v>45504.044444444444</v>
      </c>
      <c r="H1680" s="27" t="s">
        <v>6904</v>
      </c>
      <c r="I1680" s="18"/>
      <c r="J1680" s="25" t="str">
        <f>IFERROR(__xludf.DUMMYFUNCTION("ARRAYFORMULA(REGEXEXTRACT(SPLIT(C1680, ""&lt;br&gt;""), ""([가-힣A-Za-z]+)""))"),"강화")</f>
        <v>강화</v>
      </c>
      <c r="K1680" s="26" t="str">
        <f>IFERROR(__xludf.DUMMYFUNCTION("""COMPUTED_VALUE"""),"ACDC")</f>
        <v>ACDC</v>
      </c>
      <c r="L1680" s="26" t="str">
        <f>IFERROR(__xludf.DUMMYFUNCTION("""COMPUTED_VALUE"""),"신형만")</f>
        <v>신형만</v>
      </c>
      <c r="M1680" s="26" t="str">
        <f>IFERROR(__xludf.DUMMYFUNCTION("""COMPUTED_VALUE"""),"키키")</f>
        <v>키키</v>
      </c>
      <c r="N1680" s="26" t="str">
        <f>IFERROR(__xludf.DUMMYFUNCTION("ARRAYFORMULA(REGEXEXTRACT(SPLIT(E1680, ""&lt;br&gt;""), ""([가-힣A-Za-z]+)""))"),"짱구")</f>
        <v>짱구</v>
      </c>
      <c r="O1680" s="26" t="str">
        <f>IFERROR(__xludf.DUMMYFUNCTION("""COMPUTED_VALUE"""),"테리")</f>
        <v>테리</v>
      </c>
      <c r="P1680" s="26" t="str">
        <f>IFERROR(__xludf.DUMMYFUNCTION("""COMPUTED_VALUE"""),"팰리")</f>
        <v>팰리</v>
      </c>
      <c r="Q1680" s="26" t="str">
        <f>IFERROR(__xludf.DUMMYFUNCTION("""COMPUTED_VALUE"""),"깡패")</f>
        <v>깡패</v>
      </c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</row>
    <row r="1681">
      <c r="A1681" s="27" t="s">
        <v>6977</v>
      </c>
      <c r="B1681" s="28" t="s">
        <v>6978</v>
      </c>
      <c r="C1681" s="27" t="s">
        <v>6979</v>
      </c>
      <c r="D1681" s="27">
        <v>5.0</v>
      </c>
      <c r="E1681" s="27" t="s">
        <v>6980</v>
      </c>
      <c r="F1681" s="27">
        <v>4.0</v>
      </c>
      <c r="G1681" s="29">
        <v>45504.01111111111</v>
      </c>
      <c r="H1681" s="27" t="s">
        <v>6904</v>
      </c>
      <c r="I1681" s="18"/>
      <c r="J1681" s="25" t="str">
        <f>IFERROR(__xludf.DUMMYFUNCTION("ARRAYFORMULA(REGEXEXTRACT(SPLIT(C1681, ""&lt;br&gt;""), ""([가-힣A-Za-z]+)""))"),"짱구")</f>
        <v>짱구</v>
      </c>
      <c r="K1681" s="26" t="str">
        <f>IFERROR(__xludf.DUMMYFUNCTION("""COMPUTED_VALUE"""),"팰리")</f>
        <v>팰리</v>
      </c>
      <c r="L1681" s="26" t="str">
        <f>IFERROR(__xludf.DUMMYFUNCTION("""COMPUTED_VALUE"""),"강화")</f>
        <v>강화</v>
      </c>
      <c r="M1681" s="26" t="str">
        <f>IFERROR(__xludf.DUMMYFUNCTION("""COMPUTED_VALUE"""),"깡패")</f>
        <v>깡패</v>
      </c>
      <c r="N1681" s="26" t="str">
        <f>IFERROR(__xludf.DUMMYFUNCTION("ARRAYFORMULA(REGEXEXTRACT(SPLIT(E1681, ""&lt;br&gt;""), ""([가-힣A-Za-z]+)""))"),"키키")</f>
        <v>키키</v>
      </c>
      <c r="O1681" s="26" t="str">
        <f>IFERROR(__xludf.DUMMYFUNCTION("""COMPUTED_VALUE"""),"한메")</f>
        <v>한메</v>
      </c>
      <c r="P1681" s="26" t="str">
        <f>IFERROR(__xludf.DUMMYFUNCTION("""COMPUTED_VALUE"""),"ACDC")</f>
        <v>ACDC</v>
      </c>
      <c r="Q1681" s="26" t="str">
        <f>IFERROR(__xludf.DUMMYFUNCTION("""COMPUTED_VALUE"""),"신형만")</f>
        <v>신형만</v>
      </c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</row>
    <row r="1682">
      <c r="A1682" s="27" t="s">
        <v>6981</v>
      </c>
      <c r="B1682" s="28" t="s">
        <v>6982</v>
      </c>
      <c r="C1682" s="27" t="s">
        <v>6983</v>
      </c>
      <c r="D1682" s="27">
        <v>5.0</v>
      </c>
      <c r="E1682" s="27" t="s">
        <v>6984</v>
      </c>
      <c r="F1682" s="27">
        <v>1.0</v>
      </c>
      <c r="G1682" s="29">
        <v>45503.98541666667</v>
      </c>
      <c r="H1682" s="27" t="s">
        <v>6904</v>
      </c>
      <c r="I1682" s="18"/>
      <c r="J1682" s="25" t="str">
        <f>IFERROR(__xludf.DUMMYFUNCTION("ARRAYFORMULA(REGEXEXTRACT(SPLIT(C1682, ""&lt;br&gt;""), ""([가-힣A-Za-z]+)""))"),"ACDC")</f>
        <v>ACDC</v>
      </c>
      <c r="K1682" s="26" t="str">
        <f>IFERROR(__xludf.DUMMYFUNCTION("""COMPUTED_VALUE"""),"짱구")</f>
        <v>짱구</v>
      </c>
      <c r="L1682" s="26" t="str">
        <f>IFERROR(__xludf.DUMMYFUNCTION("""COMPUTED_VALUE"""),"키키")</f>
        <v>키키</v>
      </c>
      <c r="M1682" s="26" t="str">
        <f>IFERROR(__xludf.DUMMYFUNCTION("""COMPUTED_VALUE"""),"깡패")</f>
        <v>깡패</v>
      </c>
      <c r="N1682" s="26" t="str">
        <f>IFERROR(__xludf.DUMMYFUNCTION("ARRAYFORMULA(REGEXEXTRACT(SPLIT(E1682, ""&lt;br&gt;""), ""([가-힣A-Za-z]+)""))"),"신형만")</f>
        <v>신형만</v>
      </c>
      <c r="O1682" s="26" t="str">
        <f>IFERROR(__xludf.DUMMYFUNCTION("""COMPUTED_VALUE"""),"강화")</f>
        <v>강화</v>
      </c>
      <c r="P1682" s="26" t="str">
        <f>IFERROR(__xludf.DUMMYFUNCTION("""COMPUTED_VALUE"""),"팰리")</f>
        <v>팰리</v>
      </c>
      <c r="Q1682" s="26" t="str">
        <f>IFERROR(__xludf.DUMMYFUNCTION("""COMPUTED_VALUE"""),"한메")</f>
        <v>한메</v>
      </c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  <c r="AB1682" s="18"/>
    </row>
    <row r="1683">
      <c r="A1683" s="27" t="s">
        <v>6985</v>
      </c>
      <c r="B1683" s="28" t="s">
        <v>6986</v>
      </c>
      <c r="C1683" s="27" t="s">
        <v>6987</v>
      </c>
      <c r="D1683" s="27">
        <v>5.0</v>
      </c>
      <c r="E1683" s="27" t="s">
        <v>6988</v>
      </c>
      <c r="F1683" s="27">
        <v>1.0</v>
      </c>
      <c r="G1683" s="29">
        <v>45503.970138888886</v>
      </c>
      <c r="H1683" s="27" t="s">
        <v>6904</v>
      </c>
      <c r="I1683" s="18"/>
      <c r="J1683" s="25" t="str">
        <f>IFERROR(__xludf.DUMMYFUNCTION("ARRAYFORMULA(REGEXEXTRACT(SPLIT(C1683, ""&lt;br&gt;""), ""([가-힣A-Za-z]+)""))"),"강화")</f>
        <v>강화</v>
      </c>
      <c r="K1683" s="26" t="str">
        <f>IFERROR(__xludf.DUMMYFUNCTION("""COMPUTED_VALUE"""),"짱구")</f>
        <v>짱구</v>
      </c>
      <c r="L1683" s="26" t="str">
        <f>IFERROR(__xludf.DUMMYFUNCTION("""COMPUTED_VALUE"""),"ACDC")</f>
        <v>ACDC</v>
      </c>
      <c r="M1683" s="26" t="str">
        <f>IFERROR(__xludf.DUMMYFUNCTION("""COMPUTED_VALUE"""),"키키")</f>
        <v>키키</v>
      </c>
      <c r="N1683" s="26" t="str">
        <f>IFERROR(__xludf.DUMMYFUNCTION("ARRAYFORMULA(REGEXEXTRACT(SPLIT(E1683, ""&lt;br&gt;""), ""([가-힣A-Za-z]+)""))"),"깡패")</f>
        <v>깡패</v>
      </c>
      <c r="O1683" s="26" t="str">
        <f>IFERROR(__xludf.DUMMYFUNCTION("""COMPUTED_VALUE"""),"팰리")</f>
        <v>팰리</v>
      </c>
      <c r="P1683" s="26" t="str">
        <f>IFERROR(__xludf.DUMMYFUNCTION("""COMPUTED_VALUE"""),"한메")</f>
        <v>한메</v>
      </c>
      <c r="Q1683" s="26" t="str">
        <f>IFERROR(__xludf.DUMMYFUNCTION("""COMPUTED_VALUE"""),"신형만")</f>
        <v>신형만</v>
      </c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  <c r="AB1683" s="18"/>
    </row>
    <row r="1684">
      <c r="A1684" s="27" t="s">
        <v>6989</v>
      </c>
      <c r="B1684" s="28" t="s">
        <v>6990</v>
      </c>
      <c r="C1684" s="27" t="s">
        <v>6991</v>
      </c>
      <c r="D1684" s="27">
        <v>5.0</v>
      </c>
      <c r="E1684" s="27" t="s">
        <v>6992</v>
      </c>
      <c r="F1684" s="27">
        <v>0.0</v>
      </c>
      <c r="G1684" s="29">
        <v>45503.95694444444</v>
      </c>
      <c r="H1684" s="27" t="s">
        <v>6904</v>
      </c>
      <c r="I1684" s="18"/>
      <c r="J1684" s="25" t="str">
        <f>IFERROR(__xludf.DUMMYFUNCTION("ARRAYFORMULA(REGEXEXTRACT(SPLIT(C1684, ""&lt;br&gt;""), ""([가-힣A-Za-z]+)""))"),"신형만")</f>
        <v>신형만</v>
      </c>
      <c r="K1684" s="26" t="str">
        <f>IFERROR(__xludf.DUMMYFUNCTION("""COMPUTED_VALUE"""),"짱구")</f>
        <v>짱구</v>
      </c>
      <c r="L1684" s="26" t="str">
        <f>IFERROR(__xludf.DUMMYFUNCTION("""COMPUTED_VALUE"""),"한메")</f>
        <v>한메</v>
      </c>
      <c r="M1684" s="26" t="str">
        <f>IFERROR(__xludf.DUMMYFUNCTION("""COMPUTED_VALUE"""),"키키")</f>
        <v>키키</v>
      </c>
      <c r="N1684" s="26" t="str">
        <f>IFERROR(__xludf.DUMMYFUNCTION("ARRAYFORMULA(REGEXEXTRACT(SPLIT(E1684, ""&lt;br&gt;""), ""([가-힣A-Za-z]+)""))"),"강화")</f>
        <v>강화</v>
      </c>
      <c r="O1684" s="26" t="str">
        <f>IFERROR(__xludf.DUMMYFUNCTION("""COMPUTED_VALUE"""),"봉구")</f>
        <v>봉구</v>
      </c>
      <c r="P1684" s="26" t="str">
        <f>IFERROR(__xludf.DUMMYFUNCTION("""COMPUTED_VALUE"""),"ACDC")</f>
        <v>ACDC</v>
      </c>
      <c r="Q1684" s="26" t="str">
        <f>IFERROR(__xludf.DUMMYFUNCTION("""COMPUTED_VALUE"""),"깡패")</f>
        <v>깡패</v>
      </c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</row>
    <row r="1685">
      <c r="A1685" s="27" t="s">
        <v>6993</v>
      </c>
      <c r="B1685" s="28" t="s">
        <v>6994</v>
      </c>
      <c r="C1685" s="27" t="s">
        <v>6995</v>
      </c>
      <c r="D1685" s="27">
        <v>5.0</v>
      </c>
      <c r="E1685" s="27" t="s">
        <v>6996</v>
      </c>
      <c r="F1685" s="27">
        <v>4.0</v>
      </c>
      <c r="G1685" s="29">
        <v>45503.947916666664</v>
      </c>
      <c r="H1685" s="27" t="s">
        <v>6904</v>
      </c>
      <c r="I1685" s="18"/>
      <c r="J1685" s="25" t="str">
        <f>IFERROR(__xludf.DUMMYFUNCTION("ARRAYFORMULA(REGEXEXTRACT(SPLIT(C1685, ""&lt;br&gt;""), ""([가-힣A-Za-z]+)""))"),"짱구")</f>
        <v>짱구</v>
      </c>
      <c r="K1685" s="26" t="str">
        <f>IFERROR(__xludf.DUMMYFUNCTION("""COMPUTED_VALUE"""),"테리")</f>
        <v>테리</v>
      </c>
      <c r="L1685" s="26" t="str">
        <f>IFERROR(__xludf.DUMMYFUNCTION("""COMPUTED_VALUE"""),"봉구")</f>
        <v>봉구</v>
      </c>
      <c r="M1685" s="26" t="str">
        <f>IFERROR(__xludf.DUMMYFUNCTION("""COMPUTED_VALUE"""),"한메")</f>
        <v>한메</v>
      </c>
      <c r="N1685" s="26" t="str">
        <f>IFERROR(__xludf.DUMMYFUNCTION("ARRAYFORMULA(REGEXEXTRACT(SPLIT(E1685, ""&lt;br&gt;""), ""([가-힣A-Za-z]+)""))"),"신형만")</f>
        <v>신형만</v>
      </c>
      <c r="O1685" s="26" t="str">
        <f>IFERROR(__xludf.DUMMYFUNCTION("""COMPUTED_VALUE"""),"ACDC")</f>
        <v>ACDC</v>
      </c>
      <c r="P1685" s="26" t="str">
        <f>IFERROR(__xludf.DUMMYFUNCTION("""COMPUTED_VALUE"""),"키키")</f>
        <v>키키</v>
      </c>
      <c r="Q1685" s="26" t="str">
        <f>IFERROR(__xludf.DUMMYFUNCTION("""COMPUTED_VALUE"""),"강화")</f>
        <v>강화</v>
      </c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</row>
    <row r="1686">
      <c r="A1686" s="27" t="s">
        <v>6997</v>
      </c>
      <c r="B1686" s="28" t="s">
        <v>6998</v>
      </c>
      <c r="C1686" s="27" t="s">
        <v>6999</v>
      </c>
      <c r="D1686" s="27">
        <v>5.0</v>
      </c>
      <c r="E1686" s="27" t="s">
        <v>7000</v>
      </c>
      <c r="F1686" s="27">
        <v>2.0</v>
      </c>
      <c r="G1686" s="29">
        <v>45503.92083333333</v>
      </c>
      <c r="H1686" s="27" t="s">
        <v>6904</v>
      </c>
      <c r="I1686" s="18"/>
      <c r="J1686" s="25" t="str">
        <f>IFERROR(__xludf.DUMMYFUNCTION("ARRAYFORMULA(REGEXEXTRACT(SPLIT(C1686, ""&lt;br&gt;""), ""([가-힣A-Za-z]+)""))"),"한메")</f>
        <v>한메</v>
      </c>
      <c r="K1686" s="26" t="str">
        <f>IFERROR(__xludf.DUMMYFUNCTION("""COMPUTED_VALUE"""),"짱구")</f>
        <v>짱구</v>
      </c>
      <c r="L1686" s="26" t="str">
        <f>IFERROR(__xludf.DUMMYFUNCTION("""COMPUTED_VALUE"""),"강화")</f>
        <v>강화</v>
      </c>
      <c r="M1686" s="26" t="str">
        <f>IFERROR(__xludf.DUMMYFUNCTION("""COMPUTED_VALUE"""),"신형만")</f>
        <v>신형만</v>
      </c>
      <c r="N1686" s="26" t="str">
        <f>IFERROR(__xludf.DUMMYFUNCTION("ARRAYFORMULA(REGEXEXTRACT(SPLIT(E1686, ""&lt;br&gt;""), ""([가-힣A-Za-z]+)""))"),"ACDC")</f>
        <v>ACDC</v>
      </c>
      <c r="O1686" s="26" t="str">
        <f>IFERROR(__xludf.DUMMYFUNCTION("""COMPUTED_VALUE"""),"봉구")</f>
        <v>봉구</v>
      </c>
      <c r="P1686" s="26" t="str">
        <f>IFERROR(__xludf.DUMMYFUNCTION("""COMPUTED_VALUE"""),"테리")</f>
        <v>테리</v>
      </c>
      <c r="Q1686" s="26" t="str">
        <f>IFERROR(__xludf.DUMMYFUNCTION("""COMPUTED_VALUE"""),"키키")</f>
        <v>키키</v>
      </c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</row>
    <row r="1687">
      <c r="A1687" s="27" t="s">
        <v>7001</v>
      </c>
      <c r="B1687" s="28" t="s">
        <v>7002</v>
      </c>
      <c r="C1687" s="27" t="s">
        <v>7003</v>
      </c>
      <c r="D1687" s="27">
        <v>5.0</v>
      </c>
      <c r="E1687" s="27" t="s">
        <v>7004</v>
      </c>
      <c r="F1687" s="27">
        <v>1.0</v>
      </c>
      <c r="G1687" s="29">
        <v>45503.90277777778</v>
      </c>
      <c r="H1687" s="27" t="s">
        <v>6904</v>
      </c>
      <c r="I1687" s="18"/>
      <c r="J1687" s="25" t="str">
        <f>IFERROR(__xludf.DUMMYFUNCTION("ARRAYFORMULA(REGEXEXTRACT(SPLIT(C1687, ""&lt;br&gt;""), ""([가-힣A-Za-z]+)""))"),"한메")</f>
        <v>한메</v>
      </c>
      <c r="K1687" s="26" t="str">
        <f>IFERROR(__xludf.DUMMYFUNCTION("""COMPUTED_VALUE"""),"ACDC")</f>
        <v>ACDC</v>
      </c>
      <c r="L1687" s="26" t="str">
        <f>IFERROR(__xludf.DUMMYFUNCTION("""COMPUTED_VALUE"""),"테리")</f>
        <v>테리</v>
      </c>
      <c r="M1687" s="26" t="str">
        <f>IFERROR(__xludf.DUMMYFUNCTION("""COMPUTED_VALUE"""),"신형만")</f>
        <v>신형만</v>
      </c>
      <c r="N1687" s="26" t="str">
        <f>IFERROR(__xludf.DUMMYFUNCTION("ARRAYFORMULA(REGEXEXTRACT(SPLIT(E1687, ""&lt;br&gt;""), ""([가-힣A-Za-z]+)""))"),"짱구")</f>
        <v>짱구</v>
      </c>
      <c r="O1687" s="26" t="str">
        <f>IFERROR(__xludf.DUMMYFUNCTION("""COMPUTED_VALUE"""),"봉구")</f>
        <v>봉구</v>
      </c>
      <c r="P1687" s="26" t="str">
        <f>IFERROR(__xludf.DUMMYFUNCTION("""COMPUTED_VALUE"""),"키키")</f>
        <v>키키</v>
      </c>
      <c r="Q1687" s="26" t="str">
        <f>IFERROR(__xludf.DUMMYFUNCTION("""COMPUTED_VALUE"""),"강화")</f>
        <v>강화</v>
      </c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  <c r="AB1687" s="18"/>
    </row>
    <row r="1688">
      <c r="A1688" s="27" t="s">
        <v>7005</v>
      </c>
      <c r="B1688" s="28" t="s">
        <v>7006</v>
      </c>
      <c r="C1688" s="27" t="s">
        <v>7007</v>
      </c>
      <c r="D1688" s="27">
        <v>5.0</v>
      </c>
      <c r="E1688" s="27" t="s">
        <v>7008</v>
      </c>
      <c r="F1688" s="27">
        <v>0.0</v>
      </c>
      <c r="G1688" s="29">
        <v>45503.04722222222</v>
      </c>
      <c r="H1688" s="27" t="s">
        <v>6904</v>
      </c>
      <c r="I1688" s="18"/>
      <c r="J1688" s="25" t="str">
        <f>IFERROR(__xludf.DUMMYFUNCTION("ARRAYFORMULA(REGEXEXTRACT(SPLIT(C1688, ""&lt;br&gt;""), ""([가-힣A-Za-z]+)""))"),"노인")</f>
        <v>노인</v>
      </c>
      <c r="K1688" s="26" t="str">
        <f>IFERROR(__xludf.DUMMYFUNCTION("""COMPUTED_VALUE"""),"깡패")</f>
        <v>깡패</v>
      </c>
      <c r="L1688" s="26" t="str">
        <f>IFERROR(__xludf.DUMMYFUNCTION("""COMPUTED_VALUE"""),"강화")</f>
        <v>강화</v>
      </c>
      <c r="M1688" s="26" t="str">
        <f>IFERROR(__xludf.DUMMYFUNCTION("""COMPUTED_VALUE"""),"키키")</f>
        <v>키키</v>
      </c>
      <c r="N1688" s="26" t="str">
        <f>IFERROR(__xludf.DUMMYFUNCTION("ARRAYFORMULA(REGEXEXTRACT(SPLIT(E1688, ""&lt;br&gt;""), ""([가-힣A-Za-z]+)""))"),"신형만")</f>
        <v>신형만</v>
      </c>
      <c r="O1688" s="26" t="str">
        <f>IFERROR(__xludf.DUMMYFUNCTION("""COMPUTED_VALUE"""),"재우")</f>
        <v>재우</v>
      </c>
      <c r="P1688" s="26" t="str">
        <f>IFERROR(__xludf.DUMMYFUNCTION("""COMPUTED_VALUE"""),"ACDC")</f>
        <v>ACDC</v>
      </c>
      <c r="Q1688" s="26" t="str">
        <f>IFERROR(__xludf.DUMMYFUNCTION("""COMPUTED_VALUE"""),"악동")</f>
        <v>악동</v>
      </c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</row>
    <row r="1689">
      <c r="A1689" s="27" t="s">
        <v>7009</v>
      </c>
      <c r="B1689" s="28" t="s">
        <v>7010</v>
      </c>
      <c r="C1689" s="27" t="s">
        <v>7011</v>
      </c>
      <c r="D1689" s="27">
        <v>5.0</v>
      </c>
      <c r="E1689" s="27" t="s">
        <v>7012</v>
      </c>
      <c r="F1689" s="27">
        <v>4.0</v>
      </c>
      <c r="G1689" s="29">
        <v>45503.029861111114</v>
      </c>
      <c r="H1689" s="27" t="s">
        <v>6904</v>
      </c>
      <c r="I1689" s="18"/>
      <c r="J1689" s="25" t="str">
        <f>IFERROR(__xludf.DUMMYFUNCTION("ARRAYFORMULA(REGEXEXTRACT(SPLIT(C1689, ""&lt;br&gt;""), ""([가-힣A-Za-z]+)""))"),"깡패")</f>
        <v>깡패</v>
      </c>
      <c r="K1689" s="26" t="str">
        <f>IFERROR(__xludf.DUMMYFUNCTION("""COMPUTED_VALUE"""),"재우")</f>
        <v>재우</v>
      </c>
      <c r="L1689" s="26" t="str">
        <f>IFERROR(__xludf.DUMMYFUNCTION("""COMPUTED_VALUE"""),"강화")</f>
        <v>강화</v>
      </c>
      <c r="M1689" s="26" t="str">
        <f>IFERROR(__xludf.DUMMYFUNCTION("""COMPUTED_VALUE"""),"신형만")</f>
        <v>신형만</v>
      </c>
      <c r="N1689" s="26" t="str">
        <f>IFERROR(__xludf.DUMMYFUNCTION("ARRAYFORMULA(REGEXEXTRACT(SPLIT(E1689, ""&lt;br&gt;""), ""([가-힣A-Za-z]+)""))"),"키키")</f>
        <v>키키</v>
      </c>
      <c r="O1689" s="26" t="str">
        <f>IFERROR(__xludf.DUMMYFUNCTION("""COMPUTED_VALUE"""),"ACDC")</f>
        <v>ACDC</v>
      </c>
      <c r="P1689" s="26" t="str">
        <f>IFERROR(__xludf.DUMMYFUNCTION("""COMPUTED_VALUE"""),"노인")</f>
        <v>노인</v>
      </c>
      <c r="Q1689" s="26" t="str">
        <f>IFERROR(__xludf.DUMMYFUNCTION("""COMPUTED_VALUE"""),"밍구")</f>
        <v>밍구</v>
      </c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  <c r="AB1689" s="18"/>
    </row>
    <row r="1690">
      <c r="A1690" s="27" t="s">
        <v>7013</v>
      </c>
      <c r="B1690" s="28" t="s">
        <v>7014</v>
      </c>
      <c r="C1690" s="27" t="s">
        <v>7015</v>
      </c>
      <c r="D1690" s="27">
        <v>5.0</v>
      </c>
      <c r="E1690" s="27" t="s">
        <v>7016</v>
      </c>
      <c r="F1690" s="27">
        <v>3.0</v>
      </c>
      <c r="G1690" s="29">
        <v>45503.004166666666</v>
      </c>
      <c r="H1690" s="27" t="s">
        <v>6904</v>
      </c>
      <c r="I1690" s="18"/>
      <c r="J1690" s="25" t="str">
        <f>IFERROR(__xludf.DUMMYFUNCTION("ARRAYFORMULA(REGEXEXTRACT(SPLIT(C1690, ""&lt;br&gt;""), ""([가-힣A-Za-z]+)""))"),"재우")</f>
        <v>재우</v>
      </c>
      <c r="K1690" s="26" t="str">
        <f>IFERROR(__xludf.DUMMYFUNCTION("""COMPUTED_VALUE"""),"한메")</f>
        <v>한메</v>
      </c>
      <c r="L1690" s="26" t="str">
        <f>IFERROR(__xludf.DUMMYFUNCTION("""COMPUTED_VALUE"""),"ACDC")</f>
        <v>ACDC</v>
      </c>
      <c r="M1690" s="26" t="str">
        <f>IFERROR(__xludf.DUMMYFUNCTION("""COMPUTED_VALUE"""),"깡패")</f>
        <v>깡패</v>
      </c>
      <c r="N1690" s="26" t="str">
        <f>IFERROR(__xludf.DUMMYFUNCTION("ARRAYFORMULA(REGEXEXTRACT(SPLIT(E1690, ""&lt;br&gt;""), ""([가-힣A-Za-z]+)""))"),"노인")</f>
        <v>노인</v>
      </c>
      <c r="O1690" s="26" t="str">
        <f>IFERROR(__xludf.DUMMYFUNCTION("""COMPUTED_VALUE"""),"신형만")</f>
        <v>신형만</v>
      </c>
      <c r="P1690" s="26" t="str">
        <f>IFERROR(__xludf.DUMMYFUNCTION("""COMPUTED_VALUE"""),"밍구")</f>
        <v>밍구</v>
      </c>
      <c r="Q1690" s="26" t="str">
        <f>IFERROR(__xludf.DUMMYFUNCTION("""COMPUTED_VALUE"""),"강화")</f>
        <v>강화</v>
      </c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</row>
    <row r="1691">
      <c r="A1691" s="27" t="s">
        <v>7017</v>
      </c>
      <c r="B1691" s="28" t="s">
        <v>7018</v>
      </c>
      <c r="C1691" s="27" t="s">
        <v>7019</v>
      </c>
      <c r="D1691" s="27">
        <v>5.0</v>
      </c>
      <c r="E1691" s="27" t="s">
        <v>7020</v>
      </c>
      <c r="F1691" s="27">
        <v>4.0</v>
      </c>
      <c r="G1691" s="29">
        <v>45502.97638888889</v>
      </c>
      <c r="H1691" s="27" t="s">
        <v>6904</v>
      </c>
      <c r="I1691" s="18"/>
      <c r="J1691" s="25" t="str">
        <f>IFERROR(__xludf.DUMMYFUNCTION("ARRAYFORMULA(REGEXEXTRACT(SPLIT(C1691, ""&lt;br&gt;""), ""([가-힣A-Za-z]+)""))"),"재명")</f>
        <v>재명</v>
      </c>
      <c r="K1691" s="26" t="str">
        <f>IFERROR(__xludf.DUMMYFUNCTION("""COMPUTED_VALUE"""),"강화")</f>
        <v>강화</v>
      </c>
      <c r="L1691" s="26" t="str">
        <f>IFERROR(__xludf.DUMMYFUNCTION("""COMPUTED_VALUE"""),"밍구")</f>
        <v>밍구</v>
      </c>
      <c r="M1691" s="26" t="str">
        <f>IFERROR(__xludf.DUMMYFUNCTION("""COMPUTED_VALUE"""),"한메")</f>
        <v>한메</v>
      </c>
      <c r="N1691" s="26" t="str">
        <f>IFERROR(__xludf.DUMMYFUNCTION("ARRAYFORMULA(REGEXEXTRACT(SPLIT(E1691, ""&lt;br&gt;""), ""([가-힣A-Za-z]+)""))"),"재우")</f>
        <v>재우</v>
      </c>
      <c r="O1691" s="26" t="str">
        <f>IFERROR(__xludf.DUMMYFUNCTION("""COMPUTED_VALUE"""),"키키")</f>
        <v>키키</v>
      </c>
      <c r="P1691" s="26" t="str">
        <f>IFERROR(__xludf.DUMMYFUNCTION("""COMPUTED_VALUE"""),"아이딘")</f>
        <v>아이딘</v>
      </c>
      <c r="Q1691" s="26" t="str">
        <f>IFERROR(__xludf.DUMMYFUNCTION("""COMPUTED_VALUE"""),"ACDC")</f>
        <v>ACDC</v>
      </c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</row>
    <row r="1692">
      <c r="A1692" s="27" t="s">
        <v>7021</v>
      </c>
      <c r="B1692" s="28" t="s">
        <v>7022</v>
      </c>
      <c r="C1692" s="27" t="s">
        <v>7023</v>
      </c>
      <c r="D1692" s="27">
        <v>5.0</v>
      </c>
      <c r="E1692" s="27" t="s">
        <v>7024</v>
      </c>
      <c r="F1692" s="27">
        <v>1.0</v>
      </c>
      <c r="G1692" s="29">
        <v>45502.947222222225</v>
      </c>
      <c r="H1692" s="27" t="s">
        <v>6904</v>
      </c>
      <c r="I1692" s="18"/>
      <c r="J1692" s="25" t="str">
        <f>IFERROR(__xludf.DUMMYFUNCTION("ARRAYFORMULA(REGEXEXTRACT(SPLIT(C1692, ""&lt;br&gt;""), ""([가-힣A-Za-z]+)""))"),"한메")</f>
        <v>한메</v>
      </c>
      <c r="K1692" s="26" t="str">
        <f>IFERROR(__xludf.DUMMYFUNCTION("""COMPUTED_VALUE"""),"밍구")</f>
        <v>밍구</v>
      </c>
      <c r="L1692" s="26" t="str">
        <f>IFERROR(__xludf.DUMMYFUNCTION("""COMPUTED_VALUE"""),"ACDC")</f>
        <v>ACDC</v>
      </c>
      <c r="M1692" s="26" t="str">
        <f>IFERROR(__xludf.DUMMYFUNCTION("""COMPUTED_VALUE"""),"키키")</f>
        <v>키키</v>
      </c>
      <c r="N1692" s="26" t="str">
        <f>IFERROR(__xludf.DUMMYFUNCTION("ARRAYFORMULA(REGEXEXTRACT(SPLIT(E1692, ""&lt;br&gt;""), ""([가-힣A-Za-z]+)""))"),"아이딘")</f>
        <v>아이딘</v>
      </c>
      <c r="O1692" s="26" t="str">
        <f>IFERROR(__xludf.DUMMYFUNCTION("""COMPUTED_VALUE"""),"재우")</f>
        <v>재우</v>
      </c>
      <c r="P1692" s="26" t="str">
        <f>IFERROR(__xludf.DUMMYFUNCTION("""COMPUTED_VALUE"""),"재명")</f>
        <v>재명</v>
      </c>
      <c r="Q1692" s="26" t="str">
        <f>IFERROR(__xludf.DUMMYFUNCTION("""COMPUTED_VALUE"""),"강화")</f>
        <v>강화</v>
      </c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</row>
    <row r="1693">
      <c r="A1693" s="27" t="s">
        <v>7025</v>
      </c>
      <c r="B1693" s="28" t="s">
        <v>7026</v>
      </c>
      <c r="C1693" s="27" t="s">
        <v>7027</v>
      </c>
      <c r="D1693" s="27">
        <v>5.0</v>
      </c>
      <c r="E1693" s="27" t="s">
        <v>7028</v>
      </c>
      <c r="F1693" s="27">
        <v>4.0</v>
      </c>
      <c r="G1693" s="29">
        <v>45502.120833333334</v>
      </c>
      <c r="H1693" s="27" t="s">
        <v>6904</v>
      </c>
      <c r="I1693" s="18"/>
      <c r="J1693" s="25" t="str">
        <f>IFERROR(__xludf.DUMMYFUNCTION("ARRAYFORMULA(REGEXEXTRACT(SPLIT(C1693, ""&lt;br&gt;""), ""([가-힣A-Za-z]+)""))"),"키키")</f>
        <v>키키</v>
      </c>
      <c r="K1693" s="26" t="str">
        <f>IFERROR(__xludf.DUMMYFUNCTION("""COMPUTED_VALUE"""),"강화")</f>
        <v>강화</v>
      </c>
      <c r="L1693" s="26" t="str">
        <f>IFERROR(__xludf.DUMMYFUNCTION("""COMPUTED_VALUE"""),"한메")</f>
        <v>한메</v>
      </c>
      <c r="M1693" s="26" t="str">
        <f>IFERROR(__xludf.DUMMYFUNCTION("""COMPUTED_VALUE"""),"미등록")</f>
        <v>미등록</v>
      </c>
      <c r="N1693" s="26" t="str">
        <f>IFERROR(__xludf.DUMMYFUNCTION("ARRAYFORMULA(REGEXEXTRACT(SPLIT(E1693, ""&lt;br&gt;""), ""([가-힣A-Za-z]+)""))"),"악동")</f>
        <v>악동</v>
      </c>
      <c r="O1693" s="26" t="str">
        <f>IFERROR(__xludf.DUMMYFUNCTION("""COMPUTED_VALUE"""),"깡패")</f>
        <v>깡패</v>
      </c>
      <c r="P1693" s="26" t="str">
        <f>IFERROR(__xludf.DUMMYFUNCTION("""COMPUTED_VALUE"""),"신형만")</f>
        <v>신형만</v>
      </c>
      <c r="Q1693" s="26" t="str">
        <f>IFERROR(__xludf.DUMMYFUNCTION("""COMPUTED_VALUE"""),"ACDC")</f>
        <v>ACDC</v>
      </c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  <c r="AB1693" s="18"/>
    </row>
    <row r="1694">
      <c r="A1694" s="27" t="s">
        <v>7029</v>
      </c>
      <c r="B1694" s="28" t="s">
        <v>7030</v>
      </c>
      <c r="C1694" s="27" t="s">
        <v>7031</v>
      </c>
      <c r="D1694" s="27">
        <v>5.0</v>
      </c>
      <c r="E1694" s="27" t="s">
        <v>7032</v>
      </c>
      <c r="F1694" s="27">
        <v>2.0</v>
      </c>
      <c r="G1694" s="29">
        <v>45502.04236111111</v>
      </c>
      <c r="H1694" s="27" t="s">
        <v>6904</v>
      </c>
      <c r="I1694" s="18"/>
      <c r="J1694" s="25" t="str">
        <f>IFERROR(__xludf.DUMMYFUNCTION("ARRAYFORMULA(REGEXEXTRACT(SPLIT(C1694, ""&lt;br&gt;""), ""([가-힣A-Za-z]+)""))"),"랄")</f>
        <v>랄</v>
      </c>
      <c r="K1694" s="26" t="str">
        <f>IFERROR(__xludf.DUMMYFUNCTION("""COMPUTED_VALUE"""),"깡패")</f>
        <v>깡패</v>
      </c>
      <c r="L1694" s="26" t="str">
        <f>IFERROR(__xludf.DUMMYFUNCTION("""COMPUTED_VALUE"""),"재명")</f>
        <v>재명</v>
      </c>
      <c r="M1694" s="26" t="str">
        <f>IFERROR(__xludf.DUMMYFUNCTION("""COMPUTED_VALUE"""),"한메")</f>
        <v>한메</v>
      </c>
      <c r="N1694" s="26" t="str">
        <f>IFERROR(__xludf.DUMMYFUNCTION("ARRAYFORMULA(REGEXEXTRACT(SPLIT(E1694, ""&lt;br&gt;""), ""([가-힣A-Za-z]+)""))"),"악동")</f>
        <v>악동</v>
      </c>
      <c r="O1694" s="26" t="str">
        <f>IFERROR(__xludf.DUMMYFUNCTION("""COMPUTED_VALUE"""),"ACDC")</f>
        <v>ACDC</v>
      </c>
      <c r="P1694" s="26" t="str">
        <f>IFERROR(__xludf.DUMMYFUNCTION("""COMPUTED_VALUE"""),"강화")</f>
        <v>강화</v>
      </c>
      <c r="Q1694" s="26" t="str">
        <f>IFERROR(__xludf.DUMMYFUNCTION("""COMPUTED_VALUE"""),"신형만")</f>
        <v>신형만</v>
      </c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</row>
    <row r="1695">
      <c r="A1695" s="27" t="s">
        <v>7033</v>
      </c>
      <c r="B1695" s="28" t="s">
        <v>7034</v>
      </c>
      <c r="C1695" s="27" t="s">
        <v>7035</v>
      </c>
      <c r="D1695" s="27">
        <v>5.0</v>
      </c>
      <c r="E1695" s="27" t="s">
        <v>7036</v>
      </c>
      <c r="F1695" s="27">
        <v>4.0</v>
      </c>
      <c r="G1695" s="29">
        <v>45502.013194444444</v>
      </c>
      <c r="H1695" s="27" t="s">
        <v>6904</v>
      </c>
      <c r="I1695" s="18"/>
      <c r="J1695" s="25" t="str">
        <f>IFERROR(__xludf.DUMMYFUNCTION("ARRAYFORMULA(REGEXEXTRACT(SPLIT(C1695, ""&lt;br&gt;""), ""([가-힣A-Za-z]+)""))"),"깡패")</f>
        <v>깡패</v>
      </c>
      <c r="K1695" s="26" t="str">
        <f>IFERROR(__xludf.DUMMYFUNCTION("""COMPUTED_VALUE"""),"재명")</f>
        <v>재명</v>
      </c>
      <c r="L1695" s="26" t="str">
        <f>IFERROR(__xludf.DUMMYFUNCTION("""COMPUTED_VALUE"""),"강화")</f>
        <v>강화</v>
      </c>
      <c r="M1695" s="26" t="str">
        <f>IFERROR(__xludf.DUMMYFUNCTION("""COMPUTED_VALUE"""),"신형만")</f>
        <v>신형만</v>
      </c>
      <c r="N1695" s="26" t="str">
        <f>IFERROR(__xludf.DUMMYFUNCTION("ARRAYFORMULA(REGEXEXTRACT(SPLIT(E1695, ""&lt;br&gt;""), ""([가-힣A-Za-z]+)""))"),"한메")</f>
        <v>한메</v>
      </c>
      <c r="O1695" s="26" t="str">
        <f>IFERROR(__xludf.DUMMYFUNCTION("""COMPUTED_VALUE"""),"악동")</f>
        <v>악동</v>
      </c>
      <c r="P1695" s="26" t="str">
        <f>IFERROR(__xludf.DUMMYFUNCTION("""COMPUTED_VALUE"""),"ACDC")</f>
        <v>ACDC</v>
      </c>
      <c r="Q1695" s="26" t="str">
        <f>IFERROR(__xludf.DUMMYFUNCTION("""COMPUTED_VALUE"""),"재우")</f>
        <v>재우</v>
      </c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</row>
    <row r="1696">
      <c r="A1696" s="27" t="s">
        <v>7037</v>
      </c>
      <c r="B1696" s="28" t="s">
        <v>7038</v>
      </c>
      <c r="C1696" s="27" t="s">
        <v>7039</v>
      </c>
      <c r="D1696" s="27">
        <v>5.0</v>
      </c>
      <c r="E1696" s="27" t="s">
        <v>7040</v>
      </c>
      <c r="F1696" s="27">
        <v>2.0</v>
      </c>
      <c r="G1696" s="29">
        <v>45501.98611111111</v>
      </c>
      <c r="H1696" s="27" t="s">
        <v>6904</v>
      </c>
      <c r="I1696" s="18"/>
      <c r="J1696" s="25" t="str">
        <f>IFERROR(__xludf.DUMMYFUNCTION("ARRAYFORMULA(REGEXEXTRACT(SPLIT(C1696, ""&lt;br&gt;""), ""([가-힣A-Za-z]+)""))"),"ACDC")</f>
        <v>ACDC</v>
      </c>
      <c r="K1696" s="26" t="str">
        <f>IFERROR(__xludf.DUMMYFUNCTION("""COMPUTED_VALUE"""),"신형만")</f>
        <v>신형만</v>
      </c>
      <c r="L1696" s="26" t="str">
        <f>IFERROR(__xludf.DUMMYFUNCTION("""COMPUTED_VALUE"""),"한메")</f>
        <v>한메</v>
      </c>
      <c r="M1696" s="26" t="str">
        <f>IFERROR(__xludf.DUMMYFUNCTION("""COMPUTED_VALUE"""),"재명")</f>
        <v>재명</v>
      </c>
      <c r="N1696" s="26" t="str">
        <f>IFERROR(__xludf.DUMMYFUNCTION("ARRAYFORMULA(REGEXEXTRACT(SPLIT(E1696, ""&lt;br&gt;""), ""([가-힣A-Za-z]+)""))"),"강화")</f>
        <v>강화</v>
      </c>
      <c r="O1696" s="26" t="str">
        <f>IFERROR(__xludf.DUMMYFUNCTION("""COMPUTED_VALUE"""),"재우")</f>
        <v>재우</v>
      </c>
      <c r="P1696" s="26" t="str">
        <f>IFERROR(__xludf.DUMMYFUNCTION("""COMPUTED_VALUE"""),"팰리")</f>
        <v>팰리</v>
      </c>
      <c r="Q1696" s="26" t="str">
        <f>IFERROR(__xludf.DUMMYFUNCTION("""COMPUTED_VALUE"""),"깡패")</f>
        <v>깡패</v>
      </c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</row>
    <row r="1697">
      <c r="A1697" s="27" t="s">
        <v>7041</v>
      </c>
      <c r="B1697" s="28" t="s">
        <v>7042</v>
      </c>
      <c r="C1697" s="27" t="s">
        <v>7043</v>
      </c>
      <c r="D1697" s="27">
        <v>5.0</v>
      </c>
      <c r="E1697" s="27" t="s">
        <v>7044</v>
      </c>
      <c r="F1697" s="27">
        <v>2.0</v>
      </c>
      <c r="G1697" s="29">
        <v>45501.961805555555</v>
      </c>
      <c r="H1697" s="27" t="s">
        <v>6904</v>
      </c>
      <c r="I1697" s="18"/>
      <c r="J1697" s="25" t="str">
        <f>IFERROR(__xludf.DUMMYFUNCTION("ARRAYFORMULA(REGEXEXTRACT(SPLIT(C1697, ""&lt;br&gt;""), ""([가-힣A-Za-z]+)""))"),"재우")</f>
        <v>재우</v>
      </c>
      <c r="K1697" s="26" t="str">
        <f>IFERROR(__xludf.DUMMYFUNCTION("""COMPUTED_VALUE"""),"팰리")</f>
        <v>팰리</v>
      </c>
      <c r="L1697" s="26" t="str">
        <f>IFERROR(__xludf.DUMMYFUNCTION("""COMPUTED_VALUE"""),"ACDC")</f>
        <v>ACDC</v>
      </c>
      <c r="M1697" s="26" t="str">
        <f>IFERROR(__xludf.DUMMYFUNCTION("""COMPUTED_VALUE"""),"깡패")</f>
        <v>깡패</v>
      </c>
      <c r="N1697" s="26" t="str">
        <f>IFERROR(__xludf.DUMMYFUNCTION("ARRAYFORMULA(REGEXEXTRACT(SPLIT(E1697, ""&lt;br&gt;""), ""([가-힣A-Za-z]+)""))"),"강화")</f>
        <v>강화</v>
      </c>
      <c r="O1697" s="26" t="str">
        <f>IFERROR(__xludf.DUMMYFUNCTION("""COMPUTED_VALUE"""),"한메")</f>
        <v>한메</v>
      </c>
      <c r="P1697" s="26" t="str">
        <f>IFERROR(__xludf.DUMMYFUNCTION("""COMPUTED_VALUE"""),"재명")</f>
        <v>재명</v>
      </c>
      <c r="Q1697" s="26" t="str">
        <f>IFERROR(__xludf.DUMMYFUNCTION("""COMPUTED_VALUE"""),"신형만")</f>
        <v>신형만</v>
      </c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  <c r="AB1697" s="18"/>
    </row>
    <row r="1698">
      <c r="A1698" s="27" t="s">
        <v>7045</v>
      </c>
      <c r="B1698" s="28" t="s">
        <v>7046</v>
      </c>
      <c r="C1698" s="27" t="s">
        <v>7047</v>
      </c>
      <c r="D1698" s="27">
        <v>5.0</v>
      </c>
      <c r="E1698" s="27" t="s">
        <v>7048</v>
      </c>
      <c r="F1698" s="27">
        <v>1.0</v>
      </c>
      <c r="G1698" s="29">
        <v>45501.941666666666</v>
      </c>
      <c r="H1698" s="27" t="s">
        <v>6904</v>
      </c>
      <c r="I1698" s="18"/>
      <c r="J1698" s="25" t="str">
        <f>IFERROR(__xludf.DUMMYFUNCTION("ARRAYFORMULA(REGEXEXTRACT(SPLIT(C1698, ""&lt;br&gt;""), ""([가-힣A-Za-z]+)""))"),"ACDC")</f>
        <v>ACDC</v>
      </c>
      <c r="K1698" s="26" t="str">
        <f>IFERROR(__xludf.DUMMYFUNCTION("""COMPUTED_VALUE"""),"깡패")</f>
        <v>깡패</v>
      </c>
      <c r="L1698" s="26" t="str">
        <f>IFERROR(__xludf.DUMMYFUNCTION("""COMPUTED_VALUE"""),"재우")</f>
        <v>재우</v>
      </c>
      <c r="M1698" s="26" t="str">
        <f>IFERROR(__xludf.DUMMYFUNCTION("""COMPUTED_VALUE"""),"한메")</f>
        <v>한메</v>
      </c>
      <c r="N1698" s="26" t="str">
        <f>IFERROR(__xludf.DUMMYFUNCTION("ARRAYFORMULA(REGEXEXTRACT(SPLIT(E1698, ""&lt;br&gt;""), ""([가-힣A-Za-z]+)""))"),"팰리")</f>
        <v>팰리</v>
      </c>
      <c r="O1698" s="26" t="str">
        <f>IFERROR(__xludf.DUMMYFUNCTION("""COMPUTED_VALUE"""),"노픽업")</f>
        <v>노픽업</v>
      </c>
      <c r="P1698" s="26" t="str">
        <f>IFERROR(__xludf.DUMMYFUNCTION("""COMPUTED_VALUE"""),"강화")</f>
        <v>강화</v>
      </c>
      <c r="Q1698" s="26" t="str">
        <f>IFERROR(__xludf.DUMMYFUNCTION("""COMPUTED_VALUE"""),"신형만")</f>
        <v>신형만</v>
      </c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</row>
    <row r="1699">
      <c r="A1699" s="27" t="s">
        <v>7049</v>
      </c>
      <c r="B1699" s="28" t="s">
        <v>7050</v>
      </c>
      <c r="C1699" s="27" t="s">
        <v>7051</v>
      </c>
      <c r="D1699" s="27">
        <v>5.0</v>
      </c>
      <c r="E1699" s="27" t="s">
        <v>7052</v>
      </c>
      <c r="F1699" s="27">
        <v>1.0</v>
      </c>
      <c r="G1699" s="29">
        <v>45501.92013888889</v>
      </c>
      <c r="H1699" s="27" t="s">
        <v>6904</v>
      </c>
      <c r="I1699" s="18"/>
      <c r="J1699" s="25" t="str">
        <f>IFERROR(__xludf.DUMMYFUNCTION("ARRAYFORMULA(REGEXEXTRACT(SPLIT(C1699, ""&lt;br&gt;""), ""([가-힣A-Za-z]+)""))"),"한메")</f>
        <v>한메</v>
      </c>
      <c r="K1699" s="26" t="str">
        <f>IFERROR(__xludf.DUMMYFUNCTION("""COMPUTED_VALUE"""),"ACDC")</f>
        <v>ACDC</v>
      </c>
      <c r="L1699" s="26" t="str">
        <f>IFERROR(__xludf.DUMMYFUNCTION("""COMPUTED_VALUE"""),"신형만")</f>
        <v>신형만</v>
      </c>
      <c r="M1699" s="26" t="str">
        <f>IFERROR(__xludf.DUMMYFUNCTION("""COMPUTED_VALUE"""),"키키")</f>
        <v>키키</v>
      </c>
      <c r="N1699" s="26" t="str">
        <f>IFERROR(__xludf.DUMMYFUNCTION("ARRAYFORMULA(REGEXEXTRACT(SPLIT(E1699, ""&lt;br&gt;""), ""([가-힣A-Za-z]+)""))"),"강화")</f>
        <v>강화</v>
      </c>
      <c r="O1699" s="26" t="str">
        <f>IFERROR(__xludf.DUMMYFUNCTION("""COMPUTED_VALUE"""),"노픽업")</f>
        <v>노픽업</v>
      </c>
      <c r="P1699" s="26" t="str">
        <f>IFERROR(__xludf.DUMMYFUNCTION("""COMPUTED_VALUE"""),"팰리")</f>
        <v>팰리</v>
      </c>
      <c r="Q1699" s="26" t="str">
        <f>IFERROR(__xludf.DUMMYFUNCTION("""COMPUTED_VALUE"""),"깡패")</f>
        <v>깡패</v>
      </c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  <c r="AB1699" s="18"/>
    </row>
    <row r="1700">
      <c r="A1700" s="27" t="s">
        <v>7053</v>
      </c>
      <c r="B1700" s="28" t="s">
        <v>7054</v>
      </c>
      <c r="C1700" s="27" t="s">
        <v>7055</v>
      </c>
      <c r="D1700" s="27">
        <v>5.0</v>
      </c>
      <c r="E1700" s="27" t="s">
        <v>7056</v>
      </c>
      <c r="F1700" s="27">
        <v>3.0</v>
      </c>
      <c r="G1700" s="29">
        <v>45500.152083333334</v>
      </c>
      <c r="H1700" s="27" t="s">
        <v>6904</v>
      </c>
      <c r="I1700" s="18"/>
      <c r="J1700" s="25" t="str">
        <f>IFERROR(__xludf.DUMMYFUNCTION("ARRAYFORMULA(REGEXEXTRACT(SPLIT(C1700, ""&lt;br&gt;""), ""([가-힣A-Za-z]+)""))"),"ACDC")</f>
        <v>ACDC</v>
      </c>
      <c r="K1700" s="26" t="str">
        <f>IFERROR(__xludf.DUMMYFUNCTION("""COMPUTED_VALUE"""),"한메")</f>
        <v>한메</v>
      </c>
      <c r="L1700" s="26" t="str">
        <f>IFERROR(__xludf.DUMMYFUNCTION("""COMPUTED_VALUE"""),"키키")</f>
        <v>키키</v>
      </c>
      <c r="M1700" s="26" t="str">
        <f>IFERROR(__xludf.DUMMYFUNCTION("""COMPUTED_VALUE"""),"재우")</f>
        <v>재우</v>
      </c>
      <c r="N1700" s="26" t="str">
        <f>IFERROR(__xludf.DUMMYFUNCTION("ARRAYFORMULA(REGEXEXTRACT(SPLIT(E1700, ""&lt;br&gt;""), ""([가-힣A-Za-z]+)""))"),"구리다")</f>
        <v>구리다</v>
      </c>
      <c r="O1700" s="26" t="str">
        <f>IFERROR(__xludf.DUMMYFUNCTION("""COMPUTED_VALUE"""),"깡패")</f>
        <v>깡패</v>
      </c>
      <c r="P1700" s="26" t="str">
        <f>IFERROR(__xludf.DUMMYFUNCTION("""COMPUTED_VALUE"""),"조드")</f>
        <v>조드</v>
      </c>
      <c r="Q1700" s="26" t="str">
        <f>IFERROR(__xludf.DUMMYFUNCTION("""COMPUTED_VALUE"""),"밍구")</f>
        <v>밍구</v>
      </c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</row>
    <row r="1701">
      <c r="A1701" s="27" t="s">
        <v>7057</v>
      </c>
      <c r="B1701" s="28" t="s">
        <v>7058</v>
      </c>
      <c r="C1701" s="27" t="s">
        <v>7059</v>
      </c>
      <c r="D1701" s="27">
        <v>5.0</v>
      </c>
      <c r="E1701" s="27" t="s">
        <v>7060</v>
      </c>
      <c r="F1701" s="27">
        <v>1.0</v>
      </c>
      <c r="G1701" s="29">
        <v>45500.135416666664</v>
      </c>
      <c r="H1701" s="27" t="s">
        <v>6904</v>
      </c>
      <c r="I1701" s="18"/>
      <c r="J1701" s="25" t="str">
        <f>IFERROR(__xludf.DUMMYFUNCTION("ARRAYFORMULA(REGEXEXTRACT(SPLIT(C1701, ""&lt;br&gt;""), ""([가-힣A-Za-z]+)""))"),"키키")</f>
        <v>키키</v>
      </c>
      <c r="K1701" s="26" t="str">
        <f>IFERROR(__xludf.DUMMYFUNCTION("""COMPUTED_VALUE"""),"구리다")</f>
        <v>구리다</v>
      </c>
      <c r="L1701" s="26" t="str">
        <f>IFERROR(__xludf.DUMMYFUNCTION("""COMPUTED_VALUE"""),"ACDC")</f>
        <v>ACDC</v>
      </c>
      <c r="M1701" s="26" t="str">
        <f>IFERROR(__xludf.DUMMYFUNCTION("""COMPUTED_VALUE"""),"재우")</f>
        <v>재우</v>
      </c>
      <c r="N1701" s="26" t="str">
        <f>IFERROR(__xludf.DUMMYFUNCTION("ARRAYFORMULA(REGEXEXTRACT(SPLIT(E1701, ""&lt;br&gt;""), ""([가-힣A-Za-z]+)""))"),"한메")</f>
        <v>한메</v>
      </c>
      <c r="O1701" s="26" t="str">
        <f>IFERROR(__xludf.DUMMYFUNCTION("""COMPUTED_VALUE"""),"깡패")</f>
        <v>깡패</v>
      </c>
      <c r="P1701" s="26" t="str">
        <f>IFERROR(__xludf.DUMMYFUNCTION("""COMPUTED_VALUE"""),"밍구")</f>
        <v>밍구</v>
      </c>
      <c r="Q1701" s="26" t="str">
        <f>IFERROR(__xludf.DUMMYFUNCTION("""COMPUTED_VALUE"""),"조드")</f>
        <v>조드</v>
      </c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</row>
    <row r="1702">
      <c r="A1702" s="27" t="s">
        <v>7061</v>
      </c>
      <c r="B1702" s="28" t="s">
        <v>7062</v>
      </c>
      <c r="C1702" s="27" t="s">
        <v>7063</v>
      </c>
      <c r="D1702" s="27">
        <v>5.0</v>
      </c>
      <c r="E1702" s="27" t="s">
        <v>7064</v>
      </c>
      <c r="F1702" s="27">
        <v>1.0</v>
      </c>
      <c r="G1702" s="29">
        <v>45500.10972222222</v>
      </c>
      <c r="H1702" s="27" t="s">
        <v>6904</v>
      </c>
      <c r="I1702" s="18"/>
      <c r="J1702" s="25" t="str">
        <f>IFERROR(__xludf.DUMMYFUNCTION("ARRAYFORMULA(REGEXEXTRACT(SPLIT(C1702, ""&lt;br&gt;""), ""([가-힣A-Za-z]+)""))"),"재우")</f>
        <v>재우</v>
      </c>
      <c r="K1702" s="26" t="str">
        <f>IFERROR(__xludf.DUMMYFUNCTION("""COMPUTED_VALUE"""),"밍구")</f>
        <v>밍구</v>
      </c>
      <c r="L1702" s="26" t="str">
        <f>IFERROR(__xludf.DUMMYFUNCTION("""COMPUTED_VALUE"""),"조드")</f>
        <v>조드</v>
      </c>
      <c r="M1702" s="26" t="str">
        <f>IFERROR(__xludf.DUMMYFUNCTION("""COMPUTED_VALUE"""),"한메")</f>
        <v>한메</v>
      </c>
      <c r="N1702" s="26" t="str">
        <f>IFERROR(__xludf.DUMMYFUNCTION("ARRAYFORMULA(REGEXEXTRACT(SPLIT(E1702, ""&lt;br&gt;""), ""([가-힣A-Za-z]+)""))"),"ACDC")</f>
        <v>ACDC</v>
      </c>
      <c r="O1702" s="26" t="str">
        <f>IFERROR(__xludf.DUMMYFUNCTION("""COMPUTED_VALUE"""),"구리다")</f>
        <v>구리다</v>
      </c>
      <c r="P1702" s="26" t="str">
        <f>IFERROR(__xludf.DUMMYFUNCTION("""COMPUTED_VALUE"""),"재명")</f>
        <v>재명</v>
      </c>
      <c r="Q1702" s="26" t="str">
        <f>IFERROR(__xludf.DUMMYFUNCTION("""COMPUTED_VALUE"""),"깡패")</f>
        <v>깡패</v>
      </c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</row>
    <row r="1703">
      <c r="A1703" s="27" t="s">
        <v>7065</v>
      </c>
      <c r="B1703" s="28" t="s">
        <v>7066</v>
      </c>
      <c r="C1703" s="27" t="s">
        <v>7067</v>
      </c>
      <c r="D1703" s="27">
        <v>5.0</v>
      </c>
      <c r="E1703" s="27" t="s">
        <v>7068</v>
      </c>
      <c r="F1703" s="27">
        <v>1.0</v>
      </c>
      <c r="G1703" s="29">
        <v>45500.09305555555</v>
      </c>
      <c r="H1703" s="27" t="s">
        <v>6904</v>
      </c>
      <c r="I1703" s="18"/>
      <c r="J1703" s="25" t="str">
        <f>IFERROR(__xludf.DUMMYFUNCTION("ARRAYFORMULA(REGEXEXTRACT(SPLIT(C1703, ""&lt;br&gt;""), ""([가-힣A-Za-z]+)""))"),"재우")</f>
        <v>재우</v>
      </c>
      <c r="K1703" s="26" t="str">
        <f>IFERROR(__xludf.DUMMYFUNCTION("""COMPUTED_VALUE"""),"조드")</f>
        <v>조드</v>
      </c>
      <c r="L1703" s="26" t="str">
        <f>IFERROR(__xludf.DUMMYFUNCTION("""COMPUTED_VALUE"""),"한메")</f>
        <v>한메</v>
      </c>
      <c r="M1703" s="26" t="str">
        <f>IFERROR(__xludf.DUMMYFUNCTION("""COMPUTED_VALUE"""),"재명")</f>
        <v>재명</v>
      </c>
      <c r="N1703" s="26" t="str">
        <f>IFERROR(__xludf.DUMMYFUNCTION("ARRAYFORMULA(REGEXEXTRACT(SPLIT(E1703, ""&lt;br&gt;""), ""([가-힣A-Za-z]+)""))"),"ACDC")</f>
        <v>ACDC</v>
      </c>
      <c r="O1703" s="26" t="str">
        <f>IFERROR(__xludf.DUMMYFUNCTION("""COMPUTED_VALUE"""),"깡패")</f>
        <v>깡패</v>
      </c>
      <c r="P1703" s="26" t="str">
        <f>IFERROR(__xludf.DUMMYFUNCTION("""COMPUTED_VALUE"""),"구리다")</f>
        <v>구리다</v>
      </c>
      <c r="Q1703" s="26" t="str">
        <f>IFERROR(__xludf.DUMMYFUNCTION("""COMPUTED_VALUE"""),"밍구")</f>
        <v>밍구</v>
      </c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</row>
    <row r="1704">
      <c r="A1704" s="27" t="s">
        <v>7069</v>
      </c>
      <c r="B1704" s="28" t="s">
        <v>7070</v>
      </c>
      <c r="C1704" s="27" t="s">
        <v>7071</v>
      </c>
      <c r="D1704" s="27">
        <v>5.0</v>
      </c>
      <c r="E1704" s="27" t="s">
        <v>7072</v>
      </c>
      <c r="F1704" s="27">
        <v>1.0</v>
      </c>
      <c r="G1704" s="29">
        <v>45500.07013888889</v>
      </c>
      <c r="H1704" s="27" t="s">
        <v>6904</v>
      </c>
      <c r="I1704" s="18"/>
      <c r="J1704" s="25" t="str">
        <f>IFERROR(__xludf.DUMMYFUNCTION("ARRAYFORMULA(REGEXEXTRACT(SPLIT(C1704, ""&lt;br&gt;""), ""([가-힣A-Za-z]+)""))"),"깡패")</f>
        <v>깡패</v>
      </c>
      <c r="K1704" s="26" t="str">
        <f>IFERROR(__xludf.DUMMYFUNCTION("""COMPUTED_VALUE"""),"재우")</f>
        <v>재우</v>
      </c>
      <c r="L1704" s="26" t="str">
        <f>IFERROR(__xludf.DUMMYFUNCTION("""COMPUTED_VALUE"""),"재명")</f>
        <v>재명</v>
      </c>
      <c r="M1704" s="26" t="str">
        <f>IFERROR(__xludf.DUMMYFUNCTION("""COMPUTED_VALUE"""),"ACDC")</f>
        <v>ACDC</v>
      </c>
      <c r="N1704" s="26" t="str">
        <f>IFERROR(__xludf.DUMMYFUNCTION("ARRAYFORMULA(REGEXEXTRACT(SPLIT(E1704, ""&lt;br&gt;""), ""([가-힣A-Za-z]+)""))"),"미등록")</f>
        <v>미등록</v>
      </c>
      <c r="O1704" s="26" t="str">
        <f>IFERROR(__xludf.DUMMYFUNCTION("""COMPUTED_VALUE"""),"랄")</f>
        <v>랄</v>
      </c>
      <c r="P1704" s="26" t="str">
        <f>IFERROR(__xludf.DUMMYFUNCTION("""COMPUTED_VALUE"""),"구리다")</f>
        <v>구리다</v>
      </c>
      <c r="Q1704" s="26" t="str">
        <f>IFERROR(__xludf.DUMMYFUNCTION("""COMPUTED_VALUE"""),"한메")</f>
        <v>한메</v>
      </c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</row>
    <row r="1705">
      <c r="A1705" s="27" t="s">
        <v>7073</v>
      </c>
      <c r="B1705" s="28" t="s">
        <v>7074</v>
      </c>
      <c r="C1705" s="27" t="s">
        <v>7075</v>
      </c>
      <c r="D1705" s="27">
        <v>5.0</v>
      </c>
      <c r="E1705" s="27" t="s">
        <v>7076</v>
      </c>
      <c r="F1705" s="27">
        <v>4.0</v>
      </c>
      <c r="G1705" s="29">
        <v>45500.04375</v>
      </c>
      <c r="H1705" s="27" t="s">
        <v>6904</v>
      </c>
      <c r="I1705" s="18"/>
      <c r="J1705" s="25" t="str">
        <f>IFERROR(__xludf.DUMMYFUNCTION("ARRAYFORMULA(REGEXEXTRACT(SPLIT(C1705, ""&lt;br&gt;""), ""([가-힣A-Za-z]+)""))"),"랄")</f>
        <v>랄</v>
      </c>
      <c r="K1705" s="26" t="str">
        <f>IFERROR(__xludf.DUMMYFUNCTION("""COMPUTED_VALUE"""),"한메")</f>
        <v>한메</v>
      </c>
      <c r="L1705" s="26" t="str">
        <f>IFERROR(__xludf.DUMMYFUNCTION("""COMPUTED_VALUE"""),"미르진")</f>
        <v>미르진</v>
      </c>
      <c r="M1705" s="26" t="str">
        <f>IFERROR(__xludf.DUMMYFUNCTION("""COMPUTED_VALUE"""),"ACDC")</f>
        <v>ACDC</v>
      </c>
      <c r="N1705" s="26" t="str">
        <f>IFERROR(__xludf.DUMMYFUNCTION("ARRAYFORMULA(REGEXEXTRACT(SPLIT(E1705, ""&lt;br&gt;""), ""([가-힣A-Za-z]+)""))"),"재우")</f>
        <v>재우</v>
      </c>
      <c r="O1705" s="26" t="str">
        <f>IFERROR(__xludf.DUMMYFUNCTION("""COMPUTED_VALUE"""),"재명")</f>
        <v>재명</v>
      </c>
      <c r="P1705" s="26" t="str">
        <f>IFERROR(__xludf.DUMMYFUNCTION("""COMPUTED_VALUE"""),"구리다")</f>
        <v>구리다</v>
      </c>
      <c r="Q1705" s="26" t="str">
        <f>IFERROR(__xludf.DUMMYFUNCTION("""COMPUTED_VALUE"""),"미등록")</f>
        <v>미등록</v>
      </c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</row>
    <row r="1706">
      <c r="A1706" s="27" t="s">
        <v>7077</v>
      </c>
      <c r="B1706" s="28" t="s">
        <v>7078</v>
      </c>
      <c r="C1706" s="27" t="s">
        <v>7079</v>
      </c>
      <c r="D1706" s="27">
        <v>5.0</v>
      </c>
      <c r="E1706" s="27" t="s">
        <v>7080</v>
      </c>
      <c r="F1706" s="27">
        <v>2.0</v>
      </c>
      <c r="G1706" s="29">
        <v>45500.006944444445</v>
      </c>
      <c r="H1706" s="27" t="s">
        <v>6904</v>
      </c>
      <c r="I1706" s="18"/>
      <c r="J1706" s="25" t="str">
        <f>IFERROR(__xludf.DUMMYFUNCTION("ARRAYFORMULA(REGEXEXTRACT(SPLIT(C1706, ""&lt;br&gt;""), ""([가-힣A-Za-z]+)""))"),"재우")</f>
        <v>재우</v>
      </c>
      <c r="K1706" s="26" t="str">
        <f>IFERROR(__xludf.DUMMYFUNCTION("""COMPUTED_VALUE"""),"ACDC")</f>
        <v>ACDC</v>
      </c>
      <c r="L1706" s="26" t="str">
        <f>IFERROR(__xludf.DUMMYFUNCTION("""COMPUTED_VALUE"""),"재명")</f>
        <v>재명</v>
      </c>
      <c r="M1706" s="26" t="str">
        <f>IFERROR(__xludf.DUMMYFUNCTION("""COMPUTED_VALUE"""),"랄")</f>
        <v>랄</v>
      </c>
      <c r="N1706" s="26" t="str">
        <f>IFERROR(__xludf.DUMMYFUNCTION("ARRAYFORMULA(REGEXEXTRACT(SPLIT(E1706, ""&lt;br&gt;""), ""([가-힣A-Za-z]+)""))"),"미등록")</f>
        <v>미등록</v>
      </c>
      <c r="O1706" s="26" t="str">
        <f>IFERROR(__xludf.DUMMYFUNCTION("""COMPUTED_VALUE"""),"구리다")</f>
        <v>구리다</v>
      </c>
      <c r="P1706" s="26" t="str">
        <f>IFERROR(__xludf.DUMMYFUNCTION("""COMPUTED_VALUE"""),"미르진")</f>
        <v>미르진</v>
      </c>
      <c r="Q1706" s="26" t="str">
        <f>IFERROR(__xludf.DUMMYFUNCTION("""COMPUTED_VALUE"""),"한메")</f>
        <v>한메</v>
      </c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</row>
    <row r="1707">
      <c r="A1707" s="27" t="s">
        <v>7081</v>
      </c>
      <c r="B1707" s="28" t="s">
        <v>7082</v>
      </c>
      <c r="C1707" s="27" t="s">
        <v>7083</v>
      </c>
      <c r="D1707" s="27">
        <v>5.0</v>
      </c>
      <c r="E1707" s="27" t="s">
        <v>7084</v>
      </c>
      <c r="F1707" s="27">
        <v>4.0</v>
      </c>
      <c r="G1707" s="29">
        <v>45499.98333333333</v>
      </c>
      <c r="H1707" s="27" t="s">
        <v>6904</v>
      </c>
      <c r="I1707" s="18"/>
      <c r="J1707" s="25" t="str">
        <f>IFERROR(__xludf.DUMMYFUNCTION("ARRAYFORMULA(REGEXEXTRACT(SPLIT(C1707, ""&lt;br&gt;""), ""([가-힣A-Za-z]+)""))"),"미등록")</f>
        <v>미등록</v>
      </c>
      <c r="K1707" s="26" t="str">
        <f>IFERROR(__xludf.DUMMYFUNCTION("""COMPUTED_VALUE"""),"랄")</f>
        <v>랄</v>
      </c>
      <c r="L1707" s="26" t="str">
        <f>IFERROR(__xludf.DUMMYFUNCTION("""COMPUTED_VALUE"""),"구리다")</f>
        <v>구리다</v>
      </c>
      <c r="M1707" s="26" t="str">
        <f>IFERROR(__xludf.DUMMYFUNCTION("""COMPUTED_VALUE"""),"재우")</f>
        <v>재우</v>
      </c>
      <c r="N1707" s="26" t="str">
        <f>IFERROR(__xludf.DUMMYFUNCTION("ARRAYFORMULA(REGEXEXTRACT(SPLIT(E1707, ""&lt;br&gt;""), ""([가-힣A-Za-z]+)""))"),"미르진")</f>
        <v>미르진</v>
      </c>
      <c r="O1707" s="26" t="str">
        <f>IFERROR(__xludf.DUMMYFUNCTION("""COMPUTED_VALUE"""),"한메")</f>
        <v>한메</v>
      </c>
      <c r="P1707" s="26" t="str">
        <f>IFERROR(__xludf.DUMMYFUNCTION("""COMPUTED_VALUE"""),"재명")</f>
        <v>재명</v>
      </c>
      <c r="Q1707" s="26" t="str">
        <f>IFERROR(__xludf.DUMMYFUNCTION("""COMPUTED_VALUE"""),"ACDC")</f>
        <v>ACDC</v>
      </c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  <c r="AB1707" s="18"/>
    </row>
    <row r="1708">
      <c r="A1708" s="27" t="s">
        <v>7085</v>
      </c>
      <c r="B1708" s="28" t="s">
        <v>7086</v>
      </c>
      <c r="C1708" s="27" t="s">
        <v>7087</v>
      </c>
      <c r="D1708" s="27">
        <v>5.0</v>
      </c>
      <c r="E1708" s="27" t="s">
        <v>7088</v>
      </c>
      <c r="F1708" s="27">
        <v>3.0</v>
      </c>
      <c r="G1708" s="29">
        <v>45499.157638888886</v>
      </c>
      <c r="H1708" s="27" t="s">
        <v>6904</v>
      </c>
      <c r="I1708" s="18"/>
      <c r="J1708" s="25" t="str">
        <f>IFERROR(__xludf.DUMMYFUNCTION("ARRAYFORMULA(REGEXEXTRACT(SPLIT(C1708, ""&lt;br&gt;""), ""([가-힣A-Za-z]+)""))"),"신형만")</f>
        <v>신형만</v>
      </c>
      <c r="K1708" s="26" t="str">
        <f>IFERROR(__xludf.DUMMYFUNCTION("""COMPUTED_VALUE"""),"ACDC")</f>
        <v>ACDC</v>
      </c>
      <c r="L1708" s="26" t="str">
        <f>IFERROR(__xludf.DUMMYFUNCTION("""COMPUTED_VALUE"""),"민우")</f>
        <v>민우</v>
      </c>
      <c r="M1708" s="26" t="str">
        <f>IFERROR(__xludf.DUMMYFUNCTION("""COMPUTED_VALUE"""),"재우")</f>
        <v>재우</v>
      </c>
      <c r="N1708" s="26" t="str">
        <f>IFERROR(__xludf.DUMMYFUNCTION("ARRAYFORMULA(REGEXEXTRACT(SPLIT(E1708, ""&lt;br&gt;""), ""([가-힣A-Za-z]+)""))"),"깡패")</f>
        <v>깡패</v>
      </c>
      <c r="O1708" s="26" t="str">
        <f>IFERROR(__xludf.DUMMYFUNCTION("""COMPUTED_VALUE"""),"짱구")</f>
        <v>짱구</v>
      </c>
      <c r="P1708" s="26" t="str">
        <f>IFERROR(__xludf.DUMMYFUNCTION("""COMPUTED_VALUE"""),"키키")</f>
        <v>키키</v>
      </c>
      <c r="Q1708" s="26" t="str">
        <f>IFERROR(__xludf.DUMMYFUNCTION("""COMPUTED_VALUE"""),"한메")</f>
        <v>한메</v>
      </c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  <c r="AB1708" s="18"/>
    </row>
    <row r="1709">
      <c r="A1709" s="27" t="s">
        <v>7089</v>
      </c>
      <c r="B1709" s="28" t="s">
        <v>7090</v>
      </c>
      <c r="C1709" s="27" t="s">
        <v>7091</v>
      </c>
      <c r="D1709" s="27">
        <v>5.0</v>
      </c>
      <c r="E1709" s="27" t="s">
        <v>7092</v>
      </c>
      <c r="F1709" s="27">
        <v>0.0</v>
      </c>
      <c r="G1709" s="29">
        <v>45499.1125</v>
      </c>
      <c r="H1709" s="27" t="s">
        <v>6904</v>
      </c>
      <c r="I1709" s="18"/>
      <c r="J1709" s="25" t="str">
        <f>IFERROR(__xludf.DUMMYFUNCTION("ARRAYFORMULA(REGEXEXTRACT(SPLIT(C1709, ""&lt;br&gt;""), ""([가-힣A-Za-z]+)""))"),"키키")</f>
        <v>키키</v>
      </c>
      <c r="K1709" s="26" t="str">
        <f>IFERROR(__xludf.DUMMYFUNCTION("""COMPUTED_VALUE"""),"재우")</f>
        <v>재우</v>
      </c>
      <c r="L1709" s="26" t="str">
        <f>IFERROR(__xludf.DUMMYFUNCTION("""COMPUTED_VALUE"""),"ACDC")</f>
        <v>ACDC</v>
      </c>
      <c r="M1709" s="26" t="str">
        <f>IFERROR(__xludf.DUMMYFUNCTION("""COMPUTED_VALUE"""),"민우")</f>
        <v>민우</v>
      </c>
      <c r="N1709" s="26" t="str">
        <f>IFERROR(__xludf.DUMMYFUNCTION("ARRAYFORMULA(REGEXEXTRACT(SPLIT(E1709, ""&lt;br&gt;""), ""([가-힣A-Za-z]+)""))"),"한메")</f>
        <v>한메</v>
      </c>
      <c r="O1709" s="26" t="str">
        <f>IFERROR(__xludf.DUMMYFUNCTION("""COMPUTED_VALUE"""),"신형만")</f>
        <v>신형만</v>
      </c>
      <c r="P1709" s="26" t="str">
        <f>IFERROR(__xludf.DUMMYFUNCTION("""COMPUTED_VALUE"""),"짱구")</f>
        <v>짱구</v>
      </c>
      <c r="Q1709" s="26" t="str">
        <f>IFERROR(__xludf.DUMMYFUNCTION("""COMPUTED_VALUE"""),"깡패")</f>
        <v>깡패</v>
      </c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  <c r="AB1709" s="18"/>
    </row>
    <row r="1710">
      <c r="A1710" s="27" t="s">
        <v>7093</v>
      </c>
      <c r="B1710" s="28" t="s">
        <v>7094</v>
      </c>
      <c r="C1710" s="27" t="s">
        <v>7095</v>
      </c>
      <c r="D1710" s="27">
        <v>5.0</v>
      </c>
      <c r="E1710" s="27" t="s">
        <v>7096</v>
      </c>
      <c r="F1710" s="27">
        <v>3.0</v>
      </c>
      <c r="G1710" s="29">
        <v>45499.08472222222</v>
      </c>
      <c r="H1710" s="27" t="s">
        <v>6904</v>
      </c>
      <c r="I1710" s="18"/>
      <c r="J1710" s="25" t="str">
        <f>IFERROR(__xludf.DUMMYFUNCTION("ARRAYFORMULA(REGEXEXTRACT(SPLIT(C1710, ""&lt;br&gt;""), ""([가-힣A-Za-z]+)""))"),"강화")</f>
        <v>강화</v>
      </c>
      <c r="K1710" s="26" t="str">
        <f>IFERROR(__xludf.DUMMYFUNCTION("""COMPUTED_VALUE"""),"ACDC")</f>
        <v>ACDC</v>
      </c>
      <c r="L1710" s="26" t="str">
        <f>IFERROR(__xludf.DUMMYFUNCTION("""COMPUTED_VALUE"""),"키키")</f>
        <v>키키</v>
      </c>
      <c r="M1710" s="26" t="str">
        <f>IFERROR(__xludf.DUMMYFUNCTION("""COMPUTED_VALUE"""),"재우")</f>
        <v>재우</v>
      </c>
      <c r="N1710" s="26" t="str">
        <f>IFERROR(__xludf.DUMMYFUNCTION("ARRAYFORMULA(REGEXEXTRACT(SPLIT(E1710, ""&lt;br&gt;""), ""([가-힣A-Za-z]+)""))"),"신형만")</f>
        <v>신형만</v>
      </c>
      <c r="O1710" s="26" t="str">
        <f>IFERROR(__xludf.DUMMYFUNCTION("""COMPUTED_VALUE"""),"구리다")</f>
        <v>구리다</v>
      </c>
      <c r="P1710" s="26" t="str">
        <f>IFERROR(__xludf.DUMMYFUNCTION("""COMPUTED_VALUE"""),"한메")</f>
        <v>한메</v>
      </c>
      <c r="Q1710" s="26" t="str">
        <f>IFERROR(__xludf.DUMMYFUNCTION("""COMPUTED_VALUE"""),"깡패")</f>
        <v>깡패</v>
      </c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</row>
    <row r="1711">
      <c r="A1711" s="27" t="s">
        <v>7097</v>
      </c>
      <c r="B1711" s="28" t="s">
        <v>7098</v>
      </c>
      <c r="C1711" s="27" t="s">
        <v>7099</v>
      </c>
      <c r="D1711" s="27">
        <v>5.0</v>
      </c>
      <c r="E1711" s="27" t="s">
        <v>7100</v>
      </c>
      <c r="F1711" s="27">
        <v>3.0</v>
      </c>
      <c r="G1711" s="29">
        <v>45499.058333333334</v>
      </c>
      <c r="H1711" s="27" t="s">
        <v>6904</v>
      </c>
      <c r="I1711" s="18"/>
      <c r="J1711" s="25" t="str">
        <f>IFERROR(__xludf.DUMMYFUNCTION("ARRAYFORMULA(REGEXEXTRACT(SPLIT(C1711, ""&lt;br&gt;""), ""([가-힣A-Za-z]+)""))"),"강화")</f>
        <v>강화</v>
      </c>
      <c r="K1711" s="26" t="str">
        <f>IFERROR(__xludf.DUMMYFUNCTION("""COMPUTED_VALUE"""),"깡패")</f>
        <v>깡패</v>
      </c>
      <c r="L1711" s="26" t="str">
        <f>IFERROR(__xludf.DUMMYFUNCTION("""COMPUTED_VALUE"""),"구리다")</f>
        <v>구리다</v>
      </c>
      <c r="M1711" s="26" t="str">
        <f>IFERROR(__xludf.DUMMYFUNCTION("""COMPUTED_VALUE"""),"재우")</f>
        <v>재우</v>
      </c>
      <c r="N1711" s="26" t="str">
        <f>IFERROR(__xludf.DUMMYFUNCTION("ARRAYFORMULA(REGEXEXTRACT(SPLIT(E1711, ""&lt;br&gt;""), ""([가-힣A-Za-z]+)""))"),"ACDC")</f>
        <v>ACDC</v>
      </c>
      <c r="O1711" s="26" t="str">
        <f>IFERROR(__xludf.DUMMYFUNCTION("""COMPUTED_VALUE"""),"한메")</f>
        <v>한메</v>
      </c>
      <c r="P1711" s="26" t="str">
        <f>IFERROR(__xludf.DUMMYFUNCTION("""COMPUTED_VALUE"""),"키키")</f>
        <v>키키</v>
      </c>
      <c r="Q1711" s="26" t="str">
        <f>IFERROR(__xludf.DUMMYFUNCTION("""COMPUTED_VALUE"""),"신형만")</f>
        <v>신형만</v>
      </c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  <c r="AB1711" s="18"/>
    </row>
    <row r="1712">
      <c r="A1712" s="27" t="s">
        <v>7101</v>
      </c>
      <c r="B1712" s="28" t="s">
        <v>7102</v>
      </c>
      <c r="C1712" s="27" t="s">
        <v>7103</v>
      </c>
      <c r="D1712" s="27">
        <v>5.0</v>
      </c>
      <c r="E1712" s="27" t="s">
        <v>7104</v>
      </c>
      <c r="F1712" s="27">
        <v>0.0</v>
      </c>
      <c r="G1712" s="29">
        <v>45499.0375</v>
      </c>
      <c r="H1712" s="27" t="s">
        <v>6904</v>
      </c>
      <c r="I1712" s="18"/>
      <c r="J1712" s="25" t="str">
        <f>IFERROR(__xludf.DUMMYFUNCTION("ARRAYFORMULA(REGEXEXTRACT(SPLIT(C1712, ""&lt;br&gt;""), ""([가-힣A-Za-z]+)""))"),"한메")</f>
        <v>한메</v>
      </c>
      <c r="K1712" s="26" t="str">
        <f>IFERROR(__xludf.DUMMYFUNCTION("""COMPUTED_VALUE"""),"강화")</f>
        <v>강화</v>
      </c>
      <c r="L1712" s="26" t="str">
        <f>IFERROR(__xludf.DUMMYFUNCTION("""COMPUTED_VALUE"""),"키키")</f>
        <v>키키</v>
      </c>
      <c r="M1712" s="26" t="str">
        <f>IFERROR(__xludf.DUMMYFUNCTION("""COMPUTED_VALUE"""),"재우")</f>
        <v>재우</v>
      </c>
      <c r="N1712" s="26" t="str">
        <f>IFERROR(__xludf.DUMMYFUNCTION("ARRAYFORMULA(REGEXEXTRACT(SPLIT(E1712, ""&lt;br&gt;""), ""([가-힣A-Za-z]+)""))"),"신형만")</f>
        <v>신형만</v>
      </c>
      <c r="O1712" s="26" t="str">
        <f>IFERROR(__xludf.DUMMYFUNCTION("""COMPUTED_VALUE"""),"구리다")</f>
        <v>구리다</v>
      </c>
      <c r="P1712" s="26" t="str">
        <f>IFERROR(__xludf.DUMMYFUNCTION("""COMPUTED_VALUE"""),"ACDC")</f>
        <v>ACDC</v>
      </c>
      <c r="Q1712" s="26" t="str">
        <f>IFERROR(__xludf.DUMMYFUNCTION("""COMPUTED_VALUE"""),"깡패")</f>
        <v>깡패</v>
      </c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  <c r="AB1712" s="18"/>
    </row>
    <row r="1713">
      <c r="A1713" s="27" t="s">
        <v>7105</v>
      </c>
      <c r="B1713" s="28" t="s">
        <v>7106</v>
      </c>
      <c r="C1713" s="27" t="s">
        <v>7107</v>
      </c>
      <c r="D1713" s="27">
        <v>5.0</v>
      </c>
      <c r="E1713" s="27" t="s">
        <v>7108</v>
      </c>
      <c r="F1713" s="27">
        <v>4.0</v>
      </c>
      <c r="G1713" s="29">
        <v>45498.961805555555</v>
      </c>
      <c r="H1713" s="27" t="s">
        <v>6904</v>
      </c>
      <c r="I1713" s="18"/>
      <c r="J1713" s="25" t="str">
        <f>IFERROR(__xludf.DUMMYFUNCTION("ARRAYFORMULA(REGEXEXTRACT(SPLIT(C1713, ""&lt;br&gt;""), ""([가-힣A-Za-z]+)""))"),"윙크")</f>
        <v>윙크</v>
      </c>
      <c r="K1713" s="26" t="str">
        <f>IFERROR(__xludf.DUMMYFUNCTION("""COMPUTED_VALUE"""),"ACDC")</f>
        <v>ACDC</v>
      </c>
      <c r="L1713" s="26" t="str">
        <f>IFERROR(__xludf.DUMMYFUNCTION("""COMPUTED_VALUE"""),"구리다")</f>
        <v>구리다</v>
      </c>
      <c r="M1713" s="26" t="str">
        <f>IFERROR(__xludf.DUMMYFUNCTION("""COMPUTED_VALUE"""),"신형만")</f>
        <v>신형만</v>
      </c>
      <c r="N1713" s="26" t="str">
        <f>IFERROR(__xludf.DUMMYFUNCTION("ARRAYFORMULA(REGEXEXTRACT(SPLIT(E1713, ""&lt;br&gt;""), ""([가-힣A-Za-z]+)""))"),"강화")</f>
        <v>강화</v>
      </c>
      <c r="O1713" s="26" t="str">
        <f>IFERROR(__xludf.DUMMYFUNCTION("""COMPUTED_VALUE"""),"랄")</f>
        <v>랄</v>
      </c>
      <c r="P1713" s="26" t="str">
        <f>IFERROR(__xludf.DUMMYFUNCTION("""COMPUTED_VALUE"""),"미르진")</f>
        <v>미르진</v>
      </c>
      <c r="Q1713" s="26" t="str">
        <f>IFERROR(__xludf.DUMMYFUNCTION("""COMPUTED_VALUE"""),"한메")</f>
        <v>한메</v>
      </c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  <c r="AB1713" s="18"/>
    </row>
    <row r="1714">
      <c r="A1714" s="27" t="s">
        <v>7109</v>
      </c>
      <c r="B1714" s="28" t="s">
        <v>7110</v>
      </c>
      <c r="C1714" s="27" t="s">
        <v>7111</v>
      </c>
      <c r="D1714" s="27">
        <v>5.0</v>
      </c>
      <c r="E1714" s="27" t="s">
        <v>7112</v>
      </c>
      <c r="F1714" s="27">
        <v>1.0</v>
      </c>
      <c r="G1714" s="29">
        <v>45498.92013888889</v>
      </c>
      <c r="H1714" s="27" t="s">
        <v>6904</v>
      </c>
      <c r="I1714" s="18"/>
      <c r="J1714" s="25" t="str">
        <f>IFERROR(__xludf.DUMMYFUNCTION("ARRAYFORMULA(REGEXEXTRACT(SPLIT(C1714, ""&lt;br&gt;""), ""([가-힣A-Za-z]+)""))"),"ACDC")</f>
        <v>ACDC</v>
      </c>
      <c r="K1714" s="26" t="str">
        <f>IFERROR(__xludf.DUMMYFUNCTION("""COMPUTED_VALUE"""),"신형만")</f>
        <v>신형만</v>
      </c>
      <c r="L1714" s="26" t="str">
        <f>IFERROR(__xludf.DUMMYFUNCTION("""COMPUTED_VALUE"""),"한메")</f>
        <v>한메</v>
      </c>
      <c r="M1714" s="26" t="str">
        <f>IFERROR(__xludf.DUMMYFUNCTION("""COMPUTED_VALUE"""),"미르진")</f>
        <v>미르진</v>
      </c>
      <c r="N1714" s="26" t="str">
        <f>IFERROR(__xludf.DUMMYFUNCTION("ARRAYFORMULA(REGEXEXTRACT(SPLIT(E1714, ""&lt;br&gt;""), ""([가-힣A-Za-z]+)""))"),"랄")</f>
        <v>랄</v>
      </c>
      <c r="O1714" s="26" t="str">
        <f>IFERROR(__xludf.DUMMYFUNCTION("""COMPUTED_VALUE"""),"구리다")</f>
        <v>구리다</v>
      </c>
      <c r="P1714" s="26" t="str">
        <f>IFERROR(__xludf.DUMMYFUNCTION("""COMPUTED_VALUE"""),"윙크")</f>
        <v>윙크</v>
      </c>
      <c r="Q1714" s="26" t="str">
        <f>IFERROR(__xludf.DUMMYFUNCTION("""COMPUTED_VALUE"""),"강화")</f>
        <v>강화</v>
      </c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  <c r="AB1714" s="18"/>
    </row>
    <row r="1715">
      <c r="A1715" s="27" t="s">
        <v>7113</v>
      </c>
      <c r="B1715" s="28" t="s">
        <v>7114</v>
      </c>
      <c r="C1715" s="27" t="s">
        <v>7115</v>
      </c>
      <c r="D1715" s="27">
        <v>5.0</v>
      </c>
      <c r="E1715" s="27" t="s">
        <v>7116</v>
      </c>
      <c r="F1715" s="27">
        <v>1.0</v>
      </c>
      <c r="G1715" s="29">
        <v>45498.07361111111</v>
      </c>
      <c r="H1715" s="27" t="s">
        <v>6904</v>
      </c>
      <c r="I1715" s="18"/>
      <c r="J1715" s="25" t="str">
        <f>IFERROR(__xludf.DUMMYFUNCTION("ARRAYFORMULA(REGEXEXTRACT(SPLIT(C1715, ""&lt;br&gt;""), ""([가-힣A-Za-z]+)""))"),"키키")</f>
        <v>키키</v>
      </c>
      <c r="K1715" s="26" t="str">
        <f>IFERROR(__xludf.DUMMYFUNCTION("""COMPUTED_VALUE"""),"재명")</f>
        <v>재명</v>
      </c>
      <c r="L1715" s="26" t="str">
        <f>IFERROR(__xludf.DUMMYFUNCTION("""COMPUTED_VALUE"""),"밍구")</f>
        <v>밍구</v>
      </c>
      <c r="M1715" s="26" t="str">
        <f>IFERROR(__xludf.DUMMYFUNCTION("""COMPUTED_VALUE"""),"미등록")</f>
        <v>미등록</v>
      </c>
      <c r="N1715" s="26" t="str">
        <f>IFERROR(__xludf.DUMMYFUNCTION("ARRAYFORMULA(REGEXEXTRACT(SPLIT(E1715, ""&lt;br&gt;""), ""([가-힣A-Za-z]+)""))"),"윙크")</f>
        <v>윙크</v>
      </c>
      <c r="O1715" s="26" t="str">
        <f>IFERROR(__xludf.DUMMYFUNCTION("""COMPUTED_VALUE"""),"구리다")</f>
        <v>구리다</v>
      </c>
      <c r="P1715" s="26" t="str">
        <f>IFERROR(__xludf.DUMMYFUNCTION("""COMPUTED_VALUE"""),"랄")</f>
        <v>랄</v>
      </c>
      <c r="Q1715" s="26" t="str">
        <f>IFERROR(__xludf.DUMMYFUNCTION("""COMPUTED_VALUE"""),"깡패")</f>
        <v>깡패</v>
      </c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  <c r="AB1715" s="18"/>
    </row>
    <row r="1716">
      <c r="A1716" s="27" t="s">
        <v>7117</v>
      </c>
      <c r="B1716" s="28" t="s">
        <v>7118</v>
      </c>
      <c r="C1716" s="27" t="s">
        <v>7119</v>
      </c>
      <c r="D1716" s="27">
        <v>5.0</v>
      </c>
      <c r="E1716" s="27" t="s">
        <v>7120</v>
      </c>
      <c r="F1716" s="27">
        <v>0.0</v>
      </c>
      <c r="G1716" s="29">
        <v>45498.04513888889</v>
      </c>
      <c r="H1716" s="27" t="s">
        <v>6904</v>
      </c>
      <c r="I1716" s="18"/>
      <c r="J1716" s="25" t="str">
        <f>IFERROR(__xludf.DUMMYFUNCTION("ARRAYFORMULA(REGEXEXTRACT(SPLIT(C1716, ""&lt;br&gt;""), ""([가-힣A-Za-z]+)""))"),"깡패")</f>
        <v>깡패</v>
      </c>
      <c r="K1716" s="26" t="str">
        <f>IFERROR(__xludf.DUMMYFUNCTION("""COMPUTED_VALUE"""),"구리다")</f>
        <v>구리다</v>
      </c>
      <c r="L1716" s="26" t="str">
        <f>IFERROR(__xludf.DUMMYFUNCTION("""COMPUTED_VALUE"""),"키키")</f>
        <v>키키</v>
      </c>
      <c r="M1716" s="26" t="str">
        <f>IFERROR(__xludf.DUMMYFUNCTION("""COMPUTED_VALUE"""),"강화")</f>
        <v>강화</v>
      </c>
      <c r="N1716" s="26" t="str">
        <f>IFERROR(__xludf.DUMMYFUNCTION("ARRAYFORMULA(REGEXEXTRACT(SPLIT(E1716, ""&lt;br&gt;""), ""([가-힣A-Za-z]+)""))"),"랄")</f>
        <v>랄</v>
      </c>
      <c r="O1716" s="26" t="str">
        <f>IFERROR(__xludf.DUMMYFUNCTION("""COMPUTED_VALUE"""),"한메")</f>
        <v>한메</v>
      </c>
      <c r="P1716" s="26" t="str">
        <f>IFERROR(__xludf.DUMMYFUNCTION("""COMPUTED_VALUE"""),"윙크")</f>
        <v>윙크</v>
      </c>
      <c r="Q1716" s="26" t="str">
        <f>IFERROR(__xludf.DUMMYFUNCTION("""COMPUTED_VALUE"""),"ACDC")</f>
        <v>ACDC</v>
      </c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</row>
    <row r="1717">
      <c r="A1717" s="27" t="s">
        <v>7121</v>
      </c>
      <c r="B1717" s="28" t="s">
        <v>7122</v>
      </c>
      <c r="C1717" s="27" t="s">
        <v>7123</v>
      </c>
      <c r="D1717" s="27">
        <v>5.0</v>
      </c>
      <c r="E1717" s="27" t="s">
        <v>7124</v>
      </c>
      <c r="F1717" s="27">
        <v>2.0</v>
      </c>
      <c r="G1717" s="29">
        <v>45498.025</v>
      </c>
      <c r="H1717" s="27" t="s">
        <v>6904</v>
      </c>
      <c r="I1717" s="18"/>
      <c r="J1717" s="25" t="str">
        <f>IFERROR(__xludf.DUMMYFUNCTION("ARRAYFORMULA(REGEXEXTRACT(SPLIT(C1717, ""&lt;br&gt;""), ""([가-힣A-Za-z]+)""))"),"깡패")</f>
        <v>깡패</v>
      </c>
      <c r="K1717" s="26" t="str">
        <f>IFERROR(__xludf.DUMMYFUNCTION("""COMPUTED_VALUE"""),"신형만")</f>
        <v>신형만</v>
      </c>
      <c r="L1717" s="26" t="str">
        <f>IFERROR(__xludf.DUMMYFUNCTION("""COMPUTED_VALUE"""),"구리다")</f>
        <v>구리다</v>
      </c>
      <c r="M1717" s="26" t="str">
        <f>IFERROR(__xludf.DUMMYFUNCTION("""COMPUTED_VALUE"""),"랄")</f>
        <v>랄</v>
      </c>
      <c r="N1717" s="26" t="str">
        <f>IFERROR(__xludf.DUMMYFUNCTION("ARRAYFORMULA(REGEXEXTRACT(SPLIT(E1717, ""&lt;br&gt;""), ""([가-힣A-Za-z]+)""))"),"ACDC")</f>
        <v>ACDC</v>
      </c>
      <c r="O1717" s="26" t="str">
        <f>IFERROR(__xludf.DUMMYFUNCTION("""COMPUTED_VALUE"""),"한메")</f>
        <v>한메</v>
      </c>
      <c r="P1717" s="26" t="str">
        <f>IFERROR(__xludf.DUMMYFUNCTION("""COMPUTED_VALUE"""),"재명")</f>
        <v>재명</v>
      </c>
      <c r="Q1717" s="26" t="str">
        <f>IFERROR(__xludf.DUMMYFUNCTION("""COMPUTED_VALUE"""),"강화")</f>
        <v>강화</v>
      </c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  <c r="AB1717" s="18"/>
    </row>
    <row r="1718">
      <c r="A1718" s="27" t="s">
        <v>7125</v>
      </c>
      <c r="B1718" s="28" t="s">
        <v>7126</v>
      </c>
      <c r="C1718" s="27" t="s">
        <v>7127</v>
      </c>
      <c r="D1718" s="27">
        <v>5.0</v>
      </c>
      <c r="E1718" s="27" t="s">
        <v>7128</v>
      </c>
      <c r="F1718" s="27">
        <v>4.0</v>
      </c>
      <c r="G1718" s="29">
        <v>45497.99097222222</v>
      </c>
      <c r="H1718" s="27" t="s">
        <v>6904</v>
      </c>
      <c r="I1718" s="18"/>
      <c r="J1718" s="25" t="str">
        <f>IFERROR(__xludf.DUMMYFUNCTION("ARRAYFORMULA(REGEXEXTRACT(SPLIT(C1718, ""&lt;br&gt;""), ""([가-힣A-Za-z]+)""))"),"미르진")</f>
        <v>미르진</v>
      </c>
      <c r="K1718" s="26" t="str">
        <f>IFERROR(__xludf.DUMMYFUNCTION("""COMPUTED_VALUE"""),"신형만")</f>
        <v>신형만</v>
      </c>
      <c r="L1718" s="26" t="str">
        <f>IFERROR(__xludf.DUMMYFUNCTION("""COMPUTED_VALUE"""),"랄")</f>
        <v>랄</v>
      </c>
      <c r="M1718" s="26" t="str">
        <f>IFERROR(__xludf.DUMMYFUNCTION("""COMPUTED_VALUE"""),"강화")</f>
        <v>강화</v>
      </c>
      <c r="N1718" s="26" t="str">
        <f>IFERROR(__xludf.DUMMYFUNCTION("ARRAYFORMULA(REGEXEXTRACT(SPLIT(E1718, ""&lt;br&gt;""), ""([가-힣A-Za-z]+)""))"),"구리다")</f>
        <v>구리다</v>
      </c>
      <c r="O1718" s="26" t="str">
        <f>IFERROR(__xludf.DUMMYFUNCTION("""COMPUTED_VALUE"""),"깡패")</f>
        <v>깡패</v>
      </c>
      <c r="P1718" s="26" t="str">
        <f>IFERROR(__xludf.DUMMYFUNCTION("""COMPUTED_VALUE"""),"재명")</f>
        <v>재명</v>
      </c>
      <c r="Q1718" s="26" t="str">
        <f>IFERROR(__xludf.DUMMYFUNCTION("""COMPUTED_VALUE"""),"ACDC")</f>
        <v>ACDC</v>
      </c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</row>
    <row r="1719">
      <c r="A1719" s="27" t="s">
        <v>7129</v>
      </c>
      <c r="B1719" s="28" t="s">
        <v>7130</v>
      </c>
      <c r="C1719" s="27" t="s">
        <v>7131</v>
      </c>
      <c r="D1719" s="27">
        <v>5.0</v>
      </c>
      <c r="E1719" s="27" t="s">
        <v>7132</v>
      </c>
      <c r="F1719" s="27">
        <v>0.0</v>
      </c>
      <c r="G1719" s="29">
        <v>45497.958333333336</v>
      </c>
      <c r="H1719" s="27" t="s">
        <v>6904</v>
      </c>
      <c r="I1719" s="18"/>
      <c r="J1719" s="25" t="str">
        <f>IFERROR(__xludf.DUMMYFUNCTION("ARRAYFORMULA(REGEXEXTRACT(SPLIT(C1719, ""&lt;br&gt;""), ""([가-힣A-Za-z]+)""))"),"강화")</f>
        <v>강화</v>
      </c>
      <c r="K1719" s="26" t="str">
        <f>IFERROR(__xludf.DUMMYFUNCTION("""COMPUTED_VALUE"""),"랄")</f>
        <v>랄</v>
      </c>
      <c r="L1719" s="26" t="str">
        <f>IFERROR(__xludf.DUMMYFUNCTION("""COMPUTED_VALUE"""),"신형만")</f>
        <v>신형만</v>
      </c>
      <c r="M1719" s="26" t="str">
        <f>IFERROR(__xludf.DUMMYFUNCTION("""COMPUTED_VALUE"""),"깡패")</f>
        <v>깡패</v>
      </c>
      <c r="N1719" s="26" t="str">
        <f>IFERROR(__xludf.DUMMYFUNCTION("ARRAYFORMULA(REGEXEXTRACT(SPLIT(E1719, ""&lt;br&gt;""), ""([가-힣A-Za-z]+)""))"),"재명")</f>
        <v>재명</v>
      </c>
      <c r="O1719" s="26" t="str">
        <f>IFERROR(__xludf.DUMMYFUNCTION("""COMPUTED_VALUE"""),"구리다")</f>
        <v>구리다</v>
      </c>
      <c r="P1719" s="26" t="str">
        <f>IFERROR(__xludf.DUMMYFUNCTION("""COMPUTED_VALUE"""),"미르진")</f>
        <v>미르진</v>
      </c>
      <c r="Q1719" s="26" t="str">
        <f>IFERROR(__xludf.DUMMYFUNCTION("""COMPUTED_VALUE"""),"ACDC")</f>
        <v>ACDC</v>
      </c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  <c r="AB1719" s="18"/>
    </row>
    <row r="1720">
      <c r="A1720" s="27" t="s">
        <v>7133</v>
      </c>
      <c r="B1720" s="28" t="s">
        <v>7134</v>
      </c>
      <c r="C1720" s="27" t="s">
        <v>7135</v>
      </c>
      <c r="D1720" s="27">
        <v>5.0</v>
      </c>
      <c r="E1720" s="27" t="s">
        <v>7136</v>
      </c>
      <c r="F1720" s="27">
        <v>4.0</v>
      </c>
      <c r="G1720" s="29">
        <v>45497.938888888886</v>
      </c>
      <c r="H1720" s="27" t="s">
        <v>6904</v>
      </c>
      <c r="I1720" s="18"/>
      <c r="J1720" s="25" t="str">
        <f>IFERROR(__xludf.DUMMYFUNCTION("ARRAYFORMULA(REGEXEXTRACT(SPLIT(C1720, ""&lt;br&gt;""), ""([가-힣A-Za-z]+)""))"),"팰리")</f>
        <v>팰리</v>
      </c>
      <c r="K1720" s="26" t="str">
        <f>IFERROR(__xludf.DUMMYFUNCTION("""COMPUTED_VALUE"""),"미르진")</f>
        <v>미르진</v>
      </c>
      <c r="L1720" s="26" t="str">
        <f>IFERROR(__xludf.DUMMYFUNCTION("""COMPUTED_VALUE"""),"강화")</f>
        <v>강화</v>
      </c>
      <c r="M1720" s="26" t="str">
        <f>IFERROR(__xludf.DUMMYFUNCTION("""COMPUTED_VALUE"""),"한메")</f>
        <v>한메</v>
      </c>
      <c r="N1720" s="26" t="str">
        <f>IFERROR(__xludf.DUMMYFUNCTION("ARRAYFORMULA(REGEXEXTRACT(SPLIT(E1720, ""&lt;br&gt;""), ""([가-힣A-Za-z]+)""))"),"신형만")</f>
        <v>신형만</v>
      </c>
      <c r="O1720" s="26" t="str">
        <f>IFERROR(__xludf.DUMMYFUNCTION("""COMPUTED_VALUE"""),"ACDC")</f>
        <v>ACDC</v>
      </c>
      <c r="P1720" s="26" t="str">
        <f>IFERROR(__xludf.DUMMYFUNCTION("""COMPUTED_VALUE"""),"재명")</f>
        <v>재명</v>
      </c>
      <c r="Q1720" s="26" t="str">
        <f>IFERROR(__xludf.DUMMYFUNCTION("""COMPUTED_VALUE"""),"깡패")</f>
        <v>깡패</v>
      </c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  <c r="AB1720" s="18"/>
    </row>
    <row r="1721">
      <c r="A1721" s="27" t="s">
        <v>7137</v>
      </c>
      <c r="B1721" s="28" t="s">
        <v>7138</v>
      </c>
      <c r="C1721" s="27" t="s">
        <v>7139</v>
      </c>
      <c r="D1721" s="27">
        <v>5.0</v>
      </c>
      <c r="E1721" s="27" t="s">
        <v>7140</v>
      </c>
      <c r="F1721" s="27">
        <v>2.0</v>
      </c>
      <c r="G1721" s="29">
        <v>45497.907638888886</v>
      </c>
      <c r="H1721" s="27" t="s">
        <v>6904</v>
      </c>
      <c r="I1721" s="18"/>
      <c r="J1721" s="25" t="str">
        <f>IFERROR(__xludf.DUMMYFUNCTION("ARRAYFORMULA(REGEXEXTRACT(SPLIT(C1721, ""&lt;br&gt;""), ""([가-힣A-Za-z]+)""))"),"재명")</f>
        <v>재명</v>
      </c>
      <c r="K1721" s="26" t="str">
        <f>IFERROR(__xludf.DUMMYFUNCTION("""COMPUTED_VALUE"""),"팰리")</f>
        <v>팰리</v>
      </c>
      <c r="L1721" s="26" t="str">
        <f>IFERROR(__xludf.DUMMYFUNCTION("""COMPUTED_VALUE"""),"한메")</f>
        <v>한메</v>
      </c>
      <c r="M1721" s="26" t="str">
        <f>IFERROR(__xludf.DUMMYFUNCTION("""COMPUTED_VALUE"""),"신형만")</f>
        <v>신형만</v>
      </c>
      <c r="N1721" s="26" t="str">
        <f>IFERROR(__xludf.DUMMYFUNCTION("ARRAYFORMULA(REGEXEXTRACT(SPLIT(E1721, ""&lt;br&gt;""), ""([가-힣A-Za-z]+)""))"),"강화")</f>
        <v>강화</v>
      </c>
      <c r="O1721" s="26" t="str">
        <f>IFERROR(__xludf.DUMMYFUNCTION("""COMPUTED_VALUE"""),"짱구")</f>
        <v>짱구</v>
      </c>
      <c r="P1721" s="26" t="str">
        <f>IFERROR(__xludf.DUMMYFUNCTION("""COMPUTED_VALUE"""),"ACDC")</f>
        <v>ACDC</v>
      </c>
      <c r="Q1721" s="26" t="str">
        <f>IFERROR(__xludf.DUMMYFUNCTION("""COMPUTED_VALUE"""),"미르진")</f>
        <v>미르진</v>
      </c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</row>
    <row r="1722">
      <c r="A1722" s="27" t="s">
        <v>7141</v>
      </c>
      <c r="B1722" s="28" t="s">
        <v>7142</v>
      </c>
      <c r="C1722" s="27" t="s">
        <v>7143</v>
      </c>
      <c r="D1722" s="27">
        <v>5.0</v>
      </c>
      <c r="E1722" s="27" t="s">
        <v>7144</v>
      </c>
      <c r="F1722" s="27">
        <v>0.0</v>
      </c>
      <c r="G1722" s="29">
        <v>45496.989583333336</v>
      </c>
      <c r="H1722" s="27" t="s">
        <v>6904</v>
      </c>
      <c r="I1722" s="18"/>
      <c r="J1722" s="25" t="str">
        <f>IFERROR(__xludf.DUMMYFUNCTION("ARRAYFORMULA(REGEXEXTRACT(SPLIT(C1722, ""&lt;br&gt;""), ""([가-힣A-Za-z]+)""))"),"강화")</f>
        <v>강화</v>
      </c>
      <c r="K1722" s="26" t="str">
        <f>IFERROR(__xludf.DUMMYFUNCTION("""COMPUTED_VALUE"""),"구리다")</f>
        <v>구리다</v>
      </c>
      <c r="L1722" s="26" t="str">
        <f>IFERROR(__xludf.DUMMYFUNCTION("""COMPUTED_VALUE"""),"짱구")</f>
        <v>짱구</v>
      </c>
      <c r="M1722" s="26" t="str">
        <f>IFERROR(__xludf.DUMMYFUNCTION("""COMPUTED_VALUE"""),"깡패")</f>
        <v>깡패</v>
      </c>
      <c r="N1722" s="26" t="str">
        <f>IFERROR(__xludf.DUMMYFUNCTION("ARRAYFORMULA(REGEXEXTRACT(SPLIT(E1722, ""&lt;br&gt;""), ""([가-힣A-Za-z]+)""))"),"한메")</f>
        <v>한메</v>
      </c>
      <c r="O1722" s="26" t="str">
        <f>IFERROR(__xludf.DUMMYFUNCTION("""COMPUTED_VALUE"""),"조심")</f>
        <v>조심</v>
      </c>
      <c r="P1722" s="26" t="str">
        <f>IFERROR(__xludf.DUMMYFUNCTION("""COMPUTED_VALUE"""),"밍구")</f>
        <v>밍구</v>
      </c>
      <c r="Q1722" s="26" t="str">
        <f>IFERROR(__xludf.DUMMYFUNCTION("""COMPUTED_VALUE"""),"ACDC")</f>
        <v>ACDC</v>
      </c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  <c r="AB1722" s="18"/>
    </row>
    <row r="1723">
      <c r="A1723" s="27" t="s">
        <v>7145</v>
      </c>
      <c r="B1723" s="28" t="s">
        <v>7146</v>
      </c>
      <c r="C1723" s="27" t="s">
        <v>7147</v>
      </c>
      <c r="D1723" s="27">
        <v>5.0</v>
      </c>
      <c r="E1723" s="27" t="s">
        <v>7148</v>
      </c>
      <c r="F1723" s="27">
        <v>3.0</v>
      </c>
      <c r="G1723" s="29">
        <v>45496.981944444444</v>
      </c>
      <c r="H1723" s="27" t="s">
        <v>6904</v>
      </c>
      <c r="I1723" s="18"/>
      <c r="J1723" s="25" t="str">
        <f>IFERROR(__xludf.DUMMYFUNCTION("ARRAYFORMULA(REGEXEXTRACT(SPLIT(C1723, ""&lt;br&gt;""), ""([가-힣A-Za-z]+)""))"),"미등록")</f>
        <v>미등록</v>
      </c>
      <c r="K1723" s="26" t="str">
        <f>IFERROR(__xludf.DUMMYFUNCTION("""COMPUTED_VALUE"""),"신형만")</f>
        <v>신형만</v>
      </c>
      <c r="L1723" s="26" t="str">
        <f>IFERROR(__xludf.DUMMYFUNCTION("""COMPUTED_VALUE"""),"재우")</f>
        <v>재우</v>
      </c>
      <c r="M1723" s="26" t="str">
        <f>IFERROR(__xludf.DUMMYFUNCTION("""COMPUTED_VALUE"""),"랄")</f>
        <v>랄</v>
      </c>
      <c r="N1723" s="26" t="str">
        <f>IFERROR(__xludf.DUMMYFUNCTION("ARRAYFORMULA(REGEXEXTRACT(SPLIT(E1723, ""&lt;br&gt;""), ""([가-힣A-Za-z]+)""))"),"악동")</f>
        <v>악동</v>
      </c>
      <c r="O1723" s="26" t="str">
        <f>IFERROR(__xludf.DUMMYFUNCTION("""COMPUTED_VALUE"""),"미르진")</f>
        <v>미르진</v>
      </c>
      <c r="P1723" s="26" t="str">
        <f>IFERROR(__xludf.DUMMYFUNCTION("""COMPUTED_VALUE"""),"미등록")</f>
        <v>미등록</v>
      </c>
      <c r="Q1723" s="26" t="str">
        <f>IFERROR(__xludf.DUMMYFUNCTION("""COMPUTED_VALUE"""),"재명")</f>
        <v>재명</v>
      </c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  <c r="AB1723" s="18"/>
    </row>
    <row r="1724">
      <c r="A1724" s="27" t="s">
        <v>7149</v>
      </c>
      <c r="B1724" s="28" t="s">
        <v>7150</v>
      </c>
      <c r="C1724" s="27" t="s">
        <v>7151</v>
      </c>
      <c r="D1724" s="27">
        <v>5.0</v>
      </c>
      <c r="E1724" s="27" t="s">
        <v>7152</v>
      </c>
      <c r="F1724" s="27">
        <v>1.0</v>
      </c>
      <c r="G1724" s="29">
        <v>45496.979166666664</v>
      </c>
      <c r="H1724" s="27" t="s">
        <v>6904</v>
      </c>
      <c r="I1724" s="18"/>
      <c r="J1724" s="25" t="str">
        <f>IFERROR(__xludf.DUMMYFUNCTION("ARRAYFORMULA(REGEXEXTRACT(SPLIT(C1724, ""&lt;br&gt;""), ""([가-힣A-Za-z]+)""))"),"테리")</f>
        <v>테리</v>
      </c>
      <c r="K1724" s="26" t="str">
        <f>IFERROR(__xludf.DUMMYFUNCTION("""COMPUTED_VALUE"""),"구리다")</f>
        <v>구리다</v>
      </c>
      <c r="L1724" s="26" t="str">
        <f>IFERROR(__xludf.DUMMYFUNCTION("""COMPUTED_VALUE"""),"조심")</f>
        <v>조심</v>
      </c>
      <c r="M1724" s="26" t="str">
        <f>IFERROR(__xludf.DUMMYFUNCTION("""COMPUTED_VALUE"""),"강화")</f>
        <v>강화</v>
      </c>
      <c r="N1724" s="26" t="str">
        <f>IFERROR(__xludf.DUMMYFUNCTION("ARRAYFORMULA(REGEXEXTRACT(SPLIT(E1724, ""&lt;br&gt;""), ""([가-힣A-Za-z]+)""))"),"ACDC")</f>
        <v>ACDC</v>
      </c>
      <c r="O1724" s="26" t="str">
        <f>IFERROR(__xludf.DUMMYFUNCTION("""COMPUTED_VALUE"""),"깡패")</f>
        <v>깡패</v>
      </c>
      <c r="P1724" s="26" t="str">
        <f>IFERROR(__xludf.DUMMYFUNCTION("""COMPUTED_VALUE"""),"밍구")</f>
        <v>밍구</v>
      </c>
      <c r="Q1724" s="26" t="str">
        <f>IFERROR(__xludf.DUMMYFUNCTION("""COMPUTED_VALUE"""),"한메")</f>
        <v>한메</v>
      </c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  <c r="AB1724" s="18"/>
    </row>
    <row r="1725">
      <c r="A1725" s="27" t="s">
        <v>7153</v>
      </c>
      <c r="B1725" s="28" t="s">
        <v>7154</v>
      </c>
      <c r="C1725" s="27" t="s">
        <v>7155</v>
      </c>
      <c r="D1725" s="27">
        <v>5.0</v>
      </c>
      <c r="E1725" s="27" t="s">
        <v>7156</v>
      </c>
      <c r="F1725" s="27">
        <v>3.0</v>
      </c>
      <c r="G1725" s="29">
        <v>45496.95277777778</v>
      </c>
      <c r="H1725" s="27" t="s">
        <v>6904</v>
      </c>
      <c r="I1725" s="18"/>
      <c r="J1725" s="25" t="str">
        <f>IFERROR(__xludf.DUMMYFUNCTION("ARRAYFORMULA(REGEXEXTRACT(SPLIT(C1725, ""&lt;br&gt;""), ""([가-힣A-Za-z]+)""))"),"구리다")</f>
        <v>구리다</v>
      </c>
      <c r="K1725" s="26" t="str">
        <f>IFERROR(__xludf.DUMMYFUNCTION("""COMPUTED_VALUE"""),"조심")</f>
        <v>조심</v>
      </c>
      <c r="L1725" s="26" t="str">
        <f>IFERROR(__xludf.DUMMYFUNCTION("""COMPUTED_VALUE"""),"한메")</f>
        <v>한메</v>
      </c>
      <c r="M1725" s="26" t="str">
        <f>IFERROR(__xludf.DUMMYFUNCTION("""COMPUTED_VALUE"""),"밍구")</f>
        <v>밍구</v>
      </c>
      <c r="N1725" s="26" t="str">
        <f>IFERROR(__xludf.DUMMYFUNCTION("ARRAYFORMULA(REGEXEXTRACT(SPLIT(E1725, ""&lt;br&gt;""), ""([가-힣A-Za-z]+)""))"),"짱구")</f>
        <v>짱구</v>
      </c>
      <c r="O1725" s="26" t="str">
        <f>IFERROR(__xludf.DUMMYFUNCTION("""COMPUTED_VALUE"""),"강화")</f>
        <v>강화</v>
      </c>
      <c r="P1725" s="26" t="str">
        <f>IFERROR(__xludf.DUMMYFUNCTION("""COMPUTED_VALUE"""),"ACDC")</f>
        <v>ACDC</v>
      </c>
      <c r="Q1725" s="26" t="str">
        <f>IFERROR(__xludf.DUMMYFUNCTION("""COMPUTED_VALUE"""),"깡패")</f>
        <v>깡패</v>
      </c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  <c r="AB1725" s="18"/>
    </row>
    <row r="1726">
      <c r="A1726" s="27" t="s">
        <v>7157</v>
      </c>
      <c r="B1726" s="28" t="s">
        <v>7158</v>
      </c>
      <c r="C1726" s="27" t="s">
        <v>7159</v>
      </c>
      <c r="D1726" s="27">
        <v>5.0</v>
      </c>
      <c r="E1726" s="27" t="s">
        <v>7160</v>
      </c>
      <c r="F1726" s="27">
        <v>4.0</v>
      </c>
      <c r="G1726" s="29">
        <v>45496.92638888889</v>
      </c>
      <c r="H1726" s="27" t="s">
        <v>6904</v>
      </c>
      <c r="I1726" s="18"/>
      <c r="J1726" s="25" t="str">
        <f>IFERROR(__xludf.DUMMYFUNCTION("ARRAYFORMULA(REGEXEXTRACT(SPLIT(C1726, ""&lt;br&gt;""), ""([가-힣A-Za-z]+)""))"),"재명")</f>
        <v>재명</v>
      </c>
      <c r="K1726" s="26" t="str">
        <f>IFERROR(__xludf.DUMMYFUNCTION("""COMPUTED_VALUE"""),"밍구")</f>
        <v>밍구</v>
      </c>
      <c r="L1726" s="26" t="str">
        <f>IFERROR(__xludf.DUMMYFUNCTION("""COMPUTED_VALUE"""),"ACDC")</f>
        <v>ACDC</v>
      </c>
      <c r="M1726" s="26" t="str">
        <f>IFERROR(__xludf.DUMMYFUNCTION("""COMPUTED_VALUE"""),"신형만")</f>
        <v>신형만</v>
      </c>
      <c r="N1726" s="26" t="str">
        <f>IFERROR(__xludf.DUMMYFUNCTION("ARRAYFORMULA(REGEXEXTRACT(SPLIT(E1726, ""&lt;br&gt;""), ""([가-힣A-Za-z]+)""))"),"한메")</f>
        <v>한메</v>
      </c>
      <c r="O1726" s="26" t="str">
        <f>IFERROR(__xludf.DUMMYFUNCTION("""COMPUTED_VALUE"""),"구리다")</f>
        <v>구리다</v>
      </c>
      <c r="P1726" s="26" t="str">
        <f>IFERROR(__xludf.DUMMYFUNCTION("""COMPUTED_VALUE"""),"강화")</f>
        <v>강화</v>
      </c>
      <c r="Q1726" s="26" t="str">
        <f>IFERROR(__xludf.DUMMYFUNCTION("""COMPUTED_VALUE"""),"깡패")</f>
        <v>깡패</v>
      </c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</row>
    <row r="1727">
      <c r="A1727" s="27" t="s">
        <v>7161</v>
      </c>
      <c r="B1727" s="28" t="s">
        <v>7162</v>
      </c>
      <c r="C1727" s="27" t="s">
        <v>7163</v>
      </c>
      <c r="D1727" s="27">
        <v>5.0</v>
      </c>
      <c r="E1727" s="27" t="s">
        <v>7164</v>
      </c>
      <c r="F1727" s="27">
        <v>1.0</v>
      </c>
      <c r="G1727" s="29">
        <v>45496.90277777778</v>
      </c>
      <c r="H1727" s="27" t="s">
        <v>6904</v>
      </c>
      <c r="I1727" s="18"/>
      <c r="J1727" s="25" t="str">
        <f>IFERROR(__xludf.DUMMYFUNCTION("ARRAYFORMULA(REGEXEXTRACT(SPLIT(C1727, ""&lt;br&gt;""), ""([가-힣A-Za-z]+)""))"),"강화")</f>
        <v>강화</v>
      </c>
      <c r="K1727" s="26" t="str">
        <f>IFERROR(__xludf.DUMMYFUNCTION("""COMPUTED_VALUE"""),"재우")</f>
        <v>재우</v>
      </c>
      <c r="L1727" s="26" t="str">
        <f>IFERROR(__xludf.DUMMYFUNCTION("""COMPUTED_VALUE"""),"신형만")</f>
        <v>신형만</v>
      </c>
      <c r="M1727" s="26" t="str">
        <f>IFERROR(__xludf.DUMMYFUNCTION("""COMPUTED_VALUE"""),"밍구")</f>
        <v>밍구</v>
      </c>
      <c r="N1727" s="26" t="str">
        <f>IFERROR(__xludf.DUMMYFUNCTION("ARRAYFORMULA(REGEXEXTRACT(SPLIT(E1727, ""&lt;br&gt;""), ""([가-힣A-Za-z]+)""))"),"깡패")</f>
        <v>깡패</v>
      </c>
      <c r="O1727" s="26" t="str">
        <f>IFERROR(__xludf.DUMMYFUNCTION("""COMPUTED_VALUE"""),"한메")</f>
        <v>한메</v>
      </c>
      <c r="P1727" s="26" t="str">
        <f>IFERROR(__xludf.DUMMYFUNCTION("""COMPUTED_VALUE"""),"구리다")</f>
        <v>구리다</v>
      </c>
      <c r="Q1727" s="26" t="str">
        <f>IFERROR(__xludf.DUMMYFUNCTION("""COMPUTED_VALUE"""),"재명")</f>
        <v>재명</v>
      </c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  <c r="AB1727" s="18"/>
    </row>
    <row r="1728">
      <c r="A1728" s="27" t="s">
        <v>7165</v>
      </c>
      <c r="B1728" s="28" t="s">
        <v>7166</v>
      </c>
      <c r="C1728" s="27" t="s">
        <v>7167</v>
      </c>
      <c r="D1728" s="27">
        <v>5.0</v>
      </c>
      <c r="E1728" s="27" t="s">
        <v>7168</v>
      </c>
      <c r="F1728" s="27">
        <v>3.0</v>
      </c>
      <c r="G1728" s="29">
        <v>45495.99444444444</v>
      </c>
      <c r="H1728" s="27" t="s">
        <v>6904</v>
      </c>
      <c r="I1728" s="18"/>
      <c r="J1728" s="25" t="str">
        <f>IFERROR(__xludf.DUMMYFUNCTION("ARRAYFORMULA(REGEXEXTRACT(SPLIT(C1728, ""&lt;br&gt;""), ""([가-힣A-Za-z]+)""))"),"깡패")</f>
        <v>깡패</v>
      </c>
      <c r="K1728" s="26" t="str">
        <f>IFERROR(__xludf.DUMMYFUNCTION("""COMPUTED_VALUE"""),"재우")</f>
        <v>재우</v>
      </c>
      <c r="L1728" s="26" t="str">
        <f>IFERROR(__xludf.DUMMYFUNCTION("""COMPUTED_VALUE"""),"재명")</f>
        <v>재명</v>
      </c>
      <c r="M1728" s="26" t="str">
        <f>IFERROR(__xludf.DUMMYFUNCTION("""COMPUTED_VALUE"""),"한메")</f>
        <v>한메</v>
      </c>
      <c r="N1728" s="26" t="str">
        <f>IFERROR(__xludf.DUMMYFUNCTION("ARRAYFORMULA(REGEXEXTRACT(SPLIT(E1728, ""&lt;br&gt;""), ""([가-힣A-Za-z]+)""))"),"구리다")</f>
        <v>구리다</v>
      </c>
      <c r="O1728" s="26" t="str">
        <f>IFERROR(__xludf.DUMMYFUNCTION("""COMPUTED_VALUE"""),"강화")</f>
        <v>강화</v>
      </c>
      <c r="P1728" s="26" t="str">
        <f>IFERROR(__xludf.DUMMYFUNCTION("""COMPUTED_VALUE"""),"미르진")</f>
        <v>미르진</v>
      </c>
      <c r="Q1728" s="26" t="str">
        <f>IFERROR(__xludf.DUMMYFUNCTION("""COMPUTED_VALUE"""),"신형만")</f>
        <v>신형만</v>
      </c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  <c r="AB1728" s="18"/>
    </row>
    <row r="1729">
      <c r="A1729" s="27" t="s">
        <v>7169</v>
      </c>
      <c r="B1729" s="28" t="s">
        <v>7170</v>
      </c>
      <c r="C1729" s="27" t="s">
        <v>7171</v>
      </c>
      <c r="D1729" s="27">
        <v>5.0</v>
      </c>
      <c r="E1729" s="27" t="s">
        <v>7172</v>
      </c>
      <c r="F1729" s="27">
        <v>4.0</v>
      </c>
      <c r="G1729" s="29">
        <v>45495.97222222222</v>
      </c>
      <c r="H1729" s="27" t="s">
        <v>6904</v>
      </c>
      <c r="I1729" s="18"/>
      <c r="J1729" s="25" t="str">
        <f>IFERROR(__xludf.DUMMYFUNCTION("ARRAYFORMULA(REGEXEXTRACT(SPLIT(C1729, ""&lt;br&gt;""), ""([가-힣A-Za-z]+)""))"),"신형만")</f>
        <v>신형만</v>
      </c>
      <c r="K1729" s="26" t="str">
        <f>IFERROR(__xludf.DUMMYFUNCTION("""COMPUTED_VALUE"""),"미르진")</f>
        <v>미르진</v>
      </c>
      <c r="L1729" s="26" t="str">
        <f>IFERROR(__xludf.DUMMYFUNCTION("""COMPUTED_VALUE"""),"재명")</f>
        <v>재명</v>
      </c>
      <c r="M1729" s="26" t="str">
        <f>IFERROR(__xludf.DUMMYFUNCTION("""COMPUTED_VALUE"""),"깡패")</f>
        <v>깡패</v>
      </c>
      <c r="N1729" s="26" t="str">
        <f>IFERROR(__xludf.DUMMYFUNCTION("ARRAYFORMULA(REGEXEXTRACT(SPLIT(E1729, ""&lt;br&gt;""), ""([가-힣A-Za-z]+)""))"),"재우")</f>
        <v>재우</v>
      </c>
      <c r="O1729" s="26" t="str">
        <f>IFERROR(__xludf.DUMMYFUNCTION("""COMPUTED_VALUE"""),"구리다")</f>
        <v>구리다</v>
      </c>
      <c r="P1729" s="26" t="str">
        <f>IFERROR(__xludf.DUMMYFUNCTION("""COMPUTED_VALUE"""),"강화")</f>
        <v>강화</v>
      </c>
      <c r="Q1729" s="26" t="str">
        <f>IFERROR(__xludf.DUMMYFUNCTION("""COMPUTED_VALUE"""),"한메")</f>
        <v>한메</v>
      </c>
      <c r="R1729" s="18"/>
      <c r="S1729" s="18"/>
      <c r="T1729" s="18"/>
      <c r="U1729" s="18"/>
      <c r="V1729" s="18"/>
      <c r="W1729" s="18"/>
      <c r="X1729" s="18"/>
      <c r="Y1729" s="18"/>
      <c r="Z1729" s="18"/>
      <c r="AA1729" s="18"/>
      <c r="AB1729" s="18"/>
    </row>
    <row r="1730">
      <c r="A1730" s="27" t="s">
        <v>7173</v>
      </c>
      <c r="B1730" s="28" t="s">
        <v>7174</v>
      </c>
      <c r="C1730" s="27" t="s">
        <v>7175</v>
      </c>
      <c r="D1730" s="27">
        <v>5.0</v>
      </c>
      <c r="E1730" s="27" t="s">
        <v>7176</v>
      </c>
      <c r="F1730" s="27">
        <v>0.0</v>
      </c>
      <c r="G1730" s="29">
        <v>45495.94583333333</v>
      </c>
      <c r="H1730" s="27" t="s">
        <v>6904</v>
      </c>
      <c r="I1730" s="18"/>
      <c r="J1730" s="25" t="str">
        <f>IFERROR(__xludf.DUMMYFUNCTION("ARRAYFORMULA(REGEXEXTRACT(SPLIT(C1730, ""&lt;br&gt;""), ""([가-힣A-Za-z]+)""))"),"재명")</f>
        <v>재명</v>
      </c>
      <c r="K1730" s="26" t="str">
        <f>IFERROR(__xludf.DUMMYFUNCTION("""COMPUTED_VALUE"""),"구리다")</f>
        <v>구리다</v>
      </c>
      <c r="L1730" s="26" t="str">
        <f>IFERROR(__xludf.DUMMYFUNCTION("""COMPUTED_VALUE"""),"신형만")</f>
        <v>신형만</v>
      </c>
      <c r="M1730" s="26" t="str">
        <f>IFERROR(__xludf.DUMMYFUNCTION("""COMPUTED_VALUE"""),"한메")</f>
        <v>한메</v>
      </c>
      <c r="N1730" s="26" t="str">
        <f>IFERROR(__xludf.DUMMYFUNCTION("ARRAYFORMULA(REGEXEXTRACT(SPLIT(E1730, ""&lt;br&gt;""), ""([가-힣A-Za-z]+)""))"),"미르진")</f>
        <v>미르진</v>
      </c>
      <c r="O1730" s="26" t="str">
        <f>IFERROR(__xludf.DUMMYFUNCTION("""COMPUTED_VALUE"""),"깡패")</f>
        <v>깡패</v>
      </c>
      <c r="P1730" s="26" t="str">
        <f>IFERROR(__xludf.DUMMYFUNCTION("""COMPUTED_VALUE"""),"재우")</f>
        <v>재우</v>
      </c>
      <c r="Q1730" s="26" t="str">
        <f>IFERROR(__xludf.DUMMYFUNCTION("""COMPUTED_VALUE"""),"강화")</f>
        <v>강화</v>
      </c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</row>
    <row r="1731">
      <c r="A1731" s="27" t="s">
        <v>7177</v>
      </c>
      <c r="B1731" s="28" t="s">
        <v>7178</v>
      </c>
      <c r="C1731" s="27" t="s">
        <v>7179</v>
      </c>
      <c r="D1731" s="27">
        <v>5.0</v>
      </c>
      <c r="E1731" s="27" t="s">
        <v>7180</v>
      </c>
      <c r="F1731" s="27">
        <v>3.0</v>
      </c>
      <c r="G1731" s="29">
        <v>45495.93263888889</v>
      </c>
      <c r="H1731" s="27" t="s">
        <v>6904</v>
      </c>
      <c r="I1731" s="18"/>
      <c r="J1731" s="25" t="str">
        <f>IFERROR(__xludf.DUMMYFUNCTION("ARRAYFORMULA(REGEXEXTRACT(SPLIT(C1731, ""&lt;br&gt;""), ""([가-힣A-Za-z]+)""))"),"재우")</f>
        <v>재우</v>
      </c>
      <c r="K1731" s="26" t="str">
        <f>IFERROR(__xludf.DUMMYFUNCTION("""COMPUTED_VALUE"""),"미르진")</f>
        <v>미르진</v>
      </c>
      <c r="L1731" s="26" t="str">
        <f>IFERROR(__xludf.DUMMYFUNCTION("""COMPUTED_VALUE"""),"강화")</f>
        <v>강화</v>
      </c>
      <c r="M1731" s="26" t="str">
        <f>IFERROR(__xludf.DUMMYFUNCTION("""COMPUTED_VALUE"""),"한메")</f>
        <v>한메</v>
      </c>
      <c r="N1731" s="26" t="str">
        <f>IFERROR(__xludf.DUMMYFUNCTION("ARRAYFORMULA(REGEXEXTRACT(SPLIT(E1731, ""&lt;br&gt;""), ""([가-힣A-Za-z]+)""))"),"재명")</f>
        <v>재명</v>
      </c>
      <c r="O1731" s="26" t="str">
        <f>IFERROR(__xludf.DUMMYFUNCTION("""COMPUTED_VALUE"""),"신형만")</f>
        <v>신형만</v>
      </c>
      <c r="P1731" s="26" t="str">
        <f>IFERROR(__xludf.DUMMYFUNCTION("""COMPUTED_VALUE"""),"구리다")</f>
        <v>구리다</v>
      </c>
      <c r="Q1731" s="26" t="str">
        <f>IFERROR(__xludf.DUMMYFUNCTION("""COMPUTED_VALUE"""),"깡패")</f>
        <v>깡패</v>
      </c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</row>
    <row r="1732">
      <c r="A1732" s="27" t="s">
        <v>7181</v>
      </c>
      <c r="B1732" s="28" t="s">
        <v>7182</v>
      </c>
      <c r="C1732" s="27" t="s">
        <v>7183</v>
      </c>
      <c r="D1732" s="27">
        <v>5.0</v>
      </c>
      <c r="E1732" s="27" t="s">
        <v>7184</v>
      </c>
      <c r="F1732" s="27">
        <v>1.0</v>
      </c>
      <c r="G1732" s="29">
        <v>45495.904861111114</v>
      </c>
      <c r="H1732" s="27" t="s">
        <v>6904</v>
      </c>
      <c r="I1732" s="18"/>
      <c r="J1732" s="25" t="str">
        <f>IFERROR(__xludf.DUMMYFUNCTION("ARRAYFORMULA(REGEXEXTRACT(SPLIT(C1732, ""&lt;br&gt;""), ""([가-힣A-Za-z]+)""))"),"구리다")</f>
        <v>구리다</v>
      </c>
      <c r="K1732" s="26" t="str">
        <f>IFERROR(__xludf.DUMMYFUNCTION("""COMPUTED_VALUE"""),"신형만")</f>
        <v>신형만</v>
      </c>
      <c r="L1732" s="26" t="str">
        <f>IFERROR(__xludf.DUMMYFUNCTION("""COMPUTED_VALUE"""),"재명")</f>
        <v>재명</v>
      </c>
      <c r="M1732" s="26" t="str">
        <f>IFERROR(__xludf.DUMMYFUNCTION("""COMPUTED_VALUE"""),"깡패")</f>
        <v>깡패</v>
      </c>
      <c r="N1732" s="26" t="str">
        <f>IFERROR(__xludf.DUMMYFUNCTION("ARRAYFORMULA(REGEXEXTRACT(SPLIT(E1732, ""&lt;br&gt;""), ""([가-힣A-Za-z]+)""))"),"재우")</f>
        <v>재우</v>
      </c>
      <c r="O1732" s="26" t="str">
        <f>IFERROR(__xludf.DUMMYFUNCTION("""COMPUTED_VALUE"""),"한메")</f>
        <v>한메</v>
      </c>
      <c r="P1732" s="26" t="str">
        <f>IFERROR(__xludf.DUMMYFUNCTION("""COMPUTED_VALUE"""),"미르진")</f>
        <v>미르진</v>
      </c>
      <c r="Q1732" s="26" t="str">
        <f>IFERROR(__xludf.DUMMYFUNCTION("""COMPUTED_VALUE"""),"강화")</f>
        <v>강화</v>
      </c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  <c r="AB1732" s="18"/>
    </row>
    <row r="1733">
      <c r="A1733" s="27" t="s">
        <v>7185</v>
      </c>
      <c r="B1733" s="28" t="s">
        <v>7186</v>
      </c>
      <c r="C1733" s="27" t="s">
        <v>7187</v>
      </c>
      <c r="D1733" s="27">
        <v>5.0</v>
      </c>
      <c r="E1733" s="27" t="s">
        <v>7188</v>
      </c>
      <c r="F1733" s="27">
        <v>3.0</v>
      </c>
      <c r="G1733" s="29">
        <v>45495.00902777778</v>
      </c>
      <c r="H1733" s="27" t="s">
        <v>6904</v>
      </c>
      <c r="I1733" s="18"/>
      <c r="J1733" s="25" t="str">
        <f>IFERROR(__xludf.DUMMYFUNCTION("ARRAYFORMULA(REGEXEXTRACT(SPLIT(C1733, ""&lt;br&gt;""), ""([가-힣A-Za-z]+)""))"),"오크")</f>
        <v>오크</v>
      </c>
      <c r="K1733" s="26" t="str">
        <f>IFERROR(__xludf.DUMMYFUNCTION("""COMPUTED_VALUE"""),"재우")</f>
        <v>재우</v>
      </c>
      <c r="L1733" s="26" t="str">
        <f>IFERROR(__xludf.DUMMYFUNCTION("""COMPUTED_VALUE"""),"신형만")</f>
        <v>신형만</v>
      </c>
      <c r="M1733" s="26" t="str">
        <f>IFERROR(__xludf.DUMMYFUNCTION("""COMPUTED_VALUE"""),"엘더")</f>
        <v>엘더</v>
      </c>
      <c r="N1733" s="26" t="str">
        <f>IFERROR(__xludf.DUMMYFUNCTION("ARRAYFORMULA(REGEXEXTRACT(SPLIT(E1733, ""&lt;br&gt;""), ""([가-힣A-Za-z]+)""))"),"짱구")</f>
        <v>짱구</v>
      </c>
      <c r="O1733" s="26" t="str">
        <f>IFERROR(__xludf.DUMMYFUNCTION("""COMPUTED_VALUE"""),"한메")</f>
        <v>한메</v>
      </c>
      <c r="P1733" s="26" t="str">
        <f>IFERROR(__xludf.DUMMYFUNCTION("""COMPUTED_VALUE"""),"ACDC")</f>
        <v>ACDC</v>
      </c>
      <c r="Q1733" s="26" t="str">
        <f>IFERROR(__xludf.DUMMYFUNCTION("""COMPUTED_VALUE"""),"깡패")</f>
        <v>깡패</v>
      </c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  <c r="AB1733" s="18"/>
    </row>
    <row r="1734">
      <c r="A1734" s="27" t="s">
        <v>7189</v>
      </c>
      <c r="B1734" s="28" t="s">
        <v>7190</v>
      </c>
      <c r="C1734" s="27" t="s">
        <v>7191</v>
      </c>
      <c r="D1734" s="27">
        <v>5.0</v>
      </c>
      <c r="E1734" s="27" t="s">
        <v>7192</v>
      </c>
      <c r="F1734" s="27">
        <v>3.0</v>
      </c>
      <c r="G1734" s="29">
        <v>45494.05</v>
      </c>
      <c r="H1734" s="27" t="s">
        <v>6904</v>
      </c>
      <c r="I1734" s="18"/>
      <c r="J1734" s="25" t="str">
        <f>IFERROR(__xludf.DUMMYFUNCTION("ARRAYFORMULA(REGEXEXTRACT(SPLIT(C1734, ""&lt;br&gt;""), ""([가-힣A-Za-z]+)""))"),"ACDC")</f>
        <v>ACDC</v>
      </c>
      <c r="K1734" s="26" t="str">
        <f>IFERROR(__xludf.DUMMYFUNCTION("""COMPUTED_VALUE"""),"키키")</f>
        <v>키키</v>
      </c>
      <c r="L1734" s="26" t="str">
        <f>IFERROR(__xludf.DUMMYFUNCTION("""COMPUTED_VALUE"""),"조드")</f>
        <v>조드</v>
      </c>
      <c r="M1734" s="26" t="str">
        <f>IFERROR(__xludf.DUMMYFUNCTION("""COMPUTED_VALUE"""),"조심")</f>
        <v>조심</v>
      </c>
      <c r="N1734" s="26" t="str">
        <f>IFERROR(__xludf.DUMMYFUNCTION("ARRAYFORMULA(REGEXEXTRACT(SPLIT(E1734, ""&lt;br&gt;""), ""([가-힣A-Za-z]+)""))"),"강화")</f>
        <v>강화</v>
      </c>
      <c r="O1734" s="26" t="str">
        <f>IFERROR(__xludf.DUMMYFUNCTION("""COMPUTED_VALUE"""),"짱구")</f>
        <v>짱구</v>
      </c>
      <c r="P1734" s="26" t="str">
        <f>IFERROR(__xludf.DUMMYFUNCTION("""COMPUTED_VALUE"""),"아이딘")</f>
        <v>아이딘</v>
      </c>
      <c r="Q1734" s="26" t="str">
        <f>IFERROR(__xludf.DUMMYFUNCTION("""COMPUTED_VALUE"""),"오크")</f>
        <v>오크</v>
      </c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</row>
    <row r="1735">
      <c r="A1735" s="27" t="s">
        <v>7193</v>
      </c>
      <c r="B1735" s="28" t="s">
        <v>7194</v>
      </c>
      <c r="C1735" s="27" t="s">
        <v>7195</v>
      </c>
      <c r="D1735" s="27">
        <v>5.0</v>
      </c>
      <c r="E1735" s="27" t="s">
        <v>7196</v>
      </c>
      <c r="F1735" s="27">
        <v>4.0</v>
      </c>
      <c r="G1735" s="29">
        <v>45494.004166666666</v>
      </c>
      <c r="H1735" s="27" t="s">
        <v>6904</v>
      </c>
      <c r="I1735" s="18"/>
      <c r="J1735" s="25" t="str">
        <f>IFERROR(__xludf.DUMMYFUNCTION("ARRAYFORMULA(REGEXEXTRACT(SPLIT(C1735, ""&lt;br&gt;""), ""([가-힣A-Za-z]+)""))"),"강화")</f>
        <v>강화</v>
      </c>
      <c r="K1735" s="26" t="str">
        <f>IFERROR(__xludf.DUMMYFUNCTION("""COMPUTED_VALUE"""),"ACDC")</f>
        <v>ACDC</v>
      </c>
      <c r="L1735" s="26" t="str">
        <f>IFERROR(__xludf.DUMMYFUNCTION("""COMPUTED_VALUE"""),"짱구")</f>
        <v>짱구</v>
      </c>
      <c r="M1735" s="26" t="str">
        <f>IFERROR(__xludf.DUMMYFUNCTION("""COMPUTED_VALUE"""),"오크")</f>
        <v>오크</v>
      </c>
      <c r="N1735" s="26" t="str">
        <f>IFERROR(__xludf.DUMMYFUNCTION("ARRAYFORMULA(REGEXEXTRACT(SPLIT(E1735, ""&lt;br&gt;""), ""([가-힣A-Za-z]+)""))"),"키키")</f>
        <v>키키</v>
      </c>
      <c r="O1735" s="26" t="str">
        <f>IFERROR(__xludf.DUMMYFUNCTION("""COMPUTED_VALUE"""),"밍구")</f>
        <v>밍구</v>
      </c>
      <c r="P1735" s="26" t="str">
        <f>IFERROR(__xludf.DUMMYFUNCTION("""COMPUTED_VALUE"""),"조심")</f>
        <v>조심</v>
      </c>
      <c r="Q1735" s="26" t="str">
        <f>IFERROR(__xludf.DUMMYFUNCTION("""COMPUTED_VALUE"""),"조드")</f>
        <v>조드</v>
      </c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  <c r="AB1735" s="18"/>
    </row>
    <row r="1736">
      <c r="A1736" s="27" t="s">
        <v>7197</v>
      </c>
      <c r="B1736" s="28" t="s">
        <v>7198</v>
      </c>
      <c r="C1736" s="27" t="s">
        <v>7199</v>
      </c>
      <c r="D1736" s="27">
        <v>5.0</v>
      </c>
      <c r="E1736" s="27" t="s">
        <v>7200</v>
      </c>
      <c r="F1736" s="27">
        <v>2.0</v>
      </c>
      <c r="G1736" s="29">
        <v>45493.96805555555</v>
      </c>
      <c r="H1736" s="27" t="s">
        <v>6904</v>
      </c>
      <c r="I1736" s="18"/>
      <c r="J1736" s="25" t="str">
        <f>IFERROR(__xludf.DUMMYFUNCTION("ARRAYFORMULA(REGEXEXTRACT(SPLIT(C1736, ""&lt;br&gt;""), ""([가-힣A-Za-z]+)""))"),"짱구")</f>
        <v>짱구</v>
      </c>
      <c r="K1736" s="26" t="str">
        <f>IFERROR(__xludf.DUMMYFUNCTION("""COMPUTED_VALUE"""),"ACDC")</f>
        <v>ACDC</v>
      </c>
      <c r="L1736" s="26" t="str">
        <f>IFERROR(__xludf.DUMMYFUNCTION("""COMPUTED_VALUE"""),"강화")</f>
        <v>강화</v>
      </c>
      <c r="M1736" s="26" t="str">
        <f>IFERROR(__xludf.DUMMYFUNCTION("""COMPUTED_VALUE"""),"키키")</f>
        <v>키키</v>
      </c>
      <c r="N1736" s="26" t="str">
        <f>IFERROR(__xludf.DUMMYFUNCTION("ARRAYFORMULA(REGEXEXTRACT(SPLIT(E1736, ""&lt;br&gt;""), ""([가-힣A-Za-z]+)""))"),"오크")</f>
        <v>오크</v>
      </c>
      <c r="O1736" s="26" t="str">
        <f>IFERROR(__xludf.DUMMYFUNCTION("""COMPUTED_VALUE"""),"조심")</f>
        <v>조심</v>
      </c>
      <c r="P1736" s="26" t="str">
        <f>IFERROR(__xludf.DUMMYFUNCTION("""COMPUTED_VALUE"""),"밍구")</f>
        <v>밍구</v>
      </c>
      <c r="Q1736" s="26" t="str">
        <f>IFERROR(__xludf.DUMMYFUNCTION("""COMPUTED_VALUE"""),"조드")</f>
        <v>조드</v>
      </c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</row>
    <row r="1737">
      <c r="A1737" s="27" t="s">
        <v>7201</v>
      </c>
      <c r="B1737" s="28" t="s">
        <v>7202</v>
      </c>
      <c r="C1737" s="27" t="s">
        <v>7203</v>
      </c>
      <c r="D1737" s="27">
        <v>5.0</v>
      </c>
      <c r="E1737" s="27" t="s">
        <v>7204</v>
      </c>
      <c r="F1737" s="27">
        <v>2.0</v>
      </c>
      <c r="G1737" s="29">
        <v>45493.94236111111</v>
      </c>
      <c r="H1737" s="27" t="s">
        <v>6904</v>
      </c>
      <c r="I1737" s="18"/>
      <c r="J1737" s="25" t="str">
        <f>IFERROR(__xludf.DUMMYFUNCTION("ARRAYFORMULA(REGEXEXTRACT(SPLIT(C1737, ""&lt;br&gt;""), ""([가-힣A-Za-z]+)""))"),"짱구")</f>
        <v>짱구</v>
      </c>
      <c r="K1737" s="26" t="str">
        <f>IFERROR(__xludf.DUMMYFUNCTION("""COMPUTED_VALUE"""),"조드")</f>
        <v>조드</v>
      </c>
      <c r="L1737" s="26" t="str">
        <f>IFERROR(__xludf.DUMMYFUNCTION("""COMPUTED_VALUE"""),"밍구")</f>
        <v>밍구</v>
      </c>
      <c r="M1737" s="26" t="str">
        <f>IFERROR(__xludf.DUMMYFUNCTION("""COMPUTED_VALUE"""),"조심")</f>
        <v>조심</v>
      </c>
      <c r="N1737" s="26" t="str">
        <f>IFERROR(__xludf.DUMMYFUNCTION("ARRAYFORMULA(REGEXEXTRACT(SPLIT(E1737, ""&lt;br&gt;""), ""([가-힣A-Za-z]+)""))"),"강화")</f>
        <v>강화</v>
      </c>
      <c r="O1737" s="26" t="str">
        <f>IFERROR(__xludf.DUMMYFUNCTION("""COMPUTED_VALUE"""),"키키")</f>
        <v>키키</v>
      </c>
      <c r="P1737" s="26" t="str">
        <f>IFERROR(__xludf.DUMMYFUNCTION("""COMPUTED_VALUE"""),"ACDC")</f>
        <v>ACDC</v>
      </c>
      <c r="Q1737" s="26" t="str">
        <f>IFERROR(__xludf.DUMMYFUNCTION("""COMPUTED_VALUE"""),"오크")</f>
        <v>오크</v>
      </c>
      <c r="R1737" s="18"/>
      <c r="S1737" s="18"/>
      <c r="T1737" s="18"/>
      <c r="U1737" s="18"/>
      <c r="V1737" s="18"/>
      <c r="W1737" s="18"/>
      <c r="X1737" s="18"/>
      <c r="Y1737" s="18"/>
      <c r="Z1737" s="18"/>
      <c r="AA1737" s="18"/>
      <c r="AB1737" s="18"/>
    </row>
    <row r="1738">
      <c r="A1738" s="27" t="s">
        <v>7205</v>
      </c>
      <c r="B1738" s="28" t="s">
        <v>7206</v>
      </c>
      <c r="C1738" s="27" t="s">
        <v>7207</v>
      </c>
      <c r="D1738" s="27">
        <v>5.0</v>
      </c>
      <c r="E1738" s="27" t="s">
        <v>7208</v>
      </c>
      <c r="F1738" s="27">
        <v>1.0</v>
      </c>
      <c r="G1738" s="29">
        <v>45493.92222222222</v>
      </c>
      <c r="H1738" s="27" t="s">
        <v>6904</v>
      </c>
      <c r="I1738" s="18"/>
      <c r="J1738" s="25" t="str">
        <f>IFERROR(__xludf.DUMMYFUNCTION("ARRAYFORMULA(REGEXEXTRACT(SPLIT(C1738, ""&lt;br&gt;""), ""([가-힣A-Za-z]+)""))"),"ACDC")</f>
        <v>ACDC</v>
      </c>
      <c r="K1738" s="26" t="str">
        <f>IFERROR(__xludf.DUMMYFUNCTION("""COMPUTED_VALUE"""),"강화")</f>
        <v>강화</v>
      </c>
      <c r="L1738" s="26" t="str">
        <f>IFERROR(__xludf.DUMMYFUNCTION("""COMPUTED_VALUE"""),"조드")</f>
        <v>조드</v>
      </c>
      <c r="M1738" s="26" t="str">
        <f>IFERROR(__xludf.DUMMYFUNCTION("""COMPUTED_VALUE"""),"키키")</f>
        <v>키키</v>
      </c>
      <c r="N1738" s="26" t="str">
        <f>IFERROR(__xludf.DUMMYFUNCTION("ARRAYFORMULA(REGEXEXTRACT(SPLIT(E1738, ""&lt;br&gt;""), ""([가-힣A-Za-z]+)""))"),"짱구")</f>
        <v>짱구</v>
      </c>
      <c r="O1738" s="26" t="str">
        <f>IFERROR(__xludf.DUMMYFUNCTION("""COMPUTED_VALUE"""),"밍구")</f>
        <v>밍구</v>
      </c>
      <c r="P1738" s="26" t="str">
        <f>IFERROR(__xludf.DUMMYFUNCTION("""COMPUTED_VALUE"""),"오크")</f>
        <v>오크</v>
      </c>
      <c r="Q1738" s="26" t="str">
        <f>IFERROR(__xludf.DUMMYFUNCTION("""COMPUTED_VALUE"""),"조심")</f>
        <v>조심</v>
      </c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  <c r="AB1738" s="18"/>
    </row>
    <row r="1739">
      <c r="A1739" s="27" t="s">
        <v>7209</v>
      </c>
      <c r="B1739" s="28" t="s">
        <v>7210</v>
      </c>
      <c r="C1739" s="27" t="s">
        <v>7211</v>
      </c>
      <c r="D1739" s="27">
        <v>5.0</v>
      </c>
      <c r="E1739" s="27" t="s">
        <v>7212</v>
      </c>
      <c r="F1739" s="27">
        <v>1.0</v>
      </c>
      <c r="G1739" s="29">
        <v>45493.15069444444</v>
      </c>
      <c r="H1739" s="27" t="s">
        <v>6904</v>
      </c>
      <c r="I1739" s="18"/>
      <c r="J1739" s="25" t="str">
        <f>IFERROR(__xludf.DUMMYFUNCTION("ARRAYFORMULA(REGEXEXTRACT(SPLIT(C1739, ""&lt;br&gt;""), ""([가-힣A-Za-z]+)""))"),"키키")</f>
        <v>키키</v>
      </c>
      <c r="K1739" s="26" t="str">
        <f>IFERROR(__xludf.DUMMYFUNCTION("""COMPUTED_VALUE"""),"재우")</f>
        <v>재우</v>
      </c>
      <c r="L1739" s="26" t="str">
        <f>IFERROR(__xludf.DUMMYFUNCTION("""COMPUTED_VALUE"""),"짱구")</f>
        <v>짱구</v>
      </c>
      <c r="M1739" s="26" t="str">
        <f>IFERROR(__xludf.DUMMYFUNCTION("""COMPUTED_VALUE"""),"밍구")</f>
        <v>밍구</v>
      </c>
      <c r="N1739" s="26" t="str">
        <f>IFERROR(__xludf.DUMMYFUNCTION("ARRAYFORMULA(REGEXEXTRACT(SPLIT(E1739, ""&lt;br&gt;""), ""([가-힣A-Za-z]+)""))"),"구리다")</f>
        <v>구리다</v>
      </c>
      <c r="O1739" s="26" t="str">
        <f>IFERROR(__xludf.DUMMYFUNCTION("""COMPUTED_VALUE"""),"신형만")</f>
        <v>신형만</v>
      </c>
      <c r="P1739" s="26" t="str">
        <f>IFERROR(__xludf.DUMMYFUNCTION("""COMPUTED_VALUE"""),"오크")</f>
        <v>오크</v>
      </c>
      <c r="Q1739" s="26" t="str">
        <f>IFERROR(__xludf.DUMMYFUNCTION("""COMPUTED_VALUE"""),"깡패")</f>
        <v>깡패</v>
      </c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  <c r="AB1739" s="18"/>
    </row>
    <row r="1740">
      <c r="A1740" s="27" t="s">
        <v>7213</v>
      </c>
      <c r="B1740" s="28" t="s">
        <v>7214</v>
      </c>
      <c r="C1740" s="27" t="s">
        <v>7215</v>
      </c>
      <c r="D1740" s="27">
        <v>5.0</v>
      </c>
      <c r="E1740" s="27" t="s">
        <v>7216</v>
      </c>
      <c r="F1740" s="27">
        <v>1.0</v>
      </c>
      <c r="G1740" s="29">
        <v>45493.13263888889</v>
      </c>
      <c r="H1740" s="27" t="s">
        <v>6904</v>
      </c>
      <c r="I1740" s="18"/>
      <c r="J1740" s="25" t="str">
        <f>IFERROR(__xludf.DUMMYFUNCTION("ARRAYFORMULA(REGEXEXTRACT(SPLIT(C1740, ""&lt;br&gt;""), ""([가-힣A-Za-z]+)""))"),"오크")</f>
        <v>오크</v>
      </c>
      <c r="K1740" s="26" t="str">
        <f>IFERROR(__xludf.DUMMYFUNCTION("""COMPUTED_VALUE"""),"짱구")</f>
        <v>짱구</v>
      </c>
      <c r="L1740" s="26" t="str">
        <f>IFERROR(__xludf.DUMMYFUNCTION("""COMPUTED_VALUE"""),"구리다")</f>
        <v>구리다</v>
      </c>
      <c r="M1740" s="26" t="str">
        <f>IFERROR(__xludf.DUMMYFUNCTION("""COMPUTED_VALUE"""),"키키")</f>
        <v>키키</v>
      </c>
      <c r="N1740" s="26" t="str">
        <f>IFERROR(__xludf.DUMMYFUNCTION("ARRAYFORMULA(REGEXEXTRACT(SPLIT(E1740, ""&lt;br&gt;""), ""([가-힣A-Za-z]+)""))"),"깡패")</f>
        <v>깡패</v>
      </c>
      <c r="O1740" s="26" t="str">
        <f>IFERROR(__xludf.DUMMYFUNCTION("""COMPUTED_VALUE"""),"밍구")</f>
        <v>밍구</v>
      </c>
      <c r="P1740" s="26" t="str">
        <f>IFERROR(__xludf.DUMMYFUNCTION("""COMPUTED_VALUE"""),"재우")</f>
        <v>재우</v>
      </c>
      <c r="Q1740" s="26" t="str">
        <f>IFERROR(__xludf.DUMMYFUNCTION("""COMPUTED_VALUE"""),"신형만")</f>
        <v>신형만</v>
      </c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</row>
    <row r="1741">
      <c r="A1741" s="27" t="s">
        <v>7217</v>
      </c>
      <c r="B1741" s="28" t="s">
        <v>7218</v>
      </c>
      <c r="C1741" s="27" t="s">
        <v>7219</v>
      </c>
      <c r="D1741" s="27">
        <v>5.0</v>
      </c>
      <c r="E1741" s="27" t="s">
        <v>7220</v>
      </c>
      <c r="F1741" s="27">
        <v>3.0</v>
      </c>
      <c r="G1741" s="29">
        <v>45493.12222222222</v>
      </c>
      <c r="H1741" s="27" t="s">
        <v>6904</v>
      </c>
      <c r="I1741" s="18"/>
      <c r="J1741" s="25" t="str">
        <f>IFERROR(__xludf.DUMMYFUNCTION("ARRAYFORMULA(REGEXEXTRACT(SPLIT(C1741, ""&lt;br&gt;""), ""([가-힣A-Za-z]+)""))"),"짱구")</f>
        <v>짱구</v>
      </c>
      <c r="K1741" s="26" t="str">
        <f>IFERROR(__xludf.DUMMYFUNCTION("""COMPUTED_VALUE"""),"강화")</f>
        <v>강화</v>
      </c>
      <c r="L1741" s="26" t="str">
        <f>IFERROR(__xludf.DUMMYFUNCTION("""COMPUTED_VALUE"""),"구리다")</f>
        <v>구리다</v>
      </c>
      <c r="M1741" s="26" t="str">
        <f>IFERROR(__xludf.DUMMYFUNCTION("""COMPUTED_VALUE"""),"신형만")</f>
        <v>신형만</v>
      </c>
      <c r="N1741" s="26" t="str">
        <f>IFERROR(__xludf.DUMMYFUNCTION("ARRAYFORMULA(REGEXEXTRACT(SPLIT(E1741, ""&lt;br&gt;""), ""([가-힣A-Za-z]+)""))"),"오크")</f>
        <v>오크</v>
      </c>
      <c r="O1741" s="26" t="str">
        <f>IFERROR(__xludf.DUMMYFUNCTION("""COMPUTED_VALUE"""),"깡패")</f>
        <v>깡패</v>
      </c>
      <c r="P1741" s="26" t="str">
        <f>IFERROR(__xludf.DUMMYFUNCTION("""COMPUTED_VALUE"""),"밍구")</f>
        <v>밍구</v>
      </c>
      <c r="Q1741" s="26" t="str">
        <f>IFERROR(__xludf.DUMMYFUNCTION("""COMPUTED_VALUE"""),"재우")</f>
        <v>재우</v>
      </c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</row>
    <row r="1742">
      <c r="A1742" s="27" t="s">
        <v>7221</v>
      </c>
      <c r="B1742" s="28" t="s">
        <v>7222</v>
      </c>
      <c r="C1742" s="27" t="s">
        <v>7223</v>
      </c>
      <c r="D1742" s="27">
        <v>5.0</v>
      </c>
      <c r="E1742" s="27" t="s">
        <v>7224</v>
      </c>
      <c r="F1742" s="27">
        <v>1.0</v>
      </c>
      <c r="G1742" s="29">
        <v>45493.09166666667</v>
      </c>
      <c r="H1742" s="27" t="s">
        <v>6904</v>
      </c>
      <c r="I1742" s="18"/>
      <c r="J1742" s="25" t="str">
        <f>IFERROR(__xludf.DUMMYFUNCTION("ARRAYFORMULA(REGEXEXTRACT(SPLIT(C1742, ""&lt;br&gt;""), ""([가-힣A-Za-z]+)""))"),"재우")</f>
        <v>재우</v>
      </c>
      <c r="K1742" s="26" t="str">
        <f>IFERROR(__xludf.DUMMYFUNCTION("""COMPUTED_VALUE"""),"밍구")</f>
        <v>밍구</v>
      </c>
      <c r="L1742" s="26" t="str">
        <f>IFERROR(__xludf.DUMMYFUNCTION("""COMPUTED_VALUE"""),"미르진")</f>
        <v>미르진</v>
      </c>
      <c r="M1742" s="26" t="str">
        <f>IFERROR(__xludf.DUMMYFUNCTION("""COMPUTED_VALUE"""),"강화")</f>
        <v>강화</v>
      </c>
      <c r="N1742" s="26" t="str">
        <f>IFERROR(__xludf.DUMMYFUNCTION("ARRAYFORMULA(REGEXEXTRACT(SPLIT(E1742, ""&lt;br&gt;""), ""([가-힣A-Za-z]+)""))"),"깡패")</f>
        <v>깡패</v>
      </c>
      <c r="O1742" s="26" t="str">
        <f>IFERROR(__xludf.DUMMYFUNCTION("""COMPUTED_VALUE"""),"구리다")</f>
        <v>구리다</v>
      </c>
      <c r="P1742" s="26" t="str">
        <f>IFERROR(__xludf.DUMMYFUNCTION("""COMPUTED_VALUE"""),"신형만")</f>
        <v>신형만</v>
      </c>
      <c r="Q1742" s="26" t="str">
        <f>IFERROR(__xludf.DUMMYFUNCTION("""COMPUTED_VALUE"""),"미등록")</f>
        <v>미등록</v>
      </c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  <c r="AB1742" s="18"/>
    </row>
    <row r="1743">
      <c r="A1743" s="27" t="s">
        <v>7225</v>
      </c>
      <c r="B1743" s="28" t="s">
        <v>7226</v>
      </c>
      <c r="C1743" s="27" t="s">
        <v>7227</v>
      </c>
      <c r="D1743" s="27">
        <v>5.0</v>
      </c>
      <c r="E1743" s="27" t="s">
        <v>7228</v>
      </c>
      <c r="F1743" s="27">
        <v>4.0</v>
      </c>
      <c r="G1743" s="29">
        <v>45493.055555555555</v>
      </c>
      <c r="H1743" s="27" t="s">
        <v>6904</v>
      </c>
      <c r="I1743" s="18"/>
      <c r="J1743" s="25" t="str">
        <f>IFERROR(__xludf.DUMMYFUNCTION("ARRAYFORMULA(REGEXEXTRACT(SPLIT(C1743, ""&lt;br&gt;""), ""([가-힣A-Za-z]+)""))"),"미르진")</f>
        <v>미르진</v>
      </c>
      <c r="K1743" s="26" t="str">
        <f>IFERROR(__xludf.DUMMYFUNCTION("""COMPUTED_VALUE"""),"강화")</f>
        <v>강화</v>
      </c>
      <c r="L1743" s="26" t="str">
        <f>IFERROR(__xludf.DUMMYFUNCTION("""COMPUTED_VALUE"""),"재우")</f>
        <v>재우</v>
      </c>
      <c r="M1743" s="26" t="str">
        <f>IFERROR(__xludf.DUMMYFUNCTION("""COMPUTED_VALUE"""),"깡패")</f>
        <v>깡패</v>
      </c>
      <c r="N1743" s="26" t="str">
        <f>IFERROR(__xludf.DUMMYFUNCTION("ARRAYFORMULA(REGEXEXTRACT(SPLIT(E1743, ""&lt;br&gt;""), ""([가-힣A-Za-z]+)""))"),"미등록")</f>
        <v>미등록</v>
      </c>
      <c r="O1743" s="26" t="str">
        <f>IFERROR(__xludf.DUMMYFUNCTION("""COMPUTED_VALUE"""),"구리다")</f>
        <v>구리다</v>
      </c>
      <c r="P1743" s="26" t="str">
        <f>IFERROR(__xludf.DUMMYFUNCTION("""COMPUTED_VALUE"""),"미등록")</f>
        <v>미등록</v>
      </c>
      <c r="Q1743" s="26" t="str">
        <f>IFERROR(__xludf.DUMMYFUNCTION("""COMPUTED_VALUE"""),"랄")</f>
        <v>랄</v>
      </c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  <c r="AB1743" s="18"/>
    </row>
    <row r="1744">
      <c r="A1744" s="27" t="s">
        <v>7229</v>
      </c>
      <c r="B1744" s="28" t="s">
        <v>7230</v>
      </c>
      <c r="C1744" s="27" t="s">
        <v>7231</v>
      </c>
      <c r="D1744" s="27">
        <v>5.0</v>
      </c>
      <c r="E1744" s="27" t="s">
        <v>7232</v>
      </c>
      <c r="F1744" s="27">
        <v>0.0</v>
      </c>
      <c r="G1744" s="29">
        <v>45493.03194444445</v>
      </c>
      <c r="H1744" s="27" t="s">
        <v>6904</v>
      </c>
      <c r="I1744" s="18"/>
      <c r="J1744" s="25" t="str">
        <f>IFERROR(__xludf.DUMMYFUNCTION("ARRAYFORMULA(REGEXEXTRACT(SPLIT(C1744, ""&lt;br&gt;""), ""([가-힣A-Za-z]+)""))"),"강화")</f>
        <v>강화</v>
      </c>
      <c r="K1744" s="26" t="str">
        <f>IFERROR(__xludf.DUMMYFUNCTION("""COMPUTED_VALUE"""),"재우")</f>
        <v>재우</v>
      </c>
      <c r="L1744" s="26" t="str">
        <f>IFERROR(__xludf.DUMMYFUNCTION("""COMPUTED_VALUE"""),"미등록")</f>
        <v>미등록</v>
      </c>
      <c r="M1744" s="26" t="str">
        <f>IFERROR(__xludf.DUMMYFUNCTION("""COMPUTED_VALUE"""),"깡패")</f>
        <v>깡패</v>
      </c>
      <c r="N1744" s="26" t="str">
        <f>IFERROR(__xludf.DUMMYFUNCTION("ARRAYFORMULA(REGEXEXTRACT(SPLIT(E1744, ""&lt;br&gt;""), ""([가-힣A-Za-z]+)""))"),"미등록")</f>
        <v>미등록</v>
      </c>
      <c r="O1744" s="26" t="str">
        <f>IFERROR(__xludf.DUMMYFUNCTION("""COMPUTED_VALUE"""),"랄")</f>
        <v>랄</v>
      </c>
      <c r="P1744" s="26" t="str">
        <f>IFERROR(__xludf.DUMMYFUNCTION("""COMPUTED_VALUE"""),"구리다")</f>
        <v>구리다</v>
      </c>
      <c r="Q1744" s="26" t="str">
        <f>IFERROR(__xludf.DUMMYFUNCTION("""COMPUTED_VALUE"""),"미르진")</f>
        <v>미르진</v>
      </c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</row>
    <row r="1745">
      <c r="A1745" s="27" t="s">
        <v>7233</v>
      </c>
      <c r="B1745" s="28" t="s">
        <v>7234</v>
      </c>
      <c r="C1745" s="27" t="s">
        <v>7235</v>
      </c>
      <c r="D1745" s="27">
        <v>5.0</v>
      </c>
      <c r="E1745" s="27" t="s">
        <v>7236</v>
      </c>
      <c r="F1745" s="27">
        <v>0.0</v>
      </c>
      <c r="G1745" s="29">
        <v>45493.01736111111</v>
      </c>
      <c r="H1745" s="27" t="s">
        <v>6904</v>
      </c>
      <c r="I1745" s="18"/>
      <c r="J1745" s="25" t="str">
        <f>IFERROR(__xludf.DUMMYFUNCTION("ARRAYFORMULA(REGEXEXTRACT(SPLIT(C1745, ""&lt;br&gt;""), ""([가-힣A-Za-z]+)""))"),"구리다")</f>
        <v>구리다</v>
      </c>
      <c r="K1745" s="26" t="str">
        <f>IFERROR(__xludf.DUMMYFUNCTION("""COMPUTED_VALUE"""),"깡패")</f>
        <v>깡패</v>
      </c>
      <c r="L1745" s="26" t="str">
        <f>IFERROR(__xludf.DUMMYFUNCTION("""COMPUTED_VALUE"""),"재우")</f>
        <v>재우</v>
      </c>
      <c r="M1745" s="26" t="str">
        <f>IFERROR(__xludf.DUMMYFUNCTION("""COMPUTED_VALUE"""),"미등록")</f>
        <v>미등록</v>
      </c>
      <c r="N1745" s="26" t="str">
        <f>IFERROR(__xludf.DUMMYFUNCTION("ARRAYFORMULA(REGEXEXTRACT(SPLIT(E1745, ""&lt;br&gt;""), ""([가-힣A-Za-z]+)""))"),"강화")</f>
        <v>강화</v>
      </c>
      <c r="O1745" s="26" t="str">
        <f>IFERROR(__xludf.DUMMYFUNCTION("""COMPUTED_VALUE"""),"랄")</f>
        <v>랄</v>
      </c>
      <c r="P1745" s="26" t="str">
        <f>IFERROR(__xludf.DUMMYFUNCTION("""COMPUTED_VALUE"""),"미등록")</f>
        <v>미등록</v>
      </c>
      <c r="Q1745" s="26" t="str">
        <f>IFERROR(__xludf.DUMMYFUNCTION("""COMPUTED_VALUE"""),"미르진")</f>
        <v>미르진</v>
      </c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</row>
    <row r="1746">
      <c r="A1746" s="27" t="s">
        <v>7237</v>
      </c>
      <c r="B1746" s="28" t="s">
        <v>7238</v>
      </c>
      <c r="C1746" s="27" t="s">
        <v>7239</v>
      </c>
      <c r="D1746" s="27">
        <v>5.0</v>
      </c>
      <c r="E1746" s="27" t="s">
        <v>7240</v>
      </c>
      <c r="F1746" s="27">
        <v>2.0</v>
      </c>
      <c r="G1746" s="29">
        <v>45493.00277777778</v>
      </c>
      <c r="H1746" s="27" t="s">
        <v>6904</v>
      </c>
      <c r="I1746" s="18"/>
      <c r="J1746" s="25" t="str">
        <f>IFERROR(__xludf.DUMMYFUNCTION("ARRAYFORMULA(REGEXEXTRACT(SPLIT(C1746, ""&lt;br&gt;""), ""([가-힣A-Za-z]+)""))"),"미르진")</f>
        <v>미르진</v>
      </c>
      <c r="K1746" s="26" t="str">
        <f>IFERROR(__xludf.DUMMYFUNCTION("""COMPUTED_VALUE"""),"재우")</f>
        <v>재우</v>
      </c>
      <c r="L1746" s="26" t="str">
        <f>IFERROR(__xludf.DUMMYFUNCTION("""COMPUTED_VALUE"""),"구리다")</f>
        <v>구리다</v>
      </c>
      <c r="M1746" s="26" t="str">
        <f>IFERROR(__xludf.DUMMYFUNCTION("""COMPUTED_VALUE"""),"미등록")</f>
        <v>미등록</v>
      </c>
      <c r="N1746" s="26" t="str">
        <f>IFERROR(__xludf.DUMMYFUNCTION("ARRAYFORMULA(REGEXEXTRACT(SPLIT(E1746, ""&lt;br&gt;""), ""([가-힣A-Za-z]+)""))"),"랄")</f>
        <v>랄</v>
      </c>
      <c r="O1746" s="26" t="str">
        <f>IFERROR(__xludf.DUMMYFUNCTION("""COMPUTED_VALUE"""),"강화")</f>
        <v>강화</v>
      </c>
      <c r="P1746" s="26" t="str">
        <f>IFERROR(__xludf.DUMMYFUNCTION("""COMPUTED_VALUE"""),"미등록")</f>
        <v>미등록</v>
      </c>
      <c r="Q1746" s="26" t="str">
        <f>IFERROR(__xludf.DUMMYFUNCTION("""COMPUTED_VALUE"""),"깡패")</f>
        <v>깡패</v>
      </c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</row>
    <row r="1747">
      <c r="A1747" s="27" t="s">
        <v>7241</v>
      </c>
      <c r="B1747" s="28" t="s">
        <v>7242</v>
      </c>
      <c r="C1747" s="27" t="s">
        <v>7243</v>
      </c>
      <c r="D1747" s="27">
        <v>5.0</v>
      </c>
      <c r="E1747" s="27" t="s">
        <v>7244</v>
      </c>
      <c r="F1747" s="27">
        <v>3.0</v>
      </c>
      <c r="G1747" s="29">
        <v>45492.73888888889</v>
      </c>
      <c r="H1747" s="27" t="s">
        <v>6904</v>
      </c>
      <c r="I1747" s="18"/>
      <c r="J1747" s="25" t="str">
        <f>IFERROR(__xludf.DUMMYFUNCTION("ARRAYFORMULA(REGEXEXTRACT(SPLIT(C1747, ""&lt;br&gt;""), ""([가-힣A-Za-z]+)""))"),"키키")</f>
        <v>키키</v>
      </c>
      <c r="K1747" s="26" t="str">
        <f>IFERROR(__xludf.DUMMYFUNCTION("""COMPUTED_VALUE"""),"윙크")</f>
        <v>윙크</v>
      </c>
      <c r="L1747" s="26" t="str">
        <f>IFERROR(__xludf.DUMMYFUNCTION("""COMPUTED_VALUE"""),"ACDC")</f>
        <v>ACDC</v>
      </c>
      <c r="M1747" s="26" t="str">
        <f>IFERROR(__xludf.DUMMYFUNCTION("""COMPUTED_VALUE"""),"오크")</f>
        <v>오크</v>
      </c>
      <c r="N1747" s="26" t="str">
        <f>IFERROR(__xludf.DUMMYFUNCTION("ARRAYFORMULA(REGEXEXTRACT(SPLIT(E1747, ""&lt;br&gt;""), ""([가-힣A-Za-z]+)""))"),"재우")</f>
        <v>재우</v>
      </c>
      <c r="O1747" s="26" t="str">
        <f>IFERROR(__xludf.DUMMYFUNCTION("""COMPUTED_VALUE"""),"깡패")</f>
        <v>깡패</v>
      </c>
      <c r="P1747" s="26" t="str">
        <f>IFERROR(__xludf.DUMMYFUNCTION("""COMPUTED_VALUE"""),"밍구")</f>
        <v>밍구</v>
      </c>
      <c r="Q1747" s="26" t="str">
        <f>IFERROR(__xludf.DUMMYFUNCTION("""COMPUTED_VALUE"""),"신형만")</f>
        <v>신형만</v>
      </c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  <c r="AB1747" s="18"/>
    </row>
    <row r="1748">
      <c r="A1748" s="27" t="s">
        <v>7245</v>
      </c>
      <c r="B1748" s="28" t="s">
        <v>7246</v>
      </c>
      <c r="C1748" s="27" t="s">
        <v>7247</v>
      </c>
      <c r="D1748" s="27">
        <v>5.0</v>
      </c>
      <c r="E1748" s="27" t="s">
        <v>7248</v>
      </c>
      <c r="F1748" s="27">
        <v>3.0</v>
      </c>
      <c r="G1748" s="29">
        <v>45492.71875</v>
      </c>
      <c r="H1748" s="27" t="s">
        <v>6904</v>
      </c>
      <c r="I1748" s="18"/>
      <c r="J1748" s="25" t="str">
        <f>IFERROR(__xludf.DUMMYFUNCTION("ARRAYFORMULA(REGEXEXTRACT(SPLIT(C1748, ""&lt;br&gt;""), ""([가-힣A-Za-z]+)""))"),"윙크")</f>
        <v>윙크</v>
      </c>
      <c r="K1748" s="26" t="str">
        <f>IFERROR(__xludf.DUMMYFUNCTION("""COMPUTED_VALUE"""),"ACDC")</f>
        <v>ACDC</v>
      </c>
      <c r="L1748" s="26" t="str">
        <f>IFERROR(__xludf.DUMMYFUNCTION("""COMPUTED_VALUE"""),"재우")</f>
        <v>재우</v>
      </c>
      <c r="M1748" s="26" t="str">
        <f>IFERROR(__xludf.DUMMYFUNCTION("""COMPUTED_VALUE"""),"키키")</f>
        <v>키키</v>
      </c>
      <c r="N1748" s="26" t="str">
        <f>IFERROR(__xludf.DUMMYFUNCTION("ARRAYFORMULA(REGEXEXTRACT(SPLIT(E1748, ""&lt;br&gt;""), ""([가-힣A-Za-z]+)""))"),"깡패")</f>
        <v>깡패</v>
      </c>
      <c r="O1748" s="26" t="str">
        <f>IFERROR(__xludf.DUMMYFUNCTION("""COMPUTED_VALUE"""),"신형만")</f>
        <v>신형만</v>
      </c>
      <c r="P1748" s="26" t="str">
        <f>IFERROR(__xludf.DUMMYFUNCTION("""COMPUTED_VALUE"""),"오크")</f>
        <v>오크</v>
      </c>
      <c r="Q1748" s="26" t="str">
        <f>IFERROR(__xludf.DUMMYFUNCTION("""COMPUTED_VALUE"""),"밍구")</f>
        <v>밍구</v>
      </c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  <c r="AB1748" s="18"/>
    </row>
    <row r="1749">
      <c r="A1749" s="27" t="s">
        <v>7249</v>
      </c>
      <c r="B1749" s="28" t="s">
        <v>7250</v>
      </c>
      <c r="C1749" s="27" t="s">
        <v>7251</v>
      </c>
      <c r="D1749" s="27">
        <v>5.0</v>
      </c>
      <c r="E1749" s="27" t="s">
        <v>7252</v>
      </c>
      <c r="F1749" s="27">
        <v>2.0</v>
      </c>
      <c r="G1749" s="29">
        <v>45492.68958333333</v>
      </c>
      <c r="H1749" s="27" t="s">
        <v>6904</v>
      </c>
      <c r="I1749" s="18"/>
      <c r="J1749" s="25" t="str">
        <f>IFERROR(__xludf.DUMMYFUNCTION("ARRAYFORMULA(REGEXEXTRACT(SPLIT(C1749, ""&lt;br&gt;""), ""([가-힣A-Za-z]+)""))"),"오크")</f>
        <v>오크</v>
      </c>
      <c r="K1749" s="26" t="str">
        <f>IFERROR(__xludf.DUMMYFUNCTION("""COMPUTED_VALUE"""),"깡패")</f>
        <v>깡패</v>
      </c>
      <c r="L1749" s="26" t="str">
        <f>IFERROR(__xludf.DUMMYFUNCTION("""COMPUTED_VALUE"""),"ACDC")</f>
        <v>ACDC</v>
      </c>
      <c r="M1749" s="26" t="str">
        <f>IFERROR(__xludf.DUMMYFUNCTION("""COMPUTED_VALUE"""),"키키")</f>
        <v>키키</v>
      </c>
      <c r="N1749" s="26" t="str">
        <f>IFERROR(__xludf.DUMMYFUNCTION("ARRAYFORMULA(REGEXEXTRACT(SPLIT(E1749, ""&lt;br&gt;""), ""([가-힣A-Za-z]+)""))"),"재우")</f>
        <v>재우</v>
      </c>
      <c r="O1749" s="26" t="str">
        <f>IFERROR(__xludf.DUMMYFUNCTION("""COMPUTED_VALUE"""),"밍구")</f>
        <v>밍구</v>
      </c>
      <c r="P1749" s="26" t="str">
        <f>IFERROR(__xludf.DUMMYFUNCTION("""COMPUTED_VALUE"""),"신형만")</f>
        <v>신형만</v>
      </c>
      <c r="Q1749" s="26" t="str">
        <f>IFERROR(__xludf.DUMMYFUNCTION("""COMPUTED_VALUE"""),"윙크")</f>
        <v>윙크</v>
      </c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  <c r="AB1749" s="18"/>
    </row>
    <row r="1750">
      <c r="A1750" s="27" t="s">
        <v>7253</v>
      </c>
      <c r="B1750" s="28" t="s">
        <v>7254</v>
      </c>
      <c r="C1750" s="27" t="s">
        <v>7255</v>
      </c>
      <c r="D1750" s="27">
        <v>5.0</v>
      </c>
      <c r="E1750" s="27" t="s">
        <v>7256</v>
      </c>
      <c r="F1750" s="27">
        <v>2.0</v>
      </c>
      <c r="G1750" s="29">
        <v>45492.660416666666</v>
      </c>
      <c r="H1750" s="27" t="s">
        <v>6904</v>
      </c>
      <c r="I1750" s="18"/>
      <c r="J1750" s="25" t="str">
        <f>IFERROR(__xludf.DUMMYFUNCTION("ARRAYFORMULA(REGEXEXTRACT(SPLIT(C1750, ""&lt;br&gt;""), ""([가-힣A-Za-z]+)""))"),"신형만")</f>
        <v>신형만</v>
      </c>
      <c r="K1750" s="26" t="str">
        <f>IFERROR(__xludf.DUMMYFUNCTION("""COMPUTED_VALUE"""),"깡패")</f>
        <v>깡패</v>
      </c>
      <c r="L1750" s="26" t="str">
        <f>IFERROR(__xludf.DUMMYFUNCTION("""COMPUTED_VALUE"""),"오크")</f>
        <v>오크</v>
      </c>
      <c r="M1750" s="26" t="str">
        <f>IFERROR(__xludf.DUMMYFUNCTION("""COMPUTED_VALUE"""),"ACDC")</f>
        <v>ACDC</v>
      </c>
      <c r="N1750" s="26" t="str">
        <f>IFERROR(__xludf.DUMMYFUNCTION("ARRAYFORMULA(REGEXEXTRACT(SPLIT(E1750, ""&lt;br&gt;""), ""([가-힣A-Za-z]+)""))"),"윙크")</f>
        <v>윙크</v>
      </c>
      <c r="O1750" s="26" t="str">
        <f>IFERROR(__xludf.DUMMYFUNCTION("""COMPUTED_VALUE"""),"밍구")</f>
        <v>밍구</v>
      </c>
      <c r="P1750" s="26" t="str">
        <f>IFERROR(__xludf.DUMMYFUNCTION("""COMPUTED_VALUE"""),"재우")</f>
        <v>재우</v>
      </c>
      <c r="Q1750" s="26" t="str">
        <f>IFERROR(__xludf.DUMMYFUNCTION("""COMPUTED_VALUE"""),"키키")</f>
        <v>키키</v>
      </c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</row>
    <row r="1751">
      <c r="A1751" s="27" t="s">
        <v>7257</v>
      </c>
      <c r="B1751" s="28" t="s">
        <v>7258</v>
      </c>
      <c r="C1751" s="27" t="s">
        <v>7259</v>
      </c>
      <c r="D1751" s="27">
        <v>5.0</v>
      </c>
      <c r="E1751" s="27" t="s">
        <v>7260</v>
      </c>
      <c r="F1751" s="27">
        <v>1.0</v>
      </c>
      <c r="G1751" s="29">
        <v>45492.035416666666</v>
      </c>
      <c r="H1751" s="27" t="s">
        <v>6904</v>
      </c>
      <c r="I1751" s="18"/>
      <c r="J1751" s="25" t="str">
        <f>IFERROR(__xludf.DUMMYFUNCTION("ARRAYFORMULA(REGEXEXTRACT(SPLIT(C1751, ""&lt;br&gt;""), ""([가-힣A-Za-z]+)""))"),"키키")</f>
        <v>키키</v>
      </c>
      <c r="K1751" s="26" t="str">
        <f>IFERROR(__xludf.DUMMYFUNCTION("""COMPUTED_VALUE"""),"재우")</f>
        <v>재우</v>
      </c>
      <c r="L1751" s="26" t="str">
        <f>IFERROR(__xludf.DUMMYFUNCTION("""COMPUTED_VALUE"""),"구리다")</f>
        <v>구리다</v>
      </c>
      <c r="M1751" s="26" t="str">
        <f>IFERROR(__xludf.DUMMYFUNCTION("""COMPUTED_VALUE"""),"웅")</f>
        <v>웅</v>
      </c>
      <c r="N1751" s="26" t="str">
        <f>IFERROR(__xludf.DUMMYFUNCTION("ARRAYFORMULA(REGEXEXTRACT(SPLIT(E1751, ""&lt;br&gt;""), ""([가-힣A-Za-z]+)""))"),"ACDC")</f>
        <v>ACDC</v>
      </c>
      <c r="O1751" s="26" t="str">
        <f>IFERROR(__xludf.DUMMYFUNCTION("""COMPUTED_VALUE"""),"강화")</f>
        <v>강화</v>
      </c>
      <c r="P1751" s="26" t="str">
        <f>IFERROR(__xludf.DUMMYFUNCTION("""COMPUTED_VALUE"""),"신형만")</f>
        <v>신형만</v>
      </c>
      <c r="Q1751" s="26" t="str">
        <f>IFERROR(__xludf.DUMMYFUNCTION("""COMPUTED_VALUE"""),"깡패")</f>
        <v>깡패</v>
      </c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</row>
    <row r="1752">
      <c r="A1752" s="27" t="s">
        <v>7261</v>
      </c>
      <c r="B1752" s="28" t="s">
        <v>7262</v>
      </c>
      <c r="C1752" s="27" t="s">
        <v>7263</v>
      </c>
      <c r="D1752" s="27">
        <v>5.0</v>
      </c>
      <c r="E1752" s="27" t="s">
        <v>7264</v>
      </c>
      <c r="F1752" s="27">
        <v>2.0</v>
      </c>
      <c r="G1752" s="29">
        <v>45492.00763888889</v>
      </c>
      <c r="H1752" s="27" t="s">
        <v>6904</v>
      </c>
      <c r="I1752" s="18"/>
      <c r="J1752" s="25" t="str">
        <f>IFERROR(__xludf.DUMMYFUNCTION("ARRAYFORMULA(REGEXEXTRACT(SPLIT(C1752, ""&lt;br&gt;""), ""([가-힣A-Za-z]+)""))"),"재우")</f>
        <v>재우</v>
      </c>
      <c r="K1752" s="26" t="str">
        <f>IFERROR(__xludf.DUMMYFUNCTION("""COMPUTED_VALUE"""),"신형만")</f>
        <v>신형만</v>
      </c>
      <c r="L1752" s="26" t="str">
        <f>IFERROR(__xludf.DUMMYFUNCTION("""COMPUTED_VALUE"""),"구리다")</f>
        <v>구리다</v>
      </c>
      <c r="M1752" s="26" t="str">
        <f>IFERROR(__xludf.DUMMYFUNCTION("""COMPUTED_VALUE"""),"강화")</f>
        <v>강화</v>
      </c>
      <c r="N1752" s="26" t="str">
        <f>IFERROR(__xludf.DUMMYFUNCTION("ARRAYFORMULA(REGEXEXTRACT(SPLIT(E1752, ""&lt;br&gt;""), ""([가-힣A-Za-z]+)""))"),"ACDC")</f>
        <v>ACDC</v>
      </c>
      <c r="O1752" s="26" t="str">
        <f>IFERROR(__xludf.DUMMYFUNCTION("""COMPUTED_VALUE"""),"재명")</f>
        <v>재명</v>
      </c>
      <c r="P1752" s="26" t="str">
        <f>IFERROR(__xludf.DUMMYFUNCTION("""COMPUTED_VALUE"""),"밍구")</f>
        <v>밍구</v>
      </c>
      <c r="Q1752" s="26" t="str">
        <f>IFERROR(__xludf.DUMMYFUNCTION("""COMPUTED_VALUE"""),"한메")</f>
        <v>한메</v>
      </c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</row>
    <row r="1753">
      <c r="A1753" s="27" t="s">
        <v>7265</v>
      </c>
      <c r="B1753" s="28" t="s">
        <v>7266</v>
      </c>
      <c r="C1753" s="27" t="s">
        <v>7267</v>
      </c>
      <c r="D1753" s="27">
        <v>5.0</v>
      </c>
      <c r="E1753" s="27" t="s">
        <v>7268</v>
      </c>
      <c r="F1753" s="27">
        <v>2.0</v>
      </c>
      <c r="G1753" s="29">
        <v>45491.9875</v>
      </c>
      <c r="H1753" s="27" t="s">
        <v>6904</v>
      </c>
      <c r="I1753" s="18"/>
      <c r="J1753" s="25" t="str">
        <f>IFERROR(__xludf.DUMMYFUNCTION("ARRAYFORMULA(REGEXEXTRACT(SPLIT(C1753, ""&lt;br&gt;""), ""([가-힣A-Za-z]+)""))"),"한메")</f>
        <v>한메</v>
      </c>
      <c r="K1753" s="26" t="str">
        <f>IFERROR(__xludf.DUMMYFUNCTION("""COMPUTED_VALUE"""),"구리다")</f>
        <v>구리다</v>
      </c>
      <c r="L1753" s="26" t="str">
        <f>IFERROR(__xludf.DUMMYFUNCTION("""COMPUTED_VALUE"""),"신형만")</f>
        <v>신형만</v>
      </c>
      <c r="M1753" s="26" t="str">
        <f>IFERROR(__xludf.DUMMYFUNCTION("""COMPUTED_VALUE"""),"강화")</f>
        <v>강화</v>
      </c>
      <c r="N1753" s="26" t="str">
        <f>IFERROR(__xludf.DUMMYFUNCTION("ARRAYFORMULA(REGEXEXTRACT(SPLIT(E1753, ""&lt;br&gt;""), ""([가-힣A-Za-z]+)""))"),"ACDC")</f>
        <v>ACDC</v>
      </c>
      <c r="O1753" s="26" t="str">
        <f>IFERROR(__xludf.DUMMYFUNCTION("""COMPUTED_VALUE"""),"밍구")</f>
        <v>밍구</v>
      </c>
      <c r="P1753" s="26" t="str">
        <f>IFERROR(__xludf.DUMMYFUNCTION("""COMPUTED_VALUE"""),"재명")</f>
        <v>재명</v>
      </c>
      <c r="Q1753" s="26" t="str">
        <f>IFERROR(__xludf.DUMMYFUNCTION("""COMPUTED_VALUE"""),"재우")</f>
        <v>재우</v>
      </c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  <c r="AB1753" s="18"/>
    </row>
    <row r="1754">
      <c r="A1754" s="27" t="s">
        <v>7269</v>
      </c>
      <c r="B1754" s="28" t="s">
        <v>7270</v>
      </c>
      <c r="C1754" s="27" t="s">
        <v>7271</v>
      </c>
      <c r="D1754" s="27">
        <v>5.0</v>
      </c>
      <c r="E1754" s="27" t="s">
        <v>7272</v>
      </c>
      <c r="F1754" s="27">
        <v>3.0</v>
      </c>
      <c r="G1754" s="29">
        <v>45491.95486111111</v>
      </c>
      <c r="H1754" s="27" t="s">
        <v>6904</v>
      </c>
      <c r="I1754" s="18"/>
      <c r="J1754" s="25" t="str">
        <f>IFERROR(__xludf.DUMMYFUNCTION("ARRAYFORMULA(REGEXEXTRACT(SPLIT(C1754, ""&lt;br&gt;""), ""([가-힣A-Za-z]+)""))"),"미르진")</f>
        <v>미르진</v>
      </c>
      <c r="K1754" s="26" t="str">
        <f>IFERROR(__xludf.DUMMYFUNCTION("""COMPUTED_VALUE"""),"미등록")</f>
        <v>미등록</v>
      </c>
      <c r="L1754" s="26" t="str">
        <f>IFERROR(__xludf.DUMMYFUNCTION("""COMPUTED_VALUE"""),"한메")</f>
        <v>한메</v>
      </c>
      <c r="M1754" s="26" t="str">
        <f>IFERROR(__xludf.DUMMYFUNCTION("""COMPUTED_VALUE"""),"깡패")</f>
        <v>깡패</v>
      </c>
      <c r="N1754" s="26" t="str">
        <f>IFERROR(__xludf.DUMMYFUNCTION("ARRAYFORMULA(REGEXEXTRACT(SPLIT(E1754, ""&lt;br&gt;""), ""([가-힣A-Za-z]+)""))"),"ACDC")</f>
        <v>ACDC</v>
      </c>
      <c r="O1754" s="26" t="str">
        <f>IFERROR(__xludf.DUMMYFUNCTION("""COMPUTED_VALUE"""),"재명")</f>
        <v>재명</v>
      </c>
      <c r="P1754" s="26" t="str">
        <f>IFERROR(__xludf.DUMMYFUNCTION("""COMPUTED_VALUE"""),"신형만")</f>
        <v>신형만</v>
      </c>
      <c r="Q1754" s="26" t="str">
        <f>IFERROR(__xludf.DUMMYFUNCTION("""COMPUTED_VALUE"""),"강화")</f>
        <v>강화</v>
      </c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  <c r="AB1754" s="18"/>
    </row>
    <row r="1755">
      <c r="A1755" s="27" t="s">
        <v>7273</v>
      </c>
      <c r="B1755" s="28" t="s">
        <v>7274</v>
      </c>
      <c r="C1755" s="27" t="s">
        <v>7275</v>
      </c>
      <c r="D1755" s="27">
        <v>5.0</v>
      </c>
      <c r="E1755" s="27" t="s">
        <v>7276</v>
      </c>
      <c r="F1755" s="27">
        <v>1.0</v>
      </c>
      <c r="G1755" s="29">
        <v>45491.92013888889</v>
      </c>
      <c r="H1755" s="27" t="s">
        <v>6904</v>
      </c>
      <c r="I1755" s="18"/>
      <c r="J1755" s="25" t="str">
        <f>IFERROR(__xludf.DUMMYFUNCTION("ARRAYFORMULA(REGEXEXTRACT(SPLIT(C1755, ""&lt;br&gt;""), ""([가-힣A-Za-z]+)""))"),"강화")</f>
        <v>강화</v>
      </c>
      <c r="K1755" s="26" t="str">
        <f>IFERROR(__xludf.DUMMYFUNCTION("""COMPUTED_VALUE"""),"신형만")</f>
        <v>신형만</v>
      </c>
      <c r="L1755" s="26" t="str">
        <f>IFERROR(__xludf.DUMMYFUNCTION("""COMPUTED_VALUE"""),"한메")</f>
        <v>한메</v>
      </c>
      <c r="M1755" s="26" t="str">
        <f>IFERROR(__xludf.DUMMYFUNCTION("""COMPUTED_VALUE"""),"미르진")</f>
        <v>미르진</v>
      </c>
      <c r="N1755" s="26" t="str">
        <f>IFERROR(__xludf.DUMMYFUNCTION("ARRAYFORMULA(REGEXEXTRACT(SPLIT(E1755, ""&lt;br&gt;""), ""([가-힣A-Za-z]+)""))"),"깡패")</f>
        <v>깡패</v>
      </c>
      <c r="O1755" s="26" t="str">
        <f>IFERROR(__xludf.DUMMYFUNCTION("""COMPUTED_VALUE"""),"미등록")</f>
        <v>미등록</v>
      </c>
      <c r="P1755" s="26" t="str">
        <f>IFERROR(__xludf.DUMMYFUNCTION("""COMPUTED_VALUE"""),"ACDC")</f>
        <v>ACDC</v>
      </c>
      <c r="Q1755" s="26" t="str">
        <f>IFERROR(__xludf.DUMMYFUNCTION("""COMPUTED_VALUE"""),"재명")</f>
        <v>재명</v>
      </c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</row>
    <row r="1756">
      <c r="A1756" s="27" t="s">
        <v>7277</v>
      </c>
      <c r="B1756" s="28" t="s">
        <v>7278</v>
      </c>
      <c r="C1756" s="27" t="s">
        <v>7279</v>
      </c>
      <c r="D1756" s="27">
        <v>5.0</v>
      </c>
      <c r="E1756" s="27" t="s">
        <v>7280</v>
      </c>
      <c r="F1756" s="27">
        <v>3.0</v>
      </c>
      <c r="G1756" s="29">
        <v>45491.90069444444</v>
      </c>
      <c r="H1756" s="27" t="s">
        <v>6904</v>
      </c>
      <c r="I1756" s="18"/>
      <c r="J1756" s="25" t="str">
        <f>IFERROR(__xludf.DUMMYFUNCTION("ARRAYFORMULA(REGEXEXTRACT(SPLIT(C1756, ""&lt;br&gt;""), ""([가-힣A-Za-z]+)""))"),"강화")</f>
        <v>강화</v>
      </c>
      <c r="K1756" s="26" t="str">
        <f>IFERROR(__xludf.DUMMYFUNCTION("""COMPUTED_VALUE"""),"깡패")</f>
        <v>깡패</v>
      </c>
      <c r="L1756" s="26" t="str">
        <f>IFERROR(__xludf.DUMMYFUNCTION("""COMPUTED_VALUE"""),"신형만")</f>
        <v>신형만</v>
      </c>
      <c r="M1756" s="26" t="str">
        <f>IFERROR(__xludf.DUMMYFUNCTION("""COMPUTED_VALUE"""),"ACDC")</f>
        <v>ACDC</v>
      </c>
      <c r="N1756" s="26" t="str">
        <f>IFERROR(__xludf.DUMMYFUNCTION("ARRAYFORMULA(REGEXEXTRACT(SPLIT(E1756, ""&lt;br&gt;""), ""([가-힣A-Za-z]+)""))"),"미르진")</f>
        <v>미르진</v>
      </c>
      <c r="O1756" s="26" t="str">
        <f>IFERROR(__xludf.DUMMYFUNCTION("""COMPUTED_VALUE"""),"재명")</f>
        <v>재명</v>
      </c>
      <c r="P1756" s="26" t="str">
        <f>IFERROR(__xludf.DUMMYFUNCTION("""COMPUTED_VALUE"""),"한메")</f>
        <v>한메</v>
      </c>
      <c r="Q1756" s="26" t="str">
        <f>IFERROR(__xludf.DUMMYFUNCTION("""COMPUTED_VALUE"""),"만두")</f>
        <v>만두</v>
      </c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</row>
    <row r="1757">
      <c r="A1757" s="27" t="s">
        <v>7281</v>
      </c>
      <c r="B1757" s="28" t="s">
        <v>7282</v>
      </c>
      <c r="C1757" s="27" t="s">
        <v>7283</v>
      </c>
      <c r="D1757" s="27">
        <v>5.0</v>
      </c>
      <c r="E1757" s="27" t="s">
        <v>7284</v>
      </c>
      <c r="F1757" s="27">
        <v>1.0</v>
      </c>
      <c r="G1757" s="29">
        <v>45491.035416666666</v>
      </c>
      <c r="H1757" s="27" t="s">
        <v>6904</v>
      </c>
      <c r="I1757" s="18"/>
      <c r="J1757" s="25" t="str">
        <f>IFERROR(__xludf.DUMMYFUNCTION("ARRAYFORMULA(REGEXEXTRACT(SPLIT(C1757, ""&lt;br&gt;""), ""([가-힣A-Za-z]+)""))"),"윙크")</f>
        <v>윙크</v>
      </c>
      <c r="K1757" s="26" t="str">
        <f>IFERROR(__xludf.DUMMYFUNCTION("""COMPUTED_VALUE"""),"신형만")</f>
        <v>신형만</v>
      </c>
      <c r="L1757" s="26" t="str">
        <f>IFERROR(__xludf.DUMMYFUNCTION("""COMPUTED_VALUE"""),"랄")</f>
        <v>랄</v>
      </c>
      <c r="M1757" s="26" t="str">
        <f>IFERROR(__xludf.DUMMYFUNCTION("""COMPUTED_VALUE"""),"깡패")</f>
        <v>깡패</v>
      </c>
      <c r="N1757" s="26" t="str">
        <f>IFERROR(__xludf.DUMMYFUNCTION("ARRAYFORMULA(REGEXEXTRACT(SPLIT(E1757, ""&lt;br&gt;""), ""([가-힣A-Za-z]+)""))"),"짱구")</f>
        <v>짱구</v>
      </c>
      <c r="O1757" s="26" t="str">
        <f>IFERROR(__xludf.DUMMYFUNCTION("""COMPUTED_VALUE"""),"강화")</f>
        <v>강화</v>
      </c>
      <c r="P1757" s="26" t="str">
        <f>IFERROR(__xludf.DUMMYFUNCTION("""COMPUTED_VALUE"""),"용갈")</f>
        <v>용갈</v>
      </c>
      <c r="Q1757" s="26" t="str">
        <f>IFERROR(__xludf.DUMMYFUNCTION("""COMPUTED_VALUE"""),"밍구")</f>
        <v>밍구</v>
      </c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</row>
    <row r="1758">
      <c r="A1758" s="27" t="s">
        <v>7285</v>
      </c>
      <c r="B1758" s="28" t="s">
        <v>7286</v>
      </c>
      <c r="C1758" s="27" t="s">
        <v>7287</v>
      </c>
      <c r="D1758" s="27">
        <v>5.0</v>
      </c>
      <c r="E1758" s="27" t="s">
        <v>7288</v>
      </c>
      <c r="F1758" s="27">
        <v>3.0</v>
      </c>
      <c r="G1758" s="29">
        <v>45491.02013888889</v>
      </c>
      <c r="H1758" s="27" t="s">
        <v>6904</v>
      </c>
      <c r="I1758" s="18"/>
      <c r="J1758" s="25" t="str">
        <f>IFERROR(__xludf.DUMMYFUNCTION("ARRAYFORMULA(REGEXEXTRACT(SPLIT(C1758, ""&lt;br&gt;""), ""([가-힣A-Za-z]+)""))"),"강화")</f>
        <v>강화</v>
      </c>
      <c r="K1758" s="26" t="str">
        <f>IFERROR(__xludf.DUMMYFUNCTION("""COMPUTED_VALUE"""),"한메")</f>
        <v>한메</v>
      </c>
      <c r="L1758" s="26" t="str">
        <f>IFERROR(__xludf.DUMMYFUNCTION("""COMPUTED_VALUE"""),"용갈")</f>
        <v>용갈</v>
      </c>
      <c r="M1758" s="26" t="str">
        <f>IFERROR(__xludf.DUMMYFUNCTION("""COMPUTED_VALUE"""),"신형만")</f>
        <v>신형만</v>
      </c>
      <c r="N1758" s="26" t="str">
        <f>IFERROR(__xludf.DUMMYFUNCTION("ARRAYFORMULA(REGEXEXTRACT(SPLIT(E1758, ""&lt;br&gt;""), ""([가-힣A-Za-z]+)""))"),"깡패")</f>
        <v>깡패</v>
      </c>
      <c r="O1758" s="26" t="str">
        <f>IFERROR(__xludf.DUMMYFUNCTION("""COMPUTED_VALUE"""),"밍구")</f>
        <v>밍구</v>
      </c>
      <c r="P1758" s="26" t="str">
        <f>IFERROR(__xludf.DUMMYFUNCTION("""COMPUTED_VALUE"""),"윙크")</f>
        <v>윙크</v>
      </c>
      <c r="Q1758" s="26" t="str">
        <f>IFERROR(__xludf.DUMMYFUNCTION("""COMPUTED_VALUE"""),"랄")</f>
        <v>랄</v>
      </c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</row>
    <row r="1759">
      <c r="A1759" s="27" t="s">
        <v>7289</v>
      </c>
      <c r="B1759" s="28" t="s">
        <v>7290</v>
      </c>
      <c r="C1759" s="27" t="s">
        <v>7291</v>
      </c>
      <c r="D1759" s="27">
        <v>5.0</v>
      </c>
      <c r="E1759" s="27" t="s">
        <v>7292</v>
      </c>
      <c r="F1759" s="27">
        <v>2.0</v>
      </c>
      <c r="G1759" s="29">
        <v>45490.993055555555</v>
      </c>
      <c r="H1759" s="27" t="s">
        <v>6904</v>
      </c>
      <c r="I1759" s="18"/>
      <c r="J1759" s="25" t="str">
        <f>IFERROR(__xludf.DUMMYFUNCTION("ARRAYFORMULA(REGEXEXTRACT(SPLIT(C1759, ""&lt;br&gt;""), ""([가-힣A-Za-z]+)""))"),"한메")</f>
        <v>한메</v>
      </c>
      <c r="K1759" s="26" t="str">
        <f>IFERROR(__xludf.DUMMYFUNCTION("""COMPUTED_VALUE"""),"재우")</f>
        <v>재우</v>
      </c>
      <c r="L1759" s="26" t="str">
        <f>IFERROR(__xludf.DUMMYFUNCTION("""COMPUTED_VALUE"""),"오딘")</f>
        <v>오딘</v>
      </c>
      <c r="M1759" s="26" t="str">
        <f>IFERROR(__xludf.DUMMYFUNCTION("""COMPUTED_VALUE"""),"밍구")</f>
        <v>밍구</v>
      </c>
      <c r="N1759" s="26" t="str">
        <f>IFERROR(__xludf.DUMMYFUNCTION("ARRAYFORMULA(REGEXEXTRACT(SPLIT(E1759, ""&lt;br&gt;""), ""([가-힣A-Za-z]+)""))"),"깡패")</f>
        <v>깡패</v>
      </c>
      <c r="O1759" s="26" t="str">
        <f>IFERROR(__xludf.DUMMYFUNCTION("""COMPUTED_VALUE"""),"랄")</f>
        <v>랄</v>
      </c>
      <c r="P1759" s="26" t="str">
        <f>IFERROR(__xludf.DUMMYFUNCTION("""COMPUTED_VALUE"""),"강화")</f>
        <v>강화</v>
      </c>
      <c r="Q1759" s="26" t="str">
        <f>IFERROR(__xludf.DUMMYFUNCTION("""COMPUTED_VALUE"""),"윙크")</f>
        <v>윙크</v>
      </c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  <c r="AB1759" s="18"/>
    </row>
    <row r="1760">
      <c r="A1760" s="27" t="s">
        <v>7293</v>
      </c>
      <c r="B1760" s="28" t="s">
        <v>7290</v>
      </c>
      <c r="C1760" s="27" t="s">
        <v>7294</v>
      </c>
      <c r="D1760" s="27">
        <v>5.0</v>
      </c>
      <c r="E1760" s="27" t="s">
        <v>7295</v>
      </c>
      <c r="F1760" s="27">
        <v>0.0</v>
      </c>
      <c r="G1760" s="29">
        <v>45490.993055555555</v>
      </c>
      <c r="H1760" s="27" t="s">
        <v>6904</v>
      </c>
      <c r="I1760" s="18"/>
      <c r="J1760" s="25" t="str">
        <f>IFERROR(__xludf.DUMMYFUNCTION("ARRAYFORMULA(REGEXEXTRACT(SPLIT(C1760, ""&lt;br&gt;""), ""([가-힣A-Za-z]+)""))"),"재우")</f>
        <v>재우</v>
      </c>
      <c r="K1760" s="26" t="str">
        <f>IFERROR(__xludf.DUMMYFUNCTION("""COMPUTED_VALUE"""),"깡패")</f>
        <v>깡패</v>
      </c>
      <c r="L1760" s="26" t="str">
        <f>IFERROR(__xludf.DUMMYFUNCTION("""COMPUTED_VALUE"""),"강화")</f>
        <v>강화</v>
      </c>
      <c r="M1760" s="26" t="str">
        <f>IFERROR(__xludf.DUMMYFUNCTION("""COMPUTED_VALUE"""),"윙크")</f>
        <v>윙크</v>
      </c>
      <c r="N1760" s="26" t="str">
        <f>IFERROR(__xludf.DUMMYFUNCTION("ARRAYFORMULA(REGEXEXTRACT(SPLIT(E1760, ""&lt;br&gt;""), ""([가-힣A-Za-z]+)""))"),"랄")</f>
        <v>랄</v>
      </c>
      <c r="O1760" s="26" t="str">
        <f>IFERROR(__xludf.DUMMYFUNCTION("""COMPUTED_VALUE"""),"오딘")</f>
        <v>오딘</v>
      </c>
      <c r="P1760" s="26" t="str">
        <f>IFERROR(__xludf.DUMMYFUNCTION("""COMPUTED_VALUE"""),"밍구")</f>
        <v>밍구</v>
      </c>
      <c r="Q1760" s="26" t="str">
        <f>IFERROR(__xludf.DUMMYFUNCTION("""COMPUTED_VALUE"""),"한메")</f>
        <v>한메</v>
      </c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  <c r="AB1760" s="18"/>
    </row>
    <row r="1761">
      <c r="A1761" s="27" t="s">
        <v>7296</v>
      </c>
      <c r="B1761" s="28" t="s">
        <v>7297</v>
      </c>
      <c r="C1761" s="27" t="s">
        <v>7298</v>
      </c>
      <c r="D1761" s="27">
        <v>5.0</v>
      </c>
      <c r="E1761" s="27" t="s">
        <v>7299</v>
      </c>
      <c r="F1761" s="27">
        <v>3.0</v>
      </c>
      <c r="G1761" s="29">
        <v>45490.01597222222</v>
      </c>
      <c r="H1761" s="27" t="s">
        <v>6904</v>
      </c>
      <c r="I1761" s="18"/>
      <c r="J1761" s="25" t="str">
        <f>IFERROR(__xludf.DUMMYFUNCTION("ARRAYFORMULA(REGEXEXTRACT(SPLIT(C1761, ""&lt;br&gt;""), ""([가-힣A-Za-z]+)""))"),"재명")</f>
        <v>재명</v>
      </c>
      <c r="K1761" s="26" t="str">
        <f>IFERROR(__xludf.DUMMYFUNCTION("""COMPUTED_VALUE"""),"강화")</f>
        <v>강화</v>
      </c>
      <c r="L1761" s="26" t="str">
        <f>IFERROR(__xludf.DUMMYFUNCTION("""COMPUTED_VALUE"""),"민우")</f>
        <v>민우</v>
      </c>
      <c r="M1761" s="26" t="str">
        <f>IFERROR(__xludf.DUMMYFUNCTION("""COMPUTED_VALUE"""),"신형만")</f>
        <v>신형만</v>
      </c>
      <c r="N1761" s="26" t="str">
        <f>IFERROR(__xludf.DUMMYFUNCTION("ARRAYFORMULA(REGEXEXTRACT(SPLIT(E1761, ""&lt;br&gt;""), ""([가-힣A-Za-z]+)""))"),"ACDC")</f>
        <v>ACDC</v>
      </c>
      <c r="O1761" s="26" t="str">
        <f>IFERROR(__xludf.DUMMYFUNCTION("""COMPUTED_VALUE"""),"웅")</f>
        <v>웅</v>
      </c>
      <c r="P1761" s="26" t="str">
        <f>IFERROR(__xludf.DUMMYFUNCTION("""COMPUTED_VALUE"""),"밍구")</f>
        <v>밍구</v>
      </c>
      <c r="Q1761" s="26" t="str">
        <f>IFERROR(__xludf.DUMMYFUNCTION("""COMPUTED_VALUE"""),"한메")</f>
        <v>한메</v>
      </c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</row>
    <row r="1762">
      <c r="A1762" s="27" t="s">
        <v>7300</v>
      </c>
      <c r="B1762" s="28" t="s">
        <v>7301</v>
      </c>
      <c r="C1762" s="27" t="s">
        <v>7302</v>
      </c>
      <c r="D1762" s="27">
        <v>5.0</v>
      </c>
      <c r="E1762" s="27" t="s">
        <v>7303</v>
      </c>
      <c r="F1762" s="27">
        <v>4.0</v>
      </c>
      <c r="G1762" s="29">
        <v>45489.99236111111</v>
      </c>
      <c r="H1762" s="27" t="s">
        <v>6904</v>
      </c>
      <c r="I1762" s="18"/>
      <c r="J1762" s="25" t="str">
        <f>IFERROR(__xludf.DUMMYFUNCTION("ARRAYFORMULA(REGEXEXTRACT(SPLIT(C1762, ""&lt;br&gt;""), ""([가-힣A-Za-z]+)""))"),"재명")</f>
        <v>재명</v>
      </c>
      <c r="K1762" s="26" t="str">
        <f>IFERROR(__xludf.DUMMYFUNCTION("""COMPUTED_VALUE"""),"웅")</f>
        <v>웅</v>
      </c>
      <c r="L1762" s="26" t="str">
        <f>IFERROR(__xludf.DUMMYFUNCTION("""COMPUTED_VALUE"""),"한메")</f>
        <v>한메</v>
      </c>
      <c r="M1762" s="26" t="str">
        <f>IFERROR(__xludf.DUMMYFUNCTION("""COMPUTED_VALUE"""),"강화")</f>
        <v>강화</v>
      </c>
      <c r="N1762" s="26" t="str">
        <f>IFERROR(__xludf.DUMMYFUNCTION("ARRAYFORMULA(REGEXEXTRACT(SPLIT(E1762, ""&lt;br&gt;""), ""([가-힣A-Za-z]+)""))"),"재우")</f>
        <v>재우</v>
      </c>
      <c r="O1762" s="26" t="str">
        <f>IFERROR(__xludf.DUMMYFUNCTION("""COMPUTED_VALUE"""),"신형만")</f>
        <v>신형만</v>
      </c>
      <c r="P1762" s="26" t="str">
        <f>IFERROR(__xludf.DUMMYFUNCTION("""COMPUTED_VALUE"""),"ACDC")</f>
        <v>ACDC</v>
      </c>
      <c r="Q1762" s="26" t="str">
        <f>IFERROR(__xludf.DUMMYFUNCTION("""COMPUTED_VALUE"""),"밍구")</f>
        <v>밍구</v>
      </c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  <c r="AB1762" s="18"/>
    </row>
    <row r="1763">
      <c r="A1763" s="27" t="s">
        <v>7304</v>
      </c>
      <c r="B1763" s="28" t="s">
        <v>7305</v>
      </c>
      <c r="C1763" s="27" t="s">
        <v>7306</v>
      </c>
      <c r="D1763" s="27">
        <v>5.0</v>
      </c>
      <c r="E1763" s="27" t="s">
        <v>7307</v>
      </c>
      <c r="F1763" s="27">
        <v>4.0</v>
      </c>
      <c r="G1763" s="29">
        <v>45489.955555555556</v>
      </c>
      <c r="H1763" s="27" t="s">
        <v>6904</v>
      </c>
      <c r="I1763" s="18"/>
      <c r="J1763" s="25" t="str">
        <f>IFERROR(__xludf.DUMMYFUNCTION("ARRAYFORMULA(REGEXEXTRACT(SPLIT(C1763, ""&lt;br&gt;""), ""([가-힣A-Za-z]+)""))"),"재명")</f>
        <v>재명</v>
      </c>
      <c r="K1763" s="26" t="str">
        <f>IFERROR(__xludf.DUMMYFUNCTION("""COMPUTED_VALUE"""),"신형만")</f>
        <v>신형만</v>
      </c>
      <c r="L1763" s="26" t="str">
        <f>IFERROR(__xludf.DUMMYFUNCTION("""COMPUTED_VALUE"""),"ACDC")</f>
        <v>ACDC</v>
      </c>
      <c r="M1763" s="26" t="str">
        <f>IFERROR(__xludf.DUMMYFUNCTION("""COMPUTED_VALUE"""),"한메")</f>
        <v>한메</v>
      </c>
      <c r="N1763" s="26" t="str">
        <f>IFERROR(__xludf.DUMMYFUNCTION("ARRAYFORMULA(REGEXEXTRACT(SPLIT(E1763, ""&lt;br&gt;""), ""([가-힣A-Za-z]+)""))"),"오딘")</f>
        <v>오딘</v>
      </c>
      <c r="O1763" s="26" t="str">
        <f>IFERROR(__xludf.DUMMYFUNCTION("""COMPUTED_VALUE"""),"테리")</f>
        <v>테리</v>
      </c>
      <c r="P1763" s="26" t="str">
        <f>IFERROR(__xludf.DUMMYFUNCTION("""COMPUTED_VALUE"""),"강화")</f>
        <v>강화</v>
      </c>
      <c r="Q1763" s="26" t="str">
        <f>IFERROR(__xludf.DUMMYFUNCTION("""COMPUTED_VALUE"""),"밍구")</f>
        <v>밍구</v>
      </c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</row>
    <row r="1764">
      <c r="A1764" s="27" t="s">
        <v>7308</v>
      </c>
      <c r="B1764" s="28" t="s">
        <v>7309</v>
      </c>
      <c r="C1764" s="27" t="s">
        <v>7310</v>
      </c>
      <c r="D1764" s="27">
        <v>5.0</v>
      </c>
      <c r="E1764" s="27" t="s">
        <v>7311</v>
      </c>
      <c r="F1764" s="27">
        <v>3.0</v>
      </c>
      <c r="G1764" s="29">
        <v>45489.92152777778</v>
      </c>
      <c r="H1764" s="27" t="s">
        <v>6904</v>
      </c>
      <c r="I1764" s="18"/>
      <c r="J1764" s="25" t="str">
        <f>IFERROR(__xludf.DUMMYFUNCTION("ARRAYFORMULA(REGEXEXTRACT(SPLIT(C1764, ""&lt;br&gt;""), ""([가-힣A-Za-z]+)""))"),"ACDC")</f>
        <v>ACDC</v>
      </c>
      <c r="K1764" s="26" t="str">
        <f>IFERROR(__xludf.DUMMYFUNCTION("""COMPUTED_VALUE"""),"밍구")</f>
        <v>밍구</v>
      </c>
      <c r="L1764" s="26" t="str">
        <f>IFERROR(__xludf.DUMMYFUNCTION("""COMPUTED_VALUE"""),"신형만")</f>
        <v>신형만</v>
      </c>
      <c r="M1764" s="26" t="str">
        <f>IFERROR(__xludf.DUMMYFUNCTION("""COMPUTED_VALUE"""),"한메")</f>
        <v>한메</v>
      </c>
      <c r="N1764" s="26" t="str">
        <f>IFERROR(__xludf.DUMMYFUNCTION("ARRAYFORMULA(REGEXEXTRACT(SPLIT(E1764, ""&lt;br&gt;""), ""([가-힣A-Za-z]+)""))"),"오딘")</f>
        <v>오딘</v>
      </c>
      <c r="O1764" s="26" t="str">
        <f>IFERROR(__xludf.DUMMYFUNCTION("""COMPUTED_VALUE"""),"재명")</f>
        <v>재명</v>
      </c>
      <c r="P1764" s="26" t="str">
        <f>IFERROR(__xludf.DUMMYFUNCTION("""COMPUTED_VALUE"""),"강화")</f>
        <v>강화</v>
      </c>
      <c r="Q1764" s="26" t="str">
        <f>IFERROR(__xludf.DUMMYFUNCTION("""COMPUTED_VALUE"""),"엘더")</f>
        <v>엘더</v>
      </c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</row>
    <row r="1765">
      <c r="A1765" s="27" t="s">
        <v>7312</v>
      </c>
      <c r="B1765" s="28" t="s">
        <v>7313</v>
      </c>
      <c r="C1765" s="27" t="s">
        <v>7314</v>
      </c>
      <c r="D1765" s="27">
        <v>5.0</v>
      </c>
      <c r="E1765" s="27" t="s">
        <v>7315</v>
      </c>
      <c r="F1765" s="27">
        <v>4.0</v>
      </c>
      <c r="G1765" s="29">
        <v>45489.00208333333</v>
      </c>
      <c r="H1765" s="27" t="s">
        <v>7316</v>
      </c>
      <c r="I1765" s="18"/>
      <c r="J1765" s="25" t="str">
        <f>IFERROR(__xludf.DUMMYFUNCTION("ARRAYFORMULA(REGEXEXTRACT(SPLIT(C1765, ""&lt;br&gt;""), ""([가-힣A-Za-z]+)""))"),"강화")</f>
        <v>강화</v>
      </c>
      <c r="K1765" s="26" t="str">
        <f>IFERROR(__xludf.DUMMYFUNCTION("""COMPUTED_VALUE"""),"한메")</f>
        <v>한메</v>
      </c>
      <c r="L1765" s="26" t="str">
        <f>IFERROR(__xludf.DUMMYFUNCTION("""COMPUTED_VALUE"""),"재명")</f>
        <v>재명</v>
      </c>
      <c r="M1765" s="26" t="str">
        <f>IFERROR(__xludf.DUMMYFUNCTION("""COMPUTED_VALUE"""),"신형만")</f>
        <v>신형만</v>
      </c>
      <c r="N1765" s="26" t="str">
        <f>IFERROR(__xludf.DUMMYFUNCTION("ARRAYFORMULA(REGEXEXTRACT(SPLIT(E1765, ""&lt;br&gt;""), ""([가-힣A-Za-z]+)""))"),"ACDC")</f>
        <v>ACDC</v>
      </c>
      <c r="O1765" s="26" t="str">
        <f>IFERROR(__xludf.DUMMYFUNCTION("""COMPUTED_VALUE"""),"깡패")</f>
        <v>깡패</v>
      </c>
      <c r="P1765" s="26" t="str">
        <f>IFERROR(__xludf.DUMMYFUNCTION("""COMPUTED_VALUE"""),"엘더")</f>
        <v>엘더</v>
      </c>
      <c r="Q1765" s="26" t="str">
        <f>IFERROR(__xludf.DUMMYFUNCTION("""COMPUTED_VALUE"""),"밍구")</f>
        <v>밍구</v>
      </c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</row>
    <row r="1766">
      <c r="A1766" s="27" t="s">
        <v>7317</v>
      </c>
      <c r="B1766" s="28" t="s">
        <v>7318</v>
      </c>
      <c r="C1766" s="27" t="s">
        <v>7319</v>
      </c>
      <c r="D1766" s="27">
        <v>5.0</v>
      </c>
      <c r="E1766" s="27" t="s">
        <v>7320</v>
      </c>
      <c r="F1766" s="27">
        <v>2.0</v>
      </c>
      <c r="G1766" s="29">
        <v>45488.964583333334</v>
      </c>
      <c r="H1766" s="27" t="s">
        <v>7316</v>
      </c>
      <c r="I1766" s="18"/>
      <c r="J1766" s="25" t="str">
        <f>IFERROR(__xludf.DUMMYFUNCTION("ARRAYFORMULA(REGEXEXTRACT(SPLIT(C1766, ""&lt;br&gt;""), ""([가-힣A-Za-z]+)""))"),"깡패")</f>
        <v>깡패</v>
      </c>
      <c r="K1766" s="26" t="str">
        <f>IFERROR(__xludf.DUMMYFUNCTION("""COMPUTED_VALUE"""),"ACDC")</f>
        <v>ACDC</v>
      </c>
      <c r="L1766" s="26" t="str">
        <f>IFERROR(__xludf.DUMMYFUNCTION("""COMPUTED_VALUE"""),"엘더")</f>
        <v>엘더</v>
      </c>
      <c r="M1766" s="26" t="str">
        <f>IFERROR(__xludf.DUMMYFUNCTION("""COMPUTED_VALUE"""),"한메")</f>
        <v>한메</v>
      </c>
      <c r="N1766" s="26" t="str">
        <f>IFERROR(__xludf.DUMMYFUNCTION("ARRAYFORMULA(REGEXEXTRACT(SPLIT(E1766, ""&lt;br&gt;""), ""([가-힣A-Za-z]+)""))"),"재명")</f>
        <v>재명</v>
      </c>
      <c r="O1766" s="26" t="str">
        <f>IFERROR(__xludf.DUMMYFUNCTION("""COMPUTED_VALUE"""),"짱구")</f>
        <v>짱구</v>
      </c>
      <c r="P1766" s="26" t="str">
        <f>IFERROR(__xludf.DUMMYFUNCTION("""COMPUTED_VALUE"""),"신형만")</f>
        <v>신형만</v>
      </c>
      <c r="Q1766" s="26" t="str">
        <f>IFERROR(__xludf.DUMMYFUNCTION("""COMPUTED_VALUE"""),"강화")</f>
        <v>강화</v>
      </c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</row>
    <row r="1767">
      <c r="A1767" s="27" t="s">
        <v>7321</v>
      </c>
      <c r="B1767" s="28" t="s">
        <v>7322</v>
      </c>
      <c r="C1767" s="27" t="s">
        <v>7323</v>
      </c>
      <c r="D1767" s="27">
        <v>5.0</v>
      </c>
      <c r="E1767" s="27" t="s">
        <v>7324</v>
      </c>
      <c r="F1767" s="27">
        <v>3.0</v>
      </c>
      <c r="G1767" s="29">
        <v>45488.93125</v>
      </c>
      <c r="H1767" s="27" t="s">
        <v>7316</v>
      </c>
      <c r="I1767" s="18"/>
      <c r="J1767" s="25" t="str">
        <f>IFERROR(__xludf.DUMMYFUNCTION("ARRAYFORMULA(REGEXEXTRACT(SPLIT(C1767, ""&lt;br&gt;""), ""([가-힣A-Za-z]+)""))"),"신형만")</f>
        <v>신형만</v>
      </c>
      <c r="K1767" s="26" t="str">
        <f>IFERROR(__xludf.DUMMYFUNCTION("""COMPUTED_VALUE"""),"재우")</f>
        <v>재우</v>
      </c>
      <c r="L1767" s="26" t="str">
        <f>IFERROR(__xludf.DUMMYFUNCTION("""COMPUTED_VALUE"""),"재명")</f>
        <v>재명</v>
      </c>
      <c r="M1767" s="26" t="str">
        <f>IFERROR(__xludf.DUMMYFUNCTION("""COMPUTED_VALUE"""),"엘더")</f>
        <v>엘더</v>
      </c>
      <c r="N1767" s="26" t="str">
        <f>IFERROR(__xludf.DUMMYFUNCTION("ARRAYFORMULA(REGEXEXTRACT(SPLIT(E1767, ""&lt;br&gt;""), ""([가-힣A-Za-z]+)""))"),"한메")</f>
        <v>한메</v>
      </c>
      <c r="O1767" s="26" t="str">
        <f>IFERROR(__xludf.DUMMYFUNCTION("""COMPUTED_VALUE"""),"강화")</f>
        <v>강화</v>
      </c>
      <c r="P1767" s="26" t="str">
        <f>IFERROR(__xludf.DUMMYFUNCTION("""COMPUTED_VALUE"""),"미등록")</f>
        <v>미등록</v>
      </c>
      <c r="Q1767" s="26" t="str">
        <f>IFERROR(__xludf.DUMMYFUNCTION("""COMPUTED_VALUE"""),"깡패")</f>
        <v>깡패</v>
      </c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</row>
    <row r="1768">
      <c r="A1768" s="27" t="s">
        <v>7325</v>
      </c>
      <c r="B1768" s="28" t="s">
        <v>7326</v>
      </c>
      <c r="C1768" s="27" t="s">
        <v>7327</v>
      </c>
      <c r="D1768" s="27">
        <v>5.0</v>
      </c>
      <c r="E1768" s="27" t="s">
        <v>7328</v>
      </c>
      <c r="F1768" s="27">
        <v>1.0</v>
      </c>
      <c r="G1768" s="29">
        <v>45488.04791666667</v>
      </c>
      <c r="H1768" s="27" t="s">
        <v>7316</v>
      </c>
      <c r="I1768" s="18"/>
      <c r="J1768" s="25" t="str">
        <f>IFERROR(__xludf.DUMMYFUNCTION("ARRAYFORMULA(REGEXEXTRACT(SPLIT(C1768, ""&lt;br&gt;""), ""([가-힣A-Za-z]+)""))"),"강화")</f>
        <v>강화</v>
      </c>
      <c r="K1768" s="26" t="str">
        <f>IFERROR(__xludf.DUMMYFUNCTION("""COMPUTED_VALUE"""),"신형만")</f>
        <v>신형만</v>
      </c>
      <c r="L1768" s="26" t="str">
        <f>IFERROR(__xludf.DUMMYFUNCTION("""COMPUTED_VALUE"""),"ACDC")</f>
        <v>ACDC</v>
      </c>
      <c r="M1768" s="26" t="str">
        <f>IFERROR(__xludf.DUMMYFUNCTION("""COMPUTED_VALUE"""),"재명")</f>
        <v>재명</v>
      </c>
      <c r="N1768" s="26" t="str">
        <f>IFERROR(__xludf.DUMMYFUNCTION("ARRAYFORMULA(REGEXEXTRACT(SPLIT(E1768, ""&lt;br&gt;""), ""([가-힣A-Za-z]+)""))"),"악동")</f>
        <v>악동</v>
      </c>
      <c r="O1768" s="26" t="str">
        <f>IFERROR(__xludf.DUMMYFUNCTION("""COMPUTED_VALUE"""),"구리다")</f>
        <v>구리다</v>
      </c>
      <c r="P1768" s="26" t="str">
        <f>IFERROR(__xludf.DUMMYFUNCTION("""COMPUTED_VALUE"""),"랄")</f>
        <v>랄</v>
      </c>
      <c r="Q1768" s="26" t="str">
        <f>IFERROR(__xludf.DUMMYFUNCTION("""COMPUTED_VALUE"""),"미등록")</f>
        <v>미등록</v>
      </c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  <c r="AB1768" s="18"/>
    </row>
    <row r="1769">
      <c r="A1769" s="27" t="s">
        <v>7329</v>
      </c>
      <c r="B1769" s="28" t="s">
        <v>7330</v>
      </c>
      <c r="C1769" s="27" t="s">
        <v>7331</v>
      </c>
      <c r="D1769" s="27">
        <v>5.0</v>
      </c>
      <c r="E1769" s="27" t="s">
        <v>7332</v>
      </c>
      <c r="F1769" s="27">
        <v>3.0</v>
      </c>
      <c r="G1769" s="29">
        <v>45488.02777777778</v>
      </c>
      <c r="H1769" s="27" t="s">
        <v>7316</v>
      </c>
      <c r="I1769" s="18"/>
      <c r="J1769" s="25" t="str">
        <f>IFERROR(__xludf.DUMMYFUNCTION("ARRAYFORMULA(REGEXEXTRACT(SPLIT(C1769, ""&lt;br&gt;""), ""([가-힣A-Za-z]+)""))"),"강화")</f>
        <v>강화</v>
      </c>
      <c r="K1769" s="26" t="str">
        <f>IFERROR(__xludf.DUMMYFUNCTION("""COMPUTED_VALUE"""),"ACDC")</f>
        <v>ACDC</v>
      </c>
      <c r="L1769" s="26" t="str">
        <f>IFERROR(__xludf.DUMMYFUNCTION("""COMPUTED_VALUE"""),"랄")</f>
        <v>랄</v>
      </c>
      <c r="M1769" s="26" t="str">
        <f>IFERROR(__xludf.DUMMYFUNCTION("""COMPUTED_VALUE"""),"악동")</f>
        <v>악동</v>
      </c>
      <c r="N1769" s="26" t="str">
        <f>IFERROR(__xludf.DUMMYFUNCTION("ARRAYFORMULA(REGEXEXTRACT(SPLIT(E1769, ""&lt;br&gt;""), ""([가-힣A-Za-z]+)""))"),"미등록")</f>
        <v>미등록</v>
      </c>
      <c r="O1769" s="26" t="str">
        <f>IFERROR(__xludf.DUMMYFUNCTION("""COMPUTED_VALUE"""),"구리다")</f>
        <v>구리다</v>
      </c>
      <c r="P1769" s="26" t="str">
        <f>IFERROR(__xludf.DUMMYFUNCTION("""COMPUTED_VALUE"""),"신형만")</f>
        <v>신형만</v>
      </c>
      <c r="Q1769" s="26" t="str">
        <f>IFERROR(__xludf.DUMMYFUNCTION("""COMPUTED_VALUE"""),"재명")</f>
        <v>재명</v>
      </c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  <c r="AB1769" s="18"/>
    </row>
    <row r="1770">
      <c r="A1770" s="27" t="s">
        <v>7333</v>
      </c>
      <c r="B1770" s="28" t="s">
        <v>7334</v>
      </c>
      <c r="C1770" s="27" t="s">
        <v>7335</v>
      </c>
      <c r="D1770" s="27">
        <v>5.0</v>
      </c>
      <c r="E1770" s="27" t="s">
        <v>7336</v>
      </c>
      <c r="F1770" s="27">
        <v>2.0</v>
      </c>
      <c r="G1770" s="29">
        <v>45487.998611111114</v>
      </c>
      <c r="H1770" s="27" t="s">
        <v>7316</v>
      </c>
      <c r="I1770" s="18"/>
      <c r="J1770" s="25" t="str">
        <f>IFERROR(__xludf.DUMMYFUNCTION("ARRAYFORMULA(REGEXEXTRACT(SPLIT(C1770, ""&lt;br&gt;""), ""([가-힣A-Za-z]+)""))"),"강화")</f>
        <v>강화</v>
      </c>
      <c r="K1770" s="26" t="str">
        <f>IFERROR(__xludf.DUMMYFUNCTION("""COMPUTED_VALUE"""),"재우")</f>
        <v>재우</v>
      </c>
      <c r="L1770" s="26" t="str">
        <f>IFERROR(__xludf.DUMMYFUNCTION("""COMPUTED_VALUE"""),"구리다")</f>
        <v>구리다</v>
      </c>
      <c r="M1770" s="26" t="str">
        <f>IFERROR(__xludf.DUMMYFUNCTION("""COMPUTED_VALUE"""),"신형만")</f>
        <v>신형만</v>
      </c>
      <c r="N1770" s="26" t="str">
        <f>IFERROR(__xludf.DUMMYFUNCTION("ARRAYFORMULA(REGEXEXTRACT(SPLIT(E1770, ""&lt;br&gt;""), ""([가-힣A-Za-z]+)""))"),"미등록")</f>
        <v>미등록</v>
      </c>
      <c r="O1770" s="26" t="str">
        <f>IFERROR(__xludf.DUMMYFUNCTION("""COMPUTED_VALUE"""),"키키")</f>
        <v>키키</v>
      </c>
      <c r="P1770" s="26" t="str">
        <f>IFERROR(__xludf.DUMMYFUNCTION("""COMPUTED_VALUE"""),"악동")</f>
        <v>악동</v>
      </c>
      <c r="Q1770" s="26" t="str">
        <f>IFERROR(__xludf.DUMMYFUNCTION("""COMPUTED_VALUE"""),"재명")</f>
        <v>재명</v>
      </c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</row>
    <row r="1771">
      <c r="A1771" s="27" t="s">
        <v>7337</v>
      </c>
      <c r="B1771" s="28" t="s">
        <v>7338</v>
      </c>
      <c r="C1771" s="27" t="s">
        <v>7339</v>
      </c>
      <c r="D1771" s="27">
        <v>5.0</v>
      </c>
      <c r="E1771" s="27" t="s">
        <v>7340</v>
      </c>
      <c r="F1771" s="27">
        <v>2.0</v>
      </c>
      <c r="G1771" s="29">
        <v>45487.972916666666</v>
      </c>
      <c r="H1771" s="27" t="s">
        <v>7316</v>
      </c>
      <c r="I1771" s="18"/>
      <c r="J1771" s="25" t="str">
        <f>IFERROR(__xludf.DUMMYFUNCTION("ARRAYFORMULA(REGEXEXTRACT(SPLIT(C1771, ""&lt;br&gt;""), ""([가-힣A-Za-z]+)""))"),"재우")</f>
        <v>재우</v>
      </c>
      <c r="K1771" s="26" t="str">
        <f>IFERROR(__xludf.DUMMYFUNCTION("""COMPUTED_VALUE"""),"재명")</f>
        <v>재명</v>
      </c>
      <c r="L1771" s="26" t="str">
        <f>IFERROR(__xludf.DUMMYFUNCTION("""COMPUTED_VALUE"""),"신형만")</f>
        <v>신형만</v>
      </c>
      <c r="M1771" s="26" t="str">
        <f>IFERROR(__xludf.DUMMYFUNCTION("""COMPUTED_VALUE"""),"한메")</f>
        <v>한메</v>
      </c>
      <c r="N1771" s="26" t="str">
        <f>IFERROR(__xludf.DUMMYFUNCTION("ARRAYFORMULA(REGEXEXTRACT(SPLIT(E1771, ""&lt;br&gt;""), ""([가-힣A-Za-z]+)""))"),"키키")</f>
        <v>키키</v>
      </c>
      <c r="O1771" s="26" t="str">
        <f>IFERROR(__xludf.DUMMYFUNCTION("""COMPUTED_VALUE"""),"미등록")</f>
        <v>미등록</v>
      </c>
      <c r="P1771" s="26" t="str">
        <f>IFERROR(__xludf.DUMMYFUNCTION("""COMPUTED_VALUE"""),"악동")</f>
        <v>악동</v>
      </c>
      <c r="Q1771" s="26" t="str">
        <f>IFERROR(__xludf.DUMMYFUNCTION("""COMPUTED_VALUE"""),"강화")</f>
        <v>강화</v>
      </c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</row>
    <row r="1772">
      <c r="A1772" s="27" t="s">
        <v>7341</v>
      </c>
      <c r="B1772" s="28" t="s">
        <v>7342</v>
      </c>
      <c r="C1772" s="27" t="s">
        <v>7343</v>
      </c>
      <c r="D1772" s="27">
        <v>5.0</v>
      </c>
      <c r="E1772" s="27" t="s">
        <v>7344</v>
      </c>
      <c r="F1772" s="27">
        <v>0.0</v>
      </c>
      <c r="G1772" s="29">
        <v>45487.94236111111</v>
      </c>
      <c r="H1772" s="27" t="s">
        <v>7316</v>
      </c>
      <c r="I1772" s="18"/>
      <c r="J1772" s="25" t="str">
        <f>IFERROR(__xludf.DUMMYFUNCTION("ARRAYFORMULA(REGEXEXTRACT(SPLIT(C1772, ""&lt;br&gt;""), ""([가-힣A-Za-z]+)""))"),"키키")</f>
        <v>키키</v>
      </c>
      <c r="K1772" s="26" t="str">
        <f>IFERROR(__xludf.DUMMYFUNCTION("""COMPUTED_VALUE"""),"신형만")</f>
        <v>신형만</v>
      </c>
      <c r="L1772" s="26" t="str">
        <f>IFERROR(__xludf.DUMMYFUNCTION("""COMPUTED_VALUE"""),"악동")</f>
        <v>악동</v>
      </c>
      <c r="M1772" s="26" t="str">
        <f>IFERROR(__xludf.DUMMYFUNCTION("""COMPUTED_VALUE"""),"재명")</f>
        <v>재명</v>
      </c>
      <c r="N1772" s="26" t="str">
        <f>IFERROR(__xludf.DUMMYFUNCTION("ARRAYFORMULA(REGEXEXTRACT(SPLIT(E1772, ""&lt;br&gt;""), ""([가-힣A-Za-z]+)""))"),"재우")</f>
        <v>재우</v>
      </c>
      <c r="O1772" s="26" t="str">
        <f>IFERROR(__xludf.DUMMYFUNCTION("""COMPUTED_VALUE"""),"미등록")</f>
        <v>미등록</v>
      </c>
      <c r="P1772" s="26" t="str">
        <f>IFERROR(__xludf.DUMMYFUNCTION("""COMPUTED_VALUE"""),"강화")</f>
        <v>강화</v>
      </c>
      <c r="Q1772" s="26" t="str">
        <f>IFERROR(__xludf.DUMMYFUNCTION("""COMPUTED_VALUE"""),"한메")</f>
        <v>한메</v>
      </c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  <c r="AB1772" s="18"/>
    </row>
    <row r="1773">
      <c r="A1773" s="27" t="s">
        <v>7345</v>
      </c>
      <c r="B1773" s="28" t="s">
        <v>7346</v>
      </c>
      <c r="C1773" s="27" t="s">
        <v>7347</v>
      </c>
      <c r="D1773" s="27">
        <v>5.0</v>
      </c>
      <c r="E1773" s="27" t="s">
        <v>7348</v>
      </c>
      <c r="F1773" s="27">
        <v>3.0</v>
      </c>
      <c r="G1773" s="29">
        <v>45487.8875</v>
      </c>
      <c r="H1773" s="27" t="s">
        <v>7316</v>
      </c>
      <c r="I1773" s="18"/>
      <c r="J1773" s="25" t="str">
        <f>IFERROR(__xludf.DUMMYFUNCTION("ARRAYFORMULA(REGEXEXTRACT(SPLIT(C1773, ""&lt;br&gt;""), ""([가-힣A-Za-z]+)""))"),"신형만")</f>
        <v>신형만</v>
      </c>
      <c r="K1773" s="26" t="str">
        <f>IFERROR(__xludf.DUMMYFUNCTION("""COMPUTED_VALUE"""),"미등록")</f>
        <v>미등록</v>
      </c>
      <c r="L1773" s="26" t="str">
        <f>IFERROR(__xludf.DUMMYFUNCTION("""COMPUTED_VALUE"""),"재명")</f>
        <v>재명</v>
      </c>
      <c r="M1773" s="26" t="str">
        <f>IFERROR(__xludf.DUMMYFUNCTION("""COMPUTED_VALUE"""),"엘더")</f>
        <v>엘더</v>
      </c>
      <c r="N1773" s="26" t="str">
        <f>IFERROR(__xludf.DUMMYFUNCTION("ARRAYFORMULA(REGEXEXTRACT(SPLIT(E1773, ""&lt;br&gt;""), ""([가-힣A-Za-z]+)""))"),"ACDC")</f>
        <v>ACDC</v>
      </c>
      <c r="O1773" s="26" t="str">
        <f>IFERROR(__xludf.DUMMYFUNCTION("""COMPUTED_VALUE"""),"구리다")</f>
        <v>구리다</v>
      </c>
      <c r="P1773" s="26" t="str">
        <f>IFERROR(__xludf.DUMMYFUNCTION("""COMPUTED_VALUE"""),"한메")</f>
        <v>한메</v>
      </c>
      <c r="Q1773" s="26" t="str">
        <f>IFERROR(__xludf.DUMMYFUNCTION("""COMPUTED_VALUE"""),"강화")</f>
        <v>강화</v>
      </c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  <c r="AB1773" s="18"/>
    </row>
    <row r="1774">
      <c r="A1774" s="27" t="s">
        <v>7349</v>
      </c>
      <c r="B1774" s="28" t="s">
        <v>7350</v>
      </c>
      <c r="C1774" s="27" t="s">
        <v>7351</v>
      </c>
      <c r="D1774" s="27">
        <v>5.0</v>
      </c>
      <c r="E1774" s="27" t="s">
        <v>7352</v>
      </c>
      <c r="F1774" s="27">
        <v>3.0</v>
      </c>
      <c r="G1774" s="29">
        <v>45487.85555555556</v>
      </c>
      <c r="H1774" s="27" t="s">
        <v>7316</v>
      </c>
      <c r="I1774" s="18"/>
      <c r="J1774" s="25" t="str">
        <f>IFERROR(__xludf.DUMMYFUNCTION("ARRAYFORMULA(REGEXEXTRACT(SPLIT(C1774, ""&lt;br&gt;""), ""([가-힣A-Za-z]+)""))"),"재명")</f>
        <v>재명</v>
      </c>
      <c r="K1774" s="26" t="str">
        <f>IFERROR(__xludf.DUMMYFUNCTION("""COMPUTED_VALUE"""),"한메")</f>
        <v>한메</v>
      </c>
      <c r="L1774" s="26" t="str">
        <f>IFERROR(__xludf.DUMMYFUNCTION("""COMPUTED_VALUE"""),"오딘")</f>
        <v>오딘</v>
      </c>
      <c r="M1774" s="26" t="str">
        <f>IFERROR(__xludf.DUMMYFUNCTION("""COMPUTED_VALUE"""),"신형만")</f>
        <v>신형만</v>
      </c>
      <c r="N1774" s="26" t="str">
        <f>IFERROR(__xludf.DUMMYFUNCTION("ARRAYFORMULA(REGEXEXTRACT(SPLIT(E1774, ""&lt;br&gt;""), ""([가-힣A-Za-z]+)""))"),"ACDC")</f>
        <v>ACDC</v>
      </c>
      <c r="O1774" s="26" t="str">
        <f>IFERROR(__xludf.DUMMYFUNCTION("""COMPUTED_VALUE"""),"강화")</f>
        <v>강화</v>
      </c>
      <c r="P1774" s="26" t="str">
        <f>IFERROR(__xludf.DUMMYFUNCTION("""COMPUTED_VALUE"""),"구리다")</f>
        <v>구리다</v>
      </c>
      <c r="Q1774" s="26" t="str">
        <f>IFERROR(__xludf.DUMMYFUNCTION("""COMPUTED_VALUE"""),"엘더")</f>
        <v>엘더</v>
      </c>
      <c r="R1774" s="18"/>
      <c r="S1774" s="18"/>
      <c r="T1774" s="18"/>
      <c r="U1774" s="18"/>
      <c r="V1774" s="18"/>
      <c r="W1774" s="18"/>
      <c r="X1774" s="18"/>
      <c r="Y1774" s="18"/>
      <c r="Z1774" s="18"/>
      <c r="AA1774" s="18"/>
      <c r="AB1774" s="18"/>
    </row>
    <row r="1775">
      <c r="A1775" s="27" t="s">
        <v>7353</v>
      </c>
      <c r="B1775" s="28" t="s">
        <v>7354</v>
      </c>
      <c r="C1775" s="27" t="s">
        <v>7355</v>
      </c>
      <c r="D1775" s="27">
        <v>5.0</v>
      </c>
      <c r="E1775" s="27" t="s">
        <v>7356</v>
      </c>
      <c r="F1775" s="27">
        <v>3.0</v>
      </c>
      <c r="G1775" s="29">
        <v>45487.82916666667</v>
      </c>
      <c r="H1775" s="27" t="s">
        <v>7316</v>
      </c>
      <c r="I1775" s="18"/>
      <c r="J1775" s="25" t="str">
        <f>IFERROR(__xludf.DUMMYFUNCTION("ARRAYFORMULA(REGEXEXTRACT(SPLIT(C1775, ""&lt;br&gt;""), ""([가-힣A-Za-z]+)""))"),"재명")</f>
        <v>재명</v>
      </c>
      <c r="K1775" s="26" t="str">
        <f>IFERROR(__xludf.DUMMYFUNCTION("""COMPUTED_VALUE"""),"구리다")</f>
        <v>구리다</v>
      </c>
      <c r="L1775" s="26" t="str">
        <f>IFERROR(__xludf.DUMMYFUNCTION("""COMPUTED_VALUE"""),"엘더")</f>
        <v>엘더</v>
      </c>
      <c r="M1775" s="26" t="str">
        <f>IFERROR(__xludf.DUMMYFUNCTION("""COMPUTED_VALUE"""),"한메")</f>
        <v>한메</v>
      </c>
      <c r="N1775" s="26" t="str">
        <f>IFERROR(__xludf.DUMMYFUNCTION("ARRAYFORMULA(REGEXEXTRACT(SPLIT(E1775, ""&lt;br&gt;""), ""([가-힣A-Za-z]+)""))"),"ACDC")</f>
        <v>ACDC</v>
      </c>
      <c r="O1775" s="26" t="str">
        <f>IFERROR(__xludf.DUMMYFUNCTION("""COMPUTED_VALUE"""),"오딘")</f>
        <v>오딘</v>
      </c>
      <c r="P1775" s="26" t="str">
        <f>IFERROR(__xludf.DUMMYFUNCTION("""COMPUTED_VALUE"""),"신형만")</f>
        <v>신형만</v>
      </c>
      <c r="Q1775" s="26" t="str">
        <f>IFERROR(__xludf.DUMMYFUNCTION("""COMPUTED_VALUE"""),"강화")</f>
        <v>강화</v>
      </c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  <c r="AB1775" s="18"/>
    </row>
    <row r="1776">
      <c r="A1776" s="27" t="s">
        <v>7357</v>
      </c>
      <c r="B1776" s="28" t="s">
        <v>7358</v>
      </c>
      <c r="C1776" s="27" t="s">
        <v>7359</v>
      </c>
      <c r="D1776" s="27">
        <v>5.0</v>
      </c>
      <c r="E1776" s="27" t="s">
        <v>7360</v>
      </c>
      <c r="F1776" s="27">
        <v>1.0</v>
      </c>
      <c r="G1776" s="29">
        <v>45485.021527777775</v>
      </c>
      <c r="H1776" s="27" t="s">
        <v>7316</v>
      </c>
      <c r="I1776" s="18"/>
      <c r="J1776" s="25" t="str">
        <f>IFERROR(__xludf.DUMMYFUNCTION("ARRAYFORMULA(REGEXEXTRACT(SPLIT(C1776, ""&lt;br&gt;""), ""([가-힣A-Za-z]+)""))"),"아이딘")</f>
        <v>아이딘</v>
      </c>
      <c r="K1776" s="26" t="str">
        <f>IFERROR(__xludf.DUMMYFUNCTION("""COMPUTED_VALUE"""),"신형만")</f>
        <v>신형만</v>
      </c>
      <c r="L1776" s="26" t="str">
        <f>IFERROR(__xludf.DUMMYFUNCTION("""COMPUTED_VALUE"""),"강화")</f>
        <v>강화</v>
      </c>
      <c r="M1776" s="26" t="str">
        <f>IFERROR(__xludf.DUMMYFUNCTION("""COMPUTED_VALUE"""),"깡패")</f>
        <v>깡패</v>
      </c>
      <c r="N1776" s="26" t="str">
        <f>IFERROR(__xludf.DUMMYFUNCTION("ARRAYFORMULA(REGEXEXTRACT(SPLIT(E1776, ""&lt;br&gt;""), ""([가-힣A-Za-z]+)""))"),"ACDC")</f>
        <v>ACDC</v>
      </c>
      <c r="O1776" s="26" t="str">
        <f>IFERROR(__xludf.DUMMYFUNCTION("""COMPUTED_VALUE"""),"노픽업")</f>
        <v>노픽업</v>
      </c>
      <c r="P1776" s="26" t="str">
        <f>IFERROR(__xludf.DUMMYFUNCTION("""COMPUTED_VALUE"""),"재명")</f>
        <v>재명</v>
      </c>
      <c r="Q1776" s="26" t="str">
        <f>IFERROR(__xludf.DUMMYFUNCTION("""COMPUTED_VALUE"""),"한메")</f>
        <v>한메</v>
      </c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</row>
    <row r="1777">
      <c r="A1777" s="27" t="s">
        <v>7361</v>
      </c>
      <c r="B1777" s="28" t="s">
        <v>7362</v>
      </c>
      <c r="C1777" s="27" t="s">
        <v>7363</v>
      </c>
      <c r="D1777" s="27">
        <v>5.0</v>
      </c>
      <c r="E1777" s="27" t="s">
        <v>7364</v>
      </c>
      <c r="F1777" s="27">
        <v>0.0</v>
      </c>
      <c r="G1777" s="29">
        <v>45485.001388888886</v>
      </c>
      <c r="H1777" s="27" t="s">
        <v>7316</v>
      </c>
      <c r="I1777" s="18"/>
      <c r="J1777" s="25" t="str">
        <f>IFERROR(__xludf.DUMMYFUNCTION("ARRAYFORMULA(REGEXEXTRACT(SPLIT(C1777, ""&lt;br&gt;""), ""([가-힣A-Za-z]+)""))"),"깡패")</f>
        <v>깡패</v>
      </c>
      <c r="K1777" s="26" t="str">
        <f>IFERROR(__xludf.DUMMYFUNCTION("""COMPUTED_VALUE"""),"신형만")</f>
        <v>신형만</v>
      </c>
      <c r="L1777" s="26" t="str">
        <f>IFERROR(__xludf.DUMMYFUNCTION("""COMPUTED_VALUE"""),"재우")</f>
        <v>재우</v>
      </c>
      <c r="M1777" s="26" t="str">
        <f>IFERROR(__xludf.DUMMYFUNCTION("""COMPUTED_VALUE"""),"한메")</f>
        <v>한메</v>
      </c>
      <c r="N1777" s="26" t="str">
        <f>IFERROR(__xludf.DUMMYFUNCTION("ARRAYFORMULA(REGEXEXTRACT(SPLIT(E1777, ""&lt;br&gt;""), ""([가-힣A-Za-z]+)""))"),"아이딘")</f>
        <v>아이딘</v>
      </c>
      <c r="O1777" s="26" t="str">
        <f>IFERROR(__xludf.DUMMYFUNCTION("""COMPUTED_VALUE"""),"재명")</f>
        <v>재명</v>
      </c>
      <c r="P1777" s="26" t="str">
        <f>IFERROR(__xludf.DUMMYFUNCTION("""COMPUTED_VALUE"""),"노픽업")</f>
        <v>노픽업</v>
      </c>
      <c r="Q1777" s="26" t="str">
        <f>IFERROR(__xludf.DUMMYFUNCTION("""COMPUTED_VALUE"""),"밍구")</f>
        <v>밍구</v>
      </c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  <c r="AB1777" s="18"/>
    </row>
    <row r="1778">
      <c r="A1778" s="27" t="s">
        <v>7365</v>
      </c>
      <c r="B1778" s="28" t="s">
        <v>7366</v>
      </c>
      <c r="C1778" s="27" t="s">
        <v>7367</v>
      </c>
      <c r="D1778" s="27">
        <v>5.0</v>
      </c>
      <c r="E1778" s="27" t="s">
        <v>7368</v>
      </c>
      <c r="F1778" s="27">
        <v>2.0</v>
      </c>
      <c r="G1778" s="29">
        <v>45484.979166666664</v>
      </c>
      <c r="H1778" s="27" t="s">
        <v>7316</v>
      </c>
      <c r="I1778" s="18"/>
      <c r="J1778" s="25" t="str">
        <f>IFERROR(__xludf.DUMMYFUNCTION("ARRAYFORMULA(REGEXEXTRACT(SPLIT(C1778, ""&lt;br&gt;""), ""([가-힣A-Za-z]+)""))"),"재우")</f>
        <v>재우</v>
      </c>
      <c r="K1778" s="26" t="str">
        <f>IFERROR(__xludf.DUMMYFUNCTION("""COMPUTED_VALUE"""),"노픽업")</f>
        <v>노픽업</v>
      </c>
      <c r="L1778" s="26" t="str">
        <f>IFERROR(__xludf.DUMMYFUNCTION("""COMPUTED_VALUE"""),"아이딘")</f>
        <v>아이딘</v>
      </c>
      <c r="M1778" s="26" t="str">
        <f>IFERROR(__xludf.DUMMYFUNCTION("""COMPUTED_VALUE"""),"밍구")</f>
        <v>밍구</v>
      </c>
      <c r="N1778" s="26" t="str">
        <f>IFERROR(__xludf.DUMMYFUNCTION("ARRAYFORMULA(REGEXEXTRACT(SPLIT(E1778, ""&lt;br&gt;""), ""([가-힣A-Za-z]+)""))"),"깡패")</f>
        <v>깡패</v>
      </c>
      <c r="O1778" s="26" t="str">
        <f>IFERROR(__xludf.DUMMYFUNCTION("""COMPUTED_VALUE"""),"한메")</f>
        <v>한메</v>
      </c>
      <c r="P1778" s="26" t="str">
        <f>IFERROR(__xludf.DUMMYFUNCTION("""COMPUTED_VALUE"""),"신형만")</f>
        <v>신형만</v>
      </c>
      <c r="Q1778" s="26" t="str">
        <f>IFERROR(__xludf.DUMMYFUNCTION("""COMPUTED_VALUE"""),"재명")</f>
        <v>재명</v>
      </c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  <c r="AB1778" s="18"/>
    </row>
    <row r="1779">
      <c r="A1779" s="27" t="s">
        <v>7369</v>
      </c>
      <c r="B1779" s="28" t="s">
        <v>7370</v>
      </c>
      <c r="C1779" s="27" t="s">
        <v>7371</v>
      </c>
      <c r="D1779" s="27">
        <v>5.0</v>
      </c>
      <c r="E1779" s="27" t="s">
        <v>7372</v>
      </c>
      <c r="F1779" s="27">
        <v>4.0</v>
      </c>
      <c r="G1779" s="29">
        <v>45484.94027777778</v>
      </c>
      <c r="H1779" s="27" t="s">
        <v>7316</v>
      </c>
      <c r="I1779" s="18"/>
      <c r="J1779" s="25" t="str">
        <f>IFERROR(__xludf.DUMMYFUNCTION("ARRAYFORMULA(REGEXEXTRACT(SPLIT(C1779, ""&lt;br&gt;""), ""([가-힣A-Za-z]+)""))"),"노픽업")</f>
        <v>노픽업</v>
      </c>
      <c r="K1779" s="26" t="str">
        <f>IFERROR(__xludf.DUMMYFUNCTION("""COMPUTED_VALUE"""),"재명")</f>
        <v>재명</v>
      </c>
      <c r="L1779" s="26" t="str">
        <f>IFERROR(__xludf.DUMMYFUNCTION("""COMPUTED_VALUE"""),"미르진")</f>
        <v>미르진</v>
      </c>
      <c r="M1779" s="26" t="str">
        <f>IFERROR(__xludf.DUMMYFUNCTION("""COMPUTED_VALUE"""),"깡패")</f>
        <v>깡패</v>
      </c>
      <c r="N1779" s="26" t="str">
        <f>IFERROR(__xludf.DUMMYFUNCTION("ARRAYFORMULA(REGEXEXTRACT(SPLIT(E1779, ""&lt;br&gt;""), ""([가-힣A-Za-z]+)""))"),"ACDC")</f>
        <v>ACDC</v>
      </c>
      <c r="O1779" s="26" t="str">
        <f>IFERROR(__xludf.DUMMYFUNCTION("""COMPUTED_VALUE"""),"재우")</f>
        <v>재우</v>
      </c>
      <c r="P1779" s="26" t="str">
        <f>IFERROR(__xludf.DUMMYFUNCTION("""COMPUTED_VALUE"""),"오딘")</f>
        <v>오딘</v>
      </c>
      <c r="Q1779" s="26" t="str">
        <f>IFERROR(__xludf.DUMMYFUNCTION("""COMPUTED_VALUE"""),"강화")</f>
        <v>강화</v>
      </c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  <c r="AB1779" s="18"/>
    </row>
    <row r="1780">
      <c r="A1780" s="27" t="s">
        <v>7373</v>
      </c>
      <c r="B1780" s="28" t="s">
        <v>7374</v>
      </c>
      <c r="C1780" s="27" t="s">
        <v>7375</v>
      </c>
      <c r="D1780" s="27">
        <v>5.0</v>
      </c>
      <c r="E1780" s="27" t="s">
        <v>7376</v>
      </c>
      <c r="F1780" s="27">
        <v>1.0</v>
      </c>
      <c r="G1780" s="29">
        <v>45484.90069444444</v>
      </c>
      <c r="H1780" s="27" t="s">
        <v>7316</v>
      </c>
      <c r="I1780" s="18"/>
      <c r="J1780" s="25" t="str">
        <f>IFERROR(__xludf.DUMMYFUNCTION("ARRAYFORMULA(REGEXEXTRACT(SPLIT(C1780, ""&lt;br&gt;""), ""([가-힣A-Za-z]+)""))"),"미르진")</f>
        <v>미르진</v>
      </c>
      <c r="K1780" s="26" t="str">
        <f>IFERROR(__xludf.DUMMYFUNCTION("""COMPUTED_VALUE"""),"ACDC")</f>
        <v>ACDC</v>
      </c>
      <c r="L1780" s="26" t="str">
        <f>IFERROR(__xludf.DUMMYFUNCTION("""COMPUTED_VALUE"""),"노픽업")</f>
        <v>노픽업</v>
      </c>
      <c r="M1780" s="26" t="str">
        <f>IFERROR(__xludf.DUMMYFUNCTION("""COMPUTED_VALUE"""),"재우")</f>
        <v>재우</v>
      </c>
      <c r="N1780" s="26" t="str">
        <f>IFERROR(__xludf.DUMMYFUNCTION("ARRAYFORMULA(REGEXEXTRACT(SPLIT(E1780, ""&lt;br&gt;""), ""([가-힣A-Za-z]+)""))"),"깡패")</f>
        <v>깡패</v>
      </c>
      <c r="O1780" s="26" t="str">
        <f>IFERROR(__xludf.DUMMYFUNCTION("""COMPUTED_VALUE"""),"강화")</f>
        <v>강화</v>
      </c>
      <c r="P1780" s="26" t="str">
        <f>IFERROR(__xludf.DUMMYFUNCTION("""COMPUTED_VALUE"""),"오딘")</f>
        <v>오딘</v>
      </c>
      <c r="Q1780" s="26" t="str">
        <f>IFERROR(__xludf.DUMMYFUNCTION("""COMPUTED_VALUE"""),"재명")</f>
        <v>재명</v>
      </c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  <c r="AB1780" s="18"/>
    </row>
    <row r="1781">
      <c r="A1781" s="27" t="s">
        <v>7377</v>
      </c>
      <c r="B1781" s="28" t="s">
        <v>7378</v>
      </c>
      <c r="C1781" s="27" t="s">
        <v>7379</v>
      </c>
      <c r="D1781" s="27">
        <v>5.0</v>
      </c>
      <c r="E1781" s="27" t="s">
        <v>7380</v>
      </c>
      <c r="F1781" s="27">
        <v>0.0</v>
      </c>
      <c r="G1781" s="29">
        <v>45484.055555555555</v>
      </c>
      <c r="H1781" s="27" t="s">
        <v>7316</v>
      </c>
      <c r="I1781" s="18"/>
      <c r="J1781" s="25" t="str">
        <f>IFERROR(__xludf.DUMMYFUNCTION("ARRAYFORMULA(REGEXEXTRACT(SPLIT(C1781, ""&lt;br&gt;""), ""([가-힣A-Za-z]+)""))"),"키키")</f>
        <v>키키</v>
      </c>
      <c r="K1781" s="26" t="str">
        <f>IFERROR(__xludf.DUMMYFUNCTION("""COMPUTED_VALUE"""),"재명")</f>
        <v>재명</v>
      </c>
      <c r="L1781" s="26" t="str">
        <f>IFERROR(__xludf.DUMMYFUNCTION("""COMPUTED_VALUE"""),"신형만")</f>
        <v>신형만</v>
      </c>
      <c r="M1781" s="26" t="str">
        <f>IFERROR(__xludf.DUMMYFUNCTION("""COMPUTED_VALUE"""),"밍구")</f>
        <v>밍구</v>
      </c>
      <c r="N1781" s="26" t="str">
        <f>IFERROR(__xludf.DUMMYFUNCTION("ARRAYFORMULA(REGEXEXTRACT(SPLIT(E1781, ""&lt;br&gt;""), ""([가-힣A-Za-z]+)""))"),"깡패")</f>
        <v>깡패</v>
      </c>
      <c r="O1781" s="26" t="str">
        <f>IFERROR(__xludf.DUMMYFUNCTION("""COMPUTED_VALUE"""),"한메")</f>
        <v>한메</v>
      </c>
      <c r="P1781" s="26" t="str">
        <f>IFERROR(__xludf.DUMMYFUNCTION("""COMPUTED_VALUE"""),"ACDC")</f>
        <v>ACDC</v>
      </c>
      <c r="Q1781" s="26" t="str">
        <f>IFERROR(__xludf.DUMMYFUNCTION("""COMPUTED_VALUE"""),"강화")</f>
        <v>강화</v>
      </c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</row>
    <row r="1782">
      <c r="A1782" s="27" t="s">
        <v>7381</v>
      </c>
      <c r="B1782" s="28" t="s">
        <v>7382</v>
      </c>
      <c r="C1782" s="27" t="s">
        <v>7383</v>
      </c>
      <c r="D1782" s="27">
        <v>5.0</v>
      </c>
      <c r="E1782" s="27" t="s">
        <v>7384</v>
      </c>
      <c r="F1782" s="27">
        <v>4.0</v>
      </c>
      <c r="G1782" s="29">
        <v>45484.0375</v>
      </c>
      <c r="H1782" s="27" t="s">
        <v>7316</v>
      </c>
      <c r="I1782" s="18"/>
      <c r="J1782" s="25" t="str">
        <f>IFERROR(__xludf.DUMMYFUNCTION("ARRAYFORMULA(REGEXEXTRACT(SPLIT(C1782, ""&lt;br&gt;""), ""([가-힣A-Za-z]+)""))"),"신형만")</f>
        <v>신형만</v>
      </c>
      <c r="K1782" s="26" t="str">
        <f>IFERROR(__xludf.DUMMYFUNCTION("""COMPUTED_VALUE"""),"밍구")</f>
        <v>밍구</v>
      </c>
      <c r="L1782" s="26" t="str">
        <f>IFERROR(__xludf.DUMMYFUNCTION("""COMPUTED_VALUE"""),"재명")</f>
        <v>재명</v>
      </c>
      <c r="M1782" s="26" t="str">
        <f>IFERROR(__xludf.DUMMYFUNCTION("""COMPUTED_VALUE"""),"한메")</f>
        <v>한메</v>
      </c>
      <c r="N1782" s="26" t="str">
        <f>IFERROR(__xludf.DUMMYFUNCTION("ARRAYFORMULA(REGEXEXTRACT(SPLIT(E1782, ""&lt;br&gt;""), ""([가-힣A-Za-z]+)""))"),"ACDC")</f>
        <v>ACDC</v>
      </c>
      <c r="O1782" s="26" t="str">
        <f>IFERROR(__xludf.DUMMYFUNCTION("""COMPUTED_VALUE"""),"깡패")</f>
        <v>깡패</v>
      </c>
      <c r="P1782" s="26" t="str">
        <f>IFERROR(__xludf.DUMMYFUNCTION("""COMPUTED_VALUE"""),"재우")</f>
        <v>재우</v>
      </c>
      <c r="Q1782" s="26" t="str">
        <f>IFERROR(__xludf.DUMMYFUNCTION("""COMPUTED_VALUE"""),"강화")</f>
        <v>강화</v>
      </c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  <c r="AB1782" s="18"/>
    </row>
    <row r="1783">
      <c r="A1783" s="27" t="s">
        <v>7385</v>
      </c>
      <c r="B1783" s="28" t="s">
        <v>7386</v>
      </c>
      <c r="C1783" s="27" t="s">
        <v>7387</v>
      </c>
      <c r="D1783" s="27">
        <v>5.0</v>
      </c>
      <c r="E1783" s="27" t="s">
        <v>7388</v>
      </c>
      <c r="F1783" s="27">
        <v>4.0</v>
      </c>
      <c r="G1783" s="29">
        <v>45484.00347222222</v>
      </c>
      <c r="H1783" s="27" t="s">
        <v>7316</v>
      </c>
      <c r="I1783" s="18"/>
      <c r="J1783" s="25" t="str">
        <f>IFERROR(__xludf.DUMMYFUNCTION("ARRAYFORMULA(REGEXEXTRACT(SPLIT(C1783, ""&lt;br&gt;""), ""([가-힣A-Za-z]+)""))"),"한메")</f>
        <v>한메</v>
      </c>
      <c r="K1783" s="26" t="str">
        <f>IFERROR(__xludf.DUMMYFUNCTION("""COMPUTED_VALUE"""),"신형만")</f>
        <v>신형만</v>
      </c>
      <c r="L1783" s="26" t="str">
        <f>IFERROR(__xludf.DUMMYFUNCTION("""COMPUTED_VALUE"""),"미르진")</f>
        <v>미르진</v>
      </c>
      <c r="M1783" s="26" t="str">
        <f>IFERROR(__xludf.DUMMYFUNCTION("""COMPUTED_VALUE"""),"재명")</f>
        <v>재명</v>
      </c>
      <c r="N1783" s="26" t="str">
        <f>IFERROR(__xludf.DUMMYFUNCTION("ARRAYFORMULA(REGEXEXTRACT(SPLIT(E1783, ""&lt;br&gt;""), ""([가-힣A-Za-z]+)""))"),"강화")</f>
        <v>강화</v>
      </c>
      <c r="O1783" s="26" t="str">
        <f>IFERROR(__xludf.DUMMYFUNCTION("""COMPUTED_VALUE"""),"깡패")</f>
        <v>깡패</v>
      </c>
      <c r="P1783" s="26" t="str">
        <f>IFERROR(__xludf.DUMMYFUNCTION("""COMPUTED_VALUE"""),"ACDC")</f>
        <v>ACDC</v>
      </c>
      <c r="Q1783" s="26" t="str">
        <f>IFERROR(__xludf.DUMMYFUNCTION("""COMPUTED_VALUE"""),"밍구")</f>
        <v>밍구</v>
      </c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  <c r="AB1783" s="18"/>
    </row>
    <row r="1784">
      <c r="A1784" s="27" t="s">
        <v>7389</v>
      </c>
      <c r="B1784" s="28" t="s">
        <v>7390</v>
      </c>
      <c r="C1784" s="27" t="s">
        <v>7391</v>
      </c>
      <c r="D1784" s="27">
        <v>5.0</v>
      </c>
      <c r="E1784" s="27" t="s">
        <v>7392</v>
      </c>
      <c r="F1784" s="27">
        <v>4.0</v>
      </c>
      <c r="G1784" s="29">
        <v>45483.95486111111</v>
      </c>
      <c r="H1784" s="27" t="s">
        <v>7316</v>
      </c>
      <c r="I1784" s="18"/>
      <c r="J1784" s="25" t="str">
        <f>IFERROR(__xludf.DUMMYFUNCTION("ARRAYFORMULA(REGEXEXTRACT(SPLIT(C1784, ""&lt;br&gt;""), ""([가-힣A-Za-z]+)""))"),"재우")</f>
        <v>재우</v>
      </c>
      <c r="K1784" s="26" t="str">
        <f>IFERROR(__xludf.DUMMYFUNCTION("""COMPUTED_VALUE"""),"한메")</f>
        <v>한메</v>
      </c>
      <c r="L1784" s="26" t="str">
        <f>IFERROR(__xludf.DUMMYFUNCTION("""COMPUTED_VALUE"""),"ACDC")</f>
        <v>ACDC</v>
      </c>
      <c r="M1784" s="26" t="str">
        <f>IFERROR(__xludf.DUMMYFUNCTION("""COMPUTED_VALUE"""),"미르진")</f>
        <v>미르진</v>
      </c>
      <c r="N1784" s="26" t="str">
        <f>IFERROR(__xludf.DUMMYFUNCTION("ARRAYFORMULA(REGEXEXTRACT(SPLIT(E1784, ""&lt;br&gt;""), ""([가-힣A-Za-z]+)""))"),"재명")</f>
        <v>재명</v>
      </c>
      <c r="O1784" s="26" t="str">
        <f>IFERROR(__xludf.DUMMYFUNCTION("""COMPUTED_VALUE"""),"깡패")</f>
        <v>깡패</v>
      </c>
      <c r="P1784" s="26" t="str">
        <f>IFERROR(__xludf.DUMMYFUNCTION("""COMPUTED_VALUE"""),"오딘")</f>
        <v>오딘</v>
      </c>
      <c r="Q1784" s="26" t="str">
        <f>IFERROR(__xludf.DUMMYFUNCTION("""COMPUTED_VALUE"""),"밍구")</f>
        <v>밍구</v>
      </c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  <c r="AB1784" s="18"/>
    </row>
    <row r="1785">
      <c r="A1785" s="27" t="s">
        <v>7393</v>
      </c>
      <c r="B1785" s="28" t="s">
        <v>7394</v>
      </c>
      <c r="C1785" s="27" t="s">
        <v>7395</v>
      </c>
      <c r="D1785" s="27">
        <v>5.0</v>
      </c>
      <c r="E1785" s="27" t="s">
        <v>7396</v>
      </c>
      <c r="F1785" s="27">
        <v>2.0</v>
      </c>
      <c r="G1785" s="29">
        <v>45483.91875</v>
      </c>
      <c r="H1785" s="27" t="s">
        <v>7316</v>
      </c>
      <c r="I1785" s="18"/>
      <c r="J1785" s="25" t="str">
        <f>IFERROR(__xludf.DUMMYFUNCTION("ARRAYFORMULA(REGEXEXTRACT(SPLIT(C1785, ""&lt;br&gt;""), ""([가-힣A-Za-z]+)""))"),"재우")</f>
        <v>재우</v>
      </c>
      <c r="K1785" s="26" t="str">
        <f>IFERROR(__xludf.DUMMYFUNCTION("""COMPUTED_VALUE"""),"밍구")</f>
        <v>밍구</v>
      </c>
      <c r="L1785" s="26" t="str">
        <f>IFERROR(__xludf.DUMMYFUNCTION("""COMPUTED_VALUE"""),"미르진")</f>
        <v>미르진</v>
      </c>
      <c r="M1785" s="26" t="str">
        <f>IFERROR(__xludf.DUMMYFUNCTION("""COMPUTED_VALUE"""),"깡패")</f>
        <v>깡패</v>
      </c>
      <c r="N1785" s="26" t="str">
        <f>IFERROR(__xludf.DUMMYFUNCTION("ARRAYFORMULA(REGEXEXTRACT(SPLIT(E1785, ""&lt;br&gt;""), ""([가-힣A-Za-z]+)""))"),"오딘")</f>
        <v>오딘</v>
      </c>
      <c r="O1785" s="26" t="str">
        <f>IFERROR(__xludf.DUMMYFUNCTION("""COMPUTED_VALUE"""),"재명")</f>
        <v>재명</v>
      </c>
      <c r="P1785" s="26" t="str">
        <f>IFERROR(__xludf.DUMMYFUNCTION("""COMPUTED_VALUE"""),"한메")</f>
        <v>한메</v>
      </c>
      <c r="Q1785" s="26" t="str">
        <f>IFERROR(__xludf.DUMMYFUNCTION("""COMPUTED_VALUE"""),"ACDC")</f>
        <v>ACDC</v>
      </c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  <c r="AB1785" s="18"/>
    </row>
    <row r="1786">
      <c r="A1786" s="27" t="s">
        <v>7397</v>
      </c>
      <c r="B1786" s="28" t="s">
        <v>7398</v>
      </c>
      <c r="C1786" s="27" t="s">
        <v>7399</v>
      </c>
      <c r="D1786" s="27">
        <v>5.0</v>
      </c>
      <c r="E1786" s="27" t="s">
        <v>7400</v>
      </c>
      <c r="F1786" s="27">
        <v>2.0</v>
      </c>
      <c r="G1786" s="29">
        <v>45482.99652777778</v>
      </c>
      <c r="H1786" s="27" t="s">
        <v>7316</v>
      </c>
      <c r="I1786" s="18"/>
      <c r="J1786" s="25" t="str">
        <f>IFERROR(__xludf.DUMMYFUNCTION("ARRAYFORMULA(REGEXEXTRACT(SPLIT(C1786, ""&lt;br&gt;""), ""([가-힣A-Za-z]+)""))"),"테리")</f>
        <v>테리</v>
      </c>
      <c r="K1786" s="26" t="str">
        <f>IFERROR(__xludf.DUMMYFUNCTION("""COMPUTED_VALUE"""),"ACDC")</f>
        <v>ACDC</v>
      </c>
      <c r="L1786" s="26" t="str">
        <f>IFERROR(__xludf.DUMMYFUNCTION("""COMPUTED_VALUE"""),"오크")</f>
        <v>오크</v>
      </c>
      <c r="M1786" s="26" t="str">
        <f>IFERROR(__xludf.DUMMYFUNCTION("""COMPUTED_VALUE"""),"깡패")</f>
        <v>깡패</v>
      </c>
      <c r="N1786" s="26" t="str">
        <f>IFERROR(__xludf.DUMMYFUNCTION("ARRAYFORMULA(REGEXEXTRACT(SPLIT(E1786, ""&lt;br&gt;""), ""([가-힣A-Za-z]+)""))"),"짱구")</f>
        <v>짱구</v>
      </c>
      <c r="O1786" s="26" t="str">
        <f>IFERROR(__xludf.DUMMYFUNCTION("""COMPUTED_VALUE"""),"강화")</f>
        <v>강화</v>
      </c>
      <c r="P1786" s="26" t="str">
        <f>IFERROR(__xludf.DUMMYFUNCTION("""COMPUTED_VALUE"""),"재우")</f>
        <v>재우</v>
      </c>
      <c r="Q1786" s="26" t="str">
        <f>IFERROR(__xludf.DUMMYFUNCTION("""COMPUTED_VALUE"""),"한메")</f>
        <v>한메</v>
      </c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  <c r="AB1786" s="18"/>
    </row>
    <row r="1787">
      <c r="A1787" s="27" t="s">
        <v>7401</v>
      </c>
      <c r="B1787" s="28" t="s">
        <v>7402</v>
      </c>
      <c r="C1787" s="27" t="s">
        <v>7403</v>
      </c>
      <c r="D1787" s="27">
        <v>5.0</v>
      </c>
      <c r="E1787" s="27" t="s">
        <v>7404</v>
      </c>
      <c r="F1787" s="27">
        <v>4.0</v>
      </c>
      <c r="G1787" s="29">
        <v>45482.98333333333</v>
      </c>
      <c r="H1787" s="27" t="s">
        <v>7316</v>
      </c>
      <c r="I1787" s="18"/>
      <c r="J1787" s="25" t="str">
        <f>IFERROR(__xludf.DUMMYFUNCTION("ARRAYFORMULA(REGEXEXTRACT(SPLIT(C1787, ""&lt;br&gt;""), ""([가-힣A-Za-z]+)""))"),"ACDC")</f>
        <v>ACDC</v>
      </c>
      <c r="K1787" s="26" t="str">
        <f>IFERROR(__xludf.DUMMYFUNCTION("""COMPUTED_VALUE"""),"테리")</f>
        <v>테리</v>
      </c>
      <c r="L1787" s="26" t="str">
        <f>IFERROR(__xludf.DUMMYFUNCTION("""COMPUTED_VALUE"""),"재우")</f>
        <v>재우</v>
      </c>
      <c r="M1787" s="26" t="str">
        <f>IFERROR(__xludf.DUMMYFUNCTION("""COMPUTED_VALUE"""),"강화")</f>
        <v>강화</v>
      </c>
      <c r="N1787" s="26" t="str">
        <f>IFERROR(__xludf.DUMMYFUNCTION("ARRAYFORMULA(REGEXEXTRACT(SPLIT(E1787, ""&lt;br&gt;""), ""([가-힣A-Za-z]+)""))"),"오크")</f>
        <v>오크</v>
      </c>
      <c r="O1787" s="26" t="str">
        <f>IFERROR(__xludf.DUMMYFUNCTION("""COMPUTED_VALUE"""),"깡패")</f>
        <v>깡패</v>
      </c>
      <c r="P1787" s="26" t="str">
        <f>IFERROR(__xludf.DUMMYFUNCTION("""COMPUTED_VALUE"""),"한메")</f>
        <v>한메</v>
      </c>
      <c r="Q1787" s="26" t="str">
        <f>IFERROR(__xludf.DUMMYFUNCTION("""COMPUTED_VALUE"""),"짱구")</f>
        <v>짱구</v>
      </c>
      <c r="R1787" s="18"/>
      <c r="S1787" s="18"/>
      <c r="T1787" s="18"/>
      <c r="U1787" s="18"/>
      <c r="V1787" s="18"/>
      <c r="W1787" s="18"/>
      <c r="X1787" s="18"/>
      <c r="Y1787" s="18"/>
      <c r="Z1787" s="18"/>
      <c r="AA1787" s="18"/>
      <c r="AB1787" s="18"/>
    </row>
    <row r="1788">
      <c r="A1788" s="27" t="s">
        <v>7405</v>
      </c>
      <c r="B1788" s="28" t="s">
        <v>7406</v>
      </c>
      <c r="C1788" s="27" t="s">
        <v>7407</v>
      </c>
      <c r="D1788" s="27">
        <v>5.0</v>
      </c>
      <c r="E1788" s="27" t="s">
        <v>7408</v>
      </c>
      <c r="F1788" s="27">
        <v>2.0</v>
      </c>
      <c r="G1788" s="29">
        <v>45482.947222222225</v>
      </c>
      <c r="H1788" s="27" t="s">
        <v>7316</v>
      </c>
      <c r="I1788" s="18"/>
      <c r="J1788" s="25" t="str">
        <f>IFERROR(__xludf.DUMMYFUNCTION("ARRAYFORMULA(REGEXEXTRACT(SPLIT(C1788, ""&lt;br&gt;""), ""([가-힣A-Za-z]+)""))"),"짱구")</f>
        <v>짱구</v>
      </c>
      <c r="K1788" s="26" t="str">
        <f>IFERROR(__xludf.DUMMYFUNCTION("""COMPUTED_VALUE"""),"한메")</f>
        <v>한메</v>
      </c>
      <c r="L1788" s="26" t="str">
        <f>IFERROR(__xludf.DUMMYFUNCTION("""COMPUTED_VALUE"""),"ACDC")</f>
        <v>ACDC</v>
      </c>
      <c r="M1788" s="26" t="str">
        <f>IFERROR(__xludf.DUMMYFUNCTION("""COMPUTED_VALUE"""),"조심")</f>
        <v>조심</v>
      </c>
      <c r="N1788" s="26" t="str">
        <f>IFERROR(__xludf.DUMMYFUNCTION("ARRAYFORMULA(REGEXEXTRACT(SPLIT(E1788, ""&lt;br&gt;""), ""([가-힣A-Za-z]+)""))"),"깡패")</f>
        <v>깡패</v>
      </c>
      <c r="O1788" s="26" t="str">
        <f>IFERROR(__xludf.DUMMYFUNCTION("""COMPUTED_VALUE"""),"강화")</f>
        <v>강화</v>
      </c>
      <c r="P1788" s="26" t="str">
        <f>IFERROR(__xludf.DUMMYFUNCTION("""COMPUTED_VALUE"""),"재우")</f>
        <v>재우</v>
      </c>
      <c r="Q1788" s="26" t="str">
        <f>IFERROR(__xludf.DUMMYFUNCTION("""COMPUTED_VALUE"""),"오크")</f>
        <v>오크</v>
      </c>
      <c r="R1788" s="18"/>
      <c r="S1788" s="18"/>
      <c r="T1788" s="18"/>
      <c r="U1788" s="18"/>
      <c r="V1788" s="18"/>
      <c r="W1788" s="18"/>
      <c r="X1788" s="18"/>
      <c r="Y1788" s="18"/>
      <c r="Z1788" s="18"/>
      <c r="AA1788" s="18"/>
      <c r="AB1788" s="18"/>
    </row>
    <row r="1789">
      <c r="A1789" s="27" t="s">
        <v>7409</v>
      </c>
      <c r="B1789" s="28" t="s">
        <v>7410</v>
      </c>
      <c r="C1789" s="27" t="s">
        <v>7411</v>
      </c>
      <c r="D1789" s="27">
        <v>5.0</v>
      </c>
      <c r="E1789" s="27" t="s">
        <v>7412</v>
      </c>
      <c r="F1789" s="27">
        <v>1.0</v>
      </c>
      <c r="G1789" s="29">
        <v>45482.927083333336</v>
      </c>
      <c r="H1789" s="27" t="s">
        <v>7316</v>
      </c>
      <c r="I1789" s="18"/>
      <c r="J1789" s="25" t="str">
        <f>IFERROR(__xludf.DUMMYFUNCTION("ARRAYFORMULA(REGEXEXTRACT(SPLIT(C1789, ""&lt;br&gt;""), ""([가-힣A-Za-z]+)""))"),"깡패")</f>
        <v>깡패</v>
      </c>
      <c r="K1789" s="26" t="str">
        <f>IFERROR(__xludf.DUMMYFUNCTION("""COMPUTED_VALUE"""),"짱구")</f>
        <v>짱구</v>
      </c>
      <c r="L1789" s="26" t="str">
        <f>IFERROR(__xludf.DUMMYFUNCTION("""COMPUTED_VALUE"""),"조심")</f>
        <v>조심</v>
      </c>
      <c r="M1789" s="26" t="str">
        <f>IFERROR(__xludf.DUMMYFUNCTION("""COMPUTED_VALUE"""),"재우")</f>
        <v>재우</v>
      </c>
      <c r="N1789" s="26" t="str">
        <f>IFERROR(__xludf.DUMMYFUNCTION("ARRAYFORMULA(REGEXEXTRACT(SPLIT(E1789, ""&lt;br&gt;""), ""([가-힣A-Za-z]+)""))"),"한메")</f>
        <v>한메</v>
      </c>
      <c r="O1789" s="26" t="str">
        <f>IFERROR(__xludf.DUMMYFUNCTION("""COMPUTED_VALUE"""),"신형만")</f>
        <v>신형만</v>
      </c>
      <c r="P1789" s="26" t="str">
        <f>IFERROR(__xludf.DUMMYFUNCTION("""COMPUTED_VALUE"""),"ACDC")</f>
        <v>ACDC</v>
      </c>
      <c r="Q1789" s="26" t="str">
        <f>IFERROR(__xludf.DUMMYFUNCTION("""COMPUTED_VALUE"""),"오크")</f>
        <v>오크</v>
      </c>
      <c r="R1789" s="18"/>
      <c r="S1789" s="18"/>
      <c r="T1789" s="18"/>
      <c r="U1789" s="18"/>
      <c r="V1789" s="18"/>
      <c r="W1789" s="18"/>
      <c r="X1789" s="18"/>
      <c r="Y1789" s="18"/>
      <c r="Z1789" s="18"/>
      <c r="AA1789" s="18"/>
      <c r="AB1789" s="18"/>
    </row>
    <row r="1790">
      <c r="A1790" s="27" t="s">
        <v>7413</v>
      </c>
      <c r="B1790" s="28" t="s">
        <v>7414</v>
      </c>
      <c r="C1790" s="27" t="s">
        <v>7415</v>
      </c>
      <c r="D1790" s="27">
        <v>5.0</v>
      </c>
      <c r="E1790" s="27" t="s">
        <v>7416</v>
      </c>
      <c r="F1790" s="27">
        <v>4.0</v>
      </c>
      <c r="G1790" s="29">
        <v>45482.90902777778</v>
      </c>
      <c r="H1790" s="27" t="s">
        <v>7316</v>
      </c>
      <c r="I1790" s="18"/>
      <c r="J1790" s="25" t="str">
        <f>IFERROR(__xludf.DUMMYFUNCTION("ARRAYFORMULA(REGEXEXTRACT(SPLIT(C1790, ""&lt;br&gt;""), ""([가-힣A-Za-z]+)""))"),"ACDC")</f>
        <v>ACDC</v>
      </c>
      <c r="K1790" s="26" t="str">
        <f>IFERROR(__xludf.DUMMYFUNCTION("""COMPUTED_VALUE"""),"신형만")</f>
        <v>신형만</v>
      </c>
      <c r="L1790" s="26" t="str">
        <f>IFERROR(__xludf.DUMMYFUNCTION("""COMPUTED_VALUE"""),"짱구")</f>
        <v>짱구</v>
      </c>
      <c r="M1790" s="26" t="str">
        <f>IFERROR(__xludf.DUMMYFUNCTION("""COMPUTED_VALUE"""),"재우")</f>
        <v>재우</v>
      </c>
      <c r="N1790" s="26" t="str">
        <f>IFERROR(__xludf.DUMMYFUNCTION("ARRAYFORMULA(REGEXEXTRACT(SPLIT(E1790, ""&lt;br&gt;""), ""([가-힣A-Za-z]+)""))"),"조심")</f>
        <v>조심</v>
      </c>
      <c r="O1790" s="26" t="str">
        <f>IFERROR(__xludf.DUMMYFUNCTION("""COMPUTED_VALUE"""),"깡패")</f>
        <v>깡패</v>
      </c>
      <c r="P1790" s="26" t="str">
        <f>IFERROR(__xludf.DUMMYFUNCTION("""COMPUTED_VALUE"""),"한메")</f>
        <v>한메</v>
      </c>
      <c r="Q1790" s="26" t="str">
        <f>IFERROR(__xludf.DUMMYFUNCTION("""COMPUTED_VALUE"""),"오크")</f>
        <v>오크</v>
      </c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  <c r="AB1790" s="18"/>
    </row>
    <row r="1791">
      <c r="A1791" s="27" t="s">
        <v>7417</v>
      </c>
      <c r="B1791" s="28" t="s">
        <v>7418</v>
      </c>
      <c r="C1791" s="27" t="s">
        <v>7419</v>
      </c>
      <c r="D1791" s="27">
        <v>5.0</v>
      </c>
      <c r="E1791" s="27" t="s">
        <v>7420</v>
      </c>
      <c r="F1791" s="27">
        <v>1.0</v>
      </c>
      <c r="G1791" s="29">
        <v>45482.79861111111</v>
      </c>
      <c r="H1791" s="27" t="s">
        <v>7316</v>
      </c>
      <c r="I1791" s="18"/>
      <c r="J1791" s="25" t="str">
        <f>IFERROR(__xludf.DUMMYFUNCTION("ARRAYFORMULA(REGEXEXTRACT(SPLIT(C1791, ""&lt;br&gt;""), ""([가-힣A-Za-z]+)""))"),"오크")</f>
        <v>오크</v>
      </c>
      <c r="K1791" s="26" t="str">
        <f>IFERROR(__xludf.DUMMYFUNCTION("""COMPUTED_VALUE"""),"짱구")</f>
        <v>짱구</v>
      </c>
      <c r="L1791" s="26" t="str">
        <f>IFERROR(__xludf.DUMMYFUNCTION("""COMPUTED_VALUE"""),"신형만")</f>
        <v>신형만</v>
      </c>
      <c r="M1791" s="26" t="str">
        <f>IFERROR(__xludf.DUMMYFUNCTION("""COMPUTED_VALUE"""),"키키")</f>
        <v>키키</v>
      </c>
      <c r="N1791" s="26" t="str">
        <f>IFERROR(__xludf.DUMMYFUNCTION("ARRAYFORMULA(REGEXEXTRACT(SPLIT(E1791, ""&lt;br&gt;""), ""([가-힣A-Za-z]+)""))"),"아이딘")</f>
        <v>아이딘</v>
      </c>
      <c r="O1791" s="26" t="str">
        <f>IFERROR(__xludf.DUMMYFUNCTION("""COMPUTED_VALUE"""),"ACDC")</f>
        <v>ACDC</v>
      </c>
      <c r="P1791" s="26" t="str">
        <f>IFERROR(__xludf.DUMMYFUNCTION("""COMPUTED_VALUE"""),"악동")</f>
        <v>악동</v>
      </c>
      <c r="Q1791" s="26" t="str">
        <f>IFERROR(__xludf.DUMMYFUNCTION("""COMPUTED_VALUE"""),"깡패")</f>
        <v>깡패</v>
      </c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  <c r="AB1791" s="18"/>
    </row>
    <row r="1792">
      <c r="A1792" s="27" t="s">
        <v>7421</v>
      </c>
      <c r="B1792" s="28" t="s">
        <v>7422</v>
      </c>
      <c r="C1792" s="27" t="s">
        <v>7423</v>
      </c>
      <c r="D1792" s="27">
        <v>5.0</v>
      </c>
      <c r="E1792" s="27" t="s">
        <v>7424</v>
      </c>
      <c r="F1792" s="27">
        <v>3.0</v>
      </c>
      <c r="G1792" s="29">
        <v>45482.78125</v>
      </c>
      <c r="H1792" s="27" t="s">
        <v>7316</v>
      </c>
      <c r="I1792" s="18"/>
      <c r="J1792" s="25" t="str">
        <f>IFERROR(__xludf.DUMMYFUNCTION("ARRAYFORMULA(REGEXEXTRACT(SPLIT(C1792, ""&lt;br&gt;""), ""([가-힣A-Za-z]+)""))"),"키키")</f>
        <v>키키</v>
      </c>
      <c r="K1792" s="26" t="str">
        <f>IFERROR(__xludf.DUMMYFUNCTION("""COMPUTED_VALUE"""),"짱구")</f>
        <v>짱구</v>
      </c>
      <c r="L1792" s="26" t="str">
        <f>IFERROR(__xludf.DUMMYFUNCTION("""COMPUTED_VALUE"""),"오크")</f>
        <v>오크</v>
      </c>
      <c r="M1792" s="26" t="str">
        <f>IFERROR(__xludf.DUMMYFUNCTION("""COMPUTED_VALUE"""),"깡패")</f>
        <v>깡패</v>
      </c>
      <c r="N1792" s="26" t="str">
        <f>IFERROR(__xludf.DUMMYFUNCTION("ARRAYFORMULA(REGEXEXTRACT(SPLIT(E1792, ""&lt;br&gt;""), ""([가-힣A-Za-z]+)""))"),"아이딘")</f>
        <v>아이딘</v>
      </c>
      <c r="O1792" s="26" t="str">
        <f>IFERROR(__xludf.DUMMYFUNCTION("""COMPUTED_VALUE"""),"신형만")</f>
        <v>신형만</v>
      </c>
      <c r="P1792" s="26" t="str">
        <f>IFERROR(__xludf.DUMMYFUNCTION("""COMPUTED_VALUE"""),"악동")</f>
        <v>악동</v>
      </c>
      <c r="Q1792" s="26" t="str">
        <f>IFERROR(__xludf.DUMMYFUNCTION("""COMPUTED_VALUE"""),"ACDC")</f>
        <v>ACDC</v>
      </c>
      <c r="R1792" s="18"/>
      <c r="S1792" s="18"/>
      <c r="T1792" s="18"/>
      <c r="U1792" s="18"/>
      <c r="V1792" s="18"/>
      <c r="W1792" s="18"/>
      <c r="X1792" s="18"/>
      <c r="Y1792" s="18"/>
      <c r="Z1792" s="18"/>
      <c r="AA1792" s="18"/>
      <c r="AB1792" s="18"/>
    </row>
    <row r="1793">
      <c r="A1793" s="27" t="s">
        <v>7425</v>
      </c>
      <c r="B1793" s="28" t="s">
        <v>7426</v>
      </c>
      <c r="C1793" s="27" t="s">
        <v>7427</v>
      </c>
      <c r="D1793" s="27">
        <v>5.0</v>
      </c>
      <c r="E1793" s="27" t="s">
        <v>7428</v>
      </c>
      <c r="F1793" s="27">
        <v>1.0</v>
      </c>
      <c r="G1793" s="29">
        <v>45482.75833333333</v>
      </c>
      <c r="H1793" s="27" t="s">
        <v>7316</v>
      </c>
      <c r="I1793" s="18"/>
      <c r="J1793" s="25" t="str">
        <f>IFERROR(__xludf.DUMMYFUNCTION("ARRAYFORMULA(REGEXEXTRACT(SPLIT(C1793, ""&lt;br&gt;""), ""([가-힣A-Za-z]+)""))"),"아이딘")</f>
        <v>아이딘</v>
      </c>
      <c r="K1793" s="26" t="str">
        <f>IFERROR(__xludf.DUMMYFUNCTION("""COMPUTED_VALUE"""),"신형만")</f>
        <v>신형만</v>
      </c>
      <c r="L1793" s="26" t="str">
        <f>IFERROR(__xludf.DUMMYFUNCTION("""COMPUTED_VALUE"""),"윙크")</f>
        <v>윙크</v>
      </c>
      <c r="M1793" s="26" t="str">
        <f>IFERROR(__xludf.DUMMYFUNCTION("""COMPUTED_VALUE"""),"짱구")</f>
        <v>짱구</v>
      </c>
      <c r="N1793" s="26" t="str">
        <f>IFERROR(__xludf.DUMMYFUNCTION("ARRAYFORMULA(REGEXEXTRACT(SPLIT(E1793, ""&lt;br&gt;""), ""([가-힣A-Za-z]+)""))"),"깡패")</f>
        <v>깡패</v>
      </c>
      <c r="O1793" s="26" t="str">
        <f>IFERROR(__xludf.DUMMYFUNCTION("""COMPUTED_VALUE"""),"ACDC")</f>
        <v>ACDC</v>
      </c>
      <c r="P1793" s="26" t="str">
        <f>IFERROR(__xludf.DUMMYFUNCTION("""COMPUTED_VALUE"""),"악동")</f>
        <v>악동</v>
      </c>
      <c r="Q1793" s="26" t="str">
        <f>IFERROR(__xludf.DUMMYFUNCTION("""COMPUTED_VALUE"""),"오크")</f>
        <v>오크</v>
      </c>
      <c r="R1793" s="18"/>
      <c r="S1793" s="18"/>
      <c r="T1793" s="18"/>
      <c r="U1793" s="18"/>
      <c r="V1793" s="18"/>
      <c r="W1793" s="18"/>
      <c r="X1793" s="18"/>
      <c r="Y1793" s="18"/>
      <c r="Z1793" s="18"/>
      <c r="AA1793" s="18"/>
      <c r="AB1793" s="18"/>
    </row>
    <row r="1794">
      <c r="A1794" s="27" t="s">
        <v>7429</v>
      </c>
      <c r="B1794" s="28" t="s">
        <v>7430</v>
      </c>
      <c r="C1794" s="27" t="s">
        <v>7431</v>
      </c>
      <c r="D1794" s="27">
        <v>5.0</v>
      </c>
      <c r="E1794" s="27" t="s">
        <v>7432</v>
      </c>
      <c r="F1794" s="27">
        <v>1.0</v>
      </c>
      <c r="G1794" s="29">
        <v>45482.73541666667</v>
      </c>
      <c r="H1794" s="27" t="s">
        <v>7316</v>
      </c>
      <c r="I1794" s="18"/>
      <c r="J1794" s="25" t="str">
        <f>IFERROR(__xludf.DUMMYFUNCTION("ARRAYFORMULA(REGEXEXTRACT(SPLIT(C1794, ""&lt;br&gt;""), ""([가-힣A-Za-z]+)""))"),"오크")</f>
        <v>오크</v>
      </c>
      <c r="K1794" s="26" t="str">
        <f>IFERROR(__xludf.DUMMYFUNCTION("""COMPUTED_VALUE"""),"신형만")</f>
        <v>신형만</v>
      </c>
      <c r="L1794" s="26" t="str">
        <f>IFERROR(__xludf.DUMMYFUNCTION("""COMPUTED_VALUE"""),"윙크")</f>
        <v>윙크</v>
      </c>
      <c r="M1794" s="26" t="str">
        <f>IFERROR(__xludf.DUMMYFUNCTION("""COMPUTED_VALUE"""),"악동")</f>
        <v>악동</v>
      </c>
      <c r="N1794" s="26" t="str">
        <f>IFERROR(__xludf.DUMMYFUNCTION("ARRAYFORMULA(REGEXEXTRACT(SPLIT(E1794, ""&lt;br&gt;""), ""([가-힣A-Za-z]+)""))"),"깡패")</f>
        <v>깡패</v>
      </c>
      <c r="O1794" s="26" t="str">
        <f>IFERROR(__xludf.DUMMYFUNCTION("""COMPUTED_VALUE"""),"ACDC")</f>
        <v>ACDC</v>
      </c>
      <c r="P1794" s="26" t="str">
        <f>IFERROR(__xludf.DUMMYFUNCTION("""COMPUTED_VALUE"""),"아이딘")</f>
        <v>아이딘</v>
      </c>
      <c r="Q1794" s="26" t="str">
        <f>IFERROR(__xludf.DUMMYFUNCTION("""COMPUTED_VALUE"""),"짱구")</f>
        <v>짱구</v>
      </c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</row>
    <row r="1795">
      <c r="A1795" s="27" t="s">
        <v>7433</v>
      </c>
      <c r="B1795" s="28" t="s">
        <v>7434</v>
      </c>
      <c r="C1795" s="27" t="s">
        <v>7435</v>
      </c>
      <c r="D1795" s="27">
        <v>5.0</v>
      </c>
      <c r="E1795" s="27" t="s">
        <v>7436</v>
      </c>
      <c r="F1795" s="27">
        <v>2.0</v>
      </c>
      <c r="G1795" s="29">
        <v>45482.72083333333</v>
      </c>
      <c r="H1795" s="27" t="s">
        <v>7316</v>
      </c>
      <c r="I1795" s="18"/>
      <c r="J1795" s="25" t="str">
        <f>IFERROR(__xludf.DUMMYFUNCTION("ARRAYFORMULA(REGEXEXTRACT(SPLIT(C1795, ""&lt;br&gt;""), ""([가-힣A-Za-z]+)""))"),"오딘")</f>
        <v>오딘</v>
      </c>
      <c r="K1795" s="26" t="str">
        <f>IFERROR(__xludf.DUMMYFUNCTION("""COMPUTED_VALUE"""),"깡패")</f>
        <v>깡패</v>
      </c>
      <c r="L1795" s="26" t="str">
        <f>IFERROR(__xludf.DUMMYFUNCTION("""COMPUTED_VALUE"""),"신형만")</f>
        <v>신형만</v>
      </c>
      <c r="M1795" s="26" t="str">
        <f>IFERROR(__xludf.DUMMYFUNCTION("""COMPUTED_VALUE"""),"악동")</f>
        <v>악동</v>
      </c>
      <c r="N1795" s="26" t="str">
        <f>IFERROR(__xludf.DUMMYFUNCTION("ARRAYFORMULA(REGEXEXTRACT(SPLIT(E1795, ""&lt;br&gt;""), ""([가-힣A-Za-z]+)""))"),"ACDC")</f>
        <v>ACDC</v>
      </c>
      <c r="O1795" s="26" t="str">
        <f>IFERROR(__xludf.DUMMYFUNCTION("""COMPUTED_VALUE"""),"윙크")</f>
        <v>윙크</v>
      </c>
      <c r="P1795" s="26" t="str">
        <f>IFERROR(__xludf.DUMMYFUNCTION("""COMPUTED_VALUE"""),"아이딘")</f>
        <v>아이딘</v>
      </c>
      <c r="Q1795" s="26" t="str">
        <f>IFERROR(__xludf.DUMMYFUNCTION("""COMPUTED_VALUE"""),"오크")</f>
        <v>오크</v>
      </c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  <c r="AB1795" s="18"/>
    </row>
    <row r="1796">
      <c r="A1796" s="27" t="s">
        <v>7437</v>
      </c>
      <c r="B1796" s="28" t="s">
        <v>7438</v>
      </c>
      <c r="C1796" s="27" t="s">
        <v>7439</v>
      </c>
      <c r="D1796" s="27">
        <v>5.0</v>
      </c>
      <c r="E1796" s="27" t="s">
        <v>7440</v>
      </c>
      <c r="F1796" s="27">
        <v>0.0</v>
      </c>
      <c r="G1796" s="29">
        <v>45482.00208333333</v>
      </c>
      <c r="H1796" s="27" t="s">
        <v>7316</v>
      </c>
      <c r="I1796" s="18"/>
      <c r="J1796" s="25" t="str">
        <f>IFERROR(__xludf.DUMMYFUNCTION("ARRAYFORMULA(REGEXEXTRACT(SPLIT(C1796, ""&lt;br&gt;""), ""([가-힣A-Za-z]+)""))"),"짱구")</f>
        <v>짱구</v>
      </c>
      <c r="K1796" s="26" t="str">
        <f>IFERROR(__xludf.DUMMYFUNCTION("""COMPUTED_VALUE"""),"조드")</f>
        <v>조드</v>
      </c>
      <c r="L1796" s="26" t="str">
        <f>IFERROR(__xludf.DUMMYFUNCTION("""COMPUTED_VALUE"""),"한메")</f>
        <v>한메</v>
      </c>
      <c r="M1796" s="26" t="str">
        <f>IFERROR(__xludf.DUMMYFUNCTION("""COMPUTED_VALUE"""),"오크")</f>
        <v>오크</v>
      </c>
      <c r="N1796" s="26" t="str">
        <f>IFERROR(__xludf.DUMMYFUNCTION("ARRAYFORMULA(REGEXEXTRACT(SPLIT(E1796, ""&lt;br&gt;""), ""([가-힣A-Za-z]+)""))"),"재우")</f>
        <v>재우</v>
      </c>
      <c r="O1796" s="26" t="str">
        <f>IFERROR(__xludf.DUMMYFUNCTION("""COMPUTED_VALUE"""),"밍구")</f>
        <v>밍구</v>
      </c>
      <c r="P1796" s="26" t="str">
        <f>IFERROR(__xludf.DUMMYFUNCTION("""COMPUTED_VALUE"""),"웅")</f>
        <v>웅</v>
      </c>
      <c r="Q1796" s="26" t="str">
        <f>IFERROR(__xludf.DUMMYFUNCTION("""COMPUTED_VALUE"""),"강화")</f>
        <v>강화</v>
      </c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</row>
    <row r="1797">
      <c r="A1797" s="27" t="s">
        <v>7441</v>
      </c>
      <c r="B1797" s="28" t="s">
        <v>7442</v>
      </c>
      <c r="C1797" s="27" t="s">
        <v>7443</v>
      </c>
      <c r="D1797" s="27">
        <v>5.0</v>
      </c>
      <c r="E1797" s="27" t="s">
        <v>7444</v>
      </c>
      <c r="F1797" s="27">
        <v>2.0</v>
      </c>
      <c r="G1797" s="29">
        <v>45481.99236111111</v>
      </c>
      <c r="H1797" s="27" t="s">
        <v>7316</v>
      </c>
      <c r="I1797" s="18"/>
      <c r="J1797" s="25" t="str">
        <f>IFERROR(__xludf.DUMMYFUNCTION("ARRAYFORMULA(REGEXEXTRACT(SPLIT(C1797, ""&lt;br&gt;""), ""([가-힣A-Za-z]+)""))"),"짱구")</f>
        <v>짱구</v>
      </c>
      <c r="K1797" s="26" t="str">
        <f>IFERROR(__xludf.DUMMYFUNCTION("""COMPUTED_VALUE"""),"깡패")</f>
        <v>깡패</v>
      </c>
      <c r="L1797" s="26" t="str">
        <f>IFERROR(__xludf.DUMMYFUNCTION("""COMPUTED_VALUE"""),"재명")</f>
        <v>재명</v>
      </c>
      <c r="M1797" s="26" t="str">
        <f>IFERROR(__xludf.DUMMYFUNCTION("""COMPUTED_VALUE"""),"오크")</f>
        <v>오크</v>
      </c>
      <c r="N1797" s="26" t="str">
        <f>IFERROR(__xludf.DUMMYFUNCTION("ARRAYFORMULA(REGEXEXTRACT(SPLIT(E1797, ""&lt;br&gt;""), ""([가-힣A-Za-z]+)""))"),"강화")</f>
        <v>강화</v>
      </c>
      <c r="O1797" s="26" t="str">
        <f>IFERROR(__xludf.DUMMYFUNCTION("""COMPUTED_VALUE"""),"한메")</f>
        <v>한메</v>
      </c>
      <c r="P1797" s="26" t="str">
        <f>IFERROR(__xludf.DUMMYFUNCTION("""COMPUTED_VALUE"""),"재우")</f>
        <v>재우</v>
      </c>
      <c r="Q1797" s="26" t="str">
        <f>IFERROR(__xludf.DUMMYFUNCTION("""COMPUTED_VALUE"""),"조드")</f>
        <v>조드</v>
      </c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  <c r="AB1797" s="18"/>
    </row>
    <row r="1798">
      <c r="A1798" s="27" t="s">
        <v>7445</v>
      </c>
      <c r="B1798" s="28" t="s">
        <v>7446</v>
      </c>
      <c r="C1798" s="27" t="s">
        <v>7447</v>
      </c>
      <c r="D1798" s="27">
        <v>5.0</v>
      </c>
      <c r="E1798" s="27" t="s">
        <v>7448</v>
      </c>
      <c r="F1798" s="27">
        <v>1.0</v>
      </c>
      <c r="G1798" s="29">
        <v>45481.96805555555</v>
      </c>
      <c r="H1798" s="27" t="s">
        <v>7316</v>
      </c>
      <c r="I1798" s="18"/>
      <c r="J1798" s="25" t="str">
        <f>IFERROR(__xludf.DUMMYFUNCTION("ARRAYFORMULA(REGEXEXTRACT(SPLIT(C1798, ""&lt;br&gt;""), ""([가-힣A-Za-z]+)""))"),"깡패")</f>
        <v>깡패</v>
      </c>
      <c r="K1798" s="26" t="str">
        <f>IFERROR(__xludf.DUMMYFUNCTION("""COMPUTED_VALUE"""),"강화")</f>
        <v>강화</v>
      </c>
      <c r="L1798" s="26" t="str">
        <f>IFERROR(__xludf.DUMMYFUNCTION("""COMPUTED_VALUE"""),"짱구")</f>
        <v>짱구</v>
      </c>
      <c r="M1798" s="26" t="str">
        <f>IFERROR(__xludf.DUMMYFUNCTION("""COMPUTED_VALUE"""),"조심")</f>
        <v>조심</v>
      </c>
      <c r="N1798" s="26" t="str">
        <f>IFERROR(__xludf.DUMMYFUNCTION("ARRAYFORMULA(REGEXEXTRACT(SPLIT(E1798, ""&lt;br&gt;""), ""([가-힣A-Za-z]+)""))"),"한메")</f>
        <v>한메</v>
      </c>
      <c r="O1798" s="26" t="str">
        <f>IFERROR(__xludf.DUMMYFUNCTION("""COMPUTED_VALUE"""),"재우")</f>
        <v>재우</v>
      </c>
      <c r="P1798" s="26" t="str">
        <f>IFERROR(__xludf.DUMMYFUNCTION("""COMPUTED_VALUE"""),"오크")</f>
        <v>오크</v>
      </c>
      <c r="Q1798" s="26" t="str">
        <f>IFERROR(__xludf.DUMMYFUNCTION("""COMPUTED_VALUE"""),"재명")</f>
        <v>재명</v>
      </c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  <c r="AB1798" s="18"/>
    </row>
    <row r="1799">
      <c r="A1799" s="27" t="s">
        <v>7449</v>
      </c>
      <c r="B1799" s="28" t="s">
        <v>7450</v>
      </c>
      <c r="C1799" s="27" t="s">
        <v>7451</v>
      </c>
      <c r="D1799" s="27">
        <v>5.0</v>
      </c>
      <c r="E1799" s="27" t="s">
        <v>7452</v>
      </c>
      <c r="F1799" s="27">
        <v>1.0</v>
      </c>
      <c r="G1799" s="29">
        <v>45481.95138888889</v>
      </c>
      <c r="H1799" s="27" t="s">
        <v>7316</v>
      </c>
      <c r="I1799" s="18"/>
      <c r="J1799" s="25" t="str">
        <f>IFERROR(__xludf.DUMMYFUNCTION("ARRAYFORMULA(REGEXEXTRACT(SPLIT(C1799, ""&lt;br&gt;""), ""([가-힣A-Za-z]+)""))"),"한메")</f>
        <v>한메</v>
      </c>
      <c r="K1799" s="26" t="str">
        <f>IFERROR(__xludf.DUMMYFUNCTION("""COMPUTED_VALUE"""),"재명")</f>
        <v>재명</v>
      </c>
      <c r="L1799" s="26" t="str">
        <f>IFERROR(__xludf.DUMMYFUNCTION("""COMPUTED_VALUE"""),"재우")</f>
        <v>재우</v>
      </c>
      <c r="M1799" s="26" t="str">
        <f>IFERROR(__xludf.DUMMYFUNCTION("""COMPUTED_VALUE"""),"짱구")</f>
        <v>짱구</v>
      </c>
      <c r="N1799" s="26" t="str">
        <f>IFERROR(__xludf.DUMMYFUNCTION("ARRAYFORMULA(REGEXEXTRACT(SPLIT(E1799, ""&lt;br&gt;""), ""([가-힣A-Za-z]+)""))"),"깡패")</f>
        <v>깡패</v>
      </c>
      <c r="O1799" s="26" t="str">
        <f>IFERROR(__xludf.DUMMYFUNCTION("""COMPUTED_VALUE"""),"조심")</f>
        <v>조심</v>
      </c>
      <c r="P1799" s="26" t="str">
        <f>IFERROR(__xludf.DUMMYFUNCTION("""COMPUTED_VALUE"""),"오크")</f>
        <v>오크</v>
      </c>
      <c r="Q1799" s="26" t="str">
        <f>IFERROR(__xludf.DUMMYFUNCTION("""COMPUTED_VALUE"""),"강화")</f>
        <v>강화</v>
      </c>
      <c r="R1799" s="18"/>
      <c r="S1799" s="18"/>
      <c r="T1799" s="18"/>
      <c r="U1799" s="18"/>
      <c r="V1799" s="18"/>
      <c r="W1799" s="18"/>
      <c r="X1799" s="18"/>
      <c r="Y1799" s="18"/>
      <c r="Z1799" s="18"/>
      <c r="AA1799" s="18"/>
      <c r="AB1799" s="18"/>
    </row>
    <row r="1800">
      <c r="A1800" s="27" t="s">
        <v>7453</v>
      </c>
      <c r="B1800" s="28" t="s">
        <v>7454</v>
      </c>
      <c r="C1800" s="27" t="s">
        <v>7455</v>
      </c>
      <c r="D1800" s="27">
        <v>5.0</v>
      </c>
      <c r="E1800" s="27" t="s">
        <v>7456</v>
      </c>
      <c r="F1800" s="27">
        <v>1.0</v>
      </c>
      <c r="G1800" s="29">
        <v>45481.927083333336</v>
      </c>
      <c r="H1800" s="27" t="s">
        <v>7316</v>
      </c>
      <c r="I1800" s="18"/>
      <c r="J1800" s="25" t="str">
        <f>IFERROR(__xludf.DUMMYFUNCTION("ARRAYFORMULA(REGEXEXTRACT(SPLIT(C1800, ""&lt;br&gt;""), ""([가-힣A-Za-z]+)""))"),"테리")</f>
        <v>테리</v>
      </c>
      <c r="K1800" s="26" t="str">
        <f>IFERROR(__xludf.DUMMYFUNCTION("""COMPUTED_VALUE"""),"강화")</f>
        <v>강화</v>
      </c>
      <c r="L1800" s="26" t="str">
        <f>IFERROR(__xludf.DUMMYFUNCTION("""COMPUTED_VALUE"""),"재우")</f>
        <v>재우</v>
      </c>
      <c r="M1800" s="26" t="str">
        <f>IFERROR(__xludf.DUMMYFUNCTION("""COMPUTED_VALUE"""),"한메")</f>
        <v>한메</v>
      </c>
      <c r="N1800" s="26" t="str">
        <f>IFERROR(__xludf.DUMMYFUNCTION("ARRAYFORMULA(REGEXEXTRACT(SPLIT(E1800, ""&lt;br&gt;""), ""([가-힣A-Za-z]+)""))"),"미르진")</f>
        <v>미르진</v>
      </c>
      <c r="O1800" s="26" t="str">
        <f>IFERROR(__xludf.DUMMYFUNCTION("""COMPUTED_VALUE"""),"깡패")</f>
        <v>깡패</v>
      </c>
      <c r="P1800" s="26" t="str">
        <f>IFERROR(__xludf.DUMMYFUNCTION("""COMPUTED_VALUE"""),"ACDC")</f>
        <v>ACDC</v>
      </c>
      <c r="Q1800" s="26" t="str">
        <f>IFERROR(__xludf.DUMMYFUNCTION("""COMPUTED_VALUE"""),"오딘")</f>
        <v>오딘</v>
      </c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</row>
    <row r="1801">
      <c r="A1801" s="27" t="s">
        <v>7457</v>
      </c>
      <c r="B1801" s="28" t="s">
        <v>7458</v>
      </c>
      <c r="C1801" s="27" t="s">
        <v>7459</v>
      </c>
      <c r="D1801" s="27">
        <v>5.0</v>
      </c>
      <c r="E1801" s="27" t="s">
        <v>7460</v>
      </c>
      <c r="F1801" s="27">
        <v>2.0</v>
      </c>
      <c r="G1801" s="29">
        <v>45481.90347222222</v>
      </c>
      <c r="H1801" s="27" t="s">
        <v>7316</v>
      </c>
      <c r="I1801" s="18"/>
      <c r="J1801" s="25" t="str">
        <f>IFERROR(__xludf.DUMMYFUNCTION("ARRAYFORMULA(REGEXEXTRACT(SPLIT(C1801, ""&lt;br&gt;""), ""([가-힣A-Za-z]+)""))"),"재우")</f>
        <v>재우</v>
      </c>
      <c r="K1801" s="26" t="str">
        <f>IFERROR(__xludf.DUMMYFUNCTION("""COMPUTED_VALUE"""),"재명")</f>
        <v>재명</v>
      </c>
      <c r="L1801" s="26" t="str">
        <f>IFERROR(__xludf.DUMMYFUNCTION("""COMPUTED_VALUE"""),"테리")</f>
        <v>테리</v>
      </c>
      <c r="M1801" s="26" t="str">
        <f>IFERROR(__xludf.DUMMYFUNCTION("""COMPUTED_VALUE"""),"한메")</f>
        <v>한메</v>
      </c>
      <c r="N1801" s="26" t="str">
        <f>IFERROR(__xludf.DUMMYFUNCTION("ARRAYFORMULA(REGEXEXTRACT(SPLIT(E1801, ""&lt;br&gt;""), ""([가-힣A-Za-z]+)""))"),"미르진")</f>
        <v>미르진</v>
      </c>
      <c r="O1801" s="26" t="str">
        <f>IFERROR(__xludf.DUMMYFUNCTION("""COMPUTED_VALUE"""),"깡패")</f>
        <v>깡패</v>
      </c>
      <c r="P1801" s="26" t="str">
        <f>IFERROR(__xludf.DUMMYFUNCTION("""COMPUTED_VALUE"""),"ACDC")</f>
        <v>ACDC</v>
      </c>
      <c r="Q1801" s="26" t="str">
        <f>IFERROR(__xludf.DUMMYFUNCTION("""COMPUTED_VALUE"""),"강화")</f>
        <v>강화</v>
      </c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</row>
    <row r="1802">
      <c r="A1802" s="27" t="s">
        <v>7461</v>
      </c>
      <c r="B1802" s="28" t="s">
        <v>7462</v>
      </c>
      <c r="C1802" s="27" t="s">
        <v>7463</v>
      </c>
      <c r="D1802" s="27">
        <v>5.0</v>
      </c>
      <c r="E1802" s="27" t="s">
        <v>7464</v>
      </c>
      <c r="F1802" s="27">
        <v>1.0</v>
      </c>
      <c r="G1802" s="29">
        <v>45481.756944444445</v>
      </c>
      <c r="H1802" s="27" t="s">
        <v>7316</v>
      </c>
      <c r="I1802" s="18"/>
      <c r="J1802" s="25" t="str">
        <f>IFERROR(__xludf.DUMMYFUNCTION("ARRAYFORMULA(REGEXEXTRACT(SPLIT(C1802, ""&lt;br&gt;""), ""([가-힣A-Za-z]+)""))"),"재명")</f>
        <v>재명</v>
      </c>
      <c r="K1802" s="26" t="str">
        <f>IFERROR(__xludf.DUMMYFUNCTION("""COMPUTED_VALUE"""),"깡패")</f>
        <v>깡패</v>
      </c>
      <c r="L1802" s="26" t="str">
        <f>IFERROR(__xludf.DUMMYFUNCTION("""COMPUTED_VALUE"""),"윙크")</f>
        <v>윙크</v>
      </c>
      <c r="M1802" s="26" t="str">
        <f>IFERROR(__xludf.DUMMYFUNCTION("""COMPUTED_VALUE"""),"신형만")</f>
        <v>신형만</v>
      </c>
      <c r="N1802" s="26" t="str">
        <f>IFERROR(__xludf.DUMMYFUNCTION("ARRAYFORMULA(REGEXEXTRACT(SPLIT(E1802, ""&lt;br&gt;""), ""([가-힣A-Za-z]+)""))"),"아이딘")</f>
        <v>아이딘</v>
      </c>
      <c r="O1802" s="26" t="str">
        <f>IFERROR(__xludf.DUMMYFUNCTION("""COMPUTED_VALUE"""),"강화")</f>
        <v>강화</v>
      </c>
      <c r="P1802" s="26" t="str">
        <f>IFERROR(__xludf.DUMMYFUNCTION("""COMPUTED_VALUE"""),"지피")</f>
        <v>지피</v>
      </c>
      <c r="Q1802" s="26" t="str">
        <f>IFERROR(__xludf.DUMMYFUNCTION("""COMPUTED_VALUE"""),"짱구")</f>
        <v>짱구</v>
      </c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  <c r="AB1802" s="18"/>
    </row>
    <row r="1803">
      <c r="A1803" s="27" t="s">
        <v>7465</v>
      </c>
      <c r="B1803" s="28" t="s">
        <v>7466</v>
      </c>
      <c r="C1803" s="27" t="s">
        <v>7467</v>
      </c>
      <c r="D1803" s="27">
        <v>5.0</v>
      </c>
      <c r="E1803" s="27" t="s">
        <v>7468</v>
      </c>
      <c r="F1803" s="27">
        <v>4.0</v>
      </c>
      <c r="G1803" s="29">
        <v>45481.73611111111</v>
      </c>
      <c r="H1803" s="27" t="s">
        <v>7316</v>
      </c>
      <c r="I1803" s="18"/>
      <c r="J1803" s="25" t="str">
        <f>IFERROR(__xludf.DUMMYFUNCTION("ARRAYFORMULA(REGEXEXTRACT(SPLIT(C1803, ""&lt;br&gt;""), ""([가-힣A-Za-z]+)""))"),"윙크")</f>
        <v>윙크</v>
      </c>
      <c r="K1803" s="26" t="str">
        <f>IFERROR(__xludf.DUMMYFUNCTION("""COMPUTED_VALUE"""),"ACDC")</f>
        <v>ACDC</v>
      </c>
      <c r="L1803" s="26" t="str">
        <f>IFERROR(__xludf.DUMMYFUNCTION("""COMPUTED_VALUE"""),"신형만")</f>
        <v>신형만</v>
      </c>
      <c r="M1803" s="26" t="str">
        <f>IFERROR(__xludf.DUMMYFUNCTION("""COMPUTED_VALUE"""),"강화")</f>
        <v>강화</v>
      </c>
      <c r="N1803" s="26" t="str">
        <f>IFERROR(__xludf.DUMMYFUNCTION("ARRAYFORMULA(REGEXEXTRACT(SPLIT(E1803, ""&lt;br&gt;""), ""([가-힣A-Za-z]+)""))"),"재명")</f>
        <v>재명</v>
      </c>
      <c r="O1803" s="26" t="str">
        <f>IFERROR(__xludf.DUMMYFUNCTION("""COMPUTED_VALUE"""),"깡패")</f>
        <v>깡패</v>
      </c>
      <c r="P1803" s="26" t="str">
        <f>IFERROR(__xludf.DUMMYFUNCTION("""COMPUTED_VALUE"""),"아이딘")</f>
        <v>아이딘</v>
      </c>
      <c r="Q1803" s="26" t="str">
        <f>IFERROR(__xludf.DUMMYFUNCTION("""COMPUTED_VALUE"""),"지피")</f>
        <v>지피</v>
      </c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  <c r="AB1803" s="18"/>
    </row>
    <row r="1804">
      <c r="A1804" s="27" t="s">
        <v>7469</v>
      </c>
      <c r="B1804" s="28" t="s">
        <v>7470</v>
      </c>
      <c r="C1804" s="27" t="s">
        <v>7471</v>
      </c>
      <c r="D1804" s="27">
        <v>5.0</v>
      </c>
      <c r="E1804" s="27" t="s">
        <v>7472</v>
      </c>
      <c r="F1804" s="27">
        <v>3.0</v>
      </c>
      <c r="G1804" s="29">
        <v>45481.68958333333</v>
      </c>
      <c r="H1804" s="27" t="s">
        <v>7316</v>
      </c>
      <c r="I1804" s="18"/>
      <c r="J1804" s="25" t="str">
        <f>IFERROR(__xludf.DUMMYFUNCTION("ARRAYFORMULA(REGEXEXTRACT(SPLIT(C1804, ""&lt;br&gt;""), ""([가-힣A-Za-z]+)""))"),"아이딘")</f>
        <v>아이딘</v>
      </c>
      <c r="K1804" s="26" t="str">
        <f>IFERROR(__xludf.DUMMYFUNCTION("""COMPUTED_VALUE"""),"신형만")</f>
        <v>신형만</v>
      </c>
      <c r="L1804" s="26" t="str">
        <f>IFERROR(__xludf.DUMMYFUNCTION("""COMPUTED_VALUE"""),"만두")</f>
        <v>만두</v>
      </c>
      <c r="M1804" s="26" t="str">
        <f>IFERROR(__xludf.DUMMYFUNCTION("""COMPUTED_VALUE"""),"미등록")</f>
        <v>미등록</v>
      </c>
      <c r="N1804" s="26" t="str">
        <f>IFERROR(__xludf.DUMMYFUNCTION("ARRAYFORMULA(REGEXEXTRACT(SPLIT(E1804, ""&lt;br&gt;""), ""([가-힣A-Za-z]+)""))"),"ACDC")</f>
        <v>ACDC</v>
      </c>
      <c r="O1804" s="26" t="str">
        <f>IFERROR(__xludf.DUMMYFUNCTION("""COMPUTED_VALUE"""),"깡패")</f>
        <v>깡패</v>
      </c>
      <c r="P1804" s="26" t="str">
        <f>IFERROR(__xludf.DUMMYFUNCTION("""COMPUTED_VALUE"""),"강화")</f>
        <v>강화</v>
      </c>
      <c r="Q1804" s="26" t="str">
        <f>IFERROR(__xludf.DUMMYFUNCTION("""COMPUTED_VALUE"""),"재명")</f>
        <v>재명</v>
      </c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  <c r="AB1804" s="18"/>
    </row>
    <row r="1805">
      <c r="A1805" s="27" t="s">
        <v>7473</v>
      </c>
      <c r="B1805" s="28" t="s">
        <v>7474</v>
      </c>
      <c r="C1805" s="27" t="s">
        <v>7475</v>
      </c>
      <c r="D1805" s="27">
        <v>5.0</v>
      </c>
      <c r="E1805" s="27" t="s">
        <v>7476</v>
      </c>
      <c r="F1805" s="27">
        <v>3.0</v>
      </c>
      <c r="G1805" s="29">
        <v>45481.66388888889</v>
      </c>
      <c r="H1805" s="27" t="s">
        <v>7316</v>
      </c>
      <c r="I1805" s="18"/>
      <c r="J1805" s="25" t="str">
        <f>IFERROR(__xludf.DUMMYFUNCTION("ARRAYFORMULA(REGEXEXTRACT(SPLIT(C1805, ""&lt;br&gt;""), ""([가-힣A-Za-z]+)""))"),"깡패")</f>
        <v>깡패</v>
      </c>
      <c r="K1805" s="26" t="str">
        <f>IFERROR(__xludf.DUMMYFUNCTION("""COMPUTED_VALUE"""),"신형만")</f>
        <v>신형만</v>
      </c>
      <c r="L1805" s="26" t="str">
        <f>IFERROR(__xludf.DUMMYFUNCTION("""COMPUTED_VALUE"""),"재명")</f>
        <v>재명</v>
      </c>
      <c r="M1805" s="26" t="str">
        <f>IFERROR(__xludf.DUMMYFUNCTION("""COMPUTED_VALUE"""),"ACDC")</f>
        <v>ACDC</v>
      </c>
      <c r="N1805" s="26" t="str">
        <f>IFERROR(__xludf.DUMMYFUNCTION("ARRAYFORMULA(REGEXEXTRACT(SPLIT(E1805, ""&lt;br&gt;""), ""([가-힣A-Za-z]+)""))"),"아이딘")</f>
        <v>아이딘</v>
      </c>
      <c r="O1805" s="26" t="str">
        <f>IFERROR(__xludf.DUMMYFUNCTION("""COMPUTED_VALUE"""),"미등록")</f>
        <v>미등록</v>
      </c>
      <c r="P1805" s="26" t="str">
        <f>IFERROR(__xludf.DUMMYFUNCTION("""COMPUTED_VALUE"""),"강화")</f>
        <v>강화</v>
      </c>
      <c r="Q1805" s="26" t="str">
        <f>IFERROR(__xludf.DUMMYFUNCTION("""COMPUTED_VALUE"""),"만두")</f>
        <v>만두</v>
      </c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</row>
    <row r="1806">
      <c r="A1806" s="27" t="s">
        <v>7477</v>
      </c>
      <c r="B1806" s="28" t="s">
        <v>7478</v>
      </c>
      <c r="C1806" s="27" t="s">
        <v>7479</v>
      </c>
      <c r="D1806" s="27">
        <v>5.0</v>
      </c>
      <c r="E1806" s="27" t="s">
        <v>7480</v>
      </c>
      <c r="F1806" s="27">
        <v>1.0</v>
      </c>
      <c r="G1806" s="29">
        <v>45481.64236111111</v>
      </c>
      <c r="H1806" s="27" t="s">
        <v>7316</v>
      </c>
      <c r="I1806" s="18"/>
      <c r="J1806" s="25" t="str">
        <f>IFERROR(__xludf.DUMMYFUNCTION("ARRAYFORMULA(REGEXEXTRACT(SPLIT(C1806, ""&lt;br&gt;""), ""([가-힣A-Za-z]+)""))"),"신형만")</f>
        <v>신형만</v>
      </c>
      <c r="K1806" s="26" t="str">
        <f>IFERROR(__xludf.DUMMYFUNCTION("""COMPUTED_VALUE"""),"강화")</f>
        <v>강화</v>
      </c>
      <c r="L1806" s="26" t="str">
        <f>IFERROR(__xludf.DUMMYFUNCTION("""COMPUTED_VALUE"""),"아이딘")</f>
        <v>아이딘</v>
      </c>
      <c r="M1806" s="26" t="str">
        <f>IFERROR(__xludf.DUMMYFUNCTION("""COMPUTED_VALUE"""),"ACDC")</f>
        <v>ACDC</v>
      </c>
      <c r="N1806" s="26" t="str">
        <f>IFERROR(__xludf.DUMMYFUNCTION("ARRAYFORMULA(REGEXEXTRACT(SPLIT(E1806, ""&lt;br&gt;""), ""([가-힣A-Za-z]+)""))"),"깡패")</f>
        <v>깡패</v>
      </c>
      <c r="O1806" s="26" t="str">
        <f>IFERROR(__xludf.DUMMYFUNCTION("""COMPUTED_VALUE"""),"미등록")</f>
        <v>미등록</v>
      </c>
      <c r="P1806" s="26" t="str">
        <f>IFERROR(__xludf.DUMMYFUNCTION("""COMPUTED_VALUE"""),"만두")</f>
        <v>만두</v>
      </c>
      <c r="Q1806" s="26" t="str">
        <f>IFERROR(__xludf.DUMMYFUNCTION("""COMPUTED_VALUE"""),"재명")</f>
        <v>재명</v>
      </c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</row>
    <row r="1807">
      <c r="A1807" s="27" t="s">
        <v>7481</v>
      </c>
      <c r="B1807" s="28" t="s">
        <v>7482</v>
      </c>
      <c r="C1807" s="27" t="s">
        <v>7483</v>
      </c>
      <c r="D1807" s="27">
        <v>5.0</v>
      </c>
      <c r="E1807" s="27" t="s">
        <v>7484</v>
      </c>
      <c r="F1807" s="27">
        <v>1.0</v>
      </c>
      <c r="G1807" s="29">
        <v>45481.09027777778</v>
      </c>
      <c r="H1807" s="27" t="s">
        <v>7316</v>
      </c>
      <c r="I1807" s="18"/>
      <c r="J1807" s="25" t="str">
        <f>IFERROR(__xludf.DUMMYFUNCTION("ARRAYFORMULA(REGEXEXTRACT(SPLIT(C1807, ""&lt;br&gt;""), ""([가-힣A-Za-z]+)""))"),"엘더")</f>
        <v>엘더</v>
      </c>
      <c r="K1807" s="26" t="str">
        <f>IFERROR(__xludf.DUMMYFUNCTION("""COMPUTED_VALUE"""),"깡패")</f>
        <v>깡패</v>
      </c>
      <c r="L1807" s="26" t="str">
        <f>IFERROR(__xludf.DUMMYFUNCTION("""COMPUTED_VALUE"""),"짱구")</f>
        <v>짱구</v>
      </c>
      <c r="M1807" s="26" t="str">
        <f>IFERROR(__xludf.DUMMYFUNCTION("""COMPUTED_VALUE"""),"재명")</f>
        <v>재명</v>
      </c>
      <c r="N1807" s="26" t="str">
        <f>IFERROR(__xludf.DUMMYFUNCTION("ARRAYFORMULA(REGEXEXTRACT(SPLIT(E1807, ""&lt;br&gt;""), ""([가-힣A-Za-z]+)""))"),"신형만")</f>
        <v>신형만</v>
      </c>
      <c r="O1807" s="26" t="str">
        <f>IFERROR(__xludf.DUMMYFUNCTION("""COMPUTED_VALUE"""),"강화")</f>
        <v>강화</v>
      </c>
      <c r="P1807" s="26" t="str">
        <f>IFERROR(__xludf.DUMMYFUNCTION("""COMPUTED_VALUE"""),"ACDC")</f>
        <v>ACDC</v>
      </c>
      <c r="Q1807" s="26" t="str">
        <f>IFERROR(__xludf.DUMMYFUNCTION("""COMPUTED_VALUE"""),"밍구")</f>
        <v>밍구</v>
      </c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  <c r="AB1807" s="18"/>
    </row>
    <row r="1808">
      <c r="A1808" s="27" t="s">
        <v>7485</v>
      </c>
      <c r="B1808" s="28" t="s">
        <v>7486</v>
      </c>
      <c r="C1808" s="27" t="s">
        <v>7487</v>
      </c>
      <c r="D1808" s="27">
        <v>5.0</v>
      </c>
      <c r="E1808" s="27" t="s">
        <v>7488</v>
      </c>
      <c r="F1808" s="27">
        <v>1.0</v>
      </c>
      <c r="G1808" s="29">
        <v>45481.06597222222</v>
      </c>
      <c r="H1808" s="27" t="s">
        <v>7316</v>
      </c>
      <c r="I1808" s="18"/>
      <c r="J1808" s="25" t="str">
        <f>IFERROR(__xludf.DUMMYFUNCTION("ARRAYFORMULA(REGEXEXTRACT(SPLIT(C1808, ""&lt;br&gt;""), ""([가-힣A-Za-z]+)""))"),"신형만")</f>
        <v>신형만</v>
      </c>
      <c r="K1808" s="26" t="str">
        <f>IFERROR(__xludf.DUMMYFUNCTION("""COMPUTED_VALUE"""),"강화")</f>
        <v>강화</v>
      </c>
      <c r="L1808" s="26" t="str">
        <f>IFERROR(__xludf.DUMMYFUNCTION("""COMPUTED_VALUE"""),"재명")</f>
        <v>재명</v>
      </c>
      <c r="M1808" s="26" t="str">
        <f>IFERROR(__xludf.DUMMYFUNCTION("""COMPUTED_VALUE"""),"엘더")</f>
        <v>엘더</v>
      </c>
      <c r="N1808" s="26" t="str">
        <f>IFERROR(__xludf.DUMMYFUNCTION("ARRAYFORMULA(REGEXEXTRACT(SPLIT(E1808, ""&lt;br&gt;""), ""([가-힣A-Za-z]+)""))"),"깡패")</f>
        <v>깡패</v>
      </c>
      <c r="O1808" s="26" t="str">
        <f>IFERROR(__xludf.DUMMYFUNCTION("""COMPUTED_VALUE"""),"밍구")</f>
        <v>밍구</v>
      </c>
      <c r="P1808" s="26" t="str">
        <f>IFERROR(__xludf.DUMMYFUNCTION("""COMPUTED_VALUE"""),"짱구")</f>
        <v>짱구</v>
      </c>
      <c r="Q1808" s="26" t="str">
        <f>IFERROR(__xludf.DUMMYFUNCTION("""COMPUTED_VALUE"""),"ACDC")</f>
        <v>ACDC</v>
      </c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</row>
    <row r="1809">
      <c r="A1809" s="27" t="s">
        <v>7489</v>
      </c>
      <c r="B1809" s="28" t="s">
        <v>7490</v>
      </c>
      <c r="C1809" s="27" t="s">
        <v>7491</v>
      </c>
      <c r="D1809" s="27">
        <v>5.0</v>
      </c>
      <c r="E1809" s="27" t="s">
        <v>7492</v>
      </c>
      <c r="F1809" s="27">
        <v>4.0</v>
      </c>
      <c r="G1809" s="29">
        <v>45481.041666666664</v>
      </c>
      <c r="H1809" s="27" t="s">
        <v>7316</v>
      </c>
      <c r="I1809" s="18"/>
      <c r="J1809" s="25" t="str">
        <f>IFERROR(__xludf.DUMMYFUNCTION("ARRAYFORMULA(REGEXEXTRACT(SPLIT(C1809, ""&lt;br&gt;""), ""([가-힣A-Za-z]+)""))"),"오크")</f>
        <v>오크</v>
      </c>
      <c r="K1809" s="26" t="str">
        <f>IFERROR(__xludf.DUMMYFUNCTION("""COMPUTED_VALUE"""),"짱구")</f>
        <v>짱구</v>
      </c>
      <c r="L1809" s="26" t="str">
        <f>IFERROR(__xludf.DUMMYFUNCTION("""COMPUTED_VALUE"""),"재명")</f>
        <v>재명</v>
      </c>
      <c r="M1809" s="26" t="str">
        <f>IFERROR(__xludf.DUMMYFUNCTION("""COMPUTED_VALUE"""),"ACDC")</f>
        <v>ACDC</v>
      </c>
      <c r="N1809" s="26" t="str">
        <f>IFERROR(__xludf.DUMMYFUNCTION("ARRAYFORMULA(REGEXEXTRACT(SPLIT(E1809, ""&lt;br&gt;""), ""([가-힣A-Za-z]+)""))"),"깡패")</f>
        <v>깡패</v>
      </c>
      <c r="O1809" s="26" t="str">
        <f>IFERROR(__xludf.DUMMYFUNCTION("""COMPUTED_VALUE"""),"밍구")</f>
        <v>밍구</v>
      </c>
      <c r="P1809" s="26" t="str">
        <f>IFERROR(__xludf.DUMMYFUNCTION("""COMPUTED_VALUE"""),"엘더")</f>
        <v>엘더</v>
      </c>
      <c r="Q1809" s="26" t="str">
        <f>IFERROR(__xludf.DUMMYFUNCTION("""COMPUTED_VALUE"""),"강화")</f>
        <v>강화</v>
      </c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</row>
    <row r="1810">
      <c r="A1810" s="27" t="s">
        <v>7493</v>
      </c>
      <c r="B1810" s="28" t="s">
        <v>7494</v>
      </c>
      <c r="C1810" s="27" t="s">
        <v>7495</v>
      </c>
      <c r="D1810" s="27">
        <v>5.0</v>
      </c>
      <c r="E1810" s="27" t="s">
        <v>7496</v>
      </c>
      <c r="F1810" s="27">
        <v>3.0</v>
      </c>
      <c r="G1810" s="29">
        <v>45480.98819444444</v>
      </c>
      <c r="H1810" s="27" t="s">
        <v>7316</v>
      </c>
      <c r="I1810" s="18"/>
      <c r="J1810" s="25" t="str">
        <f>IFERROR(__xludf.DUMMYFUNCTION("ARRAYFORMULA(REGEXEXTRACT(SPLIT(C1810, ""&lt;br&gt;""), ""([가-힣A-Za-z]+)""))"),"엘더")</f>
        <v>엘더</v>
      </c>
      <c r="K1810" s="26" t="str">
        <f>IFERROR(__xludf.DUMMYFUNCTION("""COMPUTED_VALUE"""),"짱구")</f>
        <v>짱구</v>
      </c>
      <c r="L1810" s="26" t="str">
        <f>IFERROR(__xludf.DUMMYFUNCTION("""COMPUTED_VALUE"""),"재명")</f>
        <v>재명</v>
      </c>
      <c r="M1810" s="26" t="str">
        <f>IFERROR(__xludf.DUMMYFUNCTION("""COMPUTED_VALUE"""),"깡패")</f>
        <v>깡패</v>
      </c>
      <c r="N1810" s="26" t="str">
        <f>IFERROR(__xludf.DUMMYFUNCTION("ARRAYFORMULA(REGEXEXTRACT(SPLIT(E1810, ""&lt;br&gt;""), ""([가-힣A-Za-z]+)""))"),"ACDC")</f>
        <v>ACDC</v>
      </c>
      <c r="O1810" s="26" t="str">
        <f>IFERROR(__xludf.DUMMYFUNCTION("""COMPUTED_VALUE"""),"한메")</f>
        <v>한메</v>
      </c>
      <c r="P1810" s="26" t="str">
        <f>IFERROR(__xludf.DUMMYFUNCTION("""COMPUTED_VALUE"""),"강화")</f>
        <v>강화</v>
      </c>
      <c r="Q1810" s="26" t="str">
        <f>IFERROR(__xludf.DUMMYFUNCTION("""COMPUTED_VALUE"""),"오크")</f>
        <v>오크</v>
      </c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</row>
    <row r="1811">
      <c r="A1811" s="27" t="s">
        <v>7497</v>
      </c>
      <c r="B1811" s="28" t="s">
        <v>7498</v>
      </c>
      <c r="C1811" s="27" t="s">
        <v>7499</v>
      </c>
      <c r="D1811" s="27">
        <v>5.0</v>
      </c>
      <c r="E1811" s="27" t="s">
        <v>7500</v>
      </c>
      <c r="F1811" s="27">
        <v>1.0</v>
      </c>
      <c r="G1811" s="29">
        <v>45480.955555555556</v>
      </c>
      <c r="H1811" s="27" t="s">
        <v>7316</v>
      </c>
      <c r="I1811" s="18"/>
      <c r="J1811" s="25" t="str">
        <f>IFERROR(__xludf.DUMMYFUNCTION("ARRAYFORMULA(REGEXEXTRACT(SPLIT(C1811, ""&lt;br&gt;""), ""([가-힣A-Za-z]+)""))"),"한메")</f>
        <v>한메</v>
      </c>
      <c r="K1811" s="26" t="str">
        <f>IFERROR(__xludf.DUMMYFUNCTION("""COMPUTED_VALUE"""),"재명")</f>
        <v>재명</v>
      </c>
      <c r="L1811" s="26" t="str">
        <f>IFERROR(__xludf.DUMMYFUNCTION("""COMPUTED_VALUE"""),"짱구")</f>
        <v>짱구</v>
      </c>
      <c r="M1811" s="26" t="str">
        <f>IFERROR(__xludf.DUMMYFUNCTION("""COMPUTED_VALUE"""),"신형만")</f>
        <v>신형만</v>
      </c>
      <c r="N1811" s="26" t="str">
        <f>IFERROR(__xludf.DUMMYFUNCTION("ARRAYFORMULA(REGEXEXTRACT(SPLIT(E1811, ""&lt;br&gt;""), ""([가-힣A-Za-z]+)""))"),"오크")</f>
        <v>오크</v>
      </c>
      <c r="O1811" s="26" t="str">
        <f>IFERROR(__xludf.DUMMYFUNCTION("""COMPUTED_VALUE"""),"엘더")</f>
        <v>엘더</v>
      </c>
      <c r="P1811" s="26" t="str">
        <f>IFERROR(__xludf.DUMMYFUNCTION("""COMPUTED_VALUE"""),"ACDC")</f>
        <v>ACDC</v>
      </c>
      <c r="Q1811" s="26" t="str">
        <f>IFERROR(__xludf.DUMMYFUNCTION("""COMPUTED_VALUE"""),"강화")</f>
        <v>강화</v>
      </c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</row>
    <row r="1812">
      <c r="A1812" s="27" t="s">
        <v>7501</v>
      </c>
      <c r="B1812" s="28" t="s">
        <v>7502</v>
      </c>
      <c r="C1812" s="27" t="s">
        <v>7503</v>
      </c>
      <c r="D1812" s="27">
        <v>5.0</v>
      </c>
      <c r="E1812" s="27" t="s">
        <v>7504</v>
      </c>
      <c r="F1812" s="27">
        <v>0.0</v>
      </c>
      <c r="G1812" s="29">
        <v>45480.938888888886</v>
      </c>
      <c r="H1812" s="27" t="s">
        <v>7316</v>
      </c>
      <c r="I1812" s="18"/>
      <c r="J1812" s="25" t="str">
        <f>IFERROR(__xludf.DUMMYFUNCTION("ARRAYFORMULA(REGEXEXTRACT(SPLIT(C1812, ""&lt;br&gt;""), ""([가-힣A-Za-z]+)""))"),"신형만")</f>
        <v>신형만</v>
      </c>
      <c r="K1812" s="26" t="str">
        <f>IFERROR(__xludf.DUMMYFUNCTION("""COMPUTED_VALUE"""),"한메")</f>
        <v>한메</v>
      </c>
      <c r="L1812" s="26" t="str">
        <f>IFERROR(__xludf.DUMMYFUNCTION("""COMPUTED_VALUE"""),"짱구")</f>
        <v>짱구</v>
      </c>
      <c r="M1812" s="26" t="str">
        <f>IFERROR(__xludf.DUMMYFUNCTION("""COMPUTED_VALUE"""),"오크")</f>
        <v>오크</v>
      </c>
      <c r="N1812" s="26" t="str">
        <f>IFERROR(__xludf.DUMMYFUNCTION("ARRAYFORMULA(REGEXEXTRACT(SPLIT(E1812, ""&lt;br&gt;""), ""([가-힣A-Za-z]+)""))"),"재명")</f>
        <v>재명</v>
      </c>
      <c r="O1812" s="26" t="str">
        <f>IFERROR(__xludf.DUMMYFUNCTION("""COMPUTED_VALUE"""),"ACDC")</f>
        <v>ACDC</v>
      </c>
      <c r="P1812" s="26" t="str">
        <f>IFERROR(__xludf.DUMMYFUNCTION("""COMPUTED_VALUE"""),"강화")</f>
        <v>강화</v>
      </c>
      <c r="Q1812" s="26" t="str">
        <f>IFERROR(__xludf.DUMMYFUNCTION("""COMPUTED_VALUE"""),"엘더")</f>
        <v>엘더</v>
      </c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</row>
    <row r="1813">
      <c r="A1813" s="27" t="s">
        <v>7505</v>
      </c>
      <c r="B1813" s="28" t="s">
        <v>7506</v>
      </c>
      <c r="C1813" s="27" t="s">
        <v>7507</v>
      </c>
      <c r="D1813" s="27">
        <v>5.0</v>
      </c>
      <c r="E1813" s="27" t="s">
        <v>7508</v>
      </c>
      <c r="F1813" s="27">
        <v>0.0</v>
      </c>
      <c r="G1813" s="29">
        <v>45480.927777777775</v>
      </c>
      <c r="H1813" s="27" t="s">
        <v>7316</v>
      </c>
      <c r="I1813" s="18"/>
      <c r="J1813" s="25" t="str">
        <f>IFERROR(__xludf.DUMMYFUNCTION("ARRAYFORMULA(REGEXEXTRACT(SPLIT(C1813, ""&lt;br&gt;""), ""([가-힣A-Za-z]+)""))"),"강화")</f>
        <v>강화</v>
      </c>
      <c r="K1813" s="26" t="str">
        <f>IFERROR(__xludf.DUMMYFUNCTION("""COMPUTED_VALUE"""),"짱구")</f>
        <v>짱구</v>
      </c>
      <c r="L1813" s="26" t="str">
        <f>IFERROR(__xludf.DUMMYFUNCTION("""COMPUTED_VALUE"""),"엘더")</f>
        <v>엘더</v>
      </c>
      <c r="M1813" s="26" t="str">
        <f>IFERROR(__xludf.DUMMYFUNCTION("""COMPUTED_VALUE"""),"한메")</f>
        <v>한메</v>
      </c>
      <c r="N1813" s="26" t="str">
        <f>IFERROR(__xludf.DUMMYFUNCTION("ARRAYFORMULA(REGEXEXTRACT(SPLIT(E1813, ""&lt;br&gt;""), ""([가-힣A-Za-z]+)""))"),"재명")</f>
        <v>재명</v>
      </c>
      <c r="O1813" s="26" t="str">
        <f>IFERROR(__xludf.DUMMYFUNCTION("""COMPUTED_VALUE"""),"신형만")</f>
        <v>신형만</v>
      </c>
      <c r="P1813" s="26" t="str">
        <f>IFERROR(__xludf.DUMMYFUNCTION("""COMPUTED_VALUE"""),"오크")</f>
        <v>오크</v>
      </c>
      <c r="Q1813" s="26" t="str">
        <f>IFERROR(__xludf.DUMMYFUNCTION("""COMPUTED_VALUE"""),"ACDC")</f>
        <v>ACDC</v>
      </c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  <c r="AB1813" s="18"/>
    </row>
    <row r="1814">
      <c r="A1814" s="27" t="s">
        <v>7509</v>
      </c>
      <c r="B1814" s="28" t="s">
        <v>7510</v>
      </c>
      <c r="C1814" s="27" t="s">
        <v>7511</v>
      </c>
      <c r="D1814" s="27">
        <v>5.0</v>
      </c>
      <c r="E1814" s="27" t="s">
        <v>7512</v>
      </c>
      <c r="F1814" s="27">
        <v>1.0</v>
      </c>
      <c r="G1814" s="29">
        <v>45480.916666666664</v>
      </c>
      <c r="H1814" s="27" t="s">
        <v>7316</v>
      </c>
      <c r="I1814" s="18"/>
      <c r="J1814" s="25" t="str">
        <f>IFERROR(__xludf.DUMMYFUNCTION("ARRAYFORMULA(REGEXEXTRACT(SPLIT(C1814, ""&lt;br&gt;""), ""([가-힣A-Za-z]+)""))"),"신형만")</f>
        <v>신형만</v>
      </c>
      <c r="K1814" s="26" t="str">
        <f>IFERROR(__xludf.DUMMYFUNCTION("""COMPUTED_VALUE"""),"ACDC")</f>
        <v>ACDC</v>
      </c>
      <c r="L1814" s="26" t="str">
        <f>IFERROR(__xludf.DUMMYFUNCTION("""COMPUTED_VALUE"""),"엘더")</f>
        <v>엘더</v>
      </c>
      <c r="M1814" s="26" t="str">
        <f>IFERROR(__xludf.DUMMYFUNCTION("""COMPUTED_VALUE"""),"한메")</f>
        <v>한메</v>
      </c>
      <c r="N1814" s="26" t="str">
        <f>IFERROR(__xludf.DUMMYFUNCTION("ARRAYFORMULA(REGEXEXTRACT(SPLIT(E1814, ""&lt;br&gt;""), ""([가-힣A-Za-z]+)""))"),"오크")</f>
        <v>오크</v>
      </c>
      <c r="O1814" s="26" t="str">
        <f>IFERROR(__xludf.DUMMYFUNCTION("""COMPUTED_VALUE"""),"강화")</f>
        <v>강화</v>
      </c>
      <c r="P1814" s="26" t="str">
        <f>IFERROR(__xludf.DUMMYFUNCTION("""COMPUTED_VALUE"""),"짱구")</f>
        <v>짱구</v>
      </c>
      <c r="Q1814" s="26" t="str">
        <f>IFERROR(__xludf.DUMMYFUNCTION("""COMPUTED_VALUE"""),"재명")</f>
        <v>재명</v>
      </c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</row>
    <row r="1815">
      <c r="A1815" s="27" t="s">
        <v>7513</v>
      </c>
      <c r="B1815" s="28" t="s">
        <v>7514</v>
      </c>
      <c r="C1815" s="27" t="s">
        <v>7515</v>
      </c>
      <c r="D1815" s="27">
        <v>5.0</v>
      </c>
      <c r="E1815" s="27" t="s">
        <v>7516</v>
      </c>
      <c r="F1815" s="27">
        <v>3.0</v>
      </c>
      <c r="G1815" s="29">
        <v>45480.89166666667</v>
      </c>
      <c r="H1815" s="27" t="s">
        <v>7316</v>
      </c>
      <c r="I1815" s="18"/>
      <c r="J1815" s="25" t="str">
        <f>IFERROR(__xludf.DUMMYFUNCTION("ARRAYFORMULA(REGEXEXTRACT(SPLIT(C1815, ""&lt;br&gt;""), ""([가-힣A-Za-z]+)""))"),"한메")</f>
        <v>한메</v>
      </c>
      <c r="K1815" s="26" t="str">
        <f>IFERROR(__xludf.DUMMYFUNCTION("""COMPUTED_VALUE"""),"신형만")</f>
        <v>신형만</v>
      </c>
      <c r="L1815" s="26" t="str">
        <f>IFERROR(__xludf.DUMMYFUNCTION("""COMPUTED_VALUE"""),"오크")</f>
        <v>오크</v>
      </c>
      <c r="M1815" s="26" t="str">
        <f>IFERROR(__xludf.DUMMYFUNCTION("""COMPUTED_VALUE"""),"재명")</f>
        <v>재명</v>
      </c>
      <c r="N1815" s="26" t="str">
        <f>IFERROR(__xludf.DUMMYFUNCTION("ARRAYFORMULA(REGEXEXTRACT(SPLIT(E1815, ""&lt;br&gt;""), ""([가-힣A-Za-z]+)""))"),"엘더")</f>
        <v>엘더</v>
      </c>
      <c r="O1815" s="26" t="str">
        <f>IFERROR(__xludf.DUMMYFUNCTION("""COMPUTED_VALUE"""),"강화")</f>
        <v>강화</v>
      </c>
      <c r="P1815" s="26" t="str">
        <f>IFERROR(__xludf.DUMMYFUNCTION("""COMPUTED_VALUE"""),"민우")</f>
        <v>민우</v>
      </c>
      <c r="Q1815" s="26" t="str">
        <f>IFERROR(__xludf.DUMMYFUNCTION("""COMPUTED_VALUE"""),"ACDC")</f>
        <v>ACDC</v>
      </c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</row>
    <row r="1816">
      <c r="A1816" s="27" t="s">
        <v>7517</v>
      </c>
      <c r="B1816" s="28" t="s">
        <v>7518</v>
      </c>
      <c r="C1816" s="27" t="s">
        <v>7519</v>
      </c>
      <c r="D1816" s="27">
        <v>5.0</v>
      </c>
      <c r="E1816" s="27" t="s">
        <v>7520</v>
      </c>
      <c r="F1816" s="27">
        <v>3.0</v>
      </c>
      <c r="G1816" s="29">
        <v>45480.868055555555</v>
      </c>
      <c r="H1816" s="27" t="s">
        <v>7316</v>
      </c>
      <c r="I1816" s="18"/>
      <c r="J1816" s="25" t="str">
        <f>IFERROR(__xludf.DUMMYFUNCTION("ARRAYFORMULA(REGEXEXTRACT(SPLIT(C1816, ""&lt;br&gt;""), ""([가-힣A-Za-z]+)""))"),"재명")</f>
        <v>재명</v>
      </c>
      <c r="K1816" s="26" t="str">
        <f>IFERROR(__xludf.DUMMYFUNCTION("""COMPUTED_VALUE"""),"한메")</f>
        <v>한메</v>
      </c>
      <c r="L1816" s="26" t="str">
        <f>IFERROR(__xludf.DUMMYFUNCTION("""COMPUTED_VALUE"""),"엘더")</f>
        <v>엘더</v>
      </c>
      <c r="M1816" s="26" t="str">
        <f>IFERROR(__xludf.DUMMYFUNCTION("""COMPUTED_VALUE"""),"오크")</f>
        <v>오크</v>
      </c>
      <c r="N1816" s="26" t="str">
        <f>IFERROR(__xludf.DUMMYFUNCTION("ARRAYFORMULA(REGEXEXTRACT(SPLIT(E1816, ""&lt;br&gt;""), ""([가-힣A-Za-z]+)""))"),"강화")</f>
        <v>강화</v>
      </c>
      <c r="O1816" s="26" t="str">
        <f>IFERROR(__xludf.DUMMYFUNCTION("""COMPUTED_VALUE"""),"신형만")</f>
        <v>신형만</v>
      </c>
      <c r="P1816" s="26" t="str">
        <f>IFERROR(__xludf.DUMMYFUNCTION("""COMPUTED_VALUE"""),"ACDC")</f>
        <v>ACDC</v>
      </c>
      <c r="Q1816" s="26" t="str">
        <f>IFERROR(__xludf.DUMMYFUNCTION("""COMPUTED_VALUE"""),"랄")</f>
        <v>랄</v>
      </c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</row>
    <row r="1817">
      <c r="A1817" s="27" t="s">
        <v>7521</v>
      </c>
      <c r="B1817" s="28" t="s">
        <v>7522</v>
      </c>
      <c r="C1817" s="27" t="s">
        <v>7523</v>
      </c>
      <c r="D1817" s="27">
        <v>5.0</v>
      </c>
      <c r="E1817" s="27" t="s">
        <v>7524</v>
      </c>
      <c r="F1817" s="27">
        <v>1.0</v>
      </c>
      <c r="G1817" s="29">
        <v>45479.03402777778</v>
      </c>
      <c r="H1817" s="27" t="s">
        <v>7316</v>
      </c>
      <c r="I1817" s="18"/>
      <c r="J1817" s="25" t="str">
        <f>IFERROR(__xludf.DUMMYFUNCTION("ARRAYFORMULA(REGEXEXTRACT(SPLIT(C1817, ""&lt;br&gt;""), ""([가-힣A-Za-z]+)""))"),"오크")</f>
        <v>오크</v>
      </c>
      <c r="K1817" s="26" t="str">
        <f>IFERROR(__xludf.DUMMYFUNCTION("""COMPUTED_VALUE"""),"강화")</f>
        <v>강화</v>
      </c>
      <c r="L1817" s="26" t="str">
        <f>IFERROR(__xludf.DUMMYFUNCTION("""COMPUTED_VALUE"""),"테리")</f>
        <v>테리</v>
      </c>
      <c r="M1817" s="26" t="str">
        <f>IFERROR(__xludf.DUMMYFUNCTION("""COMPUTED_VALUE"""),"깡패")</f>
        <v>깡패</v>
      </c>
      <c r="N1817" s="26" t="str">
        <f>IFERROR(__xludf.DUMMYFUNCTION("ARRAYFORMULA(REGEXEXTRACT(SPLIT(E1817, ""&lt;br&gt;""), ""([가-힣A-Za-z]+)""))"),"ACDC")</f>
        <v>ACDC</v>
      </c>
      <c r="O1817" s="26" t="str">
        <f>IFERROR(__xludf.DUMMYFUNCTION("""COMPUTED_VALUE"""),"조드")</f>
        <v>조드</v>
      </c>
      <c r="P1817" s="26" t="str">
        <f>IFERROR(__xludf.DUMMYFUNCTION("""COMPUTED_VALUE"""),"재명")</f>
        <v>재명</v>
      </c>
      <c r="Q1817" s="26" t="str">
        <f>IFERROR(__xludf.DUMMYFUNCTION("""COMPUTED_VALUE"""),"밍구")</f>
        <v>밍구</v>
      </c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  <c r="AB1817" s="18"/>
    </row>
    <row r="1818">
      <c r="A1818" s="27" t="s">
        <v>7525</v>
      </c>
      <c r="B1818" s="28" t="s">
        <v>7526</v>
      </c>
      <c r="C1818" s="27" t="s">
        <v>7527</v>
      </c>
      <c r="D1818" s="27">
        <v>5.0</v>
      </c>
      <c r="E1818" s="27" t="s">
        <v>7528</v>
      </c>
      <c r="F1818" s="27">
        <v>4.0</v>
      </c>
      <c r="G1818" s="29">
        <v>45479.00625</v>
      </c>
      <c r="H1818" s="27" t="s">
        <v>7316</v>
      </c>
      <c r="I1818" s="18"/>
      <c r="J1818" s="25" t="str">
        <f>IFERROR(__xludf.DUMMYFUNCTION("ARRAYFORMULA(REGEXEXTRACT(SPLIT(C1818, ""&lt;br&gt;""), ""([가-힣A-Za-z]+)""))"),"미르진")</f>
        <v>미르진</v>
      </c>
      <c r="K1818" s="26" t="str">
        <f>IFERROR(__xludf.DUMMYFUNCTION("""COMPUTED_VALUE"""),"테리")</f>
        <v>테리</v>
      </c>
      <c r="L1818" s="26" t="str">
        <f>IFERROR(__xludf.DUMMYFUNCTION("""COMPUTED_VALUE"""),"ACDC")</f>
        <v>ACDC</v>
      </c>
      <c r="M1818" s="26" t="str">
        <f>IFERROR(__xludf.DUMMYFUNCTION("""COMPUTED_VALUE"""),"밍구")</f>
        <v>밍구</v>
      </c>
      <c r="N1818" s="26" t="str">
        <f>IFERROR(__xludf.DUMMYFUNCTION("ARRAYFORMULA(REGEXEXTRACT(SPLIT(E1818, ""&lt;br&gt;""), ""([가-힣A-Za-z]+)""))"),"깡패")</f>
        <v>깡패</v>
      </c>
      <c r="O1818" s="26" t="str">
        <f>IFERROR(__xludf.DUMMYFUNCTION("""COMPUTED_VALUE"""),"오크")</f>
        <v>오크</v>
      </c>
      <c r="P1818" s="26" t="str">
        <f>IFERROR(__xludf.DUMMYFUNCTION("""COMPUTED_VALUE"""),"재명")</f>
        <v>재명</v>
      </c>
      <c r="Q1818" s="26" t="str">
        <f>IFERROR(__xludf.DUMMYFUNCTION("""COMPUTED_VALUE"""),"강화")</f>
        <v>강화</v>
      </c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</row>
    <row r="1819">
      <c r="A1819" s="27" t="s">
        <v>7529</v>
      </c>
      <c r="B1819" s="28" t="s">
        <v>7530</v>
      </c>
      <c r="C1819" s="27" t="s">
        <v>7531</v>
      </c>
      <c r="D1819" s="27">
        <v>5.0</v>
      </c>
      <c r="E1819" s="27" t="s">
        <v>7532</v>
      </c>
      <c r="F1819" s="27">
        <v>0.0</v>
      </c>
      <c r="G1819" s="29">
        <v>45478.967361111114</v>
      </c>
      <c r="H1819" s="27" t="s">
        <v>7316</v>
      </c>
      <c r="I1819" s="18"/>
      <c r="J1819" s="25" t="str">
        <f>IFERROR(__xludf.DUMMYFUNCTION("ARRAYFORMULA(REGEXEXTRACT(SPLIT(C1819, ""&lt;br&gt;""), ""([가-힣A-Za-z]+)""))"),"ACDC")</f>
        <v>ACDC</v>
      </c>
      <c r="K1819" s="26" t="str">
        <f>IFERROR(__xludf.DUMMYFUNCTION("""COMPUTED_VALUE"""),"밍구")</f>
        <v>밍구</v>
      </c>
      <c r="L1819" s="26" t="str">
        <f>IFERROR(__xludf.DUMMYFUNCTION("""COMPUTED_VALUE"""),"테리")</f>
        <v>테리</v>
      </c>
      <c r="M1819" s="26" t="str">
        <f>IFERROR(__xludf.DUMMYFUNCTION("""COMPUTED_VALUE"""),"깡패")</f>
        <v>깡패</v>
      </c>
      <c r="N1819" s="26" t="str">
        <f>IFERROR(__xludf.DUMMYFUNCTION("ARRAYFORMULA(REGEXEXTRACT(SPLIT(E1819, ""&lt;br&gt;""), ""([가-힣A-Za-z]+)""))"),"미르진")</f>
        <v>미르진</v>
      </c>
      <c r="O1819" s="26" t="str">
        <f>IFERROR(__xludf.DUMMYFUNCTION("""COMPUTED_VALUE"""),"강화")</f>
        <v>강화</v>
      </c>
      <c r="P1819" s="26" t="str">
        <f>IFERROR(__xludf.DUMMYFUNCTION("""COMPUTED_VALUE"""),"재명")</f>
        <v>재명</v>
      </c>
      <c r="Q1819" s="26" t="str">
        <f>IFERROR(__xludf.DUMMYFUNCTION("""COMPUTED_VALUE"""),"오크")</f>
        <v>오크</v>
      </c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  <c r="AB1819" s="18"/>
    </row>
    <row r="1820">
      <c r="A1820" s="27" t="s">
        <v>7533</v>
      </c>
      <c r="B1820" s="28" t="s">
        <v>7534</v>
      </c>
      <c r="C1820" s="27" t="s">
        <v>7535</v>
      </c>
      <c r="D1820" s="27">
        <v>5.0</v>
      </c>
      <c r="E1820" s="27" t="s">
        <v>7536</v>
      </c>
      <c r="F1820" s="27">
        <v>3.0</v>
      </c>
      <c r="G1820" s="29">
        <v>45478.94305555556</v>
      </c>
      <c r="H1820" s="27" t="s">
        <v>7316</v>
      </c>
      <c r="I1820" s="18"/>
      <c r="J1820" s="25" t="str">
        <f>IFERROR(__xludf.DUMMYFUNCTION("ARRAYFORMULA(REGEXEXTRACT(SPLIT(C1820, ""&lt;br&gt;""), ""([가-힣A-Za-z]+)""))"),"재명")</f>
        <v>재명</v>
      </c>
      <c r="K1820" s="26" t="str">
        <f>IFERROR(__xludf.DUMMYFUNCTION("""COMPUTED_VALUE"""),"테리")</f>
        <v>테리</v>
      </c>
      <c r="L1820" s="26" t="str">
        <f>IFERROR(__xludf.DUMMYFUNCTION("""COMPUTED_VALUE"""),"ACDC")</f>
        <v>ACDC</v>
      </c>
      <c r="M1820" s="26" t="str">
        <f>IFERROR(__xludf.DUMMYFUNCTION("""COMPUTED_VALUE"""),"강화")</f>
        <v>강화</v>
      </c>
      <c r="N1820" s="26" t="str">
        <f>IFERROR(__xludf.DUMMYFUNCTION("ARRAYFORMULA(REGEXEXTRACT(SPLIT(E1820, ""&lt;br&gt;""), ""([가-힣A-Za-z]+)""))"),"깡패")</f>
        <v>깡패</v>
      </c>
      <c r="O1820" s="26" t="str">
        <f>IFERROR(__xludf.DUMMYFUNCTION("""COMPUTED_VALUE"""),"오크")</f>
        <v>오크</v>
      </c>
      <c r="P1820" s="26" t="str">
        <f>IFERROR(__xludf.DUMMYFUNCTION("""COMPUTED_VALUE"""),"미등록")</f>
        <v>미등록</v>
      </c>
      <c r="Q1820" s="26" t="str">
        <f>IFERROR(__xludf.DUMMYFUNCTION("""COMPUTED_VALUE"""),"미르진")</f>
        <v>미르진</v>
      </c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  <c r="AB1820" s="18"/>
    </row>
    <row r="1821">
      <c r="A1821" s="27" t="s">
        <v>7537</v>
      </c>
      <c r="B1821" s="28" t="s">
        <v>7538</v>
      </c>
      <c r="C1821" s="27" t="s">
        <v>7539</v>
      </c>
      <c r="D1821" s="27">
        <v>5.0</v>
      </c>
      <c r="E1821" s="27" t="s">
        <v>7540</v>
      </c>
      <c r="F1821" s="27">
        <v>2.0</v>
      </c>
      <c r="G1821" s="29">
        <v>45478.70208333333</v>
      </c>
      <c r="H1821" s="27" t="s">
        <v>7316</v>
      </c>
      <c r="I1821" s="18"/>
      <c r="J1821" s="25" t="str">
        <f>IFERROR(__xludf.DUMMYFUNCTION("ARRAYFORMULA(REGEXEXTRACT(SPLIT(C1821, ""&lt;br&gt;""), ""([가-힣A-Za-z]+)""))"),"깡패")</f>
        <v>깡패</v>
      </c>
      <c r="K1821" s="26" t="str">
        <f>IFERROR(__xludf.DUMMYFUNCTION("""COMPUTED_VALUE"""),"한메")</f>
        <v>한메</v>
      </c>
      <c r="L1821" s="26" t="str">
        <f>IFERROR(__xludf.DUMMYFUNCTION("""COMPUTED_VALUE"""),"신형만")</f>
        <v>신형만</v>
      </c>
      <c r="M1821" s="26" t="str">
        <f>IFERROR(__xludf.DUMMYFUNCTION("""COMPUTED_VALUE"""),"짱구")</f>
        <v>짱구</v>
      </c>
      <c r="N1821" s="26" t="str">
        <f>IFERROR(__xludf.DUMMYFUNCTION("ARRAYFORMULA(REGEXEXTRACT(SPLIT(E1821, ""&lt;br&gt;""), ""([가-힣A-Za-z]+)""))"),"테슬라")</f>
        <v>테슬라</v>
      </c>
      <c r="O1821" s="26" t="str">
        <f>IFERROR(__xludf.DUMMYFUNCTION("""COMPUTED_VALUE"""),"재명")</f>
        <v>재명</v>
      </c>
      <c r="P1821" s="26" t="str">
        <f>IFERROR(__xludf.DUMMYFUNCTION("""COMPUTED_VALUE"""),"ACDC")</f>
        <v>ACDC</v>
      </c>
      <c r="Q1821" s="26" t="str">
        <f>IFERROR(__xludf.DUMMYFUNCTION("""COMPUTED_VALUE"""),"키키")</f>
        <v>키키</v>
      </c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</row>
    <row r="1822">
      <c r="A1822" s="27" t="s">
        <v>7541</v>
      </c>
      <c r="B1822" s="28" t="s">
        <v>7542</v>
      </c>
      <c r="C1822" s="27" t="s">
        <v>7543</v>
      </c>
      <c r="D1822" s="27">
        <v>5.0</v>
      </c>
      <c r="E1822" s="27" t="s">
        <v>7544</v>
      </c>
      <c r="F1822" s="27">
        <v>1.0</v>
      </c>
      <c r="G1822" s="29">
        <v>45478.67361111111</v>
      </c>
      <c r="H1822" s="27" t="s">
        <v>7316</v>
      </c>
      <c r="I1822" s="18"/>
      <c r="J1822" s="25" t="str">
        <f>IFERROR(__xludf.DUMMYFUNCTION("ARRAYFORMULA(REGEXEXTRACT(SPLIT(C1822, ""&lt;br&gt;""), ""([가-힣A-Za-z]+)""))"),"한메")</f>
        <v>한메</v>
      </c>
      <c r="K1822" s="26" t="str">
        <f>IFERROR(__xludf.DUMMYFUNCTION("""COMPUTED_VALUE"""),"신형만")</f>
        <v>신형만</v>
      </c>
      <c r="L1822" s="26" t="str">
        <f>IFERROR(__xludf.DUMMYFUNCTION("""COMPUTED_VALUE"""),"재명")</f>
        <v>재명</v>
      </c>
      <c r="M1822" s="26" t="str">
        <f>IFERROR(__xludf.DUMMYFUNCTION("""COMPUTED_VALUE"""),"키키")</f>
        <v>키키</v>
      </c>
      <c r="N1822" s="26" t="str">
        <f>IFERROR(__xludf.DUMMYFUNCTION("ARRAYFORMULA(REGEXEXTRACT(SPLIT(E1822, ""&lt;br&gt;""), ""([가-힣A-Za-z]+)""))"),"테슬라")</f>
        <v>테슬라</v>
      </c>
      <c r="O1822" s="26" t="str">
        <f>IFERROR(__xludf.DUMMYFUNCTION("""COMPUTED_VALUE"""),"깡패")</f>
        <v>깡패</v>
      </c>
      <c r="P1822" s="26" t="str">
        <f>IFERROR(__xludf.DUMMYFUNCTION("""COMPUTED_VALUE"""),"ACDC")</f>
        <v>ACDC</v>
      </c>
      <c r="Q1822" s="26" t="str">
        <f>IFERROR(__xludf.DUMMYFUNCTION("""COMPUTED_VALUE"""),"짱구")</f>
        <v>짱구</v>
      </c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  <c r="AB1822" s="18"/>
    </row>
    <row r="1823">
      <c r="A1823" s="27" t="s">
        <v>7545</v>
      </c>
      <c r="B1823" s="28" t="s">
        <v>7546</v>
      </c>
      <c r="C1823" s="27" t="s">
        <v>7547</v>
      </c>
      <c r="D1823" s="27">
        <v>5.0</v>
      </c>
      <c r="E1823" s="27" t="s">
        <v>7548</v>
      </c>
      <c r="F1823" s="27">
        <v>1.0</v>
      </c>
      <c r="G1823" s="29">
        <v>45478.65069444444</v>
      </c>
      <c r="H1823" s="27" t="s">
        <v>7316</v>
      </c>
      <c r="I1823" s="18"/>
      <c r="J1823" s="25" t="str">
        <f>IFERROR(__xludf.DUMMYFUNCTION("ARRAYFORMULA(REGEXEXTRACT(SPLIT(C1823, ""&lt;br&gt;""), ""([가-힣A-Za-z]+)""))"),"키키")</f>
        <v>키키</v>
      </c>
      <c r="K1823" s="26" t="str">
        <f>IFERROR(__xludf.DUMMYFUNCTION("""COMPUTED_VALUE"""),"신형만")</f>
        <v>신형만</v>
      </c>
      <c r="L1823" s="26" t="str">
        <f>IFERROR(__xludf.DUMMYFUNCTION("""COMPUTED_VALUE"""),"ACDC")</f>
        <v>ACDC</v>
      </c>
      <c r="M1823" s="26" t="str">
        <f>IFERROR(__xludf.DUMMYFUNCTION("""COMPUTED_VALUE"""),"깡패")</f>
        <v>깡패</v>
      </c>
      <c r="N1823" s="26" t="str">
        <f>IFERROR(__xludf.DUMMYFUNCTION("ARRAYFORMULA(REGEXEXTRACT(SPLIT(E1823, ""&lt;br&gt;""), ""([가-힣A-Za-z]+)""))"),"테슬라")</f>
        <v>테슬라</v>
      </c>
      <c r="O1823" s="26" t="str">
        <f>IFERROR(__xludf.DUMMYFUNCTION("""COMPUTED_VALUE"""),"재명")</f>
        <v>재명</v>
      </c>
      <c r="P1823" s="26" t="str">
        <f>IFERROR(__xludf.DUMMYFUNCTION("""COMPUTED_VALUE"""),"한메")</f>
        <v>한메</v>
      </c>
      <c r="Q1823" s="26" t="str">
        <f>IFERROR(__xludf.DUMMYFUNCTION("""COMPUTED_VALUE"""),"짱구")</f>
        <v>짱구</v>
      </c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  <c r="AB1823" s="18"/>
    </row>
    <row r="1824">
      <c r="A1824" s="27" t="s">
        <v>7549</v>
      </c>
      <c r="B1824" s="28" t="s">
        <v>7550</v>
      </c>
      <c r="C1824" s="27" t="s">
        <v>7551</v>
      </c>
      <c r="D1824" s="27">
        <v>5.0</v>
      </c>
      <c r="E1824" s="27" t="s">
        <v>7552</v>
      </c>
      <c r="F1824" s="27">
        <v>4.0</v>
      </c>
      <c r="G1824" s="29">
        <v>45478.01875</v>
      </c>
      <c r="H1824" s="27" t="s">
        <v>7316</v>
      </c>
      <c r="I1824" s="18"/>
      <c r="J1824" s="25" t="str">
        <f>IFERROR(__xludf.DUMMYFUNCTION("ARRAYFORMULA(REGEXEXTRACT(SPLIT(C1824, ""&lt;br&gt;""), ""([가-힣A-Za-z]+)""))"),"오크")</f>
        <v>오크</v>
      </c>
      <c r="K1824" s="26" t="str">
        <f>IFERROR(__xludf.DUMMYFUNCTION("""COMPUTED_VALUE"""),"밍구")</f>
        <v>밍구</v>
      </c>
      <c r="L1824" s="26" t="str">
        <f>IFERROR(__xludf.DUMMYFUNCTION("""COMPUTED_VALUE"""),"테리")</f>
        <v>테리</v>
      </c>
      <c r="M1824" s="26" t="str">
        <f>IFERROR(__xludf.DUMMYFUNCTION("""COMPUTED_VALUE"""),"ACDC")</f>
        <v>ACDC</v>
      </c>
      <c r="N1824" s="26" t="str">
        <f>IFERROR(__xludf.DUMMYFUNCTION("ARRAYFORMULA(REGEXEXTRACT(SPLIT(E1824, ""&lt;br&gt;""), ""([가-힣A-Za-z]+)""))"),"깡패")</f>
        <v>깡패</v>
      </c>
      <c r="O1824" s="26" t="str">
        <f>IFERROR(__xludf.DUMMYFUNCTION("""COMPUTED_VALUE"""),"조드")</f>
        <v>조드</v>
      </c>
      <c r="P1824" s="26" t="str">
        <f>IFERROR(__xludf.DUMMYFUNCTION("""COMPUTED_VALUE"""),"짱구")</f>
        <v>짱구</v>
      </c>
      <c r="Q1824" s="26" t="str">
        <f>IFERROR(__xludf.DUMMYFUNCTION("""COMPUTED_VALUE"""),"강화")</f>
        <v>강화</v>
      </c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  <c r="AB1824" s="18"/>
    </row>
    <row r="1825">
      <c r="A1825" s="27" t="s">
        <v>7553</v>
      </c>
      <c r="B1825" s="28" t="s">
        <v>7554</v>
      </c>
      <c r="C1825" s="27" t="s">
        <v>7555</v>
      </c>
      <c r="D1825" s="27">
        <v>5.0</v>
      </c>
      <c r="E1825" s="27" t="s">
        <v>7556</v>
      </c>
      <c r="F1825" s="27">
        <v>1.0</v>
      </c>
      <c r="G1825" s="29">
        <v>45477.981944444444</v>
      </c>
      <c r="H1825" s="27" t="s">
        <v>7316</v>
      </c>
      <c r="I1825" s="18"/>
      <c r="J1825" s="25" t="str">
        <f>IFERROR(__xludf.DUMMYFUNCTION("ARRAYFORMULA(REGEXEXTRACT(SPLIT(C1825, ""&lt;br&gt;""), ""([가-힣A-Za-z]+)""))"),"짱구")</f>
        <v>짱구</v>
      </c>
      <c r="K1825" s="26" t="str">
        <f>IFERROR(__xludf.DUMMYFUNCTION("""COMPUTED_VALUE"""),"조드")</f>
        <v>조드</v>
      </c>
      <c r="L1825" s="26" t="str">
        <f>IFERROR(__xludf.DUMMYFUNCTION("""COMPUTED_VALUE"""),"테리")</f>
        <v>테리</v>
      </c>
      <c r="M1825" s="26" t="str">
        <f>IFERROR(__xludf.DUMMYFUNCTION("""COMPUTED_VALUE"""),"한메")</f>
        <v>한메</v>
      </c>
      <c r="N1825" s="26" t="str">
        <f>IFERROR(__xludf.DUMMYFUNCTION("ARRAYFORMULA(REGEXEXTRACT(SPLIT(E1825, ""&lt;br&gt;""), ""([가-힣A-Za-z]+)""))"),"오크")</f>
        <v>오크</v>
      </c>
      <c r="O1825" s="26" t="str">
        <f>IFERROR(__xludf.DUMMYFUNCTION("""COMPUTED_VALUE"""),"강화")</f>
        <v>강화</v>
      </c>
      <c r="P1825" s="26" t="str">
        <f>IFERROR(__xludf.DUMMYFUNCTION("""COMPUTED_VALUE"""),"ACDC")</f>
        <v>ACDC</v>
      </c>
      <c r="Q1825" s="26" t="str">
        <f>IFERROR(__xludf.DUMMYFUNCTION("""COMPUTED_VALUE"""),"깡패")</f>
        <v>깡패</v>
      </c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  <c r="AB1825" s="18"/>
    </row>
    <row r="1826">
      <c r="A1826" s="27" t="s">
        <v>7557</v>
      </c>
      <c r="B1826" s="28" t="s">
        <v>7558</v>
      </c>
      <c r="C1826" s="27" t="s">
        <v>7559</v>
      </c>
      <c r="D1826" s="27">
        <v>5.0</v>
      </c>
      <c r="E1826" s="27" t="s">
        <v>7560</v>
      </c>
      <c r="F1826" s="27">
        <v>0.0</v>
      </c>
      <c r="G1826" s="29">
        <v>45477.9625</v>
      </c>
      <c r="H1826" s="27" t="s">
        <v>7316</v>
      </c>
      <c r="I1826" s="18"/>
      <c r="J1826" s="25" t="str">
        <f>IFERROR(__xludf.DUMMYFUNCTION("ARRAYFORMULA(REGEXEXTRACT(SPLIT(C1826, ""&lt;br&gt;""), ""([가-힣A-Za-z]+)""))"),"한메")</f>
        <v>한메</v>
      </c>
      <c r="K1826" s="26" t="str">
        <f>IFERROR(__xludf.DUMMYFUNCTION("""COMPUTED_VALUE"""),"짱구")</f>
        <v>짱구</v>
      </c>
      <c r="L1826" s="26" t="str">
        <f>IFERROR(__xludf.DUMMYFUNCTION("""COMPUTED_VALUE"""),"ACDC")</f>
        <v>ACDC</v>
      </c>
      <c r="M1826" s="26" t="str">
        <f>IFERROR(__xludf.DUMMYFUNCTION("""COMPUTED_VALUE"""),"조드")</f>
        <v>조드</v>
      </c>
      <c r="N1826" s="26" t="str">
        <f>IFERROR(__xludf.DUMMYFUNCTION("ARRAYFORMULA(REGEXEXTRACT(SPLIT(E1826, ""&lt;br&gt;""), ""([가-힣A-Za-z]+)""))"),"깡패")</f>
        <v>깡패</v>
      </c>
      <c r="O1826" s="26" t="str">
        <f>IFERROR(__xludf.DUMMYFUNCTION("""COMPUTED_VALUE"""),"조심")</f>
        <v>조심</v>
      </c>
      <c r="P1826" s="26" t="str">
        <f>IFERROR(__xludf.DUMMYFUNCTION("""COMPUTED_VALUE"""),"오크")</f>
        <v>오크</v>
      </c>
      <c r="Q1826" s="26" t="str">
        <f>IFERROR(__xludf.DUMMYFUNCTION("""COMPUTED_VALUE"""),"강화")</f>
        <v>강화</v>
      </c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</row>
    <row r="1827">
      <c r="A1827" s="27" t="s">
        <v>7561</v>
      </c>
      <c r="B1827" s="28" t="s">
        <v>7562</v>
      </c>
      <c r="C1827" s="27" t="s">
        <v>7563</v>
      </c>
      <c r="D1827" s="27">
        <v>5.0</v>
      </c>
      <c r="E1827" s="27" t="s">
        <v>7564</v>
      </c>
      <c r="F1827" s="27">
        <v>2.0</v>
      </c>
      <c r="G1827" s="29">
        <v>45477.01736111111</v>
      </c>
      <c r="H1827" s="27" t="s">
        <v>7316</v>
      </c>
      <c r="I1827" s="18"/>
      <c r="J1827" s="25" t="str">
        <f>IFERROR(__xludf.DUMMYFUNCTION("ARRAYFORMULA(REGEXEXTRACT(SPLIT(C1827, ""&lt;br&gt;""), ""([가-힣A-Za-z]+)""))"),"테리")</f>
        <v>테리</v>
      </c>
      <c r="K1827" s="26" t="str">
        <f>IFERROR(__xludf.DUMMYFUNCTION("""COMPUTED_VALUE"""),"깡패")</f>
        <v>깡패</v>
      </c>
      <c r="L1827" s="26" t="str">
        <f>IFERROR(__xludf.DUMMYFUNCTION("""COMPUTED_VALUE"""),"ACDC")</f>
        <v>ACDC</v>
      </c>
      <c r="M1827" s="26" t="str">
        <f>IFERROR(__xludf.DUMMYFUNCTION("""COMPUTED_VALUE"""),"짱구")</f>
        <v>짱구</v>
      </c>
      <c r="N1827" s="26" t="str">
        <f>IFERROR(__xludf.DUMMYFUNCTION("ARRAYFORMULA(REGEXEXTRACT(SPLIT(E1827, ""&lt;br&gt;""), ""([가-힣A-Za-z]+)""))"),"강화")</f>
        <v>강화</v>
      </c>
      <c r="O1827" s="26" t="str">
        <f>IFERROR(__xludf.DUMMYFUNCTION("""COMPUTED_VALUE"""),"재명")</f>
        <v>재명</v>
      </c>
      <c r="P1827" s="26" t="str">
        <f>IFERROR(__xludf.DUMMYFUNCTION("""COMPUTED_VALUE"""),"웅")</f>
        <v>웅</v>
      </c>
      <c r="Q1827" s="26" t="str">
        <f>IFERROR(__xludf.DUMMYFUNCTION("""COMPUTED_VALUE"""),"밍구")</f>
        <v>밍구</v>
      </c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  <c r="AB1827" s="18"/>
    </row>
    <row r="1828">
      <c r="A1828" s="27" t="s">
        <v>7565</v>
      </c>
      <c r="B1828" s="28" t="s">
        <v>7566</v>
      </c>
      <c r="C1828" s="27" t="s">
        <v>7567</v>
      </c>
      <c r="D1828" s="27">
        <v>5.0</v>
      </c>
      <c r="E1828" s="27" t="s">
        <v>7568</v>
      </c>
      <c r="F1828" s="27">
        <v>0.0</v>
      </c>
      <c r="G1828" s="29">
        <v>45476.99791666667</v>
      </c>
      <c r="H1828" s="27" t="s">
        <v>7316</v>
      </c>
      <c r="I1828" s="18"/>
      <c r="J1828" s="25" t="str">
        <f>IFERROR(__xludf.DUMMYFUNCTION("ARRAYFORMULA(REGEXEXTRACT(SPLIT(C1828, ""&lt;br&gt;""), ""([가-힣A-Za-z]+)""))"),"테리")</f>
        <v>테리</v>
      </c>
      <c r="K1828" s="26" t="str">
        <f>IFERROR(__xludf.DUMMYFUNCTION("""COMPUTED_VALUE"""),"강화")</f>
        <v>강화</v>
      </c>
      <c r="L1828" s="26" t="str">
        <f>IFERROR(__xludf.DUMMYFUNCTION("""COMPUTED_VALUE"""),"ACDC")</f>
        <v>ACDC</v>
      </c>
      <c r="M1828" s="26" t="str">
        <f>IFERROR(__xludf.DUMMYFUNCTION("""COMPUTED_VALUE"""),"미르진")</f>
        <v>미르진</v>
      </c>
      <c r="N1828" s="26" t="str">
        <f>IFERROR(__xludf.DUMMYFUNCTION("ARRAYFORMULA(REGEXEXTRACT(SPLIT(E1828, ""&lt;br&gt;""), ""([가-힣A-Za-z]+)""))"),"짱구")</f>
        <v>짱구</v>
      </c>
      <c r="O1828" s="26" t="str">
        <f>IFERROR(__xludf.DUMMYFUNCTION("""COMPUTED_VALUE"""),"밍구")</f>
        <v>밍구</v>
      </c>
      <c r="P1828" s="26" t="str">
        <f>IFERROR(__xludf.DUMMYFUNCTION("""COMPUTED_VALUE"""),"재명")</f>
        <v>재명</v>
      </c>
      <c r="Q1828" s="26" t="str">
        <f>IFERROR(__xludf.DUMMYFUNCTION("""COMPUTED_VALUE"""),"깡패")</f>
        <v>깡패</v>
      </c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  <c r="AB1828" s="18"/>
    </row>
    <row r="1829">
      <c r="A1829" s="27" t="s">
        <v>7569</v>
      </c>
      <c r="B1829" s="28" t="s">
        <v>7570</v>
      </c>
      <c r="C1829" s="27" t="s">
        <v>7571</v>
      </c>
      <c r="D1829" s="27">
        <v>5.0</v>
      </c>
      <c r="E1829" s="27" t="s">
        <v>7572</v>
      </c>
      <c r="F1829" s="27">
        <v>4.0</v>
      </c>
      <c r="G1829" s="29">
        <v>45476.975694444445</v>
      </c>
      <c r="H1829" s="27" t="s">
        <v>7316</v>
      </c>
      <c r="I1829" s="18"/>
      <c r="J1829" s="25" t="str">
        <f>IFERROR(__xludf.DUMMYFUNCTION("ARRAYFORMULA(REGEXEXTRACT(SPLIT(C1829, ""&lt;br&gt;""), ""([가-힣A-Za-z]+)""))"),"ACDC")</f>
        <v>ACDC</v>
      </c>
      <c r="K1829" s="26" t="str">
        <f>IFERROR(__xludf.DUMMYFUNCTION("""COMPUTED_VALUE"""),"재명")</f>
        <v>재명</v>
      </c>
      <c r="L1829" s="26" t="str">
        <f>IFERROR(__xludf.DUMMYFUNCTION("""COMPUTED_VALUE"""),"신형만")</f>
        <v>신형만</v>
      </c>
      <c r="M1829" s="26" t="str">
        <f>IFERROR(__xludf.DUMMYFUNCTION("""COMPUTED_VALUE"""),"미르진")</f>
        <v>미르진</v>
      </c>
      <c r="N1829" s="26" t="str">
        <f>IFERROR(__xludf.DUMMYFUNCTION("ARRAYFORMULA(REGEXEXTRACT(SPLIT(E1829, ""&lt;br&gt;""), ""([가-힣A-Za-z]+)""))"),"한메")</f>
        <v>한메</v>
      </c>
      <c r="O1829" s="26" t="str">
        <f>IFERROR(__xludf.DUMMYFUNCTION("""COMPUTED_VALUE"""),"강화")</f>
        <v>강화</v>
      </c>
      <c r="P1829" s="26" t="str">
        <f>IFERROR(__xludf.DUMMYFUNCTION("""COMPUTED_VALUE"""),"아이딘")</f>
        <v>아이딘</v>
      </c>
      <c r="Q1829" s="26" t="str">
        <f>IFERROR(__xludf.DUMMYFUNCTION("""COMPUTED_VALUE"""),"밍구")</f>
        <v>밍구</v>
      </c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  <c r="AB1829" s="18"/>
    </row>
    <row r="1830">
      <c r="A1830" s="27" t="s">
        <v>7573</v>
      </c>
      <c r="B1830" s="28" t="s">
        <v>7574</v>
      </c>
      <c r="C1830" s="27" t="s">
        <v>7575</v>
      </c>
      <c r="D1830" s="27">
        <v>5.0</v>
      </c>
      <c r="E1830" s="27" t="s">
        <v>7576</v>
      </c>
      <c r="F1830" s="27">
        <v>1.0</v>
      </c>
      <c r="G1830" s="29">
        <v>45476.94027777778</v>
      </c>
      <c r="H1830" s="27" t="s">
        <v>7316</v>
      </c>
      <c r="I1830" s="18"/>
      <c r="J1830" s="25" t="str">
        <f>IFERROR(__xludf.DUMMYFUNCTION("ARRAYFORMULA(REGEXEXTRACT(SPLIT(C1830, ""&lt;br&gt;""), ""([가-힣A-Za-z]+)""))"),"신형만")</f>
        <v>신형만</v>
      </c>
      <c r="K1830" s="26" t="str">
        <f>IFERROR(__xludf.DUMMYFUNCTION("""COMPUTED_VALUE"""),"ACDC")</f>
        <v>ACDC</v>
      </c>
      <c r="L1830" s="26" t="str">
        <f>IFERROR(__xludf.DUMMYFUNCTION("""COMPUTED_VALUE"""),"재명")</f>
        <v>재명</v>
      </c>
      <c r="M1830" s="26" t="str">
        <f>IFERROR(__xludf.DUMMYFUNCTION("""COMPUTED_VALUE"""),"강화")</f>
        <v>강화</v>
      </c>
      <c r="N1830" s="26" t="str">
        <f>IFERROR(__xludf.DUMMYFUNCTION("ARRAYFORMULA(REGEXEXTRACT(SPLIT(E1830, ""&lt;br&gt;""), ""([가-힣A-Za-z]+)""))"),"아이딘")</f>
        <v>아이딘</v>
      </c>
      <c r="O1830" s="26" t="str">
        <f>IFERROR(__xludf.DUMMYFUNCTION("""COMPUTED_VALUE"""),"팰리")</f>
        <v>팰리</v>
      </c>
      <c r="P1830" s="26" t="str">
        <f>IFERROR(__xludf.DUMMYFUNCTION("""COMPUTED_VALUE"""),"한메")</f>
        <v>한메</v>
      </c>
      <c r="Q1830" s="26" t="str">
        <f>IFERROR(__xludf.DUMMYFUNCTION("""COMPUTED_VALUE"""),"미르진")</f>
        <v>미르진</v>
      </c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</row>
    <row r="1831">
      <c r="A1831" s="27" t="s">
        <v>7577</v>
      </c>
      <c r="B1831" s="28" t="s">
        <v>7578</v>
      </c>
      <c r="C1831" s="27" t="s">
        <v>7579</v>
      </c>
      <c r="D1831" s="27">
        <v>5.0</v>
      </c>
      <c r="E1831" s="27" t="s">
        <v>7580</v>
      </c>
      <c r="F1831" s="27">
        <v>0.0</v>
      </c>
      <c r="G1831" s="29">
        <v>45476.927083333336</v>
      </c>
      <c r="H1831" s="27" t="s">
        <v>7316</v>
      </c>
      <c r="I1831" s="18"/>
      <c r="J1831" s="25" t="str">
        <f>IFERROR(__xludf.DUMMYFUNCTION("ARRAYFORMULA(REGEXEXTRACT(SPLIT(C1831, ""&lt;br&gt;""), ""([가-힣A-Za-z]+)""))"),"아이딘")</f>
        <v>아이딘</v>
      </c>
      <c r="K1831" s="26" t="str">
        <f>IFERROR(__xludf.DUMMYFUNCTION("""COMPUTED_VALUE"""),"신형만")</f>
        <v>신형만</v>
      </c>
      <c r="L1831" s="26" t="str">
        <f>IFERROR(__xludf.DUMMYFUNCTION("""COMPUTED_VALUE"""),"한메")</f>
        <v>한메</v>
      </c>
      <c r="M1831" s="26" t="str">
        <f>IFERROR(__xludf.DUMMYFUNCTION("""COMPUTED_VALUE"""),"미르진")</f>
        <v>미르진</v>
      </c>
      <c r="N1831" s="26" t="str">
        <f>IFERROR(__xludf.DUMMYFUNCTION("ARRAYFORMULA(REGEXEXTRACT(SPLIT(E1831, ""&lt;br&gt;""), ""([가-힣A-Za-z]+)""))"),"팰리")</f>
        <v>팰리</v>
      </c>
      <c r="O1831" s="26" t="str">
        <f>IFERROR(__xludf.DUMMYFUNCTION("""COMPUTED_VALUE"""),"강화")</f>
        <v>강화</v>
      </c>
      <c r="P1831" s="26" t="str">
        <f>IFERROR(__xludf.DUMMYFUNCTION("""COMPUTED_VALUE"""),"ACDC")</f>
        <v>ACDC</v>
      </c>
      <c r="Q1831" s="26" t="str">
        <f>IFERROR(__xludf.DUMMYFUNCTION("""COMPUTED_VALUE"""),"재명")</f>
        <v>재명</v>
      </c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</row>
    <row r="1832">
      <c r="A1832" s="27" t="s">
        <v>7581</v>
      </c>
      <c r="B1832" s="28" t="s">
        <v>7582</v>
      </c>
      <c r="C1832" s="27" t="s">
        <v>7583</v>
      </c>
      <c r="D1832" s="27">
        <v>5.0</v>
      </c>
      <c r="E1832" s="27" t="s">
        <v>7584</v>
      </c>
      <c r="F1832" s="27">
        <v>3.0</v>
      </c>
      <c r="G1832" s="29">
        <v>45476.90694444445</v>
      </c>
      <c r="H1832" s="27" t="s">
        <v>7316</v>
      </c>
      <c r="I1832" s="18"/>
      <c r="J1832" s="25" t="str">
        <f>IFERROR(__xludf.DUMMYFUNCTION("ARRAYFORMULA(REGEXEXTRACT(SPLIT(C1832, ""&lt;br&gt;""), ""([가-힣A-Za-z]+)""))"),"강화")</f>
        <v>강화</v>
      </c>
      <c r="K1832" s="26" t="str">
        <f>IFERROR(__xludf.DUMMYFUNCTION("""COMPUTED_VALUE"""),"한메")</f>
        <v>한메</v>
      </c>
      <c r="L1832" s="26" t="str">
        <f>IFERROR(__xludf.DUMMYFUNCTION("""COMPUTED_VALUE"""),"팰리")</f>
        <v>팰리</v>
      </c>
      <c r="M1832" s="26" t="str">
        <f>IFERROR(__xludf.DUMMYFUNCTION("""COMPUTED_VALUE"""),"재명")</f>
        <v>재명</v>
      </c>
      <c r="N1832" s="26" t="str">
        <f>IFERROR(__xludf.DUMMYFUNCTION("ARRAYFORMULA(REGEXEXTRACT(SPLIT(E1832, ""&lt;br&gt;""), ""([가-힣A-Za-z]+)""))"),"아이딘")</f>
        <v>아이딘</v>
      </c>
      <c r="O1832" s="26" t="str">
        <f>IFERROR(__xludf.DUMMYFUNCTION("""COMPUTED_VALUE"""),"신형만")</f>
        <v>신형만</v>
      </c>
      <c r="P1832" s="26" t="str">
        <f>IFERROR(__xludf.DUMMYFUNCTION("""COMPUTED_VALUE"""),"미르진")</f>
        <v>미르진</v>
      </c>
      <c r="Q1832" s="26" t="str">
        <f>IFERROR(__xludf.DUMMYFUNCTION("""COMPUTED_VALUE"""),"ACDC")</f>
        <v>ACDC</v>
      </c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</row>
    <row r="1833">
      <c r="A1833" s="31" t="s">
        <v>7585</v>
      </c>
      <c r="B1833" s="28" t="s">
        <v>7586</v>
      </c>
      <c r="C1833" s="27" t="s">
        <v>7587</v>
      </c>
      <c r="D1833" s="27">
        <v>5.0</v>
      </c>
      <c r="E1833" s="27" t="s">
        <v>7588</v>
      </c>
      <c r="F1833" s="27">
        <v>4.0</v>
      </c>
      <c r="G1833" s="29">
        <v>45476.07847222222</v>
      </c>
      <c r="H1833" s="27" t="s">
        <v>7316</v>
      </c>
      <c r="I1833" s="18"/>
      <c r="J1833" s="25" t="str">
        <f>IFERROR(__xludf.DUMMYFUNCTION("ARRAYFORMULA(REGEXEXTRACT(SPLIT(C1833, ""&lt;br&gt;""), ""([가-힣A-Za-z]+)""))"),"오크")</f>
        <v>오크</v>
      </c>
      <c r="K1833" s="26" t="str">
        <f>IFERROR(__xludf.DUMMYFUNCTION("""COMPUTED_VALUE"""),"깡패")</f>
        <v>깡패</v>
      </c>
      <c r="L1833" s="26" t="str">
        <f>IFERROR(__xludf.DUMMYFUNCTION("""COMPUTED_VALUE"""),"신형만")</f>
        <v>신형만</v>
      </c>
      <c r="M1833" s="26" t="str">
        <f>IFERROR(__xludf.DUMMYFUNCTION("""COMPUTED_VALUE"""),"민우")</f>
        <v>민우</v>
      </c>
      <c r="N1833" s="26" t="str">
        <f>IFERROR(__xludf.DUMMYFUNCTION("ARRAYFORMULA(REGEXEXTRACT(SPLIT(E1833, ""&lt;br&gt;""), ""([가-힣A-Za-z]+)""))"),"짱구")</f>
        <v>짱구</v>
      </c>
      <c r="O1833" s="26" t="str">
        <f>IFERROR(__xludf.DUMMYFUNCTION("""COMPUTED_VALUE"""),"테리")</f>
        <v>테리</v>
      </c>
      <c r="P1833" s="26" t="str">
        <f>IFERROR(__xludf.DUMMYFUNCTION("""COMPUTED_VALUE"""),"ACDC")</f>
        <v>ACDC</v>
      </c>
      <c r="Q1833" s="26" t="str">
        <f>IFERROR(__xludf.DUMMYFUNCTION("""COMPUTED_VALUE"""),"혀니")</f>
        <v>혀니</v>
      </c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  <c r="AB1833" s="18"/>
    </row>
    <row r="1834">
      <c r="A1834" s="31" t="s">
        <v>7589</v>
      </c>
      <c r="B1834" s="28" t="s">
        <v>7590</v>
      </c>
      <c r="C1834" s="27" t="s">
        <v>7591</v>
      </c>
      <c r="D1834" s="27">
        <v>5.0</v>
      </c>
      <c r="E1834" s="27" t="s">
        <v>7592</v>
      </c>
      <c r="F1834" s="27">
        <v>4.0</v>
      </c>
      <c r="G1834" s="29">
        <v>45476.03333333333</v>
      </c>
      <c r="H1834" s="27" t="s">
        <v>7316</v>
      </c>
      <c r="I1834" s="18"/>
      <c r="J1834" s="25" t="str">
        <f>IFERROR(__xludf.DUMMYFUNCTION("ARRAYFORMULA(REGEXEXTRACT(SPLIT(C1834, ""&lt;br&gt;""), ""([가-힣A-Za-z]+)""))"),"신형만")</f>
        <v>신형만</v>
      </c>
      <c r="K1834" s="26" t="str">
        <f>IFERROR(__xludf.DUMMYFUNCTION("""COMPUTED_VALUE"""),"짱구")</f>
        <v>짱구</v>
      </c>
      <c r="L1834" s="26" t="str">
        <f>IFERROR(__xludf.DUMMYFUNCTION("""COMPUTED_VALUE"""),"강화")</f>
        <v>강화</v>
      </c>
      <c r="M1834" s="26" t="str">
        <f>IFERROR(__xludf.DUMMYFUNCTION("""COMPUTED_VALUE"""),"깡패")</f>
        <v>깡패</v>
      </c>
      <c r="N1834" s="26" t="str">
        <f>IFERROR(__xludf.DUMMYFUNCTION("ARRAYFORMULA(REGEXEXTRACT(SPLIT(E1834, ""&lt;br&gt;""), ""([가-힣A-Za-z]+)""))"),"오크")</f>
        <v>오크</v>
      </c>
      <c r="O1834" s="26" t="str">
        <f>IFERROR(__xludf.DUMMYFUNCTION("""COMPUTED_VALUE"""),"ACDC")</f>
        <v>ACDC</v>
      </c>
      <c r="P1834" s="26" t="str">
        <f>IFERROR(__xludf.DUMMYFUNCTION("""COMPUTED_VALUE"""),"테리")</f>
        <v>테리</v>
      </c>
      <c r="Q1834" s="26" t="str">
        <f>IFERROR(__xludf.DUMMYFUNCTION("""COMPUTED_VALUE"""),"미르진")</f>
        <v>미르진</v>
      </c>
      <c r="R1834" s="18"/>
      <c r="S1834" s="18"/>
      <c r="T1834" s="18"/>
      <c r="U1834" s="18"/>
      <c r="V1834" s="18"/>
      <c r="W1834" s="18"/>
      <c r="X1834" s="18"/>
      <c r="Y1834" s="18"/>
      <c r="Z1834" s="18"/>
      <c r="AA1834" s="18"/>
      <c r="AB1834" s="18"/>
    </row>
    <row r="1835">
      <c r="A1835" s="31" t="s">
        <v>7593</v>
      </c>
      <c r="B1835" s="28" t="s">
        <v>7594</v>
      </c>
      <c r="C1835" s="27" t="s">
        <v>7595</v>
      </c>
      <c r="D1835" s="27">
        <v>5.0</v>
      </c>
      <c r="E1835" s="27" t="s">
        <v>7596</v>
      </c>
      <c r="F1835" s="27">
        <v>2.0</v>
      </c>
      <c r="G1835" s="29">
        <v>45475.995833333334</v>
      </c>
      <c r="H1835" s="27" t="s">
        <v>7316</v>
      </c>
      <c r="I1835" s="18"/>
      <c r="J1835" s="25" t="str">
        <f>IFERROR(__xludf.DUMMYFUNCTION("ARRAYFORMULA(REGEXEXTRACT(SPLIT(C1835, ""&lt;br&gt;""), ""([가-힣A-Za-z]+)""))"),"강화")</f>
        <v>강화</v>
      </c>
      <c r="K1835" s="26" t="str">
        <f>IFERROR(__xludf.DUMMYFUNCTION("""COMPUTED_VALUE"""),"테리")</f>
        <v>테리</v>
      </c>
      <c r="L1835" s="26" t="str">
        <f>IFERROR(__xludf.DUMMYFUNCTION("""COMPUTED_VALUE"""),"오크")</f>
        <v>오크</v>
      </c>
      <c r="M1835" s="26" t="str">
        <f>IFERROR(__xludf.DUMMYFUNCTION("""COMPUTED_VALUE"""),"깡패")</f>
        <v>깡패</v>
      </c>
      <c r="N1835" s="26" t="str">
        <f>IFERROR(__xludf.DUMMYFUNCTION("ARRAYFORMULA(REGEXEXTRACT(SPLIT(E1835, ""&lt;br&gt;""), ""([가-힣A-Za-z]+)""))"),"짱구")</f>
        <v>짱구</v>
      </c>
      <c r="O1835" s="26" t="str">
        <f>IFERROR(__xludf.DUMMYFUNCTION("""COMPUTED_VALUE"""),"미르진")</f>
        <v>미르진</v>
      </c>
      <c r="P1835" s="26" t="str">
        <f>IFERROR(__xludf.DUMMYFUNCTION("""COMPUTED_VALUE"""),"ACDC")</f>
        <v>ACDC</v>
      </c>
      <c r="Q1835" s="26" t="str">
        <f>IFERROR(__xludf.DUMMYFUNCTION("""COMPUTED_VALUE"""),"신형만")</f>
        <v>신형만</v>
      </c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</row>
    <row r="1836">
      <c r="A1836" s="31" t="s">
        <v>7597</v>
      </c>
      <c r="B1836" s="28" t="s">
        <v>7598</v>
      </c>
      <c r="C1836" s="27" t="s">
        <v>7599</v>
      </c>
      <c r="D1836" s="27">
        <v>5.0</v>
      </c>
      <c r="E1836" s="27" t="s">
        <v>7600</v>
      </c>
      <c r="F1836" s="27">
        <v>1.0</v>
      </c>
      <c r="G1836" s="29">
        <v>45475.99444444444</v>
      </c>
      <c r="H1836" s="27" t="s">
        <v>7316</v>
      </c>
      <c r="I1836" s="18"/>
      <c r="J1836" s="25" t="str">
        <f>IFERROR(__xludf.DUMMYFUNCTION("ARRAYFORMULA(REGEXEXTRACT(SPLIT(C1836, ""&lt;br&gt;""), ""([가-힣A-Za-z]+)""))"),"신형만")</f>
        <v>신형만</v>
      </c>
      <c r="K1836" s="26" t="str">
        <f>IFERROR(__xludf.DUMMYFUNCTION("""COMPUTED_VALUE"""),"ACDC")</f>
        <v>ACDC</v>
      </c>
      <c r="L1836" s="26" t="str">
        <f>IFERROR(__xludf.DUMMYFUNCTION("""COMPUTED_VALUE"""),"아이딘")</f>
        <v>아이딘</v>
      </c>
      <c r="M1836" s="26" t="str">
        <f>IFERROR(__xludf.DUMMYFUNCTION("""COMPUTED_VALUE"""),"짱구")</f>
        <v>짱구</v>
      </c>
      <c r="N1836" s="26" t="str">
        <f>IFERROR(__xludf.DUMMYFUNCTION("ARRAYFORMULA(REGEXEXTRACT(SPLIT(E1836, ""&lt;br&gt;""), ""([가-힣A-Za-z]+)""))"),"강화")</f>
        <v>강화</v>
      </c>
      <c r="O1836" s="26" t="str">
        <f>IFERROR(__xludf.DUMMYFUNCTION("""COMPUTED_VALUE"""),"미르진")</f>
        <v>미르진</v>
      </c>
      <c r="P1836" s="26" t="str">
        <f>IFERROR(__xludf.DUMMYFUNCTION("""COMPUTED_VALUE"""),"오크")</f>
        <v>오크</v>
      </c>
      <c r="Q1836" s="26" t="str">
        <f>IFERROR(__xludf.DUMMYFUNCTION("""COMPUTED_VALUE"""),"깡패")</f>
        <v>깡패</v>
      </c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</row>
    <row r="1837">
      <c r="A1837" s="31" t="s">
        <v>7601</v>
      </c>
      <c r="B1837" s="28" t="s">
        <v>7602</v>
      </c>
      <c r="C1837" s="27" t="s">
        <v>7603</v>
      </c>
      <c r="D1837" s="27">
        <v>5.0</v>
      </c>
      <c r="E1837" s="27" t="s">
        <v>7604</v>
      </c>
      <c r="F1837" s="27">
        <v>3.0</v>
      </c>
      <c r="G1837" s="29">
        <v>45475.95208333333</v>
      </c>
      <c r="H1837" s="27" t="s">
        <v>7316</v>
      </c>
      <c r="I1837" s="18"/>
      <c r="J1837" s="25" t="str">
        <f>IFERROR(__xludf.DUMMYFUNCTION("ARRAYFORMULA(REGEXEXTRACT(SPLIT(C1837, ""&lt;br&gt;""), ""([가-힣A-Za-z]+)""))"),"테리")</f>
        <v>테리</v>
      </c>
      <c r="K1837" s="26" t="str">
        <f>IFERROR(__xludf.DUMMYFUNCTION("""COMPUTED_VALUE"""),"신형만")</f>
        <v>신형만</v>
      </c>
      <c r="L1837" s="26" t="str">
        <f>IFERROR(__xludf.DUMMYFUNCTION("""COMPUTED_VALUE"""),"짱구")</f>
        <v>짱구</v>
      </c>
      <c r="M1837" s="26" t="str">
        <f>IFERROR(__xludf.DUMMYFUNCTION("""COMPUTED_VALUE"""),"미르진")</f>
        <v>미르진</v>
      </c>
      <c r="N1837" s="26" t="str">
        <f>IFERROR(__xludf.DUMMYFUNCTION("ARRAYFORMULA(REGEXEXTRACT(SPLIT(E1837, ""&lt;br&gt;""), ""([가-힣A-Za-z]+)""))"),"강화")</f>
        <v>강화</v>
      </c>
      <c r="O1837" s="26" t="str">
        <f>IFERROR(__xludf.DUMMYFUNCTION("""COMPUTED_VALUE"""),"오크")</f>
        <v>오크</v>
      </c>
      <c r="P1837" s="26" t="str">
        <f>IFERROR(__xludf.DUMMYFUNCTION("""COMPUTED_VALUE"""),"ACDC")</f>
        <v>ACDC</v>
      </c>
      <c r="Q1837" s="26" t="str">
        <f>IFERROR(__xludf.DUMMYFUNCTION("""COMPUTED_VALUE"""),"깡패")</f>
        <v>깡패</v>
      </c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  <c r="AB1837" s="18"/>
    </row>
    <row r="1838">
      <c r="A1838" s="31" t="s">
        <v>7605</v>
      </c>
      <c r="B1838" s="28" t="s">
        <v>7606</v>
      </c>
      <c r="C1838" s="27" t="s">
        <v>7607</v>
      </c>
      <c r="D1838" s="27">
        <v>5.0</v>
      </c>
      <c r="E1838" s="27" t="s">
        <v>7608</v>
      </c>
      <c r="F1838" s="27">
        <v>3.0</v>
      </c>
      <c r="G1838" s="29">
        <v>45475.927083333336</v>
      </c>
      <c r="H1838" s="27" t="s">
        <v>7316</v>
      </c>
      <c r="I1838" s="18"/>
      <c r="J1838" s="25" t="str">
        <f>IFERROR(__xludf.DUMMYFUNCTION("ARRAYFORMULA(REGEXEXTRACT(SPLIT(C1838, ""&lt;br&gt;""), ""([가-힣A-Za-z]+)""))"),"테리")</f>
        <v>테리</v>
      </c>
      <c r="K1838" s="26" t="str">
        <f>IFERROR(__xludf.DUMMYFUNCTION("""COMPUTED_VALUE"""),"강화")</f>
        <v>강화</v>
      </c>
      <c r="L1838" s="26" t="str">
        <f>IFERROR(__xludf.DUMMYFUNCTION("""COMPUTED_VALUE"""),"오크")</f>
        <v>오크</v>
      </c>
      <c r="M1838" s="26" t="str">
        <f>IFERROR(__xludf.DUMMYFUNCTION("""COMPUTED_VALUE"""),"짱구")</f>
        <v>짱구</v>
      </c>
      <c r="N1838" s="26" t="str">
        <f>IFERROR(__xludf.DUMMYFUNCTION("ARRAYFORMULA(REGEXEXTRACT(SPLIT(E1838, ""&lt;br&gt;""), ""([가-힣A-Za-z]+)""))"),"미르진")</f>
        <v>미르진</v>
      </c>
      <c r="O1838" s="26" t="str">
        <f>IFERROR(__xludf.DUMMYFUNCTION("""COMPUTED_VALUE"""),"신형만")</f>
        <v>신형만</v>
      </c>
      <c r="P1838" s="26" t="str">
        <f>IFERROR(__xludf.DUMMYFUNCTION("""COMPUTED_VALUE"""),"ACDC")</f>
        <v>ACDC</v>
      </c>
      <c r="Q1838" s="26" t="str">
        <f>IFERROR(__xludf.DUMMYFUNCTION("""COMPUTED_VALUE"""),"깡패")</f>
        <v>깡패</v>
      </c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  <c r="AB1838" s="18"/>
    </row>
    <row r="1839">
      <c r="A1839" s="31" t="s">
        <v>7609</v>
      </c>
      <c r="B1839" s="28" t="s">
        <v>7610</v>
      </c>
      <c r="C1839" s="27" t="s">
        <v>7611</v>
      </c>
      <c r="D1839" s="27">
        <v>5.0</v>
      </c>
      <c r="E1839" s="27" t="s">
        <v>7612</v>
      </c>
      <c r="F1839" s="27">
        <v>2.0</v>
      </c>
      <c r="G1839" s="29">
        <v>45475.90277777778</v>
      </c>
      <c r="H1839" s="27" t="s">
        <v>7316</v>
      </c>
      <c r="I1839" s="18"/>
      <c r="J1839" s="25" t="str">
        <f>IFERROR(__xludf.DUMMYFUNCTION("ARRAYFORMULA(REGEXEXTRACT(SPLIT(C1839, ""&lt;br&gt;""), ""([가-힣A-Za-z]+)""))"),"아이딘")</f>
        <v>아이딘</v>
      </c>
      <c r="K1839" s="26" t="str">
        <f>IFERROR(__xludf.DUMMYFUNCTION("""COMPUTED_VALUE"""),"테리")</f>
        <v>테리</v>
      </c>
      <c r="L1839" s="26" t="str">
        <f>IFERROR(__xludf.DUMMYFUNCTION("""COMPUTED_VALUE"""),"강화")</f>
        <v>강화</v>
      </c>
      <c r="M1839" s="26" t="str">
        <f>IFERROR(__xludf.DUMMYFUNCTION("""COMPUTED_VALUE"""),"오크")</f>
        <v>오크</v>
      </c>
      <c r="N1839" s="26" t="str">
        <f>IFERROR(__xludf.DUMMYFUNCTION("ARRAYFORMULA(REGEXEXTRACT(SPLIT(E1839, ""&lt;br&gt;""), ""([가-힣A-Za-z]+)""))"),"ACDC")</f>
        <v>ACDC</v>
      </c>
      <c r="O1839" s="26" t="str">
        <f>IFERROR(__xludf.DUMMYFUNCTION("""COMPUTED_VALUE"""),"깡패")</f>
        <v>깡패</v>
      </c>
      <c r="P1839" s="26" t="str">
        <f>IFERROR(__xludf.DUMMYFUNCTION("""COMPUTED_VALUE"""),"짱구")</f>
        <v>짱구</v>
      </c>
      <c r="Q1839" s="26" t="str">
        <f>IFERROR(__xludf.DUMMYFUNCTION("""COMPUTED_VALUE"""),"미르진")</f>
        <v>미르진</v>
      </c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  <c r="AB1839" s="18"/>
    </row>
    <row r="1840">
      <c r="A1840" s="31" t="s">
        <v>7613</v>
      </c>
      <c r="B1840" s="28" t="s">
        <v>7614</v>
      </c>
      <c r="C1840" s="27" t="s">
        <v>7615</v>
      </c>
      <c r="D1840" s="27">
        <v>5.0</v>
      </c>
      <c r="E1840" s="27" t="s">
        <v>7616</v>
      </c>
      <c r="F1840" s="27">
        <v>1.0</v>
      </c>
      <c r="G1840" s="29">
        <v>45475.77013888889</v>
      </c>
      <c r="H1840" s="27" t="s">
        <v>7316</v>
      </c>
      <c r="I1840" s="18"/>
      <c r="J1840" s="25" t="str">
        <f>IFERROR(__xludf.DUMMYFUNCTION("ARRAYFORMULA(REGEXEXTRACT(SPLIT(C1840, ""&lt;br&gt;""), ""([가-힣A-Za-z]+)""))"),"엘더")</f>
        <v>엘더</v>
      </c>
      <c r="K1840" s="26" t="str">
        <f>IFERROR(__xludf.DUMMYFUNCTION("""COMPUTED_VALUE"""),"깡패")</f>
        <v>깡패</v>
      </c>
      <c r="L1840" s="26" t="str">
        <f>IFERROR(__xludf.DUMMYFUNCTION("""COMPUTED_VALUE"""),"아이딘")</f>
        <v>아이딘</v>
      </c>
      <c r="M1840" s="26" t="str">
        <f>IFERROR(__xludf.DUMMYFUNCTION("""COMPUTED_VALUE"""),"신형만")</f>
        <v>신형만</v>
      </c>
      <c r="N1840" s="26" t="str">
        <f>IFERROR(__xludf.DUMMYFUNCTION("ARRAYFORMULA(REGEXEXTRACT(SPLIT(E1840, ""&lt;br&gt;""), ""([가-힣A-Za-z]+)""))"),"ACDC")</f>
        <v>ACDC</v>
      </c>
      <c r="O1840" s="26" t="str">
        <f>IFERROR(__xludf.DUMMYFUNCTION("""COMPUTED_VALUE"""),"만두")</f>
        <v>만두</v>
      </c>
      <c r="P1840" s="26" t="str">
        <f>IFERROR(__xludf.DUMMYFUNCTION("""COMPUTED_VALUE"""),"테리")</f>
        <v>테리</v>
      </c>
      <c r="Q1840" s="26" t="str">
        <f>IFERROR(__xludf.DUMMYFUNCTION("""COMPUTED_VALUE"""),"짱구")</f>
        <v>짱구</v>
      </c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  <c r="AB1840" s="18"/>
    </row>
    <row r="1841">
      <c r="A1841" s="31" t="s">
        <v>7617</v>
      </c>
      <c r="B1841" s="28" t="s">
        <v>7618</v>
      </c>
      <c r="C1841" s="27" t="s">
        <v>7619</v>
      </c>
      <c r="D1841" s="27">
        <v>5.0</v>
      </c>
      <c r="E1841" s="27" t="s">
        <v>7620</v>
      </c>
      <c r="F1841" s="27">
        <v>2.0</v>
      </c>
      <c r="G1841" s="29">
        <v>45475.74513888889</v>
      </c>
      <c r="H1841" s="27" t="s">
        <v>7316</v>
      </c>
      <c r="I1841" s="18"/>
      <c r="J1841" s="25" t="str">
        <f>IFERROR(__xludf.DUMMYFUNCTION("ARRAYFORMULA(REGEXEXTRACT(SPLIT(C1841, ""&lt;br&gt;""), ""([가-힣A-Za-z]+)""))"),"만두")</f>
        <v>만두</v>
      </c>
      <c r="K1841" s="26" t="str">
        <f>IFERROR(__xludf.DUMMYFUNCTION("""COMPUTED_VALUE"""),"신형만")</f>
        <v>신형만</v>
      </c>
      <c r="L1841" s="26" t="str">
        <f>IFERROR(__xludf.DUMMYFUNCTION("""COMPUTED_VALUE"""),"테리")</f>
        <v>테리</v>
      </c>
      <c r="M1841" s="26" t="str">
        <f>IFERROR(__xludf.DUMMYFUNCTION("""COMPUTED_VALUE"""),"깡패")</f>
        <v>깡패</v>
      </c>
      <c r="N1841" s="26" t="str">
        <f>IFERROR(__xludf.DUMMYFUNCTION("ARRAYFORMULA(REGEXEXTRACT(SPLIT(E1841, ""&lt;br&gt;""), ""([가-힣A-Za-z]+)""))"),"엘더")</f>
        <v>엘더</v>
      </c>
      <c r="O1841" s="26" t="str">
        <f>IFERROR(__xludf.DUMMYFUNCTION("""COMPUTED_VALUE"""),"ACDC")</f>
        <v>ACDC</v>
      </c>
      <c r="P1841" s="26" t="str">
        <f>IFERROR(__xludf.DUMMYFUNCTION("""COMPUTED_VALUE"""),"아이딘")</f>
        <v>아이딘</v>
      </c>
      <c r="Q1841" s="26" t="str">
        <f>IFERROR(__xludf.DUMMYFUNCTION("""COMPUTED_VALUE"""),"악동")</f>
        <v>악동</v>
      </c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</row>
    <row r="1842">
      <c r="A1842" s="31" t="s">
        <v>7621</v>
      </c>
      <c r="B1842" s="28" t="s">
        <v>7622</v>
      </c>
      <c r="C1842" s="27" t="s">
        <v>7623</v>
      </c>
      <c r="D1842" s="27">
        <v>5.0</v>
      </c>
      <c r="E1842" s="27" t="s">
        <v>7624</v>
      </c>
      <c r="F1842" s="27">
        <v>3.0</v>
      </c>
      <c r="G1842" s="29">
        <v>45475.720138888886</v>
      </c>
      <c r="H1842" s="27" t="s">
        <v>7316</v>
      </c>
      <c r="I1842" s="18"/>
      <c r="J1842" s="25" t="str">
        <f>IFERROR(__xludf.DUMMYFUNCTION("ARRAYFORMULA(REGEXEXTRACT(SPLIT(C1842, ""&lt;br&gt;""), ""([가-힣A-Za-z]+)""))"),"엘더")</f>
        <v>엘더</v>
      </c>
      <c r="K1842" s="26" t="str">
        <f>IFERROR(__xludf.DUMMYFUNCTION("""COMPUTED_VALUE"""),"테리")</f>
        <v>테리</v>
      </c>
      <c r="L1842" s="26" t="str">
        <f>IFERROR(__xludf.DUMMYFUNCTION("""COMPUTED_VALUE"""),"만두")</f>
        <v>만두</v>
      </c>
      <c r="M1842" s="26" t="str">
        <f>IFERROR(__xludf.DUMMYFUNCTION("""COMPUTED_VALUE"""),"깡패")</f>
        <v>깡패</v>
      </c>
      <c r="N1842" s="26" t="str">
        <f>IFERROR(__xludf.DUMMYFUNCTION("ARRAYFORMULA(REGEXEXTRACT(SPLIT(E1842, ""&lt;br&gt;""), ""([가-힣A-Za-z]+)""))"),"신형만")</f>
        <v>신형만</v>
      </c>
      <c r="O1842" s="26" t="str">
        <f>IFERROR(__xludf.DUMMYFUNCTION("""COMPUTED_VALUE"""),"ACDC")</f>
        <v>ACDC</v>
      </c>
      <c r="P1842" s="26" t="str">
        <f>IFERROR(__xludf.DUMMYFUNCTION("""COMPUTED_VALUE"""),"아이딘")</f>
        <v>아이딘</v>
      </c>
      <c r="Q1842" s="26" t="str">
        <f>IFERROR(__xludf.DUMMYFUNCTION("""COMPUTED_VALUE"""),"악동")</f>
        <v>악동</v>
      </c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  <c r="AB1842" s="18"/>
    </row>
    <row r="1843">
      <c r="A1843" s="31" t="s">
        <v>7625</v>
      </c>
      <c r="B1843" s="28" t="s">
        <v>7626</v>
      </c>
      <c r="C1843" s="27" t="s">
        <v>7627</v>
      </c>
      <c r="D1843" s="27">
        <v>5.0</v>
      </c>
      <c r="E1843" s="27" t="s">
        <v>7628</v>
      </c>
      <c r="F1843" s="27">
        <v>0.0</v>
      </c>
      <c r="G1843" s="29">
        <v>45475.69513888889</v>
      </c>
      <c r="H1843" s="27" t="s">
        <v>7316</v>
      </c>
      <c r="I1843" s="18"/>
      <c r="J1843" s="25" t="str">
        <f>IFERROR(__xludf.DUMMYFUNCTION("ARRAYFORMULA(REGEXEXTRACT(SPLIT(C1843, ""&lt;br&gt;""), ""([가-힣A-Za-z]+)""))"),"신형만")</f>
        <v>신형만</v>
      </c>
      <c r="K1843" s="26" t="str">
        <f>IFERROR(__xludf.DUMMYFUNCTION("""COMPUTED_VALUE"""),"엘더")</f>
        <v>엘더</v>
      </c>
      <c r="L1843" s="26" t="str">
        <f>IFERROR(__xludf.DUMMYFUNCTION("""COMPUTED_VALUE"""),"ACDC")</f>
        <v>ACDC</v>
      </c>
      <c r="M1843" s="26" t="str">
        <f>IFERROR(__xludf.DUMMYFUNCTION("""COMPUTED_VALUE"""),"악동")</f>
        <v>악동</v>
      </c>
      <c r="N1843" s="26" t="str">
        <f>IFERROR(__xludf.DUMMYFUNCTION("ARRAYFORMULA(REGEXEXTRACT(SPLIT(E1843, ""&lt;br&gt;""), ""([가-힣A-Za-z]+)""))"),"테리")</f>
        <v>테리</v>
      </c>
      <c r="O1843" s="26" t="str">
        <f>IFERROR(__xludf.DUMMYFUNCTION("""COMPUTED_VALUE"""),"만두")</f>
        <v>만두</v>
      </c>
      <c r="P1843" s="26" t="str">
        <f>IFERROR(__xludf.DUMMYFUNCTION("""COMPUTED_VALUE"""),"아이딘")</f>
        <v>아이딘</v>
      </c>
      <c r="Q1843" s="26" t="str">
        <f>IFERROR(__xludf.DUMMYFUNCTION("""COMPUTED_VALUE"""),"깡패")</f>
        <v>깡패</v>
      </c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  <c r="AB1843" s="18"/>
    </row>
    <row r="1844">
      <c r="A1844" s="31" t="s">
        <v>7629</v>
      </c>
      <c r="B1844" s="28" t="s">
        <v>7630</v>
      </c>
      <c r="C1844" s="27" t="s">
        <v>7631</v>
      </c>
      <c r="D1844" s="27">
        <v>5.0</v>
      </c>
      <c r="E1844" s="27" t="s">
        <v>7632</v>
      </c>
      <c r="F1844" s="27">
        <v>1.0</v>
      </c>
      <c r="G1844" s="29">
        <v>45475.055555555555</v>
      </c>
      <c r="H1844" s="27" t="s">
        <v>7316</v>
      </c>
      <c r="I1844" s="18"/>
      <c r="J1844" s="25" t="str">
        <f>IFERROR(__xludf.DUMMYFUNCTION("ARRAYFORMULA(REGEXEXTRACT(SPLIT(C1844, ""&lt;br&gt;""), ""([가-힣A-Za-z]+)""))"),"테리")</f>
        <v>테리</v>
      </c>
      <c r="K1844" s="26" t="str">
        <f>IFERROR(__xludf.DUMMYFUNCTION("""COMPUTED_VALUE"""),"깡패")</f>
        <v>깡패</v>
      </c>
      <c r="L1844" s="26" t="str">
        <f>IFERROR(__xludf.DUMMYFUNCTION("""COMPUTED_VALUE"""),"신형만")</f>
        <v>신형만</v>
      </c>
      <c r="M1844" s="26" t="str">
        <f>IFERROR(__xludf.DUMMYFUNCTION("""COMPUTED_VALUE"""),"짱구")</f>
        <v>짱구</v>
      </c>
      <c r="N1844" s="26" t="str">
        <f>IFERROR(__xludf.DUMMYFUNCTION("ARRAYFORMULA(REGEXEXTRACT(SPLIT(E1844, ""&lt;br&gt;""), ""([가-힣A-Za-z]+)""))"),"재명")</f>
        <v>재명</v>
      </c>
      <c r="O1844" s="26" t="str">
        <f>IFERROR(__xludf.DUMMYFUNCTION("""COMPUTED_VALUE"""),"오크")</f>
        <v>오크</v>
      </c>
      <c r="P1844" s="26" t="str">
        <f>IFERROR(__xludf.DUMMYFUNCTION("""COMPUTED_VALUE"""),"ACDC")</f>
        <v>ACDC</v>
      </c>
      <c r="Q1844" s="26" t="str">
        <f>IFERROR(__xludf.DUMMYFUNCTION("""COMPUTED_VALUE"""),"혀니")</f>
        <v>혀니</v>
      </c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  <c r="AB1844" s="18"/>
    </row>
    <row r="1845">
      <c r="A1845" s="31" t="s">
        <v>7633</v>
      </c>
      <c r="B1845" s="28" t="s">
        <v>7634</v>
      </c>
      <c r="C1845" s="27" t="s">
        <v>7635</v>
      </c>
      <c r="D1845" s="27">
        <v>5.0</v>
      </c>
      <c r="E1845" s="27" t="s">
        <v>7636</v>
      </c>
      <c r="F1845" s="27">
        <v>3.0</v>
      </c>
      <c r="G1845" s="29">
        <v>45475.041666666664</v>
      </c>
      <c r="H1845" s="27" t="s">
        <v>7316</v>
      </c>
      <c r="I1845" s="18"/>
      <c r="J1845" s="25" t="str">
        <f>IFERROR(__xludf.DUMMYFUNCTION("ARRAYFORMULA(REGEXEXTRACT(SPLIT(C1845, ""&lt;br&gt;""), ""([가-힣A-Za-z]+)""))"),"테리")</f>
        <v>테리</v>
      </c>
      <c r="K1845" s="26" t="str">
        <f>IFERROR(__xludf.DUMMYFUNCTION("""COMPUTED_VALUE"""),"짱구")</f>
        <v>짱구</v>
      </c>
      <c r="L1845" s="26" t="str">
        <f>IFERROR(__xludf.DUMMYFUNCTION("""COMPUTED_VALUE"""),"오크")</f>
        <v>오크</v>
      </c>
      <c r="M1845" s="26" t="str">
        <f>IFERROR(__xludf.DUMMYFUNCTION("""COMPUTED_VALUE"""),"혀니")</f>
        <v>혀니</v>
      </c>
      <c r="N1845" s="26" t="str">
        <f>IFERROR(__xludf.DUMMYFUNCTION("ARRAYFORMULA(REGEXEXTRACT(SPLIT(E1845, ""&lt;br&gt;""), ""([가-힣A-Za-z]+)""))"),"ACDC")</f>
        <v>ACDC</v>
      </c>
      <c r="O1845" s="26" t="str">
        <f>IFERROR(__xludf.DUMMYFUNCTION("""COMPUTED_VALUE"""),"깡패")</f>
        <v>깡패</v>
      </c>
      <c r="P1845" s="26" t="str">
        <f>IFERROR(__xludf.DUMMYFUNCTION("""COMPUTED_VALUE"""),"신형만")</f>
        <v>신형만</v>
      </c>
      <c r="Q1845" s="26" t="str">
        <f>IFERROR(__xludf.DUMMYFUNCTION("""COMPUTED_VALUE"""),"재명")</f>
        <v>재명</v>
      </c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</row>
    <row r="1846">
      <c r="A1846" s="31" t="s">
        <v>7637</v>
      </c>
      <c r="B1846" s="28" t="s">
        <v>7638</v>
      </c>
      <c r="C1846" s="27" t="s">
        <v>7639</v>
      </c>
      <c r="D1846" s="27">
        <v>5.0</v>
      </c>
      <c r="E1846" s="27" t="s">
        <v>7640</v>
      </c>
      <c r="F1846" s="27">
        <v>0.0</v>
      </c>
      <c r="G1846" s="29">
        <v>45475.018055555556</v>
      </c>
      <c r="H1846" s="27" t="s">
        <v>7316</v>
      </c>
      <c r="I1846" s="18"/>
      <c r="J1846" s="25" t="str">
        <f>IFERROR(__xludf.DUMMYFUNCTION("ARRAYFORMULA(REGEXEXTRACT(SPLIT(C1846, ""&lt;br&gt;""), ""([가-힣A-Za-z]+)""))"),"오크")</f>
        <v>오크</v>
      </c>
      <c r="K1846" s="26" t="str">
        <f>IFERROR(__xludf.DUMMYFUNCTION("""COMPUTED_VALUE"""),"깡패")</f>
        <v>깡패</v>
      </c>
      <c r="L1846" s="26" t="str">
        <f>IFERROR(__xludf.DUMMYFUNCTION("""COMPUTED_VALUE"""),"강화")</f>
        <v>강화</v>
      </c>
      <c r="M1846" s="26" t="str">
        <f>IFERROR(__xludf.DUMMYFUNCTION("""COMPUTED_VALUE"""),"신형만")</f>
        <v>신형만</v>
      </c>
      <c r="N1846" s="26" t="str">
        <f>IFERROR(__xludf.DUMMYFUNCTION("ARRAYFORMULA(REGEXEXTRACT(SPLIT(E1846, ""&lt;br&gt;""), ""([가-힣A-Za-z]+)""))"),"테리")</f>
        <v>테리</v>
      </c>
      <c r="O1846" s="26" t="str">
        <f>IFERROR(__xludf.DUMMYFUNCTION("""COMPUTED_VALUE"""),"짱구")</f>
        <v>짱구</v>
      </c>
      <c r="P1846" s="26" t="str">
        <f>IFERROR(__xludf.DUMMYFUNCTION("""COMPUTED_VALUE"""),"ACDC")</f>
        <v>ACDC</v>
      </c>
      <c r="Q1846" s="26" t="str">
        <f>IFERROR(__xludf.DUMMYFUNCTION("""COMPUTED_VALUE"""),"재명")</f>
        <v>재명</v>
      </c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</row>
    <row r="1847">
      <c r="A1847" s="31" t="s">
        <v>7641</v>
      </c>
      <c r="B1847" s="28" t="s">
        <v>7642</v>
      </c>
      <c r="C1847" s="27" t="s">
        <v>7643</v>
      </c>
      <c r="D1847" s="27">
        <v>5.0</v>
      </c>
      <c r="E1847" s="27" t="s">
        <v>7644</v>
      </c>
      <c r="F1847" s="27">
        <v>1.0</v>
      </c>
      <c r="G1847" s="29">
        <v>45475.0</v>
      </c>
      <c r="H1847" s="27" t="s">
        <v>7316</v>
      </c>
      <c r="I1847" s="18"/>
      <c r="J1847" s="25" t="str">
        <f>IFERROR(__xludf.DUMMYFUNCTION("ARRAYFORMULA(REGEXEXTRACT(SPLIT(C1847, ""&lt;br&gt;""), ""([가-힣A-Za-z]+)""))"),"짱구")</f>
        <v>짱구</v>
      </c>
      <c r="K1847" s="26" t="str">
        <f>IFERROR(__xludf.DUMMYFUNCTION("""COMPUTED_VALUE"""),"재명")</f>
        <v>재명</v>
      </c>
      <c r="L1847" s="26" t="str">
        <f>IFERROR(__xludf.DUMMYFUNCTION("""COMPUTED_VALUE"""),"한메")</f>
        <v>한메</v>
      </c>
      <c r="M1847" s="26" t="str">
        <f>IFERROR(__xludf.DUMMYFUNCTION("""COMPUTED_VALUE"""),"오크")</f>
        <v>오크</v>
      </c>
      <c r="N1847" s="26" t="str">
        <f>IFERROR(__xludf.DUMMYFUNCTION("ARRAYFORMULA(REGEXEXTRACT(SPLIT(E1847, ""&lt;br&gt;""), ""([가-힣A-Za-z]+)""))"),"신형만")</f>
        <v>신형만</v>
      </c>
      <c r="O1847" s="26" t="str">
        <f>IFERROR(__xludf.DUMMYFUNCTION("""COMPUTED_VALUE"""),"테리")</f>
        <v>테리</v>
      </c>
      <c r="P1847" s="26" t="str">
        <f>IFERROR(__xludf.DUMMYFUNCTION("""COMPUTED_VALUE"""),"강화")</f>
        <v>강화</v>
      </c>
      <c r="Q1847" s="26" t="str">
        <f>IFERROR(__xludf.DUMMYFUNCTION("""COMPUTED_VALUE"""),"혀니")</f>
        <v>혀니</v>
      </c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</row>
    <row r="1848">
      <c r="A1848" s="31" t="s">
        <v>7645</v>
      </c>
      <c r="B1848" s="28" t="s">
        <v>7646</v>
      </c>
      <c r="C1848" s="27" t="s">
        <v>7647</v>
      </c>
      <c r="D1848" s="27">
        <v>5.0</v>
      </c>
      <c r="E1848" s="27" t="s">
        <v>7648</v>
      </c>
      <c r="F1848" s="27">
        <v>1.0</v>
      </c>
      <c r="G1848" s="29">
        <v>45474.98055555556</v>
      </c>
      <c r="H1848" s="27" t="s">
        <v>7316</v>
      </c>
      <c r="I1848" s="18"/>
      <c r="J1848" s="25" t="str">
        <f>IFERROR(__xludf.DUMMYFUNCTION("ARRAYFORMULA(REGEXEXTRACT(SPLIT(C1848, ""&lt;br&gt;""), ""([가-힣A-Za-z]+)""))"),"신형만")</f>
        <v>신형만</v>
      </c>
      <c r="K1848" s="26" t="str">
        <f>IFERROR(__xludf.DUMMYFUNCTION("""COMPUTED_VALUE"""),"오크")</f>
        <v>오크</v>
      </c>
      <c r="L1848" s="26" t="str">
        <f>IFERROR(__xludf.DUMMYFUNCTION("""COMPUTED_VALUE"""),"강화")</f>
        <v>강화</v>
      </c>
      <c r="M1848" s="26" t="str">
        <f>IFERROR(__xludf.DUMMYFUNCTION("""COMPUTED_VALUE"""),"혀니")</f>
        <v>혀니</v>
      </c>
      <c r="N1848" s="26" t="str">
        <f>IFERROR(__xludf.DUMMYFUNCTION("ARRAYFORMULA(REGEXEXTRACT(SPLIT(E1848, ""&lt;br&gt;""), ""([가-힣A-Za-z]+)""))"),"테리")</f>
        <v>테리</v>
      </c>
      <c r="O1848" s="26" t="str">
        <f>IFERROR(__xludf.DUMMYFUNCTION("""COMPUTED_VALUE"""),"한메")</f>
        <v>한메</v>
      </c>
      <c r="P1848" s="26" t="str">
        <f>IFERROR(__xludf.DUMMYFUNCTION("""COMPUTED_VALUE"""),"짱구")</f>
        <v>짱구</v>
      </c>
      <c r="Q1848" s="26" t="str">
        <f>IFERROR(__xludf.DUMMYFUNCTION("""COMPUTED_VALUE"""),"재명")</f>
        <v>재명</v>
      </c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</row>
    <row r="1849">
      <c r="A1849" s="31" t="s">
        <v>7649</v>
      </c>
      <c r="B1849" s="28" t="s">
        <v>7650</v>
      </c>
      <c r="C1849" s="27" t="s">
        <v>7651</v>
      </c>
      <c r="D1849" s="27">
        <v>5.0</v>
      </c>
      <c r="E1849" s="27" t="s">
        <v>7652</v>
      </c>
      <c r="F1849" s="27">
        <v>3.0</v>
      </c>
      <c r="G1849" s="29">
        <v>45474.96388888889</v>
      </c>
      <c r="H1849" s="27" t="s">
        <v>7316</v>
      </c>
      <c r="I1849" s="18"/>
      <c r="J1849" s="25" t="str">
        <f>IFERROR(__xludf.DUMMYFUNCTION("ARRAYFORMULA(REGEXEXTRACT(SPLIT(C1849, ""&lt;br&gt;""), ""([가-힣A-Za-z]+)""))"),"테리")</f>
        <v>테리</v>
      </c>
      <c r="K1849" s="26" t="str">
        <f>IFERROR(__xludf.DUMMYFUNCTION("""COMPUTED_VALUE"""),"신형만")</f>
        <v>신형만</v>
      </c>
      <c r="L1849" s="26" t="str">
        <f>IFERROR(__xludf.DUMMYFUNCTION("""COMPUTED_VALUE"""),"오크")</f>
        <v>오크</v>
      </c>
      <c r="M1849" s="26" t="str">
        <f>IFERROR(__xludf.DUMMYFUNCTION("""COMPUTED_VALUE"""),"재명")</f>
        <v>재명</v>
      </c>
      <c r="N1849" s="26" t="str">
        <f>IFERROR(__xludf.DUMMYFUNCTION("ARRAYFORMULA(REGEXEXTRACT(SPLIT(E1849, ""&lt;br&gt;""), ""([가-힣A-Za-z]+)""))"),"한메")</f>
        <v>한메</v>
      </c>
      <c r="O1849" s="26" t="str">
        <f>IFERROR(__xludf.DUMMYFUNCTION("""COMPUTED_VALUE"""),"짱구")</f>
        <v>짱구</v>
      </c>
      <c r="P1849" s="26" t="str">
        <f>IFERROR(__xludf.DUMMYFUNCTION("""COMPUTED_VALUE"""),"강화")</f>
        <v>강화</v>
      </c>
      <c r="Q1849" s="26" t="str">
        <f>IFERROR(__xludf.DUMMYFUNCTION("""COMPUTED_VALUE"""),"혀니")</f>
        <v>혀니</v>
      </c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  <c r="AB1849" s="18"/>
    </row>
    <row r="1850">
      <c r="A1850" s="31" t="s">
        <v>7653</v>
      </c>
      <c r="B1850" s="28" t="s">
        <v>7654</v>
      </c>
      <c r="C1850" s="27" t="s">
        <v>7655</v>
      </c>
      <c r="D1850" s="27">
        <v>5.0</v>
      </c>
      <c r="E1850" s="27" t="s">
        <v>7656</v>
      </c>
      <c r="F1850" s="27">
        <v>3.0</v>
      </c>
      <c r="G1850" s="29">
        <v>45474.938888888886</v>
      </c>
      <c r="H1850" s="27" t="s">
        <v>7316</v>
      </c>
      <c r="I1850" s="18"/>
      <c r="J1850" s="25" t="str">
        <f>IFERROR(__xludf.DUMMYFUNCTION("ARRAYFORMULA(REGEXEXTRACT(SPLIT(C1850, ""&lt;br&gt;""), ""([가-힣A-Za-z]+)""))"),"오크")</f>
        <v>오크</v>
      </c>
      <c r="K1850" s="26" t="str">
        <f>IFERROR(__xludf.DUMMYFUNCTION("""COMPUTED_VALUE"""),"강화")</f>
        <v>강화</v>
      </c>
      <c r="L1850" s="26" t="str">
        <f>IFERROR(__xludf.DUMMYFUNCTION("""COMPUTED_VALUE"""),"재명")</f>
        <v>재명</v>
      </c>
      <c r="M1850" s="26" t="str">
        <f>IFERROR(__xludf.DUMMYFUNCTION("""COMPUTED_VALUE"""),"엘더")</f>
        <v>엘더</v>
      </c>
      <c r="N1850" s="26" t="str">
        <f>IFERROR(__xludf.DUMMYFUNCTION("ARRAYFORMULA(REGEXEXTRACT(SPLIT(E1850, ""&lt;br&gt;""), ""([가-힣A-Za-z]+)""))"),"테리")</f>
        <v>테리</v>
      </c>
      <c r="O1850" s="26" t="str">
        <f>IFERROR(__xludf.DUMMYFUNCTION("""COMPUTED_VALUE"""),"한메")</f>
        <v>한메</v>
      </c>
      <c r="P1850" s="26" t="str">
        <f>IFERROR(__xludf.DUMMYFUNCTION("""COMPUTED_VALUE"""),"신형만")</f>
        <v>신형만</v>
      </c>
      <c r="Q1850" s="26" t="str">
        <f>IFERROR(__xludf.DUMMYFUNCTION("""COMPUTED_VALUE"""),"혀니")</f>
        <v>혀니</v>
      </c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  <c r="AB1850" s="18"/>
    </row>
    <row r="1851">
      <c r="A1851" s="31" t="s">
        <v>7657</v>
      </c>
      <c r="B1851" s="28" t="s">
        <v>7658</v>
      </c>
      <c r="C1851" s="27" t="s">
        <v>7659</v>
      </c>
      <c r="D1851" s="27">
        <v>5.0</v>
      </c>
      <c r="E1851" s="27" t="s">
        <v>7660</v>
      </c>
      <c r="F1851" s="27">
        <v>1.0</v>
      </c>
      <c r="G1851" s="29">
        <v>45474.90694444445</v>
      </c>
      <c r="H1851" s="27" t="s">
        <v>7316</v>
      </c>
      <c r="I1851" s="18"/>
      <c r="J1851" s="25" t="str">
        <f>IFERROR(__xludf.DUMMYFUNCTION("ARRAYFORMULA(REGEXEXTRACT(SPLIT(C1851, ""&lt;br&gt;""), ""([가-힣A-Za-z]+)""))"),"강화")</f>
        <v>강화</v>
      </c>
      <c r="K1851" s="26" t="str">
        <f>IFERROR(__xludf.DUMMYFUNCTION("""COMPUTED_VALUE"""),"테리")</f>
        <v>테리</v>
      </c>
      <c r="L1851" s="26" t="str">
        <f>IFERROR(__xludf.DUMMYFUNCTION("""COMPUTED_VALUE"""),"한메")</f>
        <v>한메</v>
      </c>
      <c r="M1851" s="26" t="str">
        <f>IFERROR(__xludf.DUMMYFUNCTION("""COMPUTED_VALUE"""),"엘더")</f>
        <v>엘더</v>
      </c>
      <c r="N1851" s="26" t="str">
        <f>IFERROR(__xludf.DUMMYFUNCTION("ARRAYFORMULA(REGEXEXTRACT(SPLIT(E1851, ""&lt;br&gt;""), ""([가-힣A-Za-z]+)""))"),"오크")</f>
        <v>오크</v>
      </c>
      <c r="O1851" s="26" t="str">
        <f>IFERROR(__xludf.DUMMYFUNCTION("""COMPUTED_VALUE"""),"재명")</f>
        <v>재명</v>
      </c>
      <c r="P1851" s="26" t="str">
        <f>IFERROR(__xludf.DUMMYFUNCTION("""COMPUTED_VALUE"""),"ACDC")</f>
        <v>ACDC</v>
      </c>
      <c r="Q1851" s="26" t="str">
        <f>IFERROR(__xludf.DUMMYFUNCTION("""COMPUTED_VALUE"""),"혀니")</f>
        <v>혀니</v>
      </c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</row>
    <row r="1852">
      <c r="A1852" s="31" t="s">
        <v>7661</v>
      </c>
      <c r="B1852" s="28" t="s">
        <v>7662</v>
      </c>
      <c r="C1852" s="27" t="s">
        <v>7663</v>
      </c>
      <c r="D1852" s="27">
        <v>5.0</v>
      </c>
      <c r="E1852" s="27" t="s">
        <v>7664</v>
      </c>
      <c r="F1852" s="27">
        <v>3.0</v>
      </c>
      <c r="G1852" s="29">
        <v>45474.76180555556</v>
      </c>
      <c r="H1852" s="27" t="s">
        <v>7316</v>
      </c>
      <c r="I1852" s="18"/>
      <c r="J1852" s="25" t="str">
        <f>IFERROR(__xludf.DUMMYFUNCTION("ARRAYFORMULA(REGEXEXTRACT(SPLIT(C1852, ""&lt;br&gt;""), ""([가-힣A-Za-z]+)""))"),"악동")</f>
        <v>악동</v>
      </c>
      <c r="K1852" s="26" t="str">
        <f>IFERROR(__xludf.DUMMYFUNCTION("""COMPUTED_VALUE"""),"테리")</f>
        <v>테리</v>
      </c>
      <c r="L1852" s="26" t="str">
        <f>IFERROR(__xludf.DUMMYFUNCTION("""COMPUTED_VALUE"""),"ACDC")</f>
        <v>ACDC</v>
      </c>
      <c r="M1852" s="26" t="str">
        <f>IFERROR(__xludf.DUMMYFUNCTION("""COMPUTED_VALUE"""),"신형만")</f>
        <v>신형만</v>
      </c>
      <c r="N1852" s="26" t="str">
        <f>IFERROR(__xludf.DUMMYFUNCTION("ARRAYFORMULA(REGEXEXTRACT(SPLIT(E1852, ""&lt;br&gt;""), ""([가-힣A-Za-z]+)""))"),"강화")</f>
        <v>강화</v>
      </c>
      <c r="O1852" s="26" t="str">
        <f>IFERROR(__xludf.DUMMYFUNCTION("""COMPUTED_VALUE"""),"오크")</f>
        <v>오크</v>
      </c>
      <c r="P1852" s="26" t="str">
        <f>IFERROR(__xludf.DUMMYFUNCTION("""COMPUTED_VALUE"""),"아이딘")</f>
        <v>아이딘</v>
      </c>
      <c r="Q1852" s="26" t="str">
        <f>IFERROR(__xludf.DUMMYFUNCTION("""COMPUTED_VALUE"""),"재명")</f>
        <v>재명</v>
      </c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  <c r="AB1852" s="18"/>
    </row>
    <row r="1853">
      <c r="A1853" s="31" t="s">
        <v>7665</v>
      </c>
      <c r="B1853" s="28" t="s">
        <v>7666</v>
      </c>
      <c r="C1853" s="27" t="s">
        <v>7667</v>
      </c>
      <c r="D1853" s="27">
        <v>5.0</v>
      </c>
      <c r="E1853" s="27" t="s">
        <v>7668</v>
      </c>
      <c r="F1853" s="27">
        <v>1.0</v>
      </c>
      <c r="G1853" s="29">
        <v>45474.73888888889</v>
      </c>
      <c r="H1853" s="27" t="s">
        <v>7316</v>
      </c>
      <c r="I1853" s="18"/>
      <c r="J1853" s="25" t="str">
        <f>IFERROR(__xludf.DUMMYFUNCTION("ARRAYFORMULA(REGEXEXTRACT(SPLIT(C1853, ""&lt;br&gt;""), ""([가-힣A-Za-z]+)""))"),"신형만")</f>
        <v>신형만</v>
      </c>
      <c r="K1853" s="26" t="str">
        <f>IFERROR(__xludf.DUMMYFUNCTION("""COMPUTED_VALUE"""),"재명")</f>
        <v>재명</v>
      </c>
      <c r="L1853" s="26" t="str">
        <f>IFERROR(__xludf.DUMMYFUNCTION("""COMPUTED_VALUE"""),"ACDC")</f>
        <v>ACDC</v>
      </c>
      <c r="M1853" s="26" t="str">
        <f>IFERROR(__xludf.DUMMYFUNCTION("""COMPUTED_VALUE"""),"오크")</f>
        <v>오크</v>
      </c>
      <c r="N1853" s="26" t="str">
        <f>IFERROR(__xludf.DUMMYFUNCTION("ARRAYFORMULA(REGEXEXTRACT(SPLIT(E1853, ""&lt;br&gt;""), ""([가-힣A-Za-z]+)""))"),"테리")</f>
        <v>테리</v>
      </c>
      <c r="O1853" s="26" t="str">
        <f>IFERROR(__xludf.DUMMYFUNCTION("""COMPUTED_VALUE"""),"깡패")</f>
        <v>깡패</v>
      </c>
      <c r="P1853" s="26" t="str">
        <f>IFERROR(__xludf.DUMMYFUNCTION("""COMPUTED_VALUE"""),"악동")</f>
        <v>악동</v>
      </c>
      <c r="Q1853" s="26" t="str">
        <f>IFERROR(__xludf.DUMMYFUNCTION("""COMPUTED_VALUE"""),"강화")</f>
        <v>강화</v>
      </c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</row>
    <row r="1854">
      <c r="A1854" s="31" t="s">
        <v>7669</v>
      </c>
      <c r="B1854" s="28" t="s">
        <v>7670</v>
      </c>
      <c r="C1854" s="27" t="s">
        <v>7671</v>
      </c>
      <c r="D1854" s="27">
        <v>5.0</v>
      </c>
      <c r="E1854" s="27" t="s">
        <v>7672</v>
      </c>
      <c r="F1854" s="27">
        <v>2.0</v>
      </c>
      <c r="G1854" s="29">
        <v>45474.711805555555</v>
      </c>
      <c r="H1854" s="27" t="s">
        <v>7316</v>
      </c>
      <c r="I1854" s="18"/>
      <c r="J1854" s="25" t="str">
        <f>IFERROR(__xludf.DUMMYFUNCTION("ARRAYFORMULA(REGEXEXTRACT(SPLIT(C1854, ""&lt;br&gt;""), ""([가-힣A-Za-z]+)""))"),"신형만")</f>
        <v>신형만</v>
      </c>
      <c r="K1854" s="26" t="str">
        <f>IFERROR(__xludf.DUMMYFUNCTION("""COMPUTED_VALUE"""),"오크")</f>
        <v>오크</v>
      </c>
      <c r="L1854" s="26" t="str">
        <f>IFERROR(__xludf.DUMMYFUNCTION("""COMPUTED_VALUE"""),"테리")</f>
        <v>테리</v>
      </c>
      <c r="M1854" s="26" t="str">
        <f>IFERROR(__xludf.DUMMYFUNCTION("""COMPUTED_VALUE"""),"강화")</f>
        <v>강화</v>
      </c>
      <c r="N1854" s="26" t="str">
        <f>IFERROR(__xludf.DUMMYFUNCTION("ARRAYFORMULA(REGEXEXTRACT(SPLIT(E1854, ""&lt;br&gt;""), ""([가-힣A-Za-z]+)""))"),"재명")</f>
        <v>재명</v>
      </c>
      <c r="O1854" s="26" t="str">
        <f>IFERROR(__xludf.DUMMYFUNCTION("""COMPUTED_VALUE"""),"깡패")</f>
        <v>깡패</v>
      </c>
      <c r="P1854" s="26" t="str">
        <f>IFERROR(__xludf.DUMMYFUNCTION("""COMPUTED_VALUE"""),"ACDC")</f>
        <v>ACDC</v>
      </c>
      <c r="Q1854" s="26" t="str">
        <f>IFERROR(__xludf.DUMMYFUNCTION("""COMPUTED_VALUE"""),"악동")</f>
        <v>악동</v>
      </c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</row>
    <row r="1855">
      <c r="A1855" s="31" t="s">
        <v>7673</v>
      </c>
      <c r="B1855" s="28" t="s">
        <v>7674</v>
      </c>
      <c r="C1855" s="27" t="s">
        <v>7675</v>
      </c>
      <c r="D1855" s="27">
        <v>5.0</v>
      </c>
      <c r="E1855" s="27" t="s">
        <v>7676</v>
      </c>
      <c r="F1855" s="27">
        <v>1.0</v>
      </c>
      <c r="G1855" s="29">
        <v>45474.68819444445</v>
      </c>
      <c r="H1855" s="27" t="s">
        <v>7316</v>
      </c>
      <c r="I1855" s="18"/>
      <c r="J1855" s="25" t="str">
        <f>IFERROR(__xludf.DUMMYFUNCTION("ARRAYFORMULA(REGEXEXTRACT(SPLIT(C1855, ""&lt;br&gt;""), ""([가-힣A-Za-z]+)""))"),"강화")</f>
        <v>강화</v>
      </c>
      <c r="K1855" s="26" t="str">
        <f>IFERROR(__xludf.DUMMYFUNCTION("""COMPUTED_VALUE"""),"신형만")</f>
        <v>신형만</v>
      </c>
      <c r="L1855" s="26" t="str">
        <f>IFERROR(__xludf.DUMMYFUNCTION("""COMPUTED_VALUE"""),"오크")</f>
        <v>오크</v>
      </c>
      <c r="M1855" s="26" t="str">
        <f>IFERROR(__xludf.DUMMYFUNCTION("""COMPUTED_VALUE"""),"깡패")</f>
        <v>깡패</v>
      </c>
      <c r="N1855" s="26" t="str">
        <f>IFERROR(__xludf.DUMMYFUNCTION("ARRAYFORMULA(REGEXEXTRACT(SPLIT(E1855, ""&lt;br&gt;""), ""([가-힣A-Za-z]+)""))"),"재명")</f>
        <v>재명</v>
      </c>
      <c r="O1855" s="26" t="str">
        <f>IFERROR(__xludf.DUMMYFUNCTION("""COMPUTED_VALUE"""),"테리")</f>
        <v>테리</v>
      </c>
      <c r="P1855" s="26" t="str">
        <f>IFERROR(__xludf.DUMMYFUNCTION("""COMPUTED_VALUE"""),"악동")</f>
        <v>악동</v>
      </c>
      <c r="Q1855" s="26" t="str">
        <f>IFERROR(__xludf.DUMMYFUNCTION("""COMPUTED_VALUE"""),"ACDC")</f>
        <v>ACDC</v>
      </c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</row>
    <row r="1856">
      <c r="A1856" s="31" t="s">
        <v>7677</v>
      </c>
      <c r="B1856" s="28" t="s">
        <v>7678</v>
      </c>
      <c r="C1856" s="27" t="s">
        <v>7679</v>
      </c>
      <c r="D1856" s="27">
        <v>5.0</v>
      </c>
      <c r="E1856" s="27" t="s">
        <v>7680</v>
      </c>
      <c r="F1856" s="27">
        <v>2.0</v>
      </c>
      <c r="G1856" s="29">
        <v>45474.663194444445</v>
      </c>
      <c r="H1856" s="27" t="s">
        <v>7316</v>
      </c>
      <c r="I1856" s="18"/>
      <c r="J1856" s="25" t="str">
        <f>IFERROR(__xludf.DUMMYFUNCTION("ARRAYFORMULA(REGEXEXTRACT(SPLIT(C1856, ""&lt;br&gt;""), ""([가-힣A-Za-z]+)""))"),"강화")</f>
        <v>강화</v>
      </c>
      <c r="K1856" s="26" t="str">
        <f>IFERROR(__xludf.DUMMYFUNCTION("""COMPUTED_VALUE"""),"재명")</f>
        <v>재명</v>
      </c>
      <c r="L1856" s="26" t="str">
        <f>IFERROR(__xludf.DUMMYFUNCTION("""COMPUTED_VALUE"""),"아이딘")</f>
        <v>아이딘</v>
      </c>
      <c r="M1856" s="26" t="str">
        <f>IFERROR(__xludf.DUMMYFUNCTION("""COMPUTED_VALUE"""),"깡패")</f>
        <v>깡패</v>
      </c>
      <c r="N1856" s="26" t="str">
        <f>IFERROR(__xludf.DUMMYFUNCTION("ARRAYFORMULA(REGEXEXTRACT(SPLIT(E1856, ""&lt;br&gt;""), ""([가-힣A-Za-z]+)""))"),"오크")</f>
        <v>오크</v>
      </c>
      <c r="O1856" s="26" t="str">
        <f>IFERROR(__xludf.DUMMYFUNCTION("""COMPUTED_VALUE"""),"신형만")</f>
        <v>신형만</v>
      </c>
      <c r="P1856" s="26" t="str">
        <f>IFERROR(__xludf.DUMMYFUNCTION("""COMPUTED_VALUE"""),"악동")</f>
        <v>악동</v>
      </c>
      <c r="Q1856" s="26" t="str">
        <f>IFERROR(__xludf.DUMMYFUNCTION("""COMPUTED_VALUE"""),"ACDC")</f>
        <v>ACDC</v>
      </c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</row>
    <row r="1857">
      <c r="A1857" s="31" t="s">
        <v>7681</v>
      </c>
      <c r="B1857" s="28" t="s">
        <v>7682</v>
      </c>
      <c r="C1857" s="27" t="s">
        <v>7683</v>
      </c>
      <c r="D1857" s="27">
        <v>5.0</v>
      </c>
      <c r="E1857" s="27" t="s">
        <v>7684</v>
      </c>
      <c r="F1857" s="27">
        <v>0.0</v>
      </c>
      <c r="G1857" s="29">
        <v>45474.64236111111</v>
      </c>
      <c r="H1857" s="27" t="s">
        <v>7316</v>
      </c>
      <c r="I1857" s="18"/>
      <c r="J1857" s="25" t="str">
        <f>IFERROR(__xludf.DUMMYFUNCTION("ARRAYFORMULA(REGEXEXTRACT(SPLIT(C1857, ""&lt;br&gt;""), ""([가-힣A-Za-z]+)""))"),"아이딘")</f>
        <v>아이딘</v>
      </c>
      <c r="K1857" s="26" t="str">
        <f>IFERROR(__xludf.DUMMYFUNCTION("""COMPUTED_VALUE"""),"깡패")</f>
        <v>깡패</v>
      </c>
      <c r="L1857" s="26" t="str">
        <f>IFERROR(__xludf.DUMMYFUNCTION("""COMPUTED_VALUE"""),"오크")</f>
        <v>오크</v>
      </c>
      <c r="M1857" s="26" t="str">
        <f>IFERROR(__xludf.DUMMYFUNCTION("""COMPUTED_VALUE"""),"재명")</f>
        <v>재명</v>
      </c>
      <c r="N1857" s="26" t="str">
        <f>IFERROR(__xludf.DUMMYFUNCTION("ARRAYFORMULA(REGEXEXTRACT(SPLIT(E1857, ""&lt;br&gt;""), ""([가-힣A-Za-z]+)""))"),"강화")</f>
        <v>강화</v>
      </c>
      <c r="O1857" s="26" t="str">
        <f>IFERROR(__xludf.DUMMYFUNCTION("""COMPUTED_VALUE"""),"신형만")</f>
        <v>신형만</v>
      </c>
      <c r="P1857" s="26" t="str">
        <f>IFERROR(__xludf.DUMMYFUNCTION("""COMPUTED_VALUE"""),"악동")</f>
        <v>악동</v>
      </c>
      <c r="Q1857" s="26" t="str">
        <f>IFERROR(__xludf.DUMMYFUNCTION("""COMPUTED_VALUE"""),"ACDC")</f>
        <v>ACDC</v>
      </c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  <c r="AB1857" s="18"/>
    </row>
    <row r="1858">
      <c r="A1858" s="31" t="s">
        <v>7685</v>
      </c>
      <c r="B1858" s="28" t="s">
        <v>7686</v>
      </c>
      <c r="C1858" s="27" t="s">
        <v>7687</v>
      </c>
      <c r="D1858" s="27">
        <v>5.0</v>
      </c>
      <c r="E1858" s="27" t="s">
        <v>7688</v>
      </c>
      <c r="F1858" s="27">
        <v>1.0</v>
      </c>
      <c r="G1858" s="29">
        <v>45474.010416666664</v>
      </c>
      <c r="H1858" s="27" t="s">
        <v>7689</v>
      </c>
      <c r="I1858" s="18"/>
      <c r="J1858" s="25" t="str">
        <f>IFERROR(__xludf.DUMMYFUNCTION("ARRAYFORMULA(REGEXEXTRACT(SPLIT(C1858, ""&lt;br&gt;""), ""([가-힣A-Za-z]+)""))"),"한메")</f>
        <v>한메</v>
      </c>
      <c r="K1858" s="26" t="str">
        <f>IFERROR(__xludf.DUMMYFUNCTION("""COMPUTED_VALUE"""),"테리")</f>
        <v>테리</v>
      </c>
      <c r="L1858" s="26" t="str">
        <f>IFERROR(__xludf.DUMMYFUNCTION("""COMPUTED_VALUE"""),"ACDC")</f>
        <v>ACDC</v>
      </c>
      <c r="M1858" s="26" t="str">
        <f>IFERROR(__xludf.DUMMYFUNCTION("""COMPUTED_VALUE"""),"엘더")</f>
        <v>엘더</v>
      </c>
      <c r="N1858" s="26" t="str">
        <f>IFERROR(__xludf.DUMMYFUNCTION("ARRAYFORMULA(REGEXEXTRACT(SPLIT(E1858, ""&lt;br&gt;""), ""([가-힣A-Za-z]+)""))"),"재명")</f>
        <v>재명</v>
      </c>
      <c r="O1858" s="26" t="str">
        <f>IFERROR(__xludf.DUMMYFUNCTION("""COMPUTED_VALUE"""),"강화")</f>
        <v>강화</v>
      </c>
      <c r="P1858" s="26" t="str">
        <f>IFERROR(__xludf.DUMMYFUNCTION("""COMPUTED_VALUE"""),"신형만")</f>
        <v>신형만</v>
      </c>
      <c r="Q1858" s="26" t="str">
        <f>IFERROR(__xludf.DUMMYFUNCTION("""COMPUTED_VALUE"""),"오크")</f>
        <v>오크</v>
      </c>
      <c r="R1858" s="18"/>
      <c r="S1858" s="18"/>
      <c r="T1858" s="18"/>
      <c r="U1858" s="18"/>
      <c r="V1858" s="18"/>
      <c r="W1858" s="18"/>
      <c r="X1858" s="18"/>
      <c r="Y1858" s="18"/>
      <c r="Z1858" s="18"/>
      <c r="AA1858" s="18"/>
      <c r="AB1858" s="18"/>
    </row>
    <row r="1859">
      <c r="A1859" s="31" t="s">
        <v>7690</v>
      </c>
      <c r="B1859" s="28" t="s">
        <v>7691</v>
      </c>
      <c r="C1859" s="27" t="s">
        <v>7692</v>
      </c>
      <c r="D1859" s="27">
        <v>5.0</v>
      </c>
      <c r="E1859" s="27" t="s">
        <v>7693</v>
      </c>
      <c r="F1859" s="27">
        <v>0.0</v>
      </c>
      <c r="G1859" s="29">
        <v>45473.98472222222</v>
      </c>
      <c r="H1859" s="27" t="s">
        <v>7689</v>
      </c>
      <c r="I1859" s="18"/>
      <c r="J1859" s="25" t="str">
        <f>IFERROR(__xludf.DUMMYFUNCTION("ARRAYFORMULA(REGEXEXTRACT(SPLIT(C1859, ""&lt;br&gt;""), ""([가-힣A-Za-z]+)""))"),"테리")</f>
        <v>테리</v>
      </c>
      <c r="K1859" s="26" t="str">
        <f>IFERROR(__xludf.DUMMYFUNCTION("""COMPUTED_VALUE"""),"오크")</f>
        <v>오크</v>
      </c>
      <c r="L1859" s="26" t="str">
        <f>IFERROR(__xludf.DUMMYFUNCTION("""COMPUTED_VALUE"""),"한메")</f>
        <v>한메</v>
      </c>
      <c r="M1859" s="26" t="str">
        <f>IFERROR(__xludf.DUMMYFUNCTION("""COMPUTED_VALUE"""),"ACDC")</f>
        <v>ACDC</v>
      </c>
      <c r="N1859" s="26" t="str">
        <f>IFERROR(__xludf.DUMMYFUNCTION("ARRAYFORMULA(REGEXEXTRACT(SPLIT(E1859, ""&lt;br&gt;""), ""([가-힣A-Za-z]+)""))"),"재명")</f>
        <v>재명</v>
      </c>
      <c r="O1859" s="26" t="str">
        <f>IFERROR(__xludf.DUMMYFUNCTION("""COMPUTED_VALUE"""),"신형만")</f>
        <v>신형만</v>
      </c>
      <c r="P1859" s="26" t="str">
        <f>IFERROR(__xludf.DUMMYFUNCTION("""COMPUTED_VALUE"""),"엘더")</f>
        <v>엘더</v>
      </c>
      <c r="Q1859" s="26" t="str">
        <f>IFERROR(__xludf.DUMMYFUNCTION("""COMPUTED_VALUE"""),"강화")</f>
        <v>강화</v>
      </c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18"/>
    </row>
    <row r="1860">
      <c r="A1860" s="31" t="s">
        <v>7694</v>
      </c>
      <c r="B1860" s="28" t="s">
        <v>7695</v>
      </c>
      <c r="C1860" s="27" t="s">
        <v>7696</v>
      </c>
      <c r="D1860" s="27">
        <v>5.0</v>
      </c>
      <c r="E1860" s="27" t="s">
        <v>7697</v>
      </c>
      <c r="F1860" s="27">
        <v>1.0</v>
      </c>
      <c r="G1860" s="29">
        <v>45473.96805555555</v>
      </c>
      <c r="H1860" s="27" t="s">
        <v>7689</v>
      </c>
      <c r="I1860" s="18"/>
      <c r="J1860" s="25" t="str">
        <f>IFERROR(__xludf.DUMMYFUNCTION("ARRAYFORMULA(REGEXEXTRACT(SPLIT(C1860, ""&lt;br&gt;""), ""([가-힣A-Za-z]+)""))"),"신형만")</f>
        <v>신형만</v>
      </c>
      <c r="K1860" s="26" t="str">
        <f>IFERROR(__xludf.DUMMYFUNCTION("""COMPUTED_VALUE"""),"테리")</f>
        <v>테리</v>
      </c>
      <c r="L1860" s="26" t="str">
        <f>IFERROR(__xludf.DUMMYFUNCTION("""COMPUTED_VALUE"""),"한메")</f>
        <v>한메</v>
      </c>
      <c r="M1860" s="26" t="str">
        <f>IFERROR(__xludf.DUMMYFUNCTION("""COMPUTED_VALUE"""),"재명")</f>
        <v>재명</v>
      </c>
      <c r="N1860" s="26" t="str">
        <f>IFERROR(__xludf.DUMMYFUNCTION("ARRAYFORMULA(REGEXEXTRACT(SPLIT(E1860, ""&lt;br&gt;""), ""([가-힣A-Za-z]+)""))"),"ACDC")</f>
        <v>ACDC</v>
      </c>
      <c r="O1860" s="26" t="str">
        <f>IFERROR(__xludf.DUMMYFUNCTION("""COMPUTED_VALUE"""),"강화")</f>
        <v>강화</v>
      </c>
      <c r="P1860" s="26" t="str">
        <f>IFERROR(__xludf.DUMMYFUNCTION("""COMPUTED_VALUE"""),"오크")</f>
        <v>오크</v>
      </c>
      <c r="Q1860" s="26" t="str">
        <f>IFERROR(__xludf.DUMMYFUNCTION("""COMPUTED_VALUE"""),"엘더")</f>
        <v>엘더</v>
      </c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18"/>
    </row>
    <row r="1861">
      <c r="A1861" s="31" t="s">
        <v>7698</v>
      </c>
      <c r="B1861" s="28" t="s">
        <v>7699</v>
      </c>
      <c r="C1861" s="27" t="s">
        <v>7700</v>
      </c>
      <c r="D1861" s="27">
        <v>5.0</v>
      </c>
      <c r="E1861" s="27" t="s">
        <v>7701</v>
      </c>
      <c r="F1861" s="27">
        <v>0.0</v>
      </c>
      <c r="G1861" s="29">
        <v>45473.94930555556</v>
      </c>
      <c r="H1861" s="27" t="s">
        <v>7689</v>
      </c>
      <c r="I1861" s="18"/>
      <c r="J1861" s="25" t="str">
        <f>IFERROR(__xludf.DUMMYFUNCTION("ARRAYFORMULA(REGEXEXTRACT(SPLIT(C1861, ""&lt;br&gt;""), ""([가-힣A-Za-z]+)""))"),"오크")</f>
        <v>오크</v>
      </c>
      <c r="K1861" s="26" t="str">
        <f>IFERROR(__xludf.DUMMYFUNCTION("""COMPUTED_VALUE"""),"ACDC")</f>
        <v>ACDC</v>
      </c>
      <c r="L1861" s="26" t="str">
        <f>IFERROR(__xludf.DUMMYFUNCTION("""COMPUTED_VALUE"""),"신형만")</f>
        <v>신형만</v>
      </c>
      <c r="M1861" s="26" t="str">
        <f>IFERROR(__xludf.DUMMYFUNCTION("""COMPUTED_VALUE"""),"엘더")</f>
        <v>엘더</v>
      </c>
      <c r="N1861" s="26" t="str">
        <f>IFERROR(__xludf.DUMMYFUNCTION("ARRAYFORMULA(REGEXEXTRACT(SPLIT(E1861, ""&lt;br&gt;""), ""([가-힣A-Za-z]+)""))"),"테리")</f>
        <v>테리</v>
      </c>
      <c r="O1861" s="26" t="str">
        <f>IFERROR(__xludf.DUMMYFUNCTION("""COMPUTED_VALUE"""),"한메")</f>
        <v>한메</v>
      </c>
      <c r="P1861" s="26" t="str">
        <f>IFERROR(__xludf.DUMMYFUNCTION("""COMPUTED_VALUE"""),"구리다")</f>
        <v>구리다</v>
      </c>
      <c r="Q1861" s="26" t="str">
        <f>IFERROR(__xludf.DUMMYFUNCTION("""COMPUTED_VALUE"""),"재명")</f>
        <v>재명</v>
      </c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</row>
    <row r="1862">
      <c r="A1862" s="31" t="s">
        <v>7702</v>
      </c>
      <c r="B1862" s="28" t="s">
        <v>7703</v>
      </c>
      <c r="C1862" s="27" t="s">
        <v>7704</v>
      </c>
      <c r="D1862" s="27">
        <v>5.0</v>
      </c>
      <c r="E1862" s="27" t="s">
        <v>7705</v>
      </c>
      <c r="F1862" s="27">
        <v>1.0</v>
      </c>
      <c r="G1862" s="29">
        <v>45473.930555555555</v>
      </c>
      <c r="H1862" s="27" t="s">
        <v>7689</v>
      </c>
      <c r="I1862" s="18"/>
      <c r="J1862" s="25" t="str">
        <f>IFERROR(__xludf.DUMMYFUNCTION("ARRAYFORMULA(REGEXEXTRACT(SPLIT(C1862, ""&lt;br&gt;""), ""([가-힣A-Za-z]+)""))"),"오크")</f>
        <v>오크</v>
      </c>
      <c r="K1862" s="26" t="str">
        <f>IFERROR(__xludf.DUMMYFUNCTION("""COMPUTED_VALUE"""),"엘더")</f>
        <v>엘더</v>
      </c>
      <c r="L1862" s="26" t="str">
        <f>IFERROR(__xludf.DUMMYFUNCTION("""COMPUTED_VALUE"""),"한메")</f>
        <v>한메</v>
      </c>
      <c r="M1862" s="26" t="str">
        <f>IFERROR(__xludf.DUMMYFUNCTION("""COMPUTED_VALUE"""),"신형만")</f>
        <v>신형만</v>
      </c>
      <c r="N1862" s="26" t="str">
        <f>IFERROR(__xludf.DUMMYFUNCTION("ARRAYFORMULA(REGEXEXTRACT(SPLIT(E1862, ""&lt;br&gt;""), ""([가-힣A-Za-z]+)""))"),"테리")</f>
        <v>테리</v>
      </c>
      <c r="O1862" s="26" t="str">
        <f>IFERROR(__xludf.DUMMYFUNCTION("""COMPUTED_VALUE"""),"구리다")</f>
        <v>구리다</v>
      </c>
      <c r="P1862" s="26" t="str">
        <f>IFERROR(__xludf.DUMMYFUNCTION("""COMPUTED_VALUE"""),"재명")</f>
        <v>재명</v>
      </c>
      <c r="Q1862" s="26" t="str">
        <f>IFERROR(__xludf.DUMMYFUNCTION("""COMPUTED_VALUE"""),"ACDC")</f>
        <v>ACDC</v>
      </c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18"/>
    </row>
    <row r="1863">
      <c r="A1863" s="31" t="s">
        <v>7706</v>
      </c>
      <c r="B1863" s="28" t="s">
        <v>7707</v>
      </c>
      <c r="C1863" s="27" t="s">
        <v>7708</v>
      </c>
      <c r="D1863" s="27">
        <v>5.0</v>
      </c>
      <c r="E1863" s="27" t="s">
        <v>7709</v>
      </c>
      <c r="F1863" s="27">
        <v>1.0</v>
      </c>
      <c r="G1863" s="29">
        <v>45473.91388888889</v>
      </c>
      <c r="H1863" s="27" t="s">
        <v>7689</v>
      </c>
      <c r="I1863" s="18"/>
      <c r="J1863" s="25" t="str">
        <f>IFERROR(__xludf.DUMMYFUNCTION("ARRAYFORMULA(REGEXEXTRACT(SPLIT(C1863, ""&lt;br&gt;""), ""([가-힣A-Za-z]+)""))"),"한메")</f>
        <v>한메</v>
      </c>
      <c r="K1863" s="26" t="str">
        <f>IFERROR(__xludf.DUMMYFUNCTION("""COMPUTED_VALUE"""),"ACDC")</f>
        <v>ACDC</v>
      </c>
      <c r="L1863" s="26" t="str">
        <f>IFERROR(__xludf.DUMMYFUNCTION("""COMPUTED_VALUE"""),"신형만")</f>
        <v>신형만</v>
      </c>
      <c r="M1863" s="26" t="str">
        <f>IFERROR(__xludf.DUMMYFUNCTION("""COMPUTED_VALUE"""),"오크")</f>
        <v>오크</v>
      </c>
      <c r="N1863" s="26" t="str">
        <f>IFERROR(__xludf.DUMMYFUNCTION("ARRAYFORMULA(REGEXEXTRACT(SPLIT(E1863, ""&lt;br&gt;""), ""([가-힣A-Za-z]+)""))"),"엘더")</f>
        <v>엘더</v>
      </c>
      <c r="O1863" s="26" t="str">
        <f>IFERROR(__xludf.DUMMYFUNCTION("""COMPUTED_VALUE"""),"테리")</f>
        <v>테리</v>
      </c>
      <c r="P1863" s="26" t="str">
        <f>IFERROR(__xludf.DUMMYFUNCTION("""COMPUTED_VALUE"""),"구리다")</f>
        <v>구리다</v>
      </c>
      <c r="Q1863" s="26" t="str">
        <f>IFERROR(__xludf.DUMMYFUNCTION("""COMPUTED_VALUE"""),"짱구")</f>
        <v>짱구</v>
      </c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  <c r="AB1863" s="18"/>
    </row>
    <row r="1864">
      <c r="A1864" s="31" t="s">
        <v>7710</v>
      </c>
      <c r="B1864" s="28" t="s">
        <v>7711</v>
      </c>
      <c r="C1864" s="27" t="s">
        <v>7712</v>
      </c>
      <c r="D1864" s="27">
        <v>5.0</v>
      </c>
      <c r="E1864" s="27" t="s">
        <v>7713</v>
      </c>
      <c r="F1864" s="27">
        <v>0.0</v>
      </c>
      <c r="G1864" s="29">
        <v>45473.89236111111</v>
      </c>
      <c r="H1864" s="27" t="s">
        <v>7689</v>
      </c>
      <c r="I1864" s="18"/>
      <c r="J1864" s="25" t="str">
        <f>IFERROR(__xludf.DUMMYFUNCTION("ARRAYFORMULA(REGEXEXTRACT(SPLIT(C1864, ""&lt;br&gt;""), ""([가-힣A-Za-z]+)""))"),"한메")</f>
        <v>한메</v>
      </c>
      <c r="K1864" s="26" t="str">
        <f>IFERROR(__xludf.DUMMYFUNCTION("""COMPUTED_VALUE"""),"테리")</f>
        <v>테리</v>
      </c>
      <c r="L1864" s="26" t="str">
        <f>IFERROR(__xludf.DUMMYFUNCTION("""COMPUTED_VALUE"""),"신형만")</f>
        <v>신형만</v>
      </c>
      <c r="M1864" s="26" t="str">
        <f>IFERROR(__xludf.DUMMYFUNCTION("""COMPUTED_VALUE"""),"오크")</f>
        <v>오크</v>
      </c>
      <c r="N1864" s="26" t="str">
        <f>IFERROR(__xludf.DUMMYFUNCTION("ARRAYFORMULA(REGEXEXTRACT(SPLIT(E1864, ""&lt;br&gt;""), ""([가-힣A-Za-z]+)""))"),"ACDC")</f>
        <v>ACDC</v>
      </c>
      <c r="O1864" s="26" t="str">
        <f>IFERROR(__xludf.DUMMYFUNCTION("""COMPUTED_VALUE"""),"구리다")</f>
        <v>구리다</v>
      </c>
      <c r="P1864" s="26" t="str">
        <f>IFERROR(__xludf.DUMMYFUNCTION("""COMPUTED_VALUE"""),"엘더")</f>
        <v>엘더</v>
      </c>
      <c r="Q1864" s="26" t="str">
        <f>IFERROR(__xludf.DUMMYFUNCTION("""COMPUTED_VALUE"""),"짱구")</f>
        <v>짱구</v>
      </c>
      <c r="R1864" s="18"/>
      <c r="S1864" s="18"/>
      <c r="T1864" s="18"/>
      <c r="U1864" s="18"/>
      <c r="V1864" s="18"/>
      <c r="W1864" s="18"/>
      <c r="X1864" s="18"/>
      <c r="Y1864" s="18"/>
      <c r="Z1864" s="18"/>
      <c r="AA1864" s="18"/>
      <c r="AB1864" s="18"/>
    </row>
    <row r="1865">
      <c r="A1865" s="31" t="s">
        <v>7714</v>
      </c>
      <c r="B1865" s="28" t="s">
        <v>7715</v>
      </c>
      <c r="C1865" s="27" t="s">
        <v>7716</v>
      </c>
      <c r="D1865" s="27">
        <v>5.0</v>
      </c>
      <c r="E1865" s="27" t="s">
        <v>7717</v>
      </c>
      <c r="F1865" s="27">
        <v>0.0</v>
      </c>
      <c r="G1865" s="29">
        <v>45472.933333333334</v>
      </c>
      <c r="H1865" s="27" t="s">
        <v>7689</v>
      </c>
      <c r="I1865" s="18"/>
      <c r="J1865" s="25" t="str">
        <f>IFERROR(__xludf.DUMMYFUNCTION("ARRAYFORMULA(REGEXEXTRACT(SPLIT(C1865, ""&lt;br&gt;""), ""([가-힣A-Za-z]+)""))"),"엘더")</f>
        <v>엘더</v>
      </c>
      <c r="K1865" s="26" t="str">
        <f>IFERROR(__xludf.DUMMYFUNCTION("""COMPUTED_VALUE"""),"ACDC")</f>
        <v>ACDC</v>
      </c>
      <c r="L1865" s="26" t="str">
        <f>IFERROR(__xludf.DUMMYFUNCTION("""COMPUTED_VALUE"""),"재우")</f>
        <v>재우</v>
      </c>
      <c r="M1865" s="26" t="str">
        <f>IFERROR(__xludf.DUMMYFUNCTION("""COMPUTED_VALUE"""),"한메")</f>
        <v>한메</v>
      </c>
      <c r="N1865" s="26" t="str">
        <f>IFERROR(__xludf.DUMMYFUNCTION("ARRAYFORMULA(REGEXEXTRACT(SPLIT(E1865, ""&lt;br&gt;""), ""([가-힣A-Za-z]+)""))"),"전투쥐")</f>
        <v>전투쥐</v>
      </c>
      <c r="O1865" s="26" t="str">
        <f>IFERROR(__xludf.DUMMYFUNCTION("""COMPUTED_VALUE"""),"만두")</f>
        <v>만두</v>
      </c>
      <c r="P1865" s="26" t="str">
        <f>IFERROR(__xludf.DUMMYFUNCTION("""COMPUTED_VALUE"""),"팰리")</f>
        <v>팰리</v>
      </c>
      <c r="Q1865" s="26" t="str">
        <f>IFERROR(__xludf.DUMMYFUNCTION("""COMPUTED_VALUE"""),"재명")</f>
        <v>재명</v>
      </c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</row>
    <row r="1866">
      <c r="A1866" s="31" t="s">
        <v>7718</v>
      </c>
      <c r="B1866" s="28" t="s">
        <v>7719</v>
      </c>
      <c r="C1866" s="27" t="s">
        <v>7720</v>
      </c>
      <c r="D1866" s="27">
        <v>5.0</v>
      </c>
      <c r="E1866" s="27" t="s">
        <v>7721</v>
      </c>
      <c r="F1866" s="27">
        <v>3.0</v>
      </c>
      <c r="G1866" s="29">
        <v>45472.04791666667</v>
      </c>
      <c r="H1866" s="27" t="s">
        <v>7689</v>
      </c>
      <c r="I1866" s="18"/>
      <c r="J1866" s="25" t="str">
        <f>IFERROR(__xludf.DUMMYFUNCTION("ARRAYFORMULA(REGEXEXTRACT(SPLIT(C1866, ""&lt;br&gt;""), ""([가-힣A-Za-z]+)""))"),"조심")</f>
        <v>조심</v>
      </c>
      <c r="K1866" s="26" t="str">
        <f>IFERROR(__xludf.DUMMYFUNCTION("""COMPUTED_VALUE"""),"깡패")</f>
        <v>깡패</v>
      </c>
      <c r="L1866" s="26" t="str">
        <f>IFERROR(__xludf.DUMMYFUNCTION("""COMPUTED_VALUE"""),"짱구")</f>
        <v>짱구</v>
      </c>
      <c r="M1866" s="26" t="str">
        <f>IFERROR(__xludf.DUMMYFUNCTION("""COMPUTED_VALUE"""),"오크")</f>
        <v>오크</v>
      </c>
      <c r="N1866" s="26" t="str">
        <f>IFERROR(__xludf.DUMMYFUNCTION("ARRAYFORMULA(REGEXEXTRACT(SPLIT(E1866, ""&lt;br&gt;""), ""([가-힣A-Za-z]+)""))"),"ACDC")</f>
        <v>ACDC</v>
      </c>
      <c r="O1866" s="26" t="str">
        <f>IFERROR(__xludf.DUMMYFUNCTION("""COMPUTED_VALUE"""),"강화")</f>
        <v>강화</v>
      </c>
      <c r="P1866" s="26" t="str">
        <f>IFERROR(__xludf.DUMMYFUNCTION("""COMPUTED_VALUE"""),"테리")</f>
        <v>테리</v>
      </c>
      <c r="Q1866" s="26" t="str">
        <f>IFERROR(__xludf.DUMMYFUNCTION("""COMPUTED_VALUE"""),"신형만")</f>
        <v>신형만</v>
      </c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</row>
    <row r="1867">
      <c r="A1867" s="31" t="s">
        <v>7722</v>
      </c>
      <c r="B1867" s="28" t="s">
        <v>7723</v>
      </c>
      <c r="C1867" s="27" t="s">
        <v>7724</v>
      </c>
      <c r="D1867" s="27">
        <v>5.0</v>
      </c>
      <c r="E1867" s="27" t="s">
        <v>7725</v>
      </c>
      <c r="F1867" s="27">
        <v>3.0</v>
      </c>
      <c r="G1867" s="29">
        <v>45472.02638888889</v>
      </c>
      <c r="H1867" s="27" t="s">
        <v>7689</v>
      </c>
      <c r="I1867" s="18"/>
      <c r="J1867" s="25" t="str">
        <f>IFERROR(__xludf.DUMMYFUNCTION("ARRAYFORMULA(REGEXEXTRACT(SPLIT(C1867, ""&lt;br&gt;""), ""([가-힣A-Za-z]+)""))"),"신형만")</f>
        <v>신형만</v>
      </c>
      <c r="K1867" s="26" t="str">
        <f>IFERROR(__xludf.DUMMYFUNCTION("""COMPUTED_VALUE"""),"강화")</f>
        <v>강화</v>
      </c>
      <c r="L1867" s="26" t="str">
        <f>IFERROR(__xludf.DUMMYFUNCTION("""COMPUTED_VALUE"""),"테리")</f>
        <v>테리</v>
      </c>
      <c r="M1867" s="26" t="str">
        <f>IFERROR(__xludf.DUMMYFUNCTION("""COMPUTED_VALUE"""),"오크")</f>
        <v>오크</v>
      </c>
      <c r="N1867" s="26" t="str">
        <f>IFERROR(__xludf.DUMMYFUNCTION("ARRAYFORMULA(REGEXEXTRACT(SPLIT(E1867, ""&lt;br&gt;""), ""([가-힣A-Za-z]+)""))"),"ACDC")</f>
        <v>ACDC</v>
      </c>
      <c r="O1867" s="26" t="str">
        <f>IFERROR(__xludf.DUMMYFUNCTION("""COMPUTED_VALUE"""),"미르진")</f>
        <v>미르진</v>
      </c>
      <c r="P1867" s="26" t="str">
        <f>IFERROR(__xludf.DUMMYFUNCTION("""COMPUTED_VALUE"""),"만두")</f>
        <v>만두</v>
      </c>
      <c r="Q1867" s="26" t="str">
        <f>IFERROR(__xludf.DUMMYFUNCTION("""COMPUTED_VALUE"""),"조심")</f>
        <v>조심</v>
      </c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18"/>
    </row>
    <row r="1868">
      <c r="A1868" s="31" t="s">
        <v>7726</v>
      </c>
      <c r="B1868" s="28" t="s">
        <v>7727</v>
      </c>
      <c r="C1868" s="27" t="s">
        <v>7728</v>
      </c>
      <c r="D1868" s="27">
        <v>5.0</v>
      </c>
      <c r="E1868" s="27" t="s">
        <v>7729</v>
      </c>
      <c r="F1868" s="27">
        <v>1.0</v>
      </c>
      <c r="G1868" s="29">
        <v>45472.02291666667</v>
      </c>
      <c r="H1868" s="27" t="s">
        <v>7689</v>
      </c>
      <c r="I1868" s="18"/>
      <c r="J1868" s="25" t="str">
        <f>IFERROR(__xludf.DUMMYFUNCTION("ARRAYFORMULA(REGEXEXTRACT(SPLIT(C1868, ""&lt;br&gt;""), ""([가-힣A-Za-z]+)""))"),"오크")</f>
        <v>오크</v>
      </c>
      <c r="K1868" s="26" t="str">
        <f>IFERROR(__xludf.DUMMYFUNCTION("""COMPUTED_VALUE"""),"테리")</f>
        <v>테리</v>
      </c>
      <c r="L1868" s="26" t="str">
        <f>IFERROR(__xludf.DUMMYFUNCTION("""COMPUTED_VALUE"""),"미르진")</f>
        <v>미르진</v>
      </c>
      <c r="M1868" s="26" t="str">
        <f>IFERROR(__xludf.DUMMYFUNCTION("""COMPUTED_VALUE"""),"만두")</f>
        <v>만두</v>
      </c>
      <c r="N1868" s="26" t="str">
        <f>IFERROR(__xludf.DUMMYFUNCTION("ARRAYFORMULA(REGEXEXTRACT(SPLIT(E1868, ""&lt;br&gt;""), ""([가-힣A-Za-z]+)""))"),"조심")</f>
        <v>조심</v>
      </c>
      <c r="O1868" s="26" t="str">
        <f>IFERROR(__xludf.DUMMYFUNCTION("""COMPUTED_VALUE"""),"전투쥐")</f>
        <v>전투쥐</v>
      </c>
      <c r="P1868" s="26" t="str">
        <f>IFERROR(__xludf.DUMMYFUNCTION("""COMPUTED_VALUE"""),"신형만")</f>
        <v>신형만</v>
      </c>
      <c r="Q1868" s="26" t="str">
        <f>IFERROR(__xludf.DUMMYFUNCTION("""COMPUTED_VALUE"""),"ACDC")</f>
        <v>ACDC</v>
      </c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  <c r="AB1868" s="18"/>
    </row>
    <row r="1869">
      <c r="A1869" s="31" t="s">
        <v>7730</v>
      </c>
      <c r="B1869" s="28" t="s">
        <v>7731</v>
      </c>
      <c r="C1869" s="27" t="s">
        <v>7732</v>
      </c>
      <c r="D1869" s="27">
        <v>5.0</v>
      </c>
      <c r="E1869" s="27" t="s">
        <v>7733</v>
      </c>
      <c r="F1869" s="27">
        <v>2.0</v>
      </c>
      <c r="G1869" s="29">
        <v>45471.96597222222</v>
      </c>
      <c r="H1869" s="27" t="s">
        <v>7689</v>
      </c>
      <c r="I1869" s="18"/>
      <c r="J1869" s="25" t="str">
        <f>IFERROR(__xludf.DUMMYFUNCTION("ARRAYFORMULA(REGEXEXTRACT(SPLIT(C1869, ""&lt;br&gt;""), ""([가-힣A-Za-z]+)""))"),"테리")</f>
        <v>테리</v>
      </c>
      <c r="K1869" s="26" t="str">
        <f>IFERROR(__xludf.DUMMYFUNCTION("""COMPUTED_VALUE"""),"엘더")</f>
        <v>엘더</v>
      </c>
      <c r="L1869" s="26" t="str">
        <f>IFERROR(__xludf.DUMMYFUNCTION("""COMPUTED_VALUE"""),"조심")</f>
        <v>조심</v>
      </c>
      <c r="M1869" s="26" t="str">
        <f>IFERROR(__xludf.DUMMYFUNCTION("""COMPUTED_VALUE"""),"미르진")</f>
        <v>미르진</v>
      </c>
      <c r="N1869" s="26" t="str">
        <f>IFERROR(__xludf.DUMMYFUNCTION("ARRAYFORMULA(REGEXEXTRACT(SPLIT(E1869, ""&lt;br&gt;""), ""([가-힣A-Za-z]+)""))"),"ACDC")</f>
        <v>ACDC</v>
      </c>
      <c r="O1869" s="26" t="str">
        <f>IFERROR(__xludf.DUMMYFUNCTION("""COMPUTED_VALUE"""),"오크")</f>
        <v>오크</v>
      </c>
      <c r="P1869" s="26" t="str">
        <f>IFERROR(__xludf.DUMMYFUNCTION("""COMPUTED_VALUE"""),"전투쥐")</f>
        <v>전투쥐</v>
      </c>
      <c r="Q1869" s="26" t="str">
        <f>IFERROR(__xludf.DUMMYFUNCTION("""COMPUTED_VALUE"""),"신형만")</f>
        <v>신형만</v>
      </c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  <c r="AB1869" s="18"/>
    </row>
    <row r="1870">
      <c r="A1870" s="31" t="s">
        <v>7734</v>
      </c>
      <c r="B1870" s="28" t="s">
        <v>7735</v>
      </c>
      <c r="C1870" s="27" t="s">
        <v>7736</v>
      </c>
      <c r="D1870" s="27">
        <v>5.0</v>
      </c>
      <c r="E1870" s="27" t="s">
        <v>7737</v>
      </c>
      <c r="F1870" s="27">
        <v>1.0</v>
      </c>
      <c r="G1870" s="29">
        <v>45471.94236111111</v>
      </c>
      <c r="H1870" s="27" t="s">
        <v>7689</v>
      </c>
      <c r="I1870" s="18"/>
      <c r="J1870" s="25" t="str">
        <f>IFERROR(__xludf.DUMMYFUNCTION("ARRAYFORMULA(REGEXEXTRACT(SPLIT(C1870, ""&lt;br&gt;""), ""([가-힣A-Za-z]+)""))"),"아이딘")</f>
        <v>아이딘</v>
      </c>
      <c r="K1870" s="26" t="str">
        <f>IFERROR(__xludf.DUMMYFUNCTION("""COMPUTED_VALUE"""),"엘더")</f>
        <v>엘더</v>
      </c>
      <c r="L1870" s="26" t="str">
        <f>IFERROR(__xludf.DUMMYFUNCTION("""COMPUTED_VALUE"""),"테리")</f>
        <v>테리</v>
      </c>
      <c r="M1870" s="26" t="str">
        <f>IFERROR(__xludf.DUMMYFUNCTION("""COMPUTED_VALUE"""),"전투쥐")</f>
        <v>전투쥐</v>
      </c>
      <c r="N1870" s="26" t="str">
        <f>IFERROR(__xludf.DUMMYFUNCTION("ARRAYFORMULA(REGEXEXTRACT(SPLIT(E1870, ""&lt;br&gt;""), ""([가-힣A-Za-z]+)""))"),"오크")</f>
        <v>오크</v>
      </c>
      <c r="O1870" s="26" t="str">
        <f>IFERROR(__xludf.DUMMYFUNCTION("""COMPUTED_VALUE"""),"미르진")</f>
        <v>미르진</v>
      </c>
      <c r="P1870" s="26" t="str">
        <f>IFERROR(__xludf.DUMMYFUNCTION("""COMPUTED_VALUE"""),"짱구")</f>
        <v>짱구</v>
      </c>
      <c r="Q1870" s="26" t="str">
        <f>IFERROR(__xludf.DUMMYFUNCTION("""COMPUTED_VALUE"""),"ACDC")</f>
        <v>ACDC</v>
      </c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</row>
    <row r="1871">
      <c r="A1871" s="31" t="s">
        <v>7738</v>
      </c>
      <c r="B1871" s="28" t="s">
        <v>7739</v>
      </c>
      <c r="C1871" s="27" t="s">
        <v>7740</v>
      </c>
      <c r="D1871" s="27">
        <v>5.0</v>
      </c>
      <c r="E1871" s="27" t="s">
        <v>7741</v>
      </c>
      <c r="F1871" s="27">
        <v>0.0</v>
      </c>
      <c r="G1871" s="29">
        <v>45471.916666666664</v>
      </c>
      <c r="H1871" s="27" t="s">
        <v>7689</v>
      </c>
      <c r="I1871" s="18"/>
      <c r="J1871" s="25" t="str">
        <f>IFERROR(__xludf.DUMMYFUNCTION("ARRAYFORMULA(REGEXEXTRACT(SPLIT(C1871, ""&lt;br&gt;""), ""([가-힣A-Za-z]+)""))"),"테리")</f>
        <v>테리</v>
      </c>
      <c r="K1871" s="26" t="str">
        <f>IFERROR(__xludf.DUMMYFUNCTION("""COMPUTED_VALUE"""),"짱구")</f>
        <v>짱구</v>
      </c>
      <c r="L1871" s="26" t="str">
        <f>IFERROR(__xludf.DUMMYFUNCTION("""COMPUTED_VALUE"""),"오크")</f>
        <v>오크</v>
      </c>
      <c r="M1871" s="26" t="str">
        <f>IFERROR(__xludf.DUMMYFUNCTION("""COMPUTED_VALUE"""),"전투쥐")</f>
        <v>전투쥐</v>
      </c>
      <c r="N1871" s="26" t="str">
        <f>IFERROR(__xludf.DUMMYFUNCTION("ARRAYFORMULA(REGEXEXTRACT(SPLIT(E1871, ""&lt;br&gt;""), ""([가-힣A-Za-z]+)""))"),"ACDC")</f>
        <v>ACDC</v>
      </c>
      <c r="O1871" s="26" t="str">
        <f>IFERROR(__xludf.DUMMYFUNCTION("""COMPUTED_VALUE"""),"엘더")</f>
        <v>엘더</v>
      </c>
      <c r="P1871" s="26" t="str">
        <f>IFERROR(__xludf.DUMMYFUNCTION("""COMPUTED_VALUE"""),"아이딘")</f>
        <v>아이딘</v>
      </c>
      <c r="Q1871" s="26" t="str">
        <f>IFERROR(__xludf.DUMMYFUNCTION("""COMPUTED_VALUE"""),"미르진")</f>
        <v>미르진</v>
      </c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18"/>
    </row>
    <row r="1872">
      <c r="A1872" s="31" t="s">
        <v>7742</v>
      </c>
      <c r="B1872" s="28" t="s">
        <v>7743</v>
      </c>
      <c r="C1872" s="27" t="s">
        <v>7744</v>
      </c>
      <c r="D1872" s="27">
        <v>5.0</v>
      </c>
      <c r="E1872" s="27" t="s">
        <v>7745</v>
      </c>
      <c r="F1872" s="27">
        <v>4.0</v>
      </c>
      <c r="G1872" s="29">
        <v>45471.06458333333</v>
      </c>
      <c r="H1872" s="27" t="s">
        <v>7689</v>
      </c>
      <c r="I1872" s="18"/>
      <c r="J1872" s="25" t="str">
        <f>IFERROR(__xludf.DUMMYFUNCTION("ARRAYFORMULA(REGEXEXTRACT(SPLIT(C1872, ""&lt;br&gt;""), ""([가-힣A-Za-z]+)""))"),"강화")</f>
        <v>강화</v>
      </c>
      <c r="K1872" s="26" t="str">
        <f>IFERROR(__xludf.DUMMYFUNCTION("""COMPUTED_VALUE"""),"신형만")</f>
        <v>신형만</v>
      </c>
      <c r="L1872" s="26" t="str">
        <f>IFERROR(__xludf.DUMMYFUNCTION("""COMPUTED_VALUE"""),"랄")</f>
        <v>랄</v>
      </c>
      <c r="M1872" s="26" t="str">
        <f>IFERROR(__xludf.DUMMYFUNCTION("""COMPUTED_VALUE"""),"깡패")</f>
        <v>깡패</v>
      </c>
      <c r="N1872" s="26" t="str">
        <f>IFERROR(__xludf.DUMMYFUNCTION("ARRAYFORMULA(REGEXEXTRACT(SPLIT(E1872, ""&lt;br&gt;""), ""([가-힣A-Za-z]+)""))"),"한메")</f>
        <v>한메</v>
      </c>
      <c r="O1872" s="26" t="str">
        <f>IFERROR(__xludf.DUMMYFUNCTION("""COMPUTED_VALUE"""),"오크")</f>
        <v>오크</v>
      </c>
      <c r="P1872" s="26" t="str">
        <f>IFERROR(__xludf.DUMMYFUNCTION("""COMPUTED_VALUE"""),"구리다")</f>
        <v>구리다</v>
      </c>
      <c r="Q1872" s="26" t="str">
        <f>IFERROR(__xludf.DUMMYFUNCTION("""COMPUTED_VALUE"""),"엘더")</f>
        <v>엘더</v>
      </c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</row>
    <row r="1873">
      <c r="A1873" s="31" t="s">
        <v>7746</v>
      </c>
      <c r="B1873" s="28" t="s">
        <v>7747</v>
      </c>
      <c r="C1873" s="27" t="s">
        <v>7748</v>
      </c>
      <c r="D1873" s="27">
        <v>5.0</v>
      </c>
      <c r="E1873" s="27" t="s">
        <v>7749</v>
      </c>
      <c r="F1873" s="27">
        <v>2.0</v>
      </c>
      <c r="G1873" s="29">
        <v>45471.03472222222</v>
      </c>
      <c r="H1873" s="27" t="s">
        <v>7689</v>
      </c>
      <c r="I1873" s="18"/>
      <c r="J1873" s="25" t="str">
        <f>IFERROR(__xludf.DUMMYFUNCTION("ARRAYFORMULA(REGEXEXTRACT(SPLIT(C1873, ""&lt;br&gt;""), ""([가-힣A-Za-z]+)""))"),"엘더")</f>
        <v>엘더</v>
      </c>
      <c r="K1873" s="26" t="str">
        <f>IFERROR(__xludf.DUMMYFUNCTION("""COMPUTED_VALUE"""),"오크")</f>
        <v>오크</v>
      </c>
      <c r="L1873" s="26" t="str">
        <f>IFERROR(__xludf.DUMMYFUNCTION("""COMPUTED_VALUE"""),"신형만")</f>
        <v>신형만</v>
      </c>
      <c r="M1873" s="26" t="str">
        <f>IFERROR(__xludf.DUMMYFUNCTION("""COMPUTED_VALUE"""),"강화")</f>
        <v>강화</v>
      </c>
      <c r="N1873" s="26" t="str">
        <f>IFERROR(__xludf.DUMMYFUNCTION("ARRAYFORMULA(REGEXEXTRACT(SPLIT(E1873, ""&lt;br&gt;""), ""([가-힣A-Za-z]+)""))"),"한메")</f>
        <v>한메</v>
      </c>
      <c r="O1873" s="26" t="str">
        <f>IFERROR(__xludf.DUMMYFUNCTION("""COMPUTED_VALUE"""),"구리다")</f>
        <v>구리다</v>
      </c>
      <c r="P1873" s="26" t="str">
        <f>IFERROR(__xludf.DUMMYFUNCTION("""COMPUTED_VALUE"""),"재우")</f>
        <v>재우</v>
      </c>
      <c r="Q1873" s="26" t="str">
        <f>IFERROR(__xludf.DUMMYFUNCTION("""COMPUTED_VALUE"""),"랄")</f>
        <v>랄</v>
      </c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  <c r="AB1873" s="18"/>
    </row>
    <row r="1874">
      <c r="A1874" s="31" t="s">
        <v>7750</v>
      </c>
      <c r="B1874" s="28" t="s">
        <v>7751</v>
      </c>
      <c r="C1874" s="27" t="s">
        <v>7752</v>
      </c>
      <c r="D1874" s="27">
        <v>5.0</v>
      </c>
      <c r="E1874" s="27" t="s">
        <v>7753</v>
      </c>
      <c r="F1874" s="27">
        <v>1.0</v>
      </c>
      <c r="G1874" s="29">
        <v>45471.01527777778</v>
      </c>
      <c r="H1874" s="27" t="s">
        <v>7689</v>
      </c>
      <c r="I1874" s="18"/>
      <c r="J1874" s="25" t="str">
        <f>IFERROR(__xludf.DUMMYFUNCTION("ARRAYFORMULA(REGEXEXTRACT(SPLIT(C1874, ""&lt;br&gt;""), ""([가-힣A-Za-z]+)""))"),"한메")</f>
        <v>한메</v>
      </c>
      <c r="K1874" s="26" t="str">
        <f>IFERROR(__xludf.DUMMYFUNCTION("""COMPUTED_VALUE"""),"신형만")</f>
        <v>신형만</v>
      </c>
      <c r="L1874" s="26" t="str">
        <f>IFERROR(__xludf.DUMMYFUNCTION("""COMPUTED_VALUE"""),"강화")</f>
        <v>강화</v>
      </c>
      <c r="M1874" s="26" t="str">
        <f>IFERROR(__xludf.DUMMYFUNCTION("""COMPUTED_VALUE"""),"엘더")</f>
        <v>엘더</v>
      </c>
      <c r="N1874" s="26" t="str">
        <f>IFERROR(__xludf.DUMMYFUNCTION("ARRAYFORMULA(REGEXEXTRACT(SPLIT(E1874, ""&lt;br&gt;""), ""([가-힣A-Za-z]+)""))"),"재명")</f>
        <v>재명</v>
      </c>
      <c r="O1874" s="26" t="str">
        <f>IFERROR(__xludf.DUMMYFUNCTION("""COMPUTED_VALUE"""),"재우")</f>
        <v>재우</v>
      </c>
      <c r="P1874" s="26" t="str">
        <f>IFERROR(__xludf.DUMMYFUNCTION("""COMPUTED_VALUE"""),"구리다")</f>
        <v>구리다</v>
      </c>
      <c r="Q1874" s="26" t="str">
        <f>IFERROR(__xludf.DUMMYFUNCTION("""COMPUTED_VALUE"""),"랄")</f>
        <v>랄</v>
      </c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</row>
    <row r="1875">
      <c r="A1875" s="31" t="s">
        <v>7754</v>
      </c>
      <c r="B1875" s="28" t="s">
        <v>7755</v>
      </c>
      <c r="C1875" s="27" t="s">
        <v>7756</v>
      </c>
      <c r="D1875" s="27">
        <v>5.0</v>
      </c>
      <c r="E1875" s="27" t="s">
        <v>7757</v>
      </c>
      <c r="F1875" s="27">
        <v>3.0</v>
      </c>
      <c r="G1875" s="29">
        <v>45471.00069444445</v>
      </c>
      <c r="H1875" s="27" t="s">
        <v>7689</v>
      </c>
      <c r="I1875" s="18"/>
      <c r="J1875" s="25" t="str">
        <f>IFERROR(__xludf.DUMMYFUNCTION("ARRAYFORMULA(REGEXEXTRACT(SPLIT(C1875, ""&lt;br&gt;""), ""([가-힣A-Za-z]+)""))"),"신형만")</f>
        <v>신형만</v>
      </c>
      <c r="K1875" s="26" t="str">
        <f>IFERROR(__xludf.DUMMYFUNCTION("""COMPUTED_VALUE"""),"구리다")</f>
        <v>구리다</v>
      </c>
      <c r="L1875" s="26" t="str">
        <f>IFERROR(__xludf.DUMMYFUNCTION("""COMPUTED_VALUE"""),"재명")</f>
        <v>재명</v>
      </c>
      <c r="M1875" s="26" t="str">
        <f>IFERROR(__xludf.DUMMYFUNCTION("""COMPUTED_VALUE"""),"재우")</f>
        <v>재우</v>
      </c>
      <c r="N1875" s="26" t="str">
        <f>IFERROR(__xludf.DUMMYFUNCTION("ARRAYFORMULA(REGEXEXTRACT(SPLIT(E1875, ""&lt;br&gt;""), ""([가-힣A-Za-z]+)""))"),"엘더")</f>
        <v>엘더</v>
      </c>
      <c r="O1875" s="26" t="str">
        <f>IFERROR(__xludf.DUMMYFUNCTION("""COMPUTED_VALUE"""),"한메")</f>
        <v>한메</v>
      </c>
      <c r="P1875" s="26" t="str">
        <f>IFERROR(__xludf.DUMMYFUNCTION("""COMPUTED_VALUE"""),"강화")</f>
        <v>강화</v>
      </c>
      <c r="Q1875" s="26" t="str">
        <f>IFERROR(__xludf.DUMMYFUNCTION("""COMPUTED_VALUE"""),"랄")</f>
        <v>랄</v>
      </c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  <c r="AB1875" s="18"/>
    </row>
    <row r="1876">
      <c r="A1876" s="31" t="s">
        <v>7758</v>
      </c>
      <c r="B1876" s="28" t="s">
        <v>7759</v>
      </c>
      <c r="C1876" s="27" t="s">
        <v>7760</v>
      </c>
      <c r="D1876" s="27">
        <v>5.0</v>
      </c>
      <c r="E1876" s="27" t="s">
        <v>7761</v>
      </c>
      <c r="F1876" s="27">
        <v>4.0</v>
      </c>
      <c r="G1876" s="29">
        <v>45470.97361111111</v>
      </c>
      <c r="H1876" s="27" t="s">
        <v>7689</v>
      </c>
      <c r="I1876" s="18"/>
      <c r="J1876" s="25" t="str">
        <f>IFERROR(__xludf.DUMMYFUNCTION("ARRAYFORMULA(REGEXEXTRACT(SPLIT(C1876, ""&lt;br&gt;""), ""([가-힣A-Za-z]+)""))"),"강화")</f>
        <v>강화</v>
      </c>
      <c r="K1876" s="26" t="str">
        <f>IFERROR(__xludf.DUMMYFUNCTION("""COMPUTED_VALUE"""),"엘더")</f>
        <v>엘더</v>
      </c>
      <c r="L1876" s="26" t="str">
        <f>IFERROR(__xludf.DUMMYFUNCTION("""COMPUTED_VALUE"""),"짱구")</f>
        <v>짱구</v>
      </c>
      <c r="M1876" s="26" t="str">
        <f>IFERROR(__xludf.DUMMYFUNCTION("""COMPUTED_VALUE"""),"미르진")</f>
        <v>미르진</v>
      </c>
      <c r="N1876" s="26" t="str">
        <f>IFERROR(__xludf.DUMMYFUNCTION("ARRAYFORMULA(REGEXEXTRACT(SPLIT(E1876, ""&lt;br&gt;""), ""([가-힣A-Za-z]+)""))"),"한메")</f>
        <v>한메</v>
      </c>
      <c r="O1876" s="26" t="str">
        <f>IFERROR(__xludf.DUMMYFUNCTION("""COMPUTED_VALUE"""),"재명")</f>
        <v>재명</v>
      </c>
      <c r="P1876" s="26" t="str">
        <f>IFERROR(__xludf.DUMMYFUNCTION("""COMPUTED_VALUE"""),"신형만")</f>
        <v>신형만</v>
      </c>
      <c r="Q1876" s="26" t="str">
        <f>IFERROR(__xludf.DUMMYFUNCTION("""COMPUTED_VALUE"""),"전투쥐")</f>
        <v>전투쥐</v>
      </c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</row>
    <row r="1877">
      <c r="A1877" s="31" t="s">
        <v>7762</v>
      </c>
      <c r="B1877" s="28" t="s">
        <v>7763</v>
      </c>
      <c r="C1877" s="27" t="s">
        <v>7764</v>
      </c>
      <c r="D1877" s="27">
        <v>5.0</v>
      </c>
      <c r="E1877" s="27" t="s">
        <v>7765</v>
      </c>
      <c r="F1877" s="27">
        <v>3.0</v>
      </c>
      <c r="G1877" s="29">
        <v>45470.933333333334</v>
      </c>
      <c r="H1877" s="27" t="s">
        <v>7689</v>
      </c>
      <c r="I1877" s="18"/>
      <c r="J1877" s="25" t="str">
        <f>IFERROR(__xludf.DUMMYFUNCTION("ARRAYFORMULA(REGEXEXTRACT(SPLIT(C1877, ""&lt;br&gt;""), ""([가-힣A-Za-z]+)""))"),"짱구")</f>
        <v>짱구</v>
      </c>
      <c r="K1877" s="26" t="str">
        <f>IFERROR(__xludf.DUMMYFUNCTION("""COMPUTED_VALUE"""),"전투쥐")</f>
        <v>전투쥐</v>
      </c>
      <c r="L1877" s="26" t="str">
        <f>IFERROR(__xludf.DUMMYFUNCTION("""COMPUTED_VALUE"""),"미르진")</f>
        <v>미르진</v>
      </c>
      <c r="M1877" s="26" t="str">
        <f>IFERROR(__xludf.DUMMYFUNCTION("""COMPUTED_VALUE"""),"강화")</f>
        <v>강화</v>
      </c>
      <c r="N1877" s="26" t="str">
        <f>IFERROR(__xludf.DUMMYFUNCTION("ARRAYFORMULA(REGEXEXTRACT(SPLIT(E1877, ""&lt;br&gt;""), ""([가-힣A-Za-z]+)""))"),"한메")</f>
        <v>한메</v>
      </c>
      <c r="O1877" s="26" t="str">
        <f>IFERROR(__xludf.DUMMYFUNCTION("""COMPUTED_VALUE"""),"엘더")</f>
        <v>엘더</v>
      </c>
      <c r="P1877" s="26" t="str">
        <f>IFERROR(__xludf.DUMMYFUNCTION("""COMPUTED_VALUE"""),"ACDC")</f>
        <v>ACDC</v>
      </c>
      <c r="Q1877" s="26" t="str">
        <f>IFERROR(__xludf.DUMMYFUNCTION("""COMPUTED_VALUE"""),"재명")</f>
        <v>재명</v>
      </c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  <c r="AB1877" s="18"/>
    </row>
    <row r="1878">
      <c r="A1878" s="31" t="s">
        <v>7766</v>
      </c>
      <c r="B1878" s="28" t="s">
        <v>7767</v>
      </c>
      <c r="C1878" s="27" t="s">
        <v>7768</v>
      </c>
      <c r="D1878" s="27">
        <v>5.0</v>
      </c>
      <c r="E1878" s="27" t="s">
        <v>7769</v>
      </c>
      <c r="F1878" s="27">
        <v>2.0</v>
      </c>
      <c r="G1878" s="29">
        <v>45470.90555555555</v>
      </c>
      <c r="H1878" s="27" t="s">
        <v>7689</v>
      </c>
      <c r="I1878" s="18"/>
      <c r="J1878" s="25" t="str">
        <f>IFERROR(__xludf.DUMMYFUNCTION("ARRAYFORMULA(REGEXEXTRACT(SPLIT(C1878, ""&lt;br&gt;""), ""([가-힣A-Za-z]+)""))"),"신형만")</f>
        <v>신형만</v>
      </c>
      <c r="K1878" s="26" t="str">
        <f>IFERROR(__xludf.DUMMYFUNCTION("""COMPUTED_VALUE"""),"ACDC")</f>
        <v>ACDC</v>
      </c>
      <c r="L1878" s="26" t="str">
        <f>IFERROR(__xludf.DUMMYFUNCTION("""COMPUTED_VALUE"""),"짱구")</f>
        <v>짱구</v>
      </c>
      <c r="M1878" s="26" t="str">
        <f>IFERROR(__xludf.DUMMYFUNCTION("""COMPUTED_VALUE"""),"한메")</f>
        <v>한메</v>
      </c>
      <c r="N1878" s="26" t="str">
        <f>IFERROR(__xludf.DUMMYFUNCTION("ARRAYFORMULA(REGEXEXTRACT(SPLIT(E1878, ""&lt;br&gt;""), ""([가-힣A-Za-z]+)""))"),"재명")</f>
        <v>재명</v>
      </c>
      <c r="O1878" s="26" t="str">
        <f>IFERROR(__xludf.DUMMYFUNCTION("""COMPUTED_VALUE"""),"엘더")</f>
        <v>엘더</v>
      </c>
      <c r="P1878" s="26" t="str">
        <f>IFERROR(__xludf.DUMMYFUNCTION("""COMPUTED_VALUE"""),"미르진")</f>
        <v>미르진</v>
      </c>
      <c r="Q1878" s="26" t="str">
        <f>IFERROR(__xludf.DUMMYFUNCTION("""COMPUTED_VALUE"""),"전투쥐")</f>
        <v>전투쥐</v>
      </c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</row>
    <row r="1879">
      <c r="A1879" s="31" t="s">
        <v>7770</v>
      </c>
      <c r="B1879" s="28" t="s">
        <v>7771</v>
      </c>
      <c r="C1879" s="27" t="s">
        <v>7772</v>
      </c>
      <c r="D1879" s="27">
        <v>5.0</v>
      </c>
      <c r="E1879" s="27" t="s">
        <v>7773</v>
      </c>
      <c r="F1879" s="27">
        <v>0.0</v>
      </c>
      <c r="G1879" s="29">
        <v>45469.979166666664</v>
      </c>
      <c r="H1879" s="27" t="s">
        <v>7689</v>
      </c>
      <c r="I1879" s="18"/>
      <c r="J1879" s="25" t="str">
        <f>IFERROR(__xludf.DUMMYFUNCTION("ARRAYFORMULA(REGEXEXTRACT(SPLIT(C1879, ""&lt;br&gt;""), ""([가-힣A-Za-z]+)""))"),"재우")</f>
        <v>재우</v>
      </c>
      <c r="K1879" s="26" t="str">
        <f>IFERROR(__xludf.DUMMYFUNCTION("""COMPUTED_VALUE"""),"짱구")</f>
        <v>짱구</v>
      </c>
      <c r="L1879" s="26" t="str">
        <f>IFERROR(__xludf.DUMMYFUNCTION("""COMPUTED_VALUE"""),"한메")</f>
        <v>한메</v>
      </c>
      <c r="M1879" s="26" t="str">
        <f>IFERROR(__xludf.DUMMYFUNCTION("""COMPUTED_VALUE"""),"강화")</f>
        <v>강화</v>
      </c>
      <c r="N1879" s="26" t="str">
        <f>IFERROR(__xludf.DUMMYFUNCTION("ARRAYFORMULA(REGEXEXTRACT(SPLIT(E1879, ""&lt;br&gt;""), ""([가-힣A-Za-z]+)""))"),"오크")</f>
        <v>오크</v>
      </c>
      <c r="O1879" s="26" t="str">
        <f>IFERROR(__xludf.DUMMYFUNCTION("""COMPUTED_VALUE"""),"구리다")</f>
        <v>구리다</v>
      </c>
      <c r="P1879" s="26" t="str">
        <f>IFERROR(__xludf.DUMMYFUNCTION("""COMPUTED_VALUE"""),"랄")</f>
        <v>랄</v>
      </c>
      <c r="Q1879" s="26" t="str">
        <f>IFERROR(__xludf.DUMMYFUNCTION("""COMPUTED_VALUE"""),"조드")</f>
        <v>조드</v>
      </c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  <c r="AB1879" s="18"/>
    </row>
    <row r="1880">
      <c r="A1880" s="31" t="s">
        <v>7774</v>
      </c>
      <c r="B1880" s="28" t="s">
        <v>7775</v>
      </c>
      <c r="C1880" s="27" t="s">
        <v>7776</v>
      </c>
      <c r="D1880" s="27">
        <v>5.0</v>
      </c>
      <c r="E1880" s="27" t="s">
        <v>7777</v>
      </c>
      <c r="F1880" s="27">
        <v>0.0</v>
      </c>
      <c r="G1880" s="29">
        <v>45469.947222222225</v>
      </c>
      <c r="H1880" s="27" t="s">
        <v>7689</v>
      </c>
      <c r="I1880" s="18"/>
      <c r="J1880" s="25" t="str">
        <f>IFERROR(__xludf.DUMMYFUNCTION("ARRAYFORMULA(REGEXEXTRACT(SPLIT(C1880, ""&lt;br&gt;""), ""([가-힣A-Za-z]+)""))"),"한메")</f>
        <v>한메</v>
      </c>
      <c r="K1880" s="26" t="str">
        <f>IFERROR(__xludf.DUMMYFUNCTION("""COMPUTED_VALUE"""),"강화")</f>
        <v>강화</v>
      </c>
      <c r="L1880" s="26" t="str">
        <f>IFERROR(__xludf.DUMMYFUNCTION("""COMPUTED_VALUE"""),"엘더")</f>
        <v>엘더</v>
      </c>
      <c r="M1880" s="26" t="str">
        <f>IFERROR(__xludf.DUMMYFUNCTION("""COMPUTED_VALUE"""),"조심")</f>
        <v>조심</v>
      </c>
      <c r="N1880" s="26" t="str">
        <f>IFERROR(__xludf.DUMMYFUNCTION("ARRAYFORMULA(REGEXEXTRACT(SPLIT(E1880, ""&lt;br&gt;""), ""([가-힣A-Za-z]+)""))"),"오크")</f>
        <v>오크</v>
      </c>
      <c r="O1880" s="26" t="str">
        <f>IFERROR(__xludf.DUMMYFUNCTION("""COMPUTED_VALUE"""),"구리다")</f>
        <v>구리다</v>
      </c>
      <c r="P1880" s="26" t="str">
        <f>IFERROR(__xludf.DUMMYFUNCTION("""COMPUTED_VALUE"""),"재우")</f>
        <v>재우</v>
      </c>
      <c r="Q1880" s="26" t="str">
        <f>IFERROR(__xludf.DUMMYFUNCTION("""COMPUTED_VALUE"""),"깡패")</f>
        <v>깡패</v>
      </c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</row>
    <row r="1881">
      <c r="A1881" s="31" t="s">
        <v>7778</v>
      </c>
      <c r="B1881" s="28" t="s">
        <v>7779</v>
      </c>
      <c r="C1881" s="27" t="s">
        <v>7780</v>
      </c>
      <c r="D1881" s="27">
        <v>5.0</v>
      </c>
      <c r="E1881" s="27" t="s">
        <v>7781</v>
      </c>
      <c r="F1881" s="27">
        <v>1.0</v>
      </c>
      <c r="G1881" s="29">
        <v>45469.933333333334</v>
      </c>
      <c r="H1881" s="27" t="s">
        <v>7689</v>
      </c>
      <c r="I1881" s="18"/>
      <c r="J1881" s="25" t="str">
        <f>IFERROR(__xludf.DUMMYFUNCTION("ARRAYFORMULA(REGEXEXTRACT(SPLIT(C1881, ""&lt;br&gt;""), ""([가-힣A-Za-z]+)""))"),"조심")</f>
        <v>조심</v>
      </c>
      <c r="K1881" s="26" t="str">
        <f>IFERROR(__xludf.DUMMYFUNCTION("""COMPUTED_VALUE"""),"재우")</f>
        <v>재우</v>
      </c>
      <c r="L1881" s="26" t="str">
        <f>IFERROR(__xludf.DUMMYFUNCTION("""COMPUTED_VALUE"""),"구리다")</f>
        <v>구리다</v>
      </c>
      <c r="M1881" s="26" t="str">
        <f>IFERROR(__xludf.DUMMYFUNCTION("""COMPUTED_VALUE"""),"한메")</f>
        <v>한메</v>
      </c>
      <c r="N1881" s="26" t="str">
        <f>IFERROR(__xludf.DUMMYFUNCTION("ARRAYFORMULA(REGEXEXTRACT(SPLIT(E1881, ""&lt;br&gt;""), ""([가-힣A-Za-z]+)""))"),"엘더")</f>
        <v>엘더</v>
      </c>
      <c r="O1881" s="26" t="str">
        <f>IFERROR(__xludf.DUMMYFUNCTION("""COMPUTED_VALUE"""),"깡패")</f>
        <v>깡패</v>
      </c>
      <c r="P1881" s="26" t="str">
        <f>IFERROR(__xludf.DUMMYFUNCTION("""COMPUTED_VALUE"""),"오크")</f>
        <v>오크</v>
      </c>
      <c r="Q1881" s="26" t="str">
        <f>IFERROR(__xludf.DUMMYFUNCTION("""COMPUTED_VALUE"""),"강화")</f>
        <v>강화</v>
      </c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</row>
    <row r="1882">
      <c r="A1882" s="31" t="s">
        <v>7782</v>
      </c>
      <c r="B1882" s="28" t="s">
        <v>7783</v>
      </c>
      <c r="C1882" s="27" t="s">
        <v>7784</v>
      </c>
      <c r="D1882" s="27">
        <v>5.0</v>
      </c>
      <c r="E1882" s="27" t="s">
        <v>7785</v>
      </c>
      <c r="F1882" s="27">
        <v>0.0</v>
      </c>
      <c r="G1882" s="29">
        <v>45469.90902777778</v>
      </c>
      <c r="H1882" s="27" t="s">
        <v>7689</v>
      </c>
      <c r="I1882" s="18"/>
      <c r="J1882" s="25" t="str">
        <f>IFERROR(__xludf.DUMMYFUNCTION("ARRAYFORMULA(REGEXEXTRACT(SPLIT(C1882, ""&lt;br&gt;""), ""([가-힣A-Za-z]+)""))"),"오크")</f>
        <v>오크</v>
      </c>
      <c r="K1882" s="26" t="str">
        <f>IFERROR(__xludf.DUMMYFUNCTION("""COMPUTED_VALUE"""),"엘더")</f>
        <v>엘더</v>
      </c>
      <c r="L1882" s="26" t="str">
        <f>IFERROR(__xludf.DUMMYFUNCTION("""COMPUTED_VALUE"""),"한메")</f>
        <v>한메</v>
      </c>
      <c r="M1882" s="26" t="str">
        <f>IFERROR(__xludf.DUMMYFUNCTION("""COMPUTED_VALUE"""),"민우")</f>
        <v>민우</v>
      </c>
      <c r="N1882" s="26" t="str">
        <f>IFERROR(__xludf.DUMMYFUNCTION("ARRAYFORMULA(REGEXEXTRACT(SPLIT(E1882, ""&lt;br&gt;""), ""([가-힣A-Za-z]+)""))"),"조심")</f>
        <v>조심</v>
      </c>
      <c r="O1882" s="26" t="str">
        <f>IFERROR(__xludf.DUMMYFUNCTION("""COMPUTED_VALUE"""),"강화")</f>
        <v>강화</v>
      </c>
      <c r="P1882" s="26" t="str">
        <f>IFERROR(__xludf.DUMMYFUNCTION("""COMPUTED_VALUE"""),"재우")</f>
        <v>재우</v>
      </c>
      <c r="Q1882" s="26" t="str">
        <f>IFERROR(__xludf.DUMMYFUNCTION("""COMPUTED_VALUE"""),"깡패")</f>
        <v>깡패</v>
      </c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  <c r="AB1882" s="18"/>
    </row>
    <row r="1883">
      <c r="A1883" s="31" t="s">
        <v>7786</v>
      </c>
      <c r="B1883" s="28" t="s">
        <v>7787</v>
      </c>
      <c r="C1883" s="27" t="s">
        <v>7788</v>
      </c>
      <c r="D1883" s="27">
        <v>5.0</v>
      </c>
      <c r="E1883" s="27" t="s">
        <v>7789</v>
      </c>
      <c r="F1883" s="27">
        <v>0.0</v>
      </c>
      <c r="G1883" s="29">
        <v>45469.89513888889</v>
      </c>
      <c r="H1883" s="27" t="s">
        <v>7689</v>
      </c>
      <c r="I1883" s="18"/>
      <c r="J1883" s="25" t="str">
        <f>IFERROR(__xludf.DUMMYFUNCTION("ARRAYFORMULA(REGEXEXTRACT(SPLIT(C1883, ""&lt;br&gt;""), ""([가-힣A-Za-z]+)""))"),"민우")</f>
        <v>민우</v>
      </c>
      <c r="K1883" s="26" t="str">
        <f>IFERROR(__xludf.DUMMYFUNCTION("""COMPUTED_VALUE"""),"엘더")</f>
        <v>엘더</v>
      </c>
      <c r="L1883" s="26" t="str">
        <f>IFERROR(__xludf.DUMMYFUNCTION("""COMPUTED_VALUE"""),"오크")</f>
        <v>오크</v>
      </c>
      <c r="M1883" s="26" t="str">
        <f>IFERROR(__xludf.DUMMYFUNCTION("""COMPUTED_VALUE"""),"깡패")</f>
        <v>깡패</v>
      </c>
      <c r="N1883" s="26" t="str">
        <f>IFERROR(__xludf.DUMMYFUNCTION("ARRAYFORMULA(REGEXEXTRACT(SPLIT(E1883, ""&lt;br&gt;""), ""([가-힣A-Za-z]+)""))"),"재우")</f>
        <v>재우</v>
      </c>
      <c r="O1883" s="26" t="str">
        <f>IFERROR(__xludf.DUMMYFUNCTION("""COMPUTED_VALUE"""),"강화")</f>
        <v>강화</v>
      </c>
      <c r="P1883" s="26" t="str">
        <f>IFERROR(__xludf.DUMMYFUNCTION("""COMPUTED_VALUE"""),"한메")</f>
        <v>한메</v>
      </c>
      <c r="Q1883" s="26" t="str">
        <f>IFERROR(__xludf.DUMMYFUNCTION("""COMPUTED_VALUE"""),"조심")</f>
        <v>조심</v>
      </c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  <c r="AB1883" s="18"/>
    </row>
    <row r="1884">
      <c r="A1884" s="31" t="s">
        <v>7790</v>
      </c>
      <c r="B1884" s="28" t="s">
        <v>7791</v>
      </c>
      <c r="C1884" s="27" t="s">
        <v>7792</v>
      </c>
      <c r="D1884" s="27">
        <v>5.0</v>
      </c>
      <c r="E1884" s="27" t="s">
        <v>7793</v>
      </c>
      <c r="F1884" s="27">
        <v>1.0</v>
      </c>
      <c r="G1884" s="29">
        <v>45469.88125</v>
      </c>
      <c r="H1884" s="27" t="s">
        <v>7689</v>
      </c>
      <c r="I1884" s="18"/>
      <c r="J1884" s="25" t="str">
        <f>IFERROR(__xludf.DUMMYFUNCTION("ARRAYFORMULA(REGEXEXTRACT(SPLIT(C1884, ""&lt;br&gt;""), ""([가-힣A-Za-z]+)""))"),"오크")</f>
        <v>오크</v>
      </c>
      <c r="K1884" s="26" t="str">
        <f>IFERROR(__xludf.DUMMYFUNCTION("""COMPUTED_VALUE"""),"한메")</f>
        <v>한메</v>
      </c>
      <c r="L1884" s="26" t="str">
        <f>IFERROR(__xludf.DUMMYFUNCTION("""COMPUTED_VALUE"""),"엘더")</f>
        <v>엘더</v>
      </c>
      <c r="M1884" s="26" t="str">
        <f>IFERROR(__xludf.DUMMYFUNCTION("""COMPUTED_VALUE"""),"조심")</f>
        <v>조심</v>
      </c>
      <c r="N1884" s="26" t="str">
        <f>IFERROR(__xludf.DUMMYFUNCTION("ARRAYFORMULA(REGEXEXTRACT(SPLIT(E1884, ""&lt;br&gt;""), ""([가-힣A-Za-z]+)""))"),"전투쥐")</f>
        <v>전투쥐</v>
      </c>
      <c r="O1884" s="26" t="str">
        <f>IFERROR(__xludf.DUMMYFUNCTION("""COMPUTED_VALUE"""),"깡패")</f>
        <v>깡패</v>
      </c>
      <c r="P1884" s="26" t="str">
        <f>IFERROR(__xludf.DUMMYFUNCTION("""COMPUTED_VALUE"""),"민우")</f>
        <v>민우</v>
      </c>
      <c r="Q1884" s="26" t="str">
        <f>IFERROR(__xludf.DUMMYFUNCTION("""COMPUTED_VALUE"""),"재명")</f>
        <v>재명</v>
      </c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</row>
    <row r="1885">
      <c r="A1885" s="31" t="s">
        <v>7794</v>
      </c>
      <c r="B1885" s="28" t="s">
        <v>7795</v>
      </c>
      <c r="C1885" s="27" t="s">
        <v>7796</v>
      </c>
      <c r="D1885" s="27">
        <v>4.0</v>
      </c>
      <c r="E1885" s="27" t="s">
        <v>7797</v>
      </c>
      <c r="F1885" s="27">
        <v>5.0</v>
      </c>
      <c r="G1885" s="29">
        <v>45469.86041666667</v>
      </c>
      <c r="H1885" s="27" t="s">
        <v>7689</v>
      </c>
      <c r="I1885" s="18"/>
      <c r="J1885" s="25" t="str">
        <f>IFERROR(__xludf.DUMMYFUNCTION("ARRAYFORMULA(REGEXEXTRACT(SPLIT(C1885, ""&lt;br&gt;""), ""([가-힣A-Za-z]+)""))"),"전투쥐")</f>
        <v>전투쥐</v>
      </c>
      <c r="K1885" s="26" t="str">
        <f>IFERROR(__xludf.DUMMYFUNCTION("""COMPUTED_VALUE"""),"오크")</f>
        <v>오크</v>
      </c>
      <c r="L1885" s="26" t="str">
        <f>IFERROR(__xludf.DUMMYFUNCTION("""COMPUTED_VALUE"""),"키키")</f>
        <v>키키</v>
      </c>
      <c r="M1885" s="26" t="str">
        <f>IFERROR(__xludf.DUMMYFUNCTION("""COMPUTED_VALUE"""),"짱구")</f>
        <v>짱구</v>
      </c>
      <c r="N1885" s="26" t="str">
        <f>IFERROR(__xludf.DUMMYFUNCTION("ARRAYFORMULA(REGEXEXTRACT(SPLIT(E1885, ""&lt;br&gt;""), ""([가-힣A-Za-z]+)""))"),"재명")</f>
        <v>재명</v>
      </c>
      <c r="O1885" s="26" t="str">
        <f>IFERROR(__xludf.DUMMYFUNCTION("""COMPUTED_VALUE"""),"신형만")</f>
        <v>신형만</v>
      </c>
      <c r="P1885" s="26" t="str">
        <f>IFERROR(__xludf.DUMMYFUNCTION("""COMPUTED_VALUE"""),"엘더")</f>
        <v>엘더</v>
      </c>
      <c r="Q1885" s="26" t="str">
        <f>IFERROR(__xludf.DUMMYFUNCTION("""COMPUTED_VALUE"""),"ACDC")</f>
        <v>ACDC</v>
      </c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  <c r="AB1885" s="18"/>
    </row>
    <row r="1886">
      <c r="A1886" s="31" t="s">
        <v>7798</v>
      </c>
      <c r="B1886" s="28" t="s">
        <v>7799</v>
      </c>
      <c r="C1886" s="27" t="s">
        <v>7800</v>
      </c>
      <c r="D1886" s="27">
        <v>5.0</v>
      </c>
      <c r="E1886" s="27" t="s">
        <v>7801</v>
      </c>
      <c r="F1886" s="27">
        <v>4.0</v>
      </c>
      <c r="G1886" s="29">
        <v>45469.825694444444</v>
      </c>
      <c r="H1886" s="27" t="s">
        <v>7689</v>
      </c>
      <c r="I1886" s="18"/>
      <c r="J1886" s="25" t="str">
        <f>IFERROR(__xludf.DUMMYFUNCTION("ARRAYFORMULA(REGEXEXTRACT(SPLIT(C1886, ""&lt;br&gt;""), ""([가-힣A-Za-z]+)""))"),"신형만")</f>
        <v>신형만</v>
      </c>
      <c r="K1886" s="26" t="str">
        <f>IFERROR(__xludf.DUMMYFUNCTION("""COMPUTED_VALUE"""),"윙크")</f>
        <v>윙크</v>
      </c>
      <c r="L1886" s="26" t="str">
        <f>IFERROR(__xludf.DUMMYFUNCTION("""COMPUTED_VALUE"""),"재명")</f>
        <v>재명</v>
      </c>
      <c r="M1886" s="26" t="str">
        <f>IFERROR(__xludf.DUMMYFUNCTION("""COMPUTED_VALUE"""),"오크")</f>
        <v>오크</v>
      </c>
      <c r="N1886" s="26" t="str">
        <f>IFERROR(__xludf.DUMMYFUNCTION("ARRAYFORMULA(REGEXEXTRACT(SPLIT(E1886, ""&lt;br&gt;""), ""([가-힣A-Za-z]+)""))"),"전투쥐")</f>
        <v>전투쥐</v>
      </c>
      <c r="O1886" s="26" t="str">
        <f>IFERROR(__xludf.DUMMYFUNCTION("""COMPUTED_VALUE"""),"짱구")</f>
        <v>짱구</v>
      </c>
      <c r="P1886" s="26" t="str">
        <f>IFERROR(__xludf.DUMMYFUNCTION("""COMPUTED_VALUE"""),"키키")</f>
        <v>키키</v>
      </c>
      <c r="Q1886" s="26" t="str">
        <f>IFERROR(__xludf.DUMMYFUNCTION("""COMPUTED_VALUE"""),"ACDC")</f>
        <v>ACDC</v>
      </c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</row>
    <row r="1887">
      <c r="A1887" s="31" t="s">
        <v>7802</v>
      </c>
      <c r="B1887" s="28" t="s">
        <v>7803</v>
      </c>
      <c r="C1887" s="27" t="s">
        <v>7804</v>
      </c>
      <c r="D1887" s="27">
        <v>5.0</v>
      </c>
      <c r="E1887" s="27" t="s">
        <v>7805</v>
      </c>
      <c r="F1887" s="27">
        <v>4.0</v>
      </c>
      <c r="G1887" s="29">
        <v>45469.79305555556</v>
      </c>
      <c r="H1887" s="27" t="s">
        <v>7689</v>
      </c>
      <c r="I1887" s="18"/>
      <c r="J1887" s="25" t="str">
        <f>IFERROR(__xludf.DUMMYFUNCTION("ARRAYFORMULA(REGEXEXTRACT(SPLIT(C1887, ""&lt;br&gt;""), ""([가-힣A-Za-z]+)""))"),"재명")</f>
        <v>재명</v>
      </c>
      <c r="K1887" s="26" t="str">
        <f>IFERROR(__xludf.DUMMYFUNCTION("""COMPUTED_VALUE"""),"ACDC")</f>
        <v>ACDC</v>
      </c>
      <c r="L1887" s="26" t="str">
        <f>IFERROR(__xludf.DUMMYFUNCTION("""COMPUTED_VALUE"""),"신형만")</f>
        <v>신형만</v>
      </c>
      <c r="M1887" s="26" t="str">
        <f>IFERROR(__xludf.DUMMYFUNCTION("""COMPUTED_VALUE"""),"키키")</f>
        <v>키키</v>
      </c>
      <c r="N1887" s="26" t="str">
        <f>IFERROR(__xludf.DUMMYFUNCTION("ARRAYFORMULA(REGEXEXTRACT(SPLIT(E1887, ""&lt;br&gt;""), ""([가-힣A-Za-z]+)""))"),"윙크")</f>
        <v>윙크</v>
      </c>
      <c r="O1887" s="26" t="str">
        <f>IFERROR(__xludf.DUMMYFUNCTION("""COMPUTED_VALUE"""),"짱구")</f>
        <v>짱구</v>
      </c>
      <c r="P1887" s="26" t="str">
        <f>IFERROR(__xludf.DUMMYFUNCTION("""COMPUTED_VALUE"""),"전투쥐")</f>
        <v>전투쥐</v>
      </c>
      <c r="Q1887" s="26" t="str">
        <f>IFERROR(__xludf.DUMMYFUNCTION("""COMPUTED_VALUE"""),"깡패")</f>
        <v>깡패</v>
      </c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  <c r="AB1887" s="18"/>
    </row>
    <row r="1888">
      <c r="A1888" s="31" t="s">
        <v>7806</v>
      </c>
      <c r="B1888" s="28" t="s">
        <v>7807</v>
      </c>
      <c r="C1888" s="27" t="s">
        <v>7808</v>
      </c>
      <c r="D1888" s="27">
        <v>5.0</v>
      </c>
      <c r="E1888" s="27" t="s">
        <v>7809</v>
      </c>
      <c r="F1888" s="27">
        <v>4.0</v>
      </c>
      <c r="G1888" s="29">
        <v>45469.75625</v>
      </c>
      <c r="H1888" s="27" t="s">
        <v>7689</v>
      </c>
      <c r="I1888" s="18"/>
      <c r="J1888" s="25" t="str">
        <f>IFERROR(__xludf.DUMMYFUNCTION("ARRAYFORMULA(REGEXEXTRACT(SPLIT(C1888, ""&lt;br&gt;""), ""([가-힣A-Za-z]+)""))"),"윙크")</f>
        <v>윙크</v>
      </c>
      <c r="K1888" s="26" t="str">
        <f>IFERROR(__xludf.DUMMYFUNCTION("""COMPUTED_VALUE"""),"신형만")</f>
        <v>신형만</v>
      </c>
      <c r="L1888" s="26" t="str">
        <f>IFERROR(__xludf.DUMMYFUNCTION("""COMPUTED_VALUE"""),"짱구")</f>
        <v>짱구</v>
      </c>
      <c r="M1888" s="26" t="str">
        <f>IFERROR(__xludf.DUMMYFUNCTION("""COMPUTED_VALUE"""),"ACDC")</f>
        <v>ACDC</v>
      </c>
      <c r="N1888" s="26" t="str">
        <f>IFERROR(__xludf.DUMMYFUNCTION("ARRAYFORMULA(REGEXEXTRACT(SPLIT(E1888, ""&lt;br&gt;""), ""([가-힣A-Za-z]+)""))"),"키키")</f>
        <v>키키</v>
      </c>
      <c r="O1888" s="26" t="str">
        <f>IFERROR(__xludf.DUMMYFUNCTION("""COMPUTED_VALUE"""),"미등록")</f>
        <v>미등록</v>
      </c>
      <c r="P1888" s="26" t="str">
        <f>IFERROR(__xludf.DUMMYFUNCTION("""COMPUTED_VALUE"""),"악동")</f>
        <v>악동</v>
      </c>
      <c r="Q1888" s="26" t="str">
        <f>IFERROR(__xludf.DUMMYFUNCTION("""COMPUTED_VALUE"""),"깡패")</f>
        <v>깡패</v>
      </c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  <c r="AB1888" s="18"/>
    </row>
    <row r="1889">
      <c r="A1889" s="31" t="s">
        <v>7810</v>
      </c>
      <c r="B1889" s="28" t="s">
        <v>7811</v>
      </c>
      <c r="C1889" s="27" t="s">
        <v>7812</v>
      </c>
      <c r="D1889" s="27">
        <v>5.0</v>
      </c>
      <c r="E1889" s="27" t="s">
        <v>7813</v>
      </c>
      <c r="F1889" s="27">
        <v>1.0</v>
      </c>
      <c r="G1889" s="29">
        <v>45469.72430555556</v>
      </c>
      <c r="H1889" s="27" t="s">
        <v>7689</v>
      </c>
      <c r="I1889" s="18"/>
      <c r="J1889" s="25" t="str">
        <f>IFERROR(__xludf.DUMMYFUNCTION("ARRAYFORMULA(REGEXEXTRACT(SPLIT(C1889, ""&lt;br&gt;""), ""([가-힣A-Za-z]+)""))"),"짱구")</f>
        <v>짱구</v>
      </c>
      <c r="K1889" s="26" t="str">
        <f>IFERROR(__xludf.DUMMYFUNCTION("""COMPUTED_VALUE"""),"미등록")</f>
        <v>미등록</v>
      </c>
      <c r="L1889" s="26" t="str">
        <f>IFERROR(__xludf.DUMMYFUNCTION("""COMPUTED_VALUE"""),"악동")</f>
        <v>악동</v>
      </c>
      <c r="M1889" s="26" t="str">
        <f>IFERROR(__xludf.DUMMYFUNCTION("""COMPUTED_VALUE"""),"깡패")</f>
        <v>깡패</v>
      </c>
      <c r="N1889" s="26" t="str">
        <f>IFERROR(__xludf.DUMMYFUNCTION("ARRAYFORMULA(REGEXEXTRACT(SPLIT(E1889, ""&lt;br&gt;""), ""([가-힣A-Za-z]+)""))"),"신형만")</f>
        <v>신형만</v>
      </c>
      <c r="O1889" s="26" t="str">
        <f>IFERROR(__xludf.DUMMYFUNCTION("""COMPUTED_VALUE"""),"윙크")</f>
        <v>윙크</v>
      </c>
      <c r="P1889" s="26" t="str">
        <f>IFERROR(__xludf.DUMMYFUNCTION("""COMPUTED_VALUE"""),"ACDC")</f>
        <v>ACDC</v>
      </c>
      <c r="Q1889" s="26" t="str">
        <f>IFERROR(__xludf.DUMMYFUNCTION("""COMPUTED_VALUE"""),"키키")</f>
        <v>키키</v>
      </c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  <c r="AB1889" s="18"/>
    </row>
    <row r="1890">
      <c r="A1890" s="31" t="s">
        <v>7814</v>
      </c>
      <c r="B1890" s="28" t="s">
        <v>7815</v>
      </c>
      <c r="C1890" s="27" t="s">
        <v>7816</v>
      </c>
      <c r="D1890" s="27">
        <v>5.0</v>
      </c>
      <c r="E1890" s="27" t="s">
        <v>7817</v>
      </c>
      <c r="F1890" s="27">
        <v>2.0</v>
      </c>
      <c r="G1890" s="29">
        <v>45469.15625</v>
      </c>
      <c r="H1890" s="27" t="s">
        <v>7689</v>
      </c>
      <c r="I1890" s="18"/>
      <c r="J1890" s="25" t="str">
        <f>IFERROR(__xludf.DUMMYFUNCTION("ARRAYFORMULA(REGEXEXTRACT(SPLIT(C1890, ""&lt;br&gt;""), ""([가-힣A-Za-z]+)""))"),"한메")</f>
        <v>한메</v>
      </c>
      <c r="K1890" s="26" t="str">
        <f>IFERROR(__xludf.DUMMYFUNCTION("""COMPUTED_VALUE"""),"짱구")</f>
        <v>짱구</v>
      </c>
      <c r="L1890" s="26" t="str">
        <f>IFERROR(__xludf.DUMMYFUNCTION("""COMPUTED_VALUE"""),"신형만")</f>
        <v>신형만</v>
      </c>
      <c r="M1890" s="26" t="str">
        <f>IFERROR(__xludf.DUMMYFUNCTION("""COMPUTED_VALUE"""),"악동")</f>
        <v>악동</v>
      </c>
      <c r="N1890" s="26" t="str">
        <f>IFERROR(__xludf.DUMMYFUNCTION("ARRAYFORMULA(REGEXEXTRACT(SPLIT(E1890, ""&lt;br&gt;""), ""([가-힣A-Za-z]+)""))"),"재명")</f>
        <v>재명</v>
      </c>
      <c r="O1890" s="26" t="str">
        <f>IFERROR(__xludf.DUMMYFUNCTION("""COMPUTED_VALUE"""),"ACDC")</f>
        <v>ACDC</v>
      </c>
      <c r="P1890" s="26" t="str">
        <f>IFERROR(__xludf.DUMMYFUNCTION("""COMPUTED_VALUE"""),"아이딘")</f>
        <v>아이딘</v>
      </c>
      <c r="Q1890" s="26" t="str">
        <f>IFERROR(__xludf.DUMMYFUNCTION("""COMPUTED_VALUE"""),"깡패")</f>
        <v>깡패</v>
      </c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</row>
    <row r="1891">
      <c r="A1891" s="31" t="s">
        <v>7818</v>
      </c>
      <c r="B1891" s="28" t="s">
        <v>7819</v>
      </c>
      <c r="C1891" s="27" t="s">
        <v>7820</v>
      </c>
      <c r="D1891" s="27">
        <v>5.0</v>
      </c>
      <c r="E1891" s="27" t="s">
        <v>7821</v>
      </c>
      <c r="F1891" s="27">
        <v>2.0</v>
      </c>
      <c r="G1891" s="29">
        <v>45469.13263888889</v>
      </c>
      <c r="H1891" s="27" t="s">
        <v>7689</v>
      </c>
      <c r="I1891" s="18"/>
      <c r="J1891" s="25" t="str">
        <f>IFERROR(__xludf.DUMMYFUNCTION("ARRAYFORMULA(REGEXEXTRACT(SPLIT(C1891, ""&lt;br&gt;""), ""([가-힣A-Za-z]+)""))"),"짱구")</f>
        <v>짱구</v>
      </c>
      <c r="K1891" s="26" t="str">
        <f>IFERROR(__xludf.DUMMYFUNCTION("""COMPUTED_VALUE"""),"신형만")</f>
        <v>신형만</v>
      </c>
      <c r="L1891" s="26" t="str">
        <f>IFERROR(__xludf.DUMMYFUNCTION("""COMPUTED_VALUE"""),"아이딘")</f>
        <v>아이딘</v>
      </c>
      <c r="M1891" s="26" t="str">
        <f>IFERROR(__xludf.DUMMYFUNCTION("""COMPUTED_VALUE"""),"한메")</f>
        <v>한메</v>
      </c>
      <c r="N1891" s="26" t="str">
        <f>IFERROR(__xludf.DUMMYFUNCTION("ARRAYFORMULA(REGEXEXTRACT(SPLIT(E1891, ""&lt;br&gt;""), ""([가-힣A-Za-z]+)""))"),"재명")</f>
        <v>재명</v>
      </c>
      <c r="O1891" s="26" t="str">
        <f>IFERROR(__xludf.DUMMYFUNCTION("""COMPUTED_VALUE"""),"깡패")</f>
        <v>깡패</v>
      </c>
      <c r="P1891" s="26" t="str">
        <f>IFERROR(__xludf.DUMMYFUNCTION("""COMPUTED_VALUE"""),"ACDC")</f>
        <v>ACDC</v>
      </c>
      <c r="Q1891" s="26" t="str">
        <f>IFERROR(__xludf.DUMMYFUNCTION("""COMPUTED_VALUE"""),"악동")</f>
        <v>악동</v>
      </c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</row>
    <row r="1892">
      <c r="A1892" s="31" t="s">
        <v>7822</v>
      </c>
      <c r="B1892" s="28" t="s">
        <v>7823</v>
      </c>
      <c r="C1892" s="27" t="s">
        <v>7824</v>
      </c>
      <c r="D1892" s="27">
        <v>5.0</v>
      </c>
      <c r="E1892" s="27" t="s">
        <v>7825</v>
      </c>
      <c r="F1892" s="27">
        <v>2.0</v>
      </c>
      <c r="G1892" s="29">
        <v>45469.1125</v>
      </c>
      <c r="H1892" s="27" t="s">
        <v>7689</v>
      </c>
      <c r="I1892" s="18"/>
      <c r="J1892" s="25" t="str">
        <f>IFERROR(__xludf.DUMMYFUNCTION("ARRAYFORMULA(REGEXEXTRACT(SPLIT(C1892, ""&lt;br&gt;""), ""([가-힣A-Za-z]+)""))"),"ACDC")</f>
        <v>ACDC</v>
      </c>
      <c r="K1892" s="26" t="str">
        <f>IFERROR(__xludf.DUMMYFUNCTION("""COMPUTED_VALUE"""),"깡패")</f>
        <v>깡패</v>
      </c>
      <c r="L1892" s="26" t="str">
        <f>IFERROR(__xludf.DUMMYFUNCTION("""COMPUTED_VALUE"""),"아이딘")</f>
        <v>아이딘</v>
      </c>
      <c r="M1892" s="26" t="str">
        <f>IFERROR(__xludf.DUMMYFUNCTION("""COMPUTED_VALUE"""),"짱구")</f>
        <v>짱구</v>
      </c>
      <c r="N1892" s="26" t="str">
        <f>IFERROR(__xludf.DUMMYFUNCTION("ARRAYFORMULA(REGEXEXTRACT(SPLIT(E1892, ""&lt;br&gt;""), ""([가-힣A-Za-z]+)""))"),"한메")</f>
        <v>한메</v>
      </c>
      <c r="O1892" s="26" t="str">
        <f>IFERROR(__xludf.DUMMYFUNCTION("""COMPUTED_VALUE"""),"재명")</f>
        <v>재명</v>
      </c>
      <c r="P1892" s="26" t="str">
        <f>IFERROR(__xludf.DUMMYFUNCTION("""COMPUTED_VALUE"""),"신형만")</f>
        <v>신형만</v>
      </c>
      <c r="Q1892" s="26" t="str">
        <f>IFERROR(__xludf.DUMMYFUNCTION("""COMPUTED_VALUE"""),"악동")</f>
        <v>악동</v>
      </c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</row>
    <row r="1893">
      <c r="A1893" s="31" t="s">
        <v>7826</v>
      </c>
      <c r="B1893" s="28" t="s">
        <v>7827</v>
      </c>
      <c r="C1893" s="27" t="s">
        <v>7828</v>
      </c>
      <c r="D1893" s="27">
        <v>5.0</v>
      </c>
      <c r="E1893" s="27" t="s">
        <v>7829</v>
      </c>
      <c r="F1893" s="27">
        <v>4.0</v>
      </c>
      <c r="G1893" s="29">
        <v>45469.086805555555</v>
      </c>
      <c r="H1893" s="27" t="s">
        <v>7689</v>
      </c>
      <c r="I1893" s="18"/>
      <c r="J1893" s="25" t="str">
        <f>IFERROR(__xludf.DUMMYFUNCTION("ARRAYFORMULA(REGEXEXTRACT(SPLIT(C1893, ""&lt;br&gt;""), ""([가-힣A-Za-z]+)""))"),"악동")</f>
        <v>악동</v>
      </c>
      <c r="K1893" s="26" t="str">
        <f>IFERROR(__xludf.DUMMYFUNCTION("""COMPUTED_VALUE"""),"깡패")</f>
        <v>깡패</v>
      </c>
      <c r="L1893" s="26" t="str">
        <f>IFERROR(__xludf.DUMMYFUNCTION("""COMPUTED_VALUE"""),"아이딘")</f>
        <v>아이딘</v>
      </c>
      <c r="M1893" s="26" t="str">
        <f>IFERROR(__xludf.DUMMYFUNCTION("""COMPUTED_VALUE"""),"짱구")</f>
        <v>짱구</v>
      </c>
      <c r="N1893" s="26" t="str">
        <f>IFERROR(__xludf.DUMMYFUNCTION("ARRAYFORMULA(REGEXEXTRACT(SPLIT(E1893, ""&lt;br&gt;""), ""([가-힣A-Za-z]+)""))"),"ACDC")</f>
        <v>ACDC</v>
      </c>
      <c r="O1893" s="26" t="str">
        <f>IFERROR(__xludf.DUMMYFUNCTION("""COMPUTED_VALUE"""),"재명")</f>
        <v>재명</v>
      </c>
      <c r="P1893" s="26" t="str">
        <f>IFERROR(__xludf.DUMMYFUNCTION("""COMPUTED_VALUE"""),"신형만")</f>
        <v>신형만</v>
      </c>
      <c r="Q1893" s="26" t="str">
        <f>IFERROR(__xludf.DUMMYFUNCTION("""COMPUTED_VALUE"""),"한메")</f>
        <v>한메</v>
      </c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  <c r="AB1893" s="18"/>
    </row>
    <row r="1894">
      <c r="A1894" s="31" t="s">
        <v>7830</v>
      </c>
      <c r="B1894" s="28" t="s">
        <v>7831</v>
      </c>
      <c r="C1894" s="27" t="s">
        <v>7832</v>
      </c>
      <c r="D1894" s="27">
        <v>5.0</v>
      </c>
      <c r="E1894" s="27" t="s">
        <v>7833</v>
      </c>
      <c r="F1894" s="27">
        <v>1.0</v>
      </c>
      <c r="G1894" s="29">
        <v>45469.058333333334</v>
      </c>
      <c r="H1894" s="27" t="s">
        <v>7689</v>
      </c>
      <c r="I1894" s="18"/>
      <c r="J1894" s="25" t="str">
        <f>IFERROR(__xludf.DUMMYFUNCTION("ARRAYFORMULA(REGEXEXTRACT(SPLIT(C1894, ""&lt;br&gt;""), ""([가-힣A-Za-z]+)""))"),"아이딘")</f>
        <v>아이딘</v>
      </c>
      <c r="K1894" s="26" t="str">
        <f>IFERROR(__xludf.DUMMYFUNCTION("""COMPUTED_VALUE"""),"재명")</f>
        <v>재명</v>
      </c>
      <c r="L1894" s="26" t="str">
        <f>IFERROR(__xludf.DUMMYFUNCTION("""COMPUTED_VALUE"""),"엘더")</f>
        <v>엘더</v>
      </c>
      <c r="M1894" s="26" t="str">
        <f>IFERROR(__xludf.DUMMYFUNCTION("""COMPUTED_VALUE"""),"깡패")</f>
        <v>깡패</v>
      </c>
      <c r="N1894" s="26" t="str">
        <f>IFERROR(__xludf.DUMMYFUNCTION("ARRAYFORMULA(REGEXEXTRACT(SPLIT(E1894, ""&lt;br&gt;""), ""([가-힣A-Za-z]+)""))"),"악동")</f>
        <v>악동</v>
      </c>
      <c r="O1894" s="26" t="str">
        <f>IFERROR(__xludf.DUMMYFUNCTION("""COMPUTED_VALUE"""),"한메")</f>
        <v>한메</v>
      </c>
      <c r="P1894" s="26" t="str">
        <f>IFERROR(__xludf.DUMMYFUNCTION("""COMPUTED_VALUE"""),"짱구")</f>
        <v>짱구</v>
      </c>
      <c r="Q1894" s="26" t="str">
        <f>IFERROR(__xludf.DUMMYFUNCTION("""COMPUTED_VALUE"""),"ACDC")</f>
        <v>ACDC</v>
      </c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</row>
    <row r="1895">
      <c r="A1895" s="31" t="s">
        <v>7834</v>
      </c>
      <c r="B1895" s="28" t="s">
        <v>7835</v>
      </c>
      <c r="C1895" s="27" t="s">
        <v>7836</v>
      </c>
      <c r="D1895" s="27">
        <v>5.0</v>
      </c>
      <c r="E1895" s="27" t="s">
        <v>7837</v>
      </c>
      <c r="F1895" s="27">
        <v>3.0</v>
      </c>
      <c r="G1895" s="29">
        <v>45469.02777777778</v>
      </c>
      <c r="H1895" s="27" t="s">
        <v>7689</v>
      </c>
      <c r="I1895" s="18"/>
      <c r="J1895" s="25" t="str">
        <f>IFERROR(__xludf.DUMMYFUNCTION("ARRAYFORMULA(REGEXEXTRACT(SPLIT(C1895, ""&lt;br&gt;""), ""([가-힣A-Za-z]+)""))"),"재우")</f>
        <v>재우</v>
      </c>
      <c r="K1895" s="26" t="str">
        <f>IFERROR(__xludf.DUMMYFUNCTION("""COMPUTED_VALUE"""),"깡패")</f>
        <v>깡패</v>
      </c>
      <c r="L1895" s="26" t="str">
        <f>IFERROR(__xludf.DUMMYFUNCTION("""COMPUTED_VALUE"""),"악동")</f>
        <v>악동</v>
      </c>
      <c r="M1895" s="26" t="str">
        <f>IFERROR(__xludf.DUMMYFUNCTION("""COMPUTED_VALUE"""),"짱구")</f>
        <v>짱구</v>
      </c>
      <c r="N1895" s="26" t="str">
        <f>IFERROR(__xludf.DUMMYFUNCTION("ARRAYFORMULA(REGEXEXTRACT(SPLIT(E1895, ""&lt;br&gt;""), ""([가-힣A-Za-z]+)""))"),"엘더")</f>
        <v>엘더</v>
      </c>
      <c r="O1895" s="26" t="str">
        <f>IFERROR(__xludf.DUMMYFUNCTION("""COMPUTED_VALUE"""),"재명")</f>
        <v>재명</v>
      </c>
      <c r="P1895" s="26" t="str">
        <f>IFERROR(__xludf.DUMMYFUNCTION("""COMPUTED_VALUE"""),"한메")</f>
        <v>한메</v>
      </c>
      <c r="Q1895" s="26" t="str">
        <f>IFERROR(__xludf.DUMMYFUNCTION("""COMPUTED_VALUE"""),"강화")</f>
        <v>강화</v>
      </c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</row>
    <row r="1896">
      <c r="A1896" s="31" t="s">
        <v>7838</v>
      </c>
      <c r="B1896" s="28" t="s">
        <v>7839</v>
      </c>
      <c r="C1896" s="27" t="s">
        <v>7840</v>
      </c>
      <c r="D1896" s="27">
        <v>5.0</v>
      </c>
      <c r="E1896" s="27" t="s">
        <v>7841</v>
      </c>
      <c r="F1896" s="27">
        <v>1.0</v>
      </c>
      <c r="G1896" s="29">
        <v>45468.99930555555</v>
      </c>
      <c r="H1896" s="27" t="s">
        <v>7689</v>
      </c>
      <c r="I1896" s="18"/>
      <c r="J1896" s="25" t="str">
        <f>IFERROR(__xludf.DUMMYFUNCTION("ARRAYFORMULA(REGEXEXTRACT(SPLIT(C1896, ""&lt;br&gt;""), ""([가-힣A-Za-z]+)""))"),"강화")</f>
        <v>강화</v>
      </c>
      <c r="K1896" s="26" t="str">
        <f>IFERROR(__xludf.DUMMYFUNCTION("""COMPUTED_VALUE"""),"엘더")</f>
        <v>엘더</v>
      </c>
      <c r="L1896" s="26" t="str">
        <f>IFERROR(__xludf.DUMMYFUNCTION("""COMPUTED_VALUE"""),"짱구")</f>
        <v>짱구</v>
      </c>
      <c r="M1896" s="26" t="str">
        <f>IFERROR(__xludf.DUMMYFUNCTION("""COMPUTED_VALUE"""),"깡패")</f>
        <v>깡패</v>
      </c>
      <c r="N1896" s="26" t="str">
        <f>IFERROR(__xludf.DUMMYFUNCTION("ARRAYFORMULA(REGEXEXTRACT(SPLIT(E1896, ""&lt;br&gt;""), ""([가-힣A-Za-z]+)""))"),"재명")</f>
        <v>재명</v>
      </c>
      <c r="O1896" s="26" t="str">
        <f>IFERROR(__xludf.DUMMYFUNCTION("""COMPUTED_VALUE"""),"한메")</f>
        <v>한메</v>
      </c>
      <c r="P1896" s="26" t="str">
        <f>IFERROR(__xludf.DUMMYFUNCTION("""COMPUTED_VALUE"""),"악동")</f>
        <v>악동</v>
      </c>
      <c r="Q1896" s="26" t="str">
        <f>IFERROR(__xludf.DUMMYFUNCTION("""COMPUTED_VALUE"""),"재우")</f>
        <v>재우</v>
      </c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</row>
    <row r="1897">
      <c r="A1897" s="31" t="s">
        <v>7842</v>
      </c>
      <c r="B1897" s="28" t="s">
        <v>7843</v>
      </c>
      <c r="C1897" s="27" t="s">
        <v>7844</v>
      </c>
      <c r="D1897" s="27">
        <v>5.0</v>
      </c>
      <c r="E1897" s="27" t="s">
        <v>7845</v>
      </c>
      <c r="F1897" s="27">
        <v>3.0</v>
      </c>
      <c r="G1897" s="29">
        <v>45468.978472222225</v>
      </c>
      <c r="H1897" s="27" t="s">
        <v>7689</v>
      </c>
      <c r="I1897" s="18"/>
      <c r="J1897" s="25" t="str">
        <f>IFERROR(__xludf.DUMMYFUNCTION("ARRAYFORMULA(REGEXEXTRACT(SPLIT(C1897, ""&lt;br&gt;""), ""([가-힣A-Za-z]+)""))"),"엘더")</f>
        <v>엘더</v>
      </c>
      <c r="K1897" s="26" t="str">
        <f>IFERROR(__xludf.DUMMYFUNCTION("""COMPUTED_VALUE"""),"재우")</f>
        <v>재우</v>
      </c>
      <c r="L1897" s="26" t="str">
        <f>IFERROR(__xludf.DUMMYFUNCTION("""COMPUTED_VALUE"""),"신형만")</f>
        <v>신형만</v>
      </c>
      <c r="M1897" s="26" t="str">
        <f>IFERROR(__xludf.DUMMYFUNCTION("""COMPUTED_VALUE"""),"만두")</f>
        <v>만두</v>
      </c>
      <c r="N1897" s="26" t="str">
        <f>IFERROR(__xludf.DUMMYFUNCTION("ARRAYFORMULA(REGEXEXTRACT(SPLIT(E1897, ""&lt;br&gt;""), ""([가-힣A-Za-z]+)""))"),"ACDC")</f>
        <v>ACDC</v>
      </c>
      <c r="O1897" s="26" t="str">
        <f>IFERROR(__xludf.DUMMYFUNCTION("""COMPUTED_VALUE"""),"깡패")</f>
        <v>깡패</v>
      </c>
      <c r="P1897" s="26" t="str">
        <f>IFERROR(__xludf.DUMMYFUNCTION("""COMPUTED_VALUE"""),"강화")</f>
        <v>강화</v>
      </c>
      <c r="Q1897" s="26" t="str">
        <f>IFERROR(__xludf.DUMMYFUNCTION("""COMPUTED_VALUE"""),"짱구")</f>
        <v>짱구</v>
      </c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  <c r="AB1897" s="18"/>
    </row>
    <row r="1898">
      <c r="A1898" s="31" t="s">
        <v>7846</v>
      </c>
      <c r="B1898" s="28" t="s">
        <v>7847</v>
      </c>
      <c r="C1898" s="27" t="s">
        <v>7848</v>
      </c>
      <c r="D1898" s="27">
        <v>5.0</v>
      </c>
      <c r="E1898" s="27" t="s">
        <v>7849</v>
      </c>
      <c r="F1898" s="27">
        <v>2.0</v>
      </c>
      <c r="G1898" s="29">
        <v>45468.95138888889</v>
      </c>
      <c r="H1898" s="27" t="s">
        <v>7689</v>
      </c>
      <c r="I1898" s="18"/>
      <c r="J1898" s="25" t="str">
        <f>IFERROR(__xludf.DUMMYFUNCTION("ARRAYFORMULA(REGEXEXTRACT(SPLIT(C1898, ""&lt;br&gt;""), ""([가-힣A-Za-z]+)""))"),"재우")</f>
        <v>재우</v>
      </c>
      <c r="K1898" s="26" t="str">
        <f>IFERROR(__xludf.DUMMYFUNCTION("""COMPUTED_VALUE"""),"깡패")</f>
        <v>깡패</v>
      </c>
      <c r="L1898" s="26" t="str">
        <f>IFERROR(__xludf.DUMMYFUNCTION("""COMPUTED_VALUE"""),"짱구")</f>
        <v>짱구</v>
      </c>
      <c r="M1898" s="26" t="str">
        <f>IFERROR(__xludf.DUMMYFUNCTION("""COMPUTED_VALUE"""),"ACDC")</f>
        <v>ACDC</v>
      </c>
      <c r="N1898" s="26" t="str">
        <f>IFERROR(__xludf.DUMMYFUNCTION("ARRAYFORMULA(REGEXEXTRACT(SPLIT(E1898, ""&lt;br&gt;""), ""([가-힣A-Za-z]+)""))"),"엘더")</f>
        <v>엘더</v>
      </c>
      <c r="O1898" s="26" t="str">
        <f>IFERROR(__xludf.DUMMYFUNCTION("""COMPUTED_VALUE"""),"신형만")</f>
        <v>신형만</v>
      </c>
      <c r="P1898" s="26" t="str">
        <f>IFERROR(__xludf.DUMMYFUNCTION("""COMPUTED_VALUE"""),"만두")</f>
        <v>만두</v>
      </c>
      <c r="Q1898" s="26" t="str">
        <f>IFERROR(__xludf.DUMMYFUNCTION("""COMPUTED_VALUE"""),"강화")</f>
        <v>강화</v>
      </c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  <c r="AB1898" s="18"/>
    </row>
    <row r="1899">
      <c r="A1899" s="31" t="s">
        <v>7850</v>
      </c>
      <c r="B1899" s="28" t="s">
        <v>7851</v>
      </c>
      <c r="C1899" s="27" t="s">
        <v>7852</v>
      </c>
      <c r="D1899" s="27">
        <v>5.0</v>
      </c>
      <c r="E1899" s="27" t="s">
        <v>7853</v>
      </c>
      <c r="F1899" s="27">
        <v>3.0</v>
      </c>
      <c r="G1899" s="29">
        <v>45468.92569444444</v>
      </c>
      <c r="H1899" s="27" t="s">
        <v>7689</v>
      </c>
      <c r="I1899" s="18"/>
      <c r="J1899" s="25" t="str">
        <f>IFERROR(__xludf.DUMMYFUNCTION("ARRAYFORMULA(REGEXEXTRACT(SPLIT(C1899, ""&lt;br&gt;""), ""([가-힣A-Za-z]+)""))"),"재우")</f>
        <v>재우</v>
      </c>
      <c r="K1899" s="26" t="str">
        <f>IFERROR(__xludf.DUMMYFUNCTION("""COMPUTED_VALUE"""),"짱구")</f>
        <v>짱구</v>
      </c>
      <c r="L1899" s="26" t="str">
        <f>IFERROR(__xludf.DUMMYFUNCTION("""COMPUTED_VALUE"""),"강화")</f>
        <v>강화</v>
      </c>
      <c r="M1899" s="26" t="str">
        <f>IFERROR(__xludf.DUMMYFUNCTION("""COMPUTED_VALUE"""),"엘더")</f>
        <v>엘더</v>
      </c>
      <c r="N1899" s="26" t="str">
        <f>IFERROR(__xludf.DUMMYFUNCTION("ARRAYFORMULA(REGEXEXTRACT(SPLIT(E1899, ""&lt;br&gt;""), ""([가-힣A-Za-z]+)""))"),"만두")</f>
        <v>만두</v>
      </c>
      <c r="O1899" s="26" t="str">
        <f>IFERROR(__xludf.DUMMYFUNCTION("""COMPUTED_VALUE"""),"신형만")</f>
        <v>신형만</v>
      </c>
      <c r="P1899" s="26" t="str">
        <f>IFERROR(__xludf.DUMMYFUNCTION("""COMPUTED_VALUE"""),"ACDC")</f>
        <v>ACDC</v>
      </c>
      <c r="Q1899" s="26" t="str">
        <f>IFERROR(__xludf.DUMMYFUNCTION("""COMPUTED_VALUE"""),"깡패")</f>
        <v>깡패</v>
      </c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  <c r="AB1899" s="18"/>
    </row>
    <row r="1900">
      <c r="A1900" s="31" t="s">
        <v>7854</v>
      </c>
      <c r="B1900" s="28" t="s">
        <v>7855</v>
      </c>
      <c r="C1900" s="27" t="s">
        <v>7856</v>
      </c>
      <c r="D1900" s="27">
        <v>5.0</v>
      </c>
      <c r="E1900" s="27" t="s">
        <v>7857</v>
      </c>
      <c r="F1900" s="27">
        <v>3.0</v>
      </c>
      <c r="G1900" s="29">
        <v>45468.90416666667</v>
      </c>
      <c r="H1900" s="27" t="s">
        <v>7689</v>
      </c>
      <c r="I1900" s="18"/>
      <c r="J1900" s="25" t="str">
        <f>IFERROR(__xludf.DUMMYFUNCTION("ARRAYFORMULA(REGEXEXTRACT(SPLIT(C1900, ""&lt;br&gt;""), ""([가-힣A-Za-z]+)""))"),"ACDC")</f>
        <v>ACDC</v>
      </c>
      <c r="K1900" s="26" t="str">
        <f>IFERROR(__xludf.DUMMYFUNCTION("""COMPUTED_VALUE"""),"짱구")</f>
        <v>짱구</v>
      </c>
      <c r="L1900" s="26" t="str">
        <f>IFERROR(__xludf.DUMMYFUNCTION("""COMPUTED_VALUE"""),"신형만")</f>
        <v>신형만</v>
      </c>
      <c r="M1900" s="26" t="str">
        <f>IFERROR(__xludf.DUMMYFUNCTION("""COMPUTED_VALUE"""),"만두")</f>
        <v>만두</v>
      </c>
      <c r="N1900" s="26" t="str">
        <f>IFERROR(__xludf.DUMMYFUNCTION("ARRAYFORMULA(REGEXEXTRACT(SPLIT(E1900, ""&lt;br&gt;""), ""([가-힣A-Za-z]+)""))"),"강화")</f>
        <v>강화</v>
      </c>
      <c r="O1900" s="26" t="str">
        <f>IFERROR(__xludf.DUMMYFUNCTION("""COMPUTED_VALUE"""),"깡패")</f>
        <v>깡패</v>
      </c>
      <c r="P1900" s="26" t="str">
        <f>IFERROR(__xludf.DUMMYFUNCTION("""COMPUTED_VALUE"""),"재우")</f>
        <v>재우</v>
      </c>
      <c r="Q1900" s="26" t="str">
        <f>IFERROR(__xludf.DUMMYFUNCTION("""COMPUTED_VALUE"""),"엘더")</f>
        <v>엘더</v>
      </c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</row>
    <row r="1901">
      <c r="A1901" s="31" t="s">
        <v>7858</v>
      </c>
      <c r="B1901" s="28" t="s">
        <v>7859</v>
      </c>
      <c r="C1901" s="27" t="s">
        <v>7860</v>
      </c>
      <c r="D1901" s="27">
        <v>5.0</v>
      </c>
      <c r="E1901" s="27" t="s">
        <v>7861</v>
      </c>
      <c r="F1901" s="27">
        <v>2.0</v>
      </c>
      <c r="G1901" s="29">
        <v>45467.927777777775</v>
      </c>
      <c r="H1901" s="27" t="s">
        <v>7689</v>
      </c>
      <c r="I1901" s="18"/>
      <c r="J1901" s="25" t="str">
        <f>IFERROR(__xludf.DUMMYFUNCTION("ARRAYFORMULA(REGEXEXTRACT(SPLIT(C1901, ""&lt;br&gt;""), ""([가-힣A-Za-z]+)""))"),"재명")</f>
        <v>재명</v>
      </c>
      <c r="K1901" s="26" t="str">
        <f>IFERROR(__xludf.DUMMYFUNCTION("""COMPUTED_VALUE"""),"한메")</f>
        <v>한메</v>
      </c>
      <c r="L1901" s="26" t="str">
        <f>IFERROR(__xludf.DUMMYFUNCTION("""COMPUTED_VALUE"""),"재우")</f>
        <v>재우</v>
      </c>
      <c r="M1901" s="26" t="str">
        <f>IFERROR(__xludf.DUMMYFUNCTION("""COMPUTED_VALUE"""),"신형만")</f>
        <v>신형만</v>
      </c>
      <c r="N1901" s="26" t="str">
        <f>IFERROR(__xludf.DUMMYFUNCTION("ARRAYFORMULA(REGEXEXTRACT(SPLIT(E1901, ""&lt;br&gt;""), ""([가-힣A-Za-z]+)""))"),"ACDC")</f>
        <v>ACDC</v>
      </c>
      <c r="O1901" s="26" t="str">
        <f>IFERROR(__xludf.DUMMYFUNCTION("""COMPUTED_VALUE"""),"강화")</f>
        <v>강화</v>
      </c>
      <c r="P1901" s="26" t="str">
        <f>IFERROR(__xludf.DUMMYFUNCTION("""COMPUTED_VALUE"""),"구리다")</f>
        <v>구리다</v>
      </c>
      <c r="Q1901" s="26" t="str">
        <f>IFERROR(__xludf.DUMMYFUNCTION("""COMPUTED_VALUE"""),"깡패")</f>
        <v>깡패</v>
      </c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</row>
    <row r="1902">
      <c r="A1902" s="31" t="s">
        <v>7862</v>
      </c>
      <c r="B1902" s="28" t="s">
        <v>7863</v>
      </c>
      <c r="C1902" s="27" t="s">
        <v>7864</v>
      </c>
      <c r="D1902" s="27">
        <v>5.0</v>
      </c>
      <c r="E1902" s="27" t="s">
        <v>7865</v>
      </c>
      <c r="F1902" s="27">
        <v>0.0</v>
      </c>
      <c r="G1902" s="29">
        <v>45467.90416666667</v>
      </c>
      <c r="H1902" s="27" t="s">
        <v>7689</v>
      </c>
      <c r="I1902" s="18"/>
      <c r="J1902" s="25" t="str">
        <f>IFERROR(__xludf.DUMMYFUNCTION("ARRAYFORMULA(REGEXEXTRACT(SPLIT(C1902, ""&lt;br&gt;""), ""([가-힣A-Za-z]+)""))"),"재명")</f>
        <v>재명</v>
      </c>
      <c r="K1902" s="26" t="str">
        <f>IFERROR(__xludf.DUMMYFUNCTION("""COMPUTED_VALUE"""),"신형만")</f>
        <v>신형만</v>
      </c>
      <c r="L1902" s="26" t="str">
        <f>IFERROR(__xludf.DUMMYFUNCTION("""COMPUTED_VALUE"""),"재우")</f>
        <v>재우</v>
      </c>
      <c r="M1902" s="26" t="str">
        <f>IFERROR(__xludf.DUMMYFUNCTION("""COMPUTED_VALUE"""),"깡패")</f>
        <v>깡패</v>
      </c>
      <c r="N1902" s="26" t="str">
        <f>IFERROR(__xludf.DUMMYFUNCTION("ARRAYFORMULA(REGEXEXTRACT(SPLIT(E1902, ""&lt;br&gt;""), ""([가-힣A-Za-z]+)""))"),"강화")</f>
        <v>강화</v>
      </c>
      <c r="O1902" s="26" t="str">
        <f>IFERROR(__xludf.DUMMYFUNCTION("""COMPUTED_VALUE"""),"구리다")</f>
        <v>구리다</v>
      </c>
      <c r="P1902" s="26" t="str">
        <f>IFERROR(__xludf.DUMMYFUNCTION("""COMPUTED_VALUE"""),"ACDC")</f>
        <v>ACDC</v>
      </c>
      <c r="Q1902" s="26" t="str">
        <f>IFERROR(__xludf.DUMMYFUNCTION("""COMPUTED_VALUE"""),"한메")</f>
        <v>한메</v>
      </c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</row>
    <row r="1903">
      <c r="A1903" s="31" t="s">
        <v>7866</v>
      </c>
      <c r="B1903" s="28" t="s">
        <v>7867</v>
      </c>
      <c r="C1903" s="27" t="s">
        <v>7868</v>
      </c>
      <c r="D1903" s="27">
        <v>5.0</v>
      </c>
      <c r="E1903" s="27" t="s">
        <v>7869</v>
      </c>
      <c r="F1903" s="27">
        <v>3.0</v>
      </c>
      <c r="G1903" s="29">
        <v>45467.88263888889</v>
      </c>
      <c r="H1903" s="27" t="s">
        <v>7689</v>
      </c>
      <c r="I1903" s="18"/>
      <c r="J1903" s="25" t="str">
        <f>IFERROR(__xludf.DUMMYFUNCTION("ARRAYFORMULA(REGEXEXTRACT(SPLIT(C1903, ""&lt;br&gt;""), ""([가-힣A-Za-z]+)""))"),"신형만")</f>
        <v>신형만</v>
      </c>
      <c r="K1903" s="26" t="str">
        <f>IFERROR(__xludf.DUMMYFUNCTION("""COMPUTED_VALUE"""),"깡패")</f>
        <v>깡패</v>
      </c>
      <c r="L1903" s="26" t="str">
        <f>IFERROR(__xludf.DUMMYFUNCTION("""COMPUTED_VALUE"""),"구리다")</f>
        <v>구리다</v>
      </c>
      <c r="M1903" s="26" t="str">
        <f>IFERROR(__xludf.DUMMYFUNCTION("""COMPUTED_VALUE"""),"한메")</f>
        <v>한메</v>
      </c>
      <c r="N1903" s="26" t="str">
        <f>IFERROR(__xludf.DUMMYFUNCTION("ARRAYFORMULA(REGEXEXTRACT(SPLIT(E1903, ""&lt;br&gt;""), ""([가-힣A-Za-z]+)""))"),"테리")</f>
        <v>테리</v>
      </c>
      <c r="O1903" s="26" t="str">
        <f>IFERROR(__xludf.DUMMYFUNCTION("""COMPUTED_VALUE"""),"ACDC")</f>
        <v>ACDC</v>
      </c>
      <c r="P1903" s="26" t="str">
        <f>IFERROR(__xludf.DUMMYFUNCTION("""COMPUTED_VALUE"""),"재우")</f>
        <v>재우</v>
      </c>
      <c r="Q1903" s="26" t="str">
        <f>IFERROR(__xludf.DUMMYFUNCTION("""COMPUTED_VALUE"""),"강화")</f>
        <v>강화</v>
      </c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  <c r="AB1903" s="18"/>
    </row>
    <row r="1904">
      <c r="A1904" s="31" t="s">
        <v>7870</v>
      </c>
      <c r="B1904" s="28" t="s">
        <v>7871</v>
      </c>
      <c r="C1904" s="27" t="s">
        <v>7872</v>
      </c>
      <c r="D1904" s="27">
        <v>5.0</v>
      </c>
      <c r="E1904" s="27" t="s">
        <v>7873</v>
      </c>
      <c r="F1904" s="27">
        <v>2.0</v>
      </c>
      <c r="G1904" s="29">
        <v>45467.06041666667</v>
      </c>
      <c r="H1904" s="27" t="s">
        <v>7689</v>
      </c>
      <c r="I1904" s="18"/>
      <c r="J1904" s="25" t="str">
        <f>IFERROR(__xludf.DUMMYFUNCTION("ARRAYFORMULA(REGEXEXTRACT(SPLIT(C1904, ""&lt;br&gt;""), ""([가-힣A-Za-z]+)""))"),"윙크")</f>
        <v>윙크</v>
      </c>
      <c r="K1904" s="26" t="str">
        <f>IFERROR(__xludf.DUMMYFUNCTION("""COMPUTED_VALUE"""),"깡패")</f>
        <v>깡패</v>
      </c>
      <c r="L1904" s="26" t="str">
        <f>IFERROR(__xludf.DUMMYFUNCTION("""COMPUTED_VALUE"""),"신형만")</f>
        <v>신형만</v>
      </c>
      <c r="M1904" s="26" t="str">
        <f>IFERROR(__xludf.DUMMYFUNCTION("""COMPUTED_VALUE"""),"튜브")</f>
        <v>튜브</v>
      </c>
      <c r="N1904" s="26" t="str">
        <f>IFERROR(__xludf.DUMMYFUNCTION("ARRAYFORMULA(REGEXEXTRACT(SPLIT(E1904, ""&lt;br&gt;""), ""([가-힣A-Za-z]+)""))"),"ACDC")</f>
        <v>ACDC</v>
      </c>
      <c r="O1904" s="26" t="str">
        <f>IFERROR(__xludf.DUMMYFUNCTION("""COMPUTED_VALUE"""),"짱구")</f>
        <v>짱구</v>
      </c>
      <c r="P1904" s="26" t="str">
        <f>IFERROR(__xludf.DUMMYFUNCTION("""COMPUTED_VALUE"""),"강화")</f>
        <v>강화</v>
      </c>
      <c r="Q1904" s="26" t="str">
        <f>IFERROR(__xludf.DUMMYFUNCTION("""COMPUTED_VALUE"""),"랄")</f>
        <v>랄</v>
      </c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  <c r="AB1904" s="18"/>
    </row>
    <row r="1905">
      <c r="A1905" s="31" t="s">
        <v>7874</v>
      </c>
      <c r="B1905" s="28" t="s">
        <v>7875</v>
      </c>
      <c r="C1905" s="27" t="s">
        <v>7876</v>
      </c>
      <c r="D1905" s="27">
        <v>5.0</v>
      </c>
      <c r="E1905" s="27" t="s">
        <v>7877</v>
      </c>
      <c r="F1905" s="27">
        <v>1.0</v>
      </c>
      <c r="G1905" s="29">
        <v>45467.032638888886</v>
      </c>
      <c r="H1905" s="27" t="s">
        <v>7689</v>
      </c>
      <c r="I1905" s="18"/>
      <c r="J1905" s="25" t="str">
        <f>IFERROR(__xludf.DUMMYFUNCTION("ARRAYFORMULA(REGEXEXTRACT(SPLIT(C1905, ""&lt;br&gt;""), ""([가-힣A-Za-z]+)""))"),"강화")</f>
        <v>강화</v>
      </c>
      <c r="K1905" s="26" t="str">
        <f>IFERROR(__xludf.DUMMYFUNCTION("""COMPUTED_VALUE"""),"테리")</f>
        <v>테리</v>
      </c>
      <c r="L1905" s="26" t="str">
        <f>IFERROR(__xludf.DUMMYFUNCTION("""COMPUTED_VALUE"""),"ACDC")</f>
        <v>ACDC</v>
      </c>
      <c r="M1905" s="26" t="str">
        <f>IFERROR(__xludf.DUMMYFUNCTION("""COMPUTED_VALUE"""),"재우")</f>
        <v>재우</v>
      </c>
      <c r="N1905" s="26" t="str">
        <f>IFERROR(__xludf.DUMMYFUNCTION("ARRAYFORMULA(REGEXEXTRACT(SPLIT(E1905, ""&lt;br&gt;""), ""([가-힣A-Za-z]+)""))"),"윙크")</f>
        <v>윙크</v>
      </c>
      <c r="O1905" s="26" t="str">
        <f>IFERROR(__xludf.DUMMYFUNCTION("""COMPUTED_VALUE"""),"신형만")</f>
        <v>신형만</v>
      </c>
      <c r="P1905" s="26" t="str">
        <f>IFERROR(__xludf.DUMMYFUNCTION("""COMPUTED_VALUE"""),"튜브")</f>
        <v>튜브</v>
      </c>
      <c r="Q1905" s="26" t="str">
        <f>IFERROR(__xludf.DUMMYFUNCTION("""COMPUTED_VALUE"""),"랄")</f>
        <v>랄</v>
      </c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  <c r="AB1905" s="18"/>
    </row>
    <row r="1906">
      <c r="A1906" s="31" t="s">
        <v>7878</v>
      </c>
      <c r="B1906" s="28" t="s">
        <v>7879</v>
      </c>
      <c r="C1906" s="27" t="s">
        <v>7880</v>
      </c>
      <c r="D1906" s="27">
        <v>5.0</v>
      </c>
      <c r="E1906" s="27" t="s">
        <v>7881</v>
      </c>
      <c r="F1906" s="27">
        <v>2.0</v>
      </c>
      <c r="G1906" s="29">
        <v>45467.01666666667</v>
      </c>
      <c r="H1906" s="27" t="s">
        <v>7689</v>
      </c>
      <c r="I1906" s="18"/>
      <c r="J1906" s="25" t="str">
        <f>IFERROR(__xludf.DUMMYFUNCTION("ARRAYFORMULA(REGEXEXTRACT(SPLIT(C1906, ""&lt;br&gt;""), ""([가-힣A-Za-z]+)""))"),"엘더")</f>
        <v>엘더</v>
      </c>
      <c r="K1906" s="26" t="str">
        <f>IFERROR(__xludf.DUMMYFUNCTION("""COMPUTED_VALUE"""),"윙크")</f>
        <v>윙크</v>
      </c>
      <c r="L1906" s="26" t="str">
        <f>IFERROR(__xludf.DUMMYFUNCTION("""COMPUTED_VALUE"""),"재우")</f>
        <v>재우</v>
      </c>
      <c r="M1906" s="26" t="str">
        <f>IFERROR(__xludf.DUMMYFUNCTION("""COMPUTED_VALUE"""),"한메")</f>
        <v>한메</v>
      </c>
      <c r="N1906" s="26" t="str">
        <f>IFERROR(__xludf.DUMMYFUNCTION("ARRAYFORMULA(REGEXEXTRACT(SPLIT(E1906, ""&lt;br&gt;""), ""([가-힣A-Za-z]+)""))"),"강화")</f>
        <v>강화</v>
      </c>
      <c r="O1906" s="26" t="str">
        <f>IFERROR(__xludf.DUMMYFUNCTION("""COMPUTED_VALUE"""),"ACDC")</f>
        <v>ACDC</v>
      </c>
      <c r="P1906" s="26" t="str">
        <f>IFERROR(__xludf.DUMMYFUNCTION("""COMPUTED_VALUE"""),"랄")</f>
        <v>랄</v>
      </c>
      <c r="Q1906" s="26" t="str">
        <f>IFERROR(__xludf.DUMMYFUNCTION("""COMPUTED_VALUE"""),"신형만")</f>
        <v>신형만</v>
      </c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</row>
    <row r="1907">
      <c r="A1907" s="31" t="s">
        <v>7882</v>
      </c>
      <c r="B1907" s="28" t="s">
        <v>7883</v>
      </c>
      <c r="C1907" s="27" t="s">
        <v>7884</v>
      </c>
      <c r="D1907" s="27">
        <v>5.0</v>
      </c>
      <c r="E1907" s="27" t="s">
        <v>7885</v>
      </c>
      <c r="F1907" s="27">
        <v>2.0</v>
      </c>
      <c r="G1907" s="29">
        <v>45466.989583333336</v>
      </c>
      <c r="H1907" s="27" t="s">
        <v>7689</v>
      </c>
      <c r="I1907" s="18"/>
      <c r="J1907" s="25" t="str">
        <f>IFERROR(__xludf.DUMMYFUNCTION("ARRAYFORMULA(REGEXEXTRACT(SPLIT(C1907, ""&lt;br&gt;""), ""([가-힣A-Za-z]+)""))"),"ACDC")</f>
        <v>ACDC</v>
      </c>
      <c r="K1907" s="26" t="str">
        <f>IFERROR(__xludf.DUMMYFUNCTION("""COMPUTED_VALUE"""),"재명")</f>
        <v>재명</v>
      </c>
      <c r="L1907" s="26" t="str">
        <f>IFERROR(__xludf.DUMMYFUNCTION("""COMPUTED_VALUE"""),"랄")</f>
        <v>랄</v>
      </c>
      <c r="M1907" s="26" t="str">
        <f>IFERROR(__xludf.DUMMYFUNCTION("""COMPUTED_VALUE"""),"엘더")</f>
        <v>엘더</v>
      </c>
      <c r="N1907" s="26" t="str">
        <f>IFERROR(__xludf.DUMMYFUNCTION("ARRAYFORMULA(REGEXEXTRACT(SPLIT(E1907, ""&lt;br&gt;""), ""([가-힣A-Za-z]+)""))"),"윙크")</f>
        <v>윙크</v>
      </c>
      <c r="O1907" s="26" t="str">
        <f>IFERROR(__xludf.DUMMYFUNCTION("""COMPUTED_VALUE"""),"한메")</f>
        <v>한메</v>
      </c>
      <c r="P1907" s="26" t="str">
        <f>IFERROR(__xludf.DUMMYFUNCTION("""COMPUTED_VALUE"""),"강화")</f>
        <v>강화</v>
      </c>
      <c r="Q1907" s="26" t="str">
        <f>IFERROR(__xludf.DUMMYFUNCTION("""COMPUTED_VALUE"""),"재우")</f>
        <v>재우</v>
      </c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</row>
    <row r="1908">
      <c r="A1908" s="31" t="s">
        <v>7886</v>
      </c>
      <c r="B1908" s="28" t="s">
        <v>7887</v>
      </c>
      <c r="C1908" s="27" t="s">
        <v>7888</v>
      </c>
      <c r="D1908" s="27">
        <v>5.0</v>
      </c>
      <c r="E1908" s="27" t="s">
        <v>7889</v>
      </c>
      <c r="F1908" s="27">
        <v>2.0</v>
      </c>
      <c r="G1908" s="29">
        <v>45466.96388888889</v>
      </c>
      <c r="H1908" s="27" t="s">
        <v>7689</v>
      </c>
      <c r="I1908" s="18"/>
      <c r="J1908" s="25" t="str">
        <f>IFERROR(__xludf.DUMMYFUNCTION("ARRAYFORMULA(REGEXEXTRACT(SPLIT(C1908, ""&lt;br&gt;""), ""([가-힣A-Za-z]+)""))"),"ACDC")</f>
        <v>ACDC</v>
      </c>
      <c r="K1908" s="26" t="str">
        <f>IFERROR(__xludf.DUMMYFUNCTION("""COMPUTED_VALUE"""),"재우")</f>
        <v>재우</v>
      </c>
      <c r="L1908" s="26" t="str">
        <f>IFERROR(__xludf.DUMMYFUNCTION("""COMPUTED_VALUE"""),"테리")</f>
        <v>테리</v>
      </c>
      <c r="M1908" s="26" t="str">
        <f>IFERROR(__xludf.DUMMYFUNCTION("""COMPUTED_VALUE"""),"엘더")</f>
        <v>엘더</v>
      </c>
      <c r="N1908" s="26" t="str">
        <f>IFERROR(__xludf.DUMMYFUNCTION("ARRAYFORMULA(REGEXEXTRACT(SPLIT(E1908, ""&lt;br&gt;""), ""([가-힣A-Za-z]+)""))"),"짱구")</f>
        <v>짱구</v>
      </c>
      <c r="O1908" s="26" t="str">
        <f>IFERROR(__xludf.DUMMYFUNCTION("""COMPUTED_VALUE"""),"윙크")</f>
        <v>윙크</v>
      </c>
      <c r="P1908" s="26" t="str">
        <f>IFERROR(__xludf.DUMMYFUNCTION("""COMPUTED_VALUE"""),"한메")</f>
        <v>한메</v>
      </c>
      <c r="Q1908" s="26" t="str">
        <f>IFERROR(__xludf.DUMMYFUNCTION("""COMPUTED_VALUE"""),"재명")</f>
        <v>재명</v>
      </c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  <c r="AB1908" s="18"/>
    </row>
    <row r="1909">
      <c r="A1909" s="31" t="s">
        <v>7890</v>
      </c>
      <c r="B1909" s="28" t="s">
        <v>7891</v>
      </c>
      <c r="C1909" s="27" t="s">
        <v>7892</v>
      </c>
      <c r="D1909" s="27">
        <v>5.0</v>
      </c>
      <c r="E1909" s="27" t="s">
        <v>7893</v>
      </c>
      <c r="F1909" s="27">
        <v>4.0</v>
      </c>
      <c r="G1909" s="29">
        <v>45466.93472222222</v>
      </c>
      <c r="H1909" s="27" t="s">
        <v>7689</v>
      </c>
      <c r="I1909" s="18"/>
      <c r="J1909" s="25" t="str">
        <f>IFERROR(__xludf.DUMMYFUNCTION("ARRAYFORMULA(REGEXEXTRACT(SPLIT(C1909, ""&lt;br&gt;""), ""([가-힣A-Za-z]+)""))"),"한메")</f>
        <v>한메</v>
      </c>
      <c r="K1909" s="26" t="str">
        <f>IFERROR(__xludf.DUMMYFUNCTION("""COMPUTED_VALUE"""),"전투쥐")</f>
        <v>전투쥐</v>
      </c>
      <c r="L1909" s="26" t="str">
        <f>IFERROR(__xludf.DUMMYFUNCTION("""COMPUTED_VALUE"""),"테리")</f>
        <v>테리</v>
      </c>
      <c r="M1909" s="26" t="str">
        <f>IFERROR(__xludf.DUMMYFUNCTION("""COMPUTED_VALUE"""),"엘더")</f>
        <v>엘더</v>
      </c>
      <c r="N1909" s="26" t="str">
        <f>IFERROR(__xludf.DUMMYFUNCTION("ARRAYFORMULA(REGEXEXTRACT(SPLIT(E1909, ""&lt;br&gt;""), ""([가-힣A-Za-z]+)""))"),"짱구")</f>
        <v>짱구</v>
      </c>
      <c r="O1909" s="26" t="str">
        <f>IFERROR(__xludf.DUMMYFUNCTION("""COMPUTED_VALUE"""),"재명")</f>
        <v>재명</v>
      </c>
      <c r="P1909" s="26" t="str">
        <f>IFERROR(__xludf.DUMMYFUNCTION("""COMPUTED_VALUE"""),"ACDC")</f>
        <v>ACDC</v>
      </c>
      <c r="Q1909" s="26" t="str">
        <f>IFERROR(__xludf.DUMMYFUNCTION("""COMPUTED_VALUE"""),"깡패")</f>
        <v>깡패</v>
      </c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  <c r="AB1909" s="18"/>
    </row>
    <row r="1910">
      <c r="A1910" s="31" t="s">
        <v>7894</v>
      </c>
      <c r="B1910" s="28" t="s">
        <v>7895</v>
      </c>
      <c r="C1910" s="27" t="s">
        <v>7896</v>
      </c>
      <c r="D1910" s="27">
        <v>5.0</v>
      </c>
      <c r="E1910" s="27" t="s">
        <v>7897</v>
      </c>
      <c r="F1910" s="27">
        <v>4.0</v>
      </c>
      <c r="G1910" s="29">
        <v>45466.90069444444</v>
      </c>
      <c r="H1910" s="27" t="s">
        <v>7689</v>
      </c>
      <c r="I1910" s="18"/>
      <c r="J1910" s="25" t="str">
        <f>IFERROR(__xludf.DUMMYFUNCTION("ARRAYFORMULA(REGEXEXTRACT(SPLIT(C1910, ""&lt;br&gt;""), ""([가-힣A-Za-z]+)""))"),"재명")</f>
        <v>재명</v>
      </c>
      <c r="K1910" s="26" t="str">
        <f>IFERROR(__xludf.DUMMYFUNCTION("""COMPUTED_VALUE"""),"깡패")</f>
        <v>깡패</v>
      </c>
      <c r="L1910" s="26" t="str">
        <f>IFERROR(__xludf.DUMMYFUNCTION("""COMPUTED_VALUE"""),"짱구")</f>
        <v>짱구</v>
      </c>
      <c r="M1910" s="26" t="str">
        <f>IFERROR(__xludf.DUMMYFUNCTION("""COMPUTED_VALUE"""),"전투쥐")</f>
        <v>전투쥐</v>
      </c>
      <c r="N1910" s="26" t="str">
        <f>IFERROR(__xludf.DUMMYFUNCTION("ARRAYFORMULA(REGEXEXTRACT(SPLIT(E1910, ""&lt;br&gt;""), ""([가-힣A-Za-z]+)""))"),"신형만")</f>
        <v>신형만</v>
      </c>
      <c r="O1910" s="26" t="str">
        <f>IFERROR(__xludf.DUMMYFUNCTION("""COMPUTED_VALUE"""),"한메")</f>
        <v>한메</v>
      </c>
      <c r="P1910" s="26" t="str">
        <f>IFERROR(__xludf.DUMMYFUNCTION("""COMPUTED_VALUE"""),"ACDC")</f>
        <v>ACDC</v>
      </c>
      <c r="Q1910" s="26" t="str">
        <f>IFERROR(__xludf.DUMMYFUNCTION("""COMPUTED_VALUE"""),"엘더")</f>
        <v>엘더</v>
      </c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18"/>
    </row>
    <row r="1911">
      <c r="A1911" s="31" t="s">
        <v>7898</v>
      </c>
      <c r="B1911" s="28" t="s">
        <v>7899</v>
      </c>
      <c r="C1911" s="27" t="s">
        <v>7900</v>
      </c>
      <c r="D1911" s="27">
        <v>5.0</v>
      </c>
      <c r="E1911" s="27" t="s">
        <v>7901</v>
      </c>
      <c r="F1911" s="27">
        <v>3.0</v>
      </c>
      <c r="G1911" s="29">
        <v>45466.86875</v>
      </c>
      <c r="H1911" s="27" t="s">
        <v>7689</v>
      </c>
      <c r="I1911" s="18"/>
      <c r="J1911" s="25" t="str">
        <f>IFERROR(__xludf.DUMMYFUNCTION("ARRAYFORMULA(REGEXEXTRACT(SPLIT(C1911, ""&lt;br&gt;""), ""([가-힣A-Za-z]+)""))"),"전투쥐")</f>
        <v>전투쥐</v>
      </c>
      <c r="K1911" s="26" t="str">
        <f>IFERROR(__xludf.DUMMYFUNCTION("""COMPUTED_VALUE"""),"한메")</f>
        <v>한메</v>
      </c>
      <c r="L1911" s="26" t="str">
        <f>IFERROR(__xludf.DUMMYFUNCTION("""COMPUTED_VALUE"""),"신형만")</f>
        <v>신형만</v>
      </c>
      <c r="M1911" s="26" t="str">
        <f>IFERROR(__xludf.DUMMYFUNCTION("""COMPUTED_VALUE"""),"엘더")</f>
        <v>엘더</v>
      </c>
      <c r="N1911" s="26" t="str">
        <f>IFERROR(__xludf.DUMMYFUNCTION("ARRAYFORMULA(REGEXEXTRACT(SPLIT(E1911, ""&lt;br&gt;""), ""([가-힣A-Za-z]+)""))"),"ACDC")</f>
        <v>ACDC</v>
      </c>
      <c r="O1911" s="26" t="str">
        <f>IFERROR(__xludf.DUMMYFUNCTION("""COMPUTED_VALUE"""),"깡패")</f>
        <v>깡패</v>
      </c>
      <c r="P1911" s="26" t="str">
        <f>IFERROR(__xludf.DUMMYFUNCTION("""COMPUTED_VALUE"""),"재명")</f>
        <v>재명</v>
      </c>
      <c r="Q1911" s="26" t="str">
        <f>IFERROR(__xludf.DUMMYFUNCTION("""COMPUTED_VALUE"""),"짱구")</f>
        <v>짱구</v>
      </c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</row>
    <row r="1912">
      <c r="A1912" s="31" t="s">
        <v>7902</v>
      </c>
      <c r="B1912" s="28" t="s">
        <v>7903</v>
      </c>
      <c r="C1912" s="27" t="s">
        <v>7904</v>
      </c>
      <c r="D1912" s="27">
        <v>5.0</v>
      </c>
      <c r="E1912" s="27" t="s">
        <v>7905</v>
      </c>
      <c r="F1912" s="27">
        <v>1.0</v>
      </c>
      <c r="G1912" s="29">
        <v>45466.027083333334</v>
      </c>
      <c r="H1912" s="27" t="s">
        <v>7689</v>
      </c>
      <c r="I1912" s="18"/>
      <c r="J1912" s="25" t="str">
        <f>IFERROR(__xludf.DUMMYFUNCTION("ARRAYFORMULA(REGEXEXTRACT(SPLIT(C1912, ""&lt;br&gt;""), ""([가-힣A-Za-z]+)""))"),"전투쥐")</f>
        <v>전투쥐</v>
      </c>
      <c r="K1912" s="26" t="str">
        <f>IFERROR(__xludf.DUMMYFUNCTION("""COMPUTED_VALUE"""),"ACDC")</f>
        <v>ACDC</v>
      </c>
      <c r="L1912" s="26" t="str">
        <f>IFERROR(__xludf.DUMMYFUNCTION("""COMPUTED_VALUE"""),"팰리")</f>
        <v>팰리</v>
      </c>
      <c r="M1912" s="26" t="str">
        <f>IFERROR(__xludf.DUMMYFUNCTION("""COMPUTED_VALUE"""),"엘더")</f>
        <v>엘더</v>
      </c>
      <c r="N1912" s="26" t="str">
        <f>IFERROR(__xludf.DUMMYFUNCTION("ARRAYFORMULA(REGEXEXTRACT(SPLIT(E1912, ""&lt;br&gt;""), ""([가-힣A-Za-z]+)""))"),"미등록")</f>
        <v>미등록</v>
      </c>
      <c r="O1912" s="26" t="str">
        <f>IFERROR(__xludf.DUMMYFUNCTION("""COMPUTED_VALUE"""),"랄")</f>
        <v>랄</v>
      </c>
      <c r="P1912" s="26" t="str">
        <f>IFERROR(__xludf.DUMMYFUNCTION("""COMPUTED_VALUE"""),"만두")</f>
        <v>만두</v>
      </c>
      <c r="Q1912" s="26" t="str">
        <f>IFERROR(__xludf.DUMMYFUNCTION("""COMPUTED_VALUE"""),"튜브")</f>
        <v>튜브</v>
      </c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  <c r="AB1912" s="18"/>
    </row>
    <row r="1913">
      <c r="A1913" s="31" t="s">
        <v>7906</v>
      </c>
      <c r="B1913" s="28" t="s">
        <v>7907</v>
      </c>
      <c r="C1913" s="27" t="s">
        <v>7908</v>
      </c>
      <c r="D1913" s="27">
        <v>5.0</v>
      </c>
      <c r="E1913" s="27" t="s">
        <v>7909</v>
      </c>
      <c r="F1913" s="27">
        <v>3.0</v>
      </c>
      <c r="G1913" s="29">
        <v>45466.001388888886</v>
      </c>
      <c r="H1913" s="27" t="s">
        <v>7689</v>
      </c>
      <c r="I1913" s="18"/>
      <c r="J1913" s="25" t="str">
        <f>IFERROR(__xludf.DUMMYFUNCTION("ARRAYFORMULA(REGEXEXTRACT(SPLIT(C1913, ""&lt;br&gt;""), ""([가-힣A-Za-z]+)""))"),"엘더")</f>
        <v>엘더</v>
      </c>
      <c r="K1913" s="26" t="str">
        <f>IFERROR(__xludf.DUMMYFUNCTION("""COMPUTED_VALUE"""),"미등록")</f>
        <v>미등록</v>
      </c>
      <c r="L1913" s="26" t="str">
        <f>IFERROR(__xludf.DUMMYFUNCTION("""COMPUTED_VALUE"""),"팰리")</f>
        <v>팰리</v>
      </c>
      <c r="M1913" s="26" t="str">
        <f>IFERROR(__xludf.DUMMYFUNCTION("""COMPUTED_VALUE"""),"전투쥐")</f>
        <v>전투쥐</v>
      </c>
      <c r="N1913" s="26" t="str">
        <f>IFERROR(__xludf.DUMMYFUNCTION("ARRAYFORMULA(REGEXEXTRACT(SPLIT(E1913, ""&lt;br&gt;""), ""([가-힣A-Za-z]+)""))"),"재우")</f>
        <v>재우</v>
      </c>
      <c r="O1913" s="26" t="str">
        <f>IFERROR(__xludf.DUMMYFUNCTION("""COMPUTED_VALUE"""),"랄")</f>
        <v>랄</v>
      </c>
      <c r="P1913" s="26" t="str">
        <f>IFERROR(__xludf.DUMMYFUNCTION("""COMPUTED_VALUE"""),"ACDC")</f>
        <v>ACDC</v>
      </c>
      <c r="Q1913" s="26" t="str">
        <f>IFERROR(__xludf.DUMMYFUNCTION("""COMPUTED_VALUE"""),"만두")</f>
        <v>만두</v>
      </c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</row>
    <row r="1914">
      <c r="A1914" s="31" t="s">
        <v>7910</v>
      </c>
      <c r="B1914" s="28" t="s">
        <v>7911</v>
      </c>
      <c r="C1914" s="27" t="s">
        <v>7912</v>
      </c>
      <c r="D1914" s="27">
        <v>5.0</v>
      </c>
      <c r="E1914" s="27" t="s">
        <v>7913</v>
      </c>
      <c r="F1914" s="27">
        <v>2.0</v>
      </c>
      <c r="G1914" s="29">
        <v>45465.97361111111</v>
      </c>
      <c r="H1914" s="27" t="s">
        <v>7689</v>
      </c>
      <c r="I1914" s="18"/>
      <c r="J1914" s="25" t="str">
        <f>IFERROR(__xludf.DUMMYFUNCTION("ARRAYFORMULA(REGEXEXTRACT(SPLIT(C1914, ""&lt;br&gt;""), ""([가-힣A-Za-z]+)""))"),"미등록")</f>
        <v>미등록</v>
      </c>
      <c r="K1914" s="26" t="str">
        <f>IFERROR(__xludf.DUMMYFUNCTION("""COMPUTED_VALUE"""),"전투쥐")</f>
        <v>전투쥐</v>
      </c>
      <c r="L1914" s="26" t="str">
        <f>IFERROR(__xludf.DUMMYFUNCTION("""COMPUTED_VALUE"""),"팰리")</f>
        <v>팰리</v>
      </c>
      <c r="M1914" s="26" t="str">
        <f>IFERROR(__xludf.DUMMYFUNCTION("""COMPUTED_VALUE"""),"만두")</f>
        <v>만두</v>
      </c>
      <c r="N1914" s="26" t="str">
        <f>IFERROR(__xludf.DUMMYFUNCTION("ARRAYFORMULA(REGEXEXTRACT(SPLIT(E1914, ""&lt;br&gt;""), ""([가-힣A-Za-z]+)""))"),"엘더")</f>
        <v>엘더</v>
      </c>
      <c r="O1914" s="26" t="str">
        <f>IFERROR(__xludf.DUMMYFUNCTION("""COMPUTED_VALUE"""),"ACDC")</f>
        <v>ACDC</v>
      </c>
      <c r="P1914" s="26" t="str">
        <f>IFERROR(__xludf.DUMMYFUNCTION("""COMPUTED_VALUE"""),"랄")</f>
        <v>랄</v>
      </c>
      <c r="Q1914" s="26" t="str">
        <f>IFERROR(__xludf.DUMMYFUNCTION("""COMPUTED_VALUE"""),"재우")</f>
        <v>재우</v>
      </c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  <c r="AB1914" s="18"/>
    </row>
    <row r="1915">
      <c r="A1915" s="31" t="s">
        <v>7914</v>
      </c>
      <c r="B1915" s="28" t="s">
        <v>7915</v>
      </c>
      <c r="C1915" s="27" t="s">
        <v>7916</v>
      </c>
      <c r="D1915" s="27">
        <v>5.0</v>
      </c>
      <c r="E1915" s="27" t="s">
        <v>7917</v>
      </c>
      <c r="F1915" s="27">
        <v>4.0</v>
      </c>
      <c r="G1915" s="29">
        <v>45465.950694444444</v>
      </c>
      <c r="H1915" s="27" t="s">
        <v>7689</v>
      </c>
      <c r="I1915" s="18"/>
      <c r="J1915" s="25" t="str">
        <f>IFERROR(__xludf.DUMMYFUNCTION("ARRAYFORMULA(REGEXEXTRACT(SPLIT(C1915, ""&lt;br&gt;""), ""([가-힣A-Za-z]+)""))"),"랄")</f>
        <v>랄</v>
      </c>
      <c r="K1915" s="26" t="str">
        <f>IFERROR(__xludf.DUMMYFUNCTION("""COMPUTED_VALUE"""),"미등록")</f>
        <v>미등록</v>
      </c>
      <c r="L1915" s="26" t="str">
        <f>IFERROR(__xludf.DUMMYFUNCTION("""COMPUTED_VALUE"""),"팰리")</f>
        <v>팰리</v>
      </c>
      <c r="M1915" s="26" t="str">
        <f>IFERROR(__xludf.DUMMYFUNCTION("""COMPUTED_VALUE"""),"재우")</f>
        <v>재우</v>
      </c>
      <c r="N1915" s="26" t="str">
        <f>IFERROR(__xludf.DUMMYFUNCTION("ARRAYFORMULA(REGEXEXTRACT(SPLIT(E1915, ""&lt;br&gt;""), ""([가-힣A-Za-z]+)""))"),"엘더")</f>
        <v>엘더</v>
      </c>
      <c r="O1915" s="26" t="str">
        <f>IFERROR(__xludf.DUMMYFUNCTION("""COMPUTED_VALUE"""),"전투쥐")</f>
        <v>전투쥐</v>
      </c>
      <c r="P1915" s="26" t="str">
        <f>IFERROR(__xludf.DUMMYFUNCTION("""COMPUTED_VALUE"""),"ACDC")</f>
        <v>ACDC</v>
      </c>
      <c r="Q1915" s="26" t="str">
        <f>IFERROR(__xludf.DUMMYFUNCTION("""COMPUTED_VALUE"""),"만두")</f>
        <v>만두</v>
      </c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</row>
    <row r="1916">
      <c r="A1916" s="31" t="s">
        <v>7918</v>
      </c>
      <c r="B1916" s="28" t="s">
        <v>7919</v>
      </c>
      <c r="C1916" s="27" t="s">
        <v>7920</v>
      </c>
      <c r="D1916" s="27">
        <v>5.0</v>
      </c>
      <c r="E1916" s="27" t="s">
        <v>7921</v>
      </c>
      <c r="F1916" s="27">
        <v>0.0</v>
      </c>
      <c r="G1916" s="29">
        <v>45465.075694444444</v>
      </c>
      <c r="H1916" s="27" t="s">
        <v>7689</v>
      </c>
      <c r="I1916" s="18"/>
      <c r="J1916" s="25" t="str">
        <f>IFERROR(__xludf.DUMMYFUNCTION("ARRAYFORMULA(REGEXEXTRACT(SPLIT(C1916, ""&lt;br&gt;""), ""([가-힣A-Za-z]+)""))"),"강화")</f>
        <v>강화</v>
      </c>
      <c r="K1916" s="26" t="str">
        <f>IFERROR(__xludf.DUMMYFUNCTION("""COMPUTED_VALUE"""),"짱구")</f>
        <v>짱구</v>
      </c>
      <c r="L1916" s="26" t="str">
        <f>IFERROR(__xludf.DUMMYFUNCTION("""COMPUTED_VALUE"""),"엘더")</f>
        <v>엘더</v>
      </c>
      <c r="M1916" s="26" t="str">
        <f>IFERROR(__xludf.DUMMYFUNCTION("""COMPUTED_VALUE"""),"한메")</f>
        <v>한메</v>
      </c>
      <c r="N1916" s="26" t="str">
        <f>IFERROR(__xludf.DUMMYFUNCTION("ARRAYFORMULA(REGEXEXTRACT(SPLIT(E1916, ""&lt;br&gt;""), ""([가-힣A-Za-z]+)""))"),"재명")</f>
        <v>재명</v>
      </c>
      <c r="O1916" s="26" t="str">
        <f>IFERROR(__xludf.DUMMYFUNCTION("""COMPUTED_VALUE"""),"재우")</f>
        <v>재우</v>
      </c>
      <c r="P1916" s="26" t="str">
        <f>IFERROR(__xludf.DUMMYFUNCTION("""COMPUTED_VALUE"""),"ACDC")</f>
        <v>ACDC</v>
      </c>
      <c r="Q1916" s="26" t="str">
        <f>IFERROR(__xludf.DUMMYFUNCTION("""COMPUTED_VALUE"""),"깡패")</f>
        <v>깡패</v>
      </c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</row>
    <row r="1917">
      <c r="A1917" s="31" t="s">
        <v>7922</v>
      </c>
      <c r="B1917" s="28" t="s">
        <v>7923</v>
      </c>
      <c r="C1917" s="27" t="s">
        <v>7924</v>
      </c>
      <c r="D1917" s="27">
        <v>5.0</v>
      </c>
      <c r="E1917" s="27" t="s">
        <v>7925</v>
      </c>
      <c r="F1917" s="27">
        <v>3.0</v>
      </c>
      <c r="G1917" s="29">
        <v>45465.0625</v>
      </c>
      <c r="H1917" s="27" t="s">
        <v>7689</v>
      </c>
      <c r="I1917" s="18"/>
      <c r="J1917" s="25" t="str">
        <f>IFERROR(__xludf.DUMMYFUNCTION("ARRAYFORMULA(REGEXEXTRACT(SPLIT(C1917, ""&lt;br&gt;""), ""([가-힣A-Za-z]+)""))"),"재우")</f>
        <v>재우</v>
      </c>
      <c r="K1917" s="26" t="str">
        <f>IFERROR(__xludf.DUMMYFUNCTION("""COMPUTED_VALUE"""),"엘더")</f>
        <v>엘더</v>
      </c>
      <c r="L1917" s="26" t="str">
        <f>IFERROR(__xludf.DUMMYFUNCTION("""COMPUTED_VALUE"""),"강화")</f>
        <v>강화</v>
      </c>
      <c r="M1917" s="26" t="str">
        <f>IFERROR(__xludf.DUMMYFUNCTION("""COMPUTED_VALUE"""),"짱구")</f>
        <v>짱구</v>
      </c>
      <c r="N1917" s="26" t="str">
        <f>IFERROR(__xludf.DUMMYFUNCTION("ARRAYFORMULA(REGEXEXTRACT(SPLIT(E1917, ""&lt;br&gt;""), ""([가-힣A-Za-z]+)""))"),"한메")</f>
        <v>한메</v>
      </c>
      <c r="O1917" s="26" t="str">
        <f>IFERROR(__xludf.DUMMYFUNCTION("""COMPUTED_VALUE"""),"재명")</f>
        <v>재명</v>
      </c>
      <c r="P1917" s="26" t="str">
        <f>IFERROR(__xludf.DUMMYFUNCTION("""COMPUTED_VALUE"""),"ACDC")</f>
        <v>ACDC</v>
      </c>
      <c r="Q1917" s="26" t="str">
        <f>IFERROR(__xludf.DUMMYFUNCTION("""COMPUTED_VALUE"""),"깡패")</f>
        <v>깡패</v>
      </c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  <c r="AB1917" s="18"/>
    </row>
    <row r="1918">
      <c r="A1918" s="31" t="s">
        <v>7926</v>
      </c>
      <c r="B1918" s="28" t="s">
        <v>7927</v>
      </c>
      <c r="C1918" s="27" t="s">
        <v>7928</v>
      </c>
      <c r="D1918" s="27">
        <v>5.0</v>
      </c>
      <c r="E1918" s="27" t="s">
        <v>7929</v>
      </c>
      <c r="F1918" s="27">
        <v>2.0</v>
      </c>
      <c r="G1918" s="29">
        <v>45465.038194444445</v>
      </c>
      <c r="H1918" s="27" t="s">
        <v>7689</v>
      </c>
      <c r="I1918" s="18"/>
      <c r="J1918" s="25" t="str">
        <f>IFERROR(__xludf.DUMMYFUNCTION("ARRAYFORMULA(REGEXEXTRACT(SPLIT(C1918, ""&lt;br&gt;""), ""([가-힣A-Za-z]+)""))"),"ACDC")</f>
        <v>ACDC</v>
      </c>
      <c r="K1918" s="26" t="str">
        <f>IFERROR(__xludf.DUMMYFUNCTION("""COMPUTED_VALUE"""),"깡패")</f>
        <v>깡패</v>
      </c>
      <c r="L1918" s="26" t="str">
        <f>IFERROR(__xludf.DUMMYFUNCTION("""COMPUTED_VALUE"""),"한메")</f>
        <v>한메</v>
      </c>
      <c r="M1918" s="26" t="str">
        <f>IFERROR(__xludf.DUMMYFUNCTION("""COMPUTED_VALUE"""),"재명")</f>
        <v>재명</v>
      </c>
      <c r="N1918" s="26" t="str">
        <f>IFERROR(__xludf.DUMMYFUNCTION("ARRAYFORMULA(REGEXEXTRACT(SPLIT(E1918, ""&lt;br&gt;""), ""([가-힣A-Za-z]+)""))"),"재우")</f>
        <v>재우</v>
      </c>
      <c r="O1918" s="26" t="str">
        <f>IFERROR(__xludf.DUMMYFUNCTION("""COMPUTED_VALUE"""),"팰리")</f>
        <v>팰리</v>
      </c>
      <c r="P1918" s="26" t="str">
        <f>IFERROR(__xludf.DUMMYFUNCTION("""COMPUTED_VALUE"""),"엘더")</f>
        <v>엘더</v>
      </c>
      <c r="Q1918" s="26" t="str">
        <f>IFERROR(__xludf.DUMMYFUNCTION("""COMPUTED_VALUE"""),"강화")</f>
        <v>강화</v>
      </c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  <c r="AB1918" s="18"/>
    </row>
    <row r="1919">
      <c r="A1919" s="31" t="s">
        <v>7930</v>
      </c>
      <c r="B1919" s="28" t="s">
        <v>7931</v>
      </c>
      <c r="C1919" s="27" t="s">
        <v>7932</v>
      </c>
      <c r="D1919" s="27">
        <v>5.0</v>
      </c>
      <c r="E1919" s="27" t="s">
        <v>7933</v>
      </c>
      <c r="F1919" s="27">
        <v>2.0</v>
      </c>
      <c r="G1919" s="29">
        <v>45465.00763888889</v>
      </c>
      <c r="H1919" s="27" t="s">
        <v>7689</v>
      </c>
      <c r="I1919" s="18"/>
      <c r="J1919" s="25" t="str">
        <f>IFERROR(__xludf.DUMMYFUNCTION("ARRAYFORMULA(REGEXEXTRACT(SPLIT(C1919, ""&lt;br&gt;""), ""([가-힣A-Za-z]+)""))"),"한메")</f>
        <v>한메</v>
      </c>
      <c r="K1919" s="26" t="str">
        <f>IFERROR(__xludf.DUMMYFUNCTION("""COMPUTED_VALUE"""),"강화")</f>
        <v>강화</v>
      </c>
      <c r="L1919" s="26" t="str">
        <f>IFERROR(__xludf.DUMMYFUNCTION("""COMPUTED_VALUE"""),"짱구")</f>
        <v>짱구</v>
      </c>
      <c r="M1919" s="26" t="str">
        <f>IFERROR(__xludf.DUMMYFUNCTION("""COMPUTED_VALUE"""),"재명")</f>
        <v>재명</v>
      </c>
      <c r="N1919" s="26" t="str">
        <f>IFERROR(__xludf.DUMMYFUNCTION("ARRAYFORMULA(REGEXEXTRACT(SPLIT(E1919, ""&lt;br&gt;""), ""([가-힣A-Za-z]+)""))"),"엘더")</f>
        <v>엘더</v>
      </c>
      <c r="O1919" s="26" t="str">
        <f>IFERROR(__xludf.DUMMYFUNCTION("""COMPUTED_VALUE"""),"ACDC")</f>
        <v>ACDC</v>
      </c>
      <c r="P1919" s="26" t="str">
        <f>IFERROR(__xludf.DUMMYFUNCTION("""COMPUTED_VALUE"""),"재우")</f>
        <v>재우</v>
      </c>
      <c r="Q1919" s="26" t="str">
        <f>IFERROR(__xludf.DUMMYFUNCTION("""COMPUTED_VALUE"""),"깡패")</f>
        <v>깡패</v>
      </c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  <c r="AB1919" s="18"/>
    </row>
    <row r="1920">
      <c r="A1920" s="31" t="s">
        <v>7934</v>
      </c>
      <c r="B1920" s="28" t="s">
        <v>7935</v>
      </c>
      <c r="C1920" s="27" t="s">
        <v>7936</v>
      </c>
      <c r="D1920" s="27">
        <v>5.0</v>
      </c>
      <c r="E1920" s="27" t="s">
        <v>7937</v>
      </c>
      <c r="F1920" s="27">
        <v>4.0</v>
      </c>
      <c r="G1920" s="29">
        <v>45464.98055555556</v>
      </c>
      <c r="H1920" s="27" t="s">
        <v>7689</v>
      </c>
      <c r="I1920" s="18"/>
      <c r="J1920" s="25" t="str">
        <f>IFERROR(__xludf.DUMMYFUNCTION("ARRAYFORMULA(REGEXEXTRACT(SPLIT(C1920, ""&lt;br&gt;""), ""([가-힣A-Za-z]+)""))"),"엘더")</f>
        <v>엘더</v>
      </c>
      <c r="K1920" s="26" t="str">
        <f>IFERROR(__xludf.DUMMYFUNCTION("""COMPUTED_VALUE"""),"ACDC")</f>
        <v>ACDC</v>
      </c>
      <c r="L1920" s="26" t="str">
        <f>IFERROR(__xludf.DUMMYFUNCTION("""COMPUTED_VALUE"""),"강화")</f>
        <v>강화</v>
      </c>
      <c r="M1920" s="26" t="str">
        <f>IFERROR(__xludf.DUMMYFUNCTION("""COMPUTED_VALUE"""),"재우")</f>
        <v>재우</v>
      </c>
      <c r="N1920" s="26" t="str">
        <f>IFERROR(__xludf.DUMMYFUNCTION("ARRAYFORMULA(REGEXEXTRACT(SPLIT(E1920, ""&lt;br&gt;""), ""([가-힣A-Za-z]+)""))"),"미르진")</f>
        <v>미르진</v>
      </c>
      <c r="O1920" s="26" t="str">
        <f>IFERROR(__xludf.DUMMYFUNCTION("""COMPUTED_VALUE"""),"밍구")</f>
        <v>밍구</v>
      </c>
      <c r="P1920" s="26" t="str">
        <f>IFERROR(__xludf.DUMMYFUNCTION("""COMPUTED_VALUE"""),"짱구")</f>
        <v>짱구</v>
      </c>
      <c r="Q1920" s="26" t="str">
        <f>IFERROR(__xludf.DUMMYFUNCTION("""COMPUTED_VALUE"""),"깡패")</f>
        <v>깡패</v>
      </c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  <c r="AB1920" s="18"/>
    </row>
    <row r="1921">
      <c r="A1921" s="31" t="s">
        <v>7938</v>
      </c>
      <c r="B1921" s="28" t="s">
        <v>7939</v>
      </c>
      <c r="C1921" s="27" t="s">
        <v>7940</v>
      </c>
      <c r="D1921" s="27">
        <v>5.0</v>
      </c>
      <c r="E1921" s="27" t="s">
        <v>7941</v>
      </c>
      <c r="F1921" s="27">
        <v>4.0</v>
      </c>
      <c r="G1921" s="29">
        <v>45464.938888888886</v>
      </c>
      <c r="H1921" s="27" t="s">
        <v>7689</v>
      </c>
      <c r="I1921" s="18"/>
      <c r="J1921" s="25" t="str">
        <f>IFERROR(__xludf.DUMMYFUNCTION("ARRAYFORMULA(REGEXEXTRACT(SPLIT(C1921, ""&lt;br&gt;""), ""([가-힣A-Za-z]+)""))"),"강화")</f>
        <v>강화</v>
      </c>
      <c r="K1921" s="26" t="str">
        <f>IFERROR(__xludf.DUMMYFUNCTION("""COMPUTED_VALUE"""),"깡패")</f>
        <v>깡패</v>
      </c>
      <c r="L1921" s="26" t="str">
        <f>IFERROR(__xludf.DUMMYFUNCTION("""COMPUTED_VALUE"""),"ACDC")</f>
        <v>ACDC</v>
      </c>
      <c r="M1921" s="26" t="str">
        <f>IFERROR(__xludf.DUMMYFUNCTION("""COMPUTED_VALUE"""),"짱구")</f>
        <v>짱구</v>
      </c>
      <c r="N1921" s="26" t="str">
        <f>IFERROR(__xludf.DUMMYFUNCTION("ARRAYFORMULA(REGEXEXTRACT(SPLIT(E1921, ""&lt;br&gt;""), ""([가-힣A-Za-z]+)""))"),"미르진")</f>
        <v>미르진</v>
      </c>
      <c r="O1921" s="26" t="str">
        <f>IFERROR(__xludf.DUMMYFUNCTION("""COMPUTED_VALUE"""),"밍구")</f>
        <v>밍구</v>
      </c>
      <c r="P1921" s="26" t="str">
        <f>IFERROR(__xludf.DUMMYFUNCTION("""COMPUTED_VALUE"""),"재우")</f>
        <v>재우</v>
      </c>
      <c r="Q1921" s="26" t="str">
        <f>IFERROR(__xludf.DUMMYFUNCTION("""COMPUTED_VALUE"""),"엘더")</f>
        <v>엘더</v>
      </c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</row>
    <row r="1922">
      <c r="A1922" s="31" t="s">
        <v>7942</v>
      </c>
      <c r="B1922" s="28" t="s">
        <v>7943</v>
      </c>
      <c r="C1922" s="27" t="s">
        <v>7944</v>
      </c>
      <c r="D1922" s="27">
        <v>5.0</v>
      </c>
      <c r="E1922" s="27" t="s">
        <v>7945</v>
      </c>
      <c r="F1922" s="27">
        <v>3.0</v>
      </c>
      <c r="G1922" s="29">
        <v>45464.90069444444</v>
      </c>
      <c r="H1922" s="27" t="s">
        <v>7689</v>
      </c>
      <c r="I1922" s="18"/>
      <c r="J1922" s="25" t="str">
        <f>IFERROR(__xludf.DUMMYFUNCTION("ARRAYFORMULA(REGEXEXTRACT(SPLIT(C1922, ""&lt;br&gt;""), ""([가-힣A-Za-z]+)""))"),"짱구")</f>
        <v>짱구</v>
      </c>
      <c r="K1922" s="26" t="str">
        <f>IFERROR(__xludf.DUMMYFUNCTION("""COMPUTED_VALUE"""),"ACDC")</f>
        <v>ACDC</v>
      </c>
      <c r="L1922" s="26" t="str">
        <f>IFERROR(__xludf.DUMMYFUNCTION("""COMPUTED_VALUE"""),"재우")</f>
        <v>재우</v>
      </c>
      <c r="M1922" s="26" t="str">
        <f>IFERROR(__xludf.DUMMYFUNCTION("""COMPUTED_VALUE"""),"깡패")</f>
        <v>깡패</v>
      </c>
      <c r="N1922" s="26" t="str">
        <f>IFERROR(__xludf.DUMMYFUNCTION("ARRAYFORMULA(REGEXEXTRACT(SPLIT(E1922, ""&lt;br&gt;""), ""([가-힣A-Za-z]+)""))"),"미르진")</f>
        <v>미르진</v>
      </c>
      <c r="O1922" s="26" t="str">
        <f>IFERROR(__xludf.DUMMYFUNCTION("""COMPUTED_VALUE"""),"밍구")</f>
        <v>밍구</v>
      </c>
      <c r="P1922" s="26" t="str">
        <f>IFERROR(__xludf.DUMMYFUNCTION("""COMPUTED_VALUE"""),"엘더")</f>
        <v>엘더</v>
      </c>
      <c r="Q1922" s="26" t="str">
        <f>IFERROR(__xludf.DUMMYFUNCTION("""COMPUTED_VALUE"""),"강화")</f>
        <v>강화</v>
      </c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  <c r="AB1922" s="18"/>
    </row>
    <row r="1923">
      <c r="A1923" s="31" t="s">
        <v>7946</v>
      </c>
      <c r="B1923" s="28" t="s">
        <v>7947</v>
      </c>
      <c r="C1923" s="27" t="s">
        <v>7948</v>
      </c>
      <c r="D1923" s="27">
        <v>5.0</v>
      </c>
      <c r="E1923" s="27" t="s">
        <v>7949</v>
      </c>
      <c r="F1923" s="27">
        <v>4.0</v>
      </c>
      <c r="G1923" s="29">
        <v>45464.13611111111</v>
      </c>
      <c r="H1923" s="27" t="s">
        <v>7689</v>
      </c>
      <c r="I1923" s="18"/>
      <c r="J1923" s="25" t="str">
        <f>IFERROR(__xludf.DUMMYFUNCTION("ARRAYFORMULA(REGEXEXTRACT(SPLIT(C1923, ""&lt;br&gt;""), ""([가-힣A-Za-z]+)""))"),"튜브")</f>
        <v>튜브</v>
      </c>
      <c r="K1923" s="26" t="str">
        <f>IFERROR(__xludf.DUMMYFUNCTION("""COMPUTED_VALUE"""),"신형만")</f>
        <v>신형만</v>
      </c>
      <c r="L1923" s="26" t="str">
        <f>IFERROR(__xludf.DUMMYFUNCTION("""COMPUTED_VALUE"""),"ACDC")</f>
        <v>ACDC</v>
      </c>
      <c r="M1923" s="26" t="str">
        <f>IFERROR(__xludf.DUMMYFUNCTION("""COMPUTED_VALUE"""),"민우")</f>
        <v>민우</v>
      </c>
      <c r="N1923" s="26" t="str">
        <f>IFERROR(__xludf.DUMMYFUNCTION("ARRAYFORMULA(REGEXEXTRACT(SPLIT(E1923, ""&lt;br&gt;""), ""([가-힣A-Za-z]+)""))"),"아이딘")</f>
        <v>아이딘</v>
      </c>
      <c r="O1923" s="26" t="str">
        <f>IFERROR(__xludf.DUMMYFUNCTION("""COMPUTED_VALUE"""),"깡패")</f>
        <v>깡패</v>
      </c>
      <c r="P1923" s="26" t="str">
        <f>IFERROR(__xludf.DUMMYFUNCTION("""COMPUTED_VALUE"""),"키키")</f>
        <v>키키</v>
      </c>
      <c r="Q1923" s="26" t="str">
        <f>IFERROR(__xludf.DUMMYFUNCTION("""COMPUTED_VALUE"""),"짱구")</f>
        <v>짱구</v>
      </c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  <c r="AB1923" s="18"/>
    </row>
    <row r="1924">
      <c r="A1924" s="31" t="s">
        <v>7950</v>
      </c>
      <c r="B1924" s="28" t="s">
        <v>7951</v>
      </c>
      <c r="C1924" s="27" t="s">
        <v>7952</v>
      </c>
      <c r="D1924" s="27">
        <v>5.0</v>
      </c>
      <c r="E1924" s="27" t="s">
        <v>7953</v>
      </c>
      <c r="F1924" s="27">
        <v>0.0</v>
      </c>
      <c r="G1924" s="29">
        <v>45464.106944444444</v>
      </c>
      <c r="H1924" s="27" t="s">
        <v>7689</v>
      </c>
      <c r="I1924" s="18"/>
      <c r="J1924" s="25" t="str">
        <f>IFERROR(__xludf.DUMMYFUNCTION("ARRAYFORMULA(REGEXEXTRACT(SPLIT(C1924, ""&lt;br&gt;""), ""([가-힣A-Za-z]+)""))"),"ACDC")</f>
        <v>ACDC</v>
      </c>
      <c r="K1924" s="26" t="str">
        <f>IFERROR(__xludf.DUMMYFUNCTION("""COMPUTED_VALUE"""),"짱구")</f>
        <v>짱구</v>
      </c>
      <c r="L1924" s="26" t="str">
        <f>IFERROR(__xludf.DUMMYFUNCTION("""COMPUTED_VALUE"""),"민우")</f>
        <v>민우</v>
      </c>
      <c r="M1924" s="26" t="str">
        <f>IFERROR(__xludf.DUMMYFUNCTION("""COMPUTED_VALUE"""),"신형만")</f>
        <v>신형만</v>
      </c>
      <c r="N1924" s="26" t="str">
        <f>IFERROR(__xludf.DUMMYFUNCTION("ARRAYFORMULA(REGEXEXTRACT(SPLIT(E1924, ""&lt;br&gt;""), ""([가-힣A-Za-z]+)""))"),"한메")</f>
        <v>한메</v>
      </c>
      <c r="O1924" s="26" t="str">
        <f>IFERROR(__xludf.DUMMYFUNCTION("""COMPUTED_VALUE"""),"튜브")</f>
        <v>튜브</v>
      </c>
      <c r="P1924" s="26" t="str">
        <f>IFERROR(__xludf.DUMMYFUNCTION("""COMPUTED_VALUE"""),"아이딘")</f>
        <v>아이딘</v>
      </c>
      <c r="Q1924" s="26" t="str">
        <f>IFERROR(__xludf.DUMMYFUNCTION("""COMPUTED_VALUE"""),"깡패")</f>
        <v>깡패</v>
      </c>
      <c r="R1924" s="18"/>
      <c r="S1924" s="18"/>
      <c r="T1924" s="18"/>
      <c r="U1924" s="18"/>
      <c r="V1924" s="18"/>
      <c r="W1924" s="18"/>
      <c r="X1924" s="18"/>
      <c r="Y1924" s="18"/>
      <c r="Z1924" s="18"/>
      <c r="AA1924" s="18"/>
      <c r="AB1924" s="18"/>
    </row>
    <row r="1925">
      <c r="A1925" s="31" t="s">
        <v>7954</v>
      </c>
      <c r="B1925" s="28" t="s">
        <v>7955</v>
      </c>
      <c r="C1925" s="27" t="s">
        <v>7956</v>
      </c>
      <c r="D1925" s="27">
        <v>5.0</v>
      </c>
      <c r="E1925" s="27" t="s">
        <v>7957</v>
      </c>
      <c r="F1925" s="27">
        <v>2.0</v>
      </c>
      <c r="G1925" s="29">
        <v>45464.092361111114</v>
      </c>
      <c r="H1925" s="27" t="s">
        <v>7689</v>
      </c>
      <c r="I1925" s="18"/>
      <c r="J1925" s="25" t="str">
        <f>IFERROR(__xludf.DUMMYFUNCTION("ARRAYFORMULA(REGEXEXTRACT(SPLIT(C1925, ""&lt;br&gt;""), ""([가-힣A-Za-z]+)""))"),"짱구")</f>
        <v>짱구</v>
      </c>
      <c r="K1925" s="26" t="str">
        <f>IFERROR(__xludf.DUMMYFUNCTION("""COMPUTED_VALUE"""),"ACDC")</f>
        <v>ACDC</v>
      </c>
      <c r="L1925" s="26" t="str">
        <f>IFERROR(__xludf.DUMMYFUNCTION("""COMPUTED_VALUE"""),"튜브")</f>
        <v>튜브</v>
      </c>
      <c r="M1925" s="26" t="str">
        <f>IFERROR(__xludf.DUMMYFUNCTION("""COMPUTED_VALUE"""),"신형만")</f>
        <v>신형만</v>
      </c>
      <c r="N1925" s="26" t="str">
        <f>IFERROR(__xludf.DUMMYFUNCTION("ARRAYFORMULA(REGEXEXTRACT(SPLIT(E1925, ""&lt;br&gt;""), ""([가-힣A-Za-z]+)""))"),"한메")</f>
        <v>한메</v>
      </c>
      <c r="O1925" s="26" t="str">
        <f>IFERROR(__xludf.DUMMYFUNCTION("""COMPUTED_VALUE"""),"강화")</f>
        <v>강화</v>
      </c>
      <c r="P1925" s="26" t="str">
        <f>IFERROR(__xludf.DUMMYFUNCTION("""COMPUTED_VALUE"""),"아이딘")</f>
        <v>아이딘</v>
      </c>
      <c r="Q1925" s="26" t="str">
        <f>IFERROR(__xludf.DUMMYFUNCTION("""COMPUTED_VALUE"""),"깡패")</f>
        <v>깡패</v>
      </c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</row>
    <row r="1926">
      <c r="A1926" s="31" t="s">
        <v>7958</v>
      </c>
      <c r="B1926" s="28" t="s">
        <v>7959</v>
      </c>
      <c r="C1926" s="27" t="s">
        <v>7960</v>
      </c>
      <c r="D1926" s="27">
        <v>5.0</v>
      </c>
      <c r="E1926" s="27" t="s">
        <v>7961</v>
      </c>
      <c r="F1926" s="27">
        <v>4.0</v>
      </c>
      <c r="G1926" s="29">
        <v>45464.07777777778</v>
      </c>
      <c r="H1926" s="27" t="s">
        <v>7689</v>
      </c>
      <c r="I1926" s="18"/>
      <c r="J1926" s="25" t="str">
        <f>IFERROR(__xludf.DUMMYFUNCTION("ARRAYFORMULA(REGEXEXTRACT(SPLIT(C1926, ""&lt;br&gt;""), ""([가-힣A-Za-z]+)""))"),"아이딘")</f>
        <v>아이딘</v>
      </c>
      <c r="K1926" s="26" t="str">
        <f>IFERROR(__xludf.DUMMYFUNCTION("""COMPUTED_VALUE"""),"강화")</f>
        <v>강화</v>
      </c>
      <c r="L1926" s="26" t="str">
        <f>IFERROR(__xludf.DUMMYFUNCTION("""COMPUTED_VALUE"""),"ACDC")</f>
        <v>ACDC</v>
      </c>
      <c r="M1926" s="26" t="str">
        <f>IFERROR(__xludf.DUMMYFUNCTION("""COMPUTED_VALUE"""),"짱구")</f>
        <v>짱구</v>
      </c>
      <c r="N1926" s="26" t="str">
        <f>IFERROR(__xludf.DUMMYFUNCTION("ARRAYFORMULA(REGEXEXTRACT(SPLIT(E1926, ""&lt;br&gt;""), ""([가-힣A-Za-z]+)""))"),"튜브")</f>
        <v>튜브</v>
      </c>
      <c r="O1926" s="26" t="str">
        <f>IFERROR(__xludf.DUMMYFUNCTION("""COMPUTED_VALUE"""),"한메")</f>
        <v>한메</v>
      </c>
      <c r="P1926" s="26" t="str">
        <f>IFERROR(__xludf.DUMMYFUNCTION("""COMPUTED_VALUE"""),"신형만")</f>
        <v>신형만</v>
      </c>
      <c r="Q1926" s="26" t="str">
        <f>IFERROR(__xludf.DUMMYFUNCTION("""COMPUTED_VALUE"""),"깡패")</f>
        <v>깡패</v>
      </c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</row>
    <row r="1927">
      <c r="A1927" s="31" t="s">
        <v>7962</v>
      </c>
      <c r="B1927" s="28" t="s">
        <v>7963</v>
      </c>
      <c r="C1927" s="27" t="s">
        <v>7964</v>
      </c>
      <c r="D1927" s="27">
        <v>5.0</v>
      </c>
      <c r="E1927" s="27" t="s">
        <v>7965</v>
      </c>
      <c r="F1927" s="27">
        <v>0.0</v>
      </c>
      <c r="G1927" s="29">
        <v>45464.040972222225</v>
      </c>
      <c r="H1927" s="27" t="s">
        <v>7689</v>
      </c>
      <c r="I1927" s="18"/>
      <c r="J1927" s="25" t="str">
        <f>IFERROR(__xludf.DUMMYFUNCTION("ARRAYFORMULA(REGEXEXTRACT(SPLIT(C1927, ""&lt;br&gt;""), ""([가-힣A-Za-z]+)""))"),"윙크")</f>
        <v>윙크</v>
      </c>
      <c r="K1927" s="26" t="str">
        <f>IFERROR(__xludf.DUMMYFUNCTION("""COMPUTED_VALUE"""),"재명")</f>
        <v>재명</v>
      </c>
      <c r="L1927" s="26" t="str">
        <f>IFERROR(__xludf.DUMMYFUNCTION("""COMPUTED_VALUE"""),"랄")</f>
        <v>랄</v>
      </c>
      <c r="M1927" s="26" t="str">
        <f>IFERROR(__xludf.DUMMYFUNCTION("""COMPUTED_VALUE"""),"만두")</f>
        <v>만두</v>
      </c>
      <c r="N1927" s="26" t="str">
        <f>IFERROR(__xludf.DUMMYFUNCTION("ARRAYFORMULA(REGEXEXTRACT(SPLIT(E1927, ""&lt;br&gt;""), ""([가-힣A-Za-z]+)""))"),"강화")</f>
        <v>강화</v>
      </c>
      <c r="O1927" s="26" t="str">
        <f>IFERROR(__xludf.DUMMYFUNCTION("""COMPUTED_VALUE"""),"ACDC")</f>
        <v>ACDC</v>
      </c>
      <c r="P1927" s="26" t="str">
        <f>IFERROR(__xludf.DUMMYFUNCTION("""COMPUTED_VALUE"""),"튜브")</f>
        <v>튜브</v>
      </c>
      <c r="Q1927" s="26" t="str">
        <f>IFERROR(__xludf.DUMMYFUNCTION("""COMPUTED_VALUE"""),"한메")</f>
        <v>한메</v>
      </c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  <c r="AB1927" s="18"/>
    </row>
    <row r="1928">
      <c r="A1928" s="31" t="s">
        <v>7966</v>
      </c>
      <c r="B1928" s="28" t="s">
        <v>7967</v>
      </c>
      <c r="C1928" s="27" t="s">
        <v>7968</v>
      </c>
      <c r="D1928" s="27">
        <v>5.0</v>
      </c>
      <c r="E1928" s="27" t="s">
        <v>7969</v>
      </c>
      <c r="F1928" s="27">
        <v>2.0</v>
      </c>
      <c r="G1928" s="29">
        <v>45464.02361111111</v>
      </c>
      <c r="H1928" s="27" t="s">
        <v>7689</v>
      </c>
      <c r="I1928" s="18"/>
      <c r="J1928" s="25" t="str">
        <f>IFERROR(__xludf.DUMMYFUNCTION("ARRAYFORMULA(REGEXEXTRACT(SPLIT(C1928, ""&lt;br&gt;""), ""([가-힣A-Za-z]+)""))"),"신형만")</f>
        <v>신형만</v>
      </c>
      <c r="K1928" s="26" t="str">
        <f>IFERROR(__xludf.DUMMYFUNCTION("""COMPUTED_VALUE"""),"ACDC")</f>
        <v>ACDC</v>
      </c>
      <c r="L1928" s="26" t="str">
        <f>IFERROR(__xludf.DUMMYFUNCTION("""COMPUTED_VALUE"""),"한메")</f>
        <v>한메</v>
      </c>
      <c r="M1928" s="26" t="str">
        <f>IFERROR(__xludf.DUMMYFUNCTION("""COMPUTED_VALUE"""),"랄")</f>
        <v>랄</v>
      </c>
      <c r="N1928" s="26" t="str">
        <f>IFERROR(__xludf.DUMMYFUNCTION("ARRAYFORMULA(REGEXEXTRACT(SPLIT(E1928, ""&lt;br&gt;""), ""([가-힣A-Za-z]+)""))"),"윙크")</f>
        <v>윙크</v>
      </c>
      <c r="O1928" s="26" t="str">
        <f>IFERROR(__xludf.DUMMYFUNCTION("""COMPUTED_VALUE"""),"재명")</f>
        <v>재명</v>
      </c>
      <c r="P1928" s="26" t="str">
        <f>IFERROR(__xludf.DUMMYFUNCTION("""COMPUTED_VALUE"""),"구리다")</f>
        <v>구리다</v>
      </c>
      <c r="Q1928" s="26" t="str">
        <f>IFERROR(__xludf.DUMMYFUNCTION("""COMPUTED_VALUE"""),"강화")</f>
        <v>강화</v>
      </c>
      <c r="R1928" s="18"/>
      <c r="S1928" s="18"/>
      <c r="T1928" s="18"/>
      <c r="U1928" s="18"/>
      <c r="V1928" s="18"/>
      <c r="W1928" s="18"/>
      <c r="X1928" s="18"/>
      <c r="Y1928" s="18"/>
      <c r="Z1928" s="18"/>
      <c r="AA1928" s="18"/>
      <c r="AB1928" s="18"/>
    </row>
    <row r="1929">
      <c r="A1929" s="31" t="s">
        <v>7970</v>
      </c>
      <c r="B1929" s="28" t="s">
        <v>7971</v>
      </c>
      <c r="C1929" s="27" t="s">
        <v>7972</v>
      </c>
      <c r="D1929" s="27">
        <v>5.0</v>
      </c>
      <c r="E1929" s="27" t="s">
        <v>7973</v>
      </c>
      <c r="F1929" s="27">
        <v>2.0</v>
      </c>
      <c r="G1929" s="29">
        <v>45463.99722222222</v>
      </c>
      <c r="H1929" s="27" t="s">
        <v>7689</v>
      </c>
      <c r="I1929" s="18"/>
      <c r="J1929" s="25" t="str">
        <f>IFERROR(__xludf.DUMMYFUNCTION("ARRAYFORMULA(REGEXEXTRACT(SPLIT(C1929, ""&lt;br&gt;""), ""([가-힣A-Za-z]+)""))"),"강화")</f>
        <v>강화</v>
      </c>
      <c r="K1929" s="26" t="str">
        <f>IFERROR(__xludf.DUMMYFUNCTION("""COMPUTED_VALUE"""),"ACDC")</f>
        <v>ACDC</v>
      </c>
      <c r="L1929" s="26" t="str">
        <f>IFERROR(__xludf.DUMMYFUNCTION("""COMPUTED_VALUE"""),"신형만")</f>
        <v>신형만</v>
      </c>
      <c r="M1929" s="26" t="str">
        <f>IFERROR(__xludf.DUMMYFUNCTION("""COMPUTED_VALUE"""),"랄")</f>
        <v>랄</v>
      </c>
      <c r="N1929" s="26" t="str">
        <f>IFERROR(__xludf.DUMMYFUNCTION("ARRAYFORMULA(REGEXEXTRACT(SPLIT(E1929, ""&lt;br&gt;""), ""([가-힣A-Za-z]+)""))"),"윙크")</f>
        <v>윙크</v>
      </c>
      <c r="O1929" s="26" t="str">
        <f>IFERROR(__xludf.DUMMYFUNCTION("""COMPUTED_VALUE"""),"구리다")</f>
        <v>구리다</v>
      </c>
      <c r="P1929" s="26" t="str">
        <f>IFERROR(__xludf.DUMMYFUNCTION("""COMPUTED_VALUE"""),"한메")</f>
        <v>한메</v>
      </c>
      <c r="Q1929" s="26" t="str">
        <f>IFERROR(__xludf.DUMMYFUNCTION("""COMPUTED_VALUE"""),"재명")</f>
        <v>재명</v>
      </c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  <c r="AB1929" s="18"/>
    </row>
    <row r="1930">
      <c r="A1930" s="31" t="s">
        <v>7974</v>
      </c>
      <c r="B1930" s="28" t="s">
        <v>7975</v>
      </c>
      <c r="C1930" s="27" t="s">
        <v>7976</v>
      </c>
      <c r="D1930" s="27">
        <v>5.0</v>
      </c>
      <c r="E1930" s="27" t="s">
        <v>7977</v>
      </c>
      <c r="F1930" s="27">
        <v>2.0</v>
      </c>
      <c r="G1930" s="29">
        <v>45463.96388888889</v>
      </c>
      <c r="H1930" s="27" t="s">
        <v>7689</v>
      </c>
      <c r="I1930" s="18"/>
      <c r="J1930" s="25" t="str">
        <f>IFERROR(__xludf.DUMMYFUNCTION("ARRAYFORMULA(REGEXEXTRACT(SPLIT(C1930, ""&lt;br&gt;""), ""([가-힣A-Za-z]+)""))"),"ACDC")</f>
        <v>ACDC</v>
      </c>
      <c r="K1930" s="26" t="str">
        <f>IFERROR(__xludf.DUMMYFUNCTION("""COMPUTED_VALUE"""),"랄")</f>
        <v>랄</v>
      </c>
      <c r="L1930" s="26" t="str">
        <f>IFERROR(__xludf.DUMMYFUNCTION("""COMPUTED_VALUE"""),"한메")</f>
        <v>한메</v>
      </c>
      <c r="M1930" s="26" t="str">
        <f>IFERROR(__xludf.DUMMYFUNCTION("""COMPUTED_VALUE"""),"깡패")</f>
        <v>깡패</v>
      </c>
      <c r="N1930" s="26" t="str">
        <f>IFERROR(__xludf.DUMMYFUNCTION("ARRAYFORMULA(REGEXEXTRACT(SPLIT(E1930, ""&lt;br&gt;""), ""([가-힣A-Za-z]+)""))"),"만두")</f>
        <v>만두</v>
      </c>
      <c r="O1930" s="26" t="str">
        <f>IFERROR(__xludf.DUMMYFUNCTION("""COMPUTED_VALUE"""),"구리다")</f>
        <v>구리다</v>
      </c>
      <c r="P1930" s="26" t="str">
        <f>IFERROR(__xludf.DUMMYFUNCTION("""COMPUTED_VALUE"""),"팰리")</f>
        <v>팰리</v>
      </c>
      <c r="Q1930" s="26" t="str">
        <f>IFERROR(__xludf.DUMMYFUNCTION("""COMPUTED_VALUE"""),"재명")</f>
        <v>재명</v>
      </c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  <c r="AB1930" s="18"/>
    </row>
    <row r="1931">
      <c r="A1931" s="31" t="s">
        <v>7978</v>
      </c>
      <c r="B1931" s="28" t="s">
        <v>7979</v>
      </c>
      <c r="C1931" s="27" t="s">
        <v>7980</v>
      </c>
      <c r="D1931" s="27">
        <v>5.0</v>
      </c>
      <c r="E1931" s="27" t="s">
        <v>7981</v>
      </c>
      <c r="F1931" s="27">
        <v>0.0</v>
      </c>
      <c r="G1931" s="29">
        <v>45463.94027777778</v>
      </c>
      <c r="H1931" s="27" t="s">
        <v>7689</v>
      </c>
      <c r="I1931" s="18"/>
      <c r="J1931" s="25" t="str">
        <f>IFERROR(__xludf.DUMMYFUNCTION("ARRAYFORMULA(REGEXEXTRACT(SPLIT(C1931, ""&lt;br&gt;""), ""([가-힣A-Za-z]+)""))"),"한메")</f>
        <v>한메</v>
      </c>
      <c r="K1931" s="26" t="str">
        <f>IFERROR(__xludf.DUMMYFUNCTION("""COMPUTED_VALUE"""),"깡패")</f>
        <v>깡패</v>
      </c>
      <c r="L1931" s="26" t="str">
        <f>IFERROR(__xludf.DUMMYFUNCTION("""COMPUTED_VALUE"""),"구리다")</f>
        <v>구리다</v>
      </c>
      <c r="M1931" s="26" t="str">
        <f>IFERROR(__xludf.DUMMYFUNCTION("""COMPUTED_VALUE"""),"랄")</f>
        <v>랄</v>
      </c>
      <c r="N1931" s="26" t="str">
        <f>IFERROR(__xludf.DUMMYFUNCTION("ARRAYFORMULA(REGEXEXTRACT(SPLIT(E1931, ""&lt;br&gt;""), ""([가-힣A-Za-z]+)""))"),"팰리")</f>
        <v>팰리</v>
      </c>
      <c r="O1931" s="26" t="str">
        <f>IFERROR(__xludf.DUMMYFUNCTION("""COMPUTED_VALUE"""),"ACDC")</f>
        <v>ACDC</v>
      </c>
      <c r="P1931" s="26" t="str">
        <f>IFERROR(__xludf.DUMMYFUNCTION("""COMPUTED_VALUE"""),"만두")</f>
        <v>만두</v>
      </c>
      <c r="Q1931" s="26" t="str">
        <f>IFERROR(__xludf.DUMMYFUNCTION("""COMPUTED_VALUE"""),"재명")</f>
        <v>재명</v>
      </c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</row>
    <row r="1932">
      <c r="A1932" s="31" t="s">
        <v>7982</v>
      </c>
      <c r="B1932" s="28" t="s">
        <v>7983</v>
      </c>
      <c r="C1932" s="27" t="s">
        <v>7984</v>
      </c>
      <c r="D1932" s="27">
        <v>5.0</v>
      </c>
      <c r="E1932" s="27" t="s">
        <v>7985</v>
      </c>
      <c r="F1932" s="27">
        <v>1.0</v>
      </c>
      <c r="G1932" s="29">
        <v>45463.924305555556</v>
      </c>
      <c r="H1932" s="27" t="s">
        <v>7689</v>
      </c>
      <c r="I1932" s="18"/>
      <c r="J1932" s="25" t="str">
        <f>IFERROR(__xludf.DUMMYFUNCTION("ARRAYFORMULA(REGEXEXTRACT(SPLIT(C1932, ""&lt;br&gt;""), ""([가-힣A-Za-z]+)""))"),"만두")</f>
        <v>만두</v>
      </c>
      <c r="K1932" s="26" t="str">
        <f>IFERROR(__xludf.DUMMYFUNCTION("""COMPUTED_VALUE"""),"ACDC")</f>
        <v>ACDC</v>
      </c>
      <c r="L1932" s="26" t="str">
        <f>IFERROR(__xludf.DUMMYFUNCTION("""COMPUTED_VALUE"""),"재명")</f>
        <v>재명</v>
      </c>
      <c r="M1932" s="26" t="str">
        <f>IFERROR(__xludf.DUMMYFUNCTION("""COMPUTED_VALUE"""),"한메")</f>
        <v>한메</v>
      </c>
      <c r="N1932" s="26" t="str">
        <f>IFERROR(__xludf.DUMMYFUNCTION("ARRAYFORMULA(REGEXEXTRACT(SPLIT(E1932, ""&lt;br&gt;""), ""([가-힣A-Za-z]+)""))"),"팰리")</f>
        <v>팰리</v>
      </c>
      <c r="O1932" s="26" t="str">
        <f>IFERROR(__xludf.DUMMYFUNCTION("""COMPUTED_VALUE"""),"랄")</f>
        <v>랄</v>
      </c>
      <c r="P1932" s="26" t="str">
        <f>IFERROR(__xludf.DUMMYFUNCTION("""COMPUTED_VALUE"""),"구리다")</f>
        <v>구리다</v>
      </c>
      <c r="Q1932" s="26" t="str">
        <f>IFERROR(__xludf.DUMMYFUNCTION("""COMPUTED_VALUE"""),"깡패")</f>
        <v>깡패</v>
      </c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  <c r="AB1932" s="18"/>
    </row>
    <row r="1933">
      <c r="A1933" s="31" t="s">
        <v>7986</v>
      </c>
      <c r="B1933" s="28" t="s">
        <v>7987</v>
      </c>
      <c r="C1933" s="27" t="s">
        <v>7988</v>
      </c>
      <c r="D1933" s="27">
        <v>5.0</v>
      </c>
      <c r="E1933" s="27" t="s">
        <v>7989</v>
      </c>
      <c r="F1933" s="27">
        <v>4.0</v>
      </c>
      <c r="G1933" s="29">
        <v>45463.02847222222</v>
      </c>
      <c r="H1933" s="27" t="s">
        <v>7689</v>
      </c>
      <c r="I1933" s="18"/>
      <c r="J1933" s="25" t="str">
        <f>IFERROR(__xludf.DUMMYFUNCTION("ARRAYFORMULA(REGEXEXTRACT(SPLIT(C1933, ""&lt;br&gt;""), ""([가-힣A-Za-z]+)""))"),"짱구")</f>
        <v>짱구</v>
      </c>
      <c r="K1933" s="26" t="str">
        <f>IFERROR(__xludf.DUMMYFUNCTION("""COMPUTED_VALUE"""),"ACDC")</f>
        <v>ACDC</v>
      </c>
      <c r="L1933" s="26" t="str">
        <f>IFERROR(__xludf.DUMMYFUNCTION("""COMPUTED_VALUE"""),"강화")</f>
        <v>강화</v>
      </c>
      <c r="M1933" s="26" t="str">
        <f>IFERROR(__xludf.DUMMYFUNCTION("""COMPUTED_VALUE"""),"한메")</f>
        <v>한메</v>
      </c>
      <c r="N1933" s="26" t="str">
        <f>IFERROR(__xludf.DUMMYFUNCTION("ARRAYFORMULA(REGEXEXTRACT(SPLIT(E1933, ""&lt;br&gt;""), ""([가-힣A-Za-z]+)""))"),"윙크")</f>
        <v>윙크</v>
      </c>
      <c r="O1933" s="26" t="str">
        <f>IFERROR(__xludf.DUMMYFUNCTION("""COMPUTED_VALUE"""),"구리다")</f>
        <v>구리다</v>
      </c>
      <c r="P1933" s="26" t="str">
        <f>IFERROR(__xludf.DUMMYFUNCTION("""COMPUTED_VALUE"""),"재우")</f>
        <v>재우</v>
      </c>
      <c r="Q1933" s="26" t="str">
        <f>IFERROR(__xludf.DUMMYFUNCTION("""COMPUTED_VALUE"""),"랄")</f>
        <v>랄</v>
      </c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  <c r="AB1933" s="18"/>
    </row>
    <row r="1934">
      <c r="A1934" s="31" t="s">
        <v>7990</v>
      </c>
      <c r="B1934" s="28" t="s">
        <v>7991</v>
      </c>
      <c r="C1934" s="27" t="s">
        <v>7992</v>
      </c>
      <c r="D1934" s="27">
        <v>5.0</v>
      </c>
      <c r="E1934" s="27" t="s">
        <v>7993</v>
      </c>
      <c r="F1934" s="27">
        <v>0.0</v>
      </c>
      <c r="G1934" s="29">
        <v>45462.99236111111</v>
      </c>
      <c r="H1934" s="27" t="s">
        <v>7689</v>
      </c>
      <c r="I1934" s="18"/>
      <c r="J1934" s="25" t="str">
        <f>IFERROR(__xludf.DUMMYFUNCTION("ARRAYFORMULA(REGEXEXTRACT(SPLIT(C1934, ""&lt;br&gt;""), ""([가-힣A-Za-z]+)""))"),"재우")</f>
        <v>재우</v>
      </c>
      <c r="K1934" s="26" t="str">
        <f>IFERROR(__xludf.DUMMYFUNCTION("""COMPUTED_VALUE"""),"구리다")</f>
        <v>구리다</v>
      </c>
      <c r="L1934" s="26" t="str">
        <f>IFERROR(__xludf.DUMMYFUNCTION("""COMPUTED_VALUE"""),"엘더")</f>
        <v>엘더</v>
      </c>
      <c r="M1934" s="26" t="str">
        <f>IFERROR(__xludf.DUMMYFUNCTION("""COMPUTED_VALUE"""),"깡패")</f>
        <v>깡패</v>
      </c>
      <c r="N1934" s="26" t="str">
        <f>IFERROR(__xludf.DUMMYFUNCTION("ARRAYFORMULA(REGEXEXTRACT(SPLIT(E1934, ""&lt;br&gt;""), ""([가-힣A-Za-z]+)""))"),"ACDC")</f>
        <v>ACDC</v>
      </c>
      <c r="O1934" s="26" t="str">
        <f>IFERROR(__xludf.DUMMYFUNCTION("""COMPUTED_VALUE"""),"신형만")</f>
        <v>신형만</v>
      </c>
      <c r="P1934" s="26" t="str">
        <f>IFERROR(__xludf.DUMMYFUNCTION("""COMPUTED_VALUE"""),"한메")</f>
        <v>한메</v>
      </c>
      <c r="Q1934" s="26" t="str">
        <f>IFERROR(__xludf.DUMMYFUNCTION("""COMPUTED_VALUE"""),"강화")</f>
        <v>강화</v>
      </c>
      <c r="R1934" s="18"/>
      <c r="S1934" s="18"/>
      <c r="T1934" s="18"/>
      <c r="U1934" s="18"/>
      <c r="V1934" s="18"/>
      <c r="W1934" s="18"/>
      <c r="X1934" s="18"/>
      <c r="Y1934" s="18"/>
      <c r="Z1934" s="18"/>
      <c r="AA1934" s="18"/>
      <c r="AB1934" s="18"/>
    </row>
    <row r="1935">
      <c r="A1935" s="31" t="s">
        <v>7994</v>
      </c>
      <c r="B1935" s="28" t="s">
        <v>7995</v>
      </c>
      <c r="C1935" s="27" t="s">
        <v>7996</v>
      </c>
      <c r="D1935" s="27">
        <v>5.0</v>
      </c>
      <c r="E1935" s="27" t="s">
        <v>7997</v>
      </c>
      <c r="F1935" s="27">
        <v>1.0</v>
      </c>
      <c r="G1935" s="29">
        <v>45462.97986111111</v>
      </c>
      <c r="H1935" s="27" t="s">
        <v>7689</v>
      </c>
      <c r="I1935" s="18"/>
      <c r="J1935" s="25" t="str">
        <f>IFERROR(__xludf.DUMMYFUNCTION("ARRAYFORMULA(REGEXEXTRACT(SPLIT(C1935, ""&lt;br&gt;""), ""([가-힣A-Za-z]+)""))"),"ACDC")</f>
        <v>ACDC</v>
      </c>
      <c r="K1935" s="26" t="str">
        <f>IFERROR(__xludf.DUMMYFUNCTION("""COMPUTED_VALUE"""),"구리다")</f>
        <v>구리다</v>
      </c>
      <c r="L1935" s="26" t="str">
        <f>IFERROR(__xludf.DUMMYFUNCTION("""COMPUTED_VALUE"""),"신형만")</f>
        <v>신형만</v>
      </c>
      <c r="M1935" s="26" t="str">
        <f>IFERROR(__xludf.DUMMYFUNCTION("""COMPUTED_VALUE"""),"재우")</f>
        <v>재우</v>
      </c>
      <c r="N1935" s="26" t="str">
        <f>IFERROR(__xludf.DUMMYFUNCTION("ARRAYFORMULA(REGEXEXTRACT(SPLIT(E1935, ""&lt;br&gt;""), ""([가-힣A-Za-z]+)""))"),"한메")</f>
        <v>한메</v>
      </c>
      <c r="O1935" s="26" t="str">
        <f>IFERROR(__xludf.DUMMYFUNCTION("""COMPUTED_VALUE"""),"미르진")</f>
        <v>미르진</v>
      </c>
      <c r="P1935" s="26" t="str">
        <f>IFERROR(__xludf.DUMMYFUNCTION("""COMPUTED_VALUE"""),"강화")</f>
        <v>강화</v>
      </c>
      <c r="Q1935" s="26" t="str">
        <f>IFERROR(__xludf.DUMMYFUNCTION("""COMPUTED_VALUE"""),"깡패")</f>
        <v>깡패</v>
      </c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  <c r="AB1935" s="18"/>
    </row>
    <row r="1936">
      <c r="A1936" s="31" t="s">
        <v>7998</v>
      </c>
      <c r="B1936" s="28" t="s">
        <v>7999</v>
      </c>
      <c r="C1936" s="27" t="s">
        <v>8000</v>
      </c>
      <c r="D1936" s="27">
        <v>5.0</v>
      </c>
      <c r="E1936" s="27" t="s">
        <v>8001</v>
      </c>
      <c r="F1936" s="27">
        <v>0.0</v>
      </c>
      <c r="G1936" s="29">
        <v>45462.95972222222</v>
      </c>
      <c r="H1936" s="27" t="s">
        <v>7689</v>
      </c>
      <c r="I1936" s="18"/>
      <c r="J1936" s="25" t="str">
        <f>IFERROR(__xludf.DUMMYFUNCTION("ARRAYFORMULA(REGEXEXTRACT(SPLIT(C1936, ""&lt;br&gt;""), ""([가-힣A-Za-z]+)""))"),"미르진")</f>
        <v>미르진</v>
      </c>
      <c r="K1936" s="26" t="str">
        <f>IFERROR(__xludf.DUMMYFUNCTION("""COMPUTED_VALUE"""),"ACDC")</f>
        <v>ACDC</v>
      </c>
      <c r="L1936" s="26" t="str">
        <f>IFERROR(__xludf.DUMMYFUNCTION("""COMPUTED_VALUE"""),"재우")</f>
        <v>재우</v>
      </c>
      <c r="M1936" s="26" t="str">
        <f>IFERROR(__xludf.DUMMYFUNCTION("""COMPUTED_VALUE"""),"신형만")</f>
        <v>신형만</v>
      </c>
      <c r="N1936" s="26" t="str">
        <f>IFERROR(__xludf.DUMMYFUNCTION("ARRAYFORMULA(REGEXEXTRACT(SPLIT(E1936, ""&lt;br&gt;""), ""([가-힣A-Za-z]+)""))"),"악동")</f>
        <v>악동</v>
      </c>
      <c r="O1936" s="26" t="str">
        <f>IFERROR(__xludf.DUMMYFUNCTION("""COMPUTED_VALUE"""),"한메")</f>
        <v>한메</v>
      </c>
      <c r="P1936" s="26" t="str">
        <f>IFERROR(__xludf.DUMMYFUNCTION("""COMPUTED_VALUE"""),"구리다")</f>
        <v>구리다</v>
      </c>
      <c r="Q1936" s="26" t="str">
        <f>IFERROR(__xludf.DUMMYFUNCTION("""COMPUTED_VALUE"""),"밍구")</f>
        <v>밍구</v>
      </c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  <c r="AB1936" s="18"/>
    </row>
    <row r="1937">
      <c r="A1937" s="31" t="s">
        <v>8002</v>
      </c>
      <c r="B1937" s="28" t="s">
        <v>8003</v>
      </c>
      <c r="C1937" s="27" t="s">
        <v>8004</v>
      </c>
      <c r="D1937" s="27">
        <v>5.0</v>
      </c>
      <c r="E1937" s="27" t="s">
        <v>8005</v>
      </c>
      <c r="F1937" s="27">
        <v>2.0</v>
      </c>
      <c r="G1937" s="29">
        <v>45462.941666666666</v>
      </c>
      <c r="H1937" s="27" t="s">
        <v>7689</v>
      </c>
      <c r="I1937" s="18"/>
      <c r="J1937" s="25" t="str">
        <f>IFERROR(__xludf.DUMMYFUNCTION("ARRAYFORMULA(REGEXEXTRACT(SPLIT(C1937, ""&lt;br&gt;""), ""([가-힣A-Za-z]+)""))"),"미르진")</f>
        <v>미르진</v>
      </c>
      <c r="K1937" s="26" t="str">
        <f>IFERROR(__xludf.DUMMYFUNCTION("""COMPUTED_VALUE"""),"한메")</f>
        <v>한메</v>
      </c>
      <c r="L1937" s="26" t="str">
        <f>IFERROR(__xludf.DUMMYFUNCTION("""COMPUTED_VALUE"""),"팰리")</f>
        <v>팰리</v>
      </c>
      <c r="M1937" s="26" t="str">
        <f>IFERROR(__xludf.DUMMYFUNCTION("""COMPUTED_VALUE"""),"재우")</f>
        <v>재우</v>
      </c>
      <c r="N1937" s="26" t="str">
        <f>IFERROR(__xludf.DUMMYFUNCTION("ARRAYFORMULA(REGEXEXTRACT(SPLIT(E1937, ""&lt;br&gt;""), ""([가-힣A-Za-z]+)""))"),"ACDC")</f>
        <v>ACDC</v>
      </c>
      <c r="O1937" s="26" t="str">
        <f>IFERROR(__xludf.DUMMYFUNCTION("""COMPUTED_VALUE"""),"구리다")</f>
        <v>구리다</v>
      </c>
      <c r="P1937" s="26" t="str">
        <f>IFERROR(__xludf.DUMMYFUNCTION("""COMPUTED_VALUE"""),"악동")</f>
        <v>악동</v>
      </c>
      <c r="Q1937" s="26" t="str">
        <f>IFERROR(__xludf.DUMMYFUNCTION("""COMPUTED_VALUE"""),"밍구")</f>
        <v>밍구</v>
      </c>
      <c r="R1937" s="18"/>
      <c r="S1937" s="18"/>
      <c r="T1937" s="18"/>
      <c r="U1937" s="18"/>
      <c r="V1937" s="18"/>
      <c r="W1937" s="18"/>
      <c r="X1937" s="18"/>
      <c r="Y1937" s="18"/>
      <c r="Z1937" s="18"/>
      <c r="AA1937" s="18"/>
      <c r="AB1937" s="18"/>
    </row>
    <row r="1938">
      <c r="A1938" s="31" t="s">
        <v>8006</v>
      </c>
      <c r="B1938" s="28" t="s">
        <v>8007</v>
      </c>
      <c r="C1938" s="27" t="s">
        <v>8008</v>
      </c>
      <c r="D1938" s="27">
        <v>5.0</v>
      </c>
      <c r="E1938" s="27" t="s">
        <v>8009</v>
      </c>
      <c r="F1938" s="27">
        <v>2.0</v>
      </c>
      <c r="G1938" s="29">
        <v>45462.92222222222</v>
      </c>
      <c r="H1938" s="27" t="s">
        <v>7689</v>
      </c>
      <c r="I1938" s="18"/>
      <c r="J1938" s="25" t="str">
        <f>IFERROR(__xludf.DUMMYFUNCTION("ARRAYFORMULA(REGEXEXTRACT(SPLIT(C1938, ""&lt;br&gt;""), ""([가-힣A-Za-z]+)""))"),"팰리")</f>
        <v>팰리</v>
      </c>
      <c r="K1938" s="26" t="str">
        <f>IFERROR(__xludf.DUMMYFUNCTION("""COMPUTED_VALUE"""),"미르진")</f>
        <v>미르진</v>
      </c>
      <c r="L1938" s="26" t="str">
        <f>IFERROR(__xludf.DUMMYFUNCTION("""COMPUTED_VALUE"""),"한메")</f>
        <v>한메</v>
      </c>
      <c r="M1938" s="26" t="str">
        <f>IFERROR(__xludf.DUMMYFUNCTION("""COMPUTED_VALUE"""),"밍구")</f>
        <v>밍구</v>
      </c>
      <c r="N1938" s="26" t="str">
        <f>IFERROR(__xludf.DUMMYFUNCTION("ARRAYFORMULA(REGEXEXTRACT(SPLIT(E1938, ""&lt;br&gt;""), ""([가-힣A-Za-z]+)""))"),"ACDC")</f>
        <v>ACDC</v>
      </c>
      <c r="O1938" s="26" t="str">
        <f>IFERROR(__xludf.DUMMYFUNCTION("""COMPUTED_VALUE"""),"구리다")</f>
        <v>구리다</v>
      </c>
      <c r="P1938" s="26" t="str">
        <f>IFERROR(__xludf.DUMMYFUNCTION("""COMPUTED_VALUE"""),"재우")</f>
        <v>재우</v>
      </c>
      <c r="Q1938" s="26" t="str">
        <f>IFERROR(__xludf.DUMMYFUNCTION("""COMPUTED_VALUE"""),"악동")</f>
        <v>악동</v>
      </c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  <c r="AB1938" s="18"/>
    </row>
    <row r="1939">
      <c r="A1939" s="31" t="s">
        <v>8010</v>
      </c>
      <c r="B1939" s="28" t="s">
        <v>8011</v>
      </c>
      <c r="C1939" s="27" t="s">
        <v>8012</v>
      </c>
      <c r="D1939" s="27">
        <v>5.0</v>
      </c>
      <c r="E1939" s="27" t="s">
        <v>8013</v>
      </c>
      <c r="F1939" s="27">
        <v>1.0</v>
      </c>
      <c r="G1939" s="29">
        <v>45462.68680555555</v>
      </c>
      <c r="H1939" s="27" t="s">
        <v>7689</v>
      </c>
      <c r="I1939" s="18"/>
      <c r="J1939" s="25" t="str">
        <f>IFERROR(__xludf.DUMMYFUNCTION("ARRAYFORMULA(REGEXEXTRACT(SPLIT(C1939, ""&lt;br&gt;""), ""([가-힣A-Za-z]+)""))"),"강화")</f>
        <v>강화</v>
      </c>
      <c r="K1939" s="26" t="str">
        <f>IFERROR(__xludf.DUMMYFUNCTION("""COMPUTED_VALUE"""),"신형만")</f>
        <v>신형만</v>
      </c>
      <c r="L1939" s="26" t="str">
        <f>IFERROR(__xludf.DUMMYFUNCTION("""COMPUTED_VALUE"""),"짱구")</f>
        <v>짱구</v>
      </c>
      <c r="M1939" s="26" t="str">
        <f>IFERROR(__xludf.DUMMYFUNCTION("""COMPUTED_VALUE"""),"한메")</f>
        <v>한메</v>
      </c>
      <c r="N1939" s="26" t="str">
        <f>IFERROR(__xludf.DUMMYFUNCTION("ARRAYFORMULA(REGEXEXTRACT(SPLIT(E1939, ""&lt;br&gt;""), ""([가-힣A-Za-z]+)""))"),"재명")</f>
        <v>재명</v>
      </c>
      <c r="O1939" s="26" t="str">
        <f>IFERROR(__xludf.DUMMYFUNCTION("""COMPUTED_VALUE"""),"ACDC")</f>
        <v>ACDC</v>
      </c>
      <c r="P1939" s="26" t="str">
        <f>IFERROR(__xludf.DUMMYFUNCTION("""COMPUTED_VALUE"""),"키키")</f>
        <v>키키</v>
      </c>
      <c r="Q1939" s="26" t="str">
        <f>IFERROR(__xludf.DUMMYFUNCTION("""COMPUTED_VALUE"""),"깡패")</f>
        <v>깡패</v>
      </c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  <c r="AB1939" s="18"/>
    </row>
    <row r="1940">
      <c r="A1940" s="31" t="s">
        <v>8014</v>
      </c>
      <c r="B1940" s="28" t="s">
        <v>8015</v>
      </c>
      <c r="C1940" s="27" t="s">
        <v>8016</v>
      </c>
      <c r="D1940" s="27">
        <v>5.0</v>
      </c>
      <c r="E1940" s="27" t="s">
        <v>8017</v>
      </c>
      <c r="F1940" s="27">
        <v>3.0</v>
      </c>
      <c r="G1940" s="29">
        <v>45462.66388888889</v>
      </c>
      <c r="H1940" s="27" t="s">
        <v>7689</v>
      </c>
      <c r="I1940" s="18"/>
      <c r="J1940" s="25" t="str">
        <f>IFERROR(__xludf.DUMMYFUNCTION("ARRAYFORMULA(REGEXEXTRACT(SPLIT(C1940, ""&lt;br&gt;""), ""([가-힣A-Za-z]+)""))"),"ACDC")</f>
        <v>ACDC</v>
      </c>
      <c r="K1940" s="26" t="str">
        <f>IFERROR(__xludf.DUMMYFUNCTION("""COMPUTED_VALUE"""),"깡패")</f>
        <v>깡패</v>
      </c>
      <c r="L1940" s="26" t="str">
        <f>IFERROR(__xludf.DUMMYFUNCTION("""COMPUTED_VALUE"""),"강화")</f>
        <v>강화</v>
      </c>
      <c r="M1940" s="26" t="str">
        <f>IFERROR(__xludf.DUMMYFUNCTION("""COMPUTED_VALUE"""),"신형만")</f>
        <v>신형만</v>
      </c>
      <c r="N1940" s="26" t="str">
        <f>IFERROR(__xludf.DUMMYFUNCTION("ARRAYFORMULA(REGEXEXTRACT(SPLIT(E1940, ""&lt;br&gt;""), ""([가-힣A-Za-z]+)""))"),"짱구")</f>
        <v>짱구</v>
      </c>
      <c r="O1940" s="26" t="str">
        <f>IFERROR(__xludf.DUMMYFUNCTION("""COMPUTED_VALUE"""),"재명")</f>
        <v>재명</v>
      </c>
      <c r="P1940" s="26" t="str">
        <f>IFERROR(__xludf.DUMMYFUNCTION("""COMPUTED_VALUE"""),"키키")</f>
        <v>키키</v>
      </c>
      <c r="Q1940" s="26" t="str">
        <f>IFERROR(__xludf.DUMMYFUNCTION("""COMPUTED_VALUE"""),"한메")</f>
        <v>한메</v>
      </c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  <c r="AB1940" s="18"/>
    </row>
    <row r="1941">
      <c r="A1941" s="31" t="s">
        <v>8018</v>
      </c>
      <c r="B1941" s="28" t="s">
        <v>8019</v>
      </c>
      <c r="C1941" s="27" t="s">
        <v>8020</v>
      </c>
      <c r="D1941" s="27">
        <v>5.0</v>
      </c>
      <c r="E1941" s="27" t="s">
        <v>8021</v>
      </c>
      <c r="F1941" s="27">
        <v>3.0</v>
      </c>
      <c r="G1941" s="29">
        <v>45462.638194444444</v>
      </c>
      <c r="H1941" s="27" t="s">
        <v>7689</v>
      </c>
      <c r="I1941" s="18"/>
      <c r="J1941" s="25" t="str">
        <f>IFERROR(__xludf.DUMMYFUNCTION("ARRAYFORMULA(REGEXEXTRACT(SPLIT(C1941, ""&lt;br&gt;""), ""([가-힣A-Za-z]+)""))"),"ACDC")</f>
        <v>ACDC</v>
      </c>
      <c r="K1941" s="26" t="str">
        <f>IFERROR(__xludf.DUMMYFUNCTION("""COMPUTED_VALUE"""),"깡패")</f>
        <v>깡패</v>
      </c>
      <c r="L1941" s="26" t="str">
        <f>IFERROR(__xludf.DUMMYFUNCTION("""COMPUTED_VALUE"""),"키키")</f>
        <v>키키</v>
      </c>
      <c r="M1941" s="26" t="str">
        <f>IFERROR(__xludf.DUMMYFUNCTION("""COMPUTED_VALUE"""),"짱구")</f>
        <v>짱구</v>
      </c>
      <c r="N1941" s="26" t="str">
        <f>IFERROR(__xludf.DUMMYFUNCTION("ARRAYFORMULA(REGEXEXTRACT(SPLIT(E1941, ""&lt;br&gt;""), ""([가-힣A-Za-z]+)""))"),"신형만")</f>
        <v>신형만</v>
      </c>
      <c r="O1941" s="26" t="str">
        <f>IFERROR(__xludf.DUMMYFUNCTION("""COMPUTED_VALUE"""),"강화")</f>
        <v>강화</v>
      </c>
      <c r="P1941" s="26" t="str">
        <f>IFERROR(__xludf.DUMMYFUNCTION("""COMPUTED_VALUE"""),"한메")</f>
        <v>한메</v>
      </c>
      <c r="Q1941" s="26" t="str">
        <f>IFERROR(__xludf.DUMMYFUNCTION("""COMPUTED_VALUE"""),"재명")</f>
        <v>재명</v>
      </c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</row>
    <row r="1942">
      <c r="A1942" s="31" t="s">
        <v>8022</v>
      </c>
      <c r="B1942" s="28" t="s">
        <v>8023</v>
      </c>
      <c r="C1942" s="27" t="s">
        <v>8024</v>
      </c>
      <c r="D1942" s="27">
        <v>5.0</v>
      </c>
      <c r="E1942" s="27" t="s">
        <v>8025</v>
      </c>
      <c r="F1942" s="27">
        <v>2.0</v>
      </c>
      <c r="G1942" s="29">
        <v>45462.01597222222</v>
      </c>
      <c r="H1942" s="27" t="s">
        <v>7689</v>
      </c>
      <c r="I1942" s="18"/>
      <c r="J1942" s="25" t="str">
        <f>IFERROR(__xludf.DUMMYFUNCTION("ARRAYFORMULA(REGEXEXTRACT(SPLIT(C1942, ""&lt;br&gt;""), ""([가-힣A-Za-z]+)""))"),"테리")</f>
        <v>테리</v>
      </c>
      <c r="K1942" s="26" t="str">
        <f>IFERROR(__xludf.DUMMYFUNCTION("""COMPUTED_VALUE"""),"재우")</f>
        <v>재우</v>
      </c>
      <c r="L1942" s="26" t="str">
        <f>IFERROR(__xludf.DUMMYFUNCTION("""COMPUTED_VALUE"""),"구리다")</f>
        <v>구리다</v>
      </c>
      <c r="M1942" s="26" t="str">
        <f>IFERROR(__xludf.DUMMYFUNCTION("""COMPUTED_VALUE"""),"깡패")</f>
        <v>깡패</v>
      </c>
      <c r="N1942" s="26" t="str">
        <f>IFERROR(__xludf.DUMMYFUNCTION("ARRAYFORMULA(REGEXEXTRACT(SPLIT(E1942, ""&lt;br&gt;""), ""([가-힣A-Za-z]+)""))"),"한메")</f>
        <v>한메</v>
      </c>
      <c r="O1942" s="26" t="str">
        <f>IFERROR(__xludf.DUMMYFUNCTION("""COMPUTED_VALUE"""),"조드")</f>
        <v>조드</v>
      </c>
      <c r="P1942" s="26" t="str">
        <f>IFERROR(__xludf.DUMMYFUNCTION("""COMPUTED_VALUE"""),"ACDC")</f>
        <v>ACDC</v>
      </c>
      <c r="Q1942" s="26" t="str">
        <f>IFERROR(__xludf.DUMMYFUNCTION("""COMPUTED_VALUE"""),"랄")</f>
        <v>랄</v>
      </c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  <c r="AB1942" s="18"/>
    </row>
    <row r="1943">
      <c r="A1943" s="31" t="s">
        <v>8026</v>
      </c>
      <c r="B1943" s="28" t="s">
        <v>8027</v>
      </c>
      <c r="C1943" s="27" t="s">
        <v>8028</v>
      </c>
      <c r="D1943" s="27">
        <v>5.0</v>
      </c>
      <c r="E1943" s="27" t="s">
        <v>8029</v>
      </c>
      <c r="F1943" s="27">
        <v>0.0</v>
      </c>
      <c r="G1943" s="29">
        <v>45461.998611111114</v>
      </c>
      <c r="H1943" s="27" t="s">
        <v>7689</v>
      </c>
      <c r="I1943" s="18"/>
      <c r="J1943" s="25" t="str">
        <f>IFERROR(__xludf.DUMMYFUNCTION("ARRAYFORMULA(REGEXEXTRACT(SPLIT(C1943, ""&lt;br&gt;""), ""([가-힣A-Za-z]+)""))"),"재우")</f>
        <v>재우</v>
      </c>
      <c r="K1943" s="26" t="str">
        <f>IFERROR(__xludf.DUMMYFUNCTION("""COMPUTED_VALUE"""),"미르진")</f>
        <v>미르진</v>
      </c>
      <c r="L1943" s="26" t="str">
        <f>IFERROR(__xludf.DUMMYFUNCTION("""COMPUTED_VALUE"""),"구리다")</f>
        <v>구리다</v>
      </c>
      <c r="M1943" s="26" t="str">
        <f>IFERROR(__xludf.DUMMYFUNCTION("""COMPUTED_VALUE"""),"강화")</f>
        <v>강화</v>
      </c>
      <c r="N1943" s="26" t="str">
        <f>IFERROR(__xludf.DUMMYFUNCTION("ARRAYFORMULA(REGEXEXTRACT(SPLIT(E1943, ""&lt;br&gt;""), ""([가-힣A-Za-z]+)""))"),"랄")</f>
        <v>랄</v>
      </c>
      <c r="O1943" s="26" t="str">
        <f>IFERROR(__xludf.DUMMYFUNCTION("""COMPUTED_VALUE"""),"테리")</f>
        <v>테리</v>
      </c>
      <c r="P1943" s="26" t="str">
        <f>IFERROR(__xludf.DUMMYFUNCTION("""COMPUTED_VALUE"""),"ACDC")</f>
        <v>ACDC</v>
      </c>
      <c r="Q1943" s="26" t="str">
        <f>IFERROR(__xludf.DUMMYFUNCTION("""COMPUTED_VALUE"""),"한메")</f>
        <v>한메</v>
      </c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  <c r="AB1943" s="18"/>
    </row>
    <row r="1944">
      <c r="A1944" s="31" t="s">
        <v>8030</v>
      </c>
      <c r="B1944" s="28" t="s">
        <v>8031</v>
      </c>
      <c r="C1944" s="27" t="s">
        <v>8032</v>
      </c>
      <c r="D1944" s="27">
        <v>5.0</v>
      </c>
      <c r="E1944" s="27" t="s">
        <v>8033</v>
      </c>
      <c r="F1944" s="27">
        <v>0.0</v>
      </c>
      <c r="G1944" s="29">
        <v>45461.98125</v>
      </c>
      <c r="H1944" s="27" t="s">
        <v>7689</v>
      </c>
      <c r="I1944" s="18"/>
      <c r="J1944" s="25" t="str">
        <f>IFERROR(__xludf.DUMMYFUNCTION("ARRAYFORMULA(REGEXEXTRACT(SPLIT(C1944, ""&lt;br&gt;""), ""([가-힣A-Za-z]+)""))"),"엘더")</f>
        <v>엘더</v>
      </c>
      <c r="K1944" s="26" t="str">
        <f>IFERROR(__xludf.DUMMYFUNCTION("""COMPUTED_VALUE"""),"랄")</f>
        <v>랄</v>
      </c>
      <c r="L1944" s="26" t="str">
        <f>IFERROR(__xludf.DUMMYFUNCTION("""COMPUTED_VALUE"""),"한메")</f>
        <v>한메</v>
      </c>
      <c r="M1944" s="26" t="str">
        <f>IFERROR(__xludf.DUMMYFUNCTION("""COMPUTED_VALUE"""),"재우")</f>
        <v>재우</v>
      </c>
      <c r="N1944" s="26" t="str">
        <f>IFERROR(__xludf.DUMMYFUNCTION("ARRAYFORMULA(REGEXEXTRACT(SPLIT(E1944, ""&lt;br&gt;""), ""([가-힣A-Za-z]+)""))"),"ACDC")</f>
        <v>ACDC</v>
      </c>
      <c r="O1944" s="26" t="str">
        <f>IFERROR(__xludf.DUMMYFUNCTION("""COMPUTED_VALUE"""),"구리다")</f>
        <v>구리다</v>
      </c>
      <c r="P1944" s="26" t="str">
        <f>IFERROR(__xludf.DUMMYFUNCTION("""COMPUTED_VALUE"""),"강화")</f>
        <v>강화</v>
      </c>
      <c r="Q1944" s="26" t="str">
        <f>IFERROR(__xludf.DUMMYFUNCTION("""COMPUTED_VALUE"""),"미르진")</f>
        <v>미르진</v>
      </c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  <c r="AB1944" s="18"/>
    </row>
    <row r="1945">
      <c r="A1945" s="31" t="s">
        <v>8034</v>
      </c>
      <c r="B1945" s="28" t="s">
        <v>8035</v>
      </c>
      <c r="C1945" s="27" t="s">
        <v>8036</v>
      </c>
      <c r="D1945" s="27">
        <v>5.0</v>
      </c>
      <c r="E1945" s="27" t="s">
        <v>8037</v>
      </c>
      <c r="F1945" s="27">
        <v>2.0</v>
      </c>
      <c r="G1945" s="29">
        <v>45461.96944444445</v>
      </c>
      <c r="H1945" s="27" t="s">
        <v>7689</v>
      </c>
      <c r="I1945" s="18"/>
      <c r="J1945" s="25" t="str">
        <f>IFERROR(__xludf.DUMMYFUNCTION("ARRAYFORMULA(REGEXEXTRACT(SPLIT(C1945, ""&lt;br&gt;""), ""([가-힣A-Za-z]+)""))"),"미르진")</f>
        <v>미르진</v>
      </c>
      <c r="K1945" s="26" t="str">
        <f>IFERROR(__xludf.DUMMYFUNCTION("""COMPUTED_VALUE"""),"엘더")</f>
        <v>엘더</v>
      </c>
      <c r="L1945" s="26" t="str">
        <f>IFERROR(__xludf.DUMMYFUNCTION("""COMPUTED_VALUE"""),"ACDC")</f>
        <v>ACDC</v>
      </c>
      <c r="M1945" s="26" t="str">
        <f>IFERROR(__xludf.DUMMYFUNCTION("""COMPUTED_VALUE"""),"재우")</f>
        <v>재우</v>
      </c>
      <c r="N1945" s="26" t="str">
        <f>IFERROR(__xludf.DUMMYFUNCTION("ARRAYFORMULA(REGEXEXTRACT(SPLIT(E1945, ""&lt;br&gt;""), ""([가-힣A-Za-z]+)""))"),"강화")</f>
        <v>강화</v>
      </c>
      <c r="O1945" s="26" t="str">
        <f>IFERROR(__xludf.DUMMYFUNCTION("""COMPUTED_VALUE"""),"구리다")</f>
        <v>구리다</v>
      </c>
      <c r="P1945" s="26" t="str">
        <f>IFERROR(__xludf.DUMMYFUNCTION("""COMPUTED_VALUE"""),"랄")</f>
        <v>랄</v>
      </c>
      <c r="Q1945" s="26" t="str">
        <f>IFERROR(__xludf.DUMMYFUNCTION("""COMPUTED_VALUE"""),"한메")</f>
        <v>한메</v>
      </c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  <c r="AB1945" s="18"/>
    </row>
    <row r="1946">
      <c r="A1946" s="31" t="s">
        <v>8038</v>
      </c>
      <c r="B1946" s="28" t="s">
        <v>8039</v>
      </c>
      <c r="C1946" s="27" t="s">
        <v>8040</v>
      </c>
      <c r="D1946" s="27">
        <v>5.0</v>
      </c>
      <c r="E1946" s="27" t="s">
        <v>8041</v>
      </c>
      <c r="F1946" s="27">
        <v>3.0</v>
      </c>
      <c r="G1946" s="29">
        <v>45461.95</v>
      </c>
      <c r="H1946" s="27" t="s">
        <v>7689</v>
      </c>
      <c r="I1946" s="18"/>
      <c r="J1946" s="25" t="str">
        <f>IFERROR(__xludf.DUMMYFUNCTION("ARRAYFORMULA(REGEXEXTRACT(SPLIT(C1946, ""&lt;br&gt;""), ""([가-힣A-Za-z]+)""))"),"한메")</f>
        <v>한메</v>
      </c>
      <c r="K1946" s="26" t="str">
        <f>IFERROR(__xludf.DUMMYFUNCTION("""COMPUTED_VALUE"""),"팰리")</f>
        <v>팰리</v>
      </c>
      <c r="L1946" s="26" t="str">
        <f>IFERROR(__xludf.DUMMYFUNCTION("""COMPUTED_VALUE"""),"엘더")</f>
        <v>엘더</v>
      </c>
      <c r="M1946" s="26" t="str">
        <f>IFERROR(__xludf.DUMMYFUNCTION("""COMPUTED_VALUE"""),"만두")</f>
        <v>만두</v>
      </c>
      <c r="N1946" s="26" t="str">
        <f>IFERROR(__xludf.DUMMYFUNCTION("ARRAYFORMULA(REGEXEXTRACT(SPLIT(E1946, ""&lt;br&gt;""), ""([가-힣A-Za-z]+)""))"),"ACDC")</f>
        <v>ACDC</v>
      </c>
      <c r="O1946" s="26" t="str">
        <f>IFERROR(__xludf.DUMMYFUNCTION("""COMPUTED_VALUE"""),"구리다")</f>
        <v>구리다</v>
      </c>
      <c r="P1946" s="26" t="str">
        <f>IFERROR(__xludf.DUMMYFUNCTION("""COMPUTED_VALUE"""),"재우")</f>
        <v>재우</v>
      </c>
      <c r="Q1946" s="26" t="str">
        <f>IFERROR(__xludf.DUMMYFUNCTION("""COMPUTED_VALUE"""),"미르진")</f>
        <v>미르진</v>
      </c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</row>
    <row r="1947">
      <c r="A1947" s="31" t="s">
        <v>8042</v>
      </c>
      <c r="B1947" s="28" t="s">
        <v>8043</v>
      </c>
      <c r="C1947" s="27" t="s">
        <v>8044</v>
      </c>
      <c r="D1947" s="27">
        <v>5.0</v>
      </c>
      <c r="E1947" s="27" t="s">
        <v>8045</v>
      </c>
      <c r="F1947" s="27">
        <v>4.0</v>
      </c>
      <c r="G1947" s="29">
        <v>45461.944444444445</v>
      </c>
      <c r="H1947" s="27" t="s">
        <v>7689</v>
      </c>
      <c r="I1947" s="18"/>
      <c r="J1947" s="25" t="str">
        <f>IFERROR(__xludf.DUMMYFUNCTION("ARRAYFORMULA(REGEXEXTRACT(SPLIT(C1947, ""&lt;br&gt;""), ""([가-힣A-Za-z]+)""))"),"재우")</f>
        <v>재우</v>
      </c>
      <c r="K1947" s="26" t="str">
        <f>IFERROR(__xludf.DUMMYFUNCTION("""COMPUTED_VALUE"""),"팰리")</f>
        <v>팰리</v>
      </c>
      <c r="L1947" s="26" t="str">
        <f>IFERROR(__xludf.DUMMYFUNCTION("""COMPUTED_VALUE"""),"엘더")</f>
        <v>엘더</v>
      </c>
      <c r="M1947" s="26" t="str">
        <f>IFERROR(__xludf.DUMMYFUNCTION("""COMPUTED_VALUE"""),"한메")</f>
        <v>한메</v>
      </c>
      <c r="N1947" s="26" t="str">
        <f>IFERROR(__xludf.DUMMYFUNCTION("ARRAYFORMULA(REGEXEXTRACT(SPLIT(E1947, ""&lt;br&gt;""), ""([가-힣A-Za-z]+)""))"),"ACDC")</f>
        <v>ACDC</v>
      </c>
      <c r="O1947" s="26" t="str">
        <f>IFERROR(__xludf.DUMMYFUNCTION("""COMPUTED_VALUE"""),"구리다")</f>
        <v>구리다</v>
      </c>
      <c r="P1947" s="26" t="str">
        <f>IFERROR(__xludf.DUMMYFUNCTION("""COMPUTED_VALUE"""),"미르진")</f>
        <v>미르진</v>
      </c>
      <c r="Q1947" s="26" t="str">
        <f>IFERROR(__xludf.DUMMYFUNCTION("""COMPUTED_VALUE"""),"강화")</f>
        <v>강화</v>
      </c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  <c r="AB1947" s="18"/>
    </row>
    <row r="1948">
      <c r="A1948" s="31" t="s">
        <v>8046</v>
      </c>
      <c r="B1948" s="28" t="s">
        <v>8047</v>
      </c>
      <c r="C1948" s="27" t="s">
        <v>8048</v>
      </c>
      <c r="D1948" s="27">
        <v>5.0</v>
      </c>
      <c r="E1948" s="27" t="s">
        <v>8049</v>
      </c>
      <c r="F1948" s="27">
        <v>4.0</v>
      </c>
      <c r="G1948" s="29">
        <v>45461.72430555556</v>
      </c>
      <c r="H1948" s="27" t="s">
        <v>7689</v>
      </c>
      <c r="I1948" s="18"/>
      <c r="J1948" s="25" t="str">
        <f>IFERROR(__xludf.DUMMYFUNCTION("ARRAYFORMULA(REGEXEXTRACT(SPLIT(C1948, ""&lt;br&gt;""), ""([가-힣A-Za-z]+)""))"),"아이딘")</f>
        <v>아이딘</v>
      </c>
      <c r="K1948" s="26" t="str">
        <f>IFERROR(__xludf.DUMMYFUNCTION("""COMPUTED_VALUE"""),"ACDC")</f>
        <v>ACDC</v>
      </c>
      <c r="L1948" s="26" t="str">
        <f>IFERROR(__xludf.DUMMYFUNCTION("""COMPUTED_VALUE"""),"미등록")</f>
        <v>미등록</v>
      </c>
      <c r="M1948" s="26" t="str">
        <f>IFERROR(__xludf.DUMMYFUNCTION("""COMPUTED_VALUE"""),"깡패")</f>
        <v>깡패</v>
      </c>
      <c r="N1948" s="26" t="str">
        <f>IFERROR(__xludf.DUMMYFUNCTION("ARRAYFORMULA(REGEXEXTRACT(SPLIT(E1948, ""&lt;br&gt;""), ""([가-힣A-Za-z]+)""))"),"강화")</f>
        <v>강화</v>
      </c>
      <c r="O1948" s="26" t="str">
        <f>IFERROR(__xludf.DUMMYFUNCTION("""COMPUTED_VALUE"""),"신형만")</f>
        <v>신형만</v>
      </c>
      <c r="P1948" s="26" t="str">
        <f>IFERROR(__xludf.DUMMYFUNCTION("""COMPUTED_VALUE"""),"악동")</f>
        <v>악동</v>
      </c>
      <c r="Q1948" s="26" t="str">
        <f>IFERROR(__xludf.DUMMYFUNCTION("""COMPUTED_VALUE"""),"랄")</f>
        <v>랄</v>
      </c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  <c r="AB1948" s="18"/>
    </row>
    <row r="1949">
      <c r="A1949" s="31" t="s">
        <v>8050</v>
      </c>
      <c r="B1949" s="28" t="s">
        <v>8051</v>
      </c>
      <c r="C1949" s="27" t="s">
        <v>8052</v>
      </c>
      <c r="D1949" s="27">
        <v>5.0</v>
      </c>
      <c r="E1949" s="27" t="s">
        <v>8053</v>
      </c>
      <c r="F1949" s="27">
        <v>0.0</v>
      </c>
      <c r="G1949" s="29">
        <v>45461.697222222225</v>
      </c>
      <c r="H1949" s="27" t="s">
        <v>7689</v>
      </c>
      <c r="I1949" s="18"/>
      <c r="J1949" s="25" t="str">
        <f>IFERROR(__xludf.DUMMYFUNCTION("ARRAYFORMULA(REGEXEXTRACT(SPLIT(C1949, ""&lt;br&gt;""), ""([가-힣A-Za-z]+)""))"),"ACDC")</f>
        <v>ACDC</v>
      </c>
      <c r="K1949" s="26" t="str">
        <f>IFERROR(__xludf.DUMMYFUNCTION("""COMPUTED_VALUE"""),"짱구")</f>
        <v>짱구</v>
      </c>
      <c r="L1949" s="26" t="str">
        <f>IFERROR(__xludf.DUMMYFUNCTION("""COMPUTED_VALUE"""),"미등록")</f>
        <v>미등록</v>
      </c>
      <c r="M1949" s="26" t="str">
        <f>IFERROR(__xludf.DUMMYFUNCTION("""COMPUTED_VALUE"""),"신형만")</f>
        <v>신형만</v>
      </c>
      <c r="N1949" s="26" t="str">
        <f>IFERROR(__xludf.DUMMYFUNCTION("ARRAYFORMULA(REGEXEXTRACT(SPLIT(E1949, ""&lt;br&gt;""), ""([가-힣A-Za-z]+)""))"),"강화")</f>
        <v>강화</v>
      </c>
      <c r="O1949" s="26" t="str">
        <f>IFERROR(__xludf.DUMMYFUNCTION("""COMPUTED_VALUE"""),"깡패")</f>
        <v>깡패</v>
      </c>
      <c r="P1949" s="26" t="str">
        <f>IFERROR(__xludf.DUMMYFUNCTION("""COMPUTED_VALUE"""),"아이딘")</f>
        <v>아이딘</v>
      </c>
      <c r="Q1949" s="26" t="str">
        <f>IFERROR(__xludf.DUMMYFUNCTION("""COMPUTED_VALUE"""),"악동")</f>
        <v>악동</v>
      </c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  <c r="AB1949" s="18"/>
    </row>
    <row r="1950">
      <c r="A1950" s="31" t="s">
        <v>8054</v>
      </c>
      <c r="B1950" s="28" t="s">
        <v>8055</v>
      </c>
      <c r="C1950" s="27" t="s">
        <v>8056</v>
      </c>
      <c r="D1950" s="27">
        <v>5.0</v>
      </c>
      <c r="E1950" s="27" t="s">
        <v>8057</v>
      </c>
      <c r="F1950" s="27">
        <v>4.0</v>
      </c>
      <c r="G1950" s="29">
        <v>45461.680555555555</v>
      </c>
      <c r="H1950" s="27" t="s">
        <v>7689</v>
      </c>
      <c r="I1950" s="18"/>
      <c r="J1950" s="25" t="str">
        <f>IFERROR(__xludf.DUMMYFUNCTION("ARRAYFORMULA(REGEXEXTRACT(SPLIT(C1950, ""&lt;br&gt;""), ""([가-힣A-Za-z]+)""))"),"신형만")</f>
        <v>신형만</v>
      </c>
      <c r="K1950" s="26" t="str">
        <f>IFERROR(__xludf.DUMMYFUNCTION("""COMPUTED_VALUE"""),"짱구")</f>
        <v>짱구</v>
      </c>
      <c r="L1950" s="26" t="str">
        <f>IFERROR(__xludf.DUMMYFUNCTION("""COMPUTED_VALUE"""),"ACDC")</f>
        <v>ACDC</v>
      </c>
      <c r="M1950" s="26" t="str">
        <f>IFERROR(__xludf.DUMMYFUNCTION("""COMPUTED_VALUE"""),"강화")</f>
        <v>강화</v>
      </c>
      <c r="N1950" s="26" t="str">
        <f>IFERROR(__xludf.DUMMYFUNCTION("ARRAYFORMULA(REGEXEXTRACT(SPLIT(E1950, ""&lt;br&gt;""), ""([가-힣A-Za-z]+)""))"),"아이딘")</f>
        <v>아이딘</v>
      </c>
      <c r="O1950" s="26" t="str">
        <f>IFERROR(__xludf.DUMMYFUNCTION("""COMPUTED_VALUE"""),"깡패")</f>
        <v>깡패</v>
      </c>
      <c r="P1950" s="26" t="str">
        <f>IFERROR(__xludf.DUMMYFUNCTION("""COMPUTED_VALUE"""),"미등록")</f>
        <v>미등록</v>
      </c>
      <c r="Q1950" s="26" t="str">
        <f>IFERROR(__xludf.DUMMYFUNCTION("""COMPUTED_VALUE"""),"악동")</f>
        <v>악동</v>
      </c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</row>
    <row r="1951">
      <c r="A1951" s="31" t="s">
        <v>8058</v>
      </c>
      <c r="B1951" s="28" t="s">
        <v>8059</v>
      </c>
      <c r="C1951" s="27" t="s">
        <v>8060</v>
      </c>
      <c r="D1951" s="27">
        <v>5.0</v>
      </c>
      <c r="E1951" s="27" t="s">
        <v>8061</v>
      </c>
      <c r="F1951" s="27">
        <v>3.0</v>
      </c>
      <c r="G1951" s="29">
        <v>45461.65347222222</v>
      </c>
      <c r="H1951" s="27" t="s">
        <v>7689</v>
      </c>
      <c r="I1951" s="18"/>
      <c r="J1951" s="25" t="str">
        <f>IFERROR(__xludf.DUMMYFUNCTION("ARRAYFORMULA(REGEXEXTRACT(SPLIT(C1951, ""&lt;br&gt;""), ""([가-힣A-Za-z]+)""))"),"랄")</f>
        <v>랄</v>
      </c>
      <c r="K1951" s="26" t="str">
        <f>IFERROR(__xludf.DUMMYFUNCTION("""COMPUTED_VALUE"""),"ACDC")</f>
        <v>ACDC</v>
      </c>
      <c r="L1951" s="26" t="str">
        <f>IFERROR(__xludf.DUMMYFUNCTION("""COMPUTED_VALUE"""),"미등록")</f>
        <v>미등록</v>
      </c>
      <c r="M1951" s="26" t="str">
        <f>IFERROR(__xludf.DUMMYFUNCTION("""COMPUTED_VALUE"""),"신형만")</f>
        <v>신형만</v>
      </c>
      <c r="N1951" s="26" t="str">
        <f>IFERROR(__xludf.DUMMYFUNCTION("ARRAYFORMULA(REGEXEXTRACT(SPLIT(E1951, ""&lt;br&gt;""), ""([가-힣A-Za-z]+)""))"),"아이딘")</f>
        <v>아이딘</v>
      </c>
      <c r="O1951" s="26" t="str">
        <f>IFERROR(__xludf.DUMMYFUNCTION("""COMPUTED_VALUE"""),"강화")</f>
        <v>강화</v>
      </c>
      <c r="P1951" s="26" t="str">
        <f>IFERROR(__xludf.DUMMYFUNCTION("""COMPUTED_VALUE"""),"짱구")</f>
        <v>짱구</v>
      </c>
      <c r="Q1951" s="26" t="str">
        <f>IFERROR(__xludf.DUMMYFUNCTION("""COMPUTED_VALUE"""),"악동")</f>
        <v>악동</v>
      </c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</row>
    <row r="1952">
      <c r="A1952" s="31" t="s">
        <v>8062</v>
      </c>
      <c r="B1952" s="28" t="s">
        <v>8063</v>
      </c>
      <c r="C1952" s="27" t="s">
        <v>8064</v>
      </c>
      <c r="D1952" s="27">
        <v>5.0</v>
      </c>
      <c r="E1952" s="27" t="s">
        <v>8065</v>
      </c>
      <c r="F1952" s="27">
        <v>3.0</v>
      </c>
      <c r="G1952" s="29">
        <v>45461.63263888889</v>
      </c>
      <c r="H1952" s="27" t="s">
        <v>7689</v>
      </c>
      <c r="I1952" s="18"/>
      <c r="J1952" s="25" t="str">
        <f>IFERROR(__xludf.DUMMYFUNCTION("ARRAYFORMULA(REGEXEXTRACT(SPLIT(C1952, ""&lt;br&gt;""), ""([가-힣A-Za-z]+)""))"),"아이딘")</f>
        <v>아이딘</v>
      </c>
      <c r="K1952" s="26" t="str">
        <f>IFERROR(__xludf.DUMMYFUNCTION("""COMPUTED_VALUE"""),"신형만")</f>
        <v>신형만</v>
      </c>
      <c r="L1952" s="26" t="str">
        <f>IFERROR(__xludf.DUMMYFUNCTION("""COMPUTED_VALUE"""),"강화")</f>
        <v>강화</v>
      </c>
      <c r="M1952" s="26" t="str">
        <f>IFERROR(__xludf.DUMMYFUNCTION("""COMPUTED_VALUE"""),"짱구")</f>
        <v>짱구</v>
      </c>
      <c r="N1952" s="26" t="str">
        <f>IFERROR(__xludf.DUMMYFUNCTION("ARRAYFORMULA(REGEXEXTRACT(SPLIT(E1952, ""&lt;br&gt;""), ""([가-힣A-Za-z]+)""))"),"미등록")</f>
        <v>미등록</v>
      </c>
      <c r="O1952" s="26" t="str">
        <f>IFERROR(__xludf.DUMMYFUNCTION("""COMPUTED_VALUE"""),"ACDC")</f>
        <v>ACDC</v>
      </c>
      <c r="P1952" s="26" t="str">
        <f>IFERROR(__xludf.DUMMYFUNCTION("""COMPUTED_VALUE"""),"미등록")</f>
        <v>미등록</v>
      </c>
      <c r="Q1952" s="26" t="str">
        <f>IFERROR(__xludf.DUMMYFUNCTION("""COMPUTED_VALUE"""),"악동")</f>
        <v>악동</v>
      </c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</row>
    <row r="1953">
      <c r="A1953" s="31" t="s">
        <v>8066</v>
      </c>
      <c r="B1953" s="28" t="s">
        <v>8067</v>
      </c>
      <c r="C1953" s="27" t="s">
        <v>8068</v>
      </c>
      <c r="D1953" s="27">
        <v>5.0</v>
      </c>
      <c r="E1953" s="27" t="s">
        <v>8069</v>
      </c>
      <c r="F1953" s="27">
        <v>1.0</v>
      </c>
      <c r="G1953" s="29">
        <v>45461.60972222222</v>
      </c>
      <c r="H1953" s="27" t="s">
        <v>7689</v>
      </c>
      <c r="I1953" s="18"/>
      <c r="J1953" s="25" t="str">
        <f>IFERROR(__xludf.DUMMYFUNCTION("ARRAYFORMULA(REGEXEXTRACT(SPLIT(C1953, ""&lt;br&gt;""), ""([가-힣A-Za-z]+)""))"),"미등록")</f>
        <v>미등록</v>
      </c>
      <c r="K1953" s="26" t="str">
        <f>IFERROR(__xludf.DUMMYFUNCTION("""COMPUTED_VALUE"""),"신형만")</f>
        <v>신형만</v>
      </c>
      <c r="L1953" s="26" t="str">
        <f>IFERROR(__xludf.DUMMYFUNCTION("""COMPUTED_VALUE"""),"ACDC")</f>
        <v>ACDC</v>
      </c>
      <c r="M1953" s="26" t="str">
        <f>IFERROR(__xludf.DUMMYFUNCTION("""COMPUTED_VALUE"""),"짱구")</f>
        <v>짱구</v>
      </c>
      <c r="N1953" s="26" t="str">
        <f>IFERROR(__xludf.DUMMYFUNCTION("ARRAYFORMULA(REGEXEXTRACT(SPLIT(E1953, ""&lt;br&gt;""), ""([가-힣A-Za-z]+)""))"),"아이딘")</f>
        <v>아이딘</v>
      </c>
      <c r="O1953" s="26" t="str">
        <f>IFERROR(__xludf.DUMMYFUNCTION("""COMPUTED_VALUE"""),"미등록")</f>
        <v>미등록</v>
      </c>
      <c r="P1953" s="26" t="str">
        <f>IFERROR(__xludf.DUMMYFUNCTION("""COMPUTED_VALUE"""),"악동")</f>
        <v>악동</v>
      </c>
      <c r="Q1953" s="26" t="str">
        <f>IFERROR(__xludf.DUMMYFUNCTION("""COMPUTED_VALUE"""),"강화")</f>
        <v>강화</v>
      </c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  <c r="AB1953" s="18"/>
    </row>
    <row r="1954">
      <c r="A1954" s="31" t="s">
        <v>8070</v>
      </c>
      <c r="B1954" s="28" t="s">
        <v>8071</v>
      </c>
      <c r="C1954" s="27" t="s">
        <v>8072</v>
      </c>
      <c r="D1954" s="27">
        <v>5.0</v>
      </c>
      <c r="E1954" s="27" t="s">
        <v>8073</v>
      </c>
      <c r="F1954" s="27">
        <v>4.0</v>
      </c>
      <c r="G1954" s="29">
        <v>45461.075</v>
      </c>
      <c r="H1954" s="27" t="s">
        <v>7689</v>
      </c>
      <c r="I1954" s="18"/>
      <c r="J1954" s="25" t="str">
        <f>IFERROR(__xludf.DUMMYFUNCTION("ARRAYFORMULA(REGEXEXTRACT(SPLIT(C1954, ""&lt;br&gt;""), ""([가-힣A-Za-z]+)""))"),"ACDC")</f>
        <v>ACDC</v>
      </c>
      <c r="K1954" s="26" t="str">
        <f>IFERROR(__xludf.DUMMYFUNCTION("""COMPUTED_VALUE"""),"깡패")</f>
        <v>깡패</v>
      </c>
      <c r="L1954" s="26" t="str">
        <f>IFERROR(__xludf.DUMMYFUNCTION("""COMPUTED_VALUE"""),"악동")</f>
        <v>악동</v>
      </c>
      <c r="M1954" s="26" t="str">
        <f>IFERROR(__xludf.DUMMYFUNCTION("""COMPUTED_VALUE"""),"밍구")</f>
        <v>밍구</v>
      </c>
      <c r="N1954" s="26" t="str">
        <f>IFERROR(__xludf.DUMMYFUNCTION("ARRAYFORMULA(REGEXEXTRACT(SPLIT(E1954, ""&lt;br&gt;""), ""([가-힣A-Za-z]+)""))"),"신형만")</f>
        <v>신형만</v>
      </c>
      <c r="O1954" s="26" t="str">
        <f>IFERROR(__xludf.DUMMYFUNCTION("""COMPUTED_VALUE"""),"구리다")</f>
        <v>구리다</v>
      </c>
      <c r="P1954" s="26" t="str">
        <f>IFERROR(__xludf.DUMMYFUNCTION("""COMPUTED_VALUE"""),"재명")</f>
        <v>재명</v>
      </c>
      <c r="Q1954" s="26" t="str">
        <f>IFERROR(__xludf.DUMMYFUNCTION("""COMPUTED_VALUE"""),"강화")</f>
        <v>강화</v>
      </c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18"/>
    </row>
    <row r="1955">
      <c r="A1955" s="31" t="s">
        <v>8074</v>
      </c>
      <c r="B1955" s="28" t="s">
        <v>8075</v>
      </c>
      <c r="C1955" s="27" t="s">
        <v>8076</v>
      </c>
      <c r="D1955" s="27">
        <v>5.0</v>
      </c>
      <c r="E1955" s="27" t="s">
        <v>8077</v>
      </c>
      <c r="F1955" s="27">
        <v>4.0</v>
      </c>
      <c r="G1955" s="29">
        <v>45461.05069444444</v>
      </c>
      <c r="H1955" s="27" t="s">
        <v>7689</v>
      </c>
      <c r="I1955" s="18"/>
      <c r="J1955" s="25" t="str">
        <f>IFERROR(__xludf.DUMMYFUNCTION("ARRAYFORMULA(REGEXEXTRACT(SPLIT(C1955, ""&lt;br&gt;""), ""([가-힣A-Za-z]+)""))"),"악동")</f>
        <v>악동</v>
      </c>
      <c r="K1955" s="26" t="str">
        <f>IFERROR(__xludf.DUMMYFUNCTION("""COMPUTED_VALUE"""),"ACDC")</f>
        <v>ACDC</v>
      </c>
      <c r="L1955" s="26" t="str">
        <f>IFERROR(__xludf.DUMMYFUNCTION("""COMPUTED_VALUE"""),"신형만")</f>
        <v>신형만</v>
      </c>
      <c r="M1955" s="26" t="str">
        <f>IFERROR(__xludf.DUMMYFUNCTION("""COMPUTED_VALUE"""),"강화")</f>
        <v>강화</v>
      </c>
      <c r="N1955" s="26" t="str">
        <f>IFERROR(__xludf.DUMMYFUNCTION("ARRAYFORMULA(REGEXEXTRACT(SPLIT(E1955, ""&lt;br&gt;""), ""([가-힣A-Za-z]+)""))"),"재명")</f>
        <v>재명</v>
      </c>
      <c r="O1955" s="26" t="str">
        <f>IFERROR(__xludf.DUMMYFUNCTION("""COMPUTED_VALUE"""),"깡패")</f>
        <v>깡패</v>
      </c>
      <c r="P1955" s="26" t="str">
        <f>IFERROR(__xludf.DUMMYFUNCTION("""COMPUTED_VALUE"""),"구리다")</f>
        <v>구리다</v>
      </c>
      <c r="Q1955" s="26" t="str">
        <f>IFERROR(__xludf.DUMMYFUNCTION("""COMPUTED_VALUE"""),"밍구")</f>
        <v>밍구</v>
      </c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</row>
    <row r="1956">
      <c r="A1956" s="31" t="s">
        <v>8078</v>
      </c>
      <c r="B1956" s="28" t="s">
        <v>8079</v>
      </c>
      <c r="C1956" s="27" t="s">
        <v>8080</v>
      </c>
      <c r="D1956" s="27">
        <v>5.0</v>
      </c>
      <c r="E1956" s="27" t="s">
        <v>8081</v>
      </c>
      <c r="F1956" s="27">
        <v>4.0</v>
      </c>
      <c r="G1956" s="29">
        <v>45461.01388888889</v>
      </c>
      <c r="H1956" s="27" t="s">
        <v>7689</v>
      </c>
      <c r="I1956" s="18"/>
      <c r="J1956" s="25" t="str">
        <f>IFERROR(__xludf.DUMMYFUNCTION("ARRAYFORMULA(REGEXEXTRACT(SPLIT(C1956, ""&lt;br&gt;""), ""([가-힣A-Za-z]+)""))"),"강화")</f>
        <v>강화</v>
      </c>
      <c r="K1956" s="26" t="str">
        <f>IFERROR(__xludf.DUMMYFUNCTION("""COMPUTED_VALUE"""),"깡패")</f>
        <v>깡패</v>
      </c>
      <c r="L1956" s="26" t="str">
        <f>IFERROR(__xludf.DUMMYFUNCTION("""COMPUTED_VALUE"""),"구리다")</f>
        <v>구리다</v>
      </c>
      <c r="M1956" s="26" t="str">
        <f>IFERROR(__xludf.DUMMYFUNCTION("""COMPUTED_VALUE"""),"재명")</f>
        <v>재명</v>
      </c>
      <c r="N1956" s="26" t="str">
        <f>IFERROR(__xludf.DUMMYFUNCTION("ARRAYFORMULA(REGEXEXTRACT(SPLIT(E1956, ""&lt;br&gt;""), ""([가-힣A-Za-z]+)""))"),"재우")</f>
        <v>재우</v>
      </c>
      <c r="O1956" s="26" t="str">
        <f>IFERROR(__xludf.DUMMYFUNCTION("""COMPUTED_VALUE"""),"신형만")</f>
        <v>신형만</v>
      </c>
      <c r="P1956" s="26" t="str">
        <f>IFERROR(__xludf.DUMMYFUNCTION("""COMPUTED_VALUE"""),"ACDC")</f>
        <v>ACDC</v>
      </c>
      <c r="Q1956" s="26" t="str">
        <f>IFERROR(__xludf.DUMMYFUNCTION("""COMPUTED_VALUE"""),"밍구")</f>
        <v>밍구</v>
      </c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</row>
    <row r="1957">
      <c r="A1957" s="31" t="s">
        <v>8082</v>
      </c>
      <c r="B1957" s="28" t="s">
        <v>8083</v>
      </c>
      <c r="C1957" s="27" t="s">
        <v>8084</v>
      </c>
      <c r="D1957" s="27">
        <v>5.0</v>
      </c>
      <c r="E1957" s="27" t="s">
        <v>8085</v>
      </c>
      <c r="F1957" s="27">
        <v>4.0</v>
      </c>
      <c r="G1957" s="29">
        <v>45460.98541666667</v>
      </c>
      <c r="H1957" s="27" t="s">
        <v>7689</v>
      </c>
      <c r="I1957" s="18"/>
      <c r="J1957" s="25" t="str">
        <f>IFERROR(__xludf.DUMMYFUNCTION("ARRAYFORMULA(REGEXEXTRACT(SPLIT(C1957, ""&lt;br&gt;""), ""([가-힣A-Za-z]+)""))"),"랄")</f>
        <v>랄</v>
      </c>
      <c r="K1957" s="26" t="str">
        <f>IFERROR(__xludf.DUMMYFUNCTION("""COMPUTED_VALUE"""),"재우")</f>
        <v>재우</v>
      </c>
      <c r="L1957" s="26" t="str">
        <f>IFERROR(__xludf.DUMMYFUNCTION("""COMPUTED_VALUE"""),"신형만")</f>
        <v>신형만</v>
      </c>
      <c r="M1957" s="26" t="str">
        <f>IFERROR(__xludf.DUMMYFUNCTION("""COMPUTED_VALUE"""),"강화")</f>
        <v>강화</v>
      </c>
      <c r="N1957" s="26" t="str">
        <f>IFERROR(__xludf.DUMMYFUNCTION("ARRAYFORMULA(REGEXEXTRACT(SPLIT(E1957, ""&lt;br&gt;""), ""([가-힣A-Za-z]+)""))"),"한메")</f>
        <v>한메</v>
      </c>
      <c r="O1957" s="26" t="str">
        <f>IFERROR(__xludf.DUMMYFUNCTION("""COMPUTED_VALUE"""),"ACDC")</f>
        <v>ACDC</v>
      </c>
      <c r="P1957" s="26" t="str">
        <f>IFERROR(__xludf.DUMMYFUNCTION("""COMPUTED_VALUE"""),"재명")</f>
        <v>재명</v>
      </c>
      <c r="Q1957" s="26" t="str">
        <f>IFERROR(__xludf.DUMMYFUNCTION("""COMPUTED_VALUE"""),"깡패")</f>
        <v>깡패</v>
      </c>
      <c r="R1957" s="18"/>
      <c r="S1957" s="18"/>
      <c r="T1957" s="18"/>
      <c r="U1957" s="18"/>
      <c r="V1957" s="18"/>
      <c r="W1957" s="18"/>
      <c r="X1957" s="18"/>
      <c r="Y1957" s="18"/>
      <c r="Z1957" s="18"/>
      <c r="AA1957" s="18"/>
      <c r="AB1957" s="18"/>
    </row>
    <row r="1958">
      <c r="A1958" s="31" t="s">
        <v>8086</v>
      </c>
      <c r="B1958" s="28" t="s">
        <v>8087</v>
      </c>
      <c r="C1958" s="27" t="s">
        <v>8088</v>
      </c>
      <c r="D1958" s="27">
        <v>5.0</v>
      </c>
      <c r="E1958" s="27" t="s">
        <v>8089</v>
      </c>
      <c r="F1958" s="27">
        <v>2.0</v>
      </c>
      <c r="G1958" s="29">
        <v>45460.96041666667</v>
      </c>
      <c r="H1958" s="27" t="s">
        <v>7689</v>
      </c>
      <c r="I1958" s="18"/>
      <c r="J1958" s="25" t="str">
        <f>IFERROR(__xludf.DUMMYFUNCTION("ARRAYFORMULA(REGEXEXTRACT(SPLIT(C1958, ""&lt;br&gt;""), ""([가-힣A-Za-z]+)""))"),"신형만")</f>
        <v>신형만</v>
      </c>
      <c r="K1958" s="26" t="str">
        <f>IFERROR(__xludf.DUMMYFUNCTION("""COMPUTED_VALUE"""),"재명")</f>
        <v>재명</v>
      </c>
      <c r="L1958" s="26" t="str">
        <f>IFERROR(__xludf.DUMMYFUNCTION("""COMPUTED_VALUE"""),"랄")</f>
        <v>랄</v>
      </c>
      <c r="M1958" s="26" t="str">
        <f>IFERROR(__xludf.DUMMYFUNCTION("""COMPUTED_VALUE"""),"재우")</f>
        <v>재우</v>
      </c>
      <c r="N1958" s="26" t="str">
        <f>IFERROR(__xludf.DUMMYFUNCTION("ARRAYFORMULA(REGEXEXTRACT(SPLIT(E1958, ""&lt;br&gt;""), ""([가-힣A-Za-z]+)""))"),"ACDC")</f>
        <v>ACDC</v>
      </c>
      <c r="O1958" s="26" t="str">
        <f>IFERROR(__xludf.DUMMYFUNCTION("""COMPUTED_VALUE"""),"깡패")</f>
        <v>깡패</v>
      </c>
      <c r="P1958" s="26" t="str">
        <f>IFERROR(__xludf.DUMMYFUNCTION("""COMPUTED_VALUE"""),"강화")</f>
        <v>강화</v>
      </c>
      <c r="Q1958" s="26" t="str">
        <f>IFERROR(__xludf.DUMMYFUNCTION("""COMPUTED_VALUE"""),"한메")</f>
        <v>한메</v>
      </c>
      <c r="R1958" s="18"/>
      <c r="S1958" s="18"/>
      <c r="T1958" s="18"/>
      <c r="U1958" s="18"/>
      <c r="V1958" s="18"/>
      <c r="W1958" s="18"/>
      <c r="X1958" s="18"/>
      <c r="Y1958" s="18"/>
      <c r="Z1958" s="18"/>
      <c r="AA1958" s="18"/>
      <c r="AB1958" s="18"/>
    </row>
    <row r="1959">
      <c r="A1959" s="31" t="s">
        <v>8090</v>
      </c>
      <c r="B1959" s="28" t="s">
        <v>8091</v>
      </c>
      <c r="C1959" s="27" t="s">
        <v>8092</v>
      </c>
      <c r="D1959" s="27">
        <v>5.0</v>
      </c>
      <c r="E1959" s="27" t="s">
        <v>8093</v>
      </c>
      <c r="F1959" s="27">
        <v>1.0</v>
      </c>
      <c r="G1959" s="29">
        <v>45460.91805555556</v>
      </c>
      <c r="H1959" s="27" t="s">
        <v>7689</v>
      </c>
      <c r="I1959" s="18"/>
      <c r="J1959" s="25" t="str">
        <f>IFERROR(__xludf.DUMMYFUNCTION("ARRAYFORMULA(REGEXEXTRACT(SPLIT(C1959, ""&lt;br&gt;""), ""([가-힣A-Za-z]+)""))"),"재우")</f>
        <v>재우</v>
      </c>
      <c r="K1959" s="26" t="str">
        <f>IFERROR(__xludf.DUMMYFUNCTION("""COMPUTED_VALUE"""),"깡패")</f>
        <v>깡패</v>
      </c>
      <c r="L1959" s="26" t="str">
        <f>IFERROR(__xludf.DUMMYFUNCTION("""COMPUTED_VALUE"""),"랄")</f>
        <v>랄</v>
      </c>
      <c r="M1959" s="26" t="str">
        <f>IFERROR(__xludf.DUMMYFUNCTION("""COMPUTED_VALUE"""),"한메")</f>
        <v>한메</v>
      </c>
      <c r="N1959" s="26" t="str">
        <f>IFERROR(__xludf.DUMMYFUNCTION("ARRAYFORMULA(REGEXEXTRACT(SPLIT(E1959, ""&lt;br&gt;""), ""([가-힣A-Za-z]+)""))"),"신형만")</f>
        <v>신형만</v>
      </c>
      <c r="O1959" s="26" t="str">
        <f>IFERROR(__xludf.DUMMYFUNCTION("""COMPUTED_VALUE"""),"강화")</f>
        <v>강화</v>
      </c>
      <c r="P1959" s="26" t="str">
        <f>IFERROR(__xludf.DUMMYFUNCTION("""COMPUTED_VALUE"""),"ACDC")</f>
        <v>ACDC</v>
      </c>
      <c r="Q1959" s="26" t="str">
        <f>IFERROR(__xludf.DUMMYFUNCTION("""COMPUTED_VALUE"""),"재명")</f>
        <v>재명</v>
      </c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  <c r="AB1959" s="18"/>
    </row>
    <row r="1960">
      <c r="A1960" s="31" t="s">
        <v>8094</v>
      </c>
      <c r="B1960" s="28" t="s">
        <v>8095</v>
      </c>
      <c r="C1960" s="27" t="s">
        <v>8096</v>
      </c>
      <c r="D1960" s="27">
        <v>5.0</v>
      </c>
      <c r="E1960" s="27" t="s">
        <v>8097</v>
      </c>
      <c r="F1960" s="27">
        <v>0.0</v>
      </c>
      <c r="G1960" s="29">
        <v>45460.9</v>
      </c>
      <c r="H1960" s="27" t="s">
        <v>7689</v>
      </c>
      <c r="I1960" s="18"/>
      <c r="J1960" s="25" t="str">
        <f>IFERROR(__xludf.DUMMYFUNCTION("ARRAYFORMULA(REGEXEXTRACT(SPLIT(C1960, ""&lt;br&gt;""), ""([가-힣A-Za-z]+)""))"),"한메")</f>
        <v>한메</v>
      </c>
      <c r="K1960" s="26" t="str">
        <f>IFERROR(__xludf.DUMMYFUNCTION("""COMPUTED_VALUE"""),"재명")</f>
        <v>재명</v>
      </c>
      <c r="L1960" s="26" t="str">
        <f>IFERROR(__xludf.DUMMYFUNCTION("""COMPUTED_VALUE"""),"신형만")</f>
        <v>신형만</v>
      </c>
      <c r="M1960" s="26" t="str">
        <f>IFERROR(__xludf.DUMMYFUNCTION("""COMPUTED_VALUE"""),"재우")</f>
        <v>재우</v>
      </c>
      <c r="N1960" s="26" t="str">
        <f>IFERROR(__xludf.DUMMYFUNCTION("ARRAYFORMULA(REGEXEXTRACT(SPLIT(E1960, ""&lt;br&gt;""), ""([가-힣A-Za-z]+)""))"),"랄")</f>
        <v>랄</v>
      </c>
      <c r="O1960" s="26" t="str">
        <f>IFERROR(__xludf.DUMMYFUNCTION("""COMPUTED_VALUE"""),"ACDC")</f>
        <v>ACDC</v>
      </c>
      <c r="P1960" s="26" t="str">
        <f>IFERROR(__xludf.DUMMYFUNCTION("""COMPUTED_VALUE"""),"강화")</f>
        <v>강화</v>
      </c>
      <c r="Q1960" s="26" t="str">
        <f>IFERROR(__xludf.DUMMYFUNCTION("""COMPUTED_VALUE"""),"깡패")</f>
        <v>깡패</v>
      </c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  <c r="AB1960" s="18"/>
    </row>
    <row r="1961">
      <c r="A1961" s="31" t="s">
        <v>8098</v>
      </c>
      <c r="B1961" s="28" t="s">
        <v>8099</v>
      </c>
      <c r="C1961" s="27" t="s">
        <v>8100</v>
      </c>
      <c r="D1961" s="27">
        <v>5.0</v>
      </c>
      <c r="E1961" s="27" t="s">
        <v>8101</v>
      </c>
      <c r="F1961" s="27">
        <v>4.0</v>
      </c>
      <c r="G1961" s="29">
        <v>45460.09375</v>
      </c>
      <c r="H1961" s="27" t="s">
        <v>7689</v>
      </c>
      <c r="I1961" s="18"/>
      <c r="J1961" s="25" t="str">
        <f>IFERROR(__xludf.DUMMYFUNCTION("ARRAYFORMULA(REGEXEXTRACT(SPLIT(C1961, ""&lt;br&gt;""), ""([가-힣A-Za-z]+)""))"),"ACDC")</f>
        <v>ACDC</v>
      </c>
      <c r="K1961" s="26" t="str">
        <f>IFERROR(__xludf.DUMMYFUNCTION("""COMPUTED_VALUE"""),"조드")</f>
        <v>조드</v>
      </c>
      <c r="L1961" s="26" t="str">
        <f>IFERROR(__xludf.DUMMYFUNCTION("""COMPUTED_VALUE"""),"신형만")</f>
        <v>신형만</v>
      </c>
      <c r="M1961" s="26" t="str">
        <f>IFERROR(__xludf.DUMMYFUNCTION("""COMPUTED_VALUE"""),"깡패")</f>
        <v>깡패</v>
      </c>
      <c r="N1961" s="26" t="str">
        <f>IFERROR(__xludf.DUMMYFUNCTION("ARRAYFORMULA(REGEXEXTRACT(SPLIT(E1961, ""&lt;br&gt;""), ""([가-힣A-Za-z]+)""))"),"엘더")</f>
        <v>엘더</v>
      </c>
      <c r="O1961" s="26" t="str">
        <f>IFERROR(__xludf.DUMMYFUNCTION("""COMPUTED_VALUE"""),"강화")</f>
        <v>강화</v>
      </c>
      <c r="P1961" s="26" t="str">
        <f>IFERROR(__xludf.DUMMYFUNCTION("""COMPUTED_VALUE"""),"구리다")</f>
        <v>구리다</v>
      </c>
      <c r="Q1961" s="26" t="str">
        <f>IFERROR(__xludf.DUMMYFUNCTION("""COMPUTED_VALUE"""),"짱구")</f>
        <v>짱구</v>
      </c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18"/>
    </row>
    <row r="1962">
      <c r="A1962" s="31" t="s">
        <v>8102</v>
      </c>
      <c r="B1962" s="28" t="s">
        <v>8103</v>
      </c>
      <c r="C1962" s="27" t="s">
        <v>8104</v>
      </c>
      <c r="D1962" s="27">
        <v>5.0</v>
      </c>
      <c r="E1962" s="27" t="s">
        <v>8105</v>
      </c>
      <c r="F1962" s="27">
        <v>2.0</v>
      </c>
      <c r="G1962" s="29">
        <v>45460.0625</v>
      </c>
      <c r="H1962" s="27" t="s">
        <v>7689</v>
      </c>
      <c r="I1962" s="18"/>
      <c r="J1962" s="25" t="str">
        <f>IFERROR(__xludf.DUMMYFUNCTION("ARRAYFORMULA(REGEXEXTRACT(SPLIT(C1962, ""&lt;br&gt;""), ""([가-힣A-Za-z]+)""))"),"짱구")</f>
        <v>짱구</v>
      </c>
      <c r="K1962" s="26" t="str">
        <f>IFERROR(__xludf.DUMMYFUNCTION("""COMPUTED_VALUE"""),"조드")</f>
        <v>조드</v>
      </c>
      <c r="L1962" s="26" t="str">
        <f>IFERROR(__xludf.DUMMYFUNCTION("""COMPUTED_VALUE"""),"강화")</f>
        <v>강화</v>
      </c>
      <c r="M1962" s="26" t="str">
        <f>IFERROR(__xludf.DUMMYFUNCTION("""COMPUTED_VALUE"""),"깡패")</f>
        <v>깡패</v>
      </c>
      <c r="N1962" s="26" t="str">
        <f>IFERROR(__xludf.DUMMYFUNCTION("ARRAYFORMULA(REGEXEXTRACT(SPLIT(E1962, ""&lt;br&gt;""), ""([가-힣A-Za-z]+)""))"),"요즘")</f>
        <v>요즘</v>
      </c>
      <c r="O1962" s="26" t="str">
        <f>IFERROR(__xludf.DUMMYFUNCTION("""COMPUTED_VALUE"""),"구리다")</f>
        <v>구리다</v>
      </c>
      <c r="P1962" s="26" t="str">
        <f>IFERROR(__xludf.DUMMYFUNCTION("""COMPUTED_VALUE"""),"엘더")</f>
        <v>엘더</v>
      </c>
      <c r="Q1962" s="26" t="str">
        <f>IFERROR(__xludf.DUMMYFUNCTION("""COMPUTED_VALUE"""),"신형만")</f>
        <v>신형만</v>
      </c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  <c r="AB1962" s="18"/>
    </row>
    <row r="1963">
      <c r="A1963" s="31" t="s">
        <v>8106</v>
      </c>
      <c r="B1963" s="28" t="s">
        <v>8107</v>
      </c>
      <c r="C1963" s="27" t="s">
        <v>8108</v>
      </c>
      <c r="D1963" s="27">
        <v>5.0</v>
      </c>
      <c r="E1963" s="27" t="s">
        <v>8109</v>
      </c>
      <c r="F1963" s="27">
        <v>2.0</v>
      </c>
      <c r="G1963" s="29">
        <v>45460.038194444445</v>
      </c>
      <c r="H1963" s="27" t="s">
        <v>7689</v>
      </c>
      <c r="I1963" s="18"/>
      <c r="J1963" s="25" t="str">
        <f>IFERROR(__xludf.DUMMYFUNCTION("ARRAYFORMULA(REGEXEXTRACT(SPLIT(C1963, ""&lt;br&gt;""), ""([가-힣A-Za-z]+)""))"),"짱구")</f>
        <v>짱구</v>
      </c>
      <c r="K1963" s="26" t="str">
        <f>IFERROR(__xludf.DUMMYFUNCTION("""COMPUTED_VALUE"""),"엘더")</f>
        <v>엘더</v>
      </c>
      <c r="L1963" s="26" t="str">
        <f>IFERROR(__xludf.DUMMYFUNCTION("""COMPUTED_VALUE"""),"강화")</f>
        <v>강화</v>
      </c>
      <c r="M1963" s="26" t="str">
        <f>IFERROR(__xludf.DUMMYFUNCTION("""COMPUTED_VALUE"""),"요즘")</f>
        <v>요즘</v>
      </c>
      <c r="N1963" s="26" t="str">
        <f>IFERROR(__xludf.DUMMYFUNCTION("ARRAYFORMULA(REGEXEXTRACT(SPLIT(E1963, ""&lt;br&gt;""), ""([가-힣A-Za-z]+)""))"),"한메")</f>
        <v>한메</v>
      </c>
      <c r="O1963" s="26" t="str">
        <f>IFERROR(__xludf.DUMMYFUNCTION("""COMPUTED_VALUE"""),"깡패")</f>
        <v>깡패</v>
      </c>
      <c r="P1963" s="26" t="str">
        <f>IFERROR(__xludf.DUMMYFUNCTION("""COMPUTED_VALUE"""),"구리다")</f>
        <v>구리다</v>
      </c>
      <c r="Q1963" s="26" t="str">
        <f>IFERROR(__xludf.DUMMYFUNCTION("""COMPUTED_VALUE"""),"조드")</f>
        <v>조드</v>
      </c>
      <c r="R1963" s="18"/>
      <c r="S1963" s="18"/>
      <c r="T1963" s="18"/>
      <c r="U1963" s="18"/>
      <c r="V1963" s="18"/>
      <c r="W1963" s="18"/>
      <c r="X1963" s="18"/>
      <c r="Y1963" s="18"/>
      <c r="Z1963" s="18"/>
      <c r="AA1963" s="18"/>
      <c r="AB1963" s="18"/>
    </row>
    <row r="1964">
      <c r="A1964" s="31" t="s">
        <v>8110</v>
      </c>
      <c r="B1964" s="28" t="s">
        <v>8111</v>
      </c>
      <c r="C1964" s="27" t="s">
        <v>8112</v>
      </c>
      <c r="D1964" s="27">
        <v>5.0</v>
      </c>
      <c r="E1964" s="27" t="s">
        <v>8113</v>
      </c>
      <c r="F1964" s="27">
        <v>1.0</v>
      </c>
      <c r="G1964" s="29">
        <v>45460.02013888889</v>
      </c>
      <c r="H1964" s="27" t="s">
        <v>7689</v>
      </c>
      <c r="I1964" s="18"/>
      <c r="J1964" s="25" t="str">
        <f>IFERROR(__xludf.DUMMYFUNCTION("ARRAYFORMULA(REGEXEXTRACT(SPLIT(C1964, ""&lt;br&gt;""), ""([가-힣A-Za-z]+)""))"),"요즘")</f>
        <v>요즘</v>
      </c>
      <c r="K1964" s="26" t="str">
        <f>IFERROR(__xludf.DUMMYFUNCTION("""COMPUTED_VALUE"""),"짱구")</f>
        <v>짱구</v>
      </c>
      <c r="L1964" s="26" t="str">
        <f>IFERROR(__xludf.DUMMYFUNCTION("""COMPUTED_VALUE"""),"엘더")</f>
        <v>엘더</v>
      </c>
      <c r="M1964" s="26" t="str">
        <f>IFERROR(__xludf.DUMMYFUNCTION("""COMPUTED_VALUE"""),"깡패")</f>
        <v>깡패</v>
      </c>
      <c r="N1964" s="26" t="str">
        <f>IFERROR(__xludf.DUMMYFUNCTION("ARRAYFORMULA(REGEXEXTRACT(SPLIT(E1964, ""&lt;br&gt;""), ""([가-힣A-Za-z]+)""))"),"재우")</f>
        <v>재우</v>
      </c>
      <c r="O1964" s="26" t="str">
        <f>IFERROR(__xludf.DUMMYFUNCTION("""COMPUTED_VALUE"""),"구리다")</f>
        <v>구리다</v>
      </c>
      <c r="P1964" s="26" t="str">
        <f>IFERROR(__xludf.DUMMYFUNCTION("""COMPUTED_VALUE"""),"강화")</f>
        <v>강화</v>
      </c>
      <c r="Q1964" s="26" t="str">
        <f>IFERROR(__xludf.DUMMYFUNCTION("""COMPUTED_VALUE"""),"조드")</f>
        <v>조드</v>
      </c>
      <c r="R1964" s="18"/>
      <c r="S1964" s="18"/>
      <c r="T1964" s="18"/>
      <c r="U1964" s="18"/>
      <c r="V1964" s="18"/>
      <c r="W1964" s="18"/>
      <c r="X1964" s="18"/>
      <c r="Y1964" s="18"/>
      <c r="Z1964" s="18"/>
      <c r="AA1964" s="18"/>
      <c r="AB1964" s="18"/>
    </row>
    <row r="1965">
      <c r="A1965" s="31" t="s">
        <v>8114</v>
      </c>
      <c r="B1965" s="28" t="s">
        <v>8115</v>
      </c>
      <c r="C1965" s="27" t="s">
        <v>8116</v>
      </c>
      <c r="D1965" s="27">
        <v>5.0</v>
      </c>
      <c r="E1965" s="27" t="s">
        <v>8117</v>
      </c>
      <c r="F1965" s="27">
        <v>0.0</v>
      </c>
      <c r="G1965" s="29">
        <v>45459.97361111111</v>
      </c>
      <c r="H1965" s="27" t="s">
        <v>7689</v>
      </c>
      <c r="I1965" s="18"/>
      <c r="J1965" s="25" t="str">
        <f>IFERROR(__xludf.DUMMYFUNCTION("ARRAYFORMULA(REGEXEXTRACT(SPLIT(C1965, ""&lt;br&gt;""), ""([가-힣A-Za-z]+)""))"),"강화")</f>
        <v>강화</v>
      </c>
      <c r="K1965" s="26" t="str">
        <f>IFERROR(__xludf.DUMMYFUNCTION("""COMPUTED_VALUE"""),"깡패")</f>
        <v>깡패</v>
      </c>
      <c r="L1965" s="26" t="str">
        <f>IFERROR(__xludf.DUMMYFUNCTION("""COMPUTED_VALUE"""),"신형만")</f>
        <v>신형만</v>
      </c>
      <c r="M1965" s="26" t="str">
        <f>IFERROR(__xludf.DUMMYFUNCTION("""COMPUTED_VALUE"""),"짱구")</f>
        <v>짱구</v>
      </c>
      <c r="N1965" s="26" t="str">
        <f>IFERROR(__xludf.DUMMYFUNCTION("ARRAYFORMULA(REGEXEXTRACT(SPLIT(E1965, ""&lt;br&gt;""), ""([가-힣A-Za-z]+)""))"),"재우")</f>
        <v>재우</v>
      </c>
      <c r="O1965" s="26" t="str">
        <f>IFERROR(__xludf.DUMMYFUNCTION("""COMPUTED_VALUE"""),"엘더")</f>
        <v>엘더</v>
      </c>
      <c r="P1965" s="26" t="str">
        <f>IFERROR(__xludf.DUMMYFUNCTION("""COMPUTED_VALUE"""),"구리다")</f>
        <v>구리다</v>
      </c>
      <c r="Q1965" s="26" t="str">
        <f>IFERROR(__xludf.DUMMYFUNCTION("""COMPUTED_VALUE"""),"조드")</f>
        <v>조드</v>
      </c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  <c r="AB1965" s="18"/>
    </row>
    <row r="1966">
      <c r="A1966" s="31" t="s">
        <v>8118</v>
      </c>
      <c r="B1966" s="28" t="s">
        <v>8119</v>
      </c>
      <c r="C1966" s="27" t="s">
        <v>8120</v>
      </c>
      <c r="D1966" s="27">
        <v>5.0</v>
      </c>
      <c r="E1966" s="27" t="s">
        <v>8121</v>
      </c>
      <c r="F1966" s="27">
        <v>3.0</v>
      </c>
      <c r="G1966" s="29">
        <v>45459.96944444445</v>
      </c>
      <c r="H1966" s="27" t="s">
        <v>7689</v>
      </c>
      <c r="I1966" s="18"/>
      <c r="J1966" s="25" t="str">
        <f>IFERROR(__xludf.DUMMYFUNCTION("ARRAYFORMULA(REGEXEXTRACT(SPLIT(C1966, ""&lt;br&gt;""), ""([가-힣A-Za-z]+)""))"),"엘더")</f>
        <v>엘더</v>
      </c>
      <c r="K1966" s="26" t="str">
        <f>IFERROR(__xludf.DUMMYFUNCTION("""COMPUTED_VALUE"""),"구리다")</f>
        <v>구리다</v>
      </c>
      <c r="L1966" s="26" t="str">
        <f>IFERROR(__xludf.DUMMYFUNCTION("""COMPUTED_VALUE"""),"재우")</f>
        <v>재우</v>
      </c>
      <c r="M1966" s="26" t="str">
        <f>IFERROR(__xludf.DUMMYFUNCTION("""COMPUTED_VALUE"""),"깡패")</f>
        <v>깡패</v>
      </c>
      <c r="N1966" s="26" t="str">
        <f>IFERROR(__xludf.DUMMYFUNCTION("ARRAYFORMULA(REGEXEXTRACT(SPLIT(E1966, ""&lt;br&gt;""), ""([가-힣A-Za-z]+)""))"),"신형만")</f>
        <v>신형만</v>
      </c>
      <c r="O1966" s="26" t="str">
        <f>IFERROR(__xludf.DUMMYFUNCTION("""COMPUTED_VALUE"""),"짱구")</f>
        <v>짱구</v>
      </c>
      <c r="P1966" s="26" t="str">
        <f>IFERROR(__xludf.DUMMYFUNCTION("""COMPUTED_VALUE"""),"강화")</f>
        <v>강화</v>
      </c>
      <c r="Q1966" s="26" t="str">
        <f>IFERROR(__xludf.DUMMYFUNCTION("""COMPUTED_VALUE"""),"조드")</f>
        <v>조드</v>
      </c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  <c r="AB1966" s="18"/>
    </row>
    <row r="1967">
      <c r="A1967" s="31" t="s">
        <v>8122</v>
      </c>
      <c r="B1967" s="28" t="s">
        <v>8123</v>
      </c>
      <c r="C1967" s="27" t="s">
        <v>8124</v>
      </c>
      <c r="D1967" s="27">
        <v>5.0</v>
      </c>
      <c r="E1967" s="27" t="s">
        <v>8125</v>
      </c>
      <c r="F1967" s="27">
        <v>1.0</v>
      </c>
      <c r="G1967" s="29">
        <v>45459.93125</v>
      </c>
      <c r="H1967" s="27" t="s">
        <v>7689</v>
      </c>
      <c r="I1967" s="18"/>
      <c r="J1967" s="25" t="str">
        <f>IFERROR(__xludf.DUMMYFUNCTION("ARRAYFORMULA(REGEXEXTRACT(SPLIT(C1967, ""&lt;br&gt;""), ""([가-힣A-Za-z]+)""))"),"재우")</f>
        <v>재우</v>
      </c>
      <c r="K1967" s="26" t="str">
        <f>IFERROR(__xludf.DUMMYFUNCTION("""COMPUTED_VALUE"""),"깡패")</f>
        <v>깡패</v>
      </c>
      <c r="L1967" s="26" t="str">
        <f>IFERROR(__xludf.DUMMYFUNCTION("""COMPUTED_VALUE"""),"엘더")</f>
        <v>엘더</v>
      </c>
      <c r="M1967" s="26" t="str">
        <f>IFERROR(__xludf.DUMMYFUNCTION("""COMPUTED_VALUE"""),"조드")</f>
        <v>조드</v>
      </c>
      <c r="N1967" s="26" t="str">
        <f>IFERROR(__xludf.DUMMYFUNCTION("ARRAYFORMULA(REGEXEXTRACT(SPLIT(E1967, ""&lt;br&gt;""), ""([가-힣A-Za-z]+)""))"),"짱구")</f>
        <v>짱구</v>
      </c>
      <c r="O1967" s="26" t="str">
        <f>IFERROR(__xludf.DUMMYFUNCTION("""COMPUTED_VALUE"""),"강화")</f>
        <v>강화</v>
      </c>
      <c r="P1967" s="26" t="str">
        <f>IFERROR(__xludf.DUMMYFUNCTION("""COMPUTED_VALUE"""),"구리다")</f>
        <v>구리다</v>
      </c>
      <c r="Q1967" s="26" t="str">
        <f>IFERROR(__xludf.DUMMYFUNCTION("""COMPUTED_VALUE"""),"키키")</f>
        <v>키키</v>
      </c>
      <c r="R1967" s="18"/>
      <c r="S1967" s="18"/>
      <c r="T1967" s="18"/>
      <c r="U1967" s="18"/>
      <c r="V1967" s="18"/>
      <c r="W1967" s="18"/>
      <c r="X1967" s="18"/>
      <c r="Y1967" s="18"/>
      <c r="Z1967" s="18"/>
      <c r="AA1967" s="18"/>
      <c r="AB1967" s="18"/>
    </row>
    <row r="1968">
      <c r="A1968" s="31" t="s">
        <v>8126</v>
      </c>
      <c r="B1968" s="28" t="s">
        <v>8127</v>
      </c>
      <c r="C1968" s="27" t="s">
        <v>8128</v>
      </c>
      <c r="D1968" s="27">
        <v>5.0</v>
      </c>
      <c r="E1968" s="27" t="s">
        <v>8129</v>
      </c>
      <c r="F1968" s="27">
        <v>2.0</v>
      </c>
      <c r="G1968" s="29">
        <v>45459.907638888886</v>
      </c>
      <c r="H1968" s="27" t="s">
        <v>7689</v>
      </c>
      <c r="I1968" s="18"/>
      <c r="J1968" s="25" t="str">
        <f>IFERROR(__xludf.DUMMYFUNCTION("ARRAYFORMULA(REGEXEXTRACT(SPLIT(C1968, ""&lt;br&gt;""), ""([가-힣A-Za-z]+)""))"),"엘더")</f>
        <v>엘더</v>
      </c>
      <c r="K1968" s="26" t="str">
        <f>IFERROR(__xludf.DUMMYFUNCTION("""COMPUTED_VALUE"""),"구리다")</f>
        <v>구리다</v>
      </c>
      <c r="L1968" s="26" t="str">
        <f>IFERROR(__xludf.DUMMYFUNCTION("""COMPUTED_VALUE"""),"키키")</f>
        <v>키키</v>
      </c>
      <c r="M1968" s="26" t="str">
        <f>IFERROR(__xludf.DUMMYFUNCTION("""COMPUTED_VALUE"""),"깡패")</f>
        <v>깡패</v>
      </c>
      <c r="N1968" s="26" t="str">
        <f>IFERROR(__xludf.DUMMYFUNCTION("ARRAYFORMULA(REGEXEXTRACT(SPLIT(E1968, ""&lt;br&gt;""), ""([가-힣A-Za-z]+)""))"),"재우")</f>
        <v>재우</v>
      </c>
      <c r="O1968" s="26" t="str">
        <f>IFERROR(__xludf.DUMMYFUNCTION("""COMPUTED_VALUE"""),"강화")</f>
        <v>강화</v>
      </c>
      <c r="P1968" s="26" t="str">
        <f>IFERROR(__xludf.DUMMYFUNCTION("""COMPUTED_VALUE"""),"짱구")</f>
        <v>짱구</v>
      </c>
      <c r="Q1968" s="26" t="str">
        <f>IFERROR(__xludf.DUMMYFUNCTION("""COMPUTED_VALUE"""),"조드")</f>
        <v>조드</v>
      </c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  <c r="AB1968" s="18"/>
    </row>
    <row r="1969">
      <c r="A1969" s="31" t="s">
        <v>8130</v>
      </c>
      <c r="B1969" s="28" t="s">
        <v>8131</v>
      </c>
      <c r="C1969" s="27" t="s">
        <v>8132</v>
      </c>
      <c r="D1969" s="27">
        <v>5.0</v>
      </c>
      <c r="E1969" s="27" t="s">
        <v>8133</v>
      </c>
      <c r="F1969" s="27">
        <v>3.0</v>
      </c>
      <c r="G1969" s="29">
        <v>45458.88611111111</v>
      </c>
      <c r="H1969" s="27" t="s">
        <v>7689</v>
      </c>
      <c r="I1969" s="18"/>
      <c r="J1969" s="25" t="str">
        <f>IFERROR(__xludf.DUMMYFUNCTION("ARRAYFORMULA(REGEXEXTRACT(SPLIT(C1969, ""&lt;br&gt;""), ""([가-힣A-Za-z]+)""))"),"한메")</f>
        <v>한메</v>
      </c>
      <c r="K1969" s="26" t="str">
        <f>IFERROR(__xludf.DUMMYFUNCTION("""COMPUTED_VALUE"""),"ACDC")</f>
        <v>ACDC</v>
      </c>
      <c r="L1969" s="26" t="str">
        <f>IFERROR(__xludf.DUMMYFUNCTION("""COMPUTED_VALUE"""),"엘더")</f>
        <v>엘더</v>
      </c>
      <c r="M1969" s="26" t="str">
        <f>IFERROR(__xludf.DUMMYFUNCTION("""COMPUTED_VALUE"""),"짱구")</f>
        <v>짱구</v>
      </c>
      <c r="N1969" s="26" t="str">
        <f>IFERROR(__xludf.DUMMYFUNCTION("ARRAYFORMULA(REGEXEXTRACT(SPLIT(E1969, ""&lt;br&gt;""), ""([가-힣A-Za-z]+)""))"),"미르진")</f>
        <v>미르진</v>
      </c>
      <c r="O1969" s="26" t="str">
        <f>IFERROR(__xludf.DUMMYFUNCTION("""COMPUTED_VALUE"""),"신형만")</f>
        <v>신형만</v>
      </c>
      <c r="P1969" s="26" t="str">
        <f>IFERROR(__xludf.DUMMYFUNCTION("""COMPUTED_VALUE"""),"전투쥐")</f>
        <v>전투쥐</v>
      </c>
      <c r="Q1969" s="26" t="str">
        <f>IFERROR(__xludf.DUMMYFUNCTION("""COMPUTED_VALUE"""),"강화")</f>
        <v>강화</v>
      </c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  <c r="AB1969" s="18"/>
    </row>
    <row r="1970">
      <c r="A1970" s="31" t="s">
        <v>8134</v>
      </c>
      <c r="B1970" s="28" t="s">
        <v>8135</v>
      </c>
      <c r="C1970" s="27" t="s">
        <v>8136</v>
      </c>
      <c r="D1970" s="27">
        <v>5.0</v>
      </c>
      <c r="E1970" s="27" t="s">
        <v>8137</v>
      </c>
      <c r="F1970" s="27">
        <v>0.0</v>
      </c>
      <c r="G1970" s="29">
        <v>45458.85138888889</v>
      </c>
      <c r="H1970" s="27" t="s">
        <v>7689</v>
      </c>
      <c r="I1970" s="18"/>
      <c r="J1970" s="25" t="str">
        <f>IFERROR(__xludf.DUMMYFUNCTION("ARRAYFORMULA(REGEXEXTRACT(SPLIT(C1970, ""&lt;br&gt;""), ""([가-힣A-Za-z]+)""))"),"강화")</f>
        <v>강화</v>
      </c>
      <c r="K1970" s="26" t="str">
        <f>IFERROR(__xludf.DUMMYFUNCTION("""COMPUTED_VALUE"""),"전투쥐")</f>
        <v>전투쥐</v>
      </c>
      <c r="L1970" s="26" t="str">
        <f>IFERROR(__xludf.DUMMYFUNCTION("""COMPUTED_VALUE"""),"신형만")</f>
        <v>신형만</v>
      </c>
      <c r="M1970" s="26" t="str">
        <f>IFERROR(__xludf.DUMMYFUNCTION("""COMPUTED_VALUE"""),"짱구")</f>
        <v>짱구</v>
      </c>
      <c r="N1970" s="26" t="str">
        <f>IFERROR(__xludf.DUMMYFUNCTION("ARRAYFORMULA(REGEXEXTRACT(SPLIT(E1970, ""&lt;br&gt;""), ""([가-힣A-Za-z]+)""))"),"재명")</f>
        <v>재명</v>
      </c>
      <c r="O1970" s="26" t="str">
        <f>IFERROR(__xludf.DUMMYFUNCTION("""COMPUTED_VALUE"""),"미르진")</f>
        <v>미르진</v>
      </c>
      <c r="P1970" s="26" t="str">
        <f>IFERROR(__xludf.DUMMYFUNCTION("""COMPUTED_VALUE"""),"ACDC")</f>
        <v>ACDC</v>
      </c>
      <c r="Q1970" s="26" t="str">
        <f>IFERROR(__xludf.DUMMYFUNCTION("""COMPUTED_VALUE"""),"한메")</f>
        <v>한메</v>
      </c>
      <c r="R1970" s="18"/>
      <c r="S1970" s="18"/>
      <c r="T1970" s="18"/>
      <c r="U1970" s="18"/>
      <c r="V1970" s="18"/>
      <c r="W1970" s="18"/>
      <c r="X1970" s="18"/>
      <c r="Y1970" s="18"/>
      <c r="Z1970" s="18"/>
      <c r="AA1970" s="18"/>
      <c r="AB1970" s="18"/>
    </row>
    <row r="1971">
      <c r="A1971" s="31" t="s">
        <v>8138</v>
      </c>
      <c r="B1971" s="28" t="s">
        <v>8139</v>
      </c>
      <c r="C1971" s="27" t="s">
        <v>8140</v>
      </c>
      <c r="D1971" s="27">
        <v>5.0</v>
      </c>
      <c r="E1971" s="27" t="s">
        <v>8141</v>
      </c>
      <c r="F1971" s="27">
        <v>2.0</v>
      </c>
      <c r="G1971" s="29">
        <v>45458.836805555555</v>
      </c>
      <c r="H1971" s="27" t="s">
        <v>7689</v>
      </c>
      <c r="I1971" s="18"/>
      <c r="J1971" s="25" t="str">
        <f>IFERROR(__xludf.DUMMYFUNCTION("ARRAYFORMULA(REGEXEXTRACT(SPLIT(C1971, ""&lt;br&gt;""), ""([가-힣A-Za-z]+)""))"),"미르진")</f>
        <v>미르진</v>
      </c>
      <c r="K1971" s="26" t="str">
        <f>IFERROR(__xludf.DUMMYFUNCTION("""COMPUTED_VALUE"""),"한메")</f>
        <v>한메</v>
      </c>
      <c r="L1971" s="26" t="str">
        <f>IFERROR(__xludf.DUMMYFUNCTION("""COMPUTED_VALUE"""),"짱구")</f>
        <v>짱구</v>
      </c>
      <c r="M1971" s="26" t="str">
        <f>IFERROR(__xludf.DUMMYFUNCTION("""COMPUTED_VALUE"""),"전투쥐")</f>
        <v>전투쥐</v>
      </c>
      <c r="N1971" s="26" t="str">
        <f>IFERROR(__xludf.DUMMYFUNCTION("ARRAYFORMULA(REGEXEXTRACT(SPLIT(E1971, ""&lt;br&gt;""), ""([가-힣A-Za-z]+)""))"),"신형만")</f>
        <v>신형만</v>
      </c>
      <c r="O1971" s="26" t="str">
        <f>IFERROR(__xludf.DUMMYFUNCTION("""COMPUTED_VALUE"""),"재명")</f>
        <v>재명</v>
      </c>
      <c r="P1971" s="26" t="str">
        <f>IFERROR(__xludf.DUMMYFUNCTION("""COMPUTED_VALUE"""),"ACDC")</f>
        <v>ACDC</v>
      </c>
      <c r="Q1971" s="26" t="str">
        <f>IFERROR(__xludf.DUMMYFUNCTION("""COMPUTED_VALUE"""),"강화")</f>
        <v>강화</v>
      </c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</row>
    <row r="1972">
      <c r="A1972" s="31" t="s">
        <v>8142</v>
      </c>
      <c r="B1972" s="28" t="s">
        <v>8143</v>
      </c>
      <c r="C1972" s="27" t="s">
        <v>8144</v>
      </c>
      <c r="D1972" s="27">
        <v>5.0</v>
      </c>
      <c r="E1972" s="27" t="s">
        <v>8145</v>
      </c>
      <c r="F1972" s="27">
        <v>1.0</v>
      </c>
      <c r="G1972" s="29">
        <v>45458.81805555556</v>
      </c>
      <c r="H1972" s="27" t="s">
        <v>7689</v>
      </c>
      <c r="I1972" s="18"/>
      <c r="J1972" s="25" t="str">
        <f>IFERROR(__xludf.DUMMYFUNCTION("ARRAYFORMULA(REGEXEXTRACT(SPLIT(C1972, ""&lt;br&gt;""), ""([가-힣A-Za-z]+)""))"),"전투쥐")</f>
        <v>전투쥐</v>
      </c>
      <c r="K1972" s="26" t="str">
        <f>IFERROR(__xludf.DUMMYFUNCTION("""COMPUTED_VALUE"""),"신형만")</f>
        <v>신형만</v>
      </c>
      <c r="L1972" s="26" t="str">
        <f>IFERROR(__xludf.DUMMYFUNCTION("""COMPUTED_VALUE"""),"한메")</f>
        <v>한메</v>
      </c>
      <c r="M1972" s="26" t="str">
        <f>IFERROR(__xludf.DUMMYFUNCTION("""COMPUTED_VALUE"""),"짱구")</f>
        <v>짱구</v>
      </c>
      <c r="N1972" s="26" t="str">
        <f>IFERROR(__xludf.DUMMYFUNCTION("ARRAYFORMULA(REGEXEXTRACT(SPLIT(E1972, ""&lt;br&gt;""), ""([가-힣A-Za-z]+)""))"),"강화")</f>
        <v>강화</v>
      </c>
      <c r="O1972" s="26" t="str">
        <f>IFERROR(__xludf.DUMMYFUNCTION("""COMPUTED_VALUE"""),"재명")</f>
        <v>재명</v>
      </c>
      <c r="P1972" s="26" t="str">
        <f>IFERROR(__xludf.DUMMYFUNCTION("""COMPUTED_VALUE"""),"ACDC")</f>
        <v>ACDC</v>
      </c>
      <c r="Q1972" s="26" t="str">
        <f>IFERROR(__xludf.DUMMYFUNCTION("""COMPUTED_VALUE"""),"미르진")</f>
        <v>미르진</v>
      </c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  <c r="AB1972" s="18"/>
    </row>
    <row r="1973">
      <c r="A1973" s="31" t="s">
        <v>8146</v>
      </c>
      <c r="B1973" s="28" t="s">
        <v>8147</v>
      </c>
      <c r="C1973" s="27" t="s">
        <v>8148</v>
      </c>
      <c r="D1973" s="27">
        <v>5.0</v>
      </c>
      <c r="E1973" s="27" t="s">
        <v>8149</v>
      </c>
      <c r="F1973" s="27">
        <v>2.0</v>
      </c>
      <c r="G1973" s="29">
        <v>45458.791666666664</v>
      </c>
      <c r="H1973" s="27" t="s">
        <v>7689</v>
      </c>
      <c r="I1973" s="18"/>
      <c r="J1973" s="25" t="str">
        <f>IFERROR(__xludf.DUMMYFUNCTION("ARRAYFORMULA(REGEXEXTRACT(SPLIT(C1973, ""&lt;br&gt;""), ""([가-힣A-Za-z]+)""))"),"좀비")</f>
        <v>좀비</v>
      </c>
      <c r="K1973" s="26" t="str">
        <f>IFERROR(__xludf.DUMMYFUNCTION("""COMPUTED_VALUE"""),"ACDC")</f>
        <v>ACDC</v>
      </c>
      <c r="L1973" s="26" t="str">
        <f>IFERROR(__xludf.DUMMYFUNCTION("""COMPUTED_VALUE"""),"재명")</f>
        <v>재명</v>
      </c>
      <c r="M1973" s="26" t="str">
        <f>IFERROR(__xludf.DUMMYFUNCTION("""COMPUTED_VALUE"""),"한메")</f>
        <v>한메</v>
      </c>
      <c r="N1973" s="26" t="str">
        <f>IFERROR(__xludf.DUMMYFUNCTION("ARRAYFORMULA(REGEXEXTRACT(SPLIT(E1973, ""&lt;br&gt;""), ""([가-힣A-Za-z]+)""))"),"미등록")</f>
        <v>미등록</v>
      </c>
      <c r="O1973" s="26" t="str">
        <f>IFERROR(__xludf.DUMMYFUNCTION("""COMPUTED_VALUE"""),"팰리")</f>
        <v>팰리</v>
      </c>
      <c r="P1973" s="26" t="str">
        <f>IFERROR(__xludf.DUMMYFUNCTION("""COMPUTED_VALUE"""),"미르진")</f>
        <v>미르진</v>
      </c>
      <c r="Q1973" s="26" t="str">
        <f>IFERROR(__xludf.DUMMYFUNCTION("""COMPUTED_VALUE"""),"신형만")</f>
        <v>신형만</v>
      </c>
      <c r="R1973" s="18"/>
      <c r="S1973" s="18"/>
      <c r="T1973" s="18"/>
      <c r="U1973" s="18"/>
      <c r="V1973" s="18"/>
      <c r="W1973" s="18"/>
      <c r="X1973" s="18"/>
      <c r="Y1973" s="18"/>
      <c r="Z1973" s="18"/>
      <c r="AA1973" s="18"/>
      <c r="AB1973" s="18"/>
    </row>
    <row r="1974">
      <c r="A1974" s="31" t="s">
        <v>8150</v>
      </c>
      <c r="B1974" s="28" t="s">
        <v>8151</v>
      </c>
      <c r="C1974" s="27" t="s">
        <v>8152</v>
      </c>
      <c r="D1974" s="27">
        <v>5.0</v>
      </c>
      <c r="E1974" s="27" t="s">
        <v>8153</v>
      </c>
      <c r="F1974" s="27">
        <v>3.0</v>
      </c>
      <c r="G1974" s="29">
        <v>45458.76666666667</v>
      </c>
      <c r="H1974" s="27" t="s">
        <v>7689</v>
      </c>
      <c r="I1974" s="18"/>
      <c r="J1974" s="25" t="str">
        <f>IFERROR(__xludf.DUMMYFUNCTION("ARRAYFORMULA(REGEXEXTRACT(SPLIT(C1974, ""&lt;br&gt;""), ""([가-힣A-Za-z]+)""))"),"미등록")</f>
        <v>미등록</v>
      </c>
      <c r="K1974" s="26" t="str">
        <f>IFERROR(__xludf.DUMMYFUNCTION("""COMPUTED_VALUE"""),"신형만")</f>
        <v>신형만</v>
      </c>
      <c r="L1974" s="26" t="str">
        <f>IFERROR(__xludf.DUMMYFUNCTION("""COMPUTED_VALUE"""),"ACDC")</f>
        <v>ACDC</v>
      </c>
      <c r="M1974" s="26" t="str">
        <f>IFERROR(__xludf.DUMMYFUNCTION("""COMPUTED_VALUE"""),"재명")</f>
        <v>재명</v>
      </c>
      <c r="N1974" s="26" t="str">
        <f>IFERROR(__xludf.DUMMYFUNCTION("ARRAYFORMULA(REGEXEXTRACT(SPLIT(E1974, ""&lt;br&gt;""), ""([가-힣A-Za-z]+)""))"),"좀비")</f>
        <v>좀비</v>
      </c>
      <c r="O1974" s="26" t="str">
        <f>IFERROR(__xludf.DUMMYFUNCTION("""COMPUTED_VALUE"""),"한메")</f>
        <v>한메</v>
      </c>
      <c r="P1974" s="26" t="str">
        <f>IFERROR(__xludf.DUMMYFUNCTION("""COMPUTED_VALUE"""),"팰리")</f>
        <v>팰리</v>
      </c>
      <c r="Q1974" s="26" t="str">
        <f>IFERROR(__xludf.DUMMYFUNCTION("""COMPUTED_VALUE"""),"미르진")</f>
        <v>미르진</v>
      </c>
      <c r="R1974" s="18"/>
      <c r="S1974" s="18"/>
      <c r="T1974" s="18"/>
      <c r="U1974" s="18"/>
      <c r="V1974" s="18"/>
      <c r="W1974" s="18"/>
      <c r="X1974" s="18"/>
      <c r="Y1974" s="18"/>
      <c r="Z1974" s="18"/>
      <c r="AA1974" s="18"/>
      <c r="AB1974" s="18"/>
    </row>
    <row r="1975">
      <c r="A1975" s="31" t="s">
        <v>8154</v>
      </c>
      <c r="B1975" s="28" t="s">
        <v>8155</v>
      </c>
      <c r="C1975" s="27" t="s">
        <v>8156</v>
      </c>
      <c r="D1975" s="27">
        <v>5.0</v>
      </c>
      <c r="E1975" s="27" t="s">
        <v>8157</v>
      </c>
      <c r="F1975" s="27">
        <v>1.0</v>
      </c>
      <c r="G1975" s="29">
        <v>45458.7375</v>
      </c>
      <c r="H1975" s="27" t="s">
        <v>7689</v>
      </c>
      <c r="I1975" s="18"/>
      <c r="J1975" s="25" t="str">
        <f>IFERROR(__xludf.DUMMYFUNCTION("ARRAYFORMULA(REGEXEXTRACT(SPLIT(C1975, ""&lt;br&gt;""), ""([가-힣A-Za-z]+)""))"),"윙크")</f>
        <v>윙크</v>
      </c>
      <c r="K1975" s="26" t="str">
        <f>IFERROR(__xludf.DUMMYFUNCTION("""COMPUTED_VALUE"""),"ACDC")</f>
        <v>ACDC</v>
      </c>
      <c r="L1975" s="26" t="str">
        <f>IFERROR(__xludf.DUMMYFUNCTION("""COMPUTED_VALUE"""),"신형만")</f>
        <v>신형만</v>
      </c>
      <c r="M1975" s="26" t="str">
        <f>IFERROR(__xludf.DUMMYFUNCTION("""COMPUTED_VALUE"""),"한메")</f>
        <v>한메</v>
      </c>
      <c r="N1975" s="26" t="str">
        <f>IFERROR(__xludf.DUMMYFUNCTION("ARRAYFORMULA(REGEXEXTRACT(SPLIT(E1975, ""&lt;br&gt;""), ""([가-힣A-Za-z]+)""))"),"재명")</f>
        <v>재명</v>
      </c>
      <c r="O1975" s="26" t="str">
        <f>IFERROR(__xludf.DUMMYFUNCTION("""COMPUTED_VALUE"""),"좀비")</f>
        <v>좀비</v>
      </c>
      <c r="P1975" s="26" t="str">
        <f>IFERROR(__xludf.DUMMYFUNCTION("""COMPUTED_VALUE"""),"팰리")</f>
        <v>팰리</v>
      </c>
      <c r="Q1975" s="26" t="str">
        <f>IFERROR(__xludf.DUMMYFUNCTION("""COMPUTED_VALUE"""),"미르진")</f>
        <v>미르진</v>
      </c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  <c r="AB1975" s="18"/>
    </row>
    <row r="1976">
      <c r="A1976" s="31" t="s">
        <v>8158</v>
      </c>
      <c r="B1976" s="28" t="s">
        <v>8159</v>
      </c>
      <c r="C1976" s="27" t="s">
        <v>8160</v>
      </c>
      <c r="D1976" s="27">
        <v>5.0</v>
      </c>
      <c r="E1976" s="27" t="s">
        <v>8161</v>
      </c>
      <c r="F1976" s="27">
        <v>3.0</v>
      </c>
      <c r="G1976" s="29">
        <v>45458.11597222222</v>
      </c>
      <c r="H1976" s="27" t="s">
        <v>7689</v>
      </c>
      <c r="I1976" s="18"/>
      <c r="J1976" s="25" t="str">
        <f>IFERROR(__xludf.DUMMYFUNCTION("ARRAYFORMULA(REGEXEXTRACT(SPLIT(C1976, ""&lt;br&gt;""), ""([가-힣A-Za-z]+)""))"),"엘더")</f>
        <v>엘더</v>
      </c>
      <c r="K1976" s="26" t="str">
        <f>IFERROR(__xludf.DUMMYFUNCTION("""COMPUTED_VALUE"""),"짱구")</f>
        <v>짱구</v>
      </c>
      <c r="L1976" s="26" t="str">
        <f>IFERROR(__xludf.DUMMYFUNCTION("""COMPUTED_VALUE"""),"아이딘")</f>
        <v>아이딘</v>
      </c>
      <c r="M1976" s="26" t="str">
        <f>IFERROR(__xludf.DUMMYFUNCTION("""COMPUTED_VALUE"""),"한메")</f>
        <v>한메</v>
      </c>
      <c r="N1976" s="26" t="str">
        <f>IFERROR(__xludf.DUMMYFUNCTION("ARRAYFORMULA(REGEXEXTRACT(SPLIT(E1976, ""&lt;br&gt;""), ""([가-힣A-Za-z]+)""))"),"강화")</f>
        <v>강화</v>
      </c>
      <c r="O1976" s="26" t="str">
        <f>IFERROR(__xludf.DUMMYFUNCTION("""COMPUTED_VALUE"""),"깡패")</f>
        <v>깡패</v>
      </c>
      <c r="P1976" s="26" t="str">
        <f>IFERROR(__xludf.DUMMYFUNCTION("""COMPUTED_VALUE"""),"ACDC")</f>
        <v>ACDC</v>
      </c>
      <c r="Q1976" s="26" t="str">
        <f>IFERROR(__xludf.DUMMYFUNCTION("""COMPUTED_VALUE"""),"신형만")</f>
        <v>신형만</v>
      </c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</row>
    <row r="1977">
      <c r="A1977" s="31" t="s">
        <v>8162</v>
      </c>
      <c r="B1977" s="28" t="s">
        <v>8163</v>
      </c>
      <c r="C1977" s="27" t="s">
        <v>8164</v>
      </c>
      <c r="D1977" s="27">
        <v>5.0</v>
      </c>
      <c r="E1977" s="27" t="s">
        <v>8165</v>
      </c>
      <c r="F1977" s="27">
        <v>2.0</v>
      </c>
      <c r="G1977" s="29">
        <v>45458.092361111114</v>
      </c>
      <c r="H1977" s="27" t="s">
        <v>7689</v>
      </c>
      <c r="I1977" s="18"/>
      <c r="J1977" s="25" t="str">
        <f>IFERROR(__xludf.DUMMYFUNCTION("ARRAYFORMULA(REGEXEXTRACT(SPLIT(C1977, ""&lt;br&gt;""), ""([가-힣A-Za-z]+)""))"),"신형만")</f>
        <v>신형만</v>
      </c>
      <c r="K1977" s="26" t="str">
        <f>IFERROR(__xludf.DUMMYFUNCTION("""COMPUTED_VALUE"""),"엘더")</f>
        <v>엘더</v>
      </c>
      <c r="L1977" s="26" t="str">
        <f>IFERROR(__xludf.DUMMYFUNCTION("""COMPUTED_VALUE"""),"아이딘")</f>
        <v>아이딘</v>
      </c>
      <c r="M1977" s="26" t="str">
        <f>IFERROR(__xludf.DUMMYFUNCTION("""COMPUTED_VALUE"""),"짱구")</f>
        <v>짱구</v>
      </c>
      <c r="N1977" s="26" t="str">
        <f>IFERROR(__xludf.DUMMYFUNCTION("ARRAYFORMULA(REGEXEXTRACT(SPLIT(E1977, ""&lt;br&gt;""), ""([가-힣A-Za-z]+)""))"),"한메")</f>
        <v>한메</v>
      </c>
      <c r="O1977" s="26" t="str">
        <f>IFERROR(__xludf.DUMMYFUNCTION("""COMPUTED_VALUE"""),"깡패")</f>
        <v>깡패</v>
      </c>
      <c r="P1977" s="26" t="str">
        <f>IFERROR(__xludf.DUMMYFUNCTION("""COMPUTED_VALUE"""),"ACDC")</f>
        <v>ACDC</v>
      </c>
      <c r="Q1977" s="26" t="str">
        <f>IFERROR(__xludf.DUMMYFUNCTION("""COMPUTED_VALUE"""),"강화")</f>
        <v>강화</v>
      </c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  <c r="AB1977" s="18"/>
    </row>
    <row r="1978">
      <c r="A1978" s="31" t="s">
        <v>8166</v>
      </c>
      <c r="B1978" s="28" t="s">
        <v>8167</v>
      </c>
      <c r="C1978" s="27" t="s">
        <v>8168</v>
      </c>
      <c r="D1978" s="27">
        <v>5.0</v>
      </c>
      <c r="E1978" s="27" t="s">
        <v>8169</v>
      </c>
      <c r="F1978" s="27">
        <v>2.0</v>
      </c>
      <c r="G1978" s="29">
        <v>45458.06319444445</v>
      </c>
      <c r="H1978" s="27" t="s">
        <v>7689</v>
      </c>
      <c r="I1978" s="18"/>
      <c r="J1978" s="25" t="str">
        <f>IFERROR(__xludf.DUMMYFUNCTION("ARRAYFORMULA(REGEXEXTRACT(SPLIT(C1978, ""&lt;br&gt;""), ""([가-힣A-Za-z]+)""))"),"재우")</f>
        <v>재우</v>
      </c>
      <c r="K1978" s="26" t="str">
        <f>IFERROR(__xludf.DUMMYFUNCTION("""COMPUTED_VALUE"""),"한메")</f>
        <v>한메</v>
      </c>
      <c r="L1978" s="26" t="str">
        <f>IFERROR(__xludf.DUMMYFUNCTION("""COMPUTED_VALUE"""),"짱구")</f>
        <v>짱구</v>
      </c>
      <c r="M1978" s="26" t="str">
        <f>IFERROR(__xludf.DUMMYFUNCTION("""COMPUTED_VALUE"""),"엘더")</f>
        <v>엘더</v>
      </c>
      <c r="N1978" s="26" t="str">
        <f>IFERROR(__xludf.DUMMYFUNCTION("ARRAYFORMULA(REGEXEXTRACT(SPLIT(E1978, ""&lt;br&gt;""), ""([가-힣A-Za-z]+)""))"),"강화")</f>
        <v>강화</v>
      </c>
      <c r="O1978" s="26" t="str">
        <f>IFERROR(__xludf.DUMMYFUNCTION("""COMPUTED_VALUE"""),"깡패")</f>
        <v>깡패</v>
      </c>
      <c r="P1978" s="26" t="str">
        <f>IFERROR(__xludf.DUMMYFUNCTION("""COMPUTED_VALUE"""),"신형만")</f>
        <v>신형만</v>
      </c>
      <c r="Q1978" s="26" t="str">
        <f>IFERROR(__xludf.DUMMYFUNCTION("""COMPUTED_VALUE"""),"재명")</f>
        <v>재명</v>
      </c>
      <c r="R1978" s="18"/>
      <c r="S1978" s="18"/>
      <c r="T1978" s="18"/>
      <c r="U1978" s="18"/>
      <c r="V1978" s="18"/>
      <c r="W1978" s="18"/>
      <c r="X1978" s="18"/>
      <c r="Y1978" s="18"/>
      <c r="Z1978" s="18"/>
      <c r="AA1978" s="18"/>
      <c r="AB1978" s="18"/>
    </row>
    <row r="1979">
      <c r="A1979" s="31" t="s">
        <v>8170</v>
      </c>
      <c r="B1979" s="28" t="s">
        <v>8171</v>
      </c>
      <c r="C1979" s="27" t="s">
        <v>8172</v>
      </c>
      <c r="D1979" s="27">
        <v>5.0</v>
      </c>
      <c r="E1979" s="27" t="s">
        <v>8173</v>
      </c>
      <c r="F1979" s="27">
        <v>2.0</v>
      </c>
      <c r="G1979" s="29">
        <v>45458.0625</v>
      </c>
      <c r="H1979" s="27" t="s">
        <v>7689</v>
      </c>
      <c r="I1979" s="18"/>
      <c r="J1979" s="25" t="str">
        <f>IFERROR(__xludf.DUMMYFUNCTION("ARRAYFORMULA(REGEXEXTRACT(SPLIT(C1979, ""&lt;br&gt;""), ""([가-힣A-Za-z]+)""))"),"재우")</f>
        <v>재우</v>
      </c>
      <c r="K1979" s="26" t="str">
        <f>IFERROR(__xludf.DUMMYFUNCTION("""COMPUTED_VALUE"""),"강화")</f>
        <v>강화</v>
      </c>
      <c r="L1979" s="26" t="str">
        <f>IFERROR(__xludf.DUMMYFUNCTION("""COMPUTED_VALUE"""),"신형만")</f>
        <v>신형만</v>
      </c>
      <c r="M1979" s="26" t="str">
        <f>IFERROR(__xludf.DUMMYFUNCTION("""COMPUTED_VALUE"""),"한메")</f>
        <v>한메</v>
      </c>
      <c r="N1979" s="26" t="str">
        <f>IFERROR(__xludf.DUMMYFUNCTION("ARRAYFORMULA(REGEXEXTRACT(SPLIT(E1979, ""&lt;br&gt;""), ""([가-힣A-Za-z]+)""))"),"ACDC")</f>
        <v>ACDC</v>
      </c>
      <c r="O1979" s="26" t="str">
        <f>IFERROR(__xludf.DUMMYFUNCTION("""COMPUTED_VALUE"""),"엘더")</f>
        <v>엘더</v>
      </c>
      <c r="P1979" s="26" t="str">
        <f>IFERROR(__xludf.DUMMYFUNCTION("""COMPUTED_VALUE"""),"재명")</f>
        <v>재명</v>
      </c>
      <c r="Q1979" s="26" t="str">
        <f>IFERROR(__xludf.DUMMYFUNCTION("""COMPUTED_VALUE"""),"깡패")</f>
        <v>깡패</v>
      </c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  <c r="AB1979" s="18"/>
    </row>
    <row r="1980">
      <c r="A1980" s="31" t="s">
        <v>8174</v>
      </c>
      <c r="B1980" s="28" t="s">
        <v>8175</v>
      </c>
      <c r="C1980" s="27" t="s">
        <v>8176</v>
      </c>
      <c r="D1980" s="27">
        <v>5.0</v>
      </c>
      <c r="E1980" s="27" t="s">
        <v>8177</v>
      </c>
      <c r="F1980" s="27">
        <v>1.0</v>
      </c>
      <c r="G1980" s="29">
        <v>45458.00555555556</v>
      </c>
      <c r="H1980" s="27" t="s">
        <v>7689</v>
      </c>
      <c r="I1980" s="18"/>
      <c r="J1980" s="25" t="str">
        <f>IFERROR(__xludf.DUMMYFUNCTION("ARRAYFORMULA(REGEXEXTRACT(SPLIT(C1980, ""&lt;br&gt;""), ""([가-힣A-Za-z]+)""))"),"ACDC")</f>
        <v>ACDC</v>
      </c>
      <c r="K1980" s="26" t="str">
        <f>IFERROR(__xludf.DUMMYFUNCTION("""COMPUTED_VALUE"""),"재명")</f>
        <v>재명</v>
      </c>
      <c r="L1980" s="26" t="str">
        <f>IFERROR(__xludf.DUMMYFUNCTION("""COMPUTED_VALUE"""),"신형만")</f>
        <v>신형만</v>
      </c>
      <c r="M1980" s="26" t="str">
        <f>IFERROR(__xludf.DUMMYFUNCTION("""COMPUTED_VALUE"""),"엘더")</f>
        <v>엘더</v>
      </c>
      <c r="N1980" s="26" t="str">
        <f>IFERROR(__xludf.DUMMYFUNCTION("ARRAYFORMULA(REGEXEXTRACT(SPLIT(E1980, ""&lt;br&gt;""), ""([가-힣A-Za-z]+)""))"),"강화")</f>
        <v>강화</v>
      </c>
      <c r="O1980" s="26" t="str">
        <f>IFERROR(__xludf.DUMMYFUNCTION("""COMPUTED_VALUE"""),"깡패")</f>
        <v>깡패</v>
      </c>
      <c r="P1980" s="26" t="str">
        <f>IFERROR(__xludf.DUMMYFUNCTION("""COMPUTED_VALUE"""),"팰리")</f>
        <v>팰리</v>
      </c>
      <c r="Q1980" s="26" t="str">
        <f>IFERROR(__xludf.DUMMYFUNCTION("""COMPUTED_VALUE"""),"한메")</f>
        <v>한메</v>
      </c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  <c r="AB1980" s="18"/>
    </row>
    <row r="1981">
      <c r="A1981" s="31" t="s">
        <v>8178</v>
      </c>
      <c r="B1981" s="28" t="s">
        <v>8179</v>
      </c>
      <c r="C1981" s="27" t="s">
        <v>8180</v>
      </c>
      <c r="D1981" s="27">
        <v>5.0</v>
      </c>
      <c r="E1981" s="27" t="s">
        <v>8181</v>
      </c>
      <c r="F1981" s="27">
        <v>3.0</v>
      </c>
      <c r="G1981" s="29">
        <v>45457.98125</v>
      </c>
      <c r="H1981" s="27" t="s">
        <v>7689</v>
      </c>
      <c r="I1981" s="18"/>
      <c r="J1981" s="25" t="str">
        <f>IFERROR(__xludf.DUMMYFUNCTION("ARRAYFORMULA(REGEXEXTRACT(SPLIT(C1981, ""&lt;br&gt;""), ""([가-힣A-Za-z]+)""))"),"신형만")</f>
        <v>신형만</v>
      </c>
      <c r="K1981" s="26" t="str">
        <f>IFERROR(__xludf.DUMMYFUNCTION("""COMPUTED_VALUE"""),"강화")</f>
        <v>강화</v>
      </c>
      <c r="L1981" s="26" t="str">
        <f>IFERROR(__xludf.DUMMYFUNCTION("""COMPUTED_VALUE"""),"ACDC")</f>
        <v>ACDC</v>
      </c>
      <c r="M1981" s="26" t="str">
        <f>IFERROR(__xludf.DUMMYFUNCTION("""COMPUTED_VALUE"""),"재명")</f>
        <v>재명</v>
      </c>
      <c r="N1981" s="26" t="str">
        <f>IFERROR(__xludf.DUMMYFUNCTION("ARRAYFORMULA(REGEXEXTRACT(SPLIT(E1981, ""&lt;br&gt;""), ""([가-힣A-Za-z]+)""))"),"팰리")</f>
        <v>팰리</v>
      </c>
      <c r="O1981" s="26" t="str">
        <f>IFERROR(__xludf.DUMMYFUNCTION("""COMPUTED_VALUE"""),"한메")</f>
        <v>한메</v>
      </c>
      <c r="P1981" s="26" t="str">
        <f>IFERROR(__xludf.DUMMYFUNCTION("""COMPUTED_VALUE"""),"아이딘")</f>
        <v>아이딘</v>
      </c>
      <c r="Q1981" s="26" t="str">
        <f>IFERROR(__xludf.DUMMYFUNCTION("""COMPUTED_VALUE"""),"깡패")</f>
        <v>깡패</v>
      </c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</row>
    <row r="1982">
      <c r="A1982" s="31" t="s">
        <v>8182</v>
      </c>
      <c r="B1982" s="28" t="s">
        <v>8183</v>
      </c>
      <c r="C1982" s="27" t="s">
        <v>8184</v>
      </c>
      <c r="D1982" s="27">
        <v>5.0</v>
      </c>
      <c r="E1982" s="27" t="s">
        <v>8185</v>
      </c>
      <c r="F1982" s="27">
        <v>2.0</v>
      </c>
      <c r="G1982" s="29">
        <v>45457.938888888886</v>
      </c>
      <c r="H1982" s="27" t="s">
        <v>7689</v>
      </c>
      <c r="I1982" s="18"/>
      <c r="J1982" s="25" t="str">
        <f>IFERROR(__xludf.DUMMYFUNCTION("ARRAYFORMULA(REGEXEXTRACT(SPLIT(C1982, ""&lt;br&gt;""), ""([가-힣A-Za-z]+)""))"),"만두")</f>
        <v>만두</v>
      </c>
      <c r="K1982" s="26" t="str">
        <f>IFERROR(__xludf.DUMMYFUNCTION("""COMPUTED_VALUE"""),"깡패")</f>
        <v>깡패</v>
      </c>
      <c r="L1982" s="26" t="str">
        <f>IFERROR(__xludf.DUMMYFUNCTION("""COMPUTED_VALUE"""),"ACDC")</f>
        <v>ACDC</v>
      </c>
      <c r="M1982" s="26" t="str">
        <f>IFERROR(__xludf.DUMMYFUNCTION("""COMPUTED_VALUE"""),"재명")</f>
        <v>재명</v>
      </c>
      <c r="N1982" s="26" t="str">
        <f>IFERROR(__xludf.DUMMYFUNCTION("ARRAYFORMULA(REGEXEXTRACT(SPLIT(E1982, ""&lt;br&gt;""), ""([가-힣A-Za-z]+)""))"),"아이딘")</f>
        <v>아이딘</v>
      </c>
      <c r="O1982" s="26" t="str">
        <f>IFERROR(__xludf.DUMMYFUNCTION("""COMPUTED_VALUE"""),"한메")</f>
        <v>한메</v>
      </c>
      <c r="P1982" s="26" t="str">
        <f>IFERROR(__xludf.DUMMYFUNCTION("""COMPUTED_VALUE"""),"신형만")</f>
        <v>신형만</v>
      </c>
      <c r="Q1982" s="26" t="str">
        <f>IFERROR(__xludf.DUMMYFUNCTION("""COMPUTED_VALUE"""),"강화")</f>
        <v>강화</v>
      </c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  <c r="AB1982" s="18"/>
    </row>
    <row r="1983">
      <c r="A1983" s="31" t="s">
        <v>8186</v>
      </c>
      <c r="B1983" s="28" t="s">
        <v>8187</v>
      </c>
      <c r="C1983" s="27" t="s">
        <v>8188</v>
      </c>
      <c r="D1983" s="27">
        <v>5.0</v>
      </c>
      <c r="E1983" s="27" t="s">
        <v>8189</v>
      </c>
      <c r="F1983" s="27">
        <v>4.0</v>
      </c>
      <c r="G1983" s="29">
        <v>45457.913194444445</v>
      </c>
      <c r="H1983" s="27" t="s">
        <v>7689</v>
      </c>
      <c r="I1983" s="18"/>
      <c r="J1983" s="25" t="str">
        <f>IFERROR(__xludf.DUMMYFUNCTION("ARRAYFORMULA(REGEXEXTRACT(SPLIT(C1983, ""&lt;br&gt;""), ""([가-힣A-Za-z]+)""))"),"한메")</f>
        <v>한메</v>
      </c>
      <c r="K1983" s="26" t="str">
        <f>IFERROR(__xludf.DUMMYFUNCTION("""COMPUTED_VALUE"""),"깡패")</f>
        <v>깡패</v>
      </c>
      <c r="L1983" s="26" t="str">
        <f>IFERROR(__xludf.DUMMYFUNCTION("""COMPUTED_VALUE"""),"전투쥐")</f>
        <v>전투쥐</v>
      </c>
      <c r="M1983" s="26" t="str">
        <f>IFERROR(__xludf.DUMMYFUNCTION("""COMPUTED_VALUE"""),"짱구")</f>
        <v>짱구</v>
      </c>
      <c r="N1983" s="26" t="str">
        <f>IFERROR(__xludf.DUMMYFUNCTION("ARRAYFORMULA(REGEXEXTRACT(SPLIT(E1983, ""&lt;br&gt;""), ""([가-힣A-Za-z]+)""))"),"ACDC")</f>
        <v>ACDC</v>
      </c>
      <c r="O1983" s="26" t="str">
        <f>IFERROR(__xludf.DUMMYFUNCTION("""COMPUTED_VALUE"""),"신형만")</f>
        <v>신형만</v>
      </c>
      <c r="P1983" s="26" t="str">
        <f>IFERROR(__xludf.DUMMYFUNCTION("""COMPUTED_VALUE"""),"아이딘")</f>
        <v>아이딘</v>
      </c>
      <c r="Q1983" s="26" t="str">
        <f>IFERROR(__xludf.DUMMYFUNCTION("""COMPUTED_VALUE"""),"강화")</f>
        <v>강화</v>
      </c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  <c r="AB1983" s="18"/>
    </row>
    <row r="1984">
      <c r="A1984" s="31" t="s">
        <v>8190</v>
      </c>
      <c r="B1984" s="28" t="s">
        <v>8191</v>
      </c>
      <c r="C1984" s="27" t="s">
        <v>8192</v>
      </c>
      <c r="D1984" s="27">
        <v>5.0</v>
      </c>
      <c r="E1984" s="27" t="s">
        <v>8193</v>
      </c>
      <c r="F1984" s="27">
        <v>2.0</v>
      </c>
      <c r="G1984" s="29">
        <v>45457.88263888889</v>
      </c>
      <c r="H1984" s="27" t="s">
        <v>7689</v>
      </c>
      <c r="I1984" s="18"/>
      <c r="J1984" s="25" t="str">
        <f>IFERROR(__xludf.DUMMYFUNCTION("ARRAYFORMULA(REGEXEXTRACT(SPLIT(C1984, ""&lt;br&gt;""), ""([가-힣A-Za-z]+)""))"),"짱구")</f>
        <v>짱구</v>
      </c>
      <c r="K1984" s="26" t="str">
        <f>IFERROR(__xludf.DUMMYFUNCTION("""COMPUTED_VALUE"""),"신형만")</f>
        <v>신형만</v>
      </c>
      <c r="L1984" s="26" t="str">
        <f>IFERROR(__xludf.DUMMYFUNCTION("""COMPUTED_VALUE"""),"아이딘")</f>
        <v>아이딘</v>
      </c>
      <c r="M1984" s="26" t="str">
        <f>IFERROR(__xludf.DUMMYFUNCTION("""COMPUTED_VALUE"""),"전투쥐")</f>
        <v>전투쥐</v>
      </c>
      <c r="N1984" s="26" t="str">
        <f>IFERROR(__xludf.DUMMYFUNCTION("ARRAYFORMULA(REGEXEXTRACT(SPLIT(E1984, ""&lt;br&gt;""), ""([가-힣A-Za-z]+)""))"),"민우")</f>
        <v>민우</v>
      </c>
      <c r="O1984" s="26" t="str">
        <f>IFERROR(__xludf.DUMMYFUNCTION("""COMPUTED_VALUE"""),"한메")</f>
        <v>한메</v>
      </c>
      <c r="P1984" s="26" t="str">
        <f>IFERROR(__xludf.DUMMYFUNCTION("""COMPUTED_VALUE"""),"ACDC")</f>
        <v>ACDC</v>
      </c>
      <c r="Q1984" s="26" t="str">
        <f>IFERROR(__xludf.DUMMYFUNCTION("""COMPUTED_VALUE"""),"깡패")</f>
        <v>깡패</v>
      </c>
      <c r="R1984" s="18"/>
      <c r="S1984" s="18"/>
      <c r="T1984" s="18"/>
      <c r="U1984" s="18"/>
      <c r="V1984" s="18"/>
      <c r="W1984" s="18"/>
      <c r="X1984" s="18"/>
      <c r="Y1984" s="18"/>
      <c r="Z1984" s="18"/>
      <c r="AA1984" s="18"/>
      <c r="AB1984" s="18"/>
    </row>
    <row r="1985">
      <c r="A1985" s="31" t="s">
        <v>8194</v>
      </c>
      <c r="B1985" s="28" t="s">
        <v>8195</v>
      </c>
      <c r="C1985" s="27" t="s">
        <v>8196</v>
      </c>
      <c r="D1985" s="27">
        <v>5.0</v>
      </c>
      <c r="E1985" s="27" t="s">
        <v>8197</v>
      </c>
      <c r="F1985" s="27">
        <v>1.0</v>
      </c>
      <c r="G1985" s="29">
        <v>45457.86736111111</v>
      </c>
      <c r="H1985" s="27" t="s">
        <v>7689</v>
      </c>
      <c r="I1985" s="18"/>
      <c r="J1985" s="25" t="str">
        <f>IFERROR(__xludf.DUMMYFUNCTION("ARRAYFORMULA(REGEXEXTRACT(SPLIT(C1985, ""&lt;br&gt;""), ""([가-힣A-Za-z]+)""))"),"짱구")</f>
        <v>짱구</v>
      </c>
      <c r="K1985" s="26" t="str">
        <f>IFERROR(__xludf.DUMMYFUNCTION("""COMPUTED_VALUE"""),"깡패")</f>
        <v>깡패</v>
      </c>
      <c r="L1985" s="26" t="str">
        <f>IFERROR(__xludf.DUMMYFUNCTION("""COMPUTED_VALUE"""),"아이딘")</f>
        <v>아이딘</v>
      </c>
      <c r="M1985" s="26" t="str">
        <f>IFERROR(__xludf.DUMMYFUNCTION("""COMPUTED_VALUE"""),"신형만")</f>
        <v>신형만</v>
      </c>
      <c r="N1985" s="26" t="str">
        <f>IFERROR(__xludf.DUMMYFUNCTION("ARRAYFORMULA(REGEXEXTRACT(SPLIT(E1985, ""&lt;br&gt;""), ""([가-힣A-Za-z]+)""))"),"전투쥐")</f>
        <v>전투쥐</v>
      </c>
      <c r="O1985" s="26" t="str">
        <f>IFERROR(__xludf.DUMMYFUNCTION("""COMPUTED_VALUE"""),"ACDC")</f>
        <v>ACDC</v>
      </c>
      <c r="P1985" s="26" t="str">
        <f>IFERROR(__xludf.DUMMYFUNCTION("""COMPUTED_VALUE"""),"퍼플")</f>
        <v>퍼플</v>
      </c>
      <c r="Q1985" s="26" t="str">
        <f>IFERROR(__xludf.DUMMYFUNCTION("""COMPUTED_VALUE"""),"민우")</f>
        <v>민우</v>
      </c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  <c r="AB1985" s="18"/>
    </row>
    <row r="1986">
      <c r="A1986" s="31" t="s">
        <v>8198</v>
      </c>
      <c r="B1986" s="28" t="s">
        <v>8199</v>
      </c>
      <c r="C1986" s="27" t="s">
        <v>8200</v>
      </c>
      <c r="D1986" s="27">
        <v>5.0</v>
      </c>
      <c r="E1986" s="27" t="s">
        <v>8201</v>
      </c>
      <c r="F1986" s="27">
        <v>2.0</v>
      </c>
      <c r="G1986" s="29">
        <v>45457.85</v>
      </c>
      <c r="H1986" s="27" t="s">
        <v>7689</v>
      </c>
      <c r="I1986" s="18"/>
      <c r="J1986" s="25" t="str">
        <f>IFERROR(__xludf.DUMMYFUNCTION("ARRAYFORMULA(REGEXEXTRACT(SPLIT(C1986, ""&lt;br&gt;""), ""([가-힣A-Za-z]+)""))"),"신형만")</f>
        <v>신형만</v>
      </c>
      <c r="K1986" s="26" t="str">
        <f>IFERROR(__xludf.DUMMYFUNCTION("""COMPUTED_VALUE"""),"깡패")</f>
        <v>깡패</v>
      </c>
      <c r="L1986" s="26" t="str">
        <f>IFERROR(__xludf.DUMMYFUNCTION("""COMPUTED_VALUE"""),"퍼플")</f>
        <v>퍼플</v>
      </c>
      <c r="M1986" s="26" t="str">
        <f>IFERROR(__xludf.DUMMYFUNCTION("""COMPUTED_VALUE"""),"짱구")</f>
        <v>짱구</v>
      </c>
      <c r="N1986" s="26" t="str">
        <f>IFERROR(__xludf.DUMMYFUNCTION("ARRAYFORMULA(REGEXEXTRACT(SPLIT(E1986, ""&lt;br&gt;""), ""([가-힣A-Za-z]+)""))"),"해죽")</f>
        <v>해죽</v>
      </c>
      <c r="O1986" s="26" t="str">
        <f>IFERROR(__xludf.DUMMYFUNCTION("""COMPUTED_VALUE"""),"ACDC")</f>
        <v>ACDC</v>
      </c>
      <c r="P1986" s="26" t="str">
        <f>IFERROR(__xludf.DUMMYFUNCTION("""COMPUTED_VALUE"""),"아이딘")</f>
        <v>아이딘</v>
      </c>
      <c r="Q1986" s="26" t="str">
        <f>IFERROR(__xludf.DUMMYFUNCTION("""COMPUTED_VALUE"""),"전투쥐")</f>
        <v>전투쥐</v>
      </c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</row>
    <row r="1987">
      <c r="A1987" s="31" t="s">
        <v>8202</v>
      </c>
      <c r="B1987" s="28" t="s">
        <v>8203</v>
      </c>
      <c r="C1987" s="27" t="s">
        <v>8204</v>
      </c>
      <c r="D1987" s="27">
        <v>5.0</v>
      </c>
      <c r="E1987" s="27" t="s">
        <v>8205</v>
      </c>
      <c r="F1987" s="27">
        <v>0.0</v>
      </c>
      <c r="G1987" s="29">
        <v>45457.760416666664</v>
      </c>
      <c r="H1987" s="27" t="s">
        <v>7689</v>
      </c>
      <c r="I1987" s="18"/>
      <c r="J1987" s="25" t="str">
        <f>IFERROR(__xludf.DUMMYFUNCTION("ARRAYFORMULA(REGEXEXTRACT(SPLIT(C1987, ""&lt;br&gt;""), ""([가-힣A-Za-z]+)""))"),"한메")</f>
        <v>한메</v>
      </c>
      <c r="K1987" s="26" t="str">
        <f>IFERROR(__xludf.DUMMYFUNCTION("""COMPUTED_VALUE"""),"테리")</f>
        <v>테리</v>
      </c>
      <c r="L1987" s="26" t="str">
        <f>IFERROR(__xludf.DUMMYFUNCTION("""COMPUTED_VALUE"""),"재명")</f>
        <v>재명</v>
      </c>
      <c r="M1987" s="26" t="str">
        <f>IFERROR(__xludf.DUMMYFUNCTION("""COMPUTED_VALUE"""),"깡패")</f>
        <v>깡패</v>
      </c>
      <c r="N1987" s="26" t="str">
        <f>IFERROR(__xludf.DUMMYFUNCTION("ARRAYFORMULA(REGEXEXTRACT(SPLIT(E1987, ""&lt;br&gt;""), ""([가-힣A-Za-z]+)""))"),"민우")</f>
        <v>민우</v>
      </c>
      <c r="O1987" s="26" t="str">
        <f>IFERROR(__xludf.DUMMYFUNCTION("""COMPUTED_VALUE"""),"ACDC")</f>
        <v>ACDC</v>
      </c>
      <c r="P1987" s="26" t="str">
        <f>IFERROR(__xludf.DUMMYFUNCTION("""COMPUTED_VALUE"""),"오크")</f>
        <v>오크</v>
      </c>
      <c r="Q1987" s="26" t="str">
        <f>IFERROR(__xludf.DUMMYFUNCTION("""COMPUTED_VALUE"""),"신형만")</f>
        <v>신형만</v>
      </c>
      <c r="R1987" s="18"/>
      <c r="S1987" s="18"/>
      <c r="T1987" s="18"/>
      <c r="U1987" s="18"/>
      <c r="V1987" s="18"/>
      <c r="W1987" s="18"/>
      <c r="X1987" s="18"/>
      <c r="Y1987" s="18"/>
      <c r="Z1987" s="18"/>
      <c r="AA1987" s="18"/>
      <c r="AB1987" s="18"/>
    </row>
    <row r="1988">
      <c r="A1988" s="31" t="s">
        <v>8206</v>
      </c>
      <c r="B1988" s="28" t="s">
        <v>8207</v>
      </c>
      <c r="C1988" s="27" t="s">
        <v>8208</v>
      </c>
      <c r="D1988" s="27">
        <v>5.0</v>
      </c>
      <c r="E1988" s="27" t="s">
        <v>8209</v>
      </c>
      <c r="F1988" s="27">
        <v>1.0</v>
      </c>
      <c r="G1988" s="29">
        <v>45457.74375</v>
      </c>
      <c r="H1988" s="27" t="s">
        <v>7689</v>
      </c>
      <c r="I1988" s="18"/>
      <c r="J1988" s="25" t="str">
        <f>IFERROR(__xludf.DUMMYFUNCTION("ARRAYFORMULA(REGEXEXTRACT(SPLIT(C1988, ""&lt;br&gt;""), ""([가-힣A-Za-z]+)""))"),"오크")</f>
        <v>오크</v>
      </c>
      <c r="K1988" s="26" t="str">
        <f>IFERROR(__xludf.DUMMYFUNCTION("""COMPUTED_VALUE"""),"한메")</f>
        <v>한메</v>
      </c>
      <c r="L1988" s="26" t="str">
        <f>IFERROR(__xludf.DUMMYFUNCTION("""COMPUTED_VALUE"""),"신형만")</f>
        <v>신형만</v>
      </c>
      <c r="M1988" s="26" t="str">
        <f>IFERROR(__xludf.DUMMYFUNCTION("""COMPUTED_VALUE"""),"민우")</f>
        <v>민우</v>
      </c>
      <c r="N1988" s="26" t="str">
        <f>IFERROR(__xludf.DUMMYFUNCTION("ARRAYFORMULA(REGEXEXTRACT(SPLIT(E1988, ""&lt;br&gt;""), ""([가-힣A-Za-z]+)""))"),"ACDC")</f>
        <v>ACDC</v>
      </c>
      <c r="O1988" s="26" t="str">
        <f>IFERROR(__xludf.DUMMYFUNCTION("""COMPUTED_VALUE"""),"재명")</f>
        <v>재명</v>
      </c>
      <c r="P1988" s="26" t="str">
        <f>IFERROR(__xludf.DUMMYFUNCTION("""COMPUTED_VALUE"""),"테리")</f>
        <v>테리</v>
      </c>
      <c r="Q1988" s="26" t="str">
        <f>IFERROR(__xludf.DUMMYFUNCTION("""COMPUTED_VALUE"""),"깡패")</f>
        <v>깡패</v>
      </c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  <c r="AB1988" s="18"/>
    </row>
    <row r="1989">
      <c r="A1989" s="31" t="s">
        <v>8210</v>
      </c>
      <c r="B1989" s="28" t="s">
        <v>8211</v>
      </c>
      <c r="C1989" s="27" t="s">
        <v>8212</v>
      </c>
      <c r="D1989" s="27">
        <v>5.0</v>
      </c>
      <c r="E1989" s="27" t="s">
        <v>8213</v>
      </c>
      <c r="F1989" s="27">
        <v>0.0</v>
      </c>
      <c r="G1989" s="29">
        <v>45457.72083333333</v>
      </c>
      <c r="H1989" s="27" t="s">
        <v>7689</v>
      </c>
      <c r="I1989" s="18"/>
      <c r="J1989" s="25" t="str">
        <f>IFERROR(__xludf.DUMMYFUNCTION("ARRAYFORMULA(REGEXEXTRACT(SPLIT(C1989, ""&lt;br&gt;""), ""([가-힣A-Za-z]+)""))"),"ACDC")</f>
        <v>ACDC</v>
      </c>
      <c r="K1989" s="26" t="str">
        <f>IFERROR(__xludf.DUMMYFUNCTION("""COMPUTED_VALUE"""),"신형만")</f>
        <v>신형만</v>
      </c>
      <c r="L1989" s="26" t="str">
        <f>IFERROR(__xludf.DUMMYFUNCTION("""COMPUTED_VALUE"""),"테리")</f>
        <v>테리</v>
      </c>
      <c r="M1989" s="26" t="str">
        <f>IFERROR(__xludf.DUMMYFUNCTION("""COMPUTED_VALUE"""),"깡패")</f>
        <v>깡패</v>
      </c>
      <c r="N1989" s="26" t="str">
        <f>IFERROR(__xludf.DUMMYFUNCTION("ARRAYFORMULA(REGEXEXTRACT(SPLIT(E1989, ""&lt;br&gt;""), ""([가-힣A-Za-z]+)""))"),"민우")</f>
        <v>민우</v>
      </c>
      <c r="O1989" s="26" t="str">
        <f>IFERROR(__xludf.DUMMYFUNCTION("""COMPUTED_VALUE"""),"재명")</f>
        <v>재명</v>
      </c>
      <c r="P1989" s="26" t="str">
        <f>IFERROR(__xludf.DUMMYFUNCTION("""COMPUTED_VALUE"""),"오크")</f>
        <v>오크</v>
      </c>
      <c r="Q1989" s="26" t="str">
        <f>IFERROR(__xludf.DUMMYFUNCTION("""COMPUTED_VALUE"""),"한메")</f>
        <v>한메</v>
      </c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  <c r="AB1989" s="18"/>
    </row>
    <row r="1990">
      <c r="A1990" s="31" t="s">
        <v>8214</v>
      </c>
      <c r="B1990" s="28" t="s">
        <v>8215</v>
      </c>
      <c r="C1990" s="27" t="s">
        <v>8216</v>
      </c>
      <c r="D1990" s="27">
        <v>5.0</v>
      </c>
      <c r="E1990" s="27" t="s">
        <v>8217</v>
      </c>
      <c r="F1990" s="27">
        <v>4.0</v>
      </c>
      <c r="G1990" s="29">
        <v>45457.70486111111</v>
      </c>
      <c r="H1990" s="27" t="s">
        <v>7689</v>
      </c>
      <c r="I1990" s="18"/>
      <c r="J1990" s="25" t="str">
        <f>IFERROR(__xludf.DUMMYFUNCTION("ARRAYFORMULA(REGEXEXTRACT(SPLIT(C1990, ""&lt;br&gt;""), ""([가-힣A-Za-z]+)""))"),"재명")</f>
        <v>재명</v>
      </c>
      <c r="K1990" s="26" t="str">
        <f>IFERROR(__xludf.DUMMYFUNCTION("""COMPUTED_VALUE"""),"깡패")</f>
        <v>깡패</v>
      </c>
      <c r="L1990" s="26" t="str">
        <f>IFERROR(__xludf.DUMMYFUNCTION("""COMPUTED_VALUE"""),"신형만")</f>
        <v>신형만</v>
      </c>
      <c r="M1990" s="26" t="str">
        <f>IFERROR(__xludf.DUMMYFUNCTION("""COMPUTED_VALUE"""),"민우")</f>
        <v>민우</v>
      </c>
      <c r="N1990" s="26" t="str">
        <f>IFERROR(__xludf.DUMMYFUNCTION("ARRAYFORMULA(REGEXEXTRACT(SPLIT(E1990, ""&lt;br&gt;""), ""([가-힣A-Za-z]+)""))"),"ACDC")</f>
        <v>ACDC</v>
      </c>
      <c r="O1990" s="26" t="str">
        <f>IFERROR(__xludf.DUMMYFUNCTION("""COMPUTED_VALUE"""),"테리")</f>
        <v>테리</v>
      </c>
      <c r="P1990" s="26" t="str">
        <f>IFERROR(__xludf.DUMMYFUNCTION("""COMPUTED_VALUE"""),"한메")</f>
        <v>한메</v>
      </c>
      <c r="Q1990" s="26" t="str">
        <f>IFERROR(__xludf.DUMMYFUNCTION("""COMPUTED_VALUE"""),"오크")</f>
        <v>오크</v>
      </c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  <c r="AB1990" s="18"/>
    </row>
    <row r="1991">
      <c r="A1991" s="31" t="s">
        <v>8218</v>
      </c>
      <c r="B1991" s="28" t="s">
        <v>8219</v>
      </c>
      <c r="C1991" s="27" t="s">
        <v>8220</v>
      </c>
      <c r="D1991" s="27">
        <v>5.0</v>
      </c>
      <c r="E1991" s="27" t="s">
        <v>8221</v>
      </c>
      <c r="F1991" s="27">
        <v>0.0</v>
      </c>
      <c r="G1991" s="29">
        <v>45457.05347222222</v>
      </c>
      <c r="H1991" s="27" t="s">
        <v>7689</v>
      </c>
      <c r="I1991" s="18"/>
      <c r="J1991" s="25" t="str">
        <f>IFERROR(__xludf.DUMMYFUNCTION("ARRAYFORMULA(REGEXEXTRACT(SPLIT(C1991, ""&lt;br&gt;""), ""([가-힣A-Za-z]+)""))"),"강화")</f>
        <v>강화</v>
      </c>
      <c r="K1991" s="26" t="str">
        <f>IFERROR(__xludf.DUMMYFUNCTION("""COMPUTED_VALUE"""),"짱구")</f>
        <v>짱구</v>
      </c>
      <c r="L1991" s="26" t="str">
        <f>IFERROR(__xludf.DUMMYFUNCTION("""COMPUTED_VALUE"""),"엘더")</f>
        <v>엘더</v>
      </c>
      <c r="M1991" s="26" t="str">
        <f>IFERROR(__xludf.DUMMYFUNCTION("""COMPUTED_VALUE"""),"깡패")</f>
        <v>깡패</v>
      </c>
      <c r="N1991" s="26" t="str">
        <f>IFERROR(__xludf.DUMMYFUNCTION("ARRAYFORMULA(REGEXEXTRACT(SPLIT(E1991, ""&lt;br&gt;""), ""([가-힣A-Za-z]+)""))"),"ACDC")</f>
        <v>ACDC</v>
      </c>
      <c r="O1991" s="26" t="str">
        <f>IFERROR(__xludf.DUMMYFUNCTION("""COMPUTED_VALUE"""),"오크")</f>
        <v>오크</v>
      </c>
      <c r="P1991" s="26" t="str">
        <f>IFERROR(__xludf.DUMMYFUNCTION("""COMPUTED_VALUE"""),"재명")</f>
        <v>재명</v>
      </c>
      <c r="Q1991" s="26" t="str">
        <f>IFERROR(__xludf.DUMMYFUNCTION("""COMPUTED_VALUE"""),"신형만")</f>
        <v>신형만</v>
      </c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  <c r="AB1991" s="18"/>
    </row>
    <row r="1992">
      <c r="A1992" s="31" t="s">
        <v>8222</v>
      </c>
      <c r="B1992" s="28" t="s">
        <v>8223</v>
      </c>
      <c r="C1992" s="27" t="s">
        <v>8224</v>
      </c>
      <c r="D1992" s="27">
        <v>5.0</v>
      </c>
      <c r="E1992" s="27" t="s">
        <v>8225</v>
      </c>
      <c r="F1992" s="27">
        <v>1.0</v>
      </c>
      <c r="G1992" s="29">
        <v>45457.03958333333</v>
      </c>
      <c r="H1992" s="27" t="s">
        <v>7689</v>
      </c>
      <c r="I1992" s="18"/>
      <c r="J1992" s="25" t="str">
        <f>IFERROR(__xludf.DUMMYFUNCTION("ARRAYFORMULA(REGEXEXTRACT(SPLIT(C1992, ""&lt;br&gt;""), ""([가-힣A-Za-z]+)""))"),"ACDC")</f>
        <v>ACDC</v>
      </c>
      <c r="K1992" s="26" t="str">
        <f>IFERROR(__xludf.DUMMYFUNCTION("""COMPUTED_VALUE"""),"엘더")</f>
        <v>엘더</v>
      </c>
      <c r="L1992" s="26" t="str">
        <f>IFERROR(__xludf.DUMMYFUNCTION("""COMPUTED_VALUE"""),"짱구")</f>
        <v>짱구</v>
      </c>
      <c r="M1992" s="26" t="str">
        <f>IFERROR(__xludf.DUMMYFUNCTION("""COMPUTED_VALUE"""),"강화")</f>
        <v>강화</v>
      </c>
      <c r="N1992" s="26" t="str">
        <f>IFERROR(__xludf.DUMMYFUNCTION("ARRAYFORMULA(REGEXEXTRACT(SPLIT(E1992, ""&lt;br&gt;""), ""([가-힣A-Za-z]+)""))"),"재명")</f>
        <v>재명</v>
      </c>
      <c r="O1992" s="26" t="str">
        <f>IFERROR(__xludf.DUMMYFUNCTION("""COMPUTED_VALUE"""),"오크")</f>
        <v>오크</v>
      </c>
      <c r="P1992" s="26" t="str">
        <f>IFERROR(__xludf.DUMMYFUNCTION("""COMPUTED_VALUE"""),"신형만")</f>
        <v>신형만</v>
      </c>
      <c r="Q1992" s="26" t="str">
        <f>IFERROR(__xludf.DUMMYFUNCTION("""COMPUTED_VALUE"""),"깡패")</f>
        <v>깡패</v>
      </c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  <c r="AB1992" s="18"/>
    </row>
    <row r="1993">
      <c r="A1993" s="31" t="s">
        <v>8226</v>
      </c>
      <c r="B1993" s="28" t="s">
        <v>8227</v>
      </c>
      <c r="C1993" s="27" t="s">
        <v>8228</v>
      </c>
      <c r="D1993" s="27">
        <v>5.0</v>
      </c>
      <c r="E1993" s="27" t="s">
        <v>8229</v>
      </c>
      <c r="F1993" s="27">
        <v>0.0</v>
      </c>
      <c r="G1993" s="29">
        <v>45457.01736111111</v>
      </c>
      <c r="H1993" s="27" t="s">
        <v>7689</v>
      </c>
      <c r="I1993" s="18"/>
      <c r="J1993" s="25" t="str">
        <f>IFERROR(__xludf.DUMMYFUNCTION("ARRAYFORMULA(REGEXEXTRACT(SPLIT(C1993, ""&lt;br&gt;""), ""([가-힣A-Za-z]+)""))"),"오크")</f>
        <v>오크</v>
      </c>
      <c r="K1993" s="26" t="str">
        <f>IFERROR(__xludf.DUMMYFUNCTION("""COMPUTED_VALUE"""),"짱구")</f>
        <v>짱구</v>
      </c>
      <c r="L1993" s="26" t="str">
        <f>IFERROR(__xludf.DUMMYFUNCTION("""COMPUTED_VALUE"""),"엘더")</f>
        <v>엘더</v>
      </c>
      <c r="M1993" s="26" t="str">
        <f>IFERROR(__xludf.DUMMYFUNCTION("""COMPUTED_VALUE"""),"깡패")</f>
        <v>깡패</v>
      </c>
      <c r="N1993" s="26" t="str">
        <f>IFERROR(__xludf.DUMMYFUNCTION("ARRAYFORMULA(REGEXEXTRACT(SPLIT(E1993, ""&lt;br&gt;""), ""([가-힣A-Za-z]+)""))"),"신형만")</f>
        <v>신형만</v>
      </c>
      <c r="O1993" s="26" t="str">
        <f>IFERROR(__xludf.DUMMYFUNCTION("""COMPUTED_VALUE"""),"ACDC")</f>
        <v>ACDC</v>
      </c>
      <c r="P1993" s="26" t="str">
        <f>IFERROR(__xludf.DUMMYFUNCTION("""COMPUTED_VALUE"""),"강화")</f>
        <v>강화</v>
      </c>
      <c r="Q1993" s="26" t="str">
        <f>IFERROR(__xludf.DUMMYFUNCTION("""COMPUTED_VALUE"""),"재명")</f>
        <v>재명</v>
      </c>
      <c r="R1993" s="18"/>
      <c r="S1993" s="18"/>
      <c r="T1993" s="18"/>
      <c r="U1993" s="18"/>
      <c r="V1993" s="18"/>
      <c r="W1993" s="18"/>
      <c r="X1993" s="18"/>
      <c r="Y1993" s="18"/>
      <c r="Z1993" s="18"/>
      <c r="AA1993" s="18"/>
      <c r="AB1993" s="18"/>
    </row>
    <row r="1994">
      <c r="A1994" s="31" t="s">
        <v>8230</v>
      </c>
      <c r="B1994" s="28" t="s">
        <v>8231</v>
      </c>
      <c r="C1994" s="27" t="s">
        <v>8232</v>
      </c>
      <c r="D1994" s="27">
        <v>5.0</v>
      </c>
      <c r="E1994" s="27" t="s">
        <v>8233</v>
      </c>
      <c r="F1994" s="27">
        <v>2.0</v>
      </c>
      <c r="G1994" s="29">
        <v>45455.941666666666</v>
      </c>
      <c r="H1994" s="27" t="s">
        <v>7689</v>
      </c>
      <c r="I1994" s="18"/>
      <c r="J1994" s="25" t="str">
        <f>IFERROR(__xludf.DUMMYFUNCTION("ARRAYFORMULA(REGEXEXTRACT(SPLIT(C1994, ""&lt;br&gt;""), ""([가-힣A-Za-z]+)""))"),"한메")</f>
        <v>한메</v>
      </c>
      <c r="K1994" s="26" t="str">
        <f>IFERROR(__xludf.DUMMYFUNCTION("""COMPUTED_VALUE"""),"재명")</f>
        <v>재명</v>
      </c>
      <c r="L1994" s="26" t="str">
        <f>IFERROR(__xludf.DUMMYFUNCTION("""COMPUTED_VALUE"""),"ovo")</f>
        <v>ovo</v>
      </c>
      <c r="M1994" s="26" t="str">
        <f>IFERROR(__xludf.DUMMYFUNCTION("""COMPUTED_VALUE"""),"깡패")</f>
        <v>깡패</v>
      </c>
      <c r="N1994" s="26" t="str">
        <f>IFERROR(__xludf.DUMMYFUNCTION("ARRAYFORMULA(REGEXEXTRACT(SPLIT(E1994, ""&lt;br&gt;""), ""([가-힣A-Za-z]+)""))"),"재우")</f>
        <v>재우</v>
      </c>
      <c r="O1994" s="26" t="str">
        <f>IFERROR(__xludf.DUMMYFUNCTION("""COMPUTED_VALUE"""),"ACDC")</f>
        <v>ACDC</v>
      </c>
      <c r="P1994" s="26" t="str">
        <f>IFERROR(__xludf.DUMMYFUNCTION("""COMPUTED_VALUE"""),"강화")</f>
        <v>강화</v>
      </c>
      <c r="Q1994" s="26" t="str">
        <f>IFERROR(__xludf.DUMMYFUNCTION("""COMPUTED_VALUE"""),"랄")</f>
        <v>랄</v>
      </c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  <c r="AB1994" s="18"/>
    </row>
    <row r="1995">
      <c r="A1995" s="31" t="s">
        <v>8234</v>
      </c>
      <c r="B1995" s="28" t="s">
        <v>8235</v>
      </c>
      <c r="C1995" s="27" t="s">
        <v>8236</v>
      </c>
      <c r="D1995" s="27">
        <v>5.0</v>
      </c>
      <c r="E1995" s="27" t="s">
        <v>8237</v>
      </c>
      <c r="F1995" s="27">
        <v>1.0</v>
      </c>
      <c r="G1995" s="29">
        <v>45455.919444444444</v>
      </c>
      <c r="H1995" s="27" t="s">
        <v>7689</v>
      </c>
      <c r="I1995" s="18"/>
      <c r="J1995" s="25" t="str">
        <f>IFERROR(__xludf.DUMMYFUNCTION("ARRAYFORMULA(REGEXEXTRACT(SPLIT(C1995, ""&lt;br&gt;""), ""([가-힣A-Za-z]+)""))"),"ovo")</f>
        <v>ovo</v>
      </c>
      <c r="K1995" s="26" t="str">
        <f>IFERROR(__xludf.DUMMYFUNCTION("""COMPUTED_VALUE"""),"랄")</f>
        <v>랄</v>
      </c>
      <c r="L1995" s="26" t="str">
        <f>IFERROR(__xludf.DUMMYFUNCTION("""COMPUTED_VALUE"""),"한메")</f>
        <v>한메</v>
      </c>
      <c r="M1995" s="26" t="str">
        <f>IFERROR(__xludf.DUMMYFUNCTION("""COMPUTED_VALUE"""),"깡패")</f>
        <v>깡패</v>
      </c>
      <c r="N1995" s="26" t="str">
        <f>IFERROR(__xludf.DUMMYFUNCTION("ARRAYFORMULA(REGEXEXTRACT(SPLIT(E1995, ""&lt;br&gt;""), ""([가-힣A-Za-z]+)""))"),"재명")</f>
        <v>재명</v>
      </c>
      <c r="O1995" s="26" t="str">
        <f>IFERROR(__xludf.DUMMYFUNCTION("""COMPUTED_VALUE"""),"ACDC")</f>
        <v>ACDC</v>
      </c>
      <c r="P1995" s="26" t="str">
        <f>IFERROR(__xludf.DUMMYFUNCTION("""COMPUTED_VALUE"""),"강화")</f>
        <v>강화</v>
      </c>
      <c r="Q1995" s="26" t="str">
        <f>IFERROR(__xludf.DUMMYFUNCTION("""COMPUTED_VALUE"""),"재우")</f>
        <v>재우</v>
      </c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  <c r="AB1995" s="18"/>
    </row>
    <row r="1996">
      <c r="A1996" s="31" t="s">
        <v>8238</v>
      </c>
      <c r="B1996" s="28" t="s">
        <v>8239</v>
      </c>
      <c r="C1996" s="27" t="s">
        <v>8240</v>
      </c>
      <c r="D1996" s="27">
        <v>5.0</v>
      </c>
      <c r="E1996" s="27" t="s">
        <v>8241</v>
      </c>
      <c r="F1996" s="27">
        <v>1.0</v>
      </c>
      <c r="G1996" s="29">
        <v>45455.018055555556</v>
      </c>
      <c r="H1996" s="27" t="s">
        <v>7689</v>
      </c>
      <c r="I1996" s="18"/>
      <c r="J1996" s="25" t="str">
        <f>IFERROR(__xludf.DUMMYFUNCTION("ARRAYFORMULA(REGEXEXTRACT(SPLIT(C1996, ""&lt;br&gt;""), ""([가-힣A-Za-z]+)""))"),"오크")</f>
        <v>오크</v>
      </c>
      <c r="K1996" s="26" t="str">
        <f>IFERROR(__xludf.DUMMYFUNCTION("""COMPUTED_VALUE"""),"한메")</f>
        <v>한메</v>
      </c>
      <c r="L1996" s="26" t="str">
        <f>IFERROR(__xludf.DUMMYFUNCTION("""COMPUTED_VALUE"""),"짱구")</f>
        <v>짱구</v>
      </c>
      <c r="M1996" s="26" t="str">
        <f>IFERROR(__xludf.DUMMYFUNCTION("""COMPUTED_VALUE"""),"재우")</f>
        <v>재우</v>
      </c>
      <c r="N1996" s="26" t="str">
        <f>IFERROR(__xludf.DUMMYFUNCTION("ARRAYFORMULA(REGEXEXTRACT(SPLIT(E1996, ""&lt;br&gt;""), ""([가-힣A-Za-z]+)""))"),"신형만")</f>
        <v>신형만</v>
      </c>
      <c r="O1996" s="26" t="str">
        <f>IFERROR(__xludf.DUMMYFUNCTION("""COMPUTED_VALUE"""),"ACDC")</f>
        <v>ACDC</v>
      </c>
      <c r="P1996" s="26" t="str">
        <f>IFERROR(__xludf.DUMMYFUNCTION("""COMPUTED_VALUE"""),"악동")</f>
        <v>악동</v>
      </c>
      <c r="Q1996" s="26" t="str">
        <f>IFERROR(__xludf.DUMMYFUNCTION("""COMPUTED_VALUE"""),"깡패")</f>
        <v>깡패</v>
      </c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  <c r="AB1996" s="18"/>
    </row>
    <row r="1997">
      <c r="A1997" s="31" t="s">
        <v>8242</v>
      </c>
      <c r="B1997" s="28" t="s">
        <v>8243</v>
      </c>
      <c r="C1997" s="27" t="s">
        <v>8244</v>
      </c>
      <c r="D1997" s="27">
        <v>5.0</v>
      </c>
      <c r="E1997" s="27" t="s">
        <v>8245</v>
      </c>
      <c r="F1997" s="27">
        <v>2.0</v>
      </c>
      <c r="G1997" s="29">
        <v>45455.01458333333</v>
      </c>
      <c r="H1997" s="27" t="s">
        <v>7689</v>
      </c>
      <c r="I1997" s="18"/>
      <c r="J1997" s="25" t="str">
        <f>IFERROR(__xludf.DUMMYFUNCTION("ARRAYFORMULA(REGEXEXTRACT(SPLIT(C1997, ""&lt;br&gt;""), ""([가-힣A-Za-z]+)""))"),"ACDC")</f>
        <v>ACDC</v>
      </c>
      <c r="K1997" s="26" t="str">
        <f>IFERROR(__xludf.DUMMYFUNCTION("""COMPUTED_VALUE"""),"깡패")</f>
        <v>깡패</v>
      </c>
      <c r="L1997" s="26" t="str">
        <f>IFERROR(__xludf.DUMMYFUNCTION("""COMPUTED_VALUE"""),"한메")</f>
        <v>한메</v>
      </c>
      <c r="M1997" s="26" t="str">
        <f>IFERROR(__xludf.DUMMYFUNCTION("""COMPUTED_VALUE"""),"악동")</f>
        <v>악동</v>
      </c>
      <c r="N1997" s="26" t="str">
        <f>IFERROR(__xludf.DUMMYFUNCTION("ARRAYFORMULA(REGEXEXTRACT(SPLIT(E1997, ""&lt;br&gt;""), ""([가-힣A-Za-z]+)""))"),"랄")</f>
        <v>랄</v>
      </c>
      <c r="O1997" s="26" t="str">
        <f>IFERROR(__xludf.DUMMYFUNCTION("""COMPUTED_VALUE"""),"강화")</f>
        <v>강화</v>
      </c>
      <c r="P1997" s="26" t="str">
        <f>IFERROR(__xludf.DUMMYFUNCTION("""COMPUTED_VALUE"""),"재우")</f>
        <v>재우</v>
      </c>
      <c r="Q1997" s="26" t="str">
        <f>IFERROR(__xludf.DUMMYFUNCTION("""COMPUTED_VALUE"""),"신형만")</f>
        <v>신형만</v>
      </c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  <c r="AB1997" s="18"/>
    </row>
    <row r="1998">
      <c r="A1998" s="31" t="s">
        <v>8246</v>
      </c>
      <c r="B1998" s="28" t="s">
        <v>8247</v>
      </c>
      <c r="C1998" s="27" t="s">
        <v>8248</v>
      </c>
      <c r="D1998" s="27">
        <v>5.0</v>
      </c>
      <c r="E1998" s="27" t="s">
        <v>8249</v>
      </c>
      <c r="F1998" s="27">
        <v>3.0</v>
      </c>
      <c r="G1998" s="29">
        <v>45454.970138888886</v>
      </c>
      <c r="H1998" s="27" t="s">
        <v>7689</v>
      </c>
      <c r="I1998" s="18"/>
      <c r="J1998" s="25" t="str">
        <f>IFERROR(__xludf.DUMMYFUNCTION("ARRAYFORMULA(REGEXEXTRACT(SPLIT(C1998, ""&lt;br&gt;""), ""([가-힣A-Za-z]+)""))"),"한메")</f>
        <v>한메</v>
      </c>
      <c r="K1998" s="26" t="str">
        <f>IFERROR(__xludf.DUMMYFUNCTION("""COMPUTED_VALUE"""),"재우")</f>
        <v>재우</v>
      </c>
      <c r="L1998" s="26" t="str">
        <f>IFERROR(__xludf.DUMMYFUNCTION("""COMPUTED_VALUE"""),"재명")</f>
        <v>재명</v>
      </c>
      <c r="M1998" s="26" t="str">
        <f>IFERROR(__xludf.DUMMYFUNCTION("""COMPUTED_VALUE"""),"신형만")</f>
        <v>신형만</v>
      </c>
      <c r="N1998" s="26" t="str">
        <f>IFERROR(__xludf.DUMMYFUNCTION("ARRAYFORMULA(REGEXEXTRACT(SPLIT(E1998, ""&lt;br&gt;""), ""([가-힣A-Za-z]+)""))"),"랄")</f>
        <v>랄</v>
      </c>
      <c r="O1998" s="26" t="str">
        <f>IFERROR(__xludf.DUMMYFUNCTION("""COMPUTED_VALUE"""),"깡패")</f>
        <v>깡패</v>
      </c>
      <c r="P1998" s="26" t="str">
        <f>IFERROR(__xludf.DUMMYFUNCTION("""COMPUTED_VALUE"""),"ACDC")</f>
        <v>ACDC</v>
      </c>
      <c r="Q1998" s="26" t="str">
        <f>IFERROR(__xludf.DUMMYFUNCTION("""COMPUTED_VALUE"""),"강화")</f>
        <v>강화</v>
      </c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  <c r="AB1998" s="18"/>
    </row>
    <row r="1999">
      <c r="A1999" s="31" t="s">
        <v>8250</v>
      </c>
      <c r="B1999" s="28" t="s">
        <v>8251</v>
      </c>
      <c r="C1999" s="27" t="s">
        <v>8252</v>
      </c>
      <c r="D1999" s="27">
        <v>5.0</v>
      </c>
      <c r="E1999" s="27" t="s">
        <v>8253</v>
      </c>
      <c r="F1999" s="27">
        <v>3.0</v>
      </c>
      <c r="G1999" s="29">
        <v>45454.94583333333</v>
      </c>
      <c r="H1999" s="27" t="s">
        <v>7689</v>
      </c>
      <c r="I1999" s="18"/>
      <c r="J1999" s="25" t="str">
        <f>IFERROR(__xludf.DUMMYFUNCTION("ARRAYFORMULA(REGEXEXTRACT(SPLIT(C1999, ""&lt;br&gt;""), ""([가-힣A-Za-z]+)""))"),"강화")</f>
        <v>강화</v>
      </c>
      <c r="K1999" s="26" t="str">
        <f>IFERROR(__xludf.DUMMYFUNCTION("""COMPUTED_VALUE"""),"재명")</f>
        <v>재명</v>
      </c>
      <c r="L1999" s="26" t="str">
        <f>IFERROR(__xludf.DUMMYFUNCTION("""COMPUTED_VALUE"""),"ACDC")</f>
        <v>ACDC</v>
      </c>
      <c r="M1999" s="26" t="str">
        <f>IFERROR(__xludf.DUMMYFUNCTION("""COMPUTED_VALUE"""),"신형만")</f>
        <v>신형만</v>
      </c>
      <c r="N1999" s="26" t="str">
        <f>IFERROR(__xludf.DUMMYFUNCTION("ARRAYFORMULA(REGEXEXTRACT(SPLIT(E1999, ""&lt;br&gt;""), ""([가-힣A-Za-z]+)""))"),"한메")</f>
        <v>한메</v>
      </c>
      <c r="O1999" s="26" t="str">
        <f>IFERROR(__xludf.DUMMYFUNCTION("""COMPUTED_VALUE"""),"깡패")</f>
        <v>깡패</v>
      </c>
      <c r="P1999" s="26" t="str">
        <f>IFERROR(__xludf.DUMMYFUNCTION("""COMPUTED_VALUE"""),"랄")</f>
        <v>랄</v>
      </c>
      <c r="Q1999" s="26" t="str">
        <f>IFERROR(__xludf.DUMMYFUNCTION("""COMPUTED_VALUE"""),"재우")</f>
        <v>재우</v>
      </c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</row>
    <row r="2000">
      <c r="A2000" s="31" t="s">
        <v>8254</v>
      </c>
      <c r="B2000" s="28" t="s">
        <v>8255</v>
      </c>
      <c r="C2000" s="27" t="s">
        <v>8256</v>
      </c>
      <c r="D2000" s="27">
        <v>5.0</v>
      </c>
      <c r="E2000" s="27" t="s">
        <v>8257</v>
      </c>
      <c r="F2000" s="27">
        <v>2.0</v>
      </c>
      <c r="G2000" s="29">
        <v>45454.916666666664</v>
      </c>
      <c r="H2000" s="27" t="s">
        <v>7689</v>
      </c>
      <c r="I2000" s="18"/>
      <c r="J2000" s="25" t="str">
        <f>IFERROR(__xludf.DUMMYFUNCTION("ARRAYFORMULA(REGEXEXTRACT(SPLIT(C2000, ""&lt;br&gt;""), ""([가-힣A-Za-z]+)""))"),"재명")</f>
        <v>재명</v>
      </c>
      <c r="K2000" s="26" t="str">
        <f>IFERROR(__xludf.DUMMYFUNCTION("""COMPUTED_VALUE"""),"팰리")</f>
        <v>팰리</v>
      </c>
      <c r="L2000" s="26" t="str">
        <f>IFERROR(__xludf.DUMMYFUNCTION("""COMPUTED_VALUE"""),"신형만")</f>
        <v>신형만</v>
      </c>
      <c r="M2000" s="26" t="str">
        <f>IFERROR(__xludf.DUMMYFUNCTION("""COMPUTED_VALUE"""),"깡패")</f>
        <v>깡패</v>
      </c>
      <c r="N2000" s="26" t="str">
        <f>IFERROR(__xludf.DUMMYFUNCTION("ARRAYFORMULA(REGEXEXTRACT(SPLIT(E2000, ""&lt;br&gt;""), ""([가-힣A-Za-z]+)""))"),"한메")</f>
        <v>한메</v>
      </c>
      <c r="O2000" s="26" t="str">
        <f>IFERROR(__xludf.DUMMYFUNCTION("""COMPUTED_VALUE"""),"ACDC")</f>
        <v>ACDC</v>
      </c>
      <c r="P2000" s="26" t="str">
        <f>IFERROR(__xludf.DUMMYFUNCTION("""COMPUTED_VALUE"""),"재우")</f>
        <v>재우</v>
      </c>
      <c r="Q2000" s="26" t="str">
        <f>IFERROR(__xludf.DUMMYFUNCTION("""COMPUTED_VALUE"""),"강화")</f>
        <v>강화</v>
      </c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</row>
    <row r="2001">
      <c r="A2001" s="31" t="s">
        <v>8258</v>
      </c>
      <c r="B2001" s="28" t="s">
        <v>8259</v>
      </c>
      <c r="C2001" s="27" t="s">
        <v>8260</v>
      </c>
      <c r="D2001" s="27">
        <v>5.0</v>
      </c>
      <c r="E2001" s="27" t="s">
        <v>8261</v>
      </c>
      <c r="F2001" s="27">
        <v>0.0</v>
      </c>
      <c r="G2001" s="29">
        <v>45454.895833333336</v>
      </c>
      <c r="H2001" s="27" t="s">
        <v>7689</v>
      </c>
      <c r="I2001" s="18"/>
      <c r="J2001" s="25" t="str">
        <f>IFERROR(__xludf.DUMMYFUNCTION("ARRAYFORMULA(REGEXEXTRACT(SPLIT(C2001, ""&lt;br&gt;""), ""([가-힣A-Za-z]+)""))"),"신형만")</f>
        <v>신형만</v>
      </c>
      <c r="K2001" s="26" t="str">
        <f>IFERROR(__xludf.DUMMYFUNCTION("""COMPUTED_VALUE"""),"재명")</f>
        <v>재명</v>
      </c>
      <c r="L2001" s="26" t="str">
        <f>IFERROR(__xludf.DUMMYFUNCTION("""COMPUTED_VALUE"""),"강화")</f>
        <v>강화</v>
      </c>
      <c r="M2001" s="26" t="str">
        <f>IFERROR(__xludf.DUMMYFUNCTION("""COMPUTED_VALUE"""),"깡패")</f>
        <v>깡패</v>
      </c>
      <c r="N2001" s="26" t="str">
        <f>IFERROR(__xludf.DUMMYFUNCTION("ARRAYFORMULA(REGEXEXTRACT(SPLIT(E2001, ""&lt;br&gt;""), ""([가-힣A-Za-z]+)""))"),"팰리")</f>
        <v>팰리</v>
      </c>
      <c r="O2001" s="26" t="str">
        <f>IFERROR(__xludf.DUMMYFUNCTION("""COMPUTED_VALUE"""),"ACDC")</f>
        <v>ACDC</v>
      </c>
      <c r="P2001" s="26" t="str">
        <f>IFERROR(__xludf.DUMMYFUNCTION("""COMPUTED_VALUE"""),"재우")</f>
        <v>재우</v>
      </c>
      <c r="Q2001" s="26" t="str">
        <f>IFERROR(__xludf.DUMMYFUNCTION("""COMPUTED_VALUE"""),"한메")</f>
        <v>한메</v>
      </c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</row>
    <row r="2002">
      <c r="A2002" s="31" t="s">
        <v>8262</v>
      </c>
      <c r="B2002" s="28" t="s">
        <v>8263</v>
      </c>
      <c r="C2002" s="27" t="s">
        <v>8264</v>
      </c>
      <c r="D2002" s="27">
        <v>5.0</v>
      </c>
      <c r="E2002" s="27" t="s">
        <v>8265</v>
      </c>
      <c r="F2002" s="27">
        <v>2.0</v>
      </c>
      <c r="G2002" s="29">
        <v>45454.02847222222</v>
      </c>
      <c r="H2002" s="27" t="s">
        <v>8266</v>
      </c>
      <c r="I2002" s="18"/>
      <c r="J2002" s="25" t="str">
        <f>IFERROR(__xludf.DUMMYFUNCTION("ARRAYFORMULA(REGEXEXTRACT(SPLIT(C2002, ""&lt;br&gt;""), ""([가-힣A-Za-z]+)""))"),"강화")</f>
        <v>강화</v>
      </c>
      <c r="K2002" s="26" t="str">
        <f>IFERROR(__xludf.DUMMYFUNCTION("""COMPUTED_VALUE"""),"깡패")</f>
        <v>깡패</v>
      </c>
      <c r="L2002" s="26" t="str">
        <f>IFERROR(__xludf.DUMMYFUNCTION("""COMPUTED_VALUE"""),"엘더")</f>
        <v>엘더</v>
      </c>
      <c r="M2002" s="26" t="str">
        <f>IFERROR(__xludf.DUMMYFUNCTION("""COMPUTED_VALUE"""),"재우")</f>
        <v>재우</v>
      </c>
      <c r="N2002" s="26" t="str">
        <f>IFERROR(__xludf.DUMMYFUNCTION("ARRAYFORMULA(REGEXEXTRACT(SPLIT(E2002, ""&lt;br&gt;""), ""([가-힣A-Za-z]+)""))"),"한메")</f>
        <v>한메</v>
      </c>
      <c r="O2002" s="26" t="str">
        <f>IFERROR(__xludf.DUMMYFUNCTION("""COMPUTED_VALUE"""),"ACDC")</f>
        <v>ACDC</v>
      </c>
      <c r="P2002" s="26" t="str">
        <f>IFERROR(__xludf.DUMMYFUNCTION("""COMPUTED_VALUE"""),"짱구")</f>
        <v>짱구</v>
      </c>
      <c r="Q2002" s="26" t="str">
        <f>IFERROR(__xludf.DUMMYFUNCTION("""COMPUTED_VALUE"""),"재명")</f>
        <v>재명</v>
      </c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18"/>
    </row>
    <row r="2003">
      <c r="A2003" s="31" t="s">
        <v>8267</v>
      </c>
      <c r="B2003" s="28" t="s">
        <v>8268</v>
      </c>
      <c r="C2003" s="27" t="s">
        <v>8269</v>
      </c>
      <c r="D2003" s="27">
        <v>5.0</v>
      </c>
      <c r="E2003" s="27" t="s">
        <v>8270</v>
      </c>
      <c r="F2003" s="27">
        <v>0.0</v>
      </c>
      <c r="G2003" s="29">
        <v>45453.998611111114</v>
      </c>
      <c r="H2003" s="27" t="s">
        <v>8266</v>
      </c>
      <c r="I2003" s="18"/>
      <c r="J2003" s="25" t="str">
        <f>IFERROR(__xludf.DUMMYFUNCTION("ARRAYFORMULA(REGEXEXTRACT(SPLIT(C2003, ""&lt;br&gt;""), ""([가-힣A-Za-z]+)""))"),"엘더")</f>
        <v>엘더</v>
      </c>
      <c r="K2003" s="26" t="str">
        <f>IFERROR(__xludf.DUMMYFUNCTION("""COMPUTED_VALUE"""),"짱구")</f>
        <v>짱구</v>
      </c>
      <c r="L2003" s="26" t="str">
        <f>IFERROR(__xludf.DUMMYFUNCTION("""COMPUTED_VALUE"""),"ACDC")</f>
        <v>ACDC</v>
      </c>
      <c r="M2003" s="26" t="str">
        <f>IFERROR(__xludf.DUMMYFUNCTION("""COMPUTED_VALUE"""),"깡패")</f>
        <v>깡패</v>
      </c>
      <c r="N2003" s="26" t="str">
        <f>IFERROR(__xludf.DUMMYFUNCTION("ARRAYFORMULA(REGEXEXTRACT(SPLIT(E2003, ""&lt;br&gt;""), ""([가-힣A-Za-z]+)""))"),"재우")</f>
        <v>재우</v>
      </c>
      <c r="O2003" s="26" t="str">
        <f>IFERROR(__xludf.DUMMYFUNCTION("""COMPUTED_VALUE"""),"강화")</f>
        <v>강화</v>
      </c>
      <c r="P2003" s="26" t="str">
        <f>IFERROR(__xludf.DUMMYFUNCTION("""COMPUTED_VALUE"""),"한메")</f>
        <v>한메</v>
      </c>
      <c r="Q2003" s="26" t="str">
        <f>IFERROR(__xludf.DUMMYFUNCTION("""COMPUTED_VALUE"""),"재명")</f>
        <v>재명</v>
      </c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8"/>
    </row>
    <row r="2004">
      <c r="A2004" s="31" t="s">
        <v>8271</v>
      </c>
      <c r="B2004" s="28" t="s">
        <v>8272</v>
      </c>
      <c r="C2004" s="27" t="s">
        <v>8273</v>
      </c>
      <c r="D2004" s="27">
        <v>5.0</v>
      </c>
      <c r="E2004" s="27" t="s">
        <v>8274</v>
      </c>
      <c r="F2004" s="27">
        <v>2.0</v>
      </c>
      <c r="G2004" s="29">
        <v>45453.981944444444</v>
      </c>
      <c r="H2004" s="27" t="s">
        <v>8266</v>
      </c>
      <c r="I2004" s="18"/>
      <c r="J2004" s="25" t="str">
        <f>IFERROR(__xludf.DUMMYFUNCTION("ARRAYFORMULA(REGEXEXTRACT(SPLIT(C2004, ""&lt;br&gt;""), ""([가-힣A-Za-z]+)""))"),"재우")</f>
        <v>재우</v>
      </c>
      <c r="K2004" s="26" t="str">
        <f>IFERROR(__xludf.DUMMYFUNCTION("""COMPUTED_VALUE"""),"짱구")</f>
        <v>짱구</v>
      </c>
      <c r="L2004" s="26" t="str">
        <f>IFERROR(__xludf.DUMMYFUNCTION("""COMPUTED_VALUE"""),"한메")</f>
        <v>한메</v>
      </c>
      <c r="M2004" s="26" t="str">
        <f>IFERROR(__xludf.DUMMYFUNCTION("""COMPUTED_VALUE"""),"재명")</f>
        <v>재명</v>
      </c>
      <c r="N2004" s="26" t="str">
        <f>IFERROR(__xludf.DUMMYFUNCTION("ARRAYFORMULA(REGEXEXTRACT(SPLIT(E2004, ""&lt;br&gt;""), ""([가-힣A-Za-z]+)""))"),"엘더")</f>
        <v>엘더</v>
      </c>
      <c r="O2004" s="26" t="str">
        <f>IFERROR(__xludf.DUMMYFUNCTION("""COMPUTED_VALUE"""),"깡패")</f>
        <v>깡패</v>
      </c>
      <c r="P2004" s="26" t="str">
        <f>IFERROR(__xludf.DUMMYFUNCTION("""COMPUTED_VALUE"""),"ACDC")</f>
        <v>ACDC</v>
      </c>
      <c r="Q2004" s="26" t="str">
        <f>IFERROR(__xludf.DUMMYFUNCTION("""COMPUTED_VALUE"""),"강화")</f>
        <v>강화</v>
      </c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8"/>
    </row>
    <row r="2005">
      <c r="A2005" s="31" t="s">
        <v>8275</v>
      </c>
      <c r="B2005" s="28" t="s">
        <v>8276</v>
      </c>
      <c r="C2005" s="27" t="s">
        <v>8277</v>
      </c>
      <c r="D2005" s="27">
        <v>5.0</v>
      </c>
      <c r="E2005" s="27" t="s">
        <v>8278</v>
      </c>
      <c r="F2005" s="27">
        <v>2.0</v>
      </c>
      <c r="G2005" s="29">
        <v>45453.73541666667</v>
      </c>
      <c r="H2005" s="27" t="s">
        <v>8266</v>
      </c>
      <c r="I2005" s="18"/>
      <c r="J2005" s="25" t="str">
        <f>IFERROR(__xludf.DUMMYFUNCTION("ARRAYFORMULA(REGEXEXTRACT(SPLIT(C2005, ""&lt;br&gt;""), ""([가-힣A-Za-z]+)""))"),"윙크")</f>
        <v>윙크</v>
      </c>
      <c r="K2005" s="26" t="str">
        <f>IFERROR(__xludf.DUMMYFUNCTION("""COMPUTED_VALUE"""),"깡패")</f>
        <v>깡패</v>
      </c>
      <c r="L2005" s="26" t="str">
        <f>IFERROR(__xludf.DUMMYFUNCTION("""COMPUTED_VALUE"""),"제이호")</f>
        <v>제이호</v>
      </c>
      <c r="M2005" s="26" t="str">
        <f>IFERROR(__xludf.DUMMYFUNCTION("""COMPUTED_VALUE"""),"오크")</f>
        <v>오크</v>
      </c>
      <c r="N2005" s="26" t="str">
        <f>IFERROR(__xludf.DUMMYFUNCTION("ARRAYFORMULA(REGEXEXTRACT(SPLIT(E2005, ""&lt;br&gt;""), ""([가-힣A-Za-z]+)""))"),"짱구")</f>
        <v>짱구</v>
      </c>
      <c r="O2005" s="26" t="str">
        <f>IFERROR(__xludf.DUMMYFUNCTION("""COMPUTED_VALUE"""),"엘더")</f>
        <v>엘더</v>
      </c>
      <c r="P2005" s="26" t="str">
        <f>IFERROR(__xludf.DUMMYFUNCTION("""COMPUTED_VALUE"""),"ACDC")</f>
        <v>ACDC</v>
      </c>
      <c r="Q2005" s="26" t="str">
        <f>IFERROR(__xludf.DUMMYFUNCTION("""COMPUTED_VALUE"""),"강화")</f>
        <v>강화</v>
      </c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</row>
    <row r="2006">
      <c r="A2006" s="31" t="s">
        <v>8279</v>
      </c>
      <c r="B2006" s="28" t="s">
        <v>8280</v>
      </c>
      <c r="C2006" s="27" t="s">
        <v>8281</v>
      </c>
      <c r="D2006" s="27">
        <v>5.0</v>
      </c>
      <c r="E2006" s="27" t="s">
        <v>8282</v>
      </c>
      <c r="F2006" s="27">
        <v>1.0</v>
      </c>
      <c r="G2006" s="29">
        <v>45453.709027777775</v>
      </c>
      <c r="H2006" s="27" t="s">
        <v>8266</v>
      </c>
      <c r="I2006" s="18"/>
      <c r="J2006" s="25" t="str">
        <f>IFERROR(__xludf.DUMMYFUNCTION("ARRAYFORMULA(REGEXEXTRACT(SPLIT(C2006, ""&lt;br&gt;""), ""([가-힣A-Za-z]+)""))"),"ACDC")</f>
        <v>ACDC</v>
      </c>
      <c r="K2006" s="26" t="str">
        <f>IFERROR(__xludf.DUMMYFUNCTION("""COMPUTED_VALUE"""),"깡패")</f>
        <v>깡패</v>
      </c>
      <c r="L2006" s="26" t="str">
        <f>IFERROR(__xludf.DUMMYFUNCTION("""COMPUTED_VALUE"""),"랄")</f>
        <v>랄</v>
      </c>
      <c r="M2006" s="26" t="str">
        <f>IFERROR(__xludf.DUMMYFUNCTION("""COMPUTED_VALUE"""),"오크")</f>
        <v>오크</v>
      </c>
      <c r="N2006" s="26" t="str">
        <f>IFERROR(__xludf.DUMMYFUNCTION("ARRAYFORMULA(REGEXEXTRACT(SPLIT(E2006, ""&lt;br&gt;""), ""([가-힣A-Za-z]+)""))"),"윙크")</f>
        <v>윙크</v>
      </c>
      <c r="O2006" s="26" t="str">
        <f>IFERROR(__xludf.DUMMYFUNCTION("""COMPUTED_VALUE"""),"신형만")</f>
        <v>신형만</v>
      </c>
      <c r="P2006" s="26" t="str">
        <f>IFERROR(__xludf.DUMMYFUNCTION("""COMPUTED_VALUE"""),"제이호")</f>
        <v>제이호</v>
      </c>
      <c r="Q2006" s="26" t="str">
        <f>IFERROR(__xludf.DUMMYFUNCTION("""COMPUTED_VALUE"""),"강화")</f>
        <v>강화</v>
      </c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</row>
    <row r="2007">
      <c r="A2007" s="31" t="s">
        <v>8283</v>
      </c>
      <c r="B2007" s="28" t="s">
        <v>8284</v>
      </c>
      <c r="C2007" s="27" t="s">
        <v>8285</v>
      </c>
      <c r="D2007" s="27">
        <v>5.0</v>
      </c>
      <c r="E2007" s="27" t="s">
        <v>8286</v>
      </c>
      <c r="F2007" s="27">
        <v>1.0</v>
      </c>
      <c r="G2007" s="29">
        <v>45453.683333333334</v>
      </c>
      <c r="H2007" s="27" t="s">
        <v>8266</v>
      </c>
      <c r="I2007" s="18"/>
      <c r="J2007" s="25" t="str">
        <f>IFERROR(__xludf.DUMMYFUNCTION("ARRAYFORMULA(REGEXEXTRACT(SPLIT(C2007, ""&lt;br&gt;""), ""([가-힣A-Za-z]+)""))"),"윙크")</f>
        <v>윙크</v>
      </c>
      <c r="K2007" s="26" t="str">
        <f>IFERROR(__xludf.DUMMYFUNCTION("""COMPUTED_VALUE"""),"신형만")</f>
        <v>신형만</v>
      </c>
      <c r="L2007" s="26" t="str">
        <f>IFERROR(__xludf.DUMMYFUNCTION("""COMPUTED_VALUE"""),"ACDC")</f>
        <v>ACDC</v>
      </c>
      <c r="M2007" s="26" t="str">
        <f>IFERROR(__xludf.DUMMYFUNCTION("""COMPUTED_VALUE"""),"깡패")</f>
        <v>깡패</v>
      </c>
      <c r="N2007" s="26" t="str">
        <f>IFERROR(__xludf.DUMMYFUNCTION("ARRAYFORMULA(REGEXEXTRACT(SPLIT(E2007, ""&lt;br&gt;""), ""([가-힣A-Za-z]+)""))"),"제이호")</f>
        <v>제이호</v>
      </c>
      <c r="O2007" s="26" t="str">
        <f>IFERROR(__xludf.DUMMYFUNCTION("""COMPUTED_VALUE"""),"랄")</f>
        <v>랄</v>
      </c>
      <c r="P2007" s="26" t="str">
        <f>IFERROR(__xludf.DUMMYFUNCTION("""COMPUTED_VALUE"""),"오크")</f>
        <v>오크</v>
      </c>
      <c r="Q2007" s="26" t="str">
        <f>IFERROR(__xludf.DUMMYFUNCTION("""COMPUTED_VALUE"""),"강화")</f>
        <v>강화</v>
      </c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8"/>
    </row>
    <row r="2008">
      <c r="A2008" s="31" t="s">
        <v>8287</v>
      </c>
      <c r="B2008" s="28" t="s">
        <v>8288</v>
      </c>
      <c r="C2008" s="27" t="s">
        <v>8289</v>
      </c>
      <c r="D2008" s="27">
        <v>5.0</v>
      </c>
      <c r="E2008" s="27" t="s">
        <v>8290</v>
      </c>
      <c r="F2008" s="27">
        <v>1.0</v>
      </c>
      <c r="G2008" s="29">
        <v>45453.66180555556</v>
      </c>
      <c r="H2008" s="27" t="s">
        <v>8266</v>
      </c>
      <c r="I2008" s="18"/>
      <c r="J2008" s="25" t="str">
        <f>IFERROR(__xludf.DUMMYFUNCTION("ARRAYFORMULA(REGEXEXTRACT(SPLIT(C2008, ""&lt;br&gt;""), ""([가-힣A-Za-z]+)""))"),"오크")</f>
        <v>오크</v>
      </c>
      <c r="K2008" s="26" t="str">
        <f>IFERROR(__xludf.DUMMYFUNCTION("""COMPUTED_VALUE"""),"신형만")</f>
        <v>신형만</v>
      </c>
      <c r="L2008" s="26" t="str">
        <f>IFERROR(__xludf.DUMMYFUNCTION("""COMPUTED_VALUE"""),"랄")</f>
        <v>랄</v>
      </c>
      <c r="M2008" s="26" t="str">
        <f>IFERROR(__xludf.DUMMYFUNCTION("""COMPUTED_VALUE"""),"깡패")</f>
        <v>깡패</v>
      </c>
      <c r="N2008" s="26" t="str">
        <f>IFERROR(__xludf.DUMMYFUNCTION("ARRAYFORMULA(REGEXEXTRACT(SPLIT(E2008, ""&lt;br&gt;""), ""([가-힣A-Za-z]+)""))"),"윙크")</f>
        <v>윙크</v>
      </c>
      <c r="O2008" s="26" t="str">
        <f>IFERROR(__xludf.DUMMYFUNCTION("""COMPUTED_VALUE"""),"ACDC")</f>
        <v>ACDC</v>
      </c>
      <c r="P2008" s="26" t="str">
        <f>IFERROR(__xludf.DUMMYFUNCTION("""COMPUTED_VALUE"""),"강화")</f>
        <v>강화</v>
      </c>
      <c r="Q2008" s="26" t="str">
        <f>IFERROR(__xludf.DUMMYFUNCTION("""COMPUTED_VALUE"""),"제이호")</f>
        <v>제이호</v>
      </c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8"/>
    </row>
    <row r="2009">
      <c r="A2009" s="31" t="s">
        <v>8291</v>
      </c>
      <c r="B2009" s="28" t="s">
        <v>8292</v>
      </c>
      <c r="C2009" s="27" t="s">
        <v>8293</v>
      </c>
      <c r="D2009" s="27">
        <v>5.0</v>
      </c>
      <c r="E2009" s="27" t="s">
        <v>8294</v>
      </c>
      <c r="F2009" s="27">
        <v>4.0</v>
      </c>
      <c r="G2009" s="29">
        <v>45453.16527777778</v>
      </c>
      <c r="H2009" s="27" t="s">
        <v>8266</v>
      </c>
      <c r="I2009" s="18"/>
      <c r="J2009" s="25" t="str">
        <f>IFERROR(__xludf.DUMMYFUNCTION("ARRAYFORMULA(REGEXEXTRACT(SPLIT(C2009, ""&lt;br&gt;""), ""([가-힣A-Za-z]+)""))"),"엘더")</f>
        <v>엘더</v>
      </c>
      <c r="K2009" s="26" t="str">
        <f>IFERROR(__xludf.DUMMYFUNCTION("""COMPUTED_VALUE"""),"ACDC")</f>
        <v>ACDC</v>
      </c>
      <c r="L2009" s="26" t="str">
        <f>IFERROR(__xludf.DUMMYFUNCTION("""COMPUTED_VALUE"""),"짱구")</f>
        <v>짱구</v>
      </c>
      <c r="M2009" s="26" t="str">
        <f>IFERROR(__xludf.DUMMYFUNCTION("""COMPUTED_VALUE"""),"깡패")</f>
        <v>깡패</v>
      </c>
      <c r="N2009" s="26" t="str">
        <f>IFERROR(__xludf.DUMMYFUNCTION("ARRAYFORMULA(REGEXEXTRACT(SPLIT(E2009, ""&lt;br&gt;""), ""([가-힣A-Za-z]+)""))"),"아이딘")</f>
        <v>아이딘</v>
      </c>
      <c r="O2009" s="26" t="str">
        <f>IFERROR(__xludf.DUMMYFUNCTION("""COMPUTED_VALUE"""),"강화")</f>
        <v>강화</v>
      </c>
      <c r="P2009" s="26" t="str">
        <f>IFERROR(__xludf.DUMMYFUNCTION("""COMPUTED_VALUE"""),"오크")</f>
        <v>오크</v>
      </c>
      <c r="Q2009" s="26" t="str">
        <f>IFERROR(__xludf.DUMMYFUNCTION("""COMPUTED_VALUE"""),"신형만")</f>
        <v>신형만</v>
      </c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</row>
    <row r="2010">
      <c r="A2010" s="31" t="s">
        <v>8295</v>
      </c>
      <c r="B2010" s="28" t="s">
        <v>8296</v>
      </c>
      <c r="C2010" s="27" t="s">
        <v>8297</v>
      </c>
      <c r="D2010" s="27">
        <v>5.0</v>
      </c>
      <c r="E2010" s="27" t="s">
        <v>8298</v>
      </c>
      <c r="F2010" s="27">
        <v>2.0</v>
      </c>
      <c r="G2010" s="29">
        <v>45453.13402777778</v>
      </c>
      <c r="H2010" s="27" t="s">
        <v>8266</v>
      </c>
      <c r="I2010" s="18"/>
      <c r="J2010" s="25" t="str">
        <f>IFERROR(__xludf.DUMMYFUNCTION("ARRAYFORMULA(REGEXEXTRACT(SPLIT(C2010, ""&lt;br&gt;""), ""([가-힣A-Za-z]+)""))"),"신형만")</f>
        <v>신형만</v>
      </c>
      <c r="K2010" s="26" t="str">
        <f>IFERROR(__xludf.DUMMYFUNCTION("""COMPUTED_VALUE"""),"깡패")</f>
        <v>깡패</v>
      </c>
      <c r="L2010" s="26" t="str">
        <f>IFERROR(__xludf.DUMMYFUNCTION("""COMPUTED_VALUE"""),"짱구")</f>
        <v>짱구</v>
      </c>
      <c r="M2010" s="26" t="str">
        <f>IFERROR(__xludf.DUMMYFUNCTION("""COMPUTED_VALUE"""),"오크")</f>
        <v>오크</v>
      </c>
      <c r="N2010" s="26" t="str">
        <f>IFERROR(__xludf.DUMMYFUNCTION("ARRAYFORMULA(REGEXEXTRACT(SPLIT(E2010, ""&lt;br&gt;""), ""([가-힣A-Za-z]+)""))"),"아이딘")</f>
        <v>아이딘</v>
      </c>
      <c r="O2010" s="26" t="str">
        <f>IFERROR(__xludf.DUMMYFUNCTION("""COMPUTED_VALUE"""),"ACDC")</f>
        <v>ACDC</v>
      </c>
      <c r="P2010" s="26" t="str">
        <f>IFERROR(__xludf.DUMMYFUNCTION("""COMPUTED_VALUE"""),"강화")</f>
        <v>강화</v>
      </c>
      <c r="Q2010" s="26" t="str">
        <f>IFERROR(__xludf.DUMMYFUNCTION("""COMPUTED_VALUE"""),"엘더")</f>
        <v>엘더</v>
      </c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</row>
    <row r="2011">
      <c r="A2011" s="31" t="s">
        <v>8299</v>
      </c>
      <c r="B2011" s="28" t="s">
        <v>8300</v>
      </c>
      <c r="C2011" s="27" t="s">
        <v>8301</v>
      </c>
      <c r="D2011" s="27">
        <v>5.0</v>
      </c>
      <c r="E2011" s="27" t="s">
        <v>8302</v>
      </c>
      <c r="F2011" s="27">
        <v>0.0</v>
      </c>
      <c r="G2011" s="29">
        <v>45453.11666666667</v>
      </c>
      <c r="H2011" s="27" t="s">
        <v>8266</v>
      </c>
      <c r="I2011" s="18"/>
      <c r="J2011" s="25" t="str">
        <f>IFERROR(__xludf.DUMMYFUNCTION("ARRAYFORMULA(REGEXEXTRACT(SPLIT(C2011, ""&lt;br&gt;""), ""([가-힣A-Za-z]+)""))"),"엘더")</f>
        <v>엘더</v>
      </c>
      <c r="K2011" s="26" t="str">
        <f>IFERROR(__xludf.DUMMYFUNCTION("""COMPUTED_VALUE"""),"신형만")</f>
        <v>신형만</v>
      </c>
      <c r="L2011" s="26" t="str">
        <f>IFERROR(__xludf.DUMMYFUNCTION("""COMPUTED_VALUE"""),"ACDC")</f>
        <v>ACDC</v>
      </c>
      <c r="M2011" s="26" t="str">
        <f>IFERROR(__xludf.DUMMYFUNCTION("""COMPUTED_VALUE"""),"오크")</f>
        <v>오크</v>
      </c>
      <c r="N2011" s="26" t="str">
        <f>IFERROR(__xludf.DUMMYFUNCTION("ARRAYFORMULA(REGEXEXTRACT(SPLIT(E2011, ""&lt;br&gt;""), ""([가-힣A-Za-z]+)""))"),"강화")</f>
        <v>강화</v>
      </c>
      <c r="O2011" s="26" t="str">
        <f>IFERROR(__xludf.DUMMYFUNCTION("""COMPUTED_VALUE"""),"깡패")</f>
        <v>깡패</v>
      </c>
      <c r="P2011" s="26" t="str">
        <f>IFERROR(__xludf.DUMMYFUNCTION("""COMPUTED_VALUE"""),"아이딘")</f>
        <v>아이딘</v>
      </c>
      <c r="Q2011" s="26" t="str">
        <f>IFERROR(__xludf.DUMMYFUNCTION("""COMPUTED_VALUE"""),"짱구")</f>
        <v>짱구</v>
      </c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</row>
    <row r="2012">
      <c r="A2012" s="31" t="s">
        <v>8303</v>
      </c>
      <c r="B2012" s="28" t="s">
        <v>8304</v>
      </c>
      <c r="C2012" s="27" t="s">
        <v>8305</v>
      </c>
      <c r="D2012" s="27">
        <v>5.0</v>
      </c>
      <c r="E2012" s="27" t="s">
        <v>8306</v>
      </c>
      <c r="F2012" s="27">
        <v>0.0</v>
      </c>
      <c r="G2012" s="29">
        <v>45453.10208333333</v>
      </c>
      <c r="H2012" s="27" t="s">
        <v>8266</v>
      </c>
      <c r="I2012" s="18"/>
      <c r="J2012" s="25" t="str">
        <f>IFERROR(__xludf.DUMMYFUNCTION("ARRAYFORMULA(REGEXEXTRACT(SPLIT(C2012, ""&lt;br&gt;""), ""([가-힣A-Za-z]+)""))"),"강화")</f>
        <v>강화</v>
      </c>
      <c r="K2012" s="26" t="str">
        <f>IFERROR(__xludf.DUMMYFUNCTION("""COMPUTED_VALUE"""),"깡패")</f>
        <v>깡패</v>
      </c>
      <c r="L2012" s="26" t="str">
        <f>IFERROR(__xludf.DUMMYFUNCTION("""COMPUTED_VALUE"""),"신형만")</f>
        <v>신형만</v>
      </c>
      <c r="M2012" s="26" t="str">
        <f>IFERROR(__xludf.DUMMYFUNCTION("""COMPUTED_VALUE"""),"짱구")</f>
        <v>짱구</v>
      </c>
      <c r="N2012" s="26" t="str">
        <f>IFERROR(__xludf.DUMMYFUNCTION("ARRAYFORMULA(REGEXEXTRACT(SPLIT(E2012, ""&lt;br&gt;""), ""([가-힣A-Za-z]+)""))"),"아이딘")</f>
        <v>아이딘</v>
      </c>
      <c r="O2012" s="26" t="str">
        <f>IFERROR(__xludf.DUMMYFUNCTION("""COMPUTED_VALUE"""),"엘더")</f>
        <v>엘더</v>
      </c>
      <c r="P2012" s="26" t="str">
        <f>IFERROR(__xludf.DUMMYFUNCTION("""COMPUTED_VALUE"""),"ACDC")</f>
        <v>ACDC</v>
      </c>
      <c r="Q2012" s="26" t="str">
        <f>IFERROR(__xludf.DUMMYFUNCTION("""COMPUTED_VALUE"""),"오크")</f>
        <v>오크</v>
      </c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  <c r="AB2012" s="18"/>
    </row>
    <row r="2013">
      <c r="A2013" s="31" t="s">
        <v>8307</v>
      </c>
      <c r="B2013" s="28" t="s">
        <v>8308</v>
      </c>
      <c r="C2013" s="27" t="s">
        <v>8309</v>
      </c>
      <c r="D2013" s="27">
        <v>5.0</v>
      </c>
      <c r="E2013" s="27" t="s">
        <v>8310</v>
      </c>
      <c r="F2013" s="27">
        <v>4.0</v>
      </c>
      <c r="G2013" s="29">
        <v>45453.08541666667</v>
      </c>
      <c r="H2013" s="27" t="s">
        <v>8266</v>
      </c>
      <c r="I2013" s="18"/>
      <c r="J2013" s="25" t="str">
        <f>IFERROR(__xludf.DUMMYFUNCTION("ARRAYFORMULA(REGEXEXTRACT(SPLIT(C2013, ""&lt;br&gt;""), ""([가-힣A-Za-z]+)""))"),"강화")</f>
        <v>강화</v>
      </c>
      <c r="K2013" s="26" t="str">
        <f>IFERROR(__xludf.DUMMYFUNCTION("""COMPUTED_VALUE"""),"신형만")</f>
        <v>신형만</v>
      </c>
      <c r="L2013" s="26" t="str">
        <f>IFERROR(__xludf.DUMMYFUNCTION("""COMPUTED_VALUE"""),"오크")</f>
        <v>오크</v>
      </c>
      <c r="M2013" s="26" t="str">
        <f>IFERROR(__xludf.DUMMYFUNCTION("""COMPUTED_VALUE"""),"깡패")</f>
        <v>깡패</v>
      </c>
      <c r="N2013" s="26" t="str">
        <f>IFERROR(__xludf.DUMMYFUNCTION("ARRAYFORMULA(REGEXEXTRACT(SPLIT(E2013, ""&lt;br&gt;""), ""([가-힣A-Za-z]+)""))"),"엘더")</f>
        <v>엘더</v>
      </c>
      <c r="O2013" s="26" t="str">
        <f>IFERROR(__xludf.DUMMYFUNCTION("""COMPUTED_VALUE"""),"ACDC")</f>
        <v>ACDC</v>
      </c>
      <c r="P2013" s="26" t="str">
        <f>IFERROR(__xludf.DUMMYFUNCTION("""COMPUTED_VALUE"""),"아이딘")</f>
        <v>아이딘</v>
      </c>
      <c r="Q2013" s="26" t="str">
        <f>IFERROR(__xludf.DUMMYFUNCTION("""COMPUTED_VALUE"""),"짱구")</f>
        <v>짱구</v>
      </c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</row>
    <row r="2014">
      <c r="A2014" s="31" t="s">
        <v>8311</v>
      </c>
      <c r="B2014" s="28" t="s">
        <v>8312</v>
      </c>
      <c r="C2014" s="27" t="s">
        <v>8313</v>
      </c>
      <c r="D2014" s="27">
        <v>5.0</v>
      </c>
      <c r="E2014" s="27" t="s">
        <v>8314</v>
      </c>
      <c r="F2014" s="27">
        <v>4.0</v>
      </c>
      <c r="G2014" s="29">
        <v>45452.07916666667</v>
      </c>
      <c r="H2014" s="27" t="s">
        <v>8266</v>
      </c>
      <c r="I2014" s="18"/>
      <c r="J2014" s="25" t="str">
        <f>IFERROR(__xludf.DUMMYFUNCTION("ARRAYFORMULA(REGEXEXTRACT(SPLIT(C2014, ""&lt;br&gt;""), ""([가-힣A-Za-z]+)""))"),"웅")</f>
        <v>웅</v>
      </c>
      <c r="K2014" s="26" t="str">
        <f>IFERROR(__xludf.DUMMYFUNCTION("""COMPUTED_VALUE"""),"랄")</f>
        <v>랄</v>
      </c>
      <c r="L2014" s="26" t="str">
        <f>IFERROR(__xludf.DUMMYFUNCTION("""COMPUTED_VALUE"""),"엘더")</f>
        <v>엘더</v>
      </c>
      <c r="M2014" s="26" t="str">
        <f>IFERROR(__xludf.DUMMYFUNCTION("""COMPUTED_VALUE"""),"짱구")</f>
        <v>짱구</v>
      </c>
      <c r="N2014" s="26" t="str">
        <f>IFERROR(__xludf.DUMMYFUNCTION("ARRAYFORMULA(REGEXEXTRACT(SPLIT(E2014, ""&lt;br&gt;""), ""([가-힣A-Za-z]+)""))"),"ACDC")</f>
        <v>ACDC</v>
      </c>
      <c r="O2014" s="26" t="str">
        <f>IFERROR(__xludf.DUMMYFUNCTION("""COMPUTED_VALUE"""),"한메")</f>
        <v>한메</v>
      </c>
      <c r="P2014" s="26" t="str">
        <f>IFERROR(__xludf.DUMMYFUNCTION("""COMPUTED_VALUE"""),"신형만")</f>
        <v>신형만</v>
      </c>
      <c r="Q2014" s="26" t="str">
        <f>IFERROR(__xludf.DUMMYFUNCTION("""COMPUTED_VALUE"""),"전투쥐")</f>
        <v>전투쥐</v>
      </c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  <c r="AB2014" s="18"/>
    </row>
    <row r="2015">
      <c r="A2015" s="31" t="s">
        <v>8315</v>
      </c>
      <c r="B2015" s="28" t="s">
        <v>8316</v>
      </c>
      <c r="C2015" s="27" t="s">
        <v>8317</v>
      </c>
      <c r="D2015" s="27">
        <v>5.0</v>
      </c>
      <c r="E2015" s="27" t="s">
        <v>8318</v>
      </c>
      <c r="F2015" s="27">
        <v>4.0</v>
      </c>
      <c r="G2015" s="29">
        <v>45452.05138888889</v>
      </c>
      <c r="H2015" s="27" t="s">
        <v>8266</v>
      </c>
      <c r="I2015" s="18"/>
      <c r="J2015" s="25" t="str">
        <f>IFERROR(__xludf.DUMMYFUNCTION("ARRAYFORMULA(REGEXEXTRACT(SPLIT(C2015, ""&lt;br&gt;""), ""([가-힣A-Za-z]+)""))"),"ACDC")</f>
        <v>ACDC</v>
      </c>
      <c r="K2015" s="26" t="str">
        <f>IFERROR(__xludf.DUMMYFUNCTION("""COMPUTED_VALUE"""),"엘더")</f>
        <v>엘더</v>
      </c>
      <c r="L2015" s="26" t="str">
        <f>IFERROR(__xludf.DUMMYFUNCTION("""COMPUTED_VALUE"""),"웅")</f>
        <v>웅</v>
      </c>
      <c r="M2015" s="26" t="str">
        <f>IFERROR(__xludf.DUMMYFUNCTION("""COMPUTED_VALUE"""),"전투쥐")</f>
        <v>전투쥐</v>
      </c>
      <c r="N2015" s="26" t="str">
        <f>IFERROR(__xludf.DUMMYFUNCTION("ARRAYFORMULA(REGEXEXTRACT(SPLIT(E2015, ""&lt;br&gt;""), ""([가-힣A-Za-z]+)""))"),"한메")</f>
        <v>한메</v>
      </c>
      <c r="O2015" s="26" t="str">
        <f>IFERROR(__xludf.DUMMYFUNCTION("""COMPUTED_VALUE"""),"재우")</f>
        <v>재우</v>
      </c>
      <c r="P2015" s="26" t="str">
        <f>IFERROR(__xludf.DUMMYFUNCTION("""COMPUTED_VALUE"""),"신형만")</f>
        <v>신형만</v>
      </c>
      <c r="Q2015" s="26" t="str">
        <f>IFERROR(__xludf.DUMMYFUNCTION("""COMPUTED_VALUE"""),"랄")</f>
        <v>랄</v>
      </c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</row>
    <row r="2016">
      <c r="A2016" s="31" t="s">
        <v>8319</v>
      </c>
      <c r="B2016" s="28" t="s">
        <v>8320</v>
      </c>
      <c r="C2016" s="27" t="s">
        <v>8321</v>
      </c>
      <c r="D2016" s="27">
        <v>5.0</v>
      </c>
      <c r="E2016" s="27" t="s">
        <v>8322</v>
      </c>
      <c r="F2016" s="27">
        <v>2.0</v>
      </c>
      <c r="G2016" s="29">
        <v>45452.01111111111</v>
      </c>
      <c r="H2016" s="27" t="s">
        <v>8266</v>
      </c>
      <c r="I2016" s="18"/>
      <c r="J2016" s="25" t="str">
        <f>IFERROR(__xludf.DUMMYFUNCTION("ARRAYFORMULA(REGEXEXTRACT(SPLIT(C2016, ""&lt;br&gt;""), ""([가-힣A-Za-z]+)""))"),"팰리")</f>
        <v>팰리</v>
      </c>
      <c r="K2016" s="26" t="str">
        <f>IFERROR(__xludf.DUMMYFUNCTION("""COMPUTED_VALUE"""),"ACDC")</f>
        <v>ACDC</v>
      </c>
      <c r="L2016" s="26" t="str">
        <f>IFERROR(__xludf.DUMMYFUNCTION("""COMPUTED_VALUE"""),"엘더")</f>
        <v>엘더</v>
      </c>
      <c r="M2016" s="26" t="str">
        <f>IFERROR(__xludf.DUMMYFUNCTION("""COMPUTED_VALUE"""),"짱구")</f>
        <v>짱구</v>
      </c>
      <c r="N2016" s="26" t="str">
        <f>IFERROR(__xludf.DUMMYFUNCTION("ARRAYFORMULA(REGEXEXTRACT(SPLIT(E2016, ""&lt;br&gt;""), ""([가-힣A-Za-z]+)""))"),"신형만")</f>
        <v>신형만</v>
      </c>
      <c r="O2016" s="26" t="str">
        <f>IFERROR(__xludf.DUMMYFUNCTION("""COMPUTED_VALUE"""),"재우")</f>
        <v>재우</v>
      </c>
      <c r="P2016" s="26" t="str">
        <f>IFERROR(__xludf.DUMMYFUNCTION("""COMPUTED_VALUE"""),"랄")</f>
        <v>랄</v>
      </c>
      <c r="Q2016" s="26" t="str">
        <f>IFERROR(__xludf.DUMMYFUNCTION("""COMPUTED_VALUE"""),"웅")</f>
        <v>웅</v>
      </c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</row>
    <row r="2017">
      <c r="A2017" s="31" t="s">
        <v>8323</v>
      </c>
      <c r="B2017" s="28" t="s">
        <v>8324</v>
      </c>
      <c r="C2017" s="27" t="s">
        <v>8325</v>
      </c>
      <c r="D2017" s="27">
        <v>5.0</v>
      </c>
      <c r="E2017" s="27" t="s">
        <v>8326</v>
      </c>
      <c r="F2017" s="27">
        <v>2.0</v>
      </c>
      <c r="G2017" s="29">
        <v>45451.975694444445</v>
      </c>
      <c r="H2017" s="27" t="s">
        <v>8266</v>
      </c>
      <c r="I2017" s="18"/>
      <c r="J2017" s="25" t="str">
        <f>IFERROR(__xludf.DUMMYFUNCTION("ARRAYFORMULA(REGEXEXTRACT(SPLIT(C2017, ""&lt;br&gt;""), ""([가-힣A-Za-z]+)""))"),"재우")</f>
        <v>재우</v>
      </c>
      <c r="K2017" s="26" t="str">
        <f>IFERROR(__xludf.DUMMYFUNCTION("""COMPUTED_VALUE"""),"ACDC")</f>
        <v>ACDC</v>
      </c>
      <c r="L2017" s="26" t="str">
        <f>IFERROR(__xludf.DUMMYFUNCTION("""COMPUTED_VALUE"""),"팰리")</f>
        <v>팰리</v>
      </c>
      <c r="M2017" s="26" t="str">
        <f>IFERROR(__xludf.DUMMYFUNCTION("""COMPUTED_VALUE"""),"엘더")</f>
        <v>엘더</v>
      </c>
      <c r="N2017" s="26" t="str">
        <f>IFERROR(__xludf.DUMMYFUNCTION("ARRAYFORMULA(REGEXEXTRACT(SPLIT(E2017, ""&lt;br&gt;""), ""([가-힣A-Za-z]+)""))"),"오크")</f>
        <v>오크</v>
      </c>
      <c r="O2017" s="26" t="str">
        <f>IFERROR(__xludf.DUMMYFUNCTION("""COMPUTED_VALUE"""),"짱구")</f>
        <v>짱구</v>
      </c>
      <c r="P2017" s="26" t="str">
        <f>IFERROR(__xludf.DUMMYFUNCTION("""COMPUTED_VALUE"""),"랄")</f>
        <v>랄</v>
      </c>
      <c r="Q2017" s="26" t="str">
        <f>IFERROR(__xludf.DUMMYFUNCTION("""COMPUTED_VALUE"""),"봉구")</f>
        <v>봉구</v>
      </c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  <c r="AB2017" s="18"/>
    </row>
    <row r="2018">
      <c r="A2018" s="31" t="s">
        <v>8327</v>
      </c>
      <c r="B2018" s="28" t="s">
        <v>8328</v>
      </c>
      <c r="C2018" s="27" t="s">
        <v>8329</v>
      </c>
      <c r="D2018" s="27">
        <v>5.0</v>
      </c>
      <c r="E2018" s="27" t="s">
        <v>8330</v>
      </c>
      <c r="F2018" s="27">
        <v>1.0</v>
      </c>
      <c r="G2018" s="29">
        <v>45451.95486111111</v>
      </c>
      <c r="H2018" s="27" t="s">
        <v>8266</v>
      </c>
      <c r="I2018" s="18"/>
      <c r="J2018" s="25" t="str">
        <f>IFERROR(__xludf.DUMMYFUNCTION("ARRAYFORMULA(REGEXEXTRACT(SPLIT(C2018, ""&lt;br&gt;""), ""([가-힣A-Za-z]+)""))"),"랄")</f>
        <v>랄</v>
      </c>
      <c r="K2018" s="26" t="str">
        <f>IFERROR(__xludf.DUMMYFUNCTION("""COMPUTED_VALUE"""),"엘더")</f>
        <v>엘더</v>
      </c>
      <c r="L2018" s="26" t="str">
        <f>IFERROR(__xludf.DUMMYFUNCTION("""COMPUTED_VALUE"""),"짱구")</f>
        <v>짱구</v>
      </c>
      <c r="M2018" s="26" t="str">
        <f>IFERROR(__xludf.DUMMYFUNCTION("""COMPUTED_VALUE"""),"오크")</f>
        <v>오크</v>
      </c>
      <c r="N2018" s="26" t="str">
        <f>IFERROR(__xludf.DUMMYFUNCTION("ARRAYFORMULA(REGEXEXTRACT(SPLIT(E2018, ""&lt;br&gt;""), ""([가-힣A-Za-z]+)""))"),"ACDC")</f>
        <v>ACDC</v>
      </c>
      <c r="O2018" s="26" t="str">
        <f>IFERROR(__xludf.DUMMYFUNCTION("""COMPUTED_VALUE"""),"봉구")</f>
        <v>봉구</v>
      </c>
      <c r="P2018" s="26" t="str">
        <f>IFERROR(__xludf.DUMMYFUNCTION("""COMPUTED_VALUE"""),"팰리")</f>
        <v>팰리</v>
      </c>
      <c r="Q2018" s="26" t="str">
        <f>IFERROR(__xludf.DUMMYFUNCTION("""COMPUTED_VALUE"""),"재우")</f>
        <v>재우</v>
      </c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  <c r="AB2018" s="18"/>
    </row>
    <row r="2019">
      <c r="A2019" s="31" t="s">
        <v>8331</v>
      </c>
      <c r="B2019" s="28" t="s">
        <v>8332</v>
      </c>
      <c r="C2019" s="27" t="s">
        <v>8333</v>
      </c>
      <c r="D2019" s="27">
        <v>5.0</v>
      </c>
      <c r="E2019" s="27" t="s">
        <v>8334</v>
      </c>
      <c r="F2019" s="27">
        <v>0.0</v>
      </c>
      <c r="G2019" s="29">
        <v>45451.93680555555</v>
      </c>
      <c r="H2019" s="27" t="s">
        <v>8266</v>
      </c>
      <c r="I2019" s="18"/>
      <c r="J2019" s="25" t="str">
        <f>IFERROR(__xludf.DUMMYFUNCTION("ARRAYFORMULA(REGEXEXTRACT(SPLIT(C2019, ""&lt;br&gt;""), ""([가-힣A-Za-z]+)""))"),"팰리")</f>
        <v>팰리</v>
      </c>
      <c r="K2019" s="26" t="str">
        <f>IFERROR(__xludf.DUMMYFUNCTION("""COMPUTED_VALUE"""),"짱구")</f>
        <v>짱구</v>
      </c>
      <c r="L2019" s="26" t="str">
        <f>IFERROR(__xludf.DUMMYFUNCTION("""COMPUTED_VALUE"""),"ACDC")</f>
        <v>ACDC</v>
      </c>
      <c r="M2019" s="26" t="str">
        <f>IFERROR(__xludf.DUMMYFUNCTION("""COMPUTED_VALUE"""),"오크")</f>
        <v>오크</v>
      </c>
      <c r="N2019" s="26" t="str">
        <f>IFERROR(__xludf.DUMMYFUNCTION("ARRAYFORMULA(REGEXEXTRACT(SPLIT(E2019, ""&lt;br&gt;""), ""([가-힣A-Za-z]+)""))"),"재우")</f>
        <v>재우</v>
      </c>
      <c r="O2019" s="26" t="str">
        <f>IFERROR(__xludf.DUMMYFUNCTION("""COMPUTED_VALUE"""),"한메")</f>
        <v>한메</v>
      </c>
      <c r="P2019" s="26" t="str">
        <f>IFERROR(__xludf.DUMMYFUNCTION("""COMPUTED_VALUE"""),"랄")</f>
        <v>랄</v>
      </c>
      <c r="Q2019" s="26" t="str">
        <f>IFERROR(__xludf.DUMMYFUNCTION("""COMPUTED_VALUE"""),"엘더")</f>
        <v>엘더</v>
      </c>
      <c r="R2019" s="18"/>
      <c r="S2019" s="18"/>
      <c r="T2019" s="18"/>
      <c r="U2019" s="18"/>
      <c r="V2019" s="18"/>
      <c r="W2019" s="18"/>
      <c r="X2019" s="18"/>
      <c r="Y2019" s="18"/>
      <c r="Z2019" s="18"/>
      <c r="AA2019" s="18"/>
      <c r="AB2019" s="18"/>
    </row>
    <row r="2020">
      <c r="A2020" s="31" t="s">
        <v>8335</v>
      </c>
      <c r="B2020" s="28" t="s">
        <v>8336</v>
      </c>
      <c r="C2020" s="27" t="s">
        <v>8337</v>
      </c>
      <c r="D2020" s="27">
        <v>5.0</v>
      </c>
      <c r="E2020" s="27" t="s">
        <v>8338</v>
      </c>
      <c r="F2020" s="27">
        <v>1.0</v>
      </c>
      <c r="G2020" s="29">
        <v>45451.91458333333</v>
      </c>
      <c r="H2020" s="27" t="s">
        <v>8266</v>
      </c>
      <c r="I2020" s="18"/>
      <c r="J2020" s="25" t="str">
        <f>IFERROR(__xludf.DUMMYFUNCTION("ARRAYFORMULA(REGEXEXTRACT(SPLIT(C2020, ""&lt;br&gt;""), ""([가-힣A-Za-z]+)""))"),"전투쥐")</f>
        <v>전투쥐</v>
      </c>
      <c r="K2020" s="26" t="str">
        <f>IFERROR(__xludf.DUMMYFUNCTION("""COMPUTED_VALUE"""),"ACDC")</f>
        <v>ACDC</v>
      </c>
      <c r="L2020" s="26" t="str">
        <f>IFERROR(__xludf.DUMMYFUNCTION("""COMPUTED_VALUE"""),"신형만")</f>
        <v>신형만</v>
      </c>
      <c r="M2020" s="26" t="str">
        <f>IFERROR(__xludf.DUMMYFUNCTION("""COMPUTED_VALUE"""),"한메")</f>
        <v>한메</v>
      </c>
      <c r="N2020" s="26" t="str">
        <f>IFERROR(__xludf.DUMMYFUNCTION("ARRAYFORMULA(REGEXEXTRACT(SPLIT(E2020, ""&lt;br&gt;""), ""([가-힣A-Za-z]+)""))"),"엘더")</f>
        <v>엘더</v>
      </c>
      <c r="O2020" s="26" t="str">
        <f>IFERROR(__xludf.DUMMYFUNCTION("""COMPUTED_VALUE"""),"팰리")</f>
        <v>팰리</v>
      </c>
      <c r="P2020" s="26" t="str">
        <f>IFERROR(__xludf.DUMMYFUNCTION("""COMPUTED_VALUE"""),"오크")</f>
        <v>오크</v>
      </c>
      <c r="Q2020" s="26" t="str">
        <f>IFERROR(__xludf.DUMMYFUNCTION("""COMPUTED_VALUE"""),"재명")</f>
        <v>재명</v>
      </c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  <c r="AB2020" s="18"/>
    </row>
    <row r="2021">
      <c r="A2021" s="31" t="s">
        <v>8339</v>
      </c>
      <c r="B2021" s="28" t="s">
        <v>8340</v>
      </c>
      <c r="C2021" s="27" t="s">
        <v>8341</v>
      </c>
      <c r="D2021" s="27">
        <v>5.0</v>
      </c>
      <c r="E2021" s="27" t="s">
        <v>8342</v>
      </c>
      <c r="F2021" s="27">
        <v>3.0</v>
      </c>
      <c r="G2021" s="29">
        <v>45451.89166666667</v>
      </c>
      <c r="H2021" s="27" t="s">
        <v>8266</v>
      </c>
      <c r="I2021" s="18"/>
      <c r="J2021" s="25" t="str">
        <f>IFERROR(__xludf.DUMMYFUNCTION("ARRAYFORMULA(REGEXEXTRACT(SPLIT(C2021, ""&lt;br&gt;""), ""([가-힣A-Za-z]+)""))"),"ACDC")</f>
        <v>ACDC</v>
      </c>
      <c r="K2021" s="26" t="str">
        <f>IFERROR(__xludf.DUMMYFUNCTION("""COMPUTED_VALUE"""),"짱구")</f>
        <v>짱구</v>
      </c>
      <c r="L2021" s="26" t="str">
        <f>IFERROR(__xludf.DUMMYFUNCTION("""COMPUTED_VALUE"""),"엘더")</f>
        <v>엘더</v>
      </c>
      <c r="M2021" s="26" t="str">
        <f>IFERROR(__xludf.DUMMYFUNCTION("""COMPUTED_VALUE"""),"신형만")</f>
        <v>신형만</v>
      </c>
      <c r="N2021" s="26" t="str">
        <f>IFERROR(__xludf.DUMMYFUNCTION("ARRAYFORMULA(REGEXEXTRACT(SPLIT(E2021, ""&lt;br&gt;""), ""([가-힣A-Za-z]+)""))"),"전투쥐")</f>
        <v>전투쥐</v>
      </c>
      <c r="O2021" s="26" t="str">
        <f>IFERROR(__xludf.DUMMYFUNCTION("""COMPUTED_VALUE"""),"재명")</f>
        <v>재명</v>
      </c>
      <c r="P2021" s="26" t="str">
        <f>IFERROR(__xludf.DUMMYFUNCTION("""COMPUTED_VALUE"""),"한메")</f>
        <v>한메</v>
      </c>
      <c r="Q2021" s="26" t="str">
        <f>IFERROR(__xludf.DUMMYFUNCTION("""COMPUTED_VALUE"""),"오크")</f>
        <v>오크</v>
      </c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</row>
    <row r="2022">
      <c r="A2022" s="31" t="s">
        <v>8343</v>
      </c>
      <c r="B2022" s="28" t="s">
        <v>8344</v>
      </c>
      <c r="C2022" s="27" t="s">
        <v>8345</v>
      </c>
      <c r="D2022" s="27">
        <v>5.0</v>
      </c>
      <c r="E2022" s="27" t="s">
        <v>8346</v>
      </c>
      <c r="F2022" s="27">
        <v>0.0</v>
      </c>
      <c r="G2022" s="29">
        <v>45451.87013888889</v>
      </c>
      <c r="H2022" s="27" t="s">
        <v>8266</v>
      </c>
      <c r="I2022" s="18"/>
      <c r="J2022" s="25" t="str">
        <f>IFERROR(__xludf.DUMMYFUNCTION("ARRAYFORMULA(REGEXEXTRACT(SPLIT(C2022, ""&lt;br&gt;""), ""([가-힣A-Za-z]+)""))"),"전투쥐")</f>
        <v>전투쥐</v>
      </c>
      <c r="K2022" s="26" t="str">
        <f>IFERROR(__xludf.DUMMYFUNCTION("""COMPUTED_VALUE"""),"엘더")</f>
        <v>엘더</v>
      </c>
      <c r="L2022" s="26" t="str">
        <f>IFERROR(__xludf.DUMMYFUNCTION("""COMPUTED_VALUE"""),"신형만")</f>
        <v>신형만</v>
      </c>
      <c r="M2022" s="26" t="str">
        <f>IFERROR(__xludf.DUMMYFUNCTION("""COMPUTED_VALUE"""),"한메")</f>
        <v>한메</v>
      </c>
      <c r="N2022" s="26" t="str">
        <f>IFERROR(__xludf.DUMMYFUNCTION("ARRAYFORMULA(REGEXEXTRACT(SPLIT(E2022, ""&lt;br&gt;""), ""([가-힣A-Za-z]+)""))"),"ACDC")</f>
        <v>ACDC</v>
      </c>
      <c r="O2022" s="26" t="str">
        <f>IFERROR(__xludf.DUMMYFUNCTION("""COMPUTED_VALUE"""),"재명")</f>
        <v>재명</v>
      </c>
      <c r="P2022" s="26" t="str">
        <f>IFERROR(__xludf.DUMMYFUNCTION("""COMPUTED_VALUE"""),"강화")</f>
        <v>강화</v>
      </c>
      <c r="Q2022" s="26" t="str">
        <f>IFERROR(__xludf.DUMMYFUNCTION("""COMPUTED_VALUE"""),"짱구")</f>
        <v>짱구</v>
      </c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  <c r="AB2022" s="18"/>
    </row>
    <row r="2023">
      <c r="A2023" s="31" t="s">
        <v>8347</v>
      </c>
      <c r="B2023" s="28" t="s">
        <v>8348</v>
      </c>
      <c r="C2023" s="27" t="s">
        <v>8349</v>
      </c>
      <c r="D2023" s="27">
        <v>5.0</v>
      </c>
      <c r="E2023" s="27" t="s">
        <v>8350</v>
      </c>
      <c r="F2023" s="27">
        <v>4.0</v>
      </c>
      <c r="G2023" s="29">
        <v>45451.853472222225</v>
      </c>
      <c r="H2023" s="27" t="s">
        <v>8266</v>
      </c>
      <c r="I2023" s="18"/>
      <c r="J2023" s="25" t="str">
        <f>IFERROR(__xludf.DUMMYFUNCTION("ARRAYFORMULA(REGEXEXTRACT(SPLIT(C2023, ""&lt;br&gt;""), ""([가-힣A-Za-z]+)""))"),"강화")</f>
        <v>강화</v>
      </c>
      <c r="K2023" s="26" t="str">
        <f>IFERROR(__xludf.DUMMYFUNCTION("""COMPUTED_VALUE"""),"신형만")</f>
        <v>신형만</v>
      </c>
      <c r="L2023" s="26" t="str">
        <f>IFERROR(__xludf.DUMMYFUNCTION("""COMPUTED_VALUE"""),"짱구")</f>
        <v>짱구</v>
      </c>
      <c r="M2023" s="26" t="str">
        <f>IFERROR(__xludf.DUMMYFUNCTION("""COMPUTED_VALUE"""),"재명")</f>
        <v>재명</v>
      </c>
      <c r="N2023" s="26" t="str">
        <f>IFERROR(__xludf.DUMMYFUNCTION("ARRAYFORMULA(REGEXEXTRACT(SPLIT(E2023, ""&lt;br&gt;""), ""([가-힣A-Za-z]+)""))"),"ACDC")</f>
        <v>ACDC</v>
      </c>
      <c r="O2023" s="26" t="str">
        <f>IFERROR(__xludf.DUMMYFUNCTION("""COMPUTED_VALUE"""),"엘더")</f>
        <v>엘더</v>
      </c>
      <c r="P2023" s="26" t="str">
        <f>IFERROR(__xludf.DUMMYFUNCTION("""COMPUTED_VALUE"""),"한메")</f>
        <v>한메</v>
      </c>
      <c r="Q2023" s="26" t="str">
        <f>IFERROR(__xludf.DUMMYFUNCTION("""COMPUTED_VALUE"""),"전투쥐")</f>
        <v>전투쥐</v>
      </c>
      <c r="R2023" s="18"/>
      <c r="S2023" s="18"/>
      <c r="T2023" s="18"/>
      <c r="U2023" s="18"/>
      <c r="V2023" s="18"/>
      <c r="W2023" s="18"/>
      <c r="X2023" s="18"/>
      <c r="Y2023" s="18"/>
      <c r="Z2023" s="18"/>
      <c r="AA2023" s="18"/>
      <c r="AB2023" s="18"/>
    </row>
    <row r="2024">
      <c r="A2024" s="31" t="s">
        <v>8351</v>
      </c>
      <c r="B2024" s="28" t="s">
        <v>8352</v>
      </c>
      <c r="C2024" s="27" t="s">
        <v>8353</v>
      </c>
      <c r="D2024" s="27">
        <v>5.0</v>
      </c>
      <c r="E2024" s="27" t="s">
        <v>8354</v>
      </c>
      <c r="F2024" s="27">
        <v>3.0</v>
      </c>
      <c r="G2024" s="29">
        <v>45451.084027777775</v>
      </c>
      <c r="H2024" s="27" t="s">
        <v>8266</v>
      </c>
      <c r="I2024" s="18"/>
      <c r="J2024" s="25" t="str">
        <f>IFERROR(__xludf.DUMMYFUNCTION("ARRAYFORMULA(REGEXEXTRACT(SPLIT(C2024, ""&lt;br&gt;""), ""([가-힣A-Za-z]+)""))"),"강화")</f>
        <v>강화</v>
      </c>
      <c r="K2024" s="26" t="str">
        <f>IFERROR(__xludf.DUMMYFUNCTION("""COMPUTED_VALUE"""),"짱구")</f>
        <v>짱구</v>
      </c>
      <c r="L2024" s="26" t="str">
        <f>IFERROR(__xludf.DUMMYFUNCTION("""COMPUTED_VALUE"""),"테리")</f>
        <v>테리</v>
      </c>
      <c r="M2024" s="26" t="str">
        <f>IFERROR(__xludf.DUMMYFUNCTION("""COMPUTED_VALUE"""),"신형만")</f>
        <v>신형만</v>
      </c>
      <c r="N2024" s="26" t="str">
        <f>IFERROR(__xludf.DUMMYFUNCTION("ARRAYFORMULA(REGEXEXTRACT(SPLIT(E2024, ""&lt;br&gt;""), ""([가-힣A-Za-z]+)""))"),"ACDC")</f>
        <v>ACDC</v>
      </c>
      <c r="O2024" s="26" t="str">
        <f>IFERROR(__xludf.DUMMYFUNCTION("""COMPUTED_VALUE"""),"깡패")</f>
        <v>깡패</v>
      </c>
      <c r="P2024" s="26" t="str">
        <f>IFERROR(__xludf.DUMMYFUNCTION("""COMPUTED_VALUE"""),"한메")</f>
        <v>한메</v>
      </c>
      <c r="Q2024" s="26" t="str">
        <f>IFERROR(__xludf.DUMMYFUNCTION("""COMPUTED_VALUE"""),"오크")</f>
        <v>오크</v>
      </c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  <c r="AB2024" s="18"/>
    </row>
    <row r="2025">
      <c r="A2025" s="31" t="s">
        <v>8355</v>
      </c>
      <c r="B2025" s="28" t="s">
        <v>8356</v>
      </c>
      <c r="C2025" s="27" t="s">
        <v>8357</v>
      </c>
      <c r="D2025" s="27">
        <v>3.0</v>
      </c>
      <c r="E2025" s="27" t="s">
        <v>8358</v>
      </c>
      <c r="F2025" s="27">
        <v>0.0</v>
      </c>
      <c r="G2025" s="29">
        <v>45451.05138888889</v>
      </c>
      <c r="H2025" s="27" t="s">
        <v>8266</v>
      </c>
      <c r="I2025" s="18"/>
      <c r="J2025" s="25" t="str">
        <f>IFERROR(__xludf.DUMMYFUNCTION("ARRAYFORMULA(REGEXEXTRACT(SPLIT(C2025, ""&lt;br&gt;""), ""([가-힣A-Za-z]+)""))"),"짱구")</f>
        <v>짱구</v>
      </c>
      <c r="K2025" s="26" t="str">
        <f>IFERROR(__xludf.DUMMYFUNCTION("""COMPUTED_VALUE"""),"깡패")</f>
        <v>깡패</v>
      </c>
      <c r="L2025" s="26" t="str">
        <f>IFERROR(__xludf.DUMMYFUNCTION("""COMPUTED_VALUE"""),"테리")</f>
        <v>테리</v>
      </c>
      <c r="M2025" s="26" t="str">
        <f>IFERROR(__xludf.DUMMYFUNCTION("""COMPUTED_VALUE"""),"오크")</f>
        <v>오크</v>
      </c>
      <c r="N2025" s="26" t="str">
        <f>IFERROR(__xludf.DUMMYFUNCTION("ARRAYFORMULA(REGEXEXTRACT(SPLIT(E2025, ""&lt;br&gt;""), ""([가-힣A-Za-z]+)""))"),"재명")</f>
        <v>재명</v>
      </c>
      <c r="O2025" s="26" t="str">
        <f>IFERROR(__xludf.DUMMYFUNCTION("""COMPUTED_VALUE"""),"강화")</f>
        <v>강화</v>
      </c>
      <c r="P2025" s="26" t="str">
        <f>IFERROR(__xludf.DUMMYFUNCTION("""COMPUTED_VALUE"""),"ACDC")</f>
        <v>ACDC</v>
      </c>
      <c r="Q2025" s="26" t="str">
        <f>IFERROR(__xludf.DUMMYFUNCTION("""COMPUTED_VALUE"""),"한메")</f>
        <v>한메</v>
      </c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  <c r="AB2025" s="18"/>
    </row>
    <row r="2026">
      <c r="A2026" s="31" t="s">
        <v>8359</v>
      </c>
      <c r="B2026" s="28" t="s">
        <v>8360</v>
      </c>
      <c r="C2026" s="27" t="s">
        <v>8361</v>
      </c>
      <c r="D2026" s="27">
        <v>5.0</v>
      </c>
      <c r="E2026" s="27" t="s">
        <v>8362</v>
      </c>
      <c r="F2026" s="27">
        <v>0.0</v>
      </c>
      <c r="G2026" s="29">
        <v>45451.05069444444</v>
      </c>
      <c r="H2026" s="27" t="s">
        <v>8266</v>
      </c>
      <c r="I2026" s="18"/>
      <c r="J2026" s="25" t="str">
        <f>IFERROR(__xludf.DUMMYFUNCTION("ARRAYFORMULA(REGEXEXTRACT(SPLIT(C2026, ""&lt;br&gt;""), ""([가-힣A-Za-z]+)""))"),"한메")</f>
        <v>한메</v>
      </c>
      <c r="K2026" s="26" t="str">
        <f>IFERROR(__xludf.DUMMYFUNCTION("""COMPUTED_VALUE"""),"깡패")</f>
        <v>깡패</v>
      </c>
      <c r="L2026" s="26" t="str">
        <f>IFERROR(__xludf.DUMMYFUNCTION("""COMPUTED_VALUE"""),"신형만")</f>
        <v>신형만</v>
      </c>
      <c r="M2026" s="26" t="str">
        <f>IFERROR(__xludf.DUMMYFUNCTION("""COMPUTED_VALUE"""),"오크")</f>
        <v>오크</v>
      </c>
      <c r="N2026" s="26" t="str">
        <f>IFERROR(__xludf.DUMMYFUNCTION("ARRAYFORMULA(REGEXEXTRACT(SPLIT(E2026, ""&lt;br&gt;""), ""([가-힣A-Za-z]+)""))"),"팰리")</f>
        <v>팰리</v>
      </c>
      <c r="O2026" s="26" t="str">
        <f>IFERROR(__xludf.DUMMYFUNCTION("""COMPUTED_VALUE"""),"ACDC")</f>
        <v>ACDC</v>
      </c>
      <c r="P2026" s="26" t="str">
        <f>IFERROR(__xludf.DUMMYFUNCTION("""COMPUTED_VALUE"""),"짱구")</f>
        <v>짱구</v>
      </c>
      <c r="Q2026" s="26" t="str">
        <f>IFERROR(__xludf.DUMMYFUNCTION("""COMPUTED_VALUE"""),"강화")</f>
        <v>강화</v>
      </c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</row>
    <row r="2027">
      <c r="A2027" s="31" t="s">
        <v>8363</v>
      </c>
      <c r="B2027" s="28" t="s">
        <v>8364</v>
      </c>
      <c r="C2027" s="27" t="s">
        <v>8365</v>
      </c>
      <c r="D2027" s="27">
        <v>5.0</v>
      </c>
      <c r="E2027" s="27" t="s">
        <v>8366</v>
      </c>
      <c r="F2027" s="27">
        <v>4.0</v>
      </c>
      <c r="G2027" s="29">
        <v>45451.03888888889</v>
      </c>
      <c r="H2027" s="27" t="s">
        <v>8266</v>
      </c>
      <c r="I2027" s="18"/>
      <c r="J2027" s="25" t="str">
        <f>IFERROR(__xludf.DUMMYFUNCTION("ARRAYFORMULA(REGEXEXTRACT(SPLIT(C2027, ""&lt;br&gt;""), ""([가-힣A-Za-z]+)""))"),"ACDC")</f>
        <v>ACDC</v>
      </c>
      <c r="K2027" s="26" t="str">
        <f>IFERROR(__xludf.DUMMYFUNCTION("""COMPUTED_VALUE"""),"깡패")</f>
        <v>깡패</v>
      </c>
      <c r="L2027" s="26" t="str">
        <f>IFERROR(__xludf.DUMMYFUNCTION("""COMPUTED_VALUE"""),"한메")</f>
        <v>한메</v>
      </c>
      <c r="M2027" s="26" t="str">
        <f>IFERROR(__xludf.DUMMYFUNCTION("""COMPUTED_VALUE"""),"신형만")</f>
        <v>신형만</v>
      </c>
      <c r="N2027" s="26" t="str">
        <f>IFERROR(__xludf.DUMMYFUNCTION("ARRAYFORMULA(REGEXEXTRACT(SPLIT(E2027, ""&lt;br&gt;""), ""([가-힣A-Za-z]+)""))"),"팰리")</f>
        <v>팰리</v>
      </c>
      <c r="O2027" s="26" t="str">
        <f>IFERROR(__xludf.DUMMYFUNCTION("""COMPUTED_VALUE"""),"강화")</f>
        <v>강화</v>
      </c>
      <c r="P2027" s="26" t="str">
        <f>IFERROR(__xludf.DUMMYFUNCTION("""COMPUTED_VALUE"""),"재명")</f>
        <v>재명</v>
      </c>
      <c r="Q2027" s="26" t="str">
        <f>IFERROR(__xludf.DUMMYFUNCTION("""COMPUTED_VALUE"""),"오크")</f>
        <v>오크</v>
      </c>
      <c r="R2027" s="18"/>
      <c r="S2027" s="18"/>
      <c r="T2027" s="18"/>
      <c r="U2027" s="18"/>
      <c r="V2027" s="18"/>
      <c r="W2027" s="18"/>
      <c r="X2027" s="18"/>
      <c r="Y2027" s="18"/>
      <c r="Z2027" s="18"/>
      <c r="AA2027" s="18"/>
      <c r="AB2027" s="18"/>
    </row>
    <row r="2028">
      <c r="A2028" s="31" t="s">
        <v>8367</v>
      </c>
      <c r="B2028" s="28" t="s">
        <v>8368</v>
      </c>
      <c r="C2028" s="27" t="s">
        <v>8369</v>
      </c>
      <c r="D2028" s="27">
        <v>5.0</v>
      </c>
      <c r="E2028" s="27" t="s">
        <v>8370</v>
      </c>
      <c r="F2028" s="27">
        <v>0.0</v>
      </c>
      <c r="G2028" s="29">
        <v>45450.99722222222</v>
      </c>
      <c r="H2028" s="27" t="s">
        <v>8266</v>
      </c>
      <c r="I2028" s="18"/>
      <c r="J2028" s="25" t="str">
        <f>IFERROR(__xludf.DUMMYFUNCTION("ARRAYFORMULA(REGEXEXTRACT(SPLIT(C2028, ""&lt;br&gt;""), ""([가-힣A-Za-z]+)""))"),"한메")</f>
        <v>한메</v>
      </c>
      <c r="K2028" s="26" t="str">
        <f>IFERROR(__xludf.DUMMYFUNCTION("""COMPUTED_VALUE"""),"깡패")</f>
        <v>깡패</v>
      </c>
      <c r="L2028" s="26" t="str">
        <f>IFERROR(__xludf.DUMMYFUNCTION("""COMPUTED_VALUE"""),"신형만")</f>
        <v>신형만</v>
      </c>
      <c r="M2028" s="26" t="str">
        <f>IFERROR(__xludf.DUMMYFUNCTION("""COMPUTED_VALUE"""),"오크")</f>
        <v>오크</v>
      </c>
      <c r="N2028" s="26" t="str">
        <f>IFERROR(__xludf.DUMMYFUNCTION("ARRAYFORMULA(REGEXEXTRACT(SPLIT(E2028, ""&lt;br&gt;""), ""([가-힣A-Za-z]+)""))"),"팰리")</f>
        <v>팰리</v>
      </c>
      <c r="O2028" s="26" t="str">
        <f>IFERROR(__xludf.DUMMYFUNCTION("""COMPUTED_VALUE"""),"ACDC")</f>
        <v>ACDC</v>
      </c>
      <c r="P2028" s="26" t="str">
        <f>IFERROR(__xludf.DUMMYFUNCTION("""COMPUTED_VALUE"""),"짱구")</f>
        <v>짱구</v>
      </c>
      <c r="Q2028" s="26" t="str">
        <f>IFERROR(__xludf.DUMMYFUNCTION("""COMPUTED_VALUE"""),"강화")</f>
        <v>강화</v>
      </c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  <c r="AB2028" s="18"/>
    </row>
    <row r="2029">
      <c r="A2029" s="31" t="s">
        <v>8371</v>
      </c>
      <c r="B2029" s="28" t="s">
        <v>8372</v>
      </c>
      <c r="C2029" s="27" t="s">
        <v>8373</v>
      </c>
      <c r="D2029" s="27">
        <v>5.0</v>
      </c>
      <c r="E2029" s="27" t="s">
        <v>8374</v>
      </c>
      <c r="F2029" s="27">
        <v>1.0</v>
      </c>
      <c r="G2029" s="29">
        <v>45450.98055555556</v>
      </c>
      <c r="H2029" s="27" t="s">
        <v>8266</v>
      </c>
      <c r="I2029" s="18"/>
      <c r="J2029" s="25" t="str">
        <f>IFERROR(__xludf.DUMMYFUNCTION("ARRAYFORMULA(REGEXEXTRACT(SPLIT(C2029, ""&lt;br&gt;""), ""([가-힣A-Za-z]+)""))"),"팰리")</f>
        <v>팰리</v>
      </c>
      <c r="K2029" s="26" t="str">
        <f>IFERROR(__xludf.DUMMYFUNCTION("""COMPUTED_VALUE"""),"짱구")</f>
        <v>짱구</v>
      </c>
      <c r="L2029" s="26" t="str">
        <f>IFERROR(__xludf.DUMMYFUNCTION("""COMPUTED_VALUE"""),"엘더")</f>
        <v>엘더</v>
      </c>
      <c r="M2029" s="26" t="str">
        <f>IFERROR(__xludf.DUMMYFUNCTION("""COMPUTED_VALUE"""),"전투쥐")</f>
        <v>전투쥐</v>
      </c>
      <c r="N2029" s="26" t="str">
        <f>IFERROR(__xludf.DUMMYFUNCTION("ARRAYFORMULA(REGEXEXTRACT(SPLIT(E2029, ""&lt;br&gt;""), ""([가-힣A-Za-z]+)""))"),"신형만")</f>
        <v>신형만</v>
      </c>
      <c r="O2029" s="26" t="str">
        <f>IFERROR(__xludf.DUMMYFUNCTION("""COMPUTED_VALUE"""),"깡패")</f>
        <v>깡패</v>
      </c>
      <c r="P2029" s="26" t="str">
        <f>IFERROR(__xludf.DUMMYFUNCTION("""COMPUTED_VALUE"""),"ACDC")</f>
        <v>ACDC</v>
      </c>
      <c r="Q2029" s="26" t="str">
        <f>IFERROR(__xludf.DUMMYFUNCTION("""COMPUTED_VALUE"""),"강화")</f>
        <v>강화</v>
      </c>
      <c r="R2029" s="18"/>
      <c r="S2029" s="18"/>
      <c r="T2029" s="18"/>
      <c r="U2029" s="18"/>
      <c r="V2029" s="18"/>
      <c r="W2029" s="18"/>
      <c r="X2029" s="18"/>
      <c r="Y2029" s="18"/>
      <c r="Z2029" s="18"/>
      <c r="AA2029" s="18"/>
      <c r="AB2029" s="18"/>
    </row>
    <row r="2030">
      <c r="A2030" s="31" t="s">
        <v>8375</v>
      </c>
      <c r="B2030" s="28" t="s">
        <v>8376</v>
      </c>
      <c r="C2030" s="27" t="s">
        <v>8377</v>
      </c>
      <c r="D2030" s="27">
        <v>5.0</v>
      </c>
      <c r="E2030" s="27" t="s">
        <v>8378</v>
      </c>
      <c r="F2030" s="27">
        <v>2.0</v>
      </c>
      <c r="G2030" s="29">
        <v>45450.959027777775</v>
      </c>
      <c r="H2030" s="27" t="s">
        <v>8266</v>
      </c>
      <c r="I2030" s="18"/>
      <c r="J2030" s="25" t="str">
        <f>IFERROR(__xludf.DUMMYFUNCTION("ARRAYFORMULA(REGEXEXTRACT(SPLIT(C2030, ""&lt;br&gt;""), ""([가-힣A-Za-z]+)""))"),"엘더")</f>
        <v>엘더</v>
      </c>
      <c r="K2030" s="26" t="str">
        <f>IFERROR(__xludf.DUMMYFUNCTION("""COMPUTED_VALUE"""),"깡패")</f>
        <v>깡패</v>
      </c>
      <c r="L2030" s="26" t="str">
        <f>IFERROR(__xludf.DUMMYFUNCTION("""COMPUTED_VALUE"""),"짱구")</f>
        <v>짱구</v>
      </c>
      <c r="M2030" s="26" t="str">
        <f>IFERROR(__xludf.DUMMYFUNCTION("""COMPUTED_VALUE"""),"팰리")</f>
        <v>팰리</v>
      </c>
      <c r="N2030" s="26" t="str">
        <f>IFERROR(__xludf.DUMMYFUNCTION("ARRAYFORMULA(REGEXEXTRACT(SPLIT(E2030, ""&lt;br&gt;""), ""([가-힣A-Za-z]+)""))"),"강화")</f>
        <v>강화</v>
      </c>
      <c r="O2030" s="26" t="str">
        <f>IFERROR(__xludf.DUMMYFUNCTION("""COMPUTED_VALUE"""),"미등록")</f>
        <v>미등록</v>
      </c>
      <c r="P2030" s="26" t="str">
        <f>IFERROR(__xludf.DUMMYFUNCTION("""COMPUTED_VALUE"""),"미등록")</f>
        <v>미등록</v>
      </c>
      <c r="Q2030" s="26" t="str">
        <f>IFERROR(__xludf.DUMMYFUNCTION("""COMPUTED_VALUE"""),"전투쥐")</f>
        <v>전투쥐</v>
      </c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  <c r="AB2030" s="18"/>
    </row>
    <row r="2031">
      <c r="A2031" s="31" t="s">
        <v>8379</v>
      </c>
      <c r="B2031" s="28" t="s">
        <v>8380</v>
      </c>
      <c r="C2031" s="27" t="s">
        <v>8381</v>
      </c>
      <c r="D2031" s="27">
        <v>5.0</v>
      </c>
      <c r="E2031" s="27" t="s">
        <v>8382</v>
      </c>
      <c r="F2031" s="27">
        <v>0.0</v>
      </c>
      <c r="G2031" s="29">
        <v>45450.93819444445</v>
      </c>
      <c r="H2031" s="27" t="s">
        <v>8266</v>
      </c>
      <c r="I2031" s="18"/>
      <c r="J2031" s="25" t="str">
        <f>IFERROR(__xludf.DUMMYFUNCTION("ARRAYFORMULA(REGEXEXTRACT(SPLIT(C2031, ""&lt;br&gt;""), ""([가-힣A-Za-z]+)""))"),"신형만")</f>
        <v>신형만</v>
      </c>
      <c r="K2031" s="26" t="str">
        <f>IFERROR(__xludf.DUMMYFUNCTION("""COMPUTED_VALUE"""),"짱구")</f>
        <v>짱구</v>
      </c>
      <c r="L2031" s="26" t="str">
        <f>IFERROR(__xludf.DUMMYFUNCTION("""COMPUTED_VALUE"""),"엘더")</f>
        <v>엘더</v>
      </c>
      <c r="M2031" s="26" t="str">
        <f>IFERROR(__xludf.DUMMYFUNCTION("""COMPUTED_VALUE"""),"팰리")</f>
        <v>팰리</v>
      </c>
      <c r="N2031" s="26" t="str">
        <f>IFERROR(__xludf.DUMMYFUNCTION("ARRAYFORMULA(REGEXEXTRACT(SPLIT(E2031, ""&lt;br&gt;""), ""([가-힣A-Za-z]+)""))"),"ACDC")</f>
        <v>ACDC</v>
      </c>
      <c r="O2031" s="26" t="str">
        <f>IFERROR(__xludf.DUMMYFUNCTION("""COMPUTED_VALUE"""),"깡패")</f>
        <v>깡패</v>
      </c>
      <c r="P2031" s="26" t="str">
        <f>IFERROR(__xludf.DUMMYFUNCTION("""COMPUTED_VALUE"""),"강화")</f>
        <v>강화</v>
      </c>
      <c r="Q2031" s="26" t="str">
        <f>IFERROR(__xludf.DUMMYFUNCTION("""COMPUTED_VALUE"""),"전투쥐")</f>
        <v>전투쥐</v>
      </c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</row>
    <row r="2032">
      <c r="A2032" s="31" t="s">
        <v>8383</v>
      </c>
      <c r="B2032" s="28" t="s">
        <v>8384</v>
      </c>
      <c r="C2032" s="27" t="s">
        <v>8385</v>
      </c>
      <c r="D2032" s="27">
        <v>5.0</v>
      </c>
      <c r="E2032" s="27" t="s">
        <v>8386</v>
      </c>
      <c r="F2032" s="27">
        <v>3.0</v>
      </c>
      <c r="G2032" s="29">
        <v>45450.93472222222</v>
      </c>
      <c r="H2032" s="27" t="s">
        <v>8266</v>
      </c>
      <c r="I2032" s="18"/>
      <c r="J2032" s="25" t="str">
        <f>IFERROR(__xludf.DUMMYFUNCTION("ARRAYFORMULA(REGEXEXTRACT(SPLIT(C2032, ""&lt;br&gt;""), ""([가-힣A-Za-z]+)""))"),"강화")</f>
        <v>강화</v>
      </c>
      <c r="K2032" s="26" t="str">
        <f>IFERROR(__xludf.DUMMYFUNCTION("""COMPUTED_VALUE"""),"깡패")</f>
        <v>깡패</v>
      </c>
      <c r="L2032" s="26" t="str">
        <f>IFERROR(__xludf.DUMMYFUNCTION("""COMPUTED_VALUE"""),"전투쥐")</f>
        <v>전투쥐</v>
      </c>
      <c r="M2032" s="26" t="str">
        <f>IFERROR(__xludf.DUMMYFUNCTION("""COMPUTED_VALUE"""),"신형만")</f>
        <v>신형만</v>
      </c>
      <c r="N2032" s="26" t="str">
        <f>IFERROR(__xludf.DUMMYFUNCTION("ARRAYFORMULA(REGEXEXTRACT(SPLIT(E2032, ""&lt;br&gt;""), ""([가-힣A-Za-z]+)""))"),"팰리")</f>
        <v>팰리</v>
      </c>
      <c r="O2032" s="26" t="str">
        <f>IFERROR(__xludf.DUMMYFUNCTION("""COMPUTED_VALUE"""),"ACDC")</f>
        <v>ACDC</v>
      </c>
      <c r="P2032" s="26" t="str">
        <f>IFERROR(__xludf.DUMMYFUNCTION("""COMPUTED_VALUE"""),"짱구")</f>
        <v>짱구</v>
      </c>
      <c r="Q2032" s="26" t="str">
        <f>IFERROR(__xludf.DUMMYFUNCTION("""COMPUTED_VALUE"""),"엘더")</f>
        <v>엘더</v>
      </c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  <c r="AB2032" s="18"/>
    </row>
    <row r="2033">
      <c r="A2033" s="31" t="s">
        <v>8387</v>
      </c>
      <c r="B2033" s="28" t="s">
        <v>8388</v>
      </c>
      <c r="C2033" s="27" t="s">
        <v>8389</v>
      </c>
      <c r="D2033" s="27">
        <v>5.0</v>
      </c>
      <c r="E2033" s="27" t="s">
        <v>8390</v>
      </c>
      <c r="F2033" s="27">
        <v>4.0</v>
      </c>
      <c r="G2033" s="29">
        <v>45450.76388888889</v>
      </c>
      <c r="H2033" s="27" t="s">
        <v>8266</v>
      </c>
      <c r="I2033" s="18"/>
      <c r="J2033" s="25" t="str">
        <f>IFERROR(__xludf.DUMMYFUNCTION("ARRAYFORMULA(REGEXEXTRACT(SPLIT(C2033, ""&lt;br&gt;""), ""([가-힣A-Za-z]+)""))"),"전투쥐")</f>
        <v>전투쥐</v>
      </c>
      <c r="K2033" s="26" t="str">
        <f>IFERROR(__xludf.DUMMYFUNCTION("""COMPUTED_VALUE"""),"팰리")</f>
        <v>팰리</v>
      </c>
      <c r="L2033" s="26" t="str">
        <f>IFERROR(__xludf.DUMMYFUNCTION("""COMPUTED_VALUE"""),"ACDC")</f>
        <v>ACDC</v>
      </c>
      <c r="M2033" s="26" t="str">
        <f>IFERROR(__xludf.DUMMYFUNCTION("""COMPUTED_VALUE"""),"깡패")</f>
        <v>깡패</v>
      </c>
      <c r="N2033" s="26" t="str">
        <f>IFERROR(__xludf.DUMMYFUNCTION("ARRAYFORMULA(REGEXEXTRACT(SPLIT(E2033, ""&lt;br&gt;""), ""([가-힣A-Za-z]+)""))"),"윙크")</f>
        <v>윙크</v>
      </c>
      <c r="O2033" s="26" t="str">
        <f>IFERROR(__xludf.DUMMYFUNCTION("""COMPUTED_VALUE"""),"강화")</f>
        <v>강화</v>
      </c>
      <c r="P2033" s="26" t="str">
        <f>IFERROR(__xludf.DUMMYFUNCTION("""COMPUTED_VALUE"""),"한메")</f>
        <v>한메</v>
      </c>
      <c r="Q2033" s="26" t="str">
        <f>IFERROR(__xludf.DUMMYFUNCTION("""COMPUTED_VALUE"""),"신형만")</f>
        <v>신형만</v>
      </c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  <c r="AB2033" s="18"/>
    </row>
    <row r="2034">
      <c r="A2034" s="31" t="s">
        <v>8391</v>
      </c>
      <c r="B2034" s="28" t="s">
        <v>8392</v>
      </c>
      <c r="C2034" s="27" t="s">
        <v>8393</v>
      </c>
      <c r="D2034" s="27">
        <v>5.0</v>
      </c>
      <c r="E2034" s="27" t="s">
        <v>8394</v>
      </c>
      <c r="F2034" s="27">
        <v>3.0</v>
      </c>
      <c r="G2034" s="29">
        <v>45450.73055555556</v>
      </c>
      <c r="H2034" s="27" t="s">
        <v>8266</v>
      </c>
      <c r="I2034" s="18"/>
      <c r="J2034" s="25" t="str">
        <f>IFERROR(__xludf.DUMMYFUNCTION("ARRAYFORMULA(REGEXEXTRACT(SPLIT(C2034, ""&lt;br&gt;""), ""([가-힣A-Za-z]+)""))"),"윙크")</f>
        <v>윙크</v>
      </c>
      <c r="K2034" s="26" t="str">
        <f>IFERROR(__xludf.DUMMYFUNCTION("""COMPUTED_VALUE"""),"전투쥐")</f>
        <v>전투쥐</v>
      </c>
      <c r="L2034" s="26" t="str">
        <f>IFERROR(__xludf.DUMMYFUNCTION("""COMPUTED_VALUE"""),"ACDC")</f>
        <v>ACDC</v>
      </c>
      <c r="M2034" s="26" t="str">
        <f>IFERROR(__xludf.DUMMYFUNCTION("""COMPUTED_VALUE"""),"깡패")</f>
        <v>깡패</v>
      </c>
      <c r="N2034" s="26" t="str">
        <f>IFERROR(__xludf.DUMMYFUNCTION("ARRAYFORMULA(REGEXEXTRACT(SPLIT(E2034, ""&lt;br&gt;""), ""([가-힣A-Za-z]+)""))"),"팰리")</f>
        <v>팰리</v>
      </c>
      <c r="O2034" s="26" t="str">
        <f>IFERROR(__xludf.DUMMYFUNCTION("""COMPUTED_VALUE"""),"강화")</f>
        <v>강화</v>
      </c>
      <c r="P2034" s="26" t="str">
        <f>IFERROR(__xludf.DUMMYFUNCTION("""COMPUTED_VALUE"""),"신형만")</f>
        <v>신형만</v>
      </c>
      <c r="Q2034" s="26" t="str">
        <f>IFERROR(__xludf.DUMMYFUNCTION("""COMPUTED_VALUE"""),"한메")</f>
        <v>한메</v>
      </c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  <c r="AB2034" s="18"/>
    </row>
    <row r="2035">
      <c r="A2035" s="31" t="s">
        <v>8395</v>
      </c>
      <c r="B2035" s="28" t="s">
        <v>8396</v>
      </c>
      <c r="C2035" s="27" t="s">
        <v>8390</v>
      </c>
      <c r="D2035" s="27">
        <v>5.0</v>
      </c>
      <c r="E2035" s="27" t="s">
        <v>8397</v>
      </c>
      <c r="F2035" s="27">
        <v>0.0</v>
      </c>
      <c r="G2035" s="29">
        <v>45450.70347222222</v>
      </c>
      <c r="H2035" s="27" t="s">
        <v>8266</v>
      </c>
      <c r="I2035" s="18"/>
      <c r="J2035" s="25" t="str">
        <f>IFERROR(__xludf.DUMMYFUNCTION("ARRAYFORMULA(REGEXEXTRACT(SPLIT(C2035, ""&lt;br&gt;""), ""([가-힣A-Za-z]+)""))"),"윙크")</f>
        <v>윙크</v>
      </c>
      <c r="K2035" s="26" t="str">
        <f>IFERROR(__xludf.DUMMYFUNCTION("""COMPUTED_VALUE"""),"강화")</f>
        <v>강화</v>
      </c>
      <c r="L2035" s="26" t="str">
        <f>IFERROR(__xludf.DUMMYFUNCTION("""COMPUTED_VALUE"""),"한메")</f>
        <v>한메</v>
      </c>
      <c r="M2035" s="26" t="str">
        <f>IFERROR(__xludf.DUMMYFUNCTION("""COMPUTED_VALUE"""),"신형만")</f>
        <v>신형만</v>
      </c>
      <c r="N2035" s="26" t="str">
        <f>IFERROR(__xludf.DUMMYFUNCTION("ARRAYFORMULA(REGEXEXTRACT(SPLIT(E2035, ""&lt;br&gt;""), ""([가-힣A-Za-z]+)""))"),"팰리")</f>
        <v>팰리</v>
      </c>
      <c r="O2035" s="26" t="str">
        <f>IFERROR(__xludf.DUMMYFUNCTION("""COMPUTED_VALUE"""),"전투쥐")</f>
        <v>전투쥐</v>
      </c>
      <c r="P2035" s="26" t="str">
        <f>IFERROR(__xludf.DUMMYFUNCTION("""COMPUTED_VALUE"""),"ACDC")</f>
        <v>ACDC</v>
      </c>
      <c r="Q2035" s="26" t="str">
        <f>IFERROR(__xludf.DUMMYFUNCTION("""COMPUTED_VALUE"""),"깡패")</f>
        <v>깡패</v>
      </c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  <c r="AB2035" s="18"/>
    </row>
    <row r="2036">
      <c r="A2036" s="31" t="s">
        <v>8398</v>
      </c>
      <c r="B2036" s="28" t="s">
        <v>8399</v>
      </c>
      <c r="C2036" s="27" t="s">
        <v>8400</v>
      </c>
      <c r="D2036" s="27">
        <v>5.0</v>
      </c>
      <c r="E2036" s="27" t="s">
        <v>8401</v>
      </c>
      <c r="F2036" s="27">
        <v>1.0</v>
      </c>
      <c r="G2036" s="29">
        <v>45450.686111111114</v>
      </c>
      <c r="H2036" s="27" t="s">
        <v>8266</v>
      </c>
      <c r="I2036" s="18"/>
      <c r="J2036" s="25" t="str">
        <f>IFERROR(__xludf.DUMMYFUNCTION("ARRAYFORMULA(REGEXEXTRACT(SPLIT(C2036, ""&lt;br&gt;""), ""([가-힣A-Za-z]+)""))"),"팰리")</f>
        <v>팰리</v>
      </c>
      <c r="K2036" s="26" t="str">
        <f>IFERROR(__xludf.DUMMYFUNCTION("""COMPUTED_VALUE"""),"한메")</f>
        <v>한메</v>
      </c>
      <c r="L2036" s="26" t="str">
        <f>IFERROR(__xludf.DUMMYFUNCTION("""COMPUTED_VALUE"""),"신형만")</f>
        <v>신형만</v>
      </c>
      <c r="M2036" s="26" t="str">
        <f>IFERROR(__xludf.DUMMYFUNCTION("""COMPUTED_VALUE"""),"윙크")</f>
        <v>윙크</v>
      </c>
      <c r="N2036" s="26" t="str">
        <f>IFERROR(__xludf.DUMMYFUNCTION("ARRAYFORMULA(REGEXEXTRACT(SPLIT(E2036, ""&lt;br&gt;""), ""([가-힣A-Za-z]+)""))"),"ACDC")</f>
        <v>ACDC</v>
      </c>
      <c r="O2036" s="26" t="str">
        <f>IFERROR(__xludf.DUMMYFUNCTION("""COMPUTED_VALUE"""),"깡패")</f>
        <v>깡패</v>
      </c>
      <c r="P2036" s="26" t="str">
        <f>IFERROR(__xludf.DUMMYFUNCTION("""COMPUTED_VALUE"""),"전투쥐")</f>
        <v>전투쥐</v>
      </c>
      <c r="Q2036" s="26" t="str">
        <f>IFERROR(__xludf.DUMMYFUNCTION("""COMPUTED_VALUE"""),"강화")</f>
        <v>강화</v>
      </c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</row>
    <row r="2037">
      <c r="A2037" s="31" t="s">
        <v>8402</v>
      </c>
      <c r="B2037" s="28" t="s">
        <v>8403</v>
      </c>
      <c r="C2037" s="27" t="s">
        <v>8404</v>
      </c>
      <c r="D2037" s="27">
        <v>5.0</v>
      </c>
      <c r="E2037" s="27" t="s">
        <v>8405</v>
      </c>
      <c r="F2037" s="27">
        <v>1.0</v>
      </c>
      <c r="G2037" s="29">
        <v>45450.66805555556</v>
      </c>
      <c r="H2037" s="27" t="s">
        <v>8266</v>
      </c>
      <c r="I2037" s="18"/>
      <c r="J2037" s="25" t="str">
        <f>IFERROR(__xludf.DUMMYFUNCTION("ARRAYFORMULA(REGEXEXTRACT(SPLIT(C2037, ""&lt;br&gt;""), ""([가-힣A-Za-z]+)""))"),"강화")</f>
        <v>강화</v>
      </c>
      <c r="K2037" s="26" t="str">
        <f>IFERROR(__xludf.DUMMYFUNCTION("""COMPUTED_VALUE"""),"한메")</f>
        <v>한메</v>
      </c>
      <c r="L2037" s="26" t="str">
        <f>IFERROR(__xludf.DUMMYFUNCTION("""COMPUTED_VALUE"""),"전투쥐")</f>
        <v>전투쥐</v>
      </c>
      <c r="M2037" s="26" t="str">
        <f>IFERROR(__xludf.DUMMYFUNCTION("""COMPUTED_VALUE"""),"깡패")</f>
        <v>깡패</v>
      </c>
      <c r="N2037" s="26" t="str">
        <f>IFERROR(__xludf.DUMMYFUNCTION("ARRAYFORMULA(REGEXEXTRACT(SPLIT(E2037, ""&lt;br&gt;""), ""([가-힣A-Za-z]+)""))"),"ACDC")</f>
        <v>ACDC</v>
      </c>
      <c r="O2037" s="26" t="str">
        <f>IFERROR(__xludf.DUMMYFUNCTION("""COMPUTED_VALUE"""),"팰리")</f>
        <v>팰리</v>
      </c>
      <c r="P2037" s="26" t="str">
        <f>IFERROR(__xludf.DUMMYFUNCTION("""COMPUTED_VALUE"""),"신형만")</f>
        <v>신형만</v>
      </c>
      <c r="Q2037" s="26" t="str">
        <f>IFERROR(__xludf.DUMMYFUNCTION("""COMPUTED_VALUE"""),"윙크")</f>
        <v>윙크</v>
      </c>
      <c r="R2037" s="18"/>
      <c r="S2037" s="18"/>
      <c r="T2037" s="18"/>
      <c r="U2037" s="18"/>
      <c r="V2037" s="18"/>
      <c r="W2037" s="18"/>
      <c r="X2037" s="18"/>
      <c r="Y2037" s="18"/>
      <c r="Z2037" s="18"/>
      <c r="AA2037" s="18"/>
      <c r="AB2037" s="18"/>
    </row>
    <row r="2038">
      <c r="A2038" s="31" t="s">
        <v>8406</v>
      </c>
      <c r="B2038" s="28" t="s">
        <v>8407</v>
      </c>
      <c r="C2038" s="27" t="s">
        <v>8408</v>
      </c>
      <c r="D2038" s="27">
        <v>5.0</v>
      </c>
      <c r="E2038" s="27" t="s">
        <v>8409</v>
      </c>
      <c r="F2038" s="27">
        <v>2.0</v>
      </c>
      <c r="G2038" s="29">
        <v>45448.739583333336</v>
      </c>
      <c r="H2038" s="27" t="s">
        <v>8266</v>
      </c>
      <c r="I2038" s="18"/>
      <c r="J2038" s="25" t="str">
        <f>IFERROR(__xludf.DUMMYFUNCTION("ARRAYFORMULA(REGEXEXTRACT(SPLIT(C2038, ""&lt;br&gt;""), ""([가-힣A-Za-z]+)""))"),"지피")</f>
        <v>지피</v>
      </c>
      <c r="K2038" s="26" t="str">
        <f>IFERROR(__xludf.DUMMYFUNCTION("""COMPUTED_VALUE"""),"랄")</f>
        <v>랄</v>
      </c>
      <c r="L2038" s="26" t="str">
        <f>IFERROR(__xludf.DUMMYFUNCTION("""COMPUTED_VALUE"""),"ACDC")</f>
        <v>ACDC</v>
      </c>
      <c r="M2038" s="26" t="str">
        <f>IFERROR(__xludf.DUMMYFUNCTION("""COMPUTED_VALUE"""),"재우")</f>
        <v>재우</v>
      </c>
      <c r="N2038" s="26" t="str">
        <f>IFERROR(__xludf.DUMMYFUNCTION("ARRAYFORMULA(REGEXEXTRACT(SPLIT(E2038, ""&lt;br&gt;""), ""([가-힣A-Za-z]+)""))"),"강화")</f>
        <v>강화</v>
      </c>
      <c r="O2038" s="26" t="str">
        <f>IFERROR(__xludf.DUMMYFUNCTION("""COMPUTED_VALUE"""),"깡패")</f>
        <v>깡패</v>
      </c>
      <c r="P2038" s="26" t="str">
        <f>IFERROR(__xludf.DUMMYFUNCTION("""COMPUTED_VALUE"""),"ovo")</f>
        <v>ovo</v>
      </c>
      <c r="Q2038" s="26" t="str">
        <f>IFERROR(__xludf.DUMMYFUNCTION("""COMPUTED_VALUE"""),"짱구")</f>
        <v>짱구</v>
      </c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</row>
    <row r="2039">
      <c r="A2039" s="31" t="s">
        <v>8406</v>
      </c>
      <c r="B2039" s="28" t="s">
        <v>8407</v>
      </c>
      <c r="C2039" s="27" t="s">
        <v>8410</v>
      </c>
      <c r="D2039" s="27">
        <v>5.0</v>
      </c>
      <c r="E2039" s="27" t="s">
        <v>8411</v>
      </c>
      <c r="F2039" s="27">
        <v>1.0</v>
      </c>
      <c r="G2039" s="29">
        <v>45448.739583333336</v>
      </c>
      <c r="H2039" s="27" t="s">
        <v>8266</v>
      </c>
      <c r="I2039" s="18"/>
      <c r="J2039" s="25" t="str">
        <f>IFERROR(__xludf.DUMMYFUNCTION("ARRAYFORMULA(REGEXEXTRACT(SPLIT(C2039, ""&lt;br&gt;""), ""([가-힣A-Za-z]+)""))"),"강화")</f>
        <v>강화</v>
      </c>
      <c r="K2039" s="26" t="str">
        <f>IFERROR(__xludf.DUMMYFUNCTION("""COMPUTED_VALUE"""),"랄")</f>
        <v>랄</v>
      </c>
      <c r="L2039" s="26" t="str">
        <f>IFERROR(__xludf.DUMMYFUNCTION("""COMPUTED_VALUE"""),"요즘")</f>
        <v>요즘</v>
      </c>
      <c r="M2039" s="26" t="str">
        <f>IFERROR(__xludf.DUMMYFUNCTION("""COMPUTED_VALUE"""),"재우")</f>
        <v>재우</v>
      </c>
      <c r="N2039" s="26" t="str">
        <f>IFERROR(__xludf.DUMMYFUNCTION("ARRAYFORMULA(REGEXEXTRACT(SPLIT(E2039, ""&lt;br&gt;""), ""([가-힣A-Za-z]+)""))"),"ACDC")</f>
        <v>ACDC</v>
      </c>
      <c r="O2039" s="26" t="str">
        <f>IFERROR(__xludf.DUMMYFUNCTION("""COMPUTED_VALUE"""),"깡패")</f>
        <v>깡패</v>
      </c>
      <c r="P2039" s="26" t="str">
        <f>IFERROR(__xludf.DUMMYFUNCTION("""COMPUTED_VALUE"""),"지피")</f>
        <v>지피</v>
      </c>
      <c r="Q2039" s="26" t="str">
        <f>IFERROR(__xludf.DUMMYFUNCTION("""COMPUTED_VALUE"""),"재명")</f>
        <v>재명</v>
      </c>
      <c r="R2039" s="18"/>
      <c r="S2039" s="18"/>
      <c r="T2039" s="18"/>
      <c r="U2039" s="18"/>
      <c r="V2039" s="18"/>
      <c r="W2039" s="18"/>
      <c r="X2039" s="18"/>
      <c r="Y2039" s="18"/>
      <c r="Z2039" s="18"/>
      <c r="AA2039" s="18"/>
      <c r="AB2039" s="18"/>
    </row>
    <row r="2040">
      <c r="A2040" s="31" t="s">
        <v>8406</v>
      </c>
      <c r="B2040" s="28" t="s">
        <v>8407</v>
      </c>
      <c r="C2040" s="27" t="s">
        <v>8412</v>
      </c>
      <c r="D2040" s="27">
        <v>5.0</v>
      </c>
      <c r="E2040" s="27" t="s">
        <v>8413</v>
      </c>
      <c r="F2040" s="27">
        <v>1.0</v>
      </c>
      <c r="G2040" s="29">
        <v>45448.739583333336</v>
      </c>
      <c r="H2040" s="27" t="s">
        <v>8266</v>
      </c>
      <c r="I2040" s="18"/>
      <c r="J2040" s="25" t="str">
        <f>IFERROR(__xludf.DUMMYFUNCTION("ARRAYFORMULA(REGEXEXTRACT(SPLIT(C2040, ""&lt;br&gt;""), ""([가-힣A-Za-z]+)""))"),"지피")</f>
        <v>지피</v>
      </c>
      <c r="K2040" s="26" t="str">
        <f>IFERROR(__xludf.DUMMYFUNCTION("""COMPUTED_VALUE"""),"랄")</f>
        <v>랄</v>
      </c>
      <c r="L2040" s="26" t="str">
        <f>IFERROR(__xludf.DUMMYFUNCTION("""COMPUTED_VALUE"""),"요즘")</f>
        <v>요즘</v>
      </c>
      <c r="M2040" s="26" t="str">
        <f>IFERROR(__xludf.DUMMYFUNCTION("""COMPUTED_VALUE"""),"재우")</f>
        <v>재우</v>
      </c>
      <c r="N2040" s="26" t="str">
        <f>IFERROR(__xludf.DUMMYFUNCTION("ARRAYFORMULA(REGEXEXTRACT(SPLIT(E2040, ""&lt;br&gt;""), ""([가-힣A-Za-z]+)""))"),"ACDC")</f>
        <v>ACDC</v>
      </c>
      <c r="O2040" s="26" t="str">
        <f>IFERROR(__xludf.DUMMYFUNCTION("""COMPUTED_VALUE"""),"깡패")</f>
        <v>깡패</v>
      </c>
      <c r="P2040" s="26" t="str">
        <f>IFERROR(__xludf.DUMMYFUNCTION("""COMPUTED_VALUE"""),"재명")</f>
        <v>재명</v>
      </c>
      <c r="Q2040" s="26" t="str">
        <f>IFERROR(__xludf.DUMMYFUNCTION("""COMPUTED_VALUE"""),"강화")</f>
        <v>강화</v>
      </c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</row>
    <row r="2041">
      <c r="A2041" s="31" t="s">
        <v>8406</v>
      </c>
      <c r="B2041" s="28" t="s">
        <v>8407</v>
      </c>
      <c r="C2041" s="27" t="s">
        <v>8414</v>
      </c>
      <c r="D2041" s="27">
        <v>5.0</v>
      </c>
      <c r="E2041" s="27" t="s">
        <v>8415</v>
      </c>
      <c r="F2041" s="27">
        <v>1.0</v>
      </c>
      <c r="G2041" s="29">
        <v>45448.739583333336</v>
      </c>
      <c r="H2041" s="27" t="s">
        <v>8266</v>
      </c>
      <c r="I2041" s="18"/>
      <c r="J2041" s="25" t="str">
        <f>IFERROR(__xludf.DUMMYFUNCTION("ARRAYFORMULA(REGEXEXTRACT(SPLIT(C2041, ""&lt;br&gt;""), ""([가-힣A-Za-z]+)""))"),"랄")</f>
        <v>랄</v>
      </c>
      <c r="K2041" s="26" t="str">
        <f>IFERROR(__xludf.DUMMYFUNCTION("""COMPUTED_VALUE"""),"깡패")</f>
        <v>깡패</v>
      </c>
      <c r="L2041" s="26" t="str">
        <f>IFERROR(__xludf.DUMMYFUNCTION("""COMPUTED_VALUE"""),"ACDC")</f>
        <v>ACDC</v>
      </c>
      <c r="M2041" s="26" t="str">
        <f>IFERROR(__xludf.DUMMYFUNCTION("""COMPUTED_VALUE"""),"재우")</f>
        <v>재우</v>
      </c>
      <c r="N2041" s="26" t="str">
        <f>IFERROR(__xludf.DUMMYFUNCTION("ARRAYFORMULA(REGEXEXTRACT(SPLIT(E2041, ""&lt;br&gt;""), ""([가-힣A-Za-z]+)""))"),"요즘")</f>
        <v>요즘</v>
      </c>
      <c r="O2041" s="26" t="str">
        <f>IFERROR(__xludf.DUMMYFUNCTION("""COMPUTED_VALUE"""),"강화")</f>
        <v>강화</v>
      </c>
      <c r="P2041" s="26" t="str">
        <f>IFERROR(__xludf.DUMMYFUNCTION("""COMPUTED_VALUE"""),"재명")</f>
        <v>재명</v>
      </c>
      <c r="Q2041" s="26" t="str">
        <f>IFERROR(__xludf.DUMMYFUNCTION("""COMPUTED_VALUE"""),"지피")</f>
        <v>지피</v>
      </c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</row>
    <row r="2042">
      <c r="A2042" s="31" t="s">
        <v>8416</v>
      </c>
      <c r="B2042" s="28" t="s">
        <v>8417</v>
      </c>
      <c r="C2042" s="27" t="s">
        <v>8418</v>
      </c>
      <c r="D2042" s="27">
        <v>5.0</v>
      </c>
      <c r="E2042" s="27" t="s">
        <v>8419</v>
      </c>
      <c r="F2042" s="27">
        <v>4.0</v>
      </c>
      <c r="G2042" s="29">
        <v>45448.739583333336</v>
      </c>
      <c r="H2042" s="27" t="s">
        <v>8266</v>
      </c>
      <c r="I2042" s="18"/>
      <c r="J2042" s="25" t="str">
        <f>IFERROR(__xludf.DUMMYFUNCTION("ARRAYFORMULA(REGEXEXTRACT(SPLIT(C2042, ""&lt;br&gt;""), ""([가-힣A-Za-z]+)""))"),"엘더")</f>
        <v>엘더</v>
      </c>
      <c r="K2042" s="26" t="str">
        <f>IFERROR(__xludf.DUMMYFUNCTION("""COMPUTED_VALUE"""),"미르진")</f>
        <v>미르진</v>
      </c>
      <c r="L2042" s="26" t="str">
        <f>IFERROR(__xludf.DUMMYFUNCTION("""COMPUTED_VALUE"""),"재명")</f>
        <v>재명</v>
      </c>
      <c r="M2042" s="26" t="str">
        <f>IFERROR(__xludf.DUMMYFUNCTION("""COMPUTED_VALUE"""),"지피")</f>
        <v>지피</v>
      </c>
      <c r="N2042" s="26" t="str">
        <f>IFERROR(__xludf.DUMMYFUNCTION("ARRAYFORMULA(REGEXEXTRACT(SPLIT(E2042, ""&lt;br&gt;""), ""([가-힣A-Za-z]+)""))"),"팰리")</f>
        <v>팰리</v>
      </c>
      <c r="O2042" s="26" t="str">
        <f>IFERROR(__xludf.DUMMYFUNCTION("""COMPUTED_VALUE"""),"강화")</f>
        <v>강화</v>
      </c>
      <c r="P2042" s="26" t="str">
        <f>IFERROR(__xludf.DUMMYFUNCTION("""COMPUTED_VALUE"""),"제이호")</f>
        <v>제이호</v>
      </c>
      <c r="Q2042" s="26" t="str">
        <f>IFERROR(__xludf.DUMMYFUNCTION("""COMPUTED_VALUE"""),"깡패")</f>
        <v>깡패</v>
      </c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  <c r="AB2042" s="18"/>
    </row>
    <row r="2043">
      <c r="A2043" s="31" t="s">
        <v>8416</v>
      </c>
      <c r="B2043" s="28" t="s">
        <v>8417</v>
      </c>
      <c r="C2043" s="27" t="s">
        <v>8420</v>
      </c>
      <c r="D2043" s="27">
        <v>5.0</v>
      </c>
      <c r="E2043" s="27" t="s">
        <v>8421</v>
      </c>
      <c r="F2043" s="27">
        <v>0.0</v>
      </c>
      <c r="G2043" s="29">
        <v>45448.739583333336</v>
      </c>
      <c r="H2043" s="27" t="s">
        <v>8266</v>
      </c>
      <c r="I2043" s="18"/>
      <c r="J2043" s="25" t="str">
        <f>IFERROR(__xludf.DUMMYFUNCTION("ARRAYFORMULA(REGEXEXTRACT(SPLIT(C2043, ""&lt;br&gt;""), ""([가-힣A-Za-z]+)""))"),"팰리")</f>
        <v>팰리</v>
      </c>
      <c r="K2043" s="26" t="str">
        <f>IFERROR(__xludf.DUMMYFUNCTION("""COMPUTED_VALUE"""),"미르진")</f>
        <v>미르진</v>
      </c>
      <c r="L2043" s="26" t="str">
        <f>IFERROR(__xludf.DUMMYFUNCTION("""COMPUTED_VALUE"""),"강화")</f>
        <v>강화</v>
      </c>
      <c r="M2043" s="26" t="str">
        <f>IFERROR(__xludf.DUMMYFUNCTION("""COMPUTED_VALUE"""),"엘더")</f>
        <v>엘더</v>
      </c>
      <c r="N2043" s="26" t="str">
        <f>IFERROR(__xludf.DUMMYFUNCTION("ARRAYFORMULA(REGEXEXTRACT(SPLIT(E2043, ""&lt;br&gt;""), ""([가-힣A-Za-z]+)""))"),"윙크")</f>
        <v>윙크</v>
      </c>
      <c r="O2043" s="26" t="str">
        <f>IFERROR(__xludf.DUMMYFUNCTION("""COMPUTED_VALUE"""),"깡패")</f>
        <v>깡패</v>
      </c>
      <c r="P2043" s="26" t="str">
        <f>IFERROR(__xludf.DUMMYFUNCTION("""COMPUTED_VALUE"""),"재명")</f>
        <v>재명</v>
      </c>
      <c r="Q2043" s="26" t="str">
        <f>IFERROR(__xludf.DUMMYFUNCTION("""COMPUTED_VALUE"""),"지피")</f>
        <v>지피</v>
      </c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  <c r="AB2043" s="18"/>
    </row>
    <row r="2044">
      <c r="A2044" s="31" t="s">
        <v>8416</v>
      </c>
      <c r="B2044" s="28" t="s">
        <v>8417</v>
      </c>
      <c r="C2044" s="27" t="s">
        <v>8422</v>
      </c>
      <c r="D2044" s="27">
        <v>5.0</v>
      </c>
      <c r="E2044" s="27" t="s">
        <v>8423</v>
      </c>
      <c r="F2044" s="27">
        <v>0.0</v>
      </c>
      <c r="G2044" s="29">
        <v>45448.739583333336</v>
      </c>
      <c r="H2044" s="27" t="s">
        <v>8266</v>
      </c>
      <c r="I2044" s="18"/>
      <c r="J2044" s="25" t="str">
        <f>IFERROR(__xludf.DUMMYFUNCTION("ARRAYFORMULA(REGEXEXTRACT(SPLIT(C2044, ""&lt;br&gt;""), ""([가-힣A-Za-z]+)""))"),"팰리")</f>
        <v>팰리</v>
      </c>
      <c r="K2044" s="26" t="str">
        <f>IFERROR(__xludf.DUMMYFUNCTION("""COMPUTED_VALUE"""),"깡패")</f>
        <v>깡패</v>
      </c>
      <c r="L2044" s="26" t="str">
        <f>IFERROR(__xludf.DUMMYFUNCTION("""COMPUTED_VALUE"""),"엘더")</f>
        <v>엘더</v>
      </c>
      <c r="M2044" s="26" t="str">
        <f>IFERROR(__xludf.DUMMYFUNCTION("""COMPUTED_VALUE"""),"윙크")</f>
        <v>윙크</v>
      </c>
      <c r="N2044" s="26" t="str">
        <f>IFERROR(__xludf.DUMMYFUNCTION("ARRAYFORMULA(REGEXEXTRACT(SPLIT(E2044, ""&lt;br&gt;""), ""([가-힣A-Za-z]+)""))"),"강화")</f>
        <v>강화</v>
      </c>
      <c r="O2044" s="26" t="str">
        <f>IFERROR(__xludf.DUMMYFUNCTION("""COMPUTED_VALUE"""),"미르진")</f>
        <v>미르진</v>
      </c>
      <c r="P2044" s="26" t="str">
        <f>IFERROR(__xludf.DUMMYFUNCTION("""COMPUTED_VALUE"""),"지피")</f>
        <v>지피</v>
      </c>
      <c r="Q2044" s="26" t="str">
        <f>IFERROR(__xludf.DUMMYFUNCTION("""COMPUTED_VALUE"""),"재명")</f>
        <v>재명</v>
      </c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  <c r="AB2044" s="18"/>
    </row>
    <row r="2045">
      <c r="A2045" s="31" t="s">
        <v>8416</v>
      </c>
      <c r="B2045" s="28" t="s">
        <v>8417</v>
      </c>
      <c r="C2045" s="27" t="s">
        <v>8424</v>
      </c>
      <c r="D2045" s="27">
        <v>5.0</v>
      </c>
      <c r="E2045" s="27" t="s">
        <v>8425</v>
      </c>
      <c r="F2045" s="27">
        <v>4.0</v>
      </c>
      <c r="G2045" s="29">
        <v>45448.739583333336</v>
      </c>
      <c r="H2045" s="27" t="s">
        <v>8266</v>
      </c>
      <c r="I2045" s="18"/>
      <c r="J2045" s="25" t="str">
        <f>IFERROR(__xludf.DUMMYFUNCTION("ARRAYFORMULA(REGEXEXTRACT(SPLIT(C2045, ""&lt;br&gt;""), ""([가-힣A-Za-z]+)""))"),"짱구")</f>
        <v>짱구</v>
      </c>
      <c r="K2045" s="26" t="str">
        <f>IFERROR(__xludf.DUMMYFUNCTION("""COMPUTED_VALUE"""),"팰리")</f>
        <v>팰리</v>
      </c>
      <c r="L2045" s="26" t="str">
        <f>IFERROR(__xludf.DUMMYFUNCTION("""COMPUTED_VALUE"""),"엘더")</f>
        <v>엘더</v>
      </c>
      <c r="M2045" s="26" t="str">
        <f>IFERROR(__xludf.DUMMYFUNCTION("""COMPUTED_VALUE"""),"재우")</f>
        <v>재우</v>
      </c>
      <c r="N2045" s="26" t="str">
        <f>IFERROR(__xludf.DUMMYFUNCTION("ARRAYFORMULA(REGEXEXTRACT(SPLIT(E2045, ""&lt;br&gt;""), ""([가-힣A-Za-z]+)""))"),"강화")</f>
        <v>강화</v>
      </c>
      <c r="O2045" s="26" t="str">
        <f>IFERROR(__xludf.DUMMYFUNCTION("""COMPUTED_VALUE"""),"전투쥐")</f>
        <v>전투쥐</v>
      </c>
      <c r="P2045" s="26" t="str">
        <f>IFERROR(__xludf.DUMMYFUNCTION("""COMPUTED_VALUE"""),"ACDC")</f>
        <v>ACDC</v>
      </c>
      <c r="Q2045" s="26" t="str">
        <f>IFERROR(__xludf.DUMMYFUNCTION("""COMPUTED_VALUE"""),"신형만")</f>
        <v>신형만</v>
      </c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  <c r="AB2045" s="18"/>
    </row>
    <row r="2046">
      <c r="A2046" s="31" t="s">
        <v>8416</v>
      </c>
      <c r="B2046" s="28" t="s">
        <v>8417</v>
      </c>
      <c r="C2046" s="27" t="s">
        <v>8426</v>
      </c>
      <c r="D2046" s="27">
        <v>5.0</v>
      </c>
      <c r="E2046" s="27" t="s">
        <v>8427</v>
      </c>
      <c r="F2046" s="27">
        <v>3.0</v>
      </c>
      <c r="G2046" s="29">
        <v>45448.739583333336</v>
      </c>
      <c r="H2046" s="27" t="s">
        <v>8266</v>
      </c>
      <c r="I2046" s="18"/>
      <c r="J2046" s="25" t="str">
        <f>IFERROR(__xludf.DUMMYFUNCTION("ARRAYFORMULA(REGEXEXTRACT(SPLIT(C2046, ""&lt;br&gt;""), ""([가-힣A-Za-z]+)""))"),"ACDC")</f>
        <v>ACDC</v>
      </c>
      <c r="K2046" s="26" t="str">
        <f>IFERROR(__xludf.DUMMYFUNCTION("""COMPUTED_VALUE"""),"재우")</f>
        <v>재우</v>
      </c>
      <c r="L2046" s="26" t="str">
        <f>IFERROR(__xludf.DUMMYFUNCTION("""COMPUTED_VALUE"""),"짱구")</f>
        <v>짱구</v>
      </c>
      <c r="M2046" s="26" t="str">
        <f>IFERROR(__xludf.DUMMYFUNCTION("""COMPUTED_VALUE"""),"신형만")</f>
        <v>신형만</v>
      </c>
      <c r="N2046" s="26" t="str">
        <f>IFERROR(__xludf.DUMMYFUNCTION("ARRAYFORMULA(REGEXEXTRACT(SPLIT(E2046, ""&lt;br&gt;""), ""([가-힣A-Za-z]+)""))"),"엘더")</f>
        <v>엘더</v>
      </c>
      <c r="O2046" s="26" t="str">
        <f>IFERROR(__xludf.DUMMYFUNCTION("""COMPUTED_VALUE"""),"전투쥐")</f>
        <v>전투쥐</v>
      </c>
      <c r="P2046" s="26" t="str">
        <f>IFERROR(__xludf.DUMMYFUNCTION("""COMPUTED_VALUE"""),"재명")</f>
        <v>재명</v>
      </c>
      <c r="Q2046" s="26" t="str">
        <f>IFERROR(__xludf.DUMMYFUNCTION("""COMPUTED_VALUE"""),"강화")</f>
        <v>강화</v>
      </c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</row>
    <row r="2047">
      <c r="A2047" s="31" t="s">
        <v>8416</v>
      </c>
      <c r="B2047" s="28" t="s">
        <v>8417</v>
      </c>
      <c r="C2047" s="27" t="s">
        <v>8428</v>
      </c>
      <c r="D2047" s="27">
        <v>5.0</v>
      </c>
      <c r="E2047" s="27" t="s">
        <v>8429</v>
      </c>
      <c r="F2047" s="27">
        <v>2.0</v>
      </c>
      <c r="G2047" s="29">
        <v>45448.739583333336</v>
      </c>
      <c r="H2047" s="27" t="s">
        <v>8266</v>
      </c>
      <c r="I2047" s="18"/>
      <c r="J2047" s="25" t="str">
        <f>IFERROR(__xludf.DUMMYFUNCTION("ARRAYFORMULA(REGEXEXTRACT(SPLIT(C2047, ""&lt;br&gt;""), ""([가-힣A-Za-z]+)""))"),"재우")</f>
        <v>재우</v>
      </c>
      <c r="K2047" s="26" t="str">
        <f>IFERROR(__xludf.DUMMYFUNCTION("""COMPUTED_VALUE"""),"강화")</f>
        <v>강화</v>
      </c>
      <c r="L2047" s="26" t="str">
        <f>IFERROR(__xludf.DUMMYFUNCTION("""COMPUTED_VALUE"""),"한메")</f>
        <v>한메</v>
      </c>
      <c r="M2047" s="26" t="str">
        <f>IFERROR(__xludf.DUMMYFUNCTION("""COMPUTED_VALUE"""),"신형만")</f>
        <v>신형만</v>
      </c>
      <c r="N2047" s="26" t="str">
        <f>IFERROR(__xludf.DUMMYFUNCTION("ARRAYFORMULA(REGEXEXTRACT(SPLIT(E2047, ""&lt;br&gt;""), ""([가-힣A-Za-z]+)""))"),"ACDC")</f>
        <v>ACDC</v>
      </c>
      <c r="O2047" s="26" t="str">
        <f>IFERROR(__xludf.DUMMYFUNCTION("""COMPUTED_VALUE"""),"팰리")</f>
        <v>팰리</v>
      </c>
      <c r="P2047" s="26" t="str">
        <f>IFERROR(__xludf.DUMMYFUNCTION("""COMPUTED_VALUE"""),"미르진")</f>
        <v>미르진</v>
      </c>
      <c r="Q2047" s="26" t="str">
        <f>IFERROR(__xludf.DUMMYFUNCTION("""COMPUTED_VALUE"""),"전투쥐")</f>
        <v>전투쥐</v>
      </c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  <c r="AB2047" s="18"/>
    </row>
    <row r="2048">
      <c r="A2048" s="31" t="s">
        <v>8416</v>
      </c>
      <c r="B2048" s="28" t="s">
        <v>8417</v>
      </c>
      <c r="C2048" s="27" t="s">
        <v>8430</v>
      </c>
      <c r="D2048" s="27">
        <v>5.0</v>
      </c>
      <c r="E2048" s="27" t="s">
        <v>8431</v>
      </c>
      <c r="F2048" s="27">
        <v>0.0</v>
      </c>
      <c r="G2048" s="29">
        <v>45448.739583333336</v>
      </c>
      <c r="H2048" s="27" t="s">
        <v>8266</v>
      </c>
      <c r="I2048" s="18"/>
      <c r="J2048" s="25" t="str">
        <f>IFERROR(__xludf.DUMMYFUNCTION("ARRAYFORMULA(REGEXEXTRACT(SPLIT(C2048, ""&lt;br&gt;""), ""([가-힣A-Za-z]+)""))"),"신형만")</f>
        <v>신형만</v>
      </c>
      <c r="K2048" s="26" t="str">
        <f>IFERROR(__xludf.DUMMYFUNCTION("""COMPUTED_VALUE"""),"미르진")</f>
        <v>미르진</v>
      </c>
      <c r="L2048" s="26" t="str">
        <f>IFERROR(__xludf.DUMMYFUNCTION("""COMPUTED_VALUE"""),"한메")</f>
        <v>한메</v>
      </c>
      <c r="M2048" s="26" t="str">
        <f>IFERROR(__xludf.DUMMYFUNCTION("""COMPUTED_VALUE"""),"재우")</f>
        <v>재우</v>
      </c>
      <c r="N2048" s="26" t="str">
        <f>IFERROR(__xludf.DUMMYFUNCTION("ARRAYFORMULA(REGEXEXTRACT(SPLIT(E2048, ""&lt;br&gt;""), ""([가-힣A-Za-z]+)""))"),"ACDC")</f>
        <v>ACDC</v>
      </c>
      <c r="O2048" s="26" t="str">
        <f>IFERROR(__xludf.DUMMYFUNCTION("""COMPUTED_VALUE"""),"전투쥐")</f>
        <v>전투쥐</v>
      </c>
      <c r="P2048" s="26" t="str">
        <f>IFERROR(__xludf.DUMMYFUNCTION("""COMPUTED_VALUE"""),"팰리")</f>
        <v>팰리</v>
      </c>
      <c r="Q2048" s="26" t="str">
        <f>IFERROR(__xludf.DUMMYFUNCTION("""COMPUTED_VALUE"""),"강화")</f>
        <v>강화</v>
      </c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  <c r="AB2048" s="18"/>
    </row>
    <row r="2049">
      <c r="A2049" s="31" t="s">
        <v>8416</v>
      </c>
      <c r="B2049" s="28" t="s">
        <v>8417</v>
      </c>
      <c r="C2049" s="27" t="s">
        <v>8432</v>
      </c>
      <c r="D2049" s="27">
        <v>5.0</v>
      </c>
      <c r="E2049" s="27" t="s">
        <v>8433</v>
      </c>
      <c r="F2049" s="27">
        <v>0.0</v>
      </c>
      <c r="G2049" s="29">
        <v>45448.739583333336</v>
      </c>
      <c r="H2049" s="27" t="s">
        <v>8266</v>
      </c>
      <c r="I2049" s="18"/>
      <c r="J2049" s="25" t="str">
        <f>IFERROR(__xludf.DUMMYFUNCTION("ARRAYFORMULA(REGEXEXTRACT(SPLIT(C2049, ""&lt;br&gt;""), ""([가-힣A-Za-z]+)""))"),"재우")</f>
        <v>재우</v>
      </c>
      <c r="K2049" s="26" t="str">
        <f>IFERROR(__xludf.DUMMYFUNCTION("""COMPUTED_VALUE"""),"미르진")</f>
        <v>미르진</v>
      </c>
      <c r="L2049" s="26" t="str">
        <f>IFERROR(__xludf.DUMMYFUNCTION("""COMPUTED_VALUE"""),"신형만")</f>
        <v>신형만</v>
      </c>
      <c r="M2049" s="26" t="str">
        <f>IFERROR(__xludf.DUMMYFUNCTION("""COMPUTED_VALUE"""),"전투쥐")</f>
        <v>전투쥐</v>
      </c>
      <c r="N2049" s="26" t="str">
        <f>IFERROR(__xludf.DUMMYFUNCTION("ARRAYFORMULA(REGEXEXTRACT(SPLIT(E2049, ""&lt;br&gt;""), ""([가-힣A-Za-z]+)""))"),"팰리")</f>
        <v>팰리</v>
      </c>
      <c r="O2049" s="26" t="str">
        <f>IFERROR(__xludf.DUMMYFUNCTION("""COMPUTED_VALUE"""),"강화")</f>
        <v>강화</v>
      </c>
      <c r="P2049" s="26" t="str">
        <f>IFERROR(__xludf.DUMMYFUNCTION("""COMPUTED_VALUE"""),"ACDC")</f>
        <v>ACDC</v>
      </c>
      <c r="Q2049" s="26" t="str">
        <f>IFERROR(__xludf.DUMMYFUNCTION("""COMPUTED_VALUE"""),"한메")</f>
        <v>한메</v>
      </c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  <c r="AB2049" s="18"/>
    </row>
    <row r="2050">
      <c r="A2050" s="31" t="s">
        <v>8434</v>
      </c>
      <c r="B2050" s="28" t="s">
        <v>8435</v>
      </c>
      <c r="C2050" s="27" t="s">
        <v>8436</v>
      </c>
      <c r="D2050" s="27">
        <v>5.0</v>
      </c>
      <c r="E2050" s="27" t="s">
        <v>8437</v>
      </c>
      <c r="F2050" s="27">
        <v>1.0</v>
      </c>
      <c r="G2050" s="29">
        <v>45448.739583333336</v>
      </c>
      <c r="H2050" s="27" t="s">
        <v>8266</v>
      </c>
      <c r="I2050" s="18"/>
      <c r="J2050" s="25" t="str">
        <f>IFERROR(__xludf.DUMMYFUNCTION("ARRAYFORMULA(REGEXEXTRACT(SPLIT(C2050, ""&lt;br&gt;""), ""([가-힣A-Za-z]+)""))"),"ACDC")</f>
        <v>ACDC</v>
      </c>
      <c r="K2050" s="26" t="str">
        <f>IFERROR(__xludf.DUMMYFUNCTION("""COMPUTED_VALUE"""),"신형만")</f>
        <v>신형만</v>
      </c>
      <c r="L2050" s="26" t="str">
        <f>IFERROR(__xludf.DUMMYFUNCTION("""COMPUTED_VALUE"""),"재우")</f>
        <v>재우</v>
      </c>
      <c r="M2050" s="26" t="str">
        <f>IFERROR(__xludf.DUMMYFUNCTION("""COMPUTED_VALUE"""),"강화")</f>
        <v>강화</v>
      </c>
      <c r="N2050" s="26" t="str">
        <f>IFERROR(__xludf.DUMMYFUNCTION("ARRAYFORMULA(REGEXEXTRACT(SPLIT(E2050, ""&lt;br&gt;""), ""([가-힣A-Za-z]+)""))"),"랄")</f>
        <v>랄</v>
      </c>
      <c r="O2050" s="26" t="str">
        <f>IFERROR(__xludf.DUMMYFUNCTION("""COMPUTED_VALUE"""),"엘더")</f>
        <v>엘더</v>
      </c>
      <c r="P2050" s="26" t="str">
        <f>IFERROR(__xludf.DUMMYFUNCTION("""COMPUTED_VALUE"""),"팰리")</f>
        <v>팰리</v>
      </c>
      <c r="Q2050" s="26" t="str">
        <f>IFERROR(__xludf.DUMMYFUNCTION("""COMPUTED_VALUE"""),"전투쥐")</f>
        <v>전투쥐</v>
      </c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</row>
    <row r="2051">
      <c r="A2051" s="31" t="s">
        <v>8434</v>
      </c>
      <c r="B2051" s="28" t="s">
        <v>8435</v>
      </c>
      <c r="C2051" s="27" t="s">
        <v>8438</v>
      </c>
      <c r="D2051" s="27">
        <v>5.0</v>
      </c>
      <c r="E2051" s="27" t="s">
        <v>8439</v>
      </c>
      <c r="F2051" s="27">
        <v>2.0</v>
      </c>
      <c r="G2051" s="29">
        <v>45448.739583333336</v>
      </c>
      <c r="H2051" s="27" t="s">
        <v>8266</v>
      </c>
      <c r="I2051" s="18"/>
      <c r="J2051" s="25" t="str">
        <f>IFERROR(__xludf.DUMMYFUNCTION("ARRAYFORMULA(REGEXEXTRACT(SPLIT(C2051, ""&lt;br&gt;""), ""([가-힣A-Za-z]+)""))"),"팰리")</f>
        <v>팰리</v>
      </c>
      <c r="K2051" s="26" t="str">
        <f>IFERROR(__xludf.DUMMYFUNCTION("""COMPUTED_VALUE"""),"ACDC")</f>
        <v>ACDC</v>
      </c>
      <c r="L2051" s="26" t="str">
        <f>IFERROR(__xludf.DUMMYFUNCTION("""COMPUTED_VALUE"""),"전투쥐")</f>
        <v>전투쥐</v>
      </c>
      <c r="M2051" s="26" t="str">
        <f>IFERROR(__xludf.DUMMYFUNCTION("""COMPUTED_VALUE"""),"엘더")</f>
        <v>엘더</v>
      </c>
      <c r="N2051" s="26" t="str">
        <f>IFERROR(__xludf.DUMMYFUNCTION("ARRAYFORMULA(REGEXEXTRACT(SPLIT(E2051, ""&lt;br&gt;""), ""([가-힣A-Za-z]+)""))"),"신형만")</f>
        <v>신형만</v>
      </c>
      <c r="O2051" s="26" t="str">
        <f>IFERROR(__xludf.DUMMYFUNCTION("""COMPUTED_VALUE"""),"강화")</f>
        <v>강화</v>
      </c>
      <c r="P2051" s="26" t="str">
        <f>IFERROR(__xludf.DUMMYFUNCTION("""COMPUTED_VALUE"""),"랄")</f>
        <v>랄</v>
      </c>
      <c r="Q2051" s="26" t="str">
        <f>IFERROR(__xludf.DUMMYFUNCTION("""COMPUTED_VALUE"""),"재우")</f>
        <v>재우</v>
      </c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</row>
    <row r="2052">
      <c r="A2052" s="31" t="s">
        <v>8434</v>
      </c>
      <c r="B2052" s="28" t="s">
        <v>8435</v>
      </c>
      <c r="C2052" s="27" t="s">
        <v>8440</v>
      </c>
      <c r="D2052" s="27">
        <v>5.0</v>
      </c>
      <c r="E2052" s="27" t="s">
        <v>8441</v>
      </c>
      <c r="F2052" s="27">
        <v>3.0</v>
      </c>
      <c r="G2052" s="29">
        <v>45448.739583333336</v>
      </c>
      <c r="H2052" s="27" t="s">
        <v>8266</v>
      </c>
      <c r="I2052" s="18"/>
      <c r="J2052" s="25" t="str">
        <f>IFERROR(__xludf.DUMMYFUNCTION("ARRAYFORMULA(REGEXEXTRACT(SPLIT(C2052, ""&lt;br&gt;""), ""([가-힣A-Za-z]+)""))"),"랄")</f>
        <v>랄</v>
      </c>
      <c r="K2052" s="26" t="str">
        <f>IFERROR(__xludf.DUMMYFUNCTION("""COMPUTED_VALUE"""),"엘더")</f>
        <v>엘더</v>
      </c>
      <c r="L2052" s="26" t="str">
        <f>IFERROR(__xludf.DUMMYFUNCTION("""COMPUTED_VALUE"""),"ACDC")</f>
        <v>ACDC</v>
      </c>
      <c r="M2052" s="26" t="str">
        <f>IFERROR(__xludf.DUMMYFUNCTION("""COMPUTED_VALUE"""),"신형만")</f>
        <v>신형만</v>
      </c>
      <c r="N2052" s="26" t="str">
        <f>IFERROR(__xludf.DUMMYFUNCTION("ARRAYFORMULA(REGEXEXTRACT(SPLIT(E2052, ""&lt;br&gt;""), ""([가-힣A-Za-z]+)""))"),"재우")</f>
        <v>재우</v>
      </c>
      <c r="O2052" s="26" t="str">
        <f>IFERROR(__xludf.DUMMYFUNCTION("""COMPUTED_VALUE"""),"강화")</f>
        <v>강화</v>
      </c>
      <c r="P2052" s="26" t="str">
        <f>IFERROR(__xludf.DUMMYFUNCTION("""COMPUTED_VALUE"""),"전투쥐")</f>
        <v>전투쥐</v>
      </c>
      <c r="Q2052" s="26" t="str">
        <f>IFERROR(__xludf.DUMMYFUNCTION("""COMPUTED_VALUE"""),"팰리")</f>
        <v>팰리</v>
      </c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</row>
    <row r="2053">
      <c r="A2053" s="32"/>
      <c r="B2053" s="28"/>
      <c r="C2053" s="27"/>
      <c r="D2053" s="27"/>
      <c r="E2053" s="27"/>
      <c r="F2053" s="27"/>
      <c r="G2053" s="29"/>
      <c r="H2053" s="4"/>
    </row>
    <row r="2054">
      <c r="A2054" s="32"/>
      <c r="B2054" s="28"/>
      <c r="C2054" s="27"/>
      <c r="D2054" s="27"/>
      <c r="E2054" s="27"/>
      <c r="F2054" s="27"/>
      <c r="G2054" s="29"/>
      <c r="H2054" s="33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  <c r="AB2054" s="18"/>
    </row>
    <row r="2055">
      <c r="A2055" s="32"/>
      <c r="B2055" s="28"/>
      <c r="C2055" s="27"/>
      <c r="D2055" s="27"/>
      <c r="E2055" s="27"/>
      <c r="F2055" s="27"/>
      <c r="G2055" s="29"/>
      <c r="H2055" s="33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</row>
    <row r="2056">
      <c r="A2056" s="32"/>
      <c r="B2056" s="28"/>
      <c r="C2056" s="27"/>
      <c r="D2056" s="27"/>
      <c r="E2056" s="27"/>
      <c r="F2056" s="27"/>
      <c r="G2056" s="29"/>
      <c r="H2056" s="33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</row>
    <row r="2057">
      <c r="A2057" s="32"/>
      <c r="B2057" s="28"/>
      <c r="C2057" s="27"/>
      <c r="D2057" s="27"/>
      <c r="E2057" s="27"/>
      <c r="F2057" s="27"/>
      <c r="G2057" s="29"/>
      <c r="H2057" s="33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  <c r="AB2057" s="18"/>
    </row>
    <row r="2058">
      <c r="A2058" s="32"/>
      <c r="B2058" s="28"/>
      <c r="C2058" s="27"/>
      <c r="D2058" s="27"/>
      <c r="E2058" s="27"/>
      <c r="F2058" s="27"/>
      <c r="G2058" s="29"/>
      <c r="H2058" s="33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  <c r="AB2058" s="18"/>
    </row>
    <row r="2059">
      <c r="A2059" s="32"/>
      <c r="B2059" s="28"/>
      <c r="C2059" s="27"/>
      <c r="D2059" s="27"/>
      <c r="E2059" s="27"/>
      <c r="F2059" s="27"/>
      <c r="G2059" s="29"/>
      <c r="H2059" s="33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</row>
    <row r="2060">
      <c r="A2060" s="32"/>
      <c r="B2060" s="28"/>
      <c r="C2060" s="27"/>
      <c r="D2060" s="27"/>
      <c r="E2060" s="27"/>
      <c r="F2060" s="27"/>
      <c r="G2060" s="29"/>
      <c r="H2060" s="33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  <c r="AB2060" s="18"/>
    </row>
    <row r="2061">
      <c r="A2061" s="32"/>
      <c r="B2061" s="28"/>
      <c r="C2061" s="27"/>
      <c r="D2061" s="27"/>
      <c r="E2061" s="27"/>
      <c r="F2061" s="27"/>
      <c r="G2061" s="29"/>
      <c r="H2061" s="33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</row>
    <row r="2062">
      <c r="A2062" s="32"/>
      <c r="B2062" s="28"/>
      <c r="C2062" s="27"/>
      <c r="D2062" s="27"/>
      <c r="E2062" s="27"/>
      <c r="F2062" s="27"/>
      <c r="G2062" s="29"/>
      <c r="H2062" s="33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  <c r="AB2062" s="18"/>
    </row>
    <row r="2063">
      <c r="A2063" s="32"/>
      <c r="B2063" s="28"/>
      <c r="C2063" s="27"/>
      <c r="D2063" s="27"/>
      <c r="E2063" s="27"/>
      <c r="F2063" s="27"/>
      <c r="G2063" s="29"/>
      <c r="H2063" s="33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  <c r="AB2063" s="18"/>
    </row>
    <row r="2064">
      <c r="A2064" s="32"/>
      <c r="B2064" s="28"/>
      <c r="C2064" s="27"/>
      <c r="D2064" s="27"/>
      <c r="E2064" s="27"/>
      <c r="F2064" s="27"/>
      <c r="G2064" s="29"/>
      <c r="H2064" s="33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  <c r="AB2064" s="18"/>
    </row>
    <row r="2065">
      <c r="A2065" s="32"/>
      <c r="B2065" s="28"/>
      <c r="C2065" s="27"/>
      <c r="D2065" s="27"/>
      <c r="E2065" s="27"/>
      <c r="F2065" s="27"/>
      <c r="G2065" s="29"/>
      <c r="H2065" s="33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  <c r="AB2065" s="18"/>
    </row>
    <row r="2066">
      <c r="A2066" s="32"/>
      <c r="B2066" s="28"/>
      <c r="C2066" s="27"/>
      <c r="D2066" s="27"/>
      <c r="E2066" s="27"/>
      <c r="F2066" s="27"/>
      <c r="G2066" s="29"/>
      <c r="H2066" s="33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</row>
    <row r="2067">
      <c r="A2067" s="32"/>
      <c r="B2067" s="28"/>
      <c r="C2067" s="27"/>
      <c r="D2067" s="27"/>
      <c r="E2067" s="27"/>
      <c r="F2067" s="27"/>
      <c r="G2067" s="29"/>
      <c r="H2067" s="33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  <c r="AB2067" s="18"/>
    </row>
    <row r="2068">
      <c r="A2068" s="32"/>
      <c r="B2068" s="28"/>
      <c r="C2068" s="27"/>
      <c r="D2068" s="27"/>
      <c r="E2068" s="27"/>
      <c r="F2068" s="27"/>
      <c r="G2068" s="29"/>
      <c r="H2068" s="33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  <c r="AB2068" s="18"/>
    </row>
    <row r="2069">
      <c r="A2069" s="32"/>
      <c r="B2069" s="28"/>
      <c r="C2069" s="27"/>
      <c r="D2069" s="27"/>
      <c r="E2069" s="27"/>
      <c r="F2069" s="27"/>
      <c r="G2069" s="29"/>
      <c r="H2069" s="33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  <c r="AB2069" s="18"/>
    </row>
    <row r="2070">
      <c r="A2070" s="32"/>
      <c r="B2070" s="28"/>
      <c r="C2070" s="27"/>
      <c r="D2070" s="27"/>
      <c r="E2070" s="27"/>
      <c r="F2070" s="27"/>
      <c r="G2070" s="29"/>
      <c r="H2070" s="33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</row>
    <row r="2071">
      <c r="A2071" s="32"/>
      <c r="B2071" s="28"/>
      <c r="C2071" s="27"/>
      <c r="D2071" s="27"/>
      <c r="E2071" s="27"/>
      <c r="F2071" s="27"/>
      <c r="G2071" s="29"/>
      <c r="H2071" s="33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</row>
    <row r="2072">
      <c r="A2072" s="32"/>
      <c r="B2072" s="28"/>
      <c r="C2072" s="27"/>
      <c r="D2072" s="27"/>
      <c r="E2072" s="27"/>
      <c r="F2072" s="27"/>
      <c r="G2072" s="29"/>
      <c r="H2072" s="33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  <c r="AA2072" s="18"/>
      <c r="AB2072" s="18"/>
    </row>
    <row r="2073">
      <c r="A2073" s="32"/>
      <c r="B2073" s="28"/>
      <c r="C2073" s="27"/>
      <c r="D2073" s="27"/>
      <c r="E2073" s="27"/>
      <c r="F2073" s="27"/>
      <c r="G2073" s="29"/>
      <c r="H2073" s="33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  <c r="AB2073" s="18"/>
    </row>
    <row r="2074">
      <c r="A2074" s="32"/>
      <c r="B2074" s="28"/>
      <c r="C2074" s="27"/>
      <c r="D2074" s="27"/>
      <c r="E2074" s="27"/>
      <c r="F2074" s="27"/>
      <c r="G2074" s="29"/>
      <c r="H2074" s="33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  <c r="AB2074" s="18"/>
    </row>
    <row r="2075">
      <c r="A2075" s="32"/>
      <c r="B2075" s="28"/>
      <c r="C2075" s="27"/>
      <c r="D2075" s="27"/>
      <c r="E2075" s="27"/>
      <c r="F2075" s="27"/>
      <c r="G2075" s="29"/>
      <c r="H2075" s="33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  <c r="AB2075" s="18"/>
    </row>
    <row r="2076">
      <c r="A2076" s="32"/>
      <c r="B2076" s="28"/>
      <c r="C2076" s="27"/>
      <c r="D2076" s="27"/>
      <c r="E2076" s="27"/>
      <c r="F2076" s="27"/>
      <c r="G2076" s="29"/>
      <c r="H2076" s="33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</row>
    <row r="2077">
      <c r="A2077" s="32"/>
      <c r="B2077" s="28"/>
      <c r="C2077" s="27"/>
      <c r="D2077" s="27"/>
      <c r="E2077" s="27"/>
      <c r="F2077" s="27"/>
      <c r="G2077" s="29"/>
      <c r="H2077" s="33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  <c r="AB2077" s="18"/>
    </row>
    <row r="2078">
      <c r="A2078" s="32"/>
      <c r="B2078" s="28"/>
      <c r="C2078" s="27"/>
      <c r="D2078" s="27"/>
      <c r="E2078" s="27"/>
      <c r="F2078" s="27"/>
      <c r="G2078" s="29"/>
      <c r="H2078" s="33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  <c r="AA2078" s="18"/>
      <c r="AB2078" s="18"/>
    </row>
    <row r="2079">
      <c r="A2079" s="32"/>
      <c r="B2079" s="28"/>
      <c r="C2079" s="27"/>
      <c r="D2079" s="27"/>
      <c r="E2079" s="27"/>
      <c r="F2079" s="27"/>
      <c r="G2079" s="29"/>
      <c r="H2079" s="33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  <c r="AA2079" s="18"/>
      <c r="AB2079" s="18"/>
    </row>
    <row r="2080">
      <c r="A2080" s="32"/>
      <c r="B2080" s="28"/>
      <c r="C2080" s="27"/>
      <c r="D2080" s="27"/>
      <c r="E2080" s="27"/>
      <c r="F2080" s="27"/>
      <c r="G2080" s="29"/>
      <c r="H2080" s="33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  <c r="AB2080" s="18"/>
    </row>
    <row r="2081">
      <c r="A2081" s="32"/>
      <c r="B2081" s="28"/>
      <c r="C2081" s="27"/>
      <c r="D2081" s="27"/>
      <c r="E2081" s="27"/>
      <c r="F2081" s="27"/>
      <c r="G2081" s="29"/>
      <c r="H2081" s="33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</row>
    <row r="2082">
      <c r="A2082" s="32"/>
      <c r="B2082" s="28"/>
      <c r="C2082" s="27"/>
      <c r="D2082" s="27"/>
      <c r="E2082" s="27"/>
      <c r="F2082" s="27"/>
      <c r="G2082" s="29"/>
      <c r="H2082" s="33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  <c r="AB2082" s="18"/>
    </row>
    <row r="2083">
      <c r="A2083" s="32"/>
      <c r="B2083" s="28"/>
      <c r="C2083" s="27"/>
      <c r="D2083" s="27"/>
      <c r="E2083" s="27"/>
      <c r="F2083" s="27"/>
      <c r="G2083" s="29"/>
      <c r="H2083" s="33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  <c r="AB2083" s="18"/>
    </row>
    <row r="2084">
      <c r="A2084" s="32"/>
      <c r="B2084" s="28"/>
      <c r="C2084" s="27"/>
      <c r="D2084" s="27"/>
      <c r="E2084" s="27"/>
      <c r="F2084" s="27"/>
      <c r="G2084" s="29"/>
      <c r="H2084" s="33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  <c r="AA2084" s="18"/>
      <c r="AB2084" s="18"/>
    </row>
    <row r="2085">
      <c r="A2085" s="32"/>
      <c r="B2085" s="28"/>
      <c r="C2085" s="27"/>
      <c r="D2085" s="27"/>
      <c r="E2085" s="27"/>
      <c r="F2085" s="27"/>
      <c r="G2085" s="29"/>
      <c r="H2085" s="33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  <c r="AB2085" s="18"/>
    </row>
    <row r="2086">
      <c r="A2086" s="32"/>
      <c r="B2086" s="28"/>
      <c r="C2086" s="27"/>
      <c r="D2086" s="27"/>
      <c r="E2086" s="27"/>
      <c r="F2086" s="27"/>
      <c r="G2086" s="29"/>
      <c r="H2086" s="33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8"/>
      <c r="AA2086" s="18"/>
      <c r="AB2086" s="18"/>
    </row>
    <row r="2087">
      <c r="A2087" s="32"/>
      <c r="B2087" s="28"/>
      <c r="C2087" s="27"/>
      <c r="D2087" s="27"/>
      <c r="E2087" s="27"/>
      <c r="F2087" s="27"/>
      <c r="G2087" s="29"/>
      <c r="H2087" s="33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  <c r="AB2087" s="18"/>
    </row>
    <row r="2088">
      <c r="A2088" s="32"/>
      <c r="B2088" s="28"/>
      <c r="C2088" s="27"/>
      <c r="D2088" s="27"/>
      <c r="E2088" s="27"/>
      <c r="F2088" s="27"/>
      <c r="G2088" s="29"/>
      <c r="H2088" s="33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  <c r="AB2088" s="18"/>
    </row>
    <row r="2089">
      <c r="A2089" s="32"/>
      <c r="B2089" s="28"/>
      <c r="C2089" s="27"/>
      <c r="D2089" s="27"/>
      <c r="E2089" s="27"/>
      <c r="F2089" s="27"/>
      <c r="G2089" s="29"/>
      <c r="H2089" s="33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  <c r="AB2089" s="18"/>
    </row>
    <row r="2090">
      <c r="A2090" s="32"/>
      <c r="B2090" s="28"/>
      <c r="C2090" s="27"/>
      <c r="D2090" s="27"/>
      <c r="E2090" s="27"/>
      <c r="F2090" s="27"/>
      <c r="G2090" s="29"/>
      <c r="H2090" s="33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  <c r="AB2090" s="18"/>
    </row>
    <row r="2091">
      <c r="A2091" s="32"/>
      <c r="B2091" s="28"/>
      <c r="C2091" s="27"/>
      <c r="D2091" s="27"/>
      <c r="E2091" s="27"/>
      <c r="F2091" s="27"/>
      <c r="G2091" s="29"/>
      <c r="H2091" s="33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  <c r="AB2091" s="18"/>
    </row>
    <row r="2092">
      <c r="A2092" s="32"/>
      <c r="B2092" s="28"/>
      <c r="C2092" s="27"/>
      <c r="D2092" s="27"/>
      <c r="E2092" s="27"/>
      <c r="F2092" s="27"/>
      <c r="G2092" s="29"/>
      <c r="H2092" s="33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  <c r="AA2092" s="18"/>
      <c r="AB2092" s="18"/>
    </row>
    <row r="2093">
      <c r="A2093" s="32"/>
      <c r="B2093" s="28"/>
      <c r="C2093" s="27"/>
      <c r="D2093" s="27"/>
      <c r="E2093" s="27"/>
      <c r="F2093" s="27"/>
      <c r="G2093" s="29"/>
      <c r="H2093" s="33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  <c r="AA2093" s="18"/>
      <c r="AB2093" s="18"/>
    </row>
    <row r="2094">
      <c r="A2094" s="32"/>
      <c r="B2094" s="28"/>
      <c r="C2094" s="27"/>
      <c r="D2094" s="27"/>
      <c r="E2094" s="27"/>
      <c r="F2094" s="27"/>
      <c r="G2094" s="29"/>
      <c r="H2094" s="33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  <c r="AB2094" s="18"/>
    </row>
    <row r="2095">
      <c r="A2095" s="32"/>
      <c r="B2095" s="28"/>
      <c r="C2095" s="27"/>
      <c r="D2095" s="27"/>
      <c r="E2095" s="27"/>
      <c r="F2095" s="27"/>
      <c r="G2095" s="29"/>
      <c r="H2095" s="33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  <c r="AB2095" s="18"/>
    </row>
    <row r="2096">
      <c r="A2096" s="32"/>
      <c r="B2096" s="28"/>
      <c r="C2096" s="27"/>
      <c r="D2096" s="27"/>
      <c r="E2096" s="27"/>
      <c r="F2096" s="27"/>
      <c r="G2096" s="29"/>
      <c r="H2096" s="33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</row>
    <row r="2097">
      <c r="A2097" s="32"/>
      <c r="B2097" s="28"/>
      <c r="C2097" s="27"/>
      <c r="D2097" s="27"/>
      <c r="E2097" s="27"/>
      <c r="F2097" s="27"/>
      <c r="G2097" s="29"/>
      <c r="H2097" s="33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  <c r="AA2097" s="18"/>
      <c r="AB2097" s="18"/>
    </row>
    <row r="2098">
      <c r="A2098" s="32"/>
      <c r="B2098" s="28"/>
      <c r="C2098" s="27"/>
      <c r="D2098" s="27"/>
      <c r="E2098" s="27"/>
      <c r="F2098" s="27"/>
      <c r="G2098" s="29"/>
      <c r="H2098" s="33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  <c r="AB2098" s="18"/>
    </row>
    <row r="2099">
      <c r="A2099" s="32"/>
      <c r="B2099" s="28"/>
      <c r="C2099" s="27"/>
      <c r="D2099" s="27"/>
      <c r="E2099" s="27"/>
      <c r="F2099" s="27"/>
      <c r="G2099" s="29"/>
      <c r="H2099" s="33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  <c r="AB2099" s="18"/>
    </row>
    <row r="2100">
      <c r="A2100" s="32"/>
      <c r="B2100" s="28"/>
      <c r="C2100" s="27"/>
      <c r="D2100" s="27"/>
      <c r="E2100" s="27"/>
      <c r="F2100" s="27"/>
      <c r="G2100" s="29"/>
      <c r="H2100" s="33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</row>
    <row r="2101">
      <c r="A2101" s="32"/>
      <c r="B2101" s="28"/>
      <c r="C2101" s="27"/>
      <c r="D2101" s="27"/>
      <c r="E2101" s="27"/>
      <c r="F2101" s="27"/>
      <c r="G2101" s="29"/>
      <c r="H2101" s="33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</row>
    <row r="2102">
      <c r="A2102" s="32"/>
      <c r="B2102" s="28"/>
      <c r="C2102" s="27"/>
      <c r="D2102" s="27"/>
      <c r="E2102" s="27"/>
      <c r="F2102" s="27"/>
      <c r="G2102" s="29"/>
      <c r="H2102" s="33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  <c r="AB2102" s="18"/>
    </row>
    <row r="2103">
      <c r="A2103" s="32"/>
      <c r="B2103" s="28"/>
      <c r="C2103" s="27"/>
      <c r="D2103" s="27"/>
      <c r="E2103" s="27"/>
      <c r="F2103" s="27"/>
      <c r="G2103" s="29"/>
      <c r="H2103" s="33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  <c r="AB2103" s="18"/>
    </row>
    <row r="2104">
      <c r="A2104" s="32"/>
      <c r="B2104" s="28"/>
      <c r="C2104" s="27"/>
      <c r="D2104" s="27"/>
      <c r="E2104" s="27"/>
      <c r="F2104" s="27"/>
      <c r="G2104" s="29"/>
      <c r="H2104" s="33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  <c r="AB2104" s="18"/>
    </row>
    <row r="2105">
      <c r="A2105" s="32"/>
      <c r="B2105" s="28"/>
      <c r="C2105" s="27"/>
      <c r="D2105" s="27"/>
      <c r="E2105" s="27"/>
      <c r="F2105" s="27"/>
      <c r="G2105" s="29"/>
      <c r="H2105" s="33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  <c r="AB2105" s="18"/>
    </row>
    <row r="2106">
      <c r="A2106" s="32"/>
      <c r="B2106" s="28"/>
      <c r="C2106" s="27"/>
      <c r="D2106" s="27"/>
      <c r="E2106" s="27"/>
      <c r="F2106" s="27"/>
      <c r="G2106" s="29"/>
      <c r="H2106" s="33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</row>
    <row r="2107">
      <c r="A2107" s="32"/>
      <c r="B2107" s="28"/>
      <c r="C2107" s="27"/>
      <c r="D2107" s="27"/>
      <c r="E2107" s="27"/>
      <c r="F2107" s="27"/>
      <c r="G2107" s="29"/>
      <c r="H2107" s="33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  <c r="AB2107" s="18"/>
    </row>
    <row r="2108">
      <c r="A2108" s="32"/>
      <c r="B2108" s="28"/>
      <c r="C2108" s="27"/>
      <c r="D2108" s="27"/>
      <c r="E2108" s="27"/>
      <c r="F2108" s="27"/>
      <c r="G2108" s="29"/>
      <c r="H2108" s="33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  <c r="AB2108" s="18"/>
    </row>
    <row r="2109">
      <c r="A2109" s="32"/>
      <c r="B2109" s="28"/>
      <c r="C2109" s="27"/>
      <c r="D2109" s="27"/>
      <c r="E2109" s="27"/>
      <c r="F2109" s="27"/>
      <c r="G2109" s="29"/>
      <c r="H2109" s="33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  <c r="AB2109" s="18"/>
    </row>
    <row r="2110">
      <c r="A2110" s="32"/>
      <c r="B2110" s="28"/>
      <c r="C2110" s="27"/>
      <c r="D2110" s="27"/>
      <c r="E2110" s="27"/>
      <c r="F2110" s="27"/>
      <c r="G2110" s="29"/>
      <c r="H2110" s="33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  <c r="AB2110" s="18"/>
    </row>
    <row r="2111">
      <c r="A2111" s="32"/>
      <c r="B2111" s="28"/>
      <c r="C2111" s="27"/>
      <c r="D2111" s="27"/>
      <c r="E2111" s="27"/>
      <c r="F2111" s="27"/>
      <c r="G2111" s="29"/>
      <c r="H2111" s="33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</row>
    <row r="2112">
      <c r="A2112" s="32"/>
      <c r="B2112" s="28"/>
      <c r="C2112" s="27"/>
      <c r="D2112" s="27"/>
      <c r="E2112" s="27"/>
      <c r="F2112" s="27"/>
      <c r="G2112" s="29"/>
      <c r="H2112" s="33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</row>
    <row r="2113">
      <c r="A2113" s="32"/>
      <c r="B2113" s="28"/>
      <c r="C2113" s="27"/>
      <c r="D2113" s="27"/>
      <c r="E2113" s="27"/>
      <c r="F2113" s="27"/>
      <c r="G2113" s="29"/>
      <c r="H2113" s="33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  <c r="AB2113" s="18"/>
    </row>
    <row r="2114">
      <c r="A2114" s="32"/>
      <c r="B2114" s="28"/>
      <c r="C2114" s="27"/>
      <c r="D2114" s="27"/>
      <c r="E2114" s="27"/>
      <c r="F2114" s="27"/>
      <c r="G2114" s="29"/>
      <c r="H2114" s="33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  <c r="AB2114" s="18"/>
    </row>
    <row r="2115">
      <c r="A2115" s="32"/>
      <c r="B2115" s="28"/>
      <c r="C2115" s="27"/>
      <c r="D2115" s="27"/>
      <c r="E2115" s="27"/>
      <c r="F2115" s="27"/>
      <c r="G2115" s="29"/>
      <c r="H2115" s="33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</row>
    <row r="2116">
      <c r="A2116" s="32"/>
      <c r="B2116" s="28"/>
      <c r="C2116" s="27"/>
      <c r="D2116" s="27"/>
      <c r="E2116" s="27"/>
      <c r="F2116" s="27"/>
      <c r="G2116" s="29"/>
      <c r="H2116" s="33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</row>
    <row r="2117">
      <c r="A2117" s="32"/>
      <c r="B2117" s="28"/>
      <c r="C2117" s="27"/>
      <c r="D2117" s="27"/>
      <c r="E2117" s="27"/>
      <c r="F2117" s="27"/>
      <c r="G2117" s="29"/>
      <c r="H2117" s="33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  <c r="AB2117" s="18"/>
    </row>
    <row r="2118">
      <c r="A2118" s="32"/>
      <c r="B2118" s="28"/>
      <c r="C2118" s="27"/>
      <c r="D2118" s="27"/>
      <c r="E2118" s="27"/>
      <c r="F2118" s="27"/>
      <c r="G2118" s="29"/>
      <c r="H2118" s="33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  <c r="AB2118" s="18"/>
    </row>
    <row r="2119">
      <c r="A2119" s="32"/>
      <c r="B2119" s="28"/>
      <c r="C2119" s="27"/>
      <c r="D2119" s="27"/>
      <c r="E2119" s="27"/>
      <c r="F2119" s="27"/>
      <c r="G2119" s="29"/>
      <c r="H2119" s="33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  <c r="AB2119" s="18"/>
    </row>
    <row r="2120">
      <c r="A2120" s="32"/>
      <c r="B2120" s="28"/>
      <c r="C2120" s="27"/>
      <c r="D2120" s="27"/>
      <c r="E2120" s="27"/>
      <c r="F2120" s="27"/>
      <c r="G2120" s="29"/>
      <c r="H2120" s="33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  <c r="AB2120" s="18"/>
    </row>
    <row r="2121">
      <c r="A2121" s="32"/>
      <c r="B2121" s="28"/>
      <c r="C2121" s="27"/>
      <c r="D2121" s="27"/>
      <c r="E2121" s="27"/>
      <c r="F2121" s="27"/>
      <c r="G2121" s="29"/>
      <c r="H2121" s="33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</row>
    <row r="2122">
      <c r="A2122" s="32"/>
      <c r="B2122" s="28"/>
      <c r="C2122" s="27"/>
      <c r="D2122" s="27"/>
      <c r="E2122" s="27"/>
      <c r="F2122" s="27"/>
      <c r="G2122" s="29"/>
      <c r="H2122" s="33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  <c r="AB2122" s="18"/>
    </row>
    <row r="2123">
      <c r="A2123" s="32"/>
      <c r="B2123" s="28"/>
      <c r="C2123" s="27"/>
      <c r="D2123" s="27"/>
      <c r="E2123" s="27"/>
      <c r="F2123" s="27"/>
      <c r="G2123" s="29"/>
      <c r="H2123" s="33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  <c r="AB2123" s="18"/>
    </row>
    <row r="2124">
      <c r="A2124" s="32"/>
      <c r="B2124" s="28"/>
      <c r="C2124" s="27"/>
      <c r="D2124" s="27"/>
      <c r="E2124" s="27"/>
      <c r="F2124" s="27"/>
      <c r="G2124" s="29"/>
      <c r="H2124" s="33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  <c r="AB2124" s="18"/>
    </row>
    <row r="2125">
      <c r="A2125" s="32"/>
      <c r="B2125" s="28"/>
      <c r="C2125" s="27"/>
      <c r="D2125" s="27"/>
      <c r="E2125" s="27"/>
      <c r="F2125" s="27"/>
      <c r="G2125" s="29"/>
      <c r="H2125" s="33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  <c r="AB2125" s="18"/>
    </row>
    <row r="2126">
      <c r="A2126" s="32"/>
      <c r="B2126" s="28"/>
      <c r="C2126" s="27"/>
      <c r="D2126" s="27"/>
      <c r="E2126" s="27"/>
      <c r="F2126" s="27"/>
      <c r="G2126" s="29"/>
      <c r="H2126" s="33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</row>
    <row r="2127">
      <c r="A2127" s="32"/>
      <c r="B2127" s="28"/>
      <c r="C2127" s="27"/>
      <c r="D2127" s="27"/>
      <c r="E2127" s="27"/>
      <c r="F2127" s="27"/>
      <c r="G2127" s="29"/>
      <c r="H2127" s="33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  <c r="AB2127" s="18"/>
    </row>
    <row r="2128">
      <c r="A2128" s="32"/>
      <c r="B2128" s="28"/>
      <c r="C2128" s="27"/>
      <c r="D2128" s="27"/>
      <c r="E2128" s="27"/>
      <c r="F2128" s="27"/>
      <c r="G2128" s="29"/>
      <c r="H2128" s="33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  <c r="AB2128" s="18"/>
    </row>
    <row r="2129">
      <c r="A2129" s="32"/>
      <c r="B2129" s="28"/>
      <c r="C2129" s="27"/>
      <c r="D2129" s="27"/>
      <c r="E2129" s="27"/>
      <c r="F2129" s="27"/>
      <c r="G2129" s="29"/>
      <c r="H2129" s="33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  <c r="AB2129" s="18"/>
    </row>
    <row r="2130">
      <c r="A2130" s="32"/>
      <c r="B2130" s="28"/>
      <c r="C2130" s="27"/>
      <c r="D2130" s="27"/>
      <c r="E2130" s="27"/>
      <c r="F2130" s="27"/>
      <c r="G2130" s="29"/>
      <c r="H2130" s="33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  <c r="AB2130" s="18"/>
    </row>
    <row r="2131">
      <c r="A2131" s="32"/>
      <c r="B2131" s="28"/>
      <c r="C2131" s="27"/>
      <c r="D2131" s="27"/>
      <c r="E2131" s="27"/>
      <c r="F2131" s="27"/>
      <c r="G2131" s="29"/>
      <c r="H2131" s="33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</row>
    <row r="2132">
      <c r="A2132" s="32"/>
      <c r="B2132" s="28"/>
      <c r="C2132" s="27"/>
      <c r="D2132" s="27"/>
      <c r="E2132" s="27"/>
      <c r="F2132" s="27"/>
      <c r="G2132" s="29"/>
      <c r="H2132" s="33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  <c r="AB2132" s="18"/>
    </row>
    <row r="2133">
      <c r="A2133" s="32"/>
      <c r="B2133" s="28"/>
      <c r="C2133" s="27"/>
      <c r="D2133" s="27"/>
      <c r="E2133" s="27"/>
      <c r="F2133" s="27"/>
      <c r="G2133" s="29"/>
      <c r="H2133" s="33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  <c r="AB2133" s="18"/>
    </row>
    <row r="2134">
      <c r="A2134" s="32"/>
      <c r="B2134" s="28"/>
      <c r="C2134" s="27"/>
      <c r="D2134" s="27"/>
      <c r="E2134" s="27"/>
      <c r="F2134" s="27"/>
      <c r="G2134" s="29"/>
      <c r="H2134" s="33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  <c r="AB2134" s="18"/>
    </row>
    <row r="2135">
      <c r="A2135" s="32"/>
      <c r="B2135" s="28"/>
      <c r="C2135" s="27"/>
      <c r="D2135" s="27"/>
      <c r="E2135" s="27"/>
      <c r="F2135" s="27"/>
      <c r="G2135" s="29"/>
      <c r="H2135" s="33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  <c r="AB2135" s="18"/>
    </row>
    <row r="2136">
      <c r="A2136" s="32"/>
      <c r="B2136" s="28"/>
      <c r="C2136" s="27"/>
      <c r="D2136" s="27"/>
      <c r="E2136" s="27"/>
      <c r="F2136" s="27"/>
      <c r="G2136" s="29"/>
      <c r="H2136" s="33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</row>
    <row r="2137">
      <c r="A2137" s="32"/>
      <c r="B2137" s="28"/>
      <c r="C2137" s="27"/>
      <c r="D2137" s="27"/>
      <c r="E2137" s="27"/>
      <c r="F2137" s="27"/>
      <c r="G2137" s="29"/>
      <c r="H2137" s="33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  <c r="AB2137" s="18"/>
    </row>
    <row r="2138">
      <c r="A2138" s="32"/>
      <c r="B2138" s="28"/>
      <c r="C2138" s="27"/>
      <c r="D2138" s="27"/>
      <c r="E2138" s="27"/>
      <c r="F2138" s="27"/>
      <c r="G2138" s="29"/>
      <c r="H2138" s="33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  <c r="AB2138" s="18"/>
    </row>
    <row r="2139">
      <c r="A2139" s="32"/>
      <c r="B2139" s="28"/>
      <c r="C2139" s="27"/>
      <c r="D2139" s="27"/>
      <c r="E2139" s="27"/>
      <c r="F2139" s="27"/>
      <c r="G2139" s="29"/>
      <c r="H2139" s="33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  <c r="AB2139" s="18"/>
    </row>
    <row r="2140">
      <c r="A2140" s="32"/>
      <c r="B2140" s="28"/>
      <c r="C2140" s="27"/>
      <c r="D2140" s="27"/>
      <c r="E2140" s="27"/>
      <c r="F2140" s="27"/>
      <c r="G2140" s="29"/>
      <c r="H2140" s="33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  <c r="AB2140" s="18"/>
    </row>
    <row r="2141">
      <c r="A2141" s="32"/>
      <c r="B2141" s="28"/>
      <c r="C2141" s="27"/>
      <c r="D2141" s="27"/>
      <c r="E2141" s="27"/>
      <c r="F2141" s="27"/>
      <c r="G2141" s="29"/>
      <c r="H2141" s="33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</row>
    <row r="2142">
      <c r="A2142" s="32"/>
      <c r="B2142" s="28"/>
      <c r="C2142" s="27"/>
      <c r="D2142" s="27"/>
      <c r="E2142" s="27"/>
      <c r="F2142" s="27"/>
      <c r="G2142" s="29"/>
      <c r="H2142" s="33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  <c r="AB2142" s="18"/>
    </row>
    <row r="2143">
      <c r="A2143" s="32"/>
      <c r="B2143" s="28"/>
      <c r="C2143" s="27"/>
      <c r="D2143" s="27"/>
      <c r="E2143" s="27"/>
      <c r="F2143" s="27"/>
      <c r="G2143" s="29"/>
      <c r="H2143" s="33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  <c r="AB2143" s="18"/>
    </row>
    <row r="2144">
      <c r="A2144" s="32"/>
      <c r="B2144" s="28"/>
      <c r="C2144" s="27"/>
      <c r="D2144" s="27"/>
      <c r="E2144" s="27"/>
      <c r="F2144" s="27"/>
      <c r="G2144" s="29"/>
      <c r="H2144" s="33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  <c r="AB2144" s="18"/>
    </row>
    <row r="2145">
      <c r="A2145" s="32"/>
      <c r="B2145" s="28"/>
      <c r="C2145" s="27"/>
      <c r="D2145" s="27"/>
      <c r="E2145" s="27"/>
      <c r="F2145" s="27"/>
      <c r="G2145" s="29"/>
      <c r="H2145" s="33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  <c r="AB2145" s="18"/>
    </row>
    <row r="2146">
      <c r="A2146" s="32"/>
      <c r="B2146" s="28"/>
      <c r="C2146" s="27"/>
      <c r="D2146" s="27"/>
      <c r="E2146" s="27"/>
      <c r="F2146" s="27"/>
      <c r="G2146" s="29"/>
      <c r="H2146" s="33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</row>
    <row r="2147">
      <c r="A2147" s="32"/>
      <c r="B2147" s="28"/>
      <c r="C2147" s="27"/>
      <c r="D2147" s="27"/>
      <c r="E2147" s="27"/>
      <c r="F2147" s="27"/>
      <c r="G2147" s="29"/>
      <c r="H2147" s="33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  <c r="AA2147" s="18"/>
      <c r="AB2147" s="18"/>
    </row>
    <row r="2148">
      <c r="A2148" s="32"/>
      <c r="B2148" s="28"/>
      <c r="C2148" s="27"/>
      <c r="D2148" s="27"/>
      <c r="E2148" s="27"/>
      <c r="F2148" s="27"/>
      <c r="G2148" s="29"/>
      <c r="H2148" s="33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  <c r="AB2148" s="18"/>
    </row>
    <row r="2149">
      <c r="A2149" s="32"/>
      <c r="B2149" s="28"/>
      <c r="C2149" s="27"/>
      <c r="D2149" s="27"/>
      <c r="E2149" s="27"/>
      <c r="F2149" s="27"/>
      <c r="G2149" s="29"/>
      <c r="H2149" s="33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  <c r="AB2149" s="18"/>
    </row>
    <row r="2150">
      <c r="A2150" s="32"/>
      <c r="B2150" s="28"/>
      <c r="C2150" s="27"/>
      <c r="D2150" s="27"/>
      <c r="E2150" s="27"/>
      <c r="F2150" s="27"/>
      <c r="G2150" s="29"/>
      <c r="H2150" s="33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  <c r="AB2150" s="18"/>
    </row>
    <row r="2151">
      <c r="A2151" s="32"/>
      <c r="B2151" s="28"/>
      <c r="C2151" s="27"/>
      <c r="D2151" s="27"/>
      <c r="E2151" s="27"/>
      <c r="F2151" s="27"/>
      <c r="G2151" s="29"/>
      <c r="H2151" s="33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</row>
    <row r="2152">
      <c r="A2152" s="32"/>
      <c r="B2152" s="28"/>
      <c r="C2152" s="27"/>
      <c r="D2152" s="27"/>
      <c r="E2152" s="27"/>
      <c r="F2152" s="27"/>
      <c r="G2152" s="29"/>
      <c r="H2152" s="33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  <c r="AB2152" s="18"/>
    </row>
    <row r="2153">
      <c r="A2153" s="32"/>
      <c r="B2153" s="28"/>
      <c r="C2153" s="27"/>
      <c r="D2153" s="27"/>
      <c r="E2153" s="27"/>
      <c r="F2153" s="27"/>
      <c r="G2153" s="29"/>
      <c r="H2153" s="33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  <c r="AB2153" s="18"/>
    </row>
    <row r="2154">
      <c r="A2154" s="32"/>
      <c r="B2154" s="28"/>
      <c r="C2154" s="27"/>
      <c r="D2154" s="27"/>
      <c r="E2154" s="27"/>
      <c r="F2154" s="27"/>
      <c r="G2154" s="29"/>
      <c r="H2154" s="33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  <c r="AB2154" s="18"/>
    </row>
    <row r="2155">
      <c r="A2155" s="32"/>
      <c r="B2155" s="28"/>
      <c r="C2155" s="27"/>
      <c r="D2155" s="27"/>
      <c r="E2155" s="27"/>
      <c r="F2155" s="27"/>
      <c r="G2155" s="29"/>
      <c r="H2155" s="33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  <c r="AB2155" s="18"/>
    </row>
    <row r="2156">
      <c r="A2156" s="32"/>
      <c r="B2156" s="28"/>
      <c r="C2156" s="27"/>
      <c r="D2156" s="27"/>
      <c r="E2156" s="27"/>
      <c r="F2156" s="27"/>
      <c r="G2156" s="29"/>
      <c r="H2156" s="33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  <c r="AB2156" s="18"/>
    </row>
    <row r="2157">
      <c r="A2157" s="32"/>
      <c r="B2157" s="28"/>
      <c r="C2157" s="27"/>
      <c r="D2157" s="27"/>
      <c r="E2157" s="27"/>
      <c r="F2157" s="27"/>
      <c r="G2157" s="29"/>
      <c r="H2157" s="33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</row>
    <row r="2158">
      <c r="A2158" s="32"/>
      <c r="B2158" s="28"/>
      <c r="C2158" s="27"/>
      <c r="D2158" s="27"/>
      <c r="E2158" s="27"/>
      <c r="F2158" s="27"/>
      <c r="G2158" s="29"/>
      <c r="H2158" s="33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  <c r="AA2158" s="18"/>
      <c r="AB2158" s="18"/>
    </row>
    <row r="2159">
      <c r="A2159" s="32"/>
      <c r="B2159" s="28"/>
      <c r="C2159" s="27"/>
      <c r="D2159" s="27"/>
      <c r="E2159" s="27"/>
      <c r="F2159" s="27"/>
      <c r="G2159" s="29"/>
      <c r="H2159" s="33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</row>
    <row r="2160">
      <c r="A2160" s="32"/>
      <c r="B2160" s="28"/>
      <c r="C2160" s="27"/>
      <c r="D2160" s="27"/>
      <c r="E2160" s="27"/>
      <c r="F2160" s="27"/>
      <c r="G2160" s="29"/>
      <c r="H2160" s="33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</row>
    <row r="2161">
      <c r="A2161" s="32"/>
      <c r="B2161" s="28"/>
      <c r="C2161" s="27"/>
      <c r="D2161" s="27"/>
      <c r="E2161" s="27"/>
      <c r="F2161" s="27"/>
      <c r="G2161" s="29"/>
      <c r="H2161" s="33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</row>
    <row r="2162">
      <c r="A2162" s="32"/>
      <c r="B2162" s="28"/>
      <c r="C2162" s="27"/>
      <c r="D2162" s="27"/>
      <c r="E2162" s="27"/>
      <c r="F2162" s="27"/>
      <c r="G2162" s="29"/>
      <c r="H2162" s="33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  <c r="AB2162" s="18"/>
    </row>
    <row r="2163">
      <c r="A2163" s="32"/>
      <c r="B2163" s="28"/>
      <c r="C2163" s="27"/>
      <c r="D2163" s="27"/>
      <c r="E2163" s="27"/>
      <c r="F2163" s="27"/>
      <c r="G2163" s="29"/>
      <c r="H2163" s="33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  <c r="AB2163" s="18"/>
    </row>
    <row r="2164">
      <c r="A2164" s="32"/>
      <c r="B2164" s="28"/>
      <c r="C2164" s="27"/>
      <c r="D2164" s="27"/>
      <c r="E2164" s="27"/>
      <c r="F2164" s="27"/>
      <c r="G2164" s="29"/>
      <c r="H2164" s="33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  <c r="AB2164" s="18"/>
    </row>
    <row r="2165">
      <c r="A2165" s="32"/>
      <c r="B2165" s="28"/>
      <c r="C2165" s="27"/>
      <c r="D2165" s="27"/>
      <c r="E2165" s="27"/>
      <c r="F2165" s="27"/>
      <c r="G2165" s="29"/>
      <c r="H2165" s="33"/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  <c r="AB2165" s="18"/>
    </row>
    <row r="2166">
      <c r="A2166" s="32"/>
      <c r="B2166" s="28"/>
      <c r="C2166" s="27"/>
      <c r="D2166" s="27"/>
      <c r="E2166" s="27"/>
      <c r="F2166" s="27"/>
      <c r="G2166" s="29"/>
      <c r="H2166" s="33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</row>
    <row r="2167">
      <c r="A2167" s="32"/>
      <c r="B2167" s="28"/>
      <c r="C2167" s="27"/>
      <c r="D2167" s="27"/>
      <c r="E2167" s="27"/>
      <c r="F2167" s="27"/>
      <c r="G2167" s="29"/>
      <c r="H2167" s="33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  <c r="Z2167" s="18"/>
      <c r="AA2167" s="18"/>
      <c r="AB2167" s="18"/>
    </row>
    <row r="2168">
      <c r="A2168" s="32"/>
      <c r="B2168" s="28"/>
      <c r="C2168" s="27"/>
      <c r="D2168" s="27"/>
      <c r="E2168" s="27"/>
      <c r="F2168" s="27"/>
      <c r="G2168" s="29"/>
      <c r="H2168" s="33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  <c r="AA2168" s="18"/>
      <c r="AB2168" s="18"/>
    </row>
    <row r="2169">
      <c r="A2169" s="32"/>
      <c r="B2169" s="28"/>
      <c r="C2169" s="27"/>
      <c r="D2169" s="27"/>
      <c r="E2169" s="27"/>
      <c r="F2169" s="27"/>
      <c r="G2169" s="29"/>
      <c r="H2169" s="33"/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  <c r="AA2169" s="18"/>
      <c r="AB2169" s="18"/>
    </row>
    <row r="2170">
      <c r="A2170" s="32"/>
      <c r="B2170" s="28"/>
      <c r="C2170" s="27"/>
      <c r="D2170" s="27"/>
      <c r="E2170" s="27"/>
      <c r="F2170" s="27"/>
      <c r="G2170" s="29"/>
      <c r="H2170" s="33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  <c r="AB2170" s="18"/>
    </row>
    <row r="2171">
      <c r="A2171" s="32"/>
      <c r="B2171" s="28"/>
      <c r="C2171" s="27"/>
      <c r="D2171" s="27"/>
      <c r="E2171" s="27"/>
      <c r="F2171" s="27"/>
      <c r="G2171" s="29"/>
      <c r="H2171" s="33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  <c r="AB2171" s="18"/>
    </row>
    <row r="2172">
      <c r="A2172" s="32"/>
      <c r="B2172" s="28"/>
      <c r="C2172" s="27"/>
      <c r="D2172" s="27"/>
      <c r="E2172" s="27"/>
      <c r="F2172" s="27"/>
      <c r="G2172" s="29"/>
      <c r="H2172" s="33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  <c r="AB2172" s="18"/>
    </row>
    <row r="2173">
      <c r="A2173" s="32"/>
      <c r="B2173" s="28"/>
      <c r="C2173" s="27"/>
      <c r="D2173" s="27"/>
      <c r="E2173" s="27"/>
      <c r="F2173" s="27"/>
      <c r="G2173" s="29"/>
      <c r="H2173" s="33"/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  <c r="AA2173" s="18"/>
      <c r="AB2173" s="18"/>
    </row>
    <row r="2174">
      <c r="A2174" s="32"/>
      <c r="B2174" s="28"/>
      <c r="C2174" s="27"/>
      <c r="D2174" s="27"/>
      <c r="E2174" s="27"/>
      <c r="F2174" s="27"/>
      <c r="G2174" s="29"/>
      <c r="H2174" s="33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  <c r="AA2174" s="18"/>
      <c r="AB2174" s="18"/>
    </row>
    <row r="2175">
      <c r="A2175" s="32"/>
      <c r="B2175" s="28"/>
      <c r="C2175" s="27"/>
      <c r="D2175" s="27"/>
      <c r="E2175" s="27"/>
      <c r="F2175" s="27"/>
      <c r="G2175" s="29"/>
      <c r="H2175" s="33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  <c r="AB2175" s="18"/>
    </row>
    <row r="2176">
      <c r="A2176" s="32"/>
      <c r="B2176" s="28"/>
      <c r="C2176" s="27"/>
      <c r="D2176" s="27"/>
      <c r="E2176" s="27"/>
      <c r="F2176" s="27"/>
      <c r="G2176" s="29"/>
      <c r="H2176" s="33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  <c r="AB2176" s="18"/>
    </row>
    <row r="2177">
      <c r="A2177" s="32"/>
      <c r="B2177" s="28"/>
      <c r="C2177" s="27"/>
      <c r="D2177" s="27"/>
      <c r="E2177" s="27"/>
      <c r="F2177" s="27"/>
      <c r="G2177" s="29"/>
      <c r="H2177" s="33"/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  <c r="AA2177" s="18"/>
      <c r="AB2177" s="18"/>
    </row>
    <row r="2178">
      <c r="A2178" s="32"/>
      <c r="B2178" s="28"/>
      <c r="C2178" s="27"/>
      <c r="D2178" s="27"/>
      <c r="E2178" s="27"/>
      <c r="F2178" s="27"/>
      <c r="G2178" s="29"/>
      <c r="H2178" s="33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  <c r="AB2178" s="18"/>
    </row>
    <row r="2179">
      <c r="A2179" s="32"/>
      <c r="B2179" s="28"/>
      <c r="C2179" s="27"/>
      <c r="D2179" s="27"/>
      <c r="E2179" s="27"/>
      <c r="F2179" s="27"/>
      <c r="G2179" s="29"/>
      <c r="H2179" s="33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  <c r="AB2179" s="18"/>
    </row>
    <row r="2180">
      <c r="A2180" s="32"/>
      <c r="B2180" s="28"/>
      <c r="C2180" s="27"/>
      <c r="D2180" s="27"/>
      <c r="E2180" s="27"/>
      <c r="F2180" s="27"/>
      <c r="G2180" s="29"/>
      <c r="H2180" s="33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</row>
    <row r="2181">
      <c r="A2181" s="32"/>
      <c r="B2181" s="28"/>
      <c r="C2181" s="27"/>
      <c r="D2181" s="27"/>
      <c r="E2181" s="27"/>
      <c r="F2181" s="27"/>
      <c r="G2181" s="29"/>
      <c r="H2181" s="33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</row>
    <row r="2182">
      <c r="A2182" s="32"/>
      <c r="B2182" s="28"/>
      <c r="C2182" s="27"/>
      <c r="D2182" s="27"/>
      <c r="E2182" s="27"/>
      <c r="F2182" s="27"/>
      <c r="G2182" s="29"/>
      <c r="H2182" s="33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  <c r="AB2182" s="18"/>
    </row>
    <row r="2183">
      <c r="A2183" s="32"/>
      <c r="B2183" s="28"/>
      <c r="C2183" s="27"/>
      <c r="D2183" s="27"/>
      <c r="E2183" s="27"/>
      <c r="F2183" s="27"/>
      <c r="G2183" s="29"/>
      <c r="H2183" s="33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  <c r="AB2183" s="18"/>
    </row>
    <row r="2184">
      <c r="A2184" s="32"/>
      <c r="B2184" s="28"/>
      <c r="C2184" s="27"/>
      <c r="D2184" s="27"/>
      <c r="E2184" s="27"/>
      <c r="F2184" s="27"/>
      <c r="G2184" s="29"/>
      <c r="H2184" s="33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</row>
    <row r="2185">
      <c r="A2185" s="32"/>
      <c r="B2185" s="28"/>
      <c r="C2185" s="27"/>
      <c r="D2185" s="27"/>
      <c r="E2185" s="27"/>
      <c r="F2185" s="27"/>
      <c r="G2185" s="29"/>
      <c r="H2185" s="33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</row>
    <row r="2186">
      <c r="A2186" s="32"/>
      <c r="B2186" s="28"/>
      <c r="C2186" s="27"/>
      <c r="D2186" s="27"/>
      <c r="E2186" s="27"/>
      <c r="F2186" s="27"/>
      <c r="G2186" s="29"/>
      <c r="H2186" s="33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</row>
    <row r="2187">
      <c r="A2187" s="32"/>
      <c r="B2187" s="28"/>
      <c r="C2187" s="27"/>
      <c r="D2187" s="27"/>
      <c r="E2187" s="27"/>
      <c r="F2187" s="27"/>
      <c r="G2187" s="29"/>
      <c r="H2187" s="33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  <c r="AB2187" s="18"/>
    </row>
    <row r="2188">
      <c r="A2188" s="32"/>
      <c r="B2188" s="28"/>
      <c r="C2188" s="27"/>
      <c r="D2188" s="27"/>
      <c r="E2188" s="27"/>
      <c r="F2188" s="27"/>
      <c r="G2188" s="29"/>
      <c r="H2188" s="33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  <c r="AB2188" s="18"/>
    </row>
    <row r="2189">
      <c r="A2189" s="32"/>
      <c r="B2189" s="28"/>
      <c r="C2189" s="27"/>
      <c r="D2189" s="27"/>
      <c r="E2189" s="27"/>
      <c r="F2189" s="27"/>
      <c r="G2189" s="29"/>
      <c r="H2189" s="33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  <c r="AB2189" s="18"/>
    </row>
    <row r="2190">
      <c r="A2190" s="32"/>
      <c r="B2190" s="28"/>
      <c r="C2190" s="27"/>
      <c r="D2190" s="27"/>
      <c r="E2190" s="27"/>
      <c r="F2190" s="27"/>
      <c r="G2190" s="29"/>
      <c r="H2190" s="33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</row>
    <row r="2191">
      <c r="A2191" s="32"/>
      <c r="B2191" s="28"/>
      <c r="C2191" s="27"/>
      <c r="D2191" s="27"/>
      <c r="E2191" s="27"/>
      <c r="F2191" s="27"/>
      <c r="G2191" s="29"/>
      <c r="H2191" s="33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  <c r="AB2191" s="18"/>
    </row>
    <row r="2192">
      <c r="A2192" s="32"/>
      <c r="B2192" s="28"/>
      <c r="C2192" s="27"/>
      <c r="D2192" s="27"/>
      <c r="E2192" s="27"/>
      <c r="F2192" s="27"/>
      <c r="G2192" s="29"/>
      <c r="H2192" s="33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  <c r="AB2192" s="18"/>
    </row>
    <row r="2193">
      <c r="A2193" s="32"/>
      <c r="B2193" s="28"/>
      <c r="C2193" s="27"/>
      <c r="D2193" s="27"/>
      <c r="E2193" s="27"/>
      <c r="F2193" s="27"/>
      <c r="G2193" s="29"/>
      <c r="H2193" s="33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  <c r="AA2193" s="18"/>
      <c r="AB2193" s="18"/>
    </row>
    <row r="2194">
      <c r="A2194" s="32"/>
      <c r="B2194" s="28"/>
      <c r="C2194" s="27"/>
      <c r="D2194" s="27"/>
      <c r="E2194" s="27"/>
      <c r="F2194" s="27"/>
      <c r="G2194" s="29"/>
      <c r="H2194" s="33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  <c r="AB2194" s="18"/>
    </row>
    <row r="2195">
      <c r="A2195" s="32"/>
      <c r="B2195" s="28"/>
      <c r="C2195" s="27"/>
      <c r="D2195" s="27"/>
      <c r="E2195" s="27"/>
      <c r="F2195" s="27"/>
      <c r="G2195" s="29"/>
      <c r="H2195" s="33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  <c r="AA2195" s="18"/>
      <c r="AB2195" s="18"/>
    </row>
    <row r="2196">
      <c r="A2196" s="32"/>
      <c r="B2196" s="28"/>
      <c r="C2196" s="27"/>
      <c r="D2196" s="27"/>
      <c r="E2196" s="27"/>
      <c r="F2196" s="27"/>
      <c r="G2196" s="29"/>
      <c r="H2196" s="33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</row>
    <row r="2197">
      <c r="A2197" s="31"/>
      <c r="B2197" s="34"/>
      <c r="C2197" s="18"/>
      <c r="D2197" s="18"/>
      <c r="E2197" s="18"/>
      <c r="F2197" s="18"/>
      <c r="G2197" s="35"/>
      <c r="H2197" s="33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  <c r="AA2197" s="18"/>
      <c r="AB2197" s="18"/>
    </row>
    <row r="2198">
      <c r="A2198" s="31"/>
      <c r="B2198" s="34"/>
      <c r="C2198" s="18"/>
      <c r="D2198" s="18"/>
      <c r="E2198" s="18"/>
      <c r="F2198" s="18"/>
      <c r="G2198" s="35"/>
      <c r="H2198" s="33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  <c r="AA2198" s="18"/>
      <c r="AB2198" s="18"/>
    </row>
    <row r="2199">
      <c r="A2199" s="31"/>
      <c r="B2199" s="34"/>
      <c r="C2199" s="18"/>
      <c r="D2199" s="18"/>
      <c r="E2199" s="18"/>
      <c r="F2199" s="18"/>
      <c r="G2199" s="35"/>
      <c r="H2199" s="33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  <c r="AA2199" s="18"/>
      <c r="AB2199" s="18"/>
    </row>
    <row r="2200">
      <c r="A2200" s="31"/>
      <c r="B2200" s="34"/>
      <c r="C2200" s="18"/>
      <c r="D2200" s="18"/>
      <c r="E2200" s="18"/>
      <c r="F2200" s="18"/>
      <c r="G2200" s="35"/>
      <c r="H2200" s="33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  <c r="AB2200" s="18"/>
    </row>
    <row r="2201">
      <c r="A2201" s="31"/>
      <c r="B2201" s="34"/>
      <c r="C2201" s="18"/>
      <c r="D2201" s="18"/>
      <c r="E2201" s="18"/>
      <c r="F2201" s="18"/>
      <c r="G2201" s="35"/>
      <c r="H2201" s="33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  <c r="AB2201" s="18"/>
    </row>
    <row r="2202">
      <c r="A2202" s="31"/>
      <c r="B2202" s="34"/>
      <c r="C2202" s="18"/>
      <c r="D2202" s="18"/>
      <c r="E2202" s="18"/>
      <c r="F2202" s="18"/>
      <c r="G2202" s="35"/>
      <c r="H2202" s="33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  <c r="AB2202" s="18"/>
    </row>
    <row r="2203">
      <c r="A2203" s="31"/>
      <c r="B2203" s="34"/>
      <c r="C2203" s="18"/>
      <c r="D2203" s="18"/>
      <c r="E2203" s="18"/>
      <c r="F2203" s="18"/>
      <c r="G2203" s="35"/>
      <c r="H2203" s="33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  <c r="AA2203" s="18"/>
      <c r="AB2203" s="18"/>
    </row>
    <row r="2204">
      <c r="A2204" s="31"/>
      <c r="B2204" s="34"/>
      <c r="C2204" s="18"/>
      <c r="D2204" s="18"/>
      <c r="E2204" s="18"/>
      <c r="F2204" s="18"/>
      <c r="G2204" s="35"/>
      <c r="H2204" s="33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  <c r="AA2204" s="18"/>
      <c r="AB2204" s="18"/>
    </row>
    <row r="2205">
      <c r="A2205" s="31"/>
      <c r="B2205" s="34"/>
      <c r="C2205" s="18"/>
      <c r="D2205" s="18"/>
      <c r="E2205" s="18"/>
      <c r="F2205" s="18"/>
      <c r="G2205" s="35"/>
      <c r="H2205" s="33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  <c r="AB2205" s="18"/>
    </row>
    <row r="2206">
      <c r="A2206" s="31"/>
      <c r="B2206" s="34"/>
      <c r="C2206" s="18"/>
      <c r="D2206" s="18"/>
      <c r="E2206" s="18"/>
      <c r="F2206" s="18"/>
      <c r="G2206" s="35"/>
      <c r="H2206" s="33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  <c r="AB2206" s="18"/>
    </row>
    <row r="2207">
      <c r="A2207" s="31"/>
      <c r="B2207" s="34"/>
      <c r="C2207" s="18"/>
      <c r="D2207" s="18"/>
      <c r="E2207" s="18"/>
      <c r="F2207" s="18"/>
      <c r="G2207" s="35"/>
      <c r="H2207" s="33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  <c r="AA2207" s="18"/>
      <c r="AB2207" s="18"/>
    </row>
    <row r="2208">
      <c r="A2208" s="31"/>
      <c r="B2208" s="34"/>
      <c r="C2208" s="18"/>
      <c r="D2208" s="18"/>
      <c r="E2208" s="18"/>
      <c r="F2208" s="18"/>
      <c r="G2208" s="35"/>
      <c r="H2208" s="33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  <c r="AB2208" s="18"/>
    </row>
    <row r="2209">
      <c r="A2209" s="31"/>
      <c r="B2209" s="34"/>
      <c r="C2209" s="18"/>
      <c r="D2209" s="18"/>
      <c r="E2209" s="18"/>
      <c r="F2209" s="18"/>
      <c r="G2209" s="35"/>
      <c r="H2209" s="33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  <c r="AA2209" s="18"/>
      <c r="AB2209" s="18"/>
    </row>
    <row r="2210">
      <c r="A2210" s="31"/>
      <c r="B2210" s="34"/>
      <c r="C2210" s="18"/>
      <c r="D2210" s="18"/>
      <c r="E2210" s="18"/>
      <c r="F2210" s="18"/>
      <c r="G2210" s="35"/>
      <c r="H2210" s="33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  <c r="AB2210" s="18"/>
    </row>
    <row r="2211">
      <c r="A2211" s="31"/>
      <c r="B2211" s="34"/>
      <c r="C2211" s="18"/>
      <c r="D2211" s="18"/>
      <c r="E2211" s="18"/>
      <c r="F2211" s="18"/>
      <c r="G2211" s="35"/>
      <c r="H2211" s="33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Y2211" s="18"/>
      <c r="Z2211" s="18"/>
      <c r="AA2211" s="18"/>
      <c r="AB2211" s="18"/>
    </row>
    <row r="2212">
      <c r="A2212" s="31"/>
      <c r="B2212" s="34"/>
      <c r="C2212" s="18"/>
      <c r="D2212" s="18"/>
      <c r="E2212" s="18"/>
      <c r="F2212" s="18"/>
      <c r="G2212" s="35"/>
      <c r="H2212" s="33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</row>
    <row r="2213">
      <c r="A2213" s="31"/>
      <c r="B2213" s="34"/>
      <c r="C2213" s="18"/>
      <c r="D2213" s="18"/>
      <c r="E2213" s="18"/>
      <c r="F2213" s="18"/>
      <c r="G2213" s="35"/>
      <c r="H2213" s="33"/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Y2213" s="18"/>
      <c r="Z2213" s="18"/>
      <c r="AA2213" s="18"/>
      <c r="AB2213" s="18"/>
    </row>
    <row r="2214">
      <c r="A2214" s="31"/>
      <c r="B2214" s="34"/>
      <c r="C2214" s="18"/>
      <c r="D2214" s="18"/>
      <c r="E2214" s="18"/>
      <c r="F2214" s="18"/>
      <c r="G2214" s="35"/>
      <c r="H2214" s="33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  <c r="AA2214" s="18"/>
      <c r="AB2214" s="18"/>
    </row>
    <row r="2215">
      <c r="A2215" s="31"/>
      <c r="B2215" s="34"/>
      <c r="C2215" s="18"/>
      <c r="D2215" s="18"/>
      <c r="E2215" s="18"/>
      <c r="F2215" s="18"/>
      <c r="G2215" s="35"/>
      <c r="H2215" s="33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  <c r="AA2215" s="18"/>
      <c r="AB2215" s="18"/>
    </row>
    <row r="2216">
      <c r="A2216" s="31"/>
      <c r="B2216" s="34"/>
      <c r="C2216" s="18"/>
      <c r="D2216" s="18"/>
      <c r="E2216" s="18"/>
      <c r="F2216" s="18"/>
      <c r="G2216" s="35"/>
      <c r="H2216" s="33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  <c r="AA2216" s="18"/>
      <c r="AB2216" s="18"/>
    </row>
    <row r="2217">
      <c r="A2217" s="31"/>
      <c r="B2217" s="34"/>
      <c r="C2217" s="18"/>
      <c r="D2217" s="18"/>
      <c r="E2217" s="18"/>
      <c r="F2217" s="18"/>
      <c r="G2217" s="35"/>
      <c r="H2217" s="33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  <c r="AA2217" s="18"/>
      <c r="AB2217" s="18"/>
    </row>
    <row r="2218">
      <c r="A2218" s="31"/>
      <c r="B2218" s="34"/>
      <c r="C2218" s="18"/>
      <c r="D2218" s="18"/>
      <c r="E2218" s="18"/>
      <c r="F2218" s="18"/>
      <c r="G2218" s="35"/>
      <c r="H2218" s="33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  <c r="AA2218" s="18"/>
      <c r="AB2218" s="18"/>
    </row>
    <row r="2219">
      <c r="A2219" s="31"/>
      <c r="B2219" s="34"/>
      <c r="C2219" s="18"/>
      <c r="D2219" s="18"/>
      <c r="E2219" s="18"/>
      <c r="F2219" s="18"/>
      <c r="G2219" s="35"/>
      <c r="H2219" s="33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  <c r="AA2219" s="18"/>
      <c r="AB2219" s="18"/>
    </row>
    <row r="2220">
      <c r="A2220" s="31"/>
      <c r="B2220" s="34"/>
      <c r="C2220" s="18"/>
      <c r="D2220" s="18"/>
      <c r="E2220" s="18"/>
      <c r="F2220" s="18"/>
      <c r="G2220" s="35"/>
      <c r="H2220" s="33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  <c r="AB2220" s="18"/>
    </row>
    <row r="2221">
      <c r="A2221" s="31"/>
      <c r="B2221" s="34"/>
      <c r="C2221" s="18"/>
      <c r="D2221" s="18"/>
      <c r="E2221" s="18"/>
      <c r="F2221" s="18"/>
      <c r="G2221" s="35"/>
      <c r="H2221" s="33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  <c r="AA2221" s="18"/>
      <c r="AB2221" s="18"/>
    </row>
    <row r="2222">
      <c r="A2222" s="31"/>
      <c r="B2222" s="34"/>
      <c r="C2222" s="18"/>
      <c r="D2222" s="18"/>
      <c r="E2222" s="18"/>
      <c r="F2222" s="18"/>
      <c r="G2222" s="35"/>
      <c r="H2222" s="33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  <c r="AA2222" s="18"/>
      <c r="AB2222" s="18"/>
    </row>
    <row r="2223">
      <c r="A2223" s="31"/>
      <c r="B2223" s="34"/>
      <c r="C2223" s="18"/>
      <c r="D2223" s="18"/>
      <c r="E2223" s="18"/>
      <c r="F2223" s="18"/>
      <c r="G2223" s="35"/>
      <c r="H2223" s="33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  <c r="Z2223" s="18"/>
      <c r="AA2223" s="18"/>
      <c r="AB2223" s="18"/>
    </row>
    <row r="2224">
      <c r="A2224" s="31"/>
      <c r="B2224" s="34"/>
      <c r="C2224" s="18"/>
      <c r="D2224" s="18"/>
      <c r="E2224" s="18"/>
      <c r="F2224" s="18"/>
      <c r="G2224" s="35"/>
      <c r="H2224" s="33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  <c r="AA2224" s="18"/>
      <c r="AB2224" s="18"/>
    </row>
    <row r="2225">
      <c r="A2225" s="31"/>
      <c r="B2225" s="34"/>
      <c r="C2225" s="18"/>
      <c r="D2225" s="18"/>
      <c r="E2225" s="18"/>
      <c r="F2225" s="18"/>
      <c r="G2225" s="35"/>
      <c r="H2225" s="33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  <c r="AB2225" s="18"/>
    </row>
    <row r="2226">
      <c r="A2226" s="31"/>
      <c r="B2226" s="34"/>
      <c r="C2226" s="18"/>
      <c r="D2226" s="18"/>
      <c r="E2226" s="18"/>
      <c r="F2226" s="18"/>
      <c r="G2226" s="35"/>
      <c r="H2226" s="33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  <c r="AB2226" s="18"/>
    </row>
    <row r="2227">
      <c r="A2227" s="31"/>
      <c r="B2227" s="34"/>
      <c r="C2227" s="18"/>
      <c r="D2227" s="18"/>
      <c r="E2227" s="18"/>
      <c r="F2227" s="18"/>
      <c r="G2227" s="35"/>
      <c r="H2227" s="33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  <c r="AA2227" s="18"/>
      <c r="AB2227" s="18"/>
    </row>
    <row r="2228">
      <c r="A2228" s="31"/>
      <c r="B2228" s="34"/>
      <c r="C2228" s="18"/>
      <c r="D2228" s="18"/>
      <c r="E2228" s="18"/>
      <c r="F2228" s="18"/>
      <c r="G2228" s="35"/>
      <c r="H2228" s="33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  <c r="AA2228" s="18"/>
      <c r="AB2228" s="18"/>
    </row>
    <row r="2229">
      <c r="A2229" s="31"/>
      <c r="B2229" s="34"/>
      <c r="C2229" s="18"/>
      <c r="D2229" s="18"/>
      <c r="E2229" s="18"/>
      <c r="F2229" s="18"/>
      <c r="G2229" s="35"/>
      <c r="H2229" s="33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  <c r="AB2229" s="18"/>
    </row>
    <row r="2230">
      <c r="A2230" s="31"/>
      <c r="B2230" s="34"/>
      <c r="C2230" s="18"/>
      <c r="D2230" s="18"/>
      <c r="E2230" s="18"/>
      <c r="F2230" s="18"/>
      <c r="G2230" s="35"/>
      <c r="H2230" s="33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  <c r="AB2230" s="18"/>
    </row>
    <row r="2231">
      <c r="A2231" s="31"/>
      <c r="B2231" s="34"/>
      <c r="C2231" s="18"/>
      <c r="D2231" s="18"/>
      <c r="E2231" s="18"/>
      <c r="F2231" s="18"/>
      <c r="G2231" s="35"/>
      <c r="H2231" s="33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  <c r="AA2231" s="18"/>
      <c r="AB2231" s="18"/>
    </row>
    <row r="2232">
      <c r="A2232" s="31"/>
      <c r="B2232" s="34"/>
      <c r="C2232" s="18"/>
      <c r="D2232" s="18"/>
      <c r="E2232" s="18"/>
      <c r="F2232" s="18"/>
      <c r="G2232" s="35"/>
      <c r="H2232" s="33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  <c r="AA2232" s="18"/>
      <c r="AB2232" s="18"/>
    </row>
    <row r="2233">
      <c r="A2233" s="31"/>
      <c r="B2233" s="34"/>
      <c r="C2233" s="18"/>
      <c r="D2233" s="18"/>
      <c r="E2233" s="18"/>
      <c r="F2233" s="18"/>
      <c r="G2233" s="35"/>
      <c r="H2233" s="33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  <c r="AB2233" s="18"/>
    </row>
    <row r="2234">
      <c r="A2234" s="31"/>
      <c r="B2234" s="34"/>
      <c r="C2234" s="18"/>
      <c r="D2234" s="18"/>
      <c r="E2234" s="18"/>
      <c r="F2234" s="18"/>
      <c r="G2234" s="35"/>
      <c r="H2234" s="33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  <c r="AA2234" s="18"/>
      <c r="AB2234" s="18"/>
    </row>
    <row r="2235">
      <c r="A2235" s="31"/>
      <c r="B2235" s="34"/>
      <c r="C2235" s="18"/>
      <c r="D2235" s="18"/>
      <c r="E2235" s="18"/>
      <c r="F2235" s="18"/>
      <c r="G2235" s="35"/>
      <c r="H2235" s="33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</row>
    <row r="2236">
      <c r="A2236" s="31"/>
      <c r="B2236" s="34"/>
      <c r="C2236" s="18"/>
      <c r="D2236" s="18"/>
      <c r="E2236" s="18"/>
      <c r="F2236" s="18"/>
      <c r="G2236" s="35"/>
      <c r="H2236" s="33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  <c r="AA2236" s="18"/>
      <c r="AB2236" s="18"/>
    </row>
    <row r="2237">
      <c r="A2237" s="31"/>
      <c r="B2237" s="34"/>
      <c r="C2237" s="18"/>
      <c r="D2237" s="18"/>
      <c r="E2237" s="18"/>
      <c r="F2237" s="18"/>
      <c r="G2237" s="35"/>
      <c r="H2237" s="33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Y2237" s="18"/>
      <c r="Z2237" s="18"/>
      <c r="AA2237" s="18"/>
      <c r="AB2237" s="18"/>
    </row>
    <row r="2238">
      <c r="A2238" s="31"/>
      <c r="B2238" s="34"/>
      <c r="C2238" s="18"/>
      <c r="D2238" s="18"/>
      <c r="E2238" s="18"/>
      <c r="F2238" s="18"/>
      <c r="G2238" s="35"/>
      <c r="H2238" s="33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  <c r="AB2238" s="18"/>
    </row>
    <row r="2239">
      <c r="A2239" s="31"/>
      <c r="B2239" s="34"/>
      <c r="C2239" s="18"/>
      <c r="D2239" s="18"/>
      <c r="E2239" s="18"/>
      <c r="F2239" s="18"/>
      <c r="G2239" s="35"/>
      <c r="H2239" s="33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  <c r="Z2239" s="18"/>
      <c r="AA2239" s="18"/>
      <c r="AB2239" s="18"/>
    </row>
    <row r="2240">
      <c r="A2240" s="31"/>
      <c r="B2240" s="34"/>
      <c r="C2240" s="18"/>
      <c r="D2240" s="18"/>
      <c r="E2240" s="18"/>
      <c r="F2240" s="18"/>
      <c r="G2240" s="35"/>
      <c r="H2240" s="33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  <c r="AB2240" s="18"/>
    </row>
    <row r="2241">
      <c r="A2241" s="31"/>
      <c r="B2241" s="34"/>
      <c r="C2241" s="18"/>
      <c r="D2241" s="18"/>
      <c r="E2241" s="18"/>
      <c r="F2241" s="18"/>
      <c r="G2241" s="35"/>
      <c r="H2241" s="33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  <c r="AB2241" s="18"/>
    </row>
    <row r="2242">
      <c r="A2242" s="31"/>
      <c r="B2242" s="34"/>
      <c r="C2242" s="18"/>
      <c r="D2242" s="18"/>
      <c r="E2242" s="18"/>
      <c r="F2242" s="18"/>
      <c r="G2242" s="35"/>
      <c r="H2242" s="33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  <c r="AA2242" s="18"/>
      <c r="AB2242" s="18"/>
    </row>
    <row r="2243">
      <c r="A2243" s="31"/>
      <c r="B2243" s="34"/>
      <c r="C2243" s="18"/>
      <c r="D2243" s="18"/>
      <c r="E2243" s="18"/>
      <c r="F2243" s="18"/>
      <c r="G2243" s="35"/>
      <c r="H2243" s="33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  <c r="AB2243" s="18"/>
    </row>
    <row r="2244">
      <c r="A2244" s="31"/>
      <c r="B2244" s="34"/>
      <c r="C2244" s="18"/>
      <c r="D2244" s="18"/>
      <c r="E2244" s="18"/>
      <c r="F2244" s="18"/>
      <c r="G2244" s="35"/>
      <c r="H2244" s="33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  <c r="AB2244" s="18"/>
    </row>
    <row r="2245">
      <c r="A2245" s="31"/>
      <c r="B2245" s="34"/>
      <c r="C2245" s="18"/>
      <c r="D2245" s="18"/>
      <c r="E2245" s="18"/>
      <c r="F2245" s="18"/>
      <c r="G2245" s="35"/>
      <c r="H2245" s="33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  <c r="AB2245" s="18"/>
    </row>
    <row r="2246">
      <c r="A2246" s="31"/>
      <c r="B2246" s="34"/>
      <c r="C2246" s="18"/>
      <c r="D2246" s="18"/>
      <c r="E2246" s="18"/>
      <c r="F2246" s="18"/>
      <c r="G2246" s="35"/>
      <c r="H2246" s="33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  <c r="AB2246" s="18"/>
    </row>
    <row r="2247">
      <c r="A2247" s="31"/>
      <c r="B2247" s="34"/>
      <c r="C2247" s="18"/>
      <c r="D2247" s="18"/>
      <c r="E2247" s="18"/>
      <c r="F2247" s="18"/>
      <c r="G2247" s="35"/>
      <c r="H2247" s="33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  <c r="AA2247" s="18"/>
      <c r="AB2247" s="18"/>
    </row>
    <row r="2248">
      <c r="A2248" s="31"/>
      <c r="B2248" s="34"/>
      <c r="C2248" s="18"/>
      <c r="D2248" s="18"/>
      <c r="E2248" s="18"/>
      <c r="F2248" s="18"/>
      <c r="G2248" s="35"/>
      <c r="H2248" s="33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  <c r="AB2248" s="18"/>
    </row>
    <row r="2249">
      <c r="A2249" s="31"/>
      <c r="B2249" s="34"/>
      <c r="C2249" s="18"/>
      <c r="D2249" s="18"/>
      <c r="E2249" s="18"/>
      <c r="F2249" s="18"/>
      <c r="G2249" s="35"/>
      <c r="H2249" s="33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  <c r="AA2249" s="18"/>
      <c r="AB2249" s="18"/>
    </row>
    <row r="2250">
      <c r="A2250" s="31"/>
      <c r="B2250" s="34"/>
      <c r="C2250" s="18"/>
      <c r="D2250" s="18"/>
      <c r="E2250" s="18"/>
      <c r="F2250" s="18"/>
      <c r="G2250" s="35"/>
      <c r="H2250" s="33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  <c r="AB2250" s="18"/>
    </row>
    <row r="2251">
      <c r="A2251" s="31"/>
      <c r="B2251" s="34"/>
      <c r="C2251" s="18"/>
      <c r="D2251" s="18"/>
      <c r="E2251" s="18"/>
      <c r="F2251" s="18"/>
      <c r="G2251" s="35"/>
      <c r="H2251" s="33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  <c r="AB2251" s="18"/>
    </row>
    <row r="2252">
      <c r="A2252" s="31"/>
      <c r="B2252" s="34"/>
      <c r="C2252" s="18"/>
      <c r="D2252" s="18"/>
      <c r="E2252" s="18"/>
      <c r="F2252" s="18"/>
      <c r="G2252" s="35"/>
      <c r="H2252" s="33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  <c r="AA2252" s="18"/>
      <c r="AB2252" s="18"/>
    </row>
    <row r="2253">
      <c r="A2253" s="31"/>
      <c r="B2253" s="34"/>
      <c r="C2253" s="18"/>
      <c r="D2253" s="18"/>
      <c r="E2253" s="18"/>
      <c r="F2253" s="18"/>
      <c r="G2253" s="35"/>
      <c r="H2253" s="33"/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  <c r="Z2253" s="18"/>
      <c r="AA2253" s="18"/>
      <c r="AB2253" s="18"/>
    </row>
    <row r="2254">
      <c r="A2254" s="31"/>
      <c r="B2254" s="34"/>
      <c r="C2254" s="18"/>
      <c r="D2254" s="18"/>
      <c r="E2254" s="18"/>
      <c r="F2254" s="18"/>
      <c r="G2254" s="35"/>
      <c r="H2254" s="33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  <c r="AA2254" s="18"/>
      <c r="AB2254" s="18"/>
    </row>
    <row r="2255">
      <c r="A2255" s="31"/>
      <c r="B2255" s="34"/>
      <c r="C2255" s="18"/>
      <c r="D2255" s="18"/>
      <c r="E2255" s="18"/>
      <c r="F2255" s="18"/>
      <c r="G2255" s="35"/>
      <c r="H2255" s="33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  <c r="AB2255" s="18"/>
    </row>
    <row r="2256">
      <c r="A2256" s="31"/>
      <c r="B2256" s="34"/>
      <c r="C2256" s="18"/>
      <c r="D2256" s="18"/>
      <c r="E2256" s="18"/>
      <c r="F2256" s="18"/>
      <c r="G2256" s="35"/>
      <c r="H2256" s="33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  <c r="AB2256" s="18"/>
    </row>
    <row r="2257">
      <c r="A2257" s="31"/>
      <c r="B2257" s="34"/>
      <c r="C2257" s="18"/>
      <c r="D2257" s="18"/>
      <c r="E2257" s="18"/>
      <c r="F2257" s="18"/>
      <c r="G2257" s="35"/>
      <c r="H2257" s="33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  <c r="AA2257" s="18"/>
      <c r="AB2257" s="18"/>
    </row>
    <row r="2258">
      <c r="A2258" s="31"/>
      <c r="B2258" s="34"/>
      <c r="C2258" s="18"/>
      <c r="D2258" s="18"/>
      <c r="E2258" s="18"/>
      <c r="F2258" s="18"/>
      <c r="G2258" s="35"/>
      <c r="H2258" s="33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  <c r="AB2258" s="18"/>
    </row>
    <row r="2259">
      <c r="A2259" s="31"/>
      <c r="B2259" s="34"/>
      <c r="C2259" s="18"/>
      <c r="D2259" s="18"/>
      <c r="E2259" s="18"/>
      <c r="F2259" s="18"/>
      <c r="G2259" s="35"/>
      <c r="H2259" s="33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  <c r="AA2259" s="18"/>
      <c r="AB2259" s="18"/>
    </row>
    <row r="2260">
      <c r="A2260" s="31"/>
      <c r="B2260" s="34"/>
      <c r="C2260" s="18"/>
      <c r="D2260" s="18"/>
      <c r="E2260" s="18"/>
      <c r="F2260" s="18"/>
      <c r="G2260" s="35"/>
      <c r="H2260" s="33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  <c r="AB2260" s="18"/>
    </row>
    <row r="2261">
      <c r="A2261" s="31"/>
      <c r="B2261" s="34"/>
      <c r="C2261" s="18"/>
      <c r="D2261" s="18"/>
      <c r="E2261" s="18"/>
      <c r="F2261" s="18"/>
      <c r="G2261" s="35"/>
      <c r="H2261" s="33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  <c r="AA2261" s="18"/>
      <c r="AB2261" s="18"/>
    </row>
    <row r="2262">
      <c r="A2262" s="31"/>
      <c r="B2262" s="34"/>
      <c r="C2262" s="18"/>
      <c r="D2262" s="18"/>
      <c r="E2262" s="18"/>
      <c r="F2262" s="18"/>
      <c r="G2262" s="35"/>
      <c r="H2262" s="33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  <c r="AB2262" s="18"/>
    </row>
    <row r="2263">
      <c r="A2263" s="31"/>
      <c r="B2263" s="34"/>
      <c r="C2263" s="18"/>
      <c r="D2263" s="18"/>
      <c r="E2263" s="18"/>
      <c r="F2263" s="18"/>
      <c r="G2263" s="35"/>
      <c r="H2263" s="33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  <c r="AA2263" s="18"/>
      <c r="AB2263" s="18"/>
    </row>
    <row r="2264">
      <c r="A2264" s="31"/>
      <c r="B2264" s="34"/>
      <c r="C2264" s="18"/>
      <c r="D2264" s="18"/>
      <c r="E2264" s="18"/>
      <c r="F2264" s="18"/>
      <c r="G2264" s="35"/>
      <c r="H2264" s="33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  <c r="AB2264" s="18"/>
    </row>
    <row r="2265">
      <c r="A2265" s="31"/>
      <c r="B2265" s="34"/>
      <c r="C2265" s="18"/>
      <c r="D2265" s="18"/>
      <c r="E2265" s="18"/>
      <c r="F2265" s="18"/>
      <c r="G2265" s="35"/>
      <c r="H2265" s="33"/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  <c r="AA2265" s="18"/>
      <c r="AB2265" s="18"/>
    </row>
    <row r="2266">
      <c r="A2266" s="31"/>
      <c r="B2266" s="34"/>
      <c r="C2266" s="18"/>
      <c r="D2266" s="18"/>
      <c r="E2266" s="18"/>
      <c r="F2266" s="18"/>
      <c r="G2266" s="35"/>
      <c r="H2266" s="33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  <c r="AB2266" s="18"/>
    </row>
    <row r="2267">
      <c r="A2267" s="31"/>
      <c r="B2267" s="34"/>
      <c r="C2267" s="18"/>
      <c r="D2267" s="18"/>
      <c r="E2267" s="18"/>
      <c r="F2267" s="18"/>
      <c r="G2267" s="35"/>
      <c r="H2267" s="33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  <c r="Z2267" s="18"/>
      <c r="AA2267" s="18"/>
      <c r="AB2267" s="18"/>
    </row>
    <row r="2268">
      <c r="A2268" s="31"/>
      <c r="B2268" s="34"/>
      <c r="C2268" s="18"/>
      <c r="D2268" s="18"/>
      <c r="E2268" s="18"/>
      <c r="F2268" s="18"/>
      <c r="G2268" s="35"/>
      <c r="H2268" s="33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  <c r="AB2268" s="18"/>
    </row>
    <row r="2269">
      <c r="A2269" s="31"/>
      <c r="B2269" s="34"/>
      <c r="C2269" s="18"/>
      <c r="D2269" s="18"/>
      <c r="E2269" s="18"/>
      <c r="F2269" s="18"/>
      <c r="G2269" s="35"/>
      <c r="H2269" s="33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  <c r="AA2269" s="18"/>
      <c r="AB2269" s="18"/>
    </row>
    <row r="2270">
      <c r="A2270" s="31"/>
      <c r="B2270" s="34"/>
      <c r="C2270" s="18"/>
      <c r="D2270" s="18"/>
      <c r="E2270" s="18"/>
      <c r="F2270" s="18"/>
      <c r="G2270" s="35"/>
      <c r="H2270" s="33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</row>
    <row r="2271">
      <c r="A2271" s="31"/>
      <c r="B2271" s="34"/>
      <c r="C2271" s="18"/>
      <c r="D2271" s="18"/>
      <c r="E2271" s="18"/>
      <c r="F2271" s="18"/>
      <c r="G2271" s="35"/>
      <c r="H2271" s="33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  <c r="AB2271" s="18"/>
    </row>
    <row r="2272">
      <c r="A2272" s="31"/>
      <c r="B2272" s="34"/>
      <c r="C2272" s="18"/>
      <c r="D2272" s="18"/>
      <c r="E2272" s="18"/>
      <c r="F2272" s="18"/>
      <c r="G2272" s="35"/>
      <c r="H2272" s="33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  <c r="AB2272" s="18"/>
    </row>
    <row r="2273">
      <c r="A2273" s="31"/>
      <c r="B2273" s="34"/>
      <c r="C2273" s="18"/>
      <c r="D2273" s="18"/>
      <c r="E2273" s="18"/>
      <c r="F2273" s="18"/>
      <c r="G2273" s="35"/>
      <c r="H2273" s="33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</row>
    <row r="2274">
      <c r="A2274" s="31"/>
      <c r="B2274" s="34"/>
      <c r="C2274" s="18"/>
      <c r="D2274" s="18"/>
      <c r="E2274" s="18"/>
      <c r="F2274" s="18"/>
      <c r="G2274" s="35"/>
      <c r="H2274" s="33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  <c r="AB2274" s="18"/>
    </row>
    <row r="2275">
      <c r="A2275" s="31"/>
      <c r="B2275" s="34"/>
      <c r="C2275" s="18"/>
      <c r="D2275" s="18"/>
      <c r="E2275" s="18"/>
      <c r="F2275" s="18"/>
      <c r="G2275" s="35"/>
      <c r="H2275" s="33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  <c r="AB2275" s="18"/>
    </row>
    <row r="2276">
      <c r="A2276" s="31"/>
      <c r="B2276" s="34"/>
      <c r="C2276" s="18"/>
      <c r="D2276" s="18"/>
      <c r="E2276" s="18"/>
      <c r="F2276" s="18"/>
      <c r="G2276" s="35"/>
      <c r="H2276" s="33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  <c r="AA2276" s="18"/>
      <c r="AB2276" s="18"/>
    </row>
    <row r="2277">
      <c r="A2277" s="31"/>
      <c r="B2277" s="34"/>
      <c r="C2277" s="18"/>
      <c r="D2277" s="18"/>
      <c r="E2277" s="18"/>
      <c r="F2277" s="18"/>
      <c r="G2277" s="35"/>
      <c r="H2277" s="33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  <c r="AB2277" s="18"/>
    </row>
    <row r="2278">
      <c r="A2278" s="31"/>
      <c r="B2278" s="34"/>
      <c r="C2278" s="18"/>
      <c r="D2278" s="18"/>
      <c r="E2278" s="18"/>
      <c r="F2278" s="18"/>
      <c r="G2278" s="35"/>
      <c r="H2278" s="33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  <c r="AB2278" s="18"/>
    </row>
    <row r="2279">
      <c r="A2279" s="31"/>
      <c r="B2279" s="34"/>
      <c r="C2279" s="18"/>
      <c r="D2279" s="18"/>
      <c r="E2279" s="18"/>
      <c r="F2279" s="18"/>
      <c r="G2279" s="35"/>
      <c r="H2279" s="33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  <c r="AB2279" s="18"/>
    </row>
    <row r="2280">
      <c r="A2280" s="31"/>
      <c r="B2280" s="34"/>
      <c r="C2280" s="18"/>
      <c r="D2280" s="18"/>
      <c r="E2280" s="18"/>
      <c r="F2280" s="18"/>
      <c r="G2280" s="35"/>
      <c r="H2280" s="33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</row>
    <row r="2281">
      <c r="A2281" s="31"/>
      <c r="B2281" s="34"/>
      <c r="C2281" s="18"/>
      <c r="D2281" s="18"/>
      <c r="E2281" s="18"/>
      <c r="F2281" s="18"/>
      <c r="G2281" s="35"/>
      <c r="H2281" s="33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  <c r="AA2281" s="18"/>
      <c r="AB2281" s="18"/>
    </row>
    <row r="2282">
      <c r="A2282" s="31"/>
      <c r="B2282" s="34"/>
      <c r="C2282" s="18"/>
      <c r="D2282" s="18"/>
      <c r="E2282" s="18"/>
      <c r="F2282" s="18"/>
      <c r="G2282" s="35"/>
      <c r="H2282" s="33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  <c r="AA2282" s="18"/>
      <c r="AB2282" s="18"/>
    </row>
    <row r="2283">
      <c r="A2283" s="31"/>
      <c r="B2283" s="34"/>
      <c r="C2283" s="18"/>
      <c r="D2283" s="18"/>
      <c r="E2283" s="18"/>
      <c r="F2283" s="18"/>
      <c r="G2283" s="35"/>
      <c r="H2283" s="33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  <c r="AB2283" s="18"/>
    </row>
    <row r="2284">
      <c r="A2284" s="31"/>
      <c r="B2284" s="34"/>
      <c r="C2284" s="18"/>
      <c r="D2284" s="18"/>
      <c r="E2284" s="18"/>
      <c r="F2284" s="18"/>
      <c r="G2284" s="35"/>
      <c r="H2284" s="33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  <c r="AB2284" s="18"/>
    </row>
    <row r="2285">
      <c r="A2285" s="31"/>
      <c r="B2285" s="34"/>
      <c r="C2285" s="18"/>
      <c r="D2285" s="18"/>
      <c r="E2285" s="18"/>
      <c r="F2285" s="18"/>
      <c r="G2285" s="35"/>
      <c r="H2285" s="33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  <c r="AB2285" s="18"/>
    </row>
    <row r="2286">
      <c r="A2286" s="31"/>
      <c r="B2286" s="34"/>
      <c r="C2286" s="18"/>
      <c r="D2286" s="18"/>
      <c r="E2286" s="18"/>
      <c r="F2286" s="18"/>
      <c r="G2286" s="35"/>
      <c r="H2286" s="33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  <c r="AB2286" s="18"/>
    </row>
    <row r="2287">
      <c r="A2287" s="31"/>
      <c r="B2287" s="34"/>
      <c r="C2287" s="18"/>
      <c r="D2287" s="18"/>
      <c r="E2287" s="18"/>
      <c r="F2287" s="18"/>
      <c r="G2287" s="35"/>
      <c r="H2287" s="33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  <c r="AA2287" s="18"/>
      <c r="AB2287" s="18"/>
    </row>
    <row r="2288">
      <c r="A2288" s="31"/>
      <c r="B2288" s="34"/>
      <c r="C2288" s="18"/>
      <c r="D2288" s="18"/>
      <c r="E2288" s="18"/>
      <c r="F2288" s="18"/>
      <c r="G2288" s="35"/>
      <c r="H2288" s="33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  <c r="AA2288" s="18"/>
      <c r="AB2288" s="18"/>
    </row>
    <row r="2289">
      <c r="A2289" s="31"/>
      <c r="B2289" s="34"/>
      <c r="C2289" s="18"/>
      <c r="D2289" s="18"/>
      <c r="E2289" s="18"/>
      <c r="F2289" s="18"/>
      <c r="G2289" s="35"/>
      <c r="H2289" s="33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  <c r="AB2289" s="18"/>
    </row>
    <row r="2290">
      <c r="A2290" s="31"/>
      <c r="B2290" s="34"/>
      <c r="C2290" s="18"/>
      <c r="D2290" s="18"/>
      <c r="E2290" s="18"/>
      <c r="F2290" s="18"/>
      <c r="G2290" s="35"/>
      <c r="H2290" s="33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  <c r="AA2290" s="18"/>
      <c r="AB2290" s="18"/>
    </row>
    <row r="2291">
      <c r="A2291" s="31"/>
      <c r="B2291" s="34"/>
      <c r="C2291" s="18"/>
      <c r="D2291" s="18"/>
      <c r="E2291" s="18"/>
      <c r="F2291" s="18"/>
      <c r="G2291" s="35"/>
      <c r="H2291" s="33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  <c r="AB2291" s="18"/>
    </row>
    <row r="2292">
      <c r="A2292" s="31"/>
      <c r="B2292" s="34"/>
      <c r="C2292" s="18"/>
      <c r="D2292" s="18"/>
      <c r="E2292" s="18"/>
      <c r="F2292" s="18"/>
      <c r="G2292" s="35"/>
      <c r="H2292" s="33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  <c r="AB2292" s="18"/>
    </row>
    <row r="2293">
      <c r="A2293" s="31"/>
      <c r="B2293" s="34"/>
      <c r="C2293" s="18"/>
      <c r="D2293" s="18"/>
      <c r="E2293" s="18"/>
      <c r="F2293" s="18"/>
      <c r="G2293" s="35"/>
      <c r="H2293" s="33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  <c r="AB2293" s="18"/>
    </row>
    <row r="2294">
      <c r="A2294" s="31"/>
      <c r="B2294" s="34"/>
      <c r="C2294" s="18"/>
      <c r="D2294" s="18"/>
      <c r="E2294" s="18"/>
      <c r="F2294" s="18"/>
      <c r="G2294" s="35"/>
      <c r="H2294" s="33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  <c r="AA2294" s="18"/>
      <c r="AB2294" s="18"/>
    </row>
    <row r="2295">
      <c r="A2295" s="31"/>
      <c r="B2295" s="34"/>
      <c r="C2295" s="18"/>
      <c r="D2295" s="18"/>
      <c r="E2295" s="18"/>
      <c r="F2295" s="18"/>
      <c r="G2295" s="35"/>
      <c r="H2295" s="33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  <c r="AA2295" s="18"/>
      <c r="AB2295" s="18"/>
    </row>
    <row r="2296">
      <c r="A2296" s="31"/>
      <c r="B2296" s="34"/>
      <c r="C2296" s="18"/>
      <c r="D2296" s="18"/>
      <c r="E2296" s="18"/>
      <c r="F2296" s="18"/>
      <c r="G2296" s="35"/>
      <c r="H2296" s="33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  <c r="AA2296" s="18"/>
      <c r="AB2296" s="18"/>
    </row>
    <row r="2297">
      <c r="A2297" s="31"/>
      <c r="B2297" s="34"/>
      <c r="C2297" s="18"/>
      <c r="D2297" s="18"/>
      <c r="E2297" s="18"/>
      <c r="F2297" s="18"/>
      <c r="G2297" s="35"/>
      <c r="H2297" s="33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  <c r="AB2297" s="18"/>
    </row>
    <row r="2298">
      <c r="A2298" s="31"/>
      <c r="B2298" s="34"/>
      <c r="C2298" s="18"/>
      <c r="D2298" s="18"/>
      <c r="E2298" s="18"/>
      <c r="F2298" s="18"/>
      <c r="G2298" s="35"/>
      <c r="H2298" s="33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  <c r="AB2298" s="18"/>
    </row>
    <row r="2299">
      <c r="A2299" s="31"/>
      <c r="B2299" s="34"/>
      <c r="C2299" s="18"/>
      <c r="D2299" s="18"/>
      <c r="E2299" s="18"/>
      <c r="F2299" s="18"/>
      <c r="G2299" s="35"/>
      <c r="H2299" s="33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  <c r="AA2299" s="18"/>
      <c r="AB2299" s="18"/>
    </row>
    <row r="2300">
      <c r="A2300" s="31"/>
      <c r="B2300" s="34"/>
      <c r="C2300" s="18"/>
      <c r="D2300" s="18"/>
      <c r="E2300" s="18"/>
      <c r="F2300" s="18"/>
      <c r="G2300" s="35"/>
      <c r="H2300" s="33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  <c r="AA2300" s="18"/>
      <c r="AB2300" s="18"/>
    </row>
    <row r="2301">
      <c r="A2301" s="31"/>
      <c r="B2301" s="34"/>
      <c r="C2301" s="18"/>
      <c r="D2301" s="18"/>
      <c r="E2301" s="18"/>
      <c r="F2301" s="18"/>
      <c r="G2301" s="35"/>
      <c r="H2301" s="33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  <c r="AA2301" s="18"/>
      <c r="AB2301" s="18"/>
    </row>
    <row r="2302">
      <c r="A2302" s="31"/>
      <c r="B2302" s="34"/>
      <c r="C2302" s="18"/>
      <c r="D2302" s="18"/>
      <c r="E2302" s="18"/>
      <c r="F2302" s="18"/>
      <c r="G2302" s="35"/>
      <c r="H2302" s="33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  <c r="AA2302" s="18"/>
      <c r="AB2302" s="18"/>
    </row>
    <row r="2303">
      <c r="A2303" s="31"/>
      <c r="B2303" s="34"/>
      <c r="C2303" s="18"/>
      <c r="D2303" s="18"/>
      <c r="E2303" s="18"/>
      <c r="F2303" s="18"/>
      <c r="G2303" s="35"/>
      <c r="H2303" s="33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  <c r="AA2303" s="18"/>
      <c r="AB2303" s="18"/>
    </row>
    <row r="2304">
      <c r="A2304" s="31"/>
      <c r="B2304" s="34"/>
      <c r="C2304" s="18"/>
      <c r="D2304" s="18"/>
      <c r="E2304" s="18"/>
      <c r="F2304" s="18"/>
      <c r="G2304" s="35"/>
      <c r="H2304" s="33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  <c r="AA2304" s="18"/>
      <c r="AB2304" s="18"/>
    </row>
    <row r="2305">
      <c r="A2305" s="31"/>
      <c r="B2305" s="34"/>
      <c r="C2305" s="18"/>
      <c r="D2305" s="18"/>
      <c r="E2305" s="18"/>
      <c r="F2305" s="18"/>
      <c r="G2305" s="35"/>
      <c r="H2305" s="33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  <c r="AB2305" s="18"/>
    </row>
    <row r="2306">
      <c r="A2306" s="31"/>
      <c r="B2306" s="34"/>
      <c r="C2306" s="18"/>
      <c r="D2306" s="18"/>
      <c r="E2306" s="18"/>
      <c r="F2306" s="18"/>
      <c r="G2306" s="35"/>
      <c r="H2306" s="33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  <c r="AA2306" s="18"/>
      <c r="AB2306" s="18"/>
    </row>
    <row r="2307">
      <c r="A2307" s="31"/>
      <c r="B2307" s="34"/>
      <c r="C2307" s="18"/>
      <c r="D2307" s="18"/>
      <c r="E2307" s="18"/>
      <c r="F2307" s="18"/>
      <c r="G2307" s="35"/>
      <c r="H2307" s="33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  <c r="AB2307" s="18"/>
    </row>
    <row r="2308">
      <c r="A2308" s="31"/>
      <c r="B2308" s="34"/>
      <c r="C2308" s="18"/>
      <c r="D2308" s="18"/>
      <c r="E2308" s="18"/>
      <c r="F2308" s="18"/>
      <c r="G2308" s="35"/>
      <c r="H2308" s="33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  <c r="AA2308" s="18"/>
      <c r="AB2308" s="18"/>
    </row>
    <row r="2309">
      <c r="A2309" s="31"/>
      <c r="B2309" s="34"/>
      <c r="C2309" s="18"/>
      <c r="D2309" s="18"/>
      <c r="E2309" s="18"/>
      <c r="F2309" s="18"/>
      <c r="G2309" s="35"/>
      <c r="H2309" s="33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  <c r="AB2309" s="18"/>
    </row>
    <row r="2310">
      <c r="A2310" s="31"/>
      <c r="B2310" s="34"/>
      <c r="C2310" s="18"/>
      <c r="D2310" s="18"/>
      <c r="E2310" s="18"/>
      <c r="F2310" s="18"/>
      <c r="G2310" s="35"/>
      <c r="H2310" s="33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  <c r="AB2310" s="18"/>
    </row>
    <row r="2311">
      <c r="A2311" s="31"/>
      <c r="B2311" s="34"/>
      <c r="C2311" s="18"/>
      <c r="D2311" s="18"/>
      <c r="E2311" s="18"/>
      <c r="F2311" s="18"/>
      <c r="G2311" s="35"/>
      <c r="H2311" s="33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  <c r="AB2311" s="18"/>
    </row>
    <row r="2312">
      <c r="A2312" s="31"/>
      <c r="B2312" s="34"/>
      <c r="C2312" s="18"/>
      <c r="D2312" s="18"/>
      <c r="E2312" s="18"/>
      <c r="F2312" s="18"/>
      <c r="G2312" s="35"/>
      <c r="H2312" s="33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  <c r="AA2312" s="18"/>
      <c r="AB2312" s="18"/>
    </row>
    <row r="2313">
      <c r="A2313" s="31"/>
      <c r="B2313" s="34"/>
      <c r="C2313" s="18"/>
      <c r="D2313" s="18"/>
      <c r="E2313" s="18"/>
      <c r="F2313" s="18"/>
      <c r="G2313" s="35"/>
      <c r="H2313" s="33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  <c r="AA2313" s="18"/>
      <c r="AB2313" s="18"/>
    </row>
    <row r="2314">
      <c r="A2314" s="31"/>
      <c r="B2314" s="34"/>
      <c r="C2314" s="18"/>
      <c r="D2314" s="18"/>
      <c r="E2314" s="18"/>
      <c r="F2314" s="18"/>
      <c r="G2314" s="35"/>
      <c r="H2314" s="33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  <c r="AA2314" s="18"/>
      <c r="AB2314" s="18"/>
    </row>
    <row r="2315">
      <c r="A2315" s="31"/>
      <c r="B2315" s="34"/>
      <c r="C2315" s="18"/>
      <c r="D2315" s="18"/>
      <c r="E2315" s="18"/>
      <c r="F2315" s="18"/>
      <c r="G2315" s="35"/>
      <c r="H2315" s="33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  <c r="AA2315" s="18"/>
      <c r="AB2315" s="18"/>
    </row>
    <row r="2316">
      <c r="A2316" s="31"/>
      <c r="B2316" s="34"/>
      <c r="C2316" s="18"/>
      <c r="D2316" s="18"/>
      <c r="E2316" s="18"/>
      <c r="F2316" s="18"/>
      <c r="G2316" s="35"/>
      <c r="H2316" s="33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  <c r="AA2316" s="18"/>
      <c r="AB2316" s="18"/>
    </row>
    <row r="2317">
      <c r="A2317" s="31"/>
      <c r="B2317" s="34"/>
      <c r="C2317" s="18"/>
      <c r="D2317" s="18"/>
      <c r="E2317" s="18"/>
      <c r="F2317" s="18"/>
      <c r="G2317" s="35"/>
      <c r="H2317" s="33"/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  <c r="AA2317" s="18"/>
      <c r="AB2317" s="18"/>
    </row>
    <row r="2318">
      <c r="A2318" s="31"/>
      <c r="B2318" s="34"/>
      <c r="C2318" s="18"/>
      <c r="D2318" s="18"/>
      <c r="E2318" s="18"/>
      <c r="F2318" s="18"/>
      <c r="G2318" s="35"/>
      <c r="H2318" s="33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  <c r="AA2318" s="18"/>
      <c r="AB2318" s="18"/>
    </row>
    <row r="2319">
      <c r="A2319" s="31"/>
      <c r="B2319" s="34"/>
      <c r="C2319" s="18"/>
      <c r="D2319" s="18"/>
      <c r="E2319" s="18"/>
      <c r="F2319" s="18"/>
      <c r="G2319" s="35"/>
      <c r="H2319" s="33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  <c r="Z2319" s="18"/>
      <c r="AA2319" s="18"/>
      <c r="AB2319" s="18"/>
    </row>
    <row r="2320">
      <c r="A2320" s="31"/>
      <c r="B2320" s="34"/>
      <c r="C2320" s="18"/>
      <c r="D2320" s="18"/>
      <c r="E2320" s="18"/>
      <c r="F2320" s="18"/>
      <c r="G2320" s="35"/>
      <c r="H2320" s="33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  <c r="AB2320" s="18"/>
    </row>
    <row r="2321">
      <c r="A2321" s="31"/>
      <c r="B2321" s="34"/>
      <c r="C2321" s="18"/>
      <c r="D2321" s="18"/>
      <c r="E2321" s="18"/>
      <c r="F2321" s="18"/>
      <c r="G2321" s="35"/>
      <c r="H2321" s="33"/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  <c r="Z2321" s="18"/>
      <c r="AA2321" s="18"/>
      <c r="AB2321" s="18"/>
    </row>
    <row r="2322">
      <c r="A2322" s="31"/>
      <c r="B2322" s="34"/>
      <c r="C2322" s="18"/>
      <c r="D2322" s="18"/>
      <c r="E2322" s="18"/>
      <c r="F2322" s="18"/>
      <c r="G2322" s="35"/>
      <c r="H2322" s="33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  <c r="AB2322" s="18"/>
    </row>
    <row r="2323">
      <c r="A2323" s="31"/>
      <c r="B2323" s="34"/>
      <c r="C2323" s="18"/>
      <c r="D2323" s="18"/>
      <c r="E2323" s="18"/>
      <c r="F2323" s="18"/>
      <c r="G2323" s="35"/>
      <c r="H2323" s="33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  <c r="AA2323" s="18"/>
      <c r="AB2323" s="18"/>
    </row>
    <row r="2324">
      <c r="A2324" s="31"/>
      <c r="B2324" s="34"/>
      <c r="C2324" s="18"/>
      <c r="D2324" s="18"/>
      <c r="E2324" s="18"/>
      <c r="F2324" s="18"/>
      <c r="G2324" s="35"/>
      <c r="H2324" s="33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  <c r="AB2324" s="18"/>
    </row>
    <row r="2325">
      <c r="A2325" s="31"/>
      <c r="B2325" s="34"/>
      <c r="C2325" s="18"/>
      <c r="D2325" s="18"/>
      <c r="E2325" s="18"/>
      <c r="F2325" s="18"/>
      <c r="G2325" s="35"/>
      <c r="H2325" s="33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  <c r="AA2325" s="18"/>
      <c r="AB2325" s="18"/>
    </row>
    <row r="2326">
      <c r="A2326" s="31"/>
      <c r="B2326" s="34"/>
      <c r="C2326" s="18"/>
      <c r="D2326" s="18"/>
      <c r="E2326" s="18"/>
      <c r="F2326" s="18"/>
      <c r="G2326" s="35"/>
      <c r="H2326" s="33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  <c r="AB2326" s="18"/>
    </row>
    <row r="2327">
      <c r="A2327" s="31"/>
      <c r="B2327" s="34"/>
      <c r="C2327" s="18"/>
      <c r="D2327" s="18"/>
      <c r="E2327" s="18"/>
      <c r="F2327" s="18"/>
      <c r="G2327" s="35"/>
      <c r="H2327" s="33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  <c r="AB2327" s="18"/>
    </row>
    <row r="2328">
      <c r="A2328" s="31"/>
      <c r="B2328" s="34"/>
      <c r="C2328" s="18"/>
      <c r="D2328" s="18"/>
      <c r="E2328" s="18"/>
      <c r="F2328" s="18"/>
      <c r="G2328" s="35"/>
      <c r="H2328" s="33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  <c r="AB2328" s="18"/>
    </row>
    <row r="2329">
      <c r="A2329" s="31"/>
      <c r="B2329" s="34"/>
      <c r="C2329" s="18"/>
      <c r="D2329" s="18"/>
      <c r="E2329" s="18"/>
      <c r="F2329" s="18"/>
      <c r="G2329" s="35"/>
      <c r="H2329" s="33"/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  <c r="AA2329" s="18"/>
      <c r="AB2329" s="18"/>
    </row>
    <row r="2330">
      <c r="A2330" s="31"/>
      <c r="B2330" s="34"/>
      <c r="C2330" s="18"/>
      <c r="D2330" s="18"/>
      <c r="E2330" s="18"/>
      <c r="F2330" s="18"/>
      <c r="G2330" s="35"/>
      <c r="H2330" s="33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  <c r="AA2330" s="18"/>
      <c r="AB2330" s="18"/>
    </row>
    <row r="2331">
      <c r="A2331" s="31"/>
      <c r="B2331" s="34"/>
      <c r="C2331" s="18"/>
      <c r="D2331" s="18"/>
      <c r="E2331" s="18"/>
      <c r="F2331" s="18"/>
      <c r="G2331" s="35"/>
      <c r="H2331" s="33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  <c r="AB2331" s="18"/>
    </row>
    <row r="2332">
      <c r="A2332" s="31"/>
      <c r="B2332" s="34"/>
      <c r="C2332" s="18"/>
      <c r="D2332" s="18"/>
      <c r="E2332" s="18"/>
      <c r="F2332" s="18"/>
      <c r="G2332" s="35"/>
      <c r="H2332" s="33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  <c r="AB2332" s="18"/>
    </row>
    <row r="2333">
      <c r="A2333" s="31"/>
      <c r="B2333" s="34"/>
      <c r="C2333" s="18"/>
      <c r="D2333" s="18"/>
      <c r="E2333" s="18"/>
      <c r="F2333" s="18"/>
      <c r="G2333" s="35"/>
      <c r="H2333" s="33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  <c r="AA2333" s="18"/>
      <c r="AB2333" s="18"/>
    </row>
    <row r="2334">
      <c r="A2334" s="31"/>
      <c r="B2334" s="34"/>
      <c r="C2334" s="18"/>
      <c r="D2334" s="18"/>
      <c r="E2334" s="18"/>
      <c r="F2334" s="18"/>
      <c r="G2334" s="35"/>
      <c r="H2334" s="33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</row>
    <row r="2335">
      <c r="A2335" s="31"/>
      <c r="B2335" s="34"/>
      <c r="C2335" s="18"/>
      <c r="D2335" s="18"/>
      <c r="E2335" s="18"/>
      <c r="F2335" s="18"/>
      <c r="G2335" s="35"/>
      <c r="H2335" s="33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  <c r="Z2335" s="18"/>
      <c r="AA2335" s="18"/>
      <c r="AB2335" s="18"/>
    </row>
    <row r="2336">
      <c r="A2336" s="31"/>
      <c r="B2336" s="34"/>
      <c r="C2336" s="18"/>
      <c r="D2336" s="18"/>
      <c r="E2336" s="18"/>
      <c r="F2336" s="18"/>
      <c r="G2336" s="35"/>
      <c r="H2336" s="33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  <c r="AA2336" s="18"/>
      <c r="AB2336" s="18"/>
    </row>
    <row r="2337">
      <c r="A2337" s="31"/>
      <c r="B2337" s="34"/>
      <c r="C2337" s="18"/>
      <c r="D2337" s="18"/>
      <c r="E2337" s="18"/>
      <c r="F2337" s="18"/>
      <c r="G2337" s="35"/>
      <c r="H2337" s="33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  <c r="AB2337" s="18"/>
    </row>
    <row r="2338">
      <c r="A2338" s="31"/>
      <c r="B2338" s="34"/>
      <c r="C2338" s="18"/>
      <c r="D2338" s="18"/>
      <c r="E2338" s="18"/>
      <c r="F2338" s="18"/>
      <c r="G2338" s="35"/>
      <c r="H2338" s="33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  <c r="AA2338" s="18"/>
      <c r="AB2338" s="18"/>
    </row>
    <row r="2339">
      <c r="A2339" s="31"/>
      <c r="B2339" s="34"/>
      <c r="C2339" s="18"/>
      <c r="D2339" s="18"/>
      <c r="E2339" s="18"/>
      <c r="F2339" s="18"/>
      <c r="G2339" s="35"/>
      <c r="H2339" s="33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  <c r="AB2339" s="18"/>
    </row>
    <row r="2340">
      <c r="A2340" s="31"/>
      <c r="B2340" s="34"/>
      <c r="C2340" s="18"/>
      <c r="D2340" s="18"/>
      <c r="E2340" s="18"/>
      <c r="F2340" s="18"/>
      <c r="G2340" s="35"/>
      <c r="H2340" s="33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  <c r="AB2340" s="18"/>
    </row>
    <row r="2341">
      <c r="A2341" s="31"/>
      <c r="B2341" s="34"/>
      <c r="C2341" s="18"/>
      <c r="D2341" s="18"/>
      <c r="E2341" s="18"/>
      <c r="F2341" s="18"/>
      <c r="G2341" s="35"/>
      <c r="H2341" s="33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  <c r="Z2341" s="18"/>
      <c r="AA2341" s="18"/>
      <c r="AB2341" s="18"/>
    </row>
    <row r="2342">
      <c r="A2342" s="31"/>
      <c r="B2342" s="34"/>
      <c r="C2342" s="18"/>
      <c r="D2342" s="18"/>
      <c r="E2342" s="18"/>
      <c r="F2342" s="18"/>
      <c r="G2342" s="35"/>
      <c r="H2342" s="33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  <c r="AA2342" s="18"/>
      <c r="AB2342" s="18"/>
    </row>
    <row r="2343">
      <c r="A2343" s="31"/>
      <c r="B2343" s="34"/>
      <c r="C2343" s="18"/>
      <c r="D2343" s="18"/>
      <c r="E2343" s="18"/>
      <c r="F2343" s="18"/>
      <c r="G2343" s="35"/>
      <c r="H2343" s="33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  <c r="Z2343" s="18"/>
      <c r="AA2343" s="18"/>
      <c r="AB2343" s="18"/>
    </row>
    <row r="2344">
      <c r="A2344" s="31"/>
      <c r="B2344" s="34"/>
      <c r="C2344" s="18"/>
      <c r="D2344" s="18"/>
      <c r="E2344" s="18"/>
      <c r="F2344" s="18"/>
      <c r="G2344" s="35"/>
      <c r="H2344" s="33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  <c r="Z2344" s="18"/>
      <c r="AA2344" s="18"/>
      <c r="AB2344" s="18"/>
    </row>
    <row r="2345">
      <c r="A2345" s="31"/>
      <c r="B2345" s="34"/>
      <c r="C2345" s="18"/>
      <c r="D2345" s="18"/>
      <c r="E2345" s="18"/>
      <c r="F2345" s="18"/>
      <c r="G2345" s="35"/>
      <c r="H2345" s="33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  <c r="AA2345" s="18"/>
      <c r="AB2345" s="18"/>
    </row>
    <row r="2346">
      <c r="A2346" s="31"/>
      <c r="B2346" s="34"/>
      <c r="C2346" s="18"/>
      <c r="D2346" s="18"/>
      <c r="E2346" s="18"/>
      <c r="F2346" s="18"/>
      <c r="G2346" s="35"/>
      <c r="H2346" s="33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  <c r="AB2346" s="18"/>
    </row>
    <row r="2347">
      <c r="A2347" s="31"/>
      <c r="B2347" s="34"/>
      <c r="C2347" s="18"/>
      <c r="D2347" s="18"/>
      <c r="E2347" s="18"/>
      <c r="F2347" s="18"/>
      <c r="G2347" s="35"/>
      <c r="H2347" s="33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  <c r="AB2347" s="18"/>
    </row>
    <row r="2348">
      <c r="A2348" s="31"/>
      <c r="B2348" s="34"/>
      <c r="C2348" s="18"/>
      <c r="D2348" s="18"/>
      <c r="E2348" s="18"/>
      <c r="F2348" s="18"/>
      <c r="G2348" s="35"/>
      <c r="H2348" s="33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  <c r="AA2348" s="18"/>
      <c r="AB2348" s="18"/>
    </row>
    <row r="2349">
      <c r="A2349" s="31"/>
      <c r="B2349" s="34"/>
      <c r="C2349" s="18"/>
      <c r="D2349" s="18"/>
      <c r="E2349" s="18"/>
      <c r="F2349" s="18"/>
      <c r="G2349" s="35"/>
      <c r="H2349" s="33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  <c r="AB2349" s="18"/>
    </row>
    <row r="2350">
      <c r="A2350" s="31"/>
      <c r="B2350" s="34"/>
      <c r="C2350" s="18"/>
      <c r="D2350" s="18"/>
      <c r="E2350" s="18"/>
      <c r="F2350" s="18"/>
      <c r="G2350" s="35"/>
      <c r="H2350" s="33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  <c r="AA2350" s="18"/>
      <c r="AB2350" s="18"/>
    </row>
    <row r="2351">
      <c r="A2351" s="31"/>
      <c r="B2351" s="34"/>
      <c r="C2351" s="18"/>
      <c r="D2351" s="18"/>
      <c r="E2351" s="18"/>
      <c r="F2351" s="18"/>
      <c r="G2351" s="35"/>
      <c r="H2351" s="33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  <c r="AB2351" s="18"/>
    </row>
    <row r="2352">
      <c r="A2352" s="31"/>
      <c r="B2352" s="34"/>
      <c r="C2352" s="18"/>
      <c r="D2352" s="18"/>
      <c r="E2352" s="18"/>
      <c r="F2352" s="18"/>
      <c r="G2352" s="35"/>
      <c r="H2352" s="33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  <c r="AB2352" s="18"/>
    </row>
    <row r="2353">
      <c r="A2353" s="31"/>
      <c r="B2353" s="34"/>
      <c r="C2353" s="18"/>
      <c r="D2353" s="18"/>
      <c r="E2353" s="18"/>
      <c r="F2353" s="18"/>
      <c r="G2353" s="35"/>
      <c r="H2353" s="33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  <c r="AB2353" s="18"/>
    </row>
    <row r="2354">
      <c r="A2354" s="31"/>
      <c r="B2354" s="34"/>
      <c r="C2354" s="18"/>
      <c r="D2354" s="18"/>
      <c r="E2354" s="18"/>
      <c r="F2354" s="18"/>
      <c r="G2354" s="35"/>
      <c r="H2354" s="33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  <c r="AA2354" s="18"/>
      <c r="AB2354" s="18"/>
    </row>
    <row r="2355">
      <c r="A2355" s="31"/>
      <c r="B2355" s="34"/>
      <c r="C2355" s="18"/>
      <c r="D2355" s="18"/>
      <c r="E2355" s="18"/>
      <c r="F2355" s="18"/>
      <c r="G2355" s="35"/>
      <c r="H2355" s="33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  <c r="AA2355" s="18"/>
      <c r="AB2355" s="18"/>
    </row>
    <row r="2356">
      <c r="A2356" s="31"/>
      <c r="B2356" s="34"/>
      <c r="C2356" s="18"/>
      <c r="D2356" s="18"/>
      <c r="E2356" s="18"/>
      <c r="F2356" s="18"/>
      <c r="G2356" s="35"/>
      <c r="H2356" s="33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  <c r="Z2356" s="18"/>
      <c r="AA2356" s="18"/>
      <c r="AB2356" s="18"/>
    </row>
    <row r="2357">
      <c r="A2357" s="31"/>
      <c r="B2357" s="34"/>
      <c r="C2357" s="18"/>
      <c r="D2357" s="18"/>
      <c r="E2357" s="18"/>
      <c r="F2357" s="18"/>
      <c r="G2357" s="35"/>
      <c r="H2357" s="33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  <c r="AA2357" s="18"/>
      <c r="AB2357" s="18"/>
    </row>
    <row r="2358">
      <c r="A2358" s="31"/>
      <c r="B2358" s="34"/>
      <c r="C2358" s="18"/>
      <c r="D2358" s="18"/>
      <c r="E2358" s="18"/>
      <c r="F2358" s="18"/>
      <c r="G2358" s="35"/>
      <c r="H2358" s="33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  <c r="AB2358" s="18"/>
    </row>
    <row r="2359">
      <c r="A2359" s="31"/>
      <c r="B2359" s="34"/>
      <c r="C2359" s="18"/>
      <c r="D2359" s="18"/>
      <c r="E2359" s="18"/>
      <c r="F2359" s="18"/>
      <c r="G2359" s="35"/>
      <c r="H2359" s="33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  <c r="AA2359" s="18"/>
      <c r="AB2359" s="18"/>
    </row>
    <row r="2360">
      <c r="A2360" s="31"/>
      <c r="B2360" s="34"/>
      <c r="C2360" s="18"/>
      <c r="D2360" s="18"/>
      <c r="E2360" s="18"/>
      <c r="F2360" s="18"/>
      <c r="G2360" s="35"/>
      <c r="H2360" s="33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  <c r="AA2360" s="18"/>
      <c r="AB2360" s="18"/>
    </row>
    <row r="2361">
      <c r="A2361" s="31"/>
      <c r="B2361" s="34"/>
      <c r="C2361" s="18"/>
      <c r="D2361" s="18"/>
      <c r="E2361" s="18"/>
      <c r="F2361" s="18"/>
      <c r="G2361" s="35"/>
      <c r="H2361" s="33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  <c r="AA2361" s="18"/>
      <c r="AB2361" s="18"/>
    </row>
    <row r="2362">
      <c r="A2362" s="31"/>
      <c r="B2362" s="34"/>
      <c r="C2362" s="18"/>
      <c r="D2362" s="18"/>
      <c r="E2362" s="18"/>
      <c r="F2362" s="18"/>
      <c r="G2362" s="35"/>
      <c r="H2362" s="33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  <c r="AA2362" s="18"/>
      <c r="AB2362" s="18"/>
    </row>
    <row r="2363">
      <c r="A2363" s="31"/>
      <c r="B2363" s="34"/>
      <c r="C2363" s="18"/>
      <c r="D2363" s="18"/>
      <c r="E2363" s="18"/>
      <c r="F2363" s="18"/>
      <c r="G2363" s="35"/>
      <c r="H2363" s="33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  <c r="AA2363" s="18"/>
      <c r="AB2363" s="18"/>
    </row>
    <row r="2364">
      <c r="A2364" s="31"/>
      <c r="B2364" s="34"/>
      <c r="C2364" s="18"/>
      <c r="D2364" s="18"/>
      <c r="E2364" s="18"/>
      <c r="F2364" s="18"/>
      <c r="G2364" s="35"/>
      <c r="H2364" s="33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  <c r="AB2364" s="18"/>
    </row>
    <row r="2365">
      <c r="A2365" s="31"/>
      <c r="B2365" s="34"/>
      <c r="C2365" s="18"/>
      <c r="D2365" s="18"/>
      <c r="E2365" s="18"/>
      <c r="F2365" s="18"/>
      <c r="G2365" s="35"/>
      <c r="H2365" s="33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  <c r="AB2365" s="18"/>
    </row>
    <row r="2366">
      <c r="A2366" s="31"/>
      <c r="B2366" s="34"/>
      <c r="C2366" s="18"/>
      <c r="D2366" s="18"/>
      <c r="E2366" s="18"/>
      <c r="F2366" s="18"/>
      <c r="G2366" s="35"/>
      <c r="H2366" s="33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  <c r="Z2366" s="18"/>
      <c r="AA2366" s="18"/>
      <c r="AB2366" s="18"/>
    </row>
    <row r="2367">
      <c r="A2367" s="31"/>
      <c r="B2367" s="34"/>
      <c r="C2367" s="18"/>
      <c r="D2367" s="18"/>
      <c r="E2367" s="18"/>
      <c r="F2367" s="18"/>
      <c r="G2367" s="35"/>
      <c r="H2367" s="33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  <c r="AA2367" s="18"/>
      <c r="AB2367" s="18"/>
    </row>
    <row r="2368">
      <c r="A2368" s="31"/>
      <c r="B2368" s="34"/>
      <c r="C2368" s="18"/>
      <c r="D2368" s="18"/>
      <c r="E2368" s="18"/>
      <c r="F2368" s="18"/>
      <c r="G2368" s="35"/>
      <c r="H2368" s="33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  <c r="Z2368" s="18"/>
      <c r="AA2368" s="18"/>
      <c r="AB2368" s="18"/>
    </row>
    <row r="2369">
      <c r="A2369" s="31"/>
      <c r="B2369" s="34"/>
      <c r="C2369" s="18"/>
      <c r="D2369" s="18"/>
      <c r="E2369" s="18"/>
      <c r="F2369" s="18"/>
      <c r="G2369" s="35"/>
      <c r="H2369" s="33"/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  <c r="Z2369" s="18"/>
      <c r="AA2369" s="18"/>
      <c r="AB2369" s="18"/>
    </row>
    <row r="2370">
      <c r="A2370" s="31"/>
      <c r="B2370" s="34"/>
      <c r="C2370" s="18"/>
      <c r="D2370" s="18"/>
      <c r="E2370" s="18"/>
      <c r="F2370" s="18"/>
      <c r="G2370" s="35"/>
      <c r="H2370" s="33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  <c r="AA2370" s="18"/>
      <c r="AB2370" s="18"/>
    </row>
    <row r="2371">
      <c r="A2371" s="31"/>
      <c r="B2371" s="34"/>
      <c r="C2371" s="18"/>
      <c r="D2371" s="18"/>
      <c r="E2371" s="18"/>
      <c r="F2371" s="18"/>
      <c r="G2371" s="35"/>
      <c r="H2371" s="33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  <c r="AA2371" s="18"/>
      <c r="AB2371" s="18"/>
    </row>
    <row r="2372">
      <c r="A2372" s="31"/>
      <c r="B2372" s="34"/>
      <c r="C2372" s="18"/>
      <c r="D2372" s="18"/>
      <c r="E2372" s="18"/>
      <c r="F2372" s="18"/>
      <c r="G2372" s="35"/>
      <c r="H2372" s="33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  <c r="AA2372" s="18"/>
      <c r="AB2372" s="18"/>
    </row>
    <row r="2373">
      <c r="A2373" s="31"/>
      <c r="B2373" s="34"/>
      <c r="C2373" s="18"/>
      <c r="D2373" s="18"/>
      <c r="E2373" s="18"/>
      <c r="F2373" s="18"/>
      <c r="G2373" s="35"/>
      <c r="H2373" s="33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  <c r="AA2373" s="18"/>
      <c r="AB2373" s="18"/>
    </row>
    <row r="2374">
      <c r="A2374" s="31"/>
      <c r="B2374" s="34"/>
      <c r="C2374" s="18"/>
      <c r="D2374" s="18"/>
      <c r="E2374" s="18"/>
      <c r="F2374" s="18"/>
      <c r="G2374" s="35"/>
      <c r="H2374" s="33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  <c r="AA2374" s="18"/>
      <c r="AB2374" s="18"/>
    </row>
    <row r="2375">
      <c r="A2375" s="31"/>
      <c r="B2375" s="34"/>
      <c r="C2375" s="18"/>
      <c r="D2375" s="18"/>
      <c r="E2375" s="18"/>
      <c r="F2375" s="18"/>
      <c r="G2375" s="35"/>
      <c r="H2375" s="33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  <c r="AB2375" s="18"/>
    </row>
    <row r="2376">
      <c r="A2376" s="31"/>
      <c r="B2376" s="34"/>
      <c r="C2376" s="18"/>
      <c r="D2376" s="18"/>
      <c r="E2376" s="18"/>
      <c r="F2376" s="18"/>
      <c r="G2376" s="35"/>
      <c r="H2376" s="33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  <c r="AB2376" s="18"/>
    </row>
    <row r="2377">
      <c r="A2377" s="31"/>
      <c r="B2377" s="34"/>
      <c r="C2377" s="18"/>
      <c r="D2377" s="18"/>
      <c r="E2377" s="18"/>
      <c r="F2377" s="18"/>
      <c r="G2377" s="35"/>
      <c r="H2377" s="33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  <c r="AB2377" s="18"/>
    </row>
    <row r="2378">
      <c r="A2378" s="31"/>
      <c r="B2378" s="34"/>
      <c r="C2378" s="18"/>
      <c r="D2378" s="18"/>
      <c r="E2378" s="18"/>
      <c r="F2378" s="18"/>
      <c r="G2378" s="35"/>
      <c r="H2378" s="33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  <c r="AA2378" s="18"/>
      <c r="AB2378" s="18"/>
    </row>
    <row r="2379">
      <c r="A2379" s="31"/>
      <c r="B2379" s="34"/>
      <c r="C2379" s="18"/>
      <c r="D2379" s="18"/>
      <c r="E2379" s="18"/>
      <c r="F2379" s="18"/>
      <c r="G2379" s="35"/>
      <c r="H2379" s="33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  <c r="AB2379" s="18"/>
    </row>
    <row r="2380">
      <c r="A2380" s="31"/>
      <c r="B2380" s="34"/>
      <c r="C2380" s="18"/>
      <c r="D2380" s="18"/>
      <c r="E2380" s="18"/>
      <c r="F2380" s="18"/>
      <c r="G2380" s="35"/>
      <c r="H2380" s="33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  <c r="AB2380" s="18"/>
    </row>
    <row r="2381">
      <c r="A2381" s="31"/>
      <c r="B2381" s="34"/>
      <c r="C2381" s="18"/>
      <c r="D2381" s="18"/>
      <c r="E2381" s="18"/>
      <c r="F2381" s="18"/>
      <c r="G2381" s="35"/>
      <c r="H2381" s="33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  <c r="AB2381" s="18"/>
    </row>
    <row r="2382">
      <c r="A2382" s="31"/>
      <c r="B2382" s="34"/>
      <c r="C2382" s="18"/>
      <c r="D2382" s="18"/>
      <c r="E2382" s="18"/>
      <c r="F2382" s="18"/>
      <c r="G2382" s="35"/>
      <c r="H2382" s="33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  <c r="AB2382" s="18"/>
    </row>
    <row r="2383">
      <c r="A2383" s="31"/>
      <c r="B2383" s="34"/>
      <c r="C2383" s="18"/>
      <c r="D2383" s="18"/>
      <c r="E2383" s="18"/>
      <c r="F2383" s="18"/>
      <c r="G2383" s="35"/>
      <c r="H2383" s="33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  <c r="AB2383" s="18"/>
    </row>
    <row r="2384">
      <c r="A2384" s="31"/>
      <c r="B2384" s="34"/>
      <c r="C2384" s="18"/>
      <c r="D2384" s="18"/>
      <c r="E2384" s="18"/>
      <c r="F2384" s="18"/>
      <c r="G2384" s="35"/>
      <c r="H2384" s="33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  <c r="AA2384" s="18"/>
      <c r="AB2384" s="18"/>
    </row>
    <row r="2385">
      <c r="A2385" s="31"/>
      <c r="B2385" s="34"/>
      <c r="C2385" s="18"/>
      <c r="D2385" s="18"/>
      <c r="E2385" s="18"/>
      <c r="F2385" s="18"/>
      <c r="G2385" s="35"/>
      <c r="H2385" s="33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  <c r="AB2385" s="18"/>
    </row>
    <row r="2386">
      <c r="A2386" s="31"/>
      <c r="B2386" s="34"/>
      <c r="C2386" s="18"/>
      <c r="D2386" s="18"/>
      <c r="E2386" s="18"/>
      <c r="F2386" s="18"/>
      <c r="G2386" s="35"/>
      <c r="H2386" s="33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  <c r="AA2386" s="18"/>
      <c r="AB2386" s="18"/>
    </row>
    <row r="2387">
      <c r="A2387" s="31"/>
      <c r="B2387" s="34"/>
      <c r="C2387" s="18"/>
      <c r="D2387" s="18"/>
      <c r="E2387" s="18"/>
      <c r="F2387" s="18"/>
      <c r="G2387" s="35"/>
      <c r="H2387" s="33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  <c r="AB2387" s="18"/>
    </row>
    <row r="2388">
      <c r="A2388" s="31"/>
      <c r="B2388" s="34"/>
      <c r="C2388" s="18"/>
      <c r="D2388" s="18"/>
      <c r="E2388" s="18"/>
      <c r="F2388" s="18"/>
      <c r="G2388" s="35"/>
      <c r="H2388" s="33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  <c r="AB2388" s="18"/>
    </row>
    <row r="2389">
      <c r="A2389" s="31"/>
      <c r="B2389" s="34"/>
      <c r="C2389" s="18"/>
      <c r="D2389" s="18"/>
      <c r="E2389" s="18"/>
      <c r="F2389" s="18"/>
      <c r="G2389" s="35"/>
      <c r="H2389" s="33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  <c r="AA2389" s="18"/>
      <c r="AB2389" s="18"/>
    </row>
    <row r="2390">
      <c r="A2390" s="31"/>
      <c r="B2390" s="34"/>
      <c r="C2390" s="18"/>
      <c r="D2390" s="18"/>
      <c r="E2390" s="18"/>
      <c r="F2390" s="18"/>
      <c r="G2390" s="35"/>
      <c r="H2390" s="33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  <c r="AB2390" s="18"/>
    </row>
    <row r="2391">
      <c r="A2391" s="31"/>
      <c r="B2391" s="34"/>
      <c r="C2391" s="18"/>
      <c r="D2391" s="18"/>
      <c r="E2391" s="18"/>
      <c r="F2391" s="18"/>
      <c r="G2391" s="35"/>
      <c r="H2391" s="33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  <c r="AA2391" s="18"/>
      <c r="AB2391" s="18"/>
    </row>
    <row r="2392">
      <c r="A2392" s="31"/>
      <c r="B2392" s="34"/>
      <c r="C2392" s="18"/>
      <c r="D2392" s="18"/>
      <c r="E2392" s="18"/>
      <c r="F2392" s="18"/>
      <c r="G2392" s="35"/>
      <c r="H2392" s="33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  <c r="AB2392" s="18"/>
    </row>
    <row r="2393">
      <c r="A2393" s="31"/>
      <c r="B2393" s="34"/>
      <c r="C2393" s="18"/>
      <c r="D2393" s="18"/>
      <c r="E2393" s="18"/>
      <c r="F2393" s="18"/>
      <c r="G2393" s="35"/>
      <c r="H2393" s="33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  <c r="AA2393" s="18"/>
      <c r="AB2393" s="18"/>
    </row>
    <row r="2394">
      <c r="A2394" s="31"/>
      <c r="B2394" s="34"/>
      <c r="C2394" s="18"/>
      <c r="D2394" s="18"/>
      <c r="E2394" s="18"/>
      <c r="F2394" s="18"/>
      <c r="G2394" s="35"/>
      <c r="H2394" s="33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  <c r="AB2394" s="18"/>
    </row>
    <row r="2395">
      <c r="A2395" s="31"/>
      <c r="B2395" s="34"/>
      <c r="C2395" s="18"/>
      <c r="D2395" s="18"/>
      <c r="E2395" s="18"/>
      <c r="F2395" s="18"/>
      <c r="G2395" s="35"/>
      <c r="H2395" s="33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  <c r="AB2395" s="18"/>
    </row>
    <row r="2396">
      <c r="A2396" s="31"/>
      <c r="B2396" s="34"/>
      <c r="C2396" s="18"/>
      <c r="D2396" s="18"/>
      <c r="E2396" s="18"/>
      <c r="F2396" s="18"/>
      <c r="G2396" s="35"/>
      <c r="H2396" s="33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  <c r="AB2396" s="18"/>
    </row>
    <row r="2397">
      <c r="A2397" s="31"/>
      <c r="B2397" s="34"/>
      <c r="C2397" s="18"/>
      <c r="D2397" s="18"/>
      <c r="E2397" s="18"/>
      <c r="F2397" s="18"/>
      <c r="G2397" s="35"/>
      <c r="H2397" s="33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  <c r="AB2397" s="18"/>
    </row>
    <row r="2398">
      <c r="A2398" s="31"/>
      <c r="B2398" s="34"/>
      <c r="C2398" s="18"/>
      <c r="D2398" s="18"/>
      <c r="E2398" s="18"/>
      <c r="F2398" s="18"/>
      <c r="G2398" s="35"/>
      <c r="H2398" s="33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  <c r="AB2398" s="18"/>
    </row>
    <row r="2399">
      <c r="A2399" s="31"/>
      <c r="B2399" s="34"/>
      <c r="C2399" s="18"/>
      <c r="D2399" s="18"/>
      <c r="E2399" s="18"/>
      <c r="F2399" s="18"/>
      <c r="G2399" s="35"/>
      <c r="H2399" s="33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  <c r="AB2399" s="18"/>
    </row>
    <row r="2400">
      <c r="A2400" s="31"/>
      <c r="B2400" s="34"/>
      <c r="C2400" s="18"/>
      <c r="D2400" s="18"/>
      <c r="E2400" s="18"/>
      <c r="F2400" s="18"/>
      <c r="G2400" s="35"/>
      <c r="H2400" s="33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  <c r="AB2400" s="18"/>
    </row>
    <row r="2401">
      <c r="A2401" s="31"/>
      <c r="B2401" s="34"/>
      <c r="C2401" s="18"/>
      <c r="D2401" s="18"/>
      <c r="E2401" s="18"/>
      <c r="F2401" s="18"/>
      <c r="G2401" s="35"/>
      <c r="H2401" s="33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  <c r="AB2401" s="18"/>
    </row>
    <row r="2402">
      <c r="A2402" s="31"/>
      <c r="B2402" s="34"/>
      <c r="C2402" s="18"/>
      <c r="D2402" s="18"/>
      <c r="E2402" s="18"/>
      <c r="F2402" s="18"/>
      <c r="G2402" s="35"/>
      <c r="H2402" s="33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  <c r="AB2402" s="18"/>
    </row>
    <row r="2403">
      <c r="A2403" s="31"/>
      <c r="B2403" s="34"/>
      <c r="C2403" s="18"/>
      <c r="D2403" s="18"/>
      <c r="E2403" s="18"/>
      <c r="F2403" s="18"/>
      <c r="G2403" s="35"/>
      <c r="H2403" s="33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  <c r="AB2403" s="18"/>
    </row>
    <row r="2404">
      <c r="A2404" s="31"/>
      <c r="B2404" s="34"/>
      <c r="C2404" s="18"/>
      <c r="D2404" s="18"/>
      <c r="E2404" s="18"/>
      <c r="F2404" s="18"/>
      <c r="G2404" s="35"/>
      <c r="H2404" s="33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  <c r="AB2404" s="18"/>
    </row>
    <row r="2405">
      <c r="A2405" s="31"/>
      <c r="B2405" s="34"/>
      <c r="C2405" s="18"/>
      <c r="D2405" s="18"/>
      <c r="E2405" s="18"/>
      <c r="F2405" s="18"/>
      <c r="G2405" s="35"/>
      <c r="H2405" s="33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  <c r="AA2405" s="18"/>
      <c r="AB2405" s="18"/>
    </row>
    <row r="2406">
      <c r="A2406" s="31"/>
      <c r="B2406" s="34"/>
      <c r="C2406" s="18"/>
      <c r="D2406" s="18"/>
      <c r="E2406" s="18"/>
      <c r="F2406" s="18"/>
      <c r="G2406" s="35"/>
      <c r="H2406" s="33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  <c r="AB2406" s="18"/>
    </row>
    <row r="2407">
      <c r="A2407" s="31"/>
      <c r="B2407" s="34"/>
      <c r="C2407" s="18"/>
      <c r="D2407" s="18"/>
      <c r="E2407" s="18"/>
      <c r="F2407" s="18"/>
      <c r="G2407" s="35"/>
      <c r="H2407" s="33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  <c r="AB2407" s="18"/>
    </row>
    <row r="2408">
      <c r="A2408" s="31"/>
      <c r="B2408" s="34"/>
      <c r="C2408" s="18"/>
      <c r="D2408" s="18"/>
      <c r="E2408" s="18"/>
      <c r="F2408" s="18"/>
      <c r="G2408" s="35"/>
      <c r="H2408" s="33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  <c r="AB2408" s="18"/>
    </row>
    <row r="2409">
      <c r="A2409" s="31"/>
      <c r="B2409" s="34"/>
      <c r="C2409" s="18"/>
      <c r="D2409" s="18"/>
      <c r="E2409" s="18"/>
      <c r="F2409" s="18"/>
      <c r="G2409" s="35"/>
      <c r="H2409" s="33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  <c r="AA2409" s="18"/>
      <c r="AB2409" s="18"/>
    </row>
    <row r="2410">
      <c r="A2410" s="31"/>
      <c r="B2410" s="34"/>
      <c r="C2410" s="18"/>
      <c r="D2410" s="18"/>
      <c r="E2410" s="18"/>
      <c r="F2410" s="18"/>
      <c r="G2410" s="35"/>
      <c r="H2410" s="33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  <c r="AB2410" s="18"/>
    </row>
    <row r="2411">
      <c r="A2411" s="31"/>
      <c r="B2411" s="34"/>
      <c r="C2411" s="18"/>
      <c r="D2411" s="18"/>
      <c r="E2411" s="18"/>
      <c r="F2411" s="18"/>
      <c r="G2411" s="35"/>
      <c r="H2411" s="33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  <c r="AA2411" s="18"/>
      <c r="AB2411" s="18"/>
    </row>
    <row r="2412">
      <c r="A2412" s="31"/>
      <c r="B2412" s="34"/>
      <c r="C2412" s="18"/>
      <c r="D2412" s="18"/>
      <c r="E2412" s="18"/>
      <c r="F2412" s="18"/>
      <c r="G2412" s="35"/>
      <c r="H2412" s="33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</row>
    <row r="2413">
      <c r="A2413" s="31"/>
      <c r="B2413" s="34"/>
      <c r="C2413" s="18"/>
      <c r="D2413" s="18"/>
      <c r="E2413" s="18"/>
      <c r="F2413" s="18"/>
      <c r="G2413" s="35"/>
      <c r="H2413" s="33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  <c r="AA2413" s="18"/>
      <c r="AB2413" s="18"/>
    </row>
    <row r="2414">
      <c r="A2414" s="31"/>
      <c r="B2414" s="34"/>
      <c r="C2414" s="18"/>
      <c r="D2414" s="18"/>
      <c r="E2414" s="18"/>
      <c r="F2414" s="18"/>
      <c r="G2414" s="35"/>
      <c r="H2414" s="33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  <c r="AA2414" s="18"/>
      <c r="AB2414" s="18"/>
    </row>
    <row r="2415">
      <c r="A2415" s="31"/>
      <c r="B2415" s="34"/>
      <c r="C2415" s="18"/>
      <c r="D2415" s="18"/>
      <c r="E2415" s="18"/>
      <c r="F2415" s="18"/>
      <c r="G2415" s="35"/>
      <c r="H2415" s="33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Y2415" s="18"/>
      <c r="Z2415" s="18"/>
      <c r="AA2415" s="18"/>
      <c r="AB2415" s="18"/>
    </row>
    <row r="2416">
      <c r="A2416" s="31"/>
      <c r="B2416" s="34"/>
      <c r="C2416" s="18"/>
      <c r="D2416" s="18"/>
      <c r="E2416" s="18"/>
      <c r="F2416" s="18"/>
      <c r="G2416" s="35"/>
      <c r="H2416" s="33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  <c r="Z2416" s="18"/>
      <c r="AA2416" s="18"/>
      <c r="AB2416" s="18"/>
    </row>
    <row r="2417">
      <c r="A2417" s="31"/>
      <c r="B2417" s="34"/>
      <c r="C2417" s="18"/>
      <c r="D2417" s="18"/>
      <c r="E2417" s="18"/>
      <c r="F2417" s="18"/>
      <c r="G2417" s="35"/>
      <c r="H2417" s="33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Y2417" s="18"/>
      <c r="Z2417" s="18"/>
      <c r="AA2417" s="18"/>
      <c r="AB2417" s="18"/>
    </row>
    <row r="2418">
      <c r="A2418" s="31"/>
      <c r="B2418" s="34"/>
      <c r="C2418" s="18"/>
      <c r="D2418" s="18"/>
      <c r="E2418" s="18"/>
      <c r="F2418" s="18"/>
      <c r="G2418" s="35"/>
      <c r="H2418" s="33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  <c r="Z2418" s="18"/>
      <c r="AA2418" s="18"/>
      <c r="AB2418" s="18"/>
    </row>
    <row r="2419">
      <c r="A2419" s="31"/>
      <c r="B2419" s="34"/>
      <c r="C2419" s="18"/>
      <c r="D2419" s="18"/>
      <c r="E2419" s="18"/>
      <c r="F2419" s="18"/>
      <c r="G2419" s="35"/>
      <c r="H2419" s="33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Y2419" s="18"/>
      <c r="Z2419" s="18"/>
      <c r="AA2419" s="18"/>
      <c r="AB2419" s="18"/>
    </row>
    <row r="2420">
      <c r="A2420" s="31"/>
      <c r="B2420" s="34"/>
      <c r="C2420" s="18"/>
      <c r="D2420" s="18"/>
      <c r="E2420" s="18"/>
      <c r="F2420" s="18"/>
      <c r="G2420" s="35"/>
      <c r="H2420" s="33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  <c r="AA2420" s="18"/>
      <c r="AB2420" s="18"/>
    </row>
    <row r="2421">
      <c r="A2421" s="31"/>
      <c r="B2421" s="34"/>
      <c r="C2421" s="18"/>
      <c r="D2421" s="18"/>
      <c r="E2421" s="18"/>
      <c r="F2421" s="18"/>
      <c r="G2421" s="35"/>
      <c r="H2421" s="33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  <c r="AA2421" s="18"/>
      <c r="AB2421" s="18"/>
    </row>
    <row r="2422">
      <c r="A2422" s="31"/>
      <c r="B2422" s="34"/>
      <c r="C2422" s="18"/>
      <c r="D2422" s="18"/>
      <c r="E2422" s="18"/>
      <c r="F2422" s="18"/>
      <c r="G2422" s="35"/>
      <c r="H2422" s="33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  <c r="AB2422" s="18"/>
    </row>
    <row r="2423">
      <c r="A2423" s="31"/>
      <c r="B2423" s="34"/>
      <c r="C2423" s="18"/>
      <c r="D2423" s="18"/>
      <c r="E2423" s="18"/>
      <c r="F2423" s="18"/>
      <c r="G2423" s="35"/>
      <c r="H2423" s="33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  <c r="Z2423" s="18"/>
      <c r="AA2423" s="18"/>
      <c r="AB2423" s="18"/>
    </row>
    <row r="2424">
      <c r="A2424" s="31"/>
      <c r="B2424" s="34"/>
      <c r="C2424" s="18"/>
      <c r="D2424" s="18"/>
      <c r="E2424" s="18"/>
      <c r="F2424" s="18"/>
      <c r="G2424" s="35"/>
      <c r="H2424" s="33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</row>
    <row r="2425">
      <c r="A2425" s="31"/>
      <c r="B2425" s="34"/>
      <c r="C2425" s="18"/>
      <c r="D2425" s="18"/>
      <c r="E2425" s="18"/>
      <c r="F2425" s="18"/>
      <c r="G2425" s="35"/>
      <c r="H2425" s="33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  <c r="AA2425" s="18"/>
      <c r="AB2425" s="18"/>
    </row>
    <row r="2426">
      <c r="A2426" s="31"/>
      <c r="B2426" s="34"/>
      <c r="C2426" s="18"/>
      <c r="D2426" s="18"/>
      <c r="E2426" s="18"/>
      <c r="F2426" s="18"/>
      <c r="G2426" s="35"/>
      <c r="H2426" s="33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  <c r="AB2426" s="18"/>
    </row>
    <row r="2427">
      <c r="A2427" s="31"/>
      <c r="B2427" s="34"/>
      <c r="C2427" s="18"/>
      <c r="D2427" s="18"/>
      <c r="E2427" s="18"/>
      <c r="F2427" s="18"/>
      <c r="G2427" s="35"/>
      <c r="H2427" s="33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  <c r="AB2427" s="18"/>
    </row>
    <row r="2428">
      <c r="A2428" s="31"/>
      <c r="B2428" s="34"/>
      <c r="C2428" s="18"/>
      <c r="D2428" s="18"/>
      <c r="E2428" s="18"/>
      <c r="F2428" s="18"/>
      <c r="G2428" s="35"/>
      <c r="H2428" s="33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  <c r="AB2428" s="18"/>
    </row>
    <row r="2429">
      <c r="A2429" s="31"/>
      <c r="B2429" s="34"/>
      <c r="C2429" s="18"/>
      <c r="D2429" s="18"/>
      <c r="E2429" s="18"/>
      <c r="F2429" s="18"/>
      <c r="G2429" s="35"/>
      <c r="H2429" s="33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  <c r="AA2429" s="18"/>
      <c r="AB2429" s="18"/>
    </row>
    <row r="2430">
      <c r="A2430" s="31"/>
      <c r="B2430" s="34"/>
      <c r="C2430" s="18"/>
      <c r="D2430" s="18"/>
      <c r="E2430" s="18"/>
      <c r="F2430" s="18"/>
      <c r="G2430" s="35"/>
      <c r="H2430" s="33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  <c r="AB2430" s="18"/>
    </row>
    <row r="2431">
      <c r="A2431" s="31"/>
      <c r="B2431" s="34"/>
      <c r="C2431" s="18"/>
      <c r="D2431" s="18"/>
      <c r="E2431" s="18"/>
      <c r="F2431" s="18"/>
      <c r="G2431" s="35"/>
      <c r="H2431" s="33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  <c r="AA2431" s="18"/>
      <c r="AB2431" s="18"/>
    </row>
    <row r="2432">
      <c r="A2432" s="31"/>
      <c r="B2432" s="34"/>
      <c r="C2432" s="18"/>
      <c r="D2432" s="18"/>
      <c r="E2432" s="18"/>
      <c r="F2432" s="18"/>
      <c r="G2432" s="35"/>
      <c r="H2432" s="33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18"/>
      <c r="AA2432" s="18"/>
      <c r="AB2432" s="18"/>
    </row>
    <row r="2433">
      <c r="A2433" s="31"/>
      <c r="B2433" s="34"/>
      <c r="C2433" s="18"/>
      <c r="D2433" s="18"/>
      <c r="E2433" s="18"/>
      <c r="F2433" s="18"/>
      <c r="G2433" s="35"/>
      <c r="H2433" s="33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  <c r="AB2433" s="18"/>
    </row>
    <row r="2434">
      <c r="A2434" s="31"/>
      <c r="B2434" s="34"/>
      <c r="C2434" s="18"/>
      <c r="D2434" s="18"/>
      <c r="E2434" s="18"/>
      <c r="F2434" s="18"/>
      <c r="G2434" s="35"/>
      <c r="H2434" s="33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  <c r="AB2434" s="18"/>
    </row>
    <row r="2435">
      <c r="A2435" s="31"/>
      <c r="B2435" s="34"/>
      <c r="C2435" s="18"/>
      <c r="D2435" s="18"/>
      <c r="E2435" s="18"/>
      <c r="F2435" s="18"/>
      <c r="G2435" s="35"/>
      <c r="H2435" s="33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  <c r="AA2435" s="18"/>
      <c r="AB2435" s="18"/>
    </row>
    <row r="2436">
      <c r="A2436" s="31"/>
      <c r="B2436" s="34"/>
      <c r="C2436" s="18"/>
      <c r="D2436" s="18"/>
      <c r="E2436" s="18"/>
      <c r="F2436" s="18"/>
      <c r="G2436" s="35"/>
      <c r="H2436" s="33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  <c r="AB2436" s="18"/>
    </row>
    <row r="2437">
      <c r="A2437" s="31"/>
      <c r="B2437" s="34"/>
      <c r="C2437" s="18"/>
      <c r="D2437" s="18"/>
      <c r="E2437" s="18"/>
      <c r="F2437" s="18"/>
      <c r="G2437" s="35"/>
      <c r="H2437" s="33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  <c r="Z2437" s="18"/>
      <c r="AA2437" s="18"/>
      <c r="AB2437" s="18"/>
    </row>
    <row r="2438">
      <c r="A2438" s="31"/>
      <c r="B2438" s="34"/>
      <c r="C2438" s="18"/>
      <c r="D2438" s="18"/>
      <c r="E2438" s="18"/>
      <c r="F2438" s="18"/>
      <c r="G2438" s="35"/>
      <c r="H2438" s="33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  <c r="AA2438" s="18"/>
      <c r="AB2438" s="18"/>
    </row>
    <row r="2439">
      <c r="A2439" s="31"/>
      <c r="B2439" s="34"/>
      <c r="C2439" s="18"/>
      <c r="D2439" s="18"/>
      <c r="E2439" s="18"/>
      <c r="F2439" s="18"/>
      <c r="G2439" s="35"/>
      <c r="H2439" s="33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  <c r="AB2439" s="18"/>
    </row>
    <row r="2440">
      <c r="A2440" s="31"/>
      <c r="B2440" s="34"/>
      <c r="C2440" s="18"/>
      <c r="D2440" s="18"/>
      <c r="E2440" s="18"/>
      <c r="F2440" s="18"/>
      <c r="G2440" s="35"/>
      <c r="H2440" s="33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  <c r="AA2440" s="18"/>
      <c r="AB2440" s="18"/>
    </row>
    <row r="2441">
      <c r="A2441" s="31"/>
      <c r="B2441" s="34"/>
      <c r="C2441" s="18"/>
      <c r="D2441" s="18"/>
      <c r="E2441" s="18"/>
      <c r="F2441" s="18"/>
      <c r="G2441" s="35"/>
      <c r="H2441" s="33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</row>
    <row r="2442">
      <c r="A2442" s="31"/>
      <c r="B2442" s="34"/>
      <c r="C2442" s="18"/>
      <c r="D2442" s="18"/>
      <c r="E2442" s="18"/>
      <c r="F2442" s="18"/>
      <c r="G2442" s="35"/>
      <c r="H2442" s="33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  <c r="AB2442" s="18"/>
    </row>
    <row r="2443">
      <c r="A2443" s="31"/>
      <c r="B2443" s="34"/>
      <c r="C2443" s="18"/>
      <c r="D2443" s="18"/>
      <c r="E2443" s="18"/>
      <c r="F2443" s="18"/>
      <c r="G2443" s="35"/>
      <c r="H2443" s="33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  <c r="AB2443" s="18"/>
    </row>
    <row r="2444">
      <c r="A2444" s="31"/>
      <c r="B2444" s="34"/>
      <c r="C2444" s="18"/>
      <c r="D2444" s="18"/>
      <c r="E2444" s="18"/>
      <c r="F2444" s="18"/>
      <c r="G2444" s="35"/>
      <c r="H2444" s="33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Y2444" s="18"/>
      <c r="Z2444" s="18"/>
      <c r="AA2444" s="18"/>
      <c r="AB2444" s="18"/>
    </row>
    <row r="2445">
      <c r="A2445" s="31"/>
      <c r="B2445" s="34"/>
      <c r="C2445" s="18"/>
      <c r="D2445" s="18"/>
      <c r="E2445" s="18"/>
      <c r="F2445" s="18"/>
      <c r="G2445" s="35"/>
      <c r="H2445" s="33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  <c r="AB2445" s="18"/>
    </row>
    <row r="2446">
      <c r="A2446" s="31"/>
      <c r="B2446" s="34"/>
      <c r="C2446" s="18"/>
      <c r="D2446" s="18"/>
      <c r="E2446" s="18"/>
      <c r="F2446" s="18"/>
      <c r="G2446" s="35"/>
      <c r="H2446" s="33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  <c r="Z2446" s="18"/>
      <c r="AA2446" s="18"/>
      <c r="AB2446" s="18"/>
    </row>
    <row r="2447">
      <c r="A2447" s="31"/>
      <c r="B2447" s="34"/>
      <c r="C2447" s="18"/>
      <c r="D2447" s="18"/>
      <c r="E2447" s="18"/>
      <c r="F2447" s="18"/>
      <c r="G2447" s="35"/>
      <c r="H2447" s="33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  <c r="Z2447" s="18"/>
      <c r="AA2447" s="18"/>
      <c r="AB2447" s="18"/>
    </row>
    <row r="2448">
      <c r="A2448" s="31"/>
      <c r="B2448" s="34"/>
      <c r="C2448" s="18"/>
      <c r="D2448" s="18"/>
      <c r="E2448" s="18"/>
      <c r="F2448" s="18"/>
      <c r="G2448" s="35"/>
      <c r="H2448" s="33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  <c r="AA2448" s="18"/>
      <c r="AB2448" s="18"/>
    </row>
    <row r="2449">
      <c r="A2449" s="31"/>
      <c r="B2449" s="34"/>
      <c r="C2449" s="18"/>
      <c r="D2449" s="18"/>
      <c r="E2449" s="18"/>
      <c r="F2449" s="18"/>
      <c r="G2449" s="35"/>
      <c r="H2449" s="33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  <c r="AB2449" s="18"/>
    </row>
    <row r="2450">
      <c r="A2450" s="31"/>
      <c r="B2450" s="34"/>
      <c r="C2450" s="18"/>
      <c r="D2450" s="18"/>
      <c r="E2450" s="18"/>
      <c r="F2450" s="18"/>
      <c r="G2450" s="35"/>
      <c r="H2450" s="33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  <c r="AA2450" s="18"/>
      <c r="AB2450" s="18"/>
    </row>
    <row r="2451">
      <c r="A2451" s="31"/>
      <c r="B2451" s="34"/>
      <c r="C2451" s="18"/>
      <c r="D2451" s="18"/>
      <c r="E2451" s="18"/>
      <c r="F2451" s="18"/>
      <c r="G2451" s="35"/>
      <c r="H2451" s="33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  <c r="AB2451" s="18"/>
    </row>
    <row r="2452">
      <c r="A2452" s="31"/>
      <c r="B2452" s="34"/>
      <c r="C2452" s="18"/>
      <c r="D2452" s="18"/>
      <c r="E2452" s="18"/>
      <c r="F2452" s="18"/>
      <c r="G2452" s="35"/>
      <c r="H2452" s="33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  <c r="AB2452" s="18"/>
    </row>
    <row r="2453">
      <c r="A2453" s="31"/>
      <c r="B2453" s="34"/>
      <c r="C2453" s="18"/>
      <c r="D2453" s="18"/>
      <c r="E2453" s="18"/>
      <c r="F2453" s="18"/>
      <c r="G2453" s="35"/>
      <c r="H2453" s="33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  <c r="AB2453" s="18"/>
    </row>
    <row r="2454">
      <c r="A2454" s="31"/>
      <c r="B2454" s="34"/>
      <c r="C2454" s="18"/>
      <c r="D2454" s="18"/>
      <c r="E2454" s="18"/>
      <c r="F2454" s="18"/>
      <c r="G2454" s="35"/>
      <c r="H2454" s="33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  <c r="AB2454" s="18"/>
    </row>
    <row r="2455">
      <c r="A2455" s="31"/>
      <c r="B2455" s="34"/>
      <c r="C2455" s="18"/>
      <c r="D2455" s="18"/>
      <c r="E2455" s="18"/>
      <c r="F2455" s="18"/>
      <c r="G2455" s="35"/>
      <c r="H2455" s="33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  <c r="AB2455" s="18"/>
    </row>
    <row r="2456">
      <c r="A2456" s="31"/>
      <c r="B2456" s="34"/>
      <c r="C2456" s="18"/>
      <c r="D2456" s="18"/>
      <c r="E2456" s="18"/>
      <c r="F2456" s="18"/>
      <c r="G2456" s="35"/>
      <c r="H2456" s="33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  <c r="AB2456" s="18"/>
    </row>
    <row r="2457">
      <c r="A2457" s="31"/>
      <c r="B2457" s="34"/>
      <c r="C2457" s="18"/>
      <c r="D2457" s="18"/>
      <c r="E2457" s="18"/>
      <c r="F2457" s="18"/>
      <c r="G2457" s="35"/>
      <c r="H2457" s="33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  <c r="AB2457" s="18"/>
    </row>
    <row r="2458">
      <c r="A2458" s="31"/>
      <c r="B2458" s="34"/>
      <c r="C2458" s="18"/>
      <c r="D2458" s="18"/>
      <c r="E2458" s="18"/>
      <c r="F2458" s="18"/>
      <c r="G2458" s="35"/>
      <c r="H2458" s="33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  <c r="AA2458" s="18"/>
      <c r="AB2458" s="18"/>
    </row>
    <row r="2459">
      <c r="A2459" s="31"/>
      <c r="B2459" s="34"/>
      <c r="C2459" s="18"/>
      <c r="D2459" s="18"/>
      <c r="E2459" s="18"/>
      <c r="F2459" s="18"/>
      <c r="G2459" s="35"/>
      <c r="H2459" s="33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  <c r="AB2459" s="18"/>
    </row>
    <row r="2460">
      <c r="A2460" s="31"/>
      <c r="B2460" s="34"/>
      <c r="C2460" s="18"/>
      <c r="D2460" s="18"/>
      <c r="E2460" s="18"/>
      <c r="F2460" s="18"/>
      <c r="G2460" s="35"/>
      <c r="H2460" s="33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  <c r="AB2460" s="18"/>
    </row>
    <row r="2461">
      <c r="A2461" s="31"/>
      <c r="B2461" s="34"/>
      <c r="C2461" s="18"/>
      <c r="D2461" s="18"/>
      <c r="E2461" s="18"/>
      <c r="F2461" s="18"/>
      <c r="G2461" s="35"/>
      <c r="H2461" s="33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  <c r="AB2461" s="18"/>
    </row>
    <row r="2462">
      <c r="A2462" s="31"/>
      <c r="B2462" s="34"/>
      <c r="C2462" s="18"/>
      <c r="D2462" s="18"/>
      <c r="E2462" s="18"/>
      <c r="F2462" s="18"/>
      <c r="G2462" s="35"/>
      <c r="H2462" s="33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  <c r="AA2462" s="18"/>
      <c r="AB2462" s="18"/>
    </row>
    <row r="2463">
      <c r="A2463" s="31"/>
      <c r="B2463" s="34"/>
      <c r="C2463" s="18"/>
      <c r="D2463" s="18"/>
      <c r="E2463" s="18"/>
      <c r="F2463" s="18"/>
      <c r="G2463" s="35"/>
      <c r="H2463" s="33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  <c r="AB2463" s="18"/>
    </row>
    <row r="2464">
      <c r="A2464" s="31"/>
      <c r="B2464" s="34"/>
      <c r="C2464" s="18"/>
      <c r="D2464" s="18"/>
      <c r="E2464" s="18"/>
      <c r="F2464" s="18"/>
      <c r="G2464" s="35"/>
      <c r="H2464" s="33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  <c r="AA2464" s="18"/>
      <c r="AB2464" s="18"/>
    </row>
    <row r="2465">
      <c r="A2465" s="31"/>
      <c r="B2465" s="34"/>
      <c r="C2465" s="18"/>
      <c r="D2465" s="18"/>
      <c r="E2465" s="18"/>
      <c r="F2465" s="18"/>
      <c r="G2465" s="35"/>
      <c r="H2465" s="33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  <c r="AB2465" s="18"/>
    </row>
    <row r="2466">
      <c r="A2466" s="31"/>
      <c r="B2466" s="34"/>
      <c r="C2466" s="18"/>
      <c r="D2466" s="18"/>
      <c r="E2466" s="18"/>
      <c r="F2466" s="18"/>
      <c r="G2466" s="35"/>
      <c r="H2466" s="33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  <c r="AB2466" s="18"/>
    </row>
    <row r="2467">
      <c r="A2467" s="31"/>
      <c r="B2467" s="34"/>
      <c r="C2467" s="18"/>
      <c r="D2467" s="18"/>
      <c r="E2467" s="18"/>
      <c r="F2467" s="18"/>
      <c r="G2467" s="35"/>
      <c r="H2467" s="33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  <c r="Z2467" s="18"/>
      <c r="AA2467" s="18"/>
      <c r="AB2467" s="18"/>
    </row>
    <row r="2468">
      <c r="A2468" s="31"/>
      <c r="B2468" s="34"/>
      <c r="C2468" s="18"/>
      <c r="D2468" s="18"/>
      <c r="E2468" s="18"/>
      <c r="F2468" s="18"/>
      <c r="G2468" s="35"/>
      <c r="H2468" s="33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  <c r="AB2468" s="18"/>
    </row>
    <row r="2469">
      <c r="A2469" s="31"/>
      <c r="B2469" s="34"/>
      <c r="C2469" s="18"/>
      <c r="D2469" s="18"/>
      <c r="E2469" s="18"/>
      <c r="F2469" s="18"/>
      <c r="G2469" s="35"/>
      <c r="H2469" s="33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  <c r="Z2469" s="18"/>
      <c r="AA2469" s="18"/>
      <c r="AB2469" s="18"/>
    </row>
    <row r="2470">
      <c r="A2470" s="31"/>
      <c r="B2470" s="34"/>
      <c r="C2470" s="18"/>
      <c r="D2470" s="18"/>
      <c r="E2470" s="18"/>
      <c r="F2470" s="18"/>
      <c r="G2470" s="35"/>
      <c r="H2470" s="33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  <c r="AA2470" s="18"/>
      <c r="AB2470" s="18"/>
    </row>
    <row r="2471">
      <c r="A2471" s="31"/>
      <c r="B2471" s="34"/>
      <c r="C2471" s="18"/>
      <c r="D2471" s="18"/>
      <c r="E2471" s="18"/>
      <c r="F2471" s="18"/>
      <c r="G2471" s="35"/>
      <c r="H2471" s="33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  <c r="AB2471" s="18"/>
    </row>
    <row r="2472">
      <c r="A2472" s="31"/>
      <c r="B2472" s="34"/>
      <c r="C2472" s="18"/>
      <c r="D2472" s="18"/>
      <c r="E2472" s="18"/>
      <c r="F2472" s="18"/>
      <c r="G2472" s="35"/>
      <c r="H2472" s="33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  <c r="AB2472" s="18"/>
    </row>
    <row r="2473">
      <c r="A2473" s="31"/>
      <c r="B2473" s="34"/>
      <c r="C2473" s="18"/>
      <c r="D2473" s="18"/>
      <c r="E2473" s="18"/>
      <c r="F2473" s="18"/>
      <c r="G2473" s="35"/>
      <c r="H2473" s="33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  <c r="Z2473" s="18"/>
      <c r="AA2473" s="18"/>
      <c r="AB2473" s="18"/>
    </row>
    <row r="2474">
      <c r="A2474" s="31"/>
      <c r="B2474" s="34"/>
      <c r="C2474" s="18"/>
      <c r="D2474" s="18"/>
      <c r="E2474" s="18"/>
      <c r="F2474" s="18"/>
      <c r="G2474" s="35"/>
      <c r="H2474" s="33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  <c r="AB2474" s="18"/>
    </row>
    <row r="2475">
      <c r="A2475" s="31"/>
      <c r="B2475" s="34"/>
      <c r="C2475" s="18"/>
      <c r="D2475" s="18"/>
      <c r="E2475" s="18"/>
      <c r="F2475" s="18"/>
      <c r="G2475" s="35"/>
      <c r="H2475" s="33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  <c r="Z2475" s="18"/>
      <c r="AA2475" s="18"/>
      <c r="AB2475" s="18"/>
    </row>
    <row r="2476">
      <c r="A2476" s="31"/>
      <c r="B2476" s="34"/>
      <c r="C2476" s="18"/>
      <c r="D2476" s="18"/>
      <c r="E2476" s="18"/>
      <c r="F2476" s="18"/>
      <c r="G2476" s="35"/>
      <c r="H2476" s="33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  <c r="Z2476" s="18"/>
      <c r="AA2476" s="18"/>
      <c r="AB2476" s="18"/>
    </row>
    <row r="2477">
      <c r="A2477" s="31"/>
      <c r="B2477" s="34"/>
      <c r="C2477" s="18"/>
      <c r="D2477" s="18"/>
      <c r="E2477" s="18"/>
      <c r="F2477" s="18"/>
      <c r="G2477" s="35"/>
      <c r="H2477" s="33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  <c r="AA2477" s="18"/>
      <c r="AB2477" s="18"/>
    </row>
    <row r="2478">
      <c r="A2478" s="31"/>
      <c r="B2478" s="34"/>
      <c r="C2478" s="18"/>
      <c r="D2478" s="18"/>
      <c r="E2478" s="18"/>
      <c r="F2478" s="18"/>
      <c r="G2478" s="35"/>
      <c r="H2478" s="33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  <c r="AB2478" s="18"/>
    </row>
    <row r="2479">
      <c r="A2479" s="31"/>
      <c r="B2479" s="34"/>
      <c r="C2479" s="18"/>
      <c r="D2479" s="18"/>
      <c r="E2479" s="18"/>
      <c r="F2479" s="18"/>
      <c r="G2479" s="35"/>
      <c r="H2479" s="33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  <c r="AB2479" s="18"/>
    </row>
    <row r="2480">
      <c r="A2480" s="31"/>
      <c r="B2480" s="34"/>
      <c r="C2480" s="18"/>
      <c r="D2480" s="18"/>
      <c r="E2480" s="18"/>
      <c r="F2480" s="18"/>
      <c r="G2480" s="35"/>
      <c r="H2480" s="33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  <c r="AB2480" s="18"/>
    </row>
    <row r="2481">
      <c r="A2481" s="31"/>
      <c r="B2481" s="34"/>
      <c r="C2481" s="18"/>
      <c r="D2481" s="18"/>
      <c r="E2481" s="18"/>
      <c r="F2481" s="18"/>
      <c r="G2481" s="35"/>
      <c r="H2481" s="33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  <c r="AB2481" s="18"/>
    </row>
    <row r="2482">
      <c r="A2482" s="31"/>
      <c r="B2482" s="34"/>
      <c r="C2482" s="18"/>
      <c r="D2482" s="18"/>
      <c r="E2482" s="18"/>
      <c r="F2482" s="18"/>
      <c r="G2482" s="35"/>
      <c r="H2482" s="33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  <c r="AB2482" s="18"/>
    </row>
    <row r="2483">
      <c r="A2483" s="31"/>
      <c r="B2483" s="34"/>
      <c r="C2483" s="18"/>
      <c r="D2483" s="18"/>
      <c r="E2483" s="18"/>
      <c r="F2483" s="18"/>
      <c r="G2483" s="35"/>
      <c r="H2483" s="33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  <c r="Z2483" s="18"/>
      <c r="AA2483" s="18"/>
      <c r="AB2483" s="18"/>
    </row>
    <row r="2484">
      <c r="A2484" s="31"/>
      <c r="B2484" s="34"/>
      <c r="C2484" s="18"/>
      <c r="D2484" s="18"/>
      <c r="E2484" s="18"/>
      <c r="F2484" s="18"/>
      <c r="G2484" s="35"/>
      <c r="H2484" s="33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  <c r="AB2484" s="18"/>
    </row>
    <row r="2485">
      <c r="A2485" s="31"/>
      <c r="B2485" s="34"/>
      <c r="C2485" s="18"/>
      <c r="D2485" s="18"/>
      <c r="E2485" s="18"/>
      <c r="F2485" s="18"/>
      <c r="G2485" s="35"/>
      <c r="H2485" s="33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  <c r="AB2485" s="18"/>
    </row>
    <row r="2486">
      <c r="A2486" s="31"/>
      <c r="B2486" s="34"/>
      <c r="C2486" s="18"/>
      <c r="D2486" s="18"/>
      <c r="E2486" s="18"/>
      <c r="F2486" s="18"/>
      <c r="G2486" s="35"/>
      <c r="H2486" s="33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  <c r="AB2486" s="18"/>
    </row>
    <row r="2487">
      <c r="A2487" s="31"/>
      <c r="B2487" s="34"/>
      <c r="C2487" s="18"/>
      <c r="D2487" s="18"/>
      <c r="E2487" s="18"/>
      <c r="F2487" s="18"/>
      <c r="G2487" s="35"/>
      <c r="H2487" s="33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  <c r="AB2487" s="18"/>
    </row>
    <row r="2488">
      <c r="A2488" s="31"/>
      <c r="B2488" s="34"/>
      <c r="C2488" s="18"/>
      <c r="D2488" s="18"/>
      <c r="E2488" s="18"/>
      <c r="F2488" s="18"/>
      <c r="G2488" s="35"/>
      <c r="H2488" s="33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  <c r="AB2488" s="18"/>
    </row>
    <row r="2489">
      <c r="A2489" s="31"/>
      <c r="B2489" s="34"/>
      <c r="C2489" s="18"/>
      <c r="D2489" s="18"/>
      <c r="E2489" s="18"/>
      <c r="F2489" s="18"/>
      <c r="G2489" s="35"/>
      <c r="H2489" s="33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  <c r="AB2489" s="18"/>
    </row>
    <row r="2490">
      <c r="A2490" s="31"/>
      <c r="B2490" s="34"/>
      <c r="C2490" s="18"/>
      <c r="D2490" s="18"/>
      <c r="E2490" s="18"/>
      <c r="F2490" s="18"/>
      <c r="G2490" s="35"/>
      <c r="H2490" s="33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</row>
    <row r="2491">
      <c r="A2491" s="31"/>
      <c r="B2491" s="34"/>
      <c r="C2491" s="18"/>
      <c r="D2491" s="18"/>
      <c r="E2491" s="18"/>
      <c r="F2491" s="18"/>
      <c r="G2491" s="35"/>
      <c r="H2491" s="33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  <c r="AB2491" s="18"/>
    </row>
    <row r="2492">
      <c r="A2492" s="31"/>
      <c r="B2492" s="34"/>
      <c r="C2492" s="18"/>
      <c r="D2492" s="18"/>
      <c r="E2492" s="18"/>
      <c r="F2492" s="18"/>
      <c r="G2492" s="35"/>
      <c r="H2492" s="33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  <c r="AB2492" s="18"/>
    </row>
    <row r="2493">
      <c r="A2493" s="31"/>
      <c r="B2493" s="34"/>
      <c r="C2493" s="18"/>
      <c r="D2493" s="18"/>
      <c r="E2493" s="18"/>
      <c r="F2493" s="18"/>
      <c r="G2493" s="35"/>
      <c r="H2493" s="33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  <c r="AB2493" s="18"/>
    </row>
    <row r="2494">
      <c r="A2494" s="31"/>
      <c r="B2494" s="34"/>
      <c r="C2494" s="18"/>
      <c r="D2494" s="18"/>
      <c r="E2494" s="18"/>
      <c r="F2494" s="18"/>
      <c r="G2494" s="35"/>
      <c r="H2494" s="33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  <c r="AB2494" s="18"/>
    </row>
    <row r="2495">
      <c r="A2495" s="31"/>
      <c r="B2495" s="34"/>
      <c r="C2495" s="18"/>
      <c r="D2495" s="18"/>
      <c r="E2495" s="18"/>
      <c r="F2495" s="18"/>
      <c r="G2495" s="35"/>
      <c r="H2495" s="33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  <c r="AB2495" s="18"/>
    </row>
    <row r="2496">
      <c r="A2496" s="31"/>
      <c r="B2496" s="34"/>
      <c r="C2496" s="18"/>
      <c r="D2496" s="18"/>
      <c r="E2496" s="18"/>
      <c r="F2496" s="18"/>
      <c r="G2496" s="35"/>
      <c r="H2496" s="33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</row>
    <row r="2497">
      <c r="A2497" s="31"/>
      <c r="B2497" s="34"/>
      <c r="C2497" s="18"/>
      <c r="D2497" s="18"/>
      <c r="E2497" s="18"/>
      <c r="F2497" s="18"/>
      <c r="G2497" s="35"/>
      <c r="H2497" s="33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  <c r="AB2497" s="18"/>
    </row>
    <row r="2498">
      <c r="A2498" s="31"/>
      <c r="B2498" s="34"/>
      <c r="C2498" s="18"/>
      <c r="D2498" s="18"/>
      <c r="E2498" s="18"/>
      <c r="F2498" s="18"/>
      <c r="G2498" s="35"/>
      <c r="H2498" s="33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</row>
    <row r="2499">
      <c r="A2499" s="31"/>
      <c r="B2499" s="34"/>
      <c r="C2499" s="18"/>
      <c r="D2499" s="18"/>
      <c r="E2499" s="18"/>
      <c r="F2499" s="18"/>
      <c r="G2499" s="35"/>
      <c r="H2499" s="33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  <c r="AB2499" s="18"/>
    </row>
    <row r="2500">
      <c r="A2500" s="31"/>
      <c r="B2500" s="34"/>
      <c r="C2500" s="18"/>
      <c r="D2500" s="18"/>
      <c r="E2500" s="18"/>
      <c r="F2500" s="18"/>
      <c r="G2500" s="35"/>
      <c r="H2500" s="33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  <c r="AB2500" s="18"/>
    </row>
    <row r="2501">
      <c r="A2501" s="31"/>
      <c r="B2501" s="34"/>
      <c r="C2501" s="18"/>
      <c r="D2501" s="18"/>
      <c r="E2501" s="18"/>
      <c r="F2501" s="18"/>
      <c r="G2501" s="35"/>
      <c r="H2501" s="33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  <c r="AB2501" s="18"/>
    </row>
    <row r="2502">
      <c r="A2502" s="31"/>
      <c r="B2502" s="34"/>
      <c r="C2502" s="18"/>
      <c r="D2502" s="18"/>
      <c r="E2502" s="18"/>
      <c r="F2502" s="18"/>
      <c r="G2502" s="35"/>
      <c r="H2502" s="33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</row>
    <row r="2503">
      <c r="A2503" s="31"/>
      <c r="B2503" s="34"/>
      <c r="C2503" s="18"/>
      <c r="D2503" s="18"/>
      <c r="E2503" s="18"/>
      <c r="F2503" s="18"/>
      <c r="G2503" s="35"/>
      <c r="H2503" s="33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  <c r="AB2503" s="18"/>
    </row>
    <row r="2504">
      <c r="A2504" s="31"/>
      <c r="B2504" s="34"/>
      <c r="C2504" s="18"/>
      <c r="D2504" s="18"/>
      <c r="E2504" s="18"/>
      <c r="F2504" s="18"/>
      <c r="G2504" s="35"/>
      <c r="H2504" s="33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  <c r="AB2504" s="18"/>
    </row>
    <row r="2505">
      <c r="A2505" s="31"/>
      <c r="B2505" s="34"/>
      <c r="C2505" s="18"/>
      <c r="D2505" s="18"/>
      <c r="E2505" s="18"/>
      <c r="F2505" s="18"/>
      <c r="G2505" s="35"/>
      <c r="H2505" s="33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  <c r="AB2505" s="18"/>
    </row>
    <row r="2506">
      <c r="A2506" s="31"/>
      <c r="B2506" s="34"/>
      <c r="C2506" s="18"/>
      <c r="D2506" s="18"/>
      <c r="E2506" s="18"/>
      <c r="F2506" s="18"/>
      <c r="G2506" s="35"/>
      <c r="H2506" s="33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  <c r="AB2506" s="18"/>
    </row>
    <row r="2507">
      <c r="A2507" s="31"/>
      <c r="B2507" s="34"/>
      <c r="C2507" s="18"/>
      <c r="D2507" s="18"/>
      <c r="E2507" s="18"/>
      <c r="F2507" s="18"/>
      <c r="G2507" s="35"/>
      <c r="H2507" s="33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  <c r="AB2507" s="18"/>
    </row>
    <row r="2508">
      <c r="A2508" s="31"/>
      <c r="B2508" s="34"/>
      <c r="C2508" s="18"/>
      <c r="D2508" s="18"/>
      <c r="E2508" s="18"/>
      <c r="F2508" s="18"/>
      <c r="G2508" s="35"/>
      <c r="H2508" s="33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  <c r="AB2508" s="18"/>
    </row>
    <row r="2509">
      <c r="A2509" s="31"/>
      <c r="B2509" s="34"/>
      <c r="C2509" s="18"/>
      <c r="D2509" s="18"/>
      <c r="E2509" s="18"/>
      <c r="F2509" s="18"/>
      <c r="G2509" s="35"/>
      <c r="H2509" s="33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  <c r="Z2509" s="18"/>
      <c r="AA2509" s="18"/>
      <c r="AB2509" s="18"/>
    </row>
    <row r="2510">
      <c r="A2510" s="31"/>
      <c r="B2510" s="34"/>
      <c r="C2510" s="18"/>
      <c r="D2510" s="18"/>
      <c r="E2510" s="18"/>
      <c r="F2510" s="18"/>
      <c r="G2510" s="35"/>
      <c r="H2510" s="33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  <c r="AA2510" s="18"/>
      <c r="AB2510" s="18"/>
    </row>
    <row r="2511">
      <c r="A2511" s="31"/>
      <c r="B2511" s="34"/>
      <c r="C2511" s="18"/>
      <c r="D2511" s="18"/>
      <c r="E2511" s="18"/>
      <c r="F2511" s="18"/>
      <c r="G2511" s="35"/>
      <c r="H2511" s="33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Y2511" s="18"/>
      <c r="Z2511" s="18"/>
      <c r="AA2511" s="18"/>
      <c r="AB2511" s="18"/>
    </row>
    <row r="2512">
      <c r="A2512" s="31"/>
      <c r="B2512" s="34"/>
      <c r="C2512" s="18"/>
      <c r="D2512" s="18"/>
      <c r="E2512" s="18"/>
      <c r="F2512" s="18"/>
      <c r="G2512" s="35"/>
      <c r="H2512" s="33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  <c r="Z2512" s="18"/>
      <c r="AA2512" s="18"/>
      <c r="AB2512" s="18"/>
    </row>
    <row r="2513">
      <c r="A2513" s="31"/>
      <c r="B2513" s="34"/>
      <c r="C2513" s="18"/>
      <c r="D2513" s="18"/>
      <c r="E2513" s="18"/>
      <c r="F2513" s="18"/>
      <c r="G2513" s="35"/>
      <c r="H2513" s="33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  <c r="Z2513" s="18"/>
      <c r="AA2513" s="18"/>
      <c r="AB2513" s="18"/>
    </row>
    <row r="2514">
      <c r="A2514" s="31"/>
      <c r="B2514" s="34"/>
      <c r="C2514" s="18"/>
      <c r="D2514" s="18"/>
      <c r="E2514" s="18"/>
      <c r="F2514" s="18"/>
      <c r="G2514" s="35"/>
      <c r="H2514" s="33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  <c r="AA2514" s="18"/>
      <c r="AB2514" s="18"/>
    </row>
    <row r="2515">
      <c r="A2515" s="31"/>
      <c r="B2515" s="34"/>
      <c r="C2515" s="18"/>
      <c r="D2515" s="18"/>
      <c r="E2515" s="18"/>
      <c r="F2515" s="18"/>
      <c r="G2515" s="35"/>
      <c r="H2515" s="33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  <c r="AA2515" s="18"/>
      <c r="AB2515" s="18"/>
    </row>
    <row r="2516">
      <c r="A2516" s="31"/>
      <c r="B2516" s="34"/>
      <c r="C2516" s="18"/>
      <c r="D2516" s="18"/>
      <c r="E2516" s="18"/>
      <c r="F2516" s="18"/>
      <c r="G2516" s="35"/>
      <c r="H2516" s="33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  <c r="Z2516" s="18"/>
      <c r="AA2516" s="18"/>
      <c r="AB2516" s="18"/>
    </row>
    <row r="2517">
      <c r="A2517" s="31"/>
      <c r="B2517" s="34"/>
      <c r="C2517" s="18"/>
      <c r="D2517" s="18"/>
      <c r="E2517" s="18"/>
      <c r="F2517" s="18"/>
      <c r="G2517" s="35"/>
      <c r="H2517" s="33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  <c r="AA2517" s="18"/>
      <c r="AB2517" s="18"/>
    </row>
    <row r="2518">
      <c r="A2518" s="31"/>
      <c r="B2518" s="34"/>
      <c r="C2518" s="18"/>
      <c r="D2518" s="18"/>
      <c r="E2518" s="18"/>
      <c r="F2518" s="18"/>
      <c r="G2518" s="35"/>
      <c r="H2518" s="33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Y2518" s="18"/>
      <c r="Z2518" s="18"/>
      <c r="AA2518" s="18"/>
      <c r="AB2518" s="18"/>
    </row>
    <row r="2519">
      <c r="A2519" s="31"/>
      <c r="B2519" s="34"/>
      <c r="C2519" s="18"/>
      <c r="D2519" s="18"/>
      <c r="E2519" s="18"/>
      <c r="F2519" s="18"/>
      <c r="G2519" s="35"/>
      <c r="H2519" s="33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  <c r="AA2519" s="18"/>
      <c r="AB2519" s="18"/>
    </row>
    <row r="2520">
      <c r="A2520" s="31"/>
      <c r="B2520" s="34"/>
      <c r="C2520" s="18"/>
      <c r="D2520" s="18"/>
      <c r="E2520" s="18"/>
      <c r="F2520" s="18"/>
      <c r="G2520" s="35"/>
      <c r="H2520" s="33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  <c r="AA2520" s="18"/>
      <c r="AB2520" s="18"/>
    </row>
    <row r="2521">
      <c r="A2521" s="31"/>
      <c r="B2521" s="34"/>
      <c r="C2521" s="18"/>
      <c r="D2521" s="18"/>
      <c r="E2521" s="18"/>
      <c r="F2521" s="18"/>
      <c r="G2521" s="35"/>
      <c r="H2521" s="33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  <c r="AB2521" s="18"/>
    </row>
    <row r="2522">
      <c r="A2522" s="31"/>
      <c r="B2522" s="34"/>
      <c r="C2522" s="18"/>
      <c r="D2522" s="18"/>
      <c r="E2522" s="18"/>
      <c r="F2522" s="18"/>
      <c r="G2522" s="35"/>
      <c r="H2522" s="33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  <c r="AB2522" s="18"/>
    </row>
    <row r="2523">
      <c r="A2523" s="31"/>
      <c r="B2523" s="34"/>
      <c r="C2523" s="18"/>
      <c r="D2523" s="18"/>
      <c r="E2523" s="18"/>
      <c r="F2523" s="18"/>
      <c r="G2523" s="35"/>
      <c r="H2523" s="33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  <c r="AA2523" s="18"/>
      <c r="AB2523" s="18"/>
    </row>
    <row r="2524">
      <c r="A2524" s="31"/>
      <c r="B2524" s="34"/>
      <c r="C2524" s="18"/>
      <c r="D2524" s="18"/>
      <c r="E2524" s="18"/>
      <c r="F2524" s="18"/>
      <c r="G2524" s="35"/>
      <c r="H2524" s="33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  <c r="AA2524" s="18"/>
      <c r="AB2524" s="18"/>
    </row>
    <row r="2525">
      <c r="A2525" s="31"/>
      <c r="B2525" s="34"/>
      <c r="C2525" s="18"/>
      <c r="D2525" s="18"/>
      <c r="E2525" s="18"/>
      <c r="F2525" s="18"/>
      <c r="G2525" s="35"/>
      <c r="H2525" s="33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  <c r="Z2525" s="18"/>
      <c r="AA2525" s="18"/>
      <c r="AB2525" s="18"/>
    </row>
    <row r="2526">
      <c r="A2526" s="31"/>
      <c r="B2526" s="34"/>
      <c r="C2526" s="18"/>
      <c r="D2526" s="18"/>
      <c r="E2526" s="18"/>
      <c r="F2526" s="18"/>
      <c r="G2526" s="35"/>
      <c r="H2526" s="33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  <c r="AA2526" s="18"/>
      <c r="AB2526" s="18"/>
    </row>
    <row r="2527">
      <c r="A2527" s="31"/>
      <c r="B2527" s="34"/>
      <c r="C2527" s="18"/>
      <c r="D2527" s="18"/>
      <c r="E2527" s="18"/>
      <c r="F2527" s="18"/>
      <c r="G2527" s="35"/>
      <c r="H2527" s="33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  <c r="Z2527" s="18"/>
      <c r="AA2527" s="18"/>
      <c r="AB2527" s="18"/>
    </row>
    <row r="2528">
      <c r="A2528" s="31"/>
      <c r="B2528" s="34"/>
      <c r="C2528" s="18"/>
      <c r="D2528" s="18"/>
      <c r="E2528" s="18"/>
      <c r="F2528" s="18"/>
      <c r="G2528" s="35"/>
      <c r="H2528" s="33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  <c r="AA2528" s="18"/>
      <c r="AB2528" s="18"/>
    </row>
    <row r="2529">
      <c r="A2529" s="31"/>
      <c r="B2529" s="34"/>
      <c r="C2529" s="18"/>
      <c r="D2529" s="18"/>
      <c r="E2529" s="18"/>
      <c r="F2529" s="18"/>
      <c r="G2529" s="35"/>
      <c r="H2529" s="33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Y2529" s="18"/>
      <c r="Z2529" s="18"/>
      <c r="AA2529" s="18"/>
      <c r="AB2529" s="18"/>
    </row>
    <row r="2530">
      <c r="A2530" s="31"/>
      <c r="B2530" s="34"/>
      <c r="C2530" s="18"/>
      <c r="D2530" s="18"/>
      <c r="E2530" s="18"/>
      <c r="F2530" s="18"/>
      <c r="G2530" s="35"/>
      <c r="H2530" s="33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  <c r="AA2530" s="18"/>
      <c r="AB2530" s="18"/>
    </row>
    <row r="2531">
      <c r="A2531" s="31"/>
      <c r="B2531" s="34"/>
      <c r="C2531" s="18"/>
      <c r="D2531" s="18"/>
      <c r="E2531" s="18"/>
      <c r="F2531" s="18"/>
      <c r="G2531" s="35"/>
      <c r="H2531" s="33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  <c r="Z2531" s="18"/>
      <c r="AA2531" s="18"/>
      <c r="AB2531" s="18"/>
    </row>
    <row r="2532">
      <c r="A2532" s="31"/>
      <c r="B2532" s="34"/>
      <c r="C2532" s="18"/>
      <c r="D2532" s="18"/>
      <c r="E2532" s="18"/>
      <c r="F2532" s="18"/>
      <c r="G2532" s="35"/>
      <c r="H2532" s="33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  <c r="AA2532" s="18"/>
      <c r="AB2532" s="18"/>
    </row>
    <row r="2533">
      <c r="A2533" s="31"/>
      <c r="B2533" s="34"/>
      <c r="C2533" s="18"/>
      <c r="D2533" s="18"/>
      <c r="E2533" s="18"/>
      <c r="F2533" s="18"/>
      <c r="G2533" s="35"/>
      <c r="H2533" s="33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Y2533" s="18"/>
      <c r="Z2533" s="18"/>
      <c r="AA2533" s="18"/>
      <c r="AB2533" s="18"/>
    </row>
    <row r="2534">
      <c r="A2534" s="31"/>
      <c r="B2534" s="34"/>
      <c r="C2534" s="18"/>
      <c r="D2534" s="18"/>
      <c r="E2534" s="18"/>
      <c r="F2534" s="18"/>
      <c r="G2534" s="35"/>
      <c r="H2534" s="33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8"/>
      <c r="Y2534" s="18"/>
      <c r="Z2534" s="18"/>
      <c r="AA2534" s="18"/>
      <c r="AB2534" s="18"/>
    </row>
    <row r="2535">
      <c r="A2535" s="31"/>
      <c r="B2535" s="34"/>
      <c r="C2535" s="18"/>
      <c r="D2535" s="18"/>
      <c r="E2535" s="18"/>
      <c r="F2535" s="18"/>
      <c r="G2535" s="35"/>
      <c r="H2535" s="33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Y2535" s="18"/>
      <c r="Z2535" s="18"/>
      <c r="AA2535" s="18"/>
      <c r="AB2535" s="18"/>
    </row>
    <row r="2536">
      <c r="A2536" s="31"/>
      <c r="B2536" s="34"/>
      <c r="C2536" s="18"/>
      <c r="D2536" s="18"/>
      <c r="E2536" s="18"/>
      <c r="F2536" s="18"/>
      <c r="G2536" s="35"/>
      <c r="H2536" s="33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  <c r="Z2536" s="18"/>
      <c r="AA2536" s="18"/>
      <c r="AB2536" s="18"/>
    </row>
    <row r="2537">
      <c r="A2537" s="31"/>
      <c r="B2537" s="34"/>
      <c r="C2537" s="18"/>
      <c r="D2537" s="18"/>
      <c r="E2537" s="18"/>
      <c r="F2537" s="18"/>
      <c r="G2537" s="35"/>
      <c r="H2537" s="33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  <c r="Z2537" s="18"/>
      <c r="AA2537" s="18"/>
      <c r="AB2537" s="18"/>
    </row>
    <row r="2538">
      <c r="A2538" s="31"/>
      <c r="B2538" s="34"/>
      <c r="C2538" s="18"/>
      <c r="D2538" s="18"/>
      <c r="E2538" s="18"/>
      <c r="F2538" s="18"/>
      <c r="G2538" s="35"/>
      <c r="H2538" s="33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  <c r="AA2538" s="18"/>
      <c r="AB2538" s="18"/>
    </row>
    <row r="2539">
      <c r="A2539" s="31"/>
      <c r="B2539" s="34"/>
      <c r="C2539" s="18"/>
      <c r="D2539" s="18"/>
      <c r="E2539" s="18"/>
      <c r="F2539" s="18"/>
      <c r="G2539" s="35"/>
      <c r="H2539" s="33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  <c r="Z2539" s="18"/>
      <c r="AA2539" s="18"/>
      <c r="AB2539" s="18"/>
    </row>
    <row r="2540">
      <c r="A2540" s="31"/>
      <c r="B2540" s="34"/>
      <c r="C2540" s="18"/>
      <c r="D2540" s="18"/>
      <c r="E2540" s="18"/>
      <c r="F2540" s="18"/>
      <c r="G2540" s="35"/>
      <c r="H2540" s="33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  <c r="Z2540" s="18"/>
      <c r="AA2540" s="18"/>
      <c r="AB2540" s="18"/>
    </row>
    <row r="2541">
      <c r="A2541" s="31"/>
      <c r="B2541" s="34"/>
      <c r="C2541" s="18"/>
      <c r="D2541" s="18"/>
      <c r="E2541" s="18"/>
      <c r="F2541" s="18"/>
      <c r="G2541" s="35"/>
      <c r="H2541" s="33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Y2541" s="18"/>
      <c r="Z2541" s="18"/>
      <c r="AA2541" s="18"/>
      <c r="AB2541" s="18"/>
    </row>
    <row r="2542">
      <c r="A2542" s="31"/>
      <c r="B2542" s="34"/>
      <c r="C2542" s="18"/>
      <c r="D2542" s="18"/>
      <c r="E2542" s="18"/>
      <c r="F2542" s="18"/>
      <c r="G2542" s="35"/>
      <c r="H2542" s="33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  <c r="AA2542" s="18"/>
      <c r="AB2542" s="18"/>
    </row>
    <row r="2543">
      <c r="A2543" s="31"/>
      <c r="B2543" s="34"/>
      <c r="C2543" s="18"/>
      <c r="D2543" s="18"/>
      <c r="E2543" s="18"/>
      <c r="F2543" s="18"/>
      <c r="G2543" s="35"/>
      <c r="H2543" s="33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  <c r="Z2543" s="18"/>
      <c r="AA2543" s="18"/>
      <c r="AB2543" s="18"/>
    </row>
    <row r="2544">
      <c r="A2544" s="31"/>
      <c r="B2544" s="34"/>
      <c r="C2544" s="18"/>
      <c r="D2544" s="18"/>
      <c r="E2544" s="18"/>
      <c r="F2544" s="18"/>
      <c r="G2544" s="35"/>
      <c r="H2544" s="33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  <c r="AA2544" s="18"/>
      <c r="AB2544" s="18"/>
    </row>
    <row r="2545">
      <c r="A2545" s="31"/>
      <c r="B2545" s="34"/>
      <c r="C2545" s="18"/>
      <c r="D2545" s="18"/>
      <c r="E2545" s="18"/>
      <c r="F2545" s="18"/>
      <c r="G2545" s="35"/>
      <c r="H2545" s="33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  <c r="AA2545" s="18"/>
      <c r="AB2545" s="18"/>
    </row>
    <row r="2546">
      <c r="A2546" s="31"/>
      <c r="B2546" s="34"/>
      <c r="C2546" s="18"/>
      <c r="D2546" s="18"/>
      <c r="E2546" s="18"/>
      <c r="F2546" s="18"/>
      <c r="G2546" s="35"/>
      <c r="H2546" s="33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  <c r="AA2546" s="18"/>
      <c r="AB2546" s="18"/>
    </row>
    <row r="2547">
      <c r="A2547" s="31"/>
      <c r="B2547" s="34"/>
      <c r="C2547" s="18"/>
      <c r="D2547" s="18"/>
      <c r="E2547" s="18"/>
      <c r="F2547" s="18"/>
      <c r="G2547" s="35"/>
      <c r="H2547" s="33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  <c r="Z2547" s="18"/>
      <c r="AA2547" s="18"/>
      <c r="AB2547" s="18"/>
    </row>
    <row r="2548">
      <c r="A2548" s="31"/>
      <c r="B2548" s="34"/>
      <c r="C2548" s="18"/>
      <c r="D2548" s="18"/>
      <c r="E2548" s="18"/>
      <c r="F2548" s="18"/>
      <c r="G2548" s="35"/>
      <c r="H2548" s="33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  <c r="AA2548" s="18"/>
      <c r="AB2548" s="18"/>
    </row>
    <row r="2549">
      <c r="A2549" s="31"/>
      <c r="B2549" s="34"/>
      <c r="C2549" s="18"/>
      <c r="D2549" s="18"/>
      <c r="E2549" s="18"/>
      <c r="F2549" s="18"/>
      <c r="G2549" s="35"/>
      <c r="H2549" s="33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  <c r="Z2549" s="18"/>
      <c r="AA2549" s="18"/>
      <c r="AB2549" s="18"/>
    </row>
    <row r="2550">
      <c r="A2550" s="31"/>
      <c r="B2550" s="34"/>
      <c r="C2550" s="18"/>
      <c r="D2550" s="18"/>
      <c r="E2550" s="18"/>
      <c r="F2550" s="18"/>
      <c r="G2550" s="35"/>
      <c r="H2550" s="33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  <c r="AA2550" s="18"/>
      <c r="AB2550" s="18"/>
    </row>
    <row r="2551">
      <c r="A2551" s="31"/>
      <c r="B2551" s="34"/>
      <c r="C2551" s="18"/>
      <c r="D2551" s="18"/>
      <c r="E2551" s="18"/>
      <c r="F2551" s="18"/>
      <c r="G2551" s="35"/>
      <c r="H2551" s="33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</row>
    <row r="2552">
      <c r="A2552" s="31"/>
      <c r="B2552" s="34"/>
      <c r="C2552" s="18"/>
      <c r="D2552" s="18"/>
      <c r="E2552" s="18"/>
      <c r="F2552" s="18"/>
      <c r="G2552" s="35"/>
      <c r="H2552" s="33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  <c r="AA2552" s="18"/>
      <c r="AB2552" s="18"/>
    </row>
    <row r="2553">
      <c r="A2553" s="31"/>
      <c r="B2553" s="34"/>
      <c r="C2553" s="18"/>
      <c r="D2553" s="18"/>
      <c r="E2553" s="18"/>
      <c r="F2553" s="18"/>
      <c r="G2553" s="35"/>
      <c r="H2553" s="33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  <c r="Z2553" s="18"/>
      <c r="AA2553" s="18"/>
      <c r="AB2553" s="18"/>
    </row>
    <row r="2554">
      <c r="A2554" s="31"/>
      <c r="B2554" s="34"/>
      <c r="C2554" s="18"/>
      <c r="D2554" s="18"/>
      <c r="E2554" s="18"/>
      <c r="F2554" s="18"/>
      <c r="G2554" s="35"/>
      <c r="H2554" s="33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  <c r="AA2554" s="18"/>
      <c r="AB2554" s="18"/>
    </row>
    <row r="2555">
      <c r="A2555" s="31"/>
      <c r="B2555" s="34"/>
      <c r="C2555" s="18"/>
      <c r="D2555" s="18"/>
      <c r="E2555" s="18"/>
      <c r="F2555" s="18"/>
      <c r="G2555" s="35"/>
      <c r="H2555" s="33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  <c r="Z2555" s="18"/>
      <c r="AA2555" s="18"/>
      <c r="AB2555" s="18"/>
    </row>
    <row r="2556">
      <c r="A2556" s="31"/>
      <c r="B2556" s="34"/>
      <c r="C2556" s="18"/>
      <c r="D2556" s="18"/>
      <c r="E2556" s="18"/>
      <c r="F2556" s="18"/>
      <c r="G2556" s="35"/>
      <c r="H2556" s="33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  <c r="AB2556" s="18"/>
    </row>
    <row r="2557">
      <c r="A2557" s="31"/>
      <c r="B2557" s="34"/>
      <c r="C2557" s="18"/>
      <c r="D2557" s="18"/>
      <c r="E2557" s="18"/>
      <c r="F2557" s="18"/>
      <c r="G2557" s="35"/>
      <c r="H2557" s="33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Y2557" s="18"/>
      <c r="Z2557" s="18"/>
      <c r="AA2557" s="18"/>
      <c r="AB2557" s="18"/>
    </row>
    <row r="2558">
      <c r="A2558" s="31"/>
      <c r="B2558" s="34"/>
      <c r="C2558" s="18"/>
      <c r="D2558" s="18"/>
      <c r="E2558" s="18"/>
      <c r="F2558" s="18"/>
      <c r="G2558" s="35"/>
      <c r="H2558" s="33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  <c r="AA2558" s="18"/>
      <c r="AB2558" s="18"/>
    </row>
    <row r="2559">
      <c r="A2559" s="31"/>
      <c r="B2559" s="34"/>
      <c r="C2559" s="18"/>
      <c r="D2559" s="18"/>
      <c r="E2559" s="18"/>
      <c r="F2559" s="18"/>
      <c r="G2559" s="35"/>
      <c r="H2559" s="33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8"/>
      <c r="Y2559" s="18"/>
      <c r="Z2559" s="18"/>
      <c r="AA2559" s="18"/>
      <c r="AB2559" s="18"/>
    </row>
    <row r="2560">
      <c r="A2560" s="31"/>
      <c r="B2560" s="34"/>
      <c r="C2560" s="18"/>
      <c r="D2560" s="18"/>
      <c r="E2560" s="18"/>
      <c r="F2560" s="18"/>
      <c r="G2560" s="35"/>
      <c r="H2560" s="33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  <c r="AA2560" s="18"/>
      <c r="AB2560" s="18"/>
    </row>
    <row r="2561">
      <c r="A2561" s="31"/>
      <c r="B2561" s="34"/>
      <c r="C2561" s="18"/>
      <c r="D2561" s="18"/>
      <c r="E2561" s="18"/>
      <c r="F2561" s="18"/>
      <c r="G2561" s="35"/>
      <c r="H2561" s="33"/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Y2561" s="18"/>
      <c r="Z2561" s="18"/>
      <c r="AA2561" s="18"/>
      <c r="AB2561" s="18"/>
    </row>
    <row r="2562">
      <c r="A2562" s="31"/>
      <c r="B2562" s="34"/>
      <c r="C2562" s="18"/>
      <c r="D2562" s="18"/>
      <c r="E2562" s="18"/>
      <c r="F2562" s="18"/>
      <c r="G2562" s="35"/>
      <c r="H2562" s="33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  <c r="AA2562" s="18"/>
      <c r="AB2562" s="18"/>
    </row>
    <row r="2563">
      <c r="A2563" s="31"/>
      <c r="B2563" s="34"/>
      <c r="C2563" s="18"/>
      <c r="D2563" s="18"/>
      <c r="E2563" s="18"/>
      <c r="F2563" s="18"/>
      <c r="G2563" s="35"/>
      <c r="H2563" s="33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Y2563" s="18"/>
      <c r="Z2563" s="18"/>
      <c r="AA2563" s="18"/>
      <c r="AB2563" s="18"/>
    </row>
    <row r="2564">
      <c r="A2564" s="31"/>
      <c r="B2564" s="34"/>
      <c r="C2564" s="18"/>
      <c r="D2564" s="18"/>
      <c r="E2564" s="18"/>
      <c r="F2564" s="18"/>
      <c r="G2564" s="35"/>
      <c r="H2564" s="33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  <c r="AA2564" s="18"/>
      <c r="AB2564" s="18"/>
    </row>
    <row r="2565">
      <c r="A2565" s="31"/>
      <c r="B2565" s="34"/>
      <c r="C2565" s="18"/>
      <c r="D2565" s="18"/>
      <c r="E2565" s="18"/>
      <c r="F2565" s="18"/>
      <c r="G2565" s="35"/>
      <c r="H2565" s="33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  <c r="Z2565" s="18"/>
      <c r="AA2565" s="18"/>
      <c r="AB2565" s="18"/>
    </row>
    <row r="2566">
      <c r="A2566" s="31"/>
      <c r="B2566" s="34"/>
      <c r="C2566" s="18"/>
      <c r="D2566" s="18"/>
      <c r="E2566" s="18"/>
      <c r="F2566" s="18"/>
      <c r="G2566" s="35"/>
      <c r="H2566" s="33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  <c r="AA2566" s="18"/>
      <c r="AB2566" s="18"/>
    </row>
    <row r="2567">
      <c r="A2567" s="31"/>
      <c r="B2567" s="34"/>
      <c r="C2567" s="18"/>
      <c r="D2567" s="18"/>
      <c r="E2567" s="18"/>
      <c r="F2567" s="18"/>
      <c r="G2567" s="35"/>
      <c r="H2567" s="33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  <c r="Z2567" s="18"/>
      <c r="AA2567" s="18"/>
      <c r="AB2567" s="18"/>
    </row>
    <row r="2568">
      <c r="A2568" s="31"/>
      <c r="B2568" s="34"/>
      <c r="C2568" s="18"/>
      <c r="D2568" s="18"/>
      <c r="E2568" s="18"/>
      <c r="F2568" s="18"/>
      <c r="G2568" s="35"/>
      <c r="H2568" s="33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</row>
    <row r="2569">
      <c r="A2569" s="31"/>
      <c r="B2569" s="34"/>
      <c r="C2569" s="18"/>
      <c r="D2569" s="18"/>
      <c r="E2569" s="18"/>
      <c r="F2569" s="18"/>
      <c r="G2569" s="35"/>
      <c r="H2569" s="33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  <c r="Z2569" s="18"/>
      <c r="AA2569" s="18"/>
      <c r="AB2569" s="18"/>
    </row>
    <row r="2570">
      <c r="A2570" s="31"/>
      <c r="B2570" s="34"/>
      <c r="C2570" s="18"/>
      <c r="D2570" s="18"/>
      <c r="E2570" s="18"/>
      <c r="F2570" s="18"/>
      <c r="G2570" s="35"/>
      <c r="H2570" s="33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  <c r="AA2570" s="18"/>
      <c r="AB2570" s="18"/>
    </row>
    <row r="2571">
      <c r="A2571" s="31"/>
      <c r="B2571" s="34"/>
      <c r="C2571" s="18"/>
      <c r="D2571" s="18"/>
      <c r="E2571" s="18"/>
      <c r="F2571" s="18"/>
      <c r="G2571" s="35"/>
      <c r="H2571" s="33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  <c r="AA2571" s="18"/>
      <c r="AB2571" s="18"/>
    </row>
    <row r="2572">
      <c r="A2572" s="31"/>
      <c r="B2572" s="34"/>
      <c r="C2572" s="18"/>
      <c r="D2572" s="18"/>
      <c r="E2572" s="18"/>
      <c r="F2572" s="18"/>
      <c r="G2572" s="35"/>
      <c r="H2572" s="33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  <c r="AA2572" s="18"/>
      <c r="AB2572" s="18"/>
    </row>
    <row r="2573">
      <c r="A2573" s="31"/>
      <c r="B2573" s="34"/>
      <c r="C2573" s="18"/>
      <c r="D2573" s="18"/>
      <c r="E2573" s="18"/>
      <c r="F2573" s="18"/>
      <c r="G2573" s="35"/>
      <c r="H2573" s="33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  <c r="AA2573" s="18"/>
      <c r="AB2573" s="18"/>
    </row>
    <row r="2574">
      <c r="A2574" s="31"/>
      <c r="B2574" s="34"/>
      <c r="C2574" s="18"/>
      <c r="D2574" s="18"/>
      <c r="E2574" s="18"/>
      <c r="F2574" s="18"/>
      <c r="G2574" s="35"/>
      <c r="H2574" s="33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  <c r="AA2574" s="18"/>
      <c r="AB2574" s="18"/>
    </row>
    <row r="2575">
      <c r="A2575" s="31"/>
      <c r="B2575" s="34"/>
      <c r="C2575" s="18"/>
      <c r="D2575" s="18"/>
      <c r="E2575" s="18"/>
      <c r="F2575" s="18"/>
      <c r="G2575" s="35"/>
      <c r="H2575" s="33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  <c r="Z2575" s="18"/>
      <c r="AA2575" s="18"/>
      <c r="AB2575" s="18"/>
    </row>
    <row r="2576">
      <c r="A2576" s="31"/>
      <c r="B2576" s="34"/>
      <c r="C2576" s="18"/>
      <c r="D2576" s="18"/>
      <c r="E2576" s="18"/>
      <c r="F2576" s="18"/>
      <c r="G2576" s="35"/>
      <c r="H2576" s="33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  <c r="AA2576" s="18"/>
      <c r="AB2576" s="18"/>
    </row>
    <row r="2577">
      <c r="A2577" s="31"/>
      <c r="B2577" s="34"/>
      <c r="C2577" s="18"/>
      <c r="D2577" s="18"/>
      <c r="E2577" s="18"/>
      <c r="F2577" s="18"/>
      <c r="G2577" s="35"/>
      <c r="H2577" s="33"/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  <c r="Z2577" s="18"/>
      <c r="AA2577" s="18"/>
      <c r="AB2577" s="18"/>
    </row>
    <row r="2578">
      <c r="A2578" s="31"/>
      <c r="B2578" s="34"/>
      <c r="C2578" s="18"/>
      <c r="D2578" s="18"/>
      <c r="E2578" s="18"/>
      <c r="F2578" s="18"/>
      <c r="G2578" s="35"/>
      <c r="H2578" s="33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  <c r="AA2578" s="18"/>
      <c r="AB2578" s="18"/>
    </row>
    <row r="2579">
      <c r="A2579" s="31"/>
      <c r="B2579" s="34"/>
      <c r="C2579" s="18"/>
      <c r="D2579" s="18"/>
      <c r="E2579" s="18"/>
      <c r="F2579" s="18"/>
      <c r="G2579" s="35"/>
      <c r="H2579" s="33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  <c r="Z2579" s="18"/>
      <c r="AA2579" s="18"/>
      <c r="AB2579" s="18"/>
    </row>
    <row r="2580">
      <c r="A2580" s="31"/>
      <c r="B2580" s="34"/>
      <c r="C2580" s="18"/>
      <c r="D2580" s="18"/>
      <c r="E2580" s="18"/>
      <c r="F2580" s="18"/>
      <c r="G2580" s="35"/>
      <c r="H2580" s="33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  <c r="AA2580" s="18"/>
      <c r="AB2580" s="18"/>
    </row>
    <row r="2581">
      <c r="A2581" s="31"/>
      <c r="B2581" s="34"/>
      <c r="C2581" s="18"/>
      <c r="D2581" s="18"/>
      <c r="E2581" s="18"/>
      <c r="F2581" s="18"/>
      <c r="G2581" s="35"/>
      <c r="H2581" s="33"/>
      <c r="I2581" s="18"/>
      <c r="J2581" s="18"/>
      <c r="K2581" s="18"/>
      <c r="L2581" s="18"/>
      <c r="M2581" s="18"/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8"/>
      <c r="Y2581" s="18"/>
      <c r="Z2581" s="18"/>
      <c r="AA2581" s="18"/>
      <c r="AB2581" s="18"/>
    </row>
    <row r="2582">
      <c r="A2582" s="31"/>
      <c r="B2582" s="34"/>
      <c r="C2582" s="18"/>
      <c r="D2582" s="18"/>
      <c r="E2582" s="18"/>
      <c r="F2582" s="18"/>
      <c r="G2582" s="35"/>
      <c r="H2582" s="33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Y2582" s="18"/>
      <c r="Z2582" s="18"/>
      <c r="AA2582" s="18"/>
      <c r="AB2582" s="18"/>
    </row>
    <row r="2583">
      <c r="A2583" s="31"/>
      <c r="B2583" s="34"/>
      <c r="C2583" s="18"/>
      <c r="D2583" s="18"/>
      <c r="E2583" s="18"/>
      <c r="F2583" s="18"/>
      <c r="G2583" s="35"/>
      <c r="H2583" s="33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Y2583" s="18"/>
      <c r="Z2583" s="18"/>
      <c r="AA2583" s="18"/>
      <c r="AB2583" s="18"/>
    </row>
    <row r="2584">
      <c r="A2584" s="31"/>
      <c r="B2584" s="34"/>
      <c r="C2584" s="18"/>
      <c r="D2584" s="18"/>
      <c r="E2584" s="18"/>
      <c r="F2584" s="18"/>
      <c r="G2584" s="35"/>
      <c r="H2584" s="33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8"/>
      <c r="Y2584" s="18"/>
      <c r="Z2584" s="18"/>
      <c r="AA2584" s="18"/>
      <c r="AB2584" s="18"/>
    </row>
    <row r="2585">
      <c r="A2585" s="31"/>
      <c r="B2585" s="34"/>
      <c r="C2585" s="18"/>
      <c r="D2585" s="18"/>
      <c r="E2585" s="18"/>
      <c r="F2585" s="18"/>
      <c r="G2585" s="35"/>
      <c r="H2585" s="33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  <c r="Z2585" s="18"/>
      <c r="AA2585" s="18"/>
      <c r="AB2585" s="18"/>
    </row>
    <row r="2586">
      <c r="A2586" s="31"/>
      <c r="B2586" s="34"/>
      <c r="C2586" s="18"/>
      <c r="D2586" s="18"/>
      <c r="E2586" s="18"/>
      <c r="F2586" s="18"/>
      <c r="G2586" s="35"/>
      <c r="H2586" s="33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  <c r="AA2586" s="18"/>
      <c r="AB2586" s="18"/>
    </row>
    <row r="2587">
      <c r="A2587" s="31"/>
      <c r="B2587" s="34"/>
      <c r="C2587" s="18"/>
      <c r="D2587" s="18"/>
      <c r="E2587" s="18"/>
      <c r="F2587" s="18"/>
      <c r="G2587" s="35"/>
      <c r="H2587" s="33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Y2587" s="18"/>
      <c r="Z2587" s="18"/>
      <c r="AA2587" s="18"/>
      <c r="AB2587" s="18"/>
    </row>
    <row r="2588">
      <c r="A2588" s="31"/>
      <c r="B2588" s="34"/>
      <c r="C2588" s="18"/>
      <c r="D2588" s="18"/>
      <c r="E2588" s="18"/>
      <c r="F2588" s="18"/>
      <c r="G2588" s="35"/>
      <c r="H2588" s="33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  <c r="Z2588" s="18"/>
      <c r="AA2588" s="18"/>
      <c r="AB2588" s="18"/>
    </row>
    <row r="2589">
      <c r="A2589" s="31"/>
      <c r="B2589" s="34"/>
      <c r="C2589" s="18"/>
      <c r="D2589" s="18"/>
      <c r="E2589" s="18"/>
      <c r="F2589" s="18"/>
      <c r="G2589" s="35"/>
      <c r="H2589" s="33"/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Y2589" s="18"/>
      <c r="Z2589" s="18"/>
      <c r="AA2589" s="18"/>
      <c r="AB2589" s="18"/>
    </row>
    <row r="2590">
      <c r="A2590" s="31"/>
      <c r="B2590" s="34"/>
      <c r="C2590" s="18"/>
      <c r="D2590" s="18"/>
      <c r="E2590" s="18"/>
      <c r="F2590" s="18"/>
      <c r="G2590" s="35"/>
      <c r="H2590" s="33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Y2590" s="18"/>
      <c r="Z2590" s="18"/>
      <c r="AA2590" s="18"/>
      <c r="AB2590" s="18"/>
    </row>
    <row r="2591">
      <c r="A2591" s="31"/>
      <c r="B2591" s="34"/>
      <c r="C2591" s="18"/>
      <c r="D2591" s="18"/>
      <c r="E2591" s="18"/>
      <c r="F2591" s="18"/>
      <c r="G2591" s="35"/>
      <c r="H2591" s="33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  <c r="AA2591" s="18"/>
      <c r="AB2591" s="18"/>
    </row>
    <row r="2592">
      <c r="A2592" s="31"/>
      <c r="B2592" s="34"/>
      <c r="C2592" s="18"/>
      <c r="D2592" s="18"/>
      <c r="E2592" s="18"/>
      <c r="F2592" s="18"/>
      <c r="G2592" s="35"/>
      <c r="H2592" s="33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  <c r="AA2592" s="18"/>
      <c r="AB2592" s="18"/>
    </row>
    <row r="2593">
      <c r="A2593" s="31"/>
      <c r="B2593" s="34"/>
      <c r="C2593" s="18"/>
      <c r="D2593" s="18"/>
      <c r="E2593" s="18"/>
      <c r="F2593" s="18"/>
      <c r="G2593" s="35"/>
      <c r="H2593" s="33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  <c r="AA2593" s="18"/>
      <c r="AB2593" s="18"/>
    </row>
    <row r="2594">
      <c r="A2594" s="31"/>
      <c r="B2594" s="34"/>
      <c r="C2594" s="18"/>
      <c r="D2594" s="18"/>
      <c r="E2594" s="18"/>
      <c r="F2594" s="18"/>
      <c r="G2594" s="35"/>
      <c r="H2594" s="33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  <c r="Z2594" s="18"/>
      <c r="AA2594" s="18"/>
      <c r="AB2594" s="18"/>
    </row>
    <row r="2595">
      <c r="A2595" s="31"/>
      <c r="B2595" s="34"/>
      <c r="C2595" s="18"/>
      <c r="D2595" s="18"/>
      <c r="E2595" s="18"/>
      <c r="F2595" s="18"/>
      <c r="G2595" s="35"/>
      <c r="H2595" s="33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Y2595" s="18"/>
      <c r="Z2595" s="18"/>
      <c r="AA2595" s="18"/>
      <c r="AB2595" s="18"/>
    </row>
    <row r="2596">
      <c r="A2596" s="31"/>
      <c r="B2596" s="34"/>
      <c r="C2596" s="18"/>
      <c r="D2596" s="18"/>
      <c r="E2596" s="18"/>
      <c r="F2596" s="18"/>
      <c r="G2596" s="35"/>
      <c r="H2596" s="33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  <c r="Z2596" s="18"/>
      <c r="AA2596" s="18"/>
      <c r="AB2596" s="18"/>
    </row>
    <row r="2597">
      <c r="A2597" s="31"/>
      <c r="B2597" s="34"/>
      <c r="C2597" s="18"/>
      <c r="D2597" s="18"/>
      <c r="E2597" s="18"/>
      <c r="F2597" s="18"/>
      <c r="G2597" s="35"/>
      <c r="H2597" s="33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  <c r="AA2597" s="18"/>
      <c r="AB2597" s="18"/>
    </row>
    <row r="2598">
      <c r="A2598" s="31"/>
      <c r="B2598" s="34"/>
      <c r="C2598" s="18"/>
      <c r="D2598" s="18"/>
      <c r="E2598" s="18"/>
      <c r="F2598" s="18"/>
      <c r="G2598" s="35"/>
      <c r="H2598" s="33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  <c r="AA2598" s="18"/>
      <c r="AB2598" s="18"/>
    </row>
    <row r="2599">
      <c r="A2599" s="31"/>
      <c r="B2599" s="34"/>
      <c r="C2599" s="18"/>
      <c r="D2599" s="18"/>
      <c r="E2599" s="18"/>
      <c r="F2599" s="18"/>
      <c r="G2599" s="35"/>
      <c r="H2599" s="33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  <c r="AA2599" s="18"/>
      <c r="AB2599" s="18"/>
    </row>
    <row r="2600">
      <c r="A2600" s="31"/>
      <c r="B2600" s="34"/>
      <c r="C2600" s="18"/>
      <c r="D2600" s="18"/>
      <c r="E2600" s="18"/>
      <c r="F2600" s="18"/>
      <c r="G2600" s="35"/>
      <c r="H2600" s="33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Y2600" s="18"/>
      <c r="Z2600" s="18"/>
      <c r="AA2600" s="18"/>
      <c r="AB2600" s="18"/>
    </row>
    <row r="2601">
      <c r="A2601" s="31"/>
      <c r="B2601" s="34"/>
      <c r="C2601" s="18"/>
      <c r="D2601" s="18"/>
      <c r="E2601" s="18"/>
      <c r="F2601" s="18"/>
      <c r="G2601" s="35"/>
      <c r="H2601" s="33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  <c r="Z2601" s="18"/>
      <c r="AA2601" s="18"/>
      <c r="AB2601" s="18"/>
    </row>
    <row r="2602">
      <c r="A2602" s="31"/>
      <c r="B2602" s="34"/>
      <c r="C2602" s="18"/>
      <c r="D2602" s="18"/>
      <c r="E2602" s="18"/>
      <c r="F2602" s="18"/>
      <c r="G2602" s="35"/>
      <c r="H2602" s="33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  <c r="AA2602" s="18"/>
      <c r="AB2602" s="18"/>
    </row>
    <row r="2603">
      <c r="A2603" s="31"/>
      <c r="B2603" s="34"/>
      <c r="C2603" s="18"/>
      <c r="D2603" s="18"/>
      <c r="E2603" s="18"/>
      <c r="F2603" s="18"/>
      <c r="G2603" s="35"/>
      <c r="H2603" s="33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  <c r="Z2603" s="18"/>
      <c r="AA2603" s="18"/>
      <c r="AB2603" s="18"/>
    </row>
    <row r="2604">
      <c r="A2604" s="31"/>
      <c r="B2604" s="34"/>
      <c r="C2604" s="18"/>
      <c r="D2604" s="18"/>
      <c r="E2604" s="18"/>
      <c r="F2604" s="18"/>
      <c r="G2604" s="35"/>
      <c r="H2604" s="33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  <c r="AA2604" s="18"/>
      <c r="AB2604" s="18"/>
    </row>
    <row r="2605">
      <c r="A2605" s="31"/>
      <c r="B2605" s="34"/>
      <c r="C2605" s="18"/>
      <c r="D2605" s="18"/>
      <c r="E2605" s="18"/>
      <c r="F2605" s="18"/>
      <c r="G2605" s="35"/>
      <c r="H2605" s="33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  <c r="AA2605" s="18"/>
      <c r="AB2605" s="18"/>
    </row>
    <row r="2606">
      <c r="A2606" s="31"/>
      <c r="B2606" s="34"/>
      <c r="C2606" s="18"/>
      <c r="D2606" s="18"/>
      <c r="E2606" s="18"/>
      <c r="F2606" s="18"/>
      <c r="G2606" s="35"/>
      <c r="H2606" s="33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  <c r="Z2606" s="18"/>
      <c r="AA2606" s="18"/>
      <c r="AB2606" s="18"/>
    </row>
    <row r="2607">
      <c r="A2607" s="31"/>
      <c r="B2607" s="34"/>
      <c r="C2607" s="18"/>
      <c r="D2607" s="18"/>
      <c r="E2607" s="18"/>
      <c r="F2607" s="18"/>
      <c r="G2607" s="35"/>
      <c r="H2607" s="33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  <c r="AA2607" s="18"/>
      <c r="AB2607" s="18"/>
    </row>
    <row r="2608">
      <c r="A2608" s="31"/>
      <c r="B2608" s="34"/>
      <c r="C2608" s="18"/>
      <c r="D2608" s="18"/>
      <c r="E2608" s="18"/>
      <c r="F2608" s="18"/>
      <c r="G2608" s="35"/>
      <c r="H2608" s="33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Y2608" s="18"/>
      <c r="Z2608" s="18"/>
      <c r="AA2608" s="18"/>
      <c r="AB2608" s="18"/>
    </row>
    <row r="2609">
      <c r="A2609" s="31"/>
      <c r="B2609" s="34"/>
      <c r="C2609" s="18"/>
      <c r="D2609" s="18"/>
      <c r="E2609" s="18"/>
      <c r="F2609" s="18"/>
      <c r="G2609" s="35"/>
      <c r="H2609" s="33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  <c r="Z2609" s="18"/>
      <c r="AA2609" s="18"/>
      <c r="AB2609" s="18"/>
    </row>
    <row r="2610">
      <c r="A2610" s="31"/>
      <c r="B2610" s="34"/>
      <c r="C2610" s="18"/>
      <c r="D2610" s="18"/>
      <c r="E2610" s="18"/>
      <c r="F2610" s="18"/>
      <c r="G2610" s="35"/>
      <c r="H2610" s="33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  <c r="Z2610" s="18"/>
      <c r="AA2610" s="18"/>
      <c r="AB2610" s="18"/>
    </row>
    <row r="2611">
      <c r="A2611" s="31"/>
      <c r="B2611" s="34"/>
      <c r="C2611" s="18"/>
      <c r="D2611" s="18"/>
      <c r="E2611" s="18"/>
      <c r="F2611" s="18"/>
      <c r="G2611" s="35"/>
      <c r="H2611" s="33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  <c r="AA2611" s="18"/>
      <c r="AB2611" s="18"/>
    </row>
    <row r="2612">
      <c r="A2612" s="31"/>
      <c r="B2612" s="34"/>
      <c r="C2612" s="18"/>
      <c r="D2612" s="18"/>
      <c r="E2612" s="18"/>
      <c r="F2612" s="18"/>
      <c r="G2612" s="35"/>
      <c r="H2612" s="33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  <c r="AA2612" s="18"/>
      <c r="AB2612" s="18"/>
    </row>
    <row r="2613">
      <c r="A2613" s="31"/>
      <c r="B2613" s="34"/>
      <c r="C2613" s="18"/>
      <c r="D2613" s="18"/>
      <c r="E2613" s="18"/>
      <c r="F2613" s="18"/>
      <c r="G2613" s="35"/>
      <c r="H2613" s="33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  <c r="AA2613" s="18"/>
      <c r="AB2613" s="18"/>
    </row>
    <row r="2614">
      <c r="A2614" s="31"/>
      <c r="B2614" s="34"/>
      <c r="C2614" s="18"/>
      <c r="D2614" s="18"/>
      <c r="E2614" s="18"/>
      <c r="F2614" s="18"/>
      <c r="G2614" s="35"/>
      <c r="H2614" s="33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Y2614" s="18"/>
      <c r="Z2614" s="18"/>
      <c r="AA2614" s="18"/>
      <c r="AB2614" s="18"/>
    </row>
    <row r="2615">
      <c r="A2615" s="31"/>
      <c r="B2615" s="34"/>
      <c r="C2615" s="18"/>
      <c r="D2615" s="18"/>
      <c r="E2615" s="18"/>
      <c r="F2615" s="18"/>
      <c r="G2615" s="35"/>
      <c r="H2615" s="33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Y2615" s="18"/>
      <c r="Z2615" s="18"/>
      <c r="AA2615" s="18"/>
      <c r="AB2615" s="18"/>
    </row>
    <row r="2616">
      <c r="A2616" s="31"/>
      <c r="B2616" s="34"/>
      <c r="C2616" s="18"/>
      <c r="D2616" s="18"/>
      <c r="E2616" s="18"/>
      <c r="F2616" s="18"/>
      <c r="G2616" s="35"/>
      <c r="H2616" s="33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  <c r="AA2616" s="18"/>
      <c r="AB2616" s="18"/>
    </row>
    <row r="2617">
      <c r="A2617" s="31"/>
      <c r="B2617" s="34"/>
      <c r="C2617" s="18"/>
      <c r="D2617" s="18"/>
      <c r="E2617" s="18"/>
      <c r="F2617" s="18"/>
      <c r="G2617" s="35"/>
      <c r="H2617" s="33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Y2617" s="18"/>
      <c r="Z2617" s="18"/>
      <c r="AA2617" s="18"/>
      <c r="AB2617" s="18"/>
    </row>
    <row r="2618">
      <c r="A2618" s="31"/>
      <c r="B2618" s="34"/>
      <c r="C2618" s="18"/>
      <c r="D2618" s="18"/>
      <c r="E2618" s="18"/>
      <c r="F2618" s="18"/>
      <c r="G2618" s="35"/>
      <c r="H2618" s="33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  <c r="AA2618" s="18"/>
      <c r="AB2618" s="18"/>
    </row>
    <row r="2619">
      <c r="A2619" s="31"/>
      <c r="B2619" s="34"/>
      <c r="C2619" s="18"/>
      <c r="D2619" s="18"/>
      <c r="E2619" s="18"/>
      <c r="F2619" s="18"/>
      <c r="G2619" s="35"/>
      <c r="H2619" s="33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  <c r="Z2619" s="18"/>
      <c r="AA2619" s="18"/>
      <c r="AB2619" s="18"/>
    </row>
    <row r="2620">
      <c r="A2620" s="31"/>
      <c r="B2620" s="34"/>
      <c r="C2620" s="18"/>
      <c r="D2620" s="18"/>
      <c r="E2620" s="18"/>
      <c r="F2620" s="18"/>
      <c r="G2620" s="35"/>
      <c r="H2620" s="33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  <c r="AA2620" s="18"/>
      <c r="AB2620" s="18"/>
    </row>
    <row r="2621">
      <c r="A2621" s="31"/>
      <c r="B2621" s="34"/>
      <c r="C2621" s="18"/>
      <c r="D2621" s="18"/>
      <c r="E2621" s="18"/>
      <c r="F2621" s="18"/>
      <c r="G2621" s="35"/>
      <c r="H2621" s="33"/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Y2621" s="18"/>
      <c r="Z2621" s="18"/>
      <c r="AA2621" s="18"/>
      <c r="AB2621" s="18"/>
    </row>
    <row r="2622">
      <c r="A2622" s="31"/>
      <c r="B2622" s="34"/>
      <c r="C2622" s="18"/>
      <c r="D2622" s="18"/>
      <c r="E2622" s="18"/>
      <c r="F2622" s="18"/>
      <c r="G2622" s="35"/>
      <c r="H2622" s="33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  <c r="AA2622" s="18"/>
      <c r="AB2622" s="18"/>
    </row>
    <row r="2623">
      <c r="A2623" s="31"/>
      <c r="B2623" s="34"/>
      <c r="C2623" s="18"/>
      <c r="D2623" s="18"/>
      <c r="E2623" s="18"/>
      <c r="F2623" s="18"/>
      <c r="G2623" s="35"/>
      <c r="H2623" s="33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Y2623" s="18"/>
      <c r="Z2623" s="18"/>
      <c r="AA2623" s="18"/>
      <c r="AB2623" s="18"/>
    </row>
    <row r="2624">
      <c r="A2624" s="31"/>
      <c r="B2624" s="34"/>
      <c r="C2624" s="18"/>
      <c r="D2624" s="18"/>
      <c r="E2624" s="18"/>
      <c r="F2624" s="18"/>
      <c r="G2624" s="35"/>
      <c r="H2624" s="33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  <c r="Z2624" s="18"/>
      <c r="AA2624" s="18"/>
      <c r="AB2624" s="18"/>
    </row>
    <row r="2625">
      <c r="A2625" s="31"/>
      <c r="B2625" s="34"/>
      <c r="C2625" s="18"/>
      <c r="D2625" s="18"/>
      <c r="E2625" s="18"/>
      <c r="F2625" s="18"/>
      <c r="G2625" s="35"/>
      <c r="H2625" s="33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Y2625" s="18"/>
      <c r="Z2625" s="18"/>
      <c r="AA2625" s="18"/>
      <c r="AB2625" s="18"/>
    </row>
    <row r="2626">
      <c r="A2626" s="31"/>
      <c r="B2626" s="34"/>
      <c r="C2626" s="18"/>
      <c r="D2626" s="18"/>
      <c r="E2626" s="18"/>
      <c r="F2626" s="18"/>
      <c r="G2626" s="35"/>
      <c r="H2626" s="33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  <c r="AA2626" s="18"/>
      <c r="AB2626" s="18"/>
    </row>
    <row r="2627">
      <c r="A2627" s="31"/>
      <c r="B2627" s="34"/>
      <c r="C2627" s="18"/>
      <c r="D2627" s="18"/>
      <c r="E2627" s="18"/>
      <c r="F2627" s="18"/>
      <c r="G2627" s="35"/>
      <c r="H2627" s="33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Y2627" s="18"/>
      <c r="Z2627" s="18"/>
      <c r="AA2627" s="18"/>
      <c r="AB2627" s="18"/>
    </row>
    <row r="2628">
      <c r="A2628" s="31"/>
      <c r="B2628" s="34"/>
      <c r="C2628" s="18"/>
      <c r="D2628" s="18"/>
      <c r="E2628" s="18"/>
      <c r="F2628" s="18"/>
      <c r="G2628" s="35"/>
      <c r="H2628" s="33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  <c r="AA2628" s="18"/>
      <c r="AB2628" s="18"/>
    </row>
    <row r="2629">
      <c r="A2629" s="31"/>
      <c r="B2629" s="34"/>
      <c r="C2629" s="18"/>
      <c r="D2629" s="18"/>
      <c r="E2629" s="18"/>
      <c r="F2629" s="18"/>
      <c r="G2629" s="35"/>
      <c r="H2629" s="33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Y2629" s="18"/>
      <c r="Z2629" s="18"/>
      <c r="AA2629" s="18"/>
      <c r="AB2629" s="18"/>
    </row>
    <row r="2630">
      <c r="A2630" s="31"/>
      <c r="B2630" s="34"/>
      <c r="C2630" s="18"/>
      <c r="D2630" s="18"/>
      <c r="E2630" s="18"/>
      <c r="F2630" s="18"/>
      <c r="G2630" s="35"/>
      <c r="H2630" s="33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  <c r="Z2630" s="18"/>
      <c r="AA2630" s="18"/>
      <c r="AB2630" s="18"/>
    </row>
    <row r="2631">
      <c r="A2631" s="31"/>
      <c r="B2631" s="34"/>
      <c r="C2631" s="18"/>
      <c r="D2631" s="18"/>
      <c r="E2631" s="18"/>
      <c r="F2631" s="18"/>
      <c r="G2631" s="35"/>
      <c r="H2631" s="33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Y2631" s="18"/>
      <c r="Z2631" s="18"/>
      <c r="AA2631" s="18"/>
      <c r="AB2631" s="18"/>
    </row>
    <row r="2632">
      <c r="A2632" s="31"/>
      <c r="B2632" s="34"/>
      <c r="C2632" s="18"/>
      <c r="D2632" s="18"/>
      <c r="E2632" s="18"/>
      <c r="F2632" s="18"/>
      <c r="G2632" s="35"/>
      <c r="H2632" s="33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Y2632" s="18"/>
      <c r="Z2632" s="18"/>
      <c r="AA2632" s="18"/>
      <c r="AB2632" s="18"/>
    </row>
    <row r="2633">
      <c r="A2633" s="31"/>
      <c r="B2633" s="34"/>
      <c r="C2633" s="18"/>
      <c r="D2633" s="18"/>
      <c r="E2633" s="18"/>
      <c r="F2633" s="18"/>
      <c r="G2633" s="35"/>
      <c r="H2633" s="33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  <c r="Z2633" s="18"/>
      <c r="AA2633" s="18"/>
      <c r="AB2633" s="18"/>
    </row>
    <row r="2634">
      <c r="A2634" s="31"/>
      <c r="B2634" s="34"/>
      <c r="C2634" s="18"/>
      <c r="D2634" s="18"/>
      <c r="E2634" s="18"/>
      <c r="F2634" s="18"/>
      <c r="G2634" s="35"/>
      <c r="H2634" s="33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  <c r="AA2634" s="18"/>
      <c r="AB2634" s="18"/>
    </row>
    <row r="2635">
      <c r="A2635" s="31"/>
      <c r="B2635" s="34"/>
      <c r="C2635" s="18"/>
      <c r="D2635" s="18"/>
      <c r="E2635" s="18"/>
      <c r="F2635" s="18"/>
      <c r="G2635" s="35"/>
      <c r="H2635" s="33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  <c r="AA2635" s="18"/>
      <c r="AB2635" s="18"/>
    </row>
    <row r="2636">
      <c r="A2636" s="31"/>
      <c r="B2636" s="34"/>
      <c r="C2636" s="18"/>
      <c r="D2636" s="18"/>
      <c r="E2636" s="18"/>
      <c r="F2636" s="18"/>
      <c r="G2636" s="35"/>
      <c r="H2636" s="33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  <c r="AA2636" s="18"/>
      <c r="AB2636" s="18"/>
    </row>
    <row r="2637">
      <c r="A2637" s="31"/>
      <c r="B2637" s="34"/>
      <c r="C2637" s="18"/>
      <c r="D2637" s="18"/>
      <c r="E2637" s="18"/>
      <c r="F2637" s="18"/>
      <c r="G2637" s="35"/>
      <c r="H2637" s="33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  <c r="AA2637" s="18"/>
      <c r="AB2637" s="18"/>
    </row>
    <row r="2638">
      <c r="A2638" s="31"/>
      <c r="B2638" s="34"/>
      <c r="C2638" s="18"/>
      <c r="D2638" s="18"/>
      <c r="E2638" s="18"/>
      <c r="F2638" s="18"/>
      <c r="G2638" s="35"/>
      <c r="H2638" s="33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  <c r="Z2638" s="18"/>
      <c r="AA2638" s="18"/>
      <c r="AB2638" s="18"/>
    </row>
    <row r="2639">
      <c r="A2639" s="31"/>
      <c r="B2639" s="34"/>
      <c r="C2639" s="18"/>
      <c r="D2639" s="18"/>
      <c r="E2639" s="18"/>
      <c r="F2639" s="18"/>
      <c r="G2639" s="35"/>
      <c r="H2639" s="33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  <c r="AA2639" s="18"/>
      <c r="AB2639" s="18"/>
    </row>
    <row r="2640">
      <c r="A2640" s="31"/>
      <c r="B2640" s="34"/>
      <c r="C2640" s="18"/>
      <c r="D2640" s="18"/>
      <c r="E2640" s="18"/>
      <c r="F2640" s="18"/>
      <c r="G2640" s="35"/>
      <c r="H2640" s="33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  <c r="AA2640" s="18"/>
      <c r="AB2640" s="18"/>
    </row>
    <row r="2641">
      <c r="A2641" s="31"/>
      <c r="B2641" s="34"/>
      <c r="C2641" s="18"/>
      <c r="D2641" s="18"/>
      <c r="E2641" s="18"/>
      <c r="F2641" s="18"/>
      <c r="G2641" s="35"/>
      <c r="H2641" s="33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  <c r="Z2641" s="18"/>
      <c r="AA2641" s="18"/>
      <c r="AB2641" s="18"/>
    </row>
    <row r="2642">
      <c r="A2642" s="31"/>
      <c r="B2642" s="34"/>
      <c r="C2642" s="18"/>
      <c r="D2642" s="18"/>
      <c r="E2642" s="18"/>
      <c r="F2642" s="18"/>
      <c r="G2642" s="35"/>
      <c r="H2642" s="33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  <c r="AA2642" s="18"/>
      <c r="AB2642" s="18"/>
    </row>
    <row r="2643">
      <c r="A2643" s="31"/>
      <c r="B2643" s="34"/>
      <c r="C2643" s="18"/>
      <c r="D2643" s="18"/>
      <c r="E2643" s="18"/>
      <c r="F2643" s="18"/>
      <c r="G2643" s="35"/>
      <c r="H2643" s="33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  <c r="Z2643" s="18"/>
      <c r="AA2643" s="18"/>
      <c r="AB2643" s="18"/>
    </row>
    <row r="2644">
      <c r="A2644" s="31"/>
      <c r="B2644" s="34"/>
      <c r="C2644" s="18"/>
      <c r="D2644" s="18"/>
      <c r="E2644" s="18"/>
      <c r="F2644" s="18"/>
      <c r="G2644" s="35"/>
      <c r="H2644" s="33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  <c r="Z2644" s="18"/>
      <c r="AA2644" s="18"/>
      <c r="AB2644" s="18"/>
    </row>
    <row r="2645">
      <c r="A2645" s="31"/>
      <c r="B2645" s="34"/>
      <c r="C2645" s="18"/>
      <c r="D2645" s="18"/>
      <c r="E2645" s="18"/>
      <c r="F2645" s="18"/>
      <c r="G2645" s="35"/>
      <c r="H2645" s="33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  <c r="Z2645" s="18"/>
      <c r="AA2645" s="18"/>
      <c r="AB2645" s="18"/>
    </row>
    <row r="2646">
      <c r="A2646" s="31"/>
      <c r="B2646" s="34"/>
      <c r="C2646" s="18"/>
      <c r="D2646" s="18"/>
      <c r="E2646" s="18"/>
      <c r="F2646" s="18"/>
      <c r="G2646" s="35"/>
      <c r="H2646" s="33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  <c r="Z2646" s="18"/>
      <c r="AA2646" s="18"/>
      <c r="AB2646" s="18"/>
    </row>
    <row r="2647">
      <c r="A2647" s="31"/>
      <c r="B2647" s="34"/>
      <c r="C2647" s="18"/>
      <c r="D2647" s="18"/>
      <c r="E2647" s="18"/>
      <c r="F2647" s="18"/>
      <c r="G2647" s="35"/>
      <c r="H2647" s="33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8"/>
      <c r="Y2647" s="18"/>
      <c r="Z2647" s="18"/>
      <c r="AA2647" s="18"/>
      <c r="AB2647" s="18"/>
    </row>
    <row r="2648">
      <c r="A2648" s="31"/>
      <c r="B2648" s="34"/>
      <c r="C2648" s="18"/>
      <c r="D2648" s="18"/>
      <c r="E2648" s="18"/>
      <c r="F2648" s="18"/>
      <c r="G2648" s="35"/>
      <c r="H2648" s="33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Y2648" s="18"/>
      <c r="Z2648" s="18"/>
      <c r="AA2648" s="18"/>
      <c r="AB2648" s="18"/>
    </row>
    <row r="2649">
      <c r="A2649" s="31"/>
      <c r="B2649" s="34"/>
      <c r="C2649" s="18"/>
      <c r="D2649" s="18"/>
      <c r="E2649" s="18"/>
      <c r="F2649" s="18"/>
      <c r="G2649" s="35"/>
      <c r="H2649" s="33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  <c r="Z2649" s="18"/>
      <c r="AA2649" s="18"/>
      <c r="AB2649" s="18"/>
    </row>
    <row r="2650">
      <c r="A2650" s="31"/>
      <c r="B2650" s="34"/>
      <c r="C2650" s="18"/>
      <c r="D2650" s="18"/>
      <c r="E2650" s="18"/>
      <c r="F2650" s="18"/>
      <c r="G2650" s="35"/>
      <c r="H2650" s="33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  <c r="AA2650" s="18"/>
      <c r="AB2650" s="18"/>
    </row>
    <row r="2651">
      <c r="A2651" s="31"/>
      <c r="B2651" s="34"/>
      <c r="C2651" s="18"/>
      <c r="D2651" s="18"/>
      <c r="E2651" s="18"/>
      <c r="F2651" s="18"/>
      <c r="G2651" s="35"/>
      <c r="H2651" s="33"/>
      <c r="I2651" s="18"/>
      <c r="J2651" s="18"/>
      <c r="K2651" s="18"/>
      <c r="L2651" s="18"/>
      <c r="M2651" s="18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8"/>
      <c r="Y2651" s="18"/>
      <c r="Z2651" s="18"/>
      <c r="AA2651" s="18"/>
      <c r="AB2651" s="18"/>
    </row>
    <row r="2652">
      <c r="A2652" s="31"/>
      <c r="B2652" s="34"/>
      <c r="C2652" s="18"/>
      <c r="D2652" s="18"/>
      <c r="E2652" s="18"/>
      <c r="F2652" s="18"/>
      <c r="G2652" s="35"/>
      <c r="H2652" s="33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  <c r="AA2652" s="18"/>
      <c r="AB2652" s="18"/>
    </row>
    <row r="2653">
      <c r="A2653" s="31"/>
      <c r="B2653" s="34"/>
      <c r="C2653" s="18"/>
      <c r="D2653" s="18"/>
      <c r="E2653" s="18"/>
      <c r="F2653" s="18"/>
      <c r="G2653" s="35"/>
      <c r="H2653" s="33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Y2653" s="18"/>
      <c r="Z2653" s="18"/>
      <c r="AA2653" s="18"/>
      <c r="AB2653" s="18"/>
    </row>
    <row r="2654">
      <c r="A2654" s="31"/>
      <c r="B2654" s="34"/>
      <c r="C2654" s="18"/>
      <c r="D2654" s="18"/>
      <c r="E2654" s="18"/>
      <c r="F2654" s="18"/>
      <c r="G2654" s="35"/>
      <c r="H2654" s="33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Y2654" s="18"/>
      <c r="Z2654" s="18"/>
      <c r="AA2654" s="18"/>
      <c r="AB2654" s="18"/>
    </row>
    <row r="2655">
      <c r="A2655" s="31"/>
      <c r="B2655" s="34"/>
      <c r="C2655" s="18"/>
      <c r="D2655" s="18"/>
      <c r="E2655" s="18"/>
      <c r="F2655" s="18"/>
      <c r="G2655" s="35"/>
      <c r="H2655" s="33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  <c r="Z2655" s="18"/>
      <c r="AA2655" s="18"/>
      <c r="AB2655" s="18"/>
    </row>
    <row r="2656">
      <c r="A2656" s="31"/>
      <c r="B2656" s="34"/>
      <c r="C2656" s="18"/>
      <c r="D2656" s="18"/>
      <c r="E2656" s="18"/>
      <c r="F2656" s="18"/>
      <c r="G2656" s="35"/>
      <c r="H2656" s="33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  <c r="Z2656" s="18"/>
      <c r="AA2656" s="18"/>
      <c r="AB2656" s="18"/>
    </row>
    <row r="2657">
      <c r="A2657" s="31"/>
      <c r="B2657" s="34"/>
      <c r="C2657" s="18"/>
      <c r="D2657" s="18"/>
      <c r="E2657" s="18"/>
      <c r="F2657" s="18"/>
      <c r="G2657" s="35"/>
      <c r="H2657" s="33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Y2657" s="18"/>
      <c r="Z2657" s="18"/>
      <c r="AA2657" s="18"/>
      <c r="AB2657" s="18"/>
    </row>
    <row r="2658">
      <c r="A2658" s="31"/>
      <c r="B2658" s="34"/>
      <c r="C2658" s="18"/>
      <c r="D2658" s="18"/>
      <c r="E2658" s="18"/>
      <c r="F2658" s="18"/>
      <c r="G2658" s="35"/>
      <c r="H2658" s="33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  <c r="AA2658" s="18"/>
      <c r="AB2658" s="18"/>
    </row>
    <row r="2659">
      <c r="A2659" s="31"/>
      <c r="B2659" s="34"/>
      <c r="C2659" s="18"/>
      <c r="D2659" s="18"/>
      <c r="E2659" s="18"/>
      <c r="F2659" s="18"/>
      <c r="G2659" s="35"/>
      <c r="H2659" s="33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Y2659" s="18"/>
      <c r="Z2659" s="18"/>
      <c r="AA2659" s="18"/>
      <c r="AB2659" s="18"/>
    </row>
    <row r="2660">
      <c r="A2660" s="31"/>
      <c r="B2660" s="34"/>
      <c r="C2660" s="18"/>
      <c r="D2660" s="18"/>
      <c r="E2660" s="18"/>
      <c r="F2660" s="18"/>
      <c r="G2660" s="35"/>
      <c r="H2660" s="33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  <c r="Z2660" s="18"/>
      <c r="AA2660" s="18"/>
      <c r="AB2660" s="18"/>
    </row>
    <row r="2661">
      <c r="A2661" s="31"/>
      <c r="B2661" s="34"/>
      <c r="C2661" s="18"/>
      <c r="D2661" s="18"/>
      <c r="E2661" s="18"/>
      <c r="F2661" s="18"/>
      <c r="G2661" s="35"/>
      <c r="H2661" s="33"/>
      <c r="I2661" s="18"/>
      <c r="J2661" s="18"/>
      <c r="K2661" s="18"/>
      <c r="L2661" s="18"/>
      <c r="M2661" s="18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Y2661" s="18"/>
      <c r="Z2661" s="18"/>
      <c r="AA2661" s="18"/>
      <c r="AB2661" s="18"/>
    </row>
    <row r="2662">
      <c r="A2662" s="31"/>
      <c r="B2662" s="34"/>
      <c r="C2662" s="18"/>
      <c r="D2662" s="18"/>
      <c r="E2662" s="18"/>
      <c r="F2662" s="18"/>
      <c r="G2662" s="35"/>
      <c r="H2662" s="33"/>
      <c r="I2662" s="18"/>
      <c r="J2662" s="18"/>
      <c r="K2662" s="18"/>
      <c r="L2662" s="18"/>
      <c r="M2662" s="18"/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8"/>
      <c r="Y2662" s="18"/>
      <c r="Z2662" s="18"/>
      <c r="AA2662" s="18"/>
      <c r="AB2662" s="18"/>
    </row>
    <row r="2663">
      <c r="A2663" s="31"/>
      <c r="B2663" s="34"/>
      <c r="C2663" s="18"/>
      <c r="D2663" s="18"/>
      <c r="E2663" s="18"/>
      <c r="F2663" s="18"/>
      <c r="G2663" s="35"/>
      <c r="H2663" s="33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  <c r="Z2663" s="18"/>
      <c r="AA2663" s="18"/>
      <c r="AB2663" s="18"/>
    </row>
    <row r="2664">
      <c r="A2664" s="31"/>
      <c r="B2664" s="34"/>
      <c r="C2664" s="18"/>
      <c r="D2664" s="18"/>
      <c r="E2664" s="18"/>
      <c r="F2664" s="18"/>
      <c r="G2664" s="35"/>
      <c r="H2664" s="33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Y2664" s="18"/>
      <c r="Z2664" s="18"/>
      <c r="AA2664" s="18"/>
      <c r="AB2664" s="18"/>
    </row>
    <row r="2665">
      <c r="A2665" s="31"/>
      <c r="B2665" s="34"/>
      <c r="C2665" s="18"/>
      <c r="D2665" s="18"/>
      <c r="E2665" s="18"/>
      <c r="F2665" s="18"/>
      <c r="G2665" s="35"/>
      <c r="H2665" s="33"/>
      <c r="I2665" s="18"/>
      <c r="J2665" s="18"/>
      <c r="K2665" s="18"/>
      <c r="L2665" s="18"/>
      <c r="M2665" s="18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Y2665" s="18"/>
      <c r="Z2665" s="18"/>
      <c r="AA2665" s="18"/>
      <c r="AB2665" s="18"/>
    </row>
    <row r="2666">
      <c r="A2666" s="31"/>
      <c r="B2666" s="34"/>
      <c r="C2666" s="18"/>
      <c r="D2666" s="18"/>
      <c r="E2666" s="18"/>
      <c r="F2666" s="18"/>
      <c r="G2666" s="35"/>
      <c r="H2666" s="33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Y2666" s="18"/>
      <c r="Z2666" s="18"/>
      <c r="AA2666" s="18"/>
      <c r="AB2666" s="18"/>
    </row>
    <row r="2667">
      <c r="A2667" s="31"/>
      <c r="B2667" s="34"/>
      <c r="C2667" s="18"/>
      <c r="D2667" s="18"/>
      <c r="E2667" s="18"/>
      <c r="F2667" s="18"/>
      <c r="G2667" s="35"/>
      <c r="H2667" s="33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  <c r="Z2667" s="18"/>
      <c r="AA2667" s="18"/>
      <c r="AB2667" s="18"/>
    </row>
    <row r="2668">
      <c r="A2668" s="31"/>
      <c r="B2668" s="34"/>
      <c r="C2668" s="18"/>
      <c r="D2668" s="18"/>
      <c r="E2668" s="18"/>
      <c r="F2668" s="18"/>
      <c r="G2668" s="35"/>
      <c r="H2668" s="33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  <c r="AA2668" s="18"/>
      <c r="AB2668" s="18"/>
    </row>
    <row r="2669">
      <c r="A2669" s="31"/>
      <c r="B2669" s="34"/>
      <c r="C2669" s="18"/>
      <c r="D2669" s="18"/>
      <c r="E2669" s="18"/>
      <c r="F2669" s="18"/>
      <c r="G2669" s="35"/>
      <c r="H2669" s="33"/>
      <c r="I2669" s="18"/>
      <c r="J2669" s="18"/>
      <c r="K2669" s="18"/>
      <c r="L2669" s="18"/>
      <c r="M2669" s="18"/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8"/>
      <c r="Y2669" s="18"/>
      <c r="Z2669" s="18"/>
      <c r="AA2669" s="18"/>
      <c r="AB2669" s="18"/>
    </row>
    <row r="2670">
      <c r="A2670" s="31"/>
      <c r="B2670" s="34"/>
      <c r="C2670" s="18"/>
      <c r="D2670" s="18"/>
      <c r="E2670" s="18"/>
      <c r="F2670" s="18"/>
      <c r="G2670" s="35"/>
      <c r="H2670" s="33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  <c r="Z2670" s="18"/>
      <c r="AA2670" s="18"/>
      <c r="AB2670" s="18"/>
    </row>
    <row r="2671">
      <c r="A2671" s="31"/>
      <c r="B2671" s="34"/>
      <c r="C2671" s="18"/>
      <c r="D2671" s="18"/>
      <c r="E2671" s="18"/>
      <c r="F2671" s="18"/>
      <c r="G2671" s="35"/>
      <c r="H2671" s="33"/>
      <c r="I2671" s="18"/>
      <c r="J2671" s="18"/>
      <c r="K2671" s="18"/>
      <c r="L2671" s="18"/>
      <c r="M2671" s="18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8"/>
      <c r="Y2671" s="18"/>
      <c r="Z2671" s="18"/>
      <c r="AA2671" s="18"/>
      <c r="AB2671" s="18"/>
    </row>
    <row r="2672">
      <c r="A2672" s="31"/>
      <c r="B2672" s="34"/>
      <c r="C2672" s="18"/>
      <c r="D2672" s="18"/>
      <c r="E2672" s="18"/>
      <c r="F2672" s="18"/>
      <c r="G2672" s="35"/>
      <c r="H2672" s="33"/>
      <c r="I2672" s="18"/>
      <c r="J2672" s="18"/>
      <c r="K2672" s="18"/>
      <c r="L2672" s="18"/>
      <c r="M2672" s="18"/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8"/>
      <c r="Y2672" s="18"/>
      <c r="Z2672" s="18"/>
      <c r="AA2672" s="18"/>
      <c r="AB2672" s="18"/>
    </row>
    <row r="2673">
      <c r="A2673" s="31"/>
      <c r="B2673" s="34"/>
      <c r="C2673" s="18"/>
      <c r="D2673" s="18"/>
      <c r="E2673" s="18"/>
      <c r="F2673" s="18"/>
      <c r="G2673" s="35"/>
      <c r="H2673" s="33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  <c r="Z2673" s="18"/>
      <c r="AA2673" s="18"/>
      <c r="AB2673" s="18"/>
    </row>
    <row r="2674">
      <c r="A2674" s="31"/>
      <c r="B2674" s="34"/>
      <c r="C2674" s="18"/>
      <c r="D2674" s="18"/>
      <c r="E2674" s="18"/>
      <c r="F2674" s="18"/>
      <c r="G2674" s="35"/>
      <c r="H2674" s="33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8"/>
      <c r="Y2674" s="18"/>
      <c r="Z2674" s="18"/>
      <c r="AA2674" s="18"/>
      <c r="AB2674" s="18"/>
    </row>
    <row r="2675">
      <c r="A2675" s="31"/>
      <c r="B2675" s="34"/>
      <c r="C2675" s="18"/>
      <c r="D2675" s="18"/>
      <c r="E2675" s="18"/>
      <c r="F2675" s="18"/>
      <c r="G2675" s="35"/>
      <c r="H2675" s="33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  <c r="Z2675" s="18"/>
      <c r="AA2675" s="18"/>
      <c r="AB2675" s="18"/>
    </row>
    <row r="2676">
      <c r="A2676" s="31"/>
      <c r="B2676" s="34"/>
      <c r="C2676" s="18"/>
      <c r="D2676" s="18"/>
      <c r="E2676" s="18"/>
      <c r="F2676" s="18"/>
      <c r="G2676" s="35"/>
      <c r="H2676" s="33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  <c r="Z2676" s="18"/>
      <c r="AA2676" s="18"/>
      <c r="AB2676" s="18"/>
    </row>
    <row r="2677">
      <c r="A2677" s="31"/>
      <c r="B2677" s="34"/>
      <c r="C2677" s="18"/>
      <c r="D2677" s="18"/>
      <c r="E2677" s="18"/>
      <c r="F2677" s="18"/>
      <c r="G2677" s="35"/>
      <c r="H2677" s="33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Y2677" s="18"/>
      <c r="Z2677" s="18"/>
      <c r="AA2677" s="18"/>
      <c r="AB2677" s="18"/>
    </row>
    <row r="2678">
      <c r="A2678" s="31"/>
      <c r="B2678" s="34"/>
      <c r="C2678" s="18"/>
      <c r="D2678" s="18"/>
      <c r="E2678" s="18"/>
      <c r="F2678" s="18"/>
      <c r="G2678" s="35"/>
      <c r="H2678" s="33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  <c r="Z2678" s="18"/>
      <c r="AA2678" s="18"/>
      <c r="AB2678" s="18"/>
    </row>
    <row r="2679">
      <c r="A2679" s="31"/>
      <c r="B2679" s="34"/>
      <c r="C2679" s="18"/>
      <c r="D2679" s="18"/>
      <c r="E2679" s="18"/>
      <c r="F2679" s="18"/>
      <c r="G2679" s="35"/>
      <c r="H2679" s="33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  <c r="Z2679" s="18"/>
      <c r="AA2679" s="18"/>
      <c r="AB2679" s="18"/>
    </row>
    <row r="2680">
      <c r="A2680" s="31"/>
      <c r="B2680" s="34"/>
      <c r="C2680" s="18"/>
      <c r="D2680" s="18"/>
      <c r="E2680" s="18"/>
      <c r="F2680" s="18"/>
      <c r="G2680" s="35"/>
      <c r="H2680" s="33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  <c r="AA2680" s="18"/>
      <c r="AB2680" s="18"/>
    </row>
    <row r="2681">
      <c r="A2681" s="31"/>
      <c r="B2681" s="34"/>
      <c r="C2681" s="18"/>
      <c r="D2681" s="18"/>
      <c r="E2681" s="18"/>
      <c r="F2681" s="18"/>
      <c r="G2681" s="35"/>
      <c r="H2681" s="33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Y2681" s="18"/>
      <c r="Z2681" s="18"/>
      <c r="AA2681" s="18"/>
      <c r="AB2681" s="18"/>
    </row>
    <row r="2682">
      <c r="A2682" s="31"/>
      <c r="B2682" s="34"/>
      <c r="C2682" s="18"/>
      <c r="D2682" s="18"/>
      <c r="E2682" s="18"/>
      <c r="F2682" s="18"/>
      <c r="G2682" s="35"/>
      <c r="H2682" s="33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  <c r="AA2682" s="18"/>
      <c r="AB2682" s="18"/>
    </row>
    <row r="2683">
      <c r="A2683" s="31"/>
      <c r="B2683" s="34"/>
      <c r="C2683" s="18"/>
      <c r="D2683" s="18"/>
      <c r="E2683" s="18"/>
      <c r="F2683" s="18"/>
      <c r="G2683" s="35"/>
      <c r="H2683" s="33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Y2683" s="18"/>
      <c r="Z2683" s="18"/>
      <c r="AA2683" s="18"/>
      <c r="AB2683" s="18"/>
    </row>
    <row r="2684">
      <c r="A2684" s="31"/>
      <c r="B2684" s="34"/>
      <c r="C2684" s="18"/>
      <c r="D2684" s="18"/>
      <c r="E2684" s="18"/>
      <c r="F2684" s="18"/>
      <c r="G2684" s="35"/>
      <c r="H2684" s="33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  <c r="Z2684" s="18"/>
      <c r="AA2684" s="18"/>
      <c r="AB2684" s="18"/>
    </row>
    <row r="2685">
      <c r="A2685" s="31"/>
      <c r="B2685" s="34"/>
      <c r="C2685" s="18"/>
      <c r="D2685" s="18"/>
      <c r="E2685" s="18"/>
      <c r="F2685" s="18"/>
      <c r="G2685" s="35"/>
      <c r="H2685" s="33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  <c r="Z2685" s="18"/>
      <c r="AA2685" s="18"/>
      <c r="AB2685" s="18"/>
    </row>
    <row r="2686">
      <c r="A2686" s="31"/>
      <c r="B2686" s="34"/>
      <c r="C2686" s="18"/>
      <c r="D2686" s="18"/>
      <c r="E2686" s="18"/>
      <c r="F2686" s="18"/>
      <c r="G2686" s="35"/>
      <c r="H2686" s="33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  <c r="AA2686" s="18"/>
      <c r="AB2686" s="18"/>
    </row>
    <row r="2687">
      <c r="A2687" s="31"/>
      <c r="B2687" s="34"/>
      <c r="C2687" s="18"/>
      <c r="D2687" s="18"/>
      <c r="E2687" s="18"/>
      <c r="F2687" s="18"/>
      <c r="G2687" s="35"/>
      <c r="H2687" s="33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  <c r="Z2687" s="18"/>
      <c r="AA2687" s="18"/>
      <c r="AB2687" s="18"/>
    </row>
    <row r="2688">
      <c r="A2688" s="31"/>
      <c r="B2688" s="34"/>
      <c r="C2688" s="18"/>
      <c r="D2688" s="18"/>
      <c r="E2688" s="18"/>
      <c r="F2688" s="18"/>
      <c r="G2688" s="35"/>
      <c r="H2688" s="33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  <c r="AA2688" s="18"/>
      <c r="AB2688" s="18"/>
    </row>
    <row r="2689">
      <c r="A2689" s="31"/>
      <c r="B2689" s="34"/>
      <c r="C2689" s="18"/>
      <c r="D2689" s="18"/>
      <c r="E2689" s="18"/>
      <c r="F2689" s="18"/>
      <c r="G2689" s="35"/>
      <c r="H2689" s="33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  <c r="Z2689" s="18"/>
      <c r="AA2689" s="18"/>
      <c r="AB2689" s="18"/>
    </row>
    <row r="2690">
      <c r="A2690" s="31"/>
      <c r="B2690" s="34"/>
      <c r="C2690" s="18"/>
      <c r="D2690" s="18"/>
      <c r="E2690" s="18"/>
      <c r="F2690" s="18"/>
      <c r="G2690" s="35"/>
      <c r="H2690" s="33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Y2690" s="18"/>
      <c r="Z2690" s="18"/>
      <c r="AA2690" s="18"/>
      <c r="AB2690" s="18"/>
    </row>
    <row r="2691">
      <c r="A2691" s="31"/>
      <c r="B2691" s="34"/>
      <c r="C2691" s="18"/>
      <c r="D2691" s="18"/>
      <c r="E2691" s="18"/>
      <c r="F2691" s="18"/>
      <c r="G2691" s="35"/>
      <c r="H2691" s="33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8"/>
      <c r="Y2691" s="18"/>
      <c r="Z2691" s="18"/>
      <c r="AA2691" s="18"/>
      <c r="AB2691" s="18"/>
    </row>
    <row r="2692">
      <c r="A2692" s="31"/>
      <c r="B2692" s="34"/>
      <c r="C2692" s="18"/>
      <c r="D2692" s="18"/>
      <c r="E2692" s="18"/>
      <c r="F2692" s="18"/>
      <c r="G2692" s="35"/>
      <c r="H2692" s="33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Y2692" s="18"/>
      <c r="Z2692" s="18"/>
      <c r="AA2692" s="18"/>
      <c r="AB2692" s="18"/>
    </row>
    <row r="2693">
      <c r="A2693" s="31"/>
      <c r="B2693" s="34"/>
      <c r="C2693" s="18"/>
      <c r="D2693" s="18"/>
      <c r="E2693" s="18"/>
      <c r="F2693" s="18"/>
      <c r="G2693" s="35"/>
      <c r="H2693" s="33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8"/>
      <c r="Y2693" s="18"/>
      <c r="Z2693" s="18"/>
      <c r="AA2693" s="18"/>
      <c r="AB2693" s="18"/>
    </row>
    <row r="2694">
      <c r="A2694" s="31"/>
      <c r="B2694" s="34"/>
      <c r="C2694" s="18"/>
      <c r="D2694" s="18"/>
      <c r="E2694" s="18"/>
      <c r="F2694" s="18"/>
      <c r="G2694" s="35"/>
      <c r="H2694" s="33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  <c r="Z2694" s="18"/>
      <c r="AA2694" s="18"/>
      <c r="AB2694" s="18"/>
    </row>
    <row r="2695">
      <c r="A2695" s="31"/>
      <c r="B2695" s="34"/>
      <c r="C2695" s="18"/>
      <c r="D2695" s="18"/>
      <c r="E2695" s="18"/>
      <c r="F2695" s="18"/>
      <c r="G2695" s="35"/>
      <c r="H2695" s="33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Y2695" s="18"/>
      <c r="Z2695" s="18"/>
      <c r="AA2695" s="18"/>
      <c r="AB2695" s="18"/>
    </row>
    <row r="2696">
      <c r="A2696" s="31"/>
      <c r="B2696" s="34"/>
      <c r="C2696" s="18"/>
      <c r="D2696" s="18"/>
      <c r="E2696" s="18"/>
      <c r="F2696" s="18"/>
      <c r="G2696" s="35"/>
      <c r="H2696" s="33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  <c r="AA2696" s="18"/>
      <c r="AB2696" s="18"/>
    </row>
    <row r="2697">
      <c r="A2697" s="31"/>
      <c r="B2697" s="34"/>
      <c r="C2697" s="18"/>
      <c r="D2697" s="18"/>
      <c r="E2697" s="18"/>
      <c r="F2697" s="18"/>
      <c r="G2697" s="35"/>
      <c r="H2697" s="33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8"/>
      <c r="Y2697" s="18"/>
      <c r="Z2697" s="18"/>
      <c r="AA2697" s="18"/>
      <c r="AB2697" s="18"/>
    </row>
    <row r="2698">
      <c r="A2698" s="31"/>
      <c r="B2698" s="34"/>
      <c r="C2698" s="18"/>
      <c r="D2698" s="18"/>
      <c r="E2698" s="18"/>
      <c r="F2698" s="18"/>
      <c r="G2698" s="35"/>
      <c r="H2698" s="33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Y2698" s="18"/>
      <c r="Z2698" s="18"/>
      <c r="AA2698" s="18"/>
      <c r="AB2698" s="18"/>
    </row>
    <row r="2699">
      <c r="A2699" s="31"/>
      <c r="B2699" s="34"/>
      <c r="C2699" s="18"/>
      <c r="D2699" s="18"/>
      <c r="E2699" s="18"/>
      <c r="F2699" s="18"/>
      <c r="G2699" s="35"/>
      <c r="H2699" s="33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Y2699" s="18"/>
      <c r="Z2699" s="18"/>
      <c r="AA2699" s="18"/>
      <c r="AB2699" s="18"/>
    </row>
    <row r="2700">
      <c r="A2700" s="31"/>
      <c r="B2700" s="34"/>
      <c r="C2700" s="18"/>
      <c r="D2700" s="18"/>
      <c r="E2700" s="18"/>
      <c r="F2700" s="18"/>
      <c r="G2700" s="35"/>
      <c r="H2700" s="33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  <c r="Z2700" s="18"/>
      <c r="AA2700" s="18"/>
      <c r="AB2700" s="18"/>
    </row>
    <row r="2701">
      <c r="A2701" s="31"/>
      <c r="B2701" s="34"/>
      <c r="C2701" s="18"/>
      <c r="D2701" s="18"/>
      <c r="E2701" s="18"/>
      <c r="F2701" s="18"/>
      <c r="G2701" s="35"/>
      <c r="H2701" s="33"/>
      <c r="I2701" s="18"/>
      <c r="J2701" s="18"/>
      <c r="K2701" s="18"/>
      <c r="L2701" s="18"/>
      <c r="M2701" s="18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Y2701" s="18"/>
      <c r="Z2701" s="18"/>
      <c r="AA2701" s="18"/>
      <c r="AB2701" s="18"/>
    </row>
    <row r="2702">
      <c r="A2702" s="31"/>
      <c r="B2702" s="34"/>
      <c r="C2702" s="18"/>
      <c r="D2702" s="18"/>
      <c r="E2702" s="18"/>
      <c r="F2702" s="18"/>
      <c r="G2702" s="35"/>
      <c r="H2702" s="33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Y2702" s="18"/>
      <c r="Z2702" s="18"/>
      <c r="AA2702" s="18"/>
      <c r="AB2702" s="18"/>
    </row>
    <row r="2703">
      <c r="A2703" s="31"/>
      <c r="B2703" s="34"/>
      <c r="C2703" s="18"/>
      <c r="D2703" s="18"/>
      <c r="E2703" s="18"/>
      <c r="F2703" s="18"/>
      <c r="G2703" s="35"/>
      <c r="H2703" s="33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Y2703" s="18"/>
      <c r="Z2703" s="18"/>
      <c r="AA2703" s="18"/>
      <c r="AB2703" s="18"/>
    </row>
    <row r="2704">
      <c r="A2704" s="31"/>
      <c r="B2704" s="34"/>
      <c r="C2704" s="18"/>
      <c r="D2704" s="18"/>
      <c r="E2704" s="18"/>
      <c r="F2704" s="18"/>
      <c r="G2704" s="35"/>
      <c r="H2704" s="33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  <c r="Z2704" s="18"/>
      <c r="AA2704" s="18"/>
      <c r="AB2704" s="18"/>
    </row>
    <row r="2705">
      <c r="A2705" s="31"/>
      <c r="B2705" s="34"/>
      <c r="C2705" s="18"/>
      <c r="D2705" s="18"/>
      <c r="E2705" s="18"/>
      <c r="F2705" s="18"/>
      <c r="G2705" s="35"/>
      <c r="H2705" s="33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Y2705" s="18"/>
      <c r="Z2705" s="18"/>
      <c r="AA2705" s="18"/>
      <c r="AB2705" s="18"/>
    </row>
    <row r="2706">
      <c r="A2706" s="31"/>
      <c r="B2706" s="34"/>
      <c r="C2706" s="18"/>
      <c r="D2706" s="18"/>
      <c r="E2706" s="18"/>
      <c r="F2706" s="18"/>
      <c r="G2706" s="35"/>
      <c r="H2706" s="33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Y2706" s="18"/>
      <c r="Z2706" s="18"/>
      <c r="AA2706" s="18"/>
      <c r="AB2706" s="18"/>
    </row>
    <row r="2707">
      <c r="A2707" s="31"/>
      <c r="B2707" s="34"/>
      <c r="C2707" s="18"/>
      <c r="D2707" s="18"/>
      <c r="E2707" s="18"/>
      <c r="F2707" s="18"/>
      <c r="G2707" s="35"/>
      <c r="H2707" s="33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  <c r="X2707" s="18"/>
      <c r="Y2707" s="18"/>
      <c r="Z2707" s="18"/>
      <c r="AA2707" s="18"/>
      <c r="AB2707" s="18"/>
    </row>
    <row r="2708">
      <c r="A2708" s="31"/>
      <c r="B2708" s="34"/>
      <c r="C2708" s="18"/>
      <c r="D2708" s="18"/>
      <c r="E2708" s="18"/>
      <c r="F2708" s="18"/>
      <c r="G2708" s="35"/>
      <c r="H2708" s="33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8"/>
      <c r="Y2708" s="18"/>
      <c r="Z2708" s="18"/>
      <c r="AA2708" s="18"/>
      <c r="AB2708" s="18"/>
    </row>
    <row r="2709">
      <c r="A2709" s="31"/>
      <c r="B2709" s="34"/>
      <c r="C2709" s="18"/>
      <c r="D2709" s="18"/>
      <c r="E2709" s="18"/>
      <c r="F2709" s="18"/>
      <c r="G2709" s="35"/>
      <c r="H2709" s="33"/>
      <c r="I2709" s="18"/>
      <c r="J2709" s="18"/>
      <c r="K2709" s="18"/>
      <c r="L2709" s="18"/>
      <c r="M2709" s="18"/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8"/>
      <c r="Y2709" s="18"/>
      <c r="Z2709" s="18"/>
      <c r="AA2709" s="18"/>
      <c r="AB2709" s="18"/>
    </row>
    <row r="2710">
      <c r="A2710" s="31"/>
      <c r="B2710" s="34"/>
      <c r="C2710" s="18"/>
      <c r="D2710" s="18"/>
      <c r="E2710" s="18"/>
      <c r="F2710" s="18"/>
      <c r="G2710" s="35"/>
      <c r="H2710" s="33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8"/>
      <c r="Y2710" s="18"/>
      <c r="Z2710" s="18"/>
      <c r="AA2710" s="18"/>
      <c r="AB2710" s="18"/>
    </row>
    <row r="2711">
      <c r="A2711" s="31"/>
      <c r="B2711" s="34"/>
      <c r="C2711" s="18"/>
      <c r="D2711" s="18"/>
      <c r="E2711" s="18"/>
      <c r="F2711" s="18"/>
      <c r="G2711" s="35"/>
      <c r="H2711" s="33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Y2711" s="18"/>
      <c r="Z2711" s="18"/>
      <c r="AA2711" s="18"/>
      <c r="AB2711" s="18"/>
    </row>
    <row r="2712">
      <c r="A2712" s="31"/>
      <c r="B2712" s="34"/>
      <c r="C2712" s="18"/>
      <c r="D2712" s="18"/>
      <c r="E2712" s="18"/>
      <c r="F2712" s="18"/>
      <c r="G2712" s="35"/>
      <c r="H2712" s="33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  <c r="AA2712" s="18"/>
      <c r="AB2712" s="18"/>
    </row>
    <row r="2713">
      <c r="A2713" s="31"/>
      <c r="B2713" s="34"/>
      <c r="C2713" s="18"/>
      <c r="D2713" s="18"/>
      <c r="E2713" s="18"/>
      <c r="F2713" s="18"/>
      <c r="G2713" s="35"/>
      <c r="H2713" s="33"/>
      <c r="I2713" s="18"/>
      <c r="J2713" s="18"/>
      <c r="K2713" s="18"/>
      <c r="L2713" s="18"/>
      <c r="M2713" s="18"/>
      <c r="N2713" s="18"/>
      <c r="O2713" s="18"/>
      <c r="P2713" s="18"/>
      <c r="Q2713" s="18"/>
      <c r="R2713" s="18"/>
      <c r="S2713" s="18"/>
      <c r="T2713" s="18"/>
      <c r="U2713" s="18"/>
      <c r="V2713" s="18"/>
      <c r="W2713" s="18"/>
      <c r="X2713" s="18"/>
      <c r="Y2713" s="18"/>
      <c r="Z2713" s="18"/>
      <c r="AA2713" s="18"/>
      <c r="AB2713" s="18"/>
    </row>
    <row r="2714">
      <c r="A2714" s="31"/>
      <c r="B2714" s="34"/>
      <c r="C2714" s="18"/>
      <c r="D2714" s="18"/>
      <c r="E2714" s="18"/>
      <c r="F2714" s="18"/>
      <c r="G2714" s="35"/>
      <c r="H2714" s="33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  <c r="T2714" s="18"/>
      <c r="U2714" s="18"/>
      <c r="V2714" s="18"/>
      <c r="W2714" s="18"/>
      <c r="X2714" s="18"/>
      <c r="Y2714" s="18"/>
      <c r="Z2714" s="18"/>
      <c r="AA2714" s="18"/>
      <c r="AB2714" s="18"/>
    </row>
    <row r="2715">
      <c r="A2715" s="31"/>
      <c r="B2715" s="34"/>
      <c r="C2715" s="18"/>
      <c r="D2715" s="18"/>
      <c r="E2715" s="18"/>
      <c r="F2715" s="18"/>
      <c r="G2715" s="35"/>
      <c r="H2715" s="33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  <c r="X2715" s="18"/>
      <c r="Y2715" s="18"/>
      <c r="Z2715" s="18"/>
      <c r="AA2715" s="18"/>
      <c r="AB2715" s="18"/>
    </row>
    <row r="2716">
      <c r="A2716" s="31"/>
      <c r="B2716" s="34"/>
      <c r="C2716" s="18"/>
      <c r="D2716" s="18"/>
      <c r="E2716" s="18"/>
      <c r="F2716" s="18"/>
      <c r="G2716" s="35"/>
      <c r="H2716" s="33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Y2716" s="18"/>
      <c r="Z2716" s="18"/>
      <c r="AA2716" s="18"/>
      <c r="AB2716" s="18"/>
    </row>
    <row r="2717">
      <c r="A2717" s="31"/>
      <c r="B2717" s="34"/>
      <c r="C2717" s="18"/>
      <c r="D2717" s="18"/>
      <c r="E2717" s="18"/>
      <c r="F2717" s="18"/>
      <c r="G2717" s="35"/>
      <c r="H2717" s="33"/>
      <c r="I2717" s="18"/>
      <c r="J2717" s="18"/>
      <c r="K2717" s="18"/>
      <c r="L2717" s="18"/>
      <c r="M2717" s="18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8"/>
      <c r="Y2717" s="18"/>
      <c r="Z2717" s="18"/>
      <c r="AA2717" s="18"/>
      <c r="AB2717" s="18"/>
    </row>
    <row r="2718">
      <c r="A2718" s="31"/>
      <c r="B2718" s="34"/>
      <c r="C2718" s="18"/>
      <c r="D2718" s="18"/>
      <c r="E2718" s="18"/>
      <c r="F2718" s="18"/>
      <c r="G2718" s="35"/>
      <c r="H2718" s="33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  <c r="Z2718" s="18"/>
      <c r="AA2718" s="18"/>
      <c r="AB2718" s="18"/>
    </row>
    <row r="2719">
      <c r="A2719" s="31"/>
      <c r="B2719" s="34"/>
      <c r="C2719" s="18"/>
      <c r="D2719" s="18"/>
      <c r="E2719" s="18"/>
      <c r="F2719" s="18"/>
      <c r="G2719" s="35"/>
      <c r="H2719" s="33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8"/>
      <c r="Y2719" s="18"/>
      <c r="Z2719" s="18"/>
      <c r="AA2719" s="18"/>
      <c r="AB2719" s="18"/>
    </row>
    <row r="2720">
      <c r="A2720" s="31"/>
      <c r="B2720" s="34"/>
      <c r="C2720" s="18"/>
      <c r="D2720" s="18"/>
      <c r="E2720" s="18"/>
      <c r="F2720" s="18"/>
      <c r="G2720" s="35"/>
      <c r="H2720" s="33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  <c r="T2720" s="18"/>
      <c r="U2720" s="18"/>
      <c r="V2720" s="18"/>
      <c r="W2720" s="18"/>
      <c r="X2720" s="18"/>
      <c r="Y2720" s="18"/>
      <c r="Z2720" s="18"/>
      <c r="AA2720" s="18"/>
      <c r="AB2720" s="18"/>
    </row>
    <row r="2721">
      <c r="A2721" s="31"/>
      <c r="B2721" s="34"/>
      <c r="C2721" s="18"/>
      <c r="D2721" s="18"/>
      <c r="E2721" s="18"/>
      <c r="F2721" s="18"/>
      <c r="G2721" s="35"/>
      <c r="H2721" s="33"/>
      <c r="I2721" s="18"/>
      <c r="J2721" s="18"/>
      <c r="K2721" s="18"/>
      <c r="L2721" s="18"/>
      <c r="M2721" s="1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Y2721" s="18"/>
      <c r="Z2721" s="18"/>
      <c r="AA2721" s="18"/>
      <c r="AB2721" s="18"/>
    </row>
    <row r="2722">
      <c r="A2722" s="31"/>
      <c r="B2722" s="34"/>
      <c r="C2722" s="18"/>
      <c r="D2722" s="18"/>
      <c r="E2722" s="18"/>
      <c r="F2722" s="18"/>
      <c r="G2722" s="35"/>
      <c r="H2722" s="33"/>
      <c r="I2722" s="18"/>
      <c r="J2722" s="18"/>
      <c r="K2722" s="18"/>
      <c r="L2722" s="18"/>
      <c r="M2722" s="18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8"/>
      <c r="Y2722" s="18"/>
      <c r="Z2722" s="18"/>
      <c r="AA2722" s="18"/>
      <c r="AB2722" s="18"/>
    </row>
    <row r="2723">
      <c r="A2723" s="31"/>
      <c r="B2723" s="34"/>
      <c r="C2723" s="18"/>
      <c r="D2723" s="18"/>
      <c r="E2723" s="18"/>
      <c r="F2723" s="18"/>
      <c r="G2723" s="35"/>
      <c r="H2723" s="33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Y2723" s="18"/>
      <c r="Z2723" s="18"/>
      <c r="AA2723" s="18"/>
      <c r="AB2723" s="18"/>
    </row>
    <row r="2724">
      <c r="A2724" s="31"/>
      <c r="B2724" s="34"/>
      <c r="C2724" s="18"/>
      <c r="D2724" s="18"/>
      <c r="E2724" s="18"/>
      <c r="F2724" s="18"/>
      <c r="G2724" s="35"/>
      <c r="H2724" s="33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  <c r="AA2724" s="18"/>
      <c r="AB2724" s="18"/>
    </row>
    <row r="2725">
      <c r="A2725" s="31"/>
      <c r="B2725" s="34"/>
      <c r="C2725" s="18"/>
      <c r="D2725" s="18"/>
      <c r="E2725" s="18"/>
      <c r="F2725" s="18"/>
      <c r="G2725" s="35"/>
      <c r="H2725" s="33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  <c r="Z2725" s="18"/>
      <c r="AA2725" s="18"/>
      <c r="AB2725" s="18"/>
    </row>
    <row r="2726">
      <c r="A2726" s="31"/>
      <c r="B2726" s="34"/>
      <c r="C2726" s="18"/>
      <c r="D2726" s="18"/>
      <c r="E2726" s="18"/>
      <c r="F2726" s="18"/>
      <c r="G2726" s="35"/>
      <c r="H2726" s="33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8"/>
      <c r="Y2726" s="18"/>
      <c r="Z2726" s="18"/>
      <c r="AA2726" s="18"/>
      <c r="AB2726" s="18"/>
    </row>
    <row r="2727">
      <c r="A2727" s="31"/>
      <c r="B2727" s="34"/>
      <c r="C2727" s="18"/>
      <c r="D2727" s="18"/>
      <c r="E2727" s="18"/>
      <c r="F2727" s="18"/>
      <c r="G2727" s="35"/>
      <c r="H2727" s="33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8"/>
      <c r="Y2727" s="18"/>
      <c r="Z2727" s="18"/>
      <c r="AA2727" s="18"/>
      <c r="AB2727" s="18"/>
    </row>
    <row r="2728">
      <c r="A2728" s="31"/>
      <c r="B2728" s="34"/>
      <c r="C2728" s="18"/>
      <c r="D2728" s="18"/>
      <c r="E2728" s="18"/>
      <c r="F2728" s="18"/>
      <c r="G2728" s="35"/>
      <c r="H2728" s="33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  <c r="Z2728" s="18"/>
      <c r="AA2728" s="18"/>
      <c r="AB2728" s="18"/>
    </row>
    <row r="2729">
      <c r="A2729" s="31"/>
      <c r="B2729" s="34"/>
      <c r="C2729" s="18"/>
      <c r="D2729" s="18"/>
      <c r="E2729" s="18"/>
      <c r="F2729" s="18"/>
      <c r="G2729" s="35"/>
      <c r="H2729" s="33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Y2729" s="18"/>
      <c r="Z2729" s="18"/>
      <c r="AA2729" s="18"/>
      <c r="AB2729" s="18"/>
    </row>
    <row r="2730">
      <c r="A2730" s="31"/>
      <c r="B2730" s="34"/>
      <c r="C2730" s="18"/>
      <c r="D2730" s="18"/>
      <c r="E2730" s="18"/>
      <c r="F2730" s="18"/>
      <c r="G2730" s="35"/>
      <c r="H2730" s="33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Y2730" s="18"/>
      <c r="Z2730" s="18"/>
      <c r="AA2730" s="18"/>
      <c r="AB2730" s="18"/>
    </row>
    <row r="2731">
      <c r="A2731" s="31"/>
      <c r="B2731" s="34"/>
      <c r="C2731" s="18"/>
      <c r="D2731" s="18"/>
      <c r="E2731" s="18"/>
      <c r="F2731" s="18"/>
      <c r="G2731" s="35"/>
      <c r="H2731" s="33"/>
      <c r="I2731" s="18"/>
      <c r="J2731" s="18"/>
      <c r="K2731" s="18"/>
      <c r="L2731" s="18"/>
      <c r="M2731" s="18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  <c r="X2731" s="18"/>
      <c r="Y2731" s="18"/>
      <c r="Z2731" s="18"/>
      <c r="AA2731" s="18"/>
      <c r="AB2731" s="18"/>
    </row>
    <row r="2732">
      <c r="A2732" s="31"/>
      <c r="B2732" s="34"/>
      <c r="C2732" s="18"/>
      <c r="D2732" s="18"/>
      <c r="E2732" s="18"/>
      <c r="F2732" s="18"/>
      <c r="G2732" s="35"/>
      <c r="H2732" s="33"/>
      <c r="I2732" s="18"/>
      <c r="J2732" s="18"/>
      <c r="K2732" s="18"/>
      <c r="L2732" s="18"/>
      <c r="M2732" s="1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Y2732" s="18"/>
      <c r="Z2732" s="18"/>
      <c r="AA2732" s="18"/>
      <c r="AB2732" s="18"/>
    </row>
    <row r="2733">
      <c r="A2733" s="31"/>
      <c r="B2733" s="34"/>
      <c r="C2733" s="18"/>
      <c r="D2733" s="18"/>
      <c r="E2733" s="18"/>
      <c r="F2733" s="18"/>
      <c r="G2733" s="35"/>
      <c r="H2733" s="33"/>
      <c r="I2733" s="18"/>
      <c r="J2733" s="18"/>
      <c r="K2733" s="18"/>
      <c r="L2733" s="18"/>
      <c r="M2733" s="18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8"/>
      <c r="Y2733" s="18"/>
      <c r="Z2733" s="18"/>
      <c r="AA2733" s="18"/>
      <c r="AB2733" s="18"/>
    </row>
    <row r="2734">
      <c r="A2734" s="31"/>
      <c r="B2734" s="34"/>
      <c r="C2734" s="18"/>
      <c r="D2734" s="18"/>
      <c r="E2734" s="18"/>
      <c r="F2734" s="18"/>
      <c r="G2734" s="35"/>
      <c r="H2734" s="33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Y2734" s="18"/>
      <c r="Z2734" s="18"/>
      <c r="AA2734" s="18"/>
      <c r="AB2734" s="18"/>
    </row>
    <row r="2735">
      <c r="A2735" s="31"/>
      <c r="B2735" s="34"/>
      <c r="C2735" s="18"/>
      <c r="D2735" s="18"/>
      <c r="E2735" s="18"/>
      <c r="F2735" s="18"/>
      <c r="G2735" s="35"/>
      <c r="H2735" s="33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Y2735" s="18"/>
      <c r="Z2735" s="18"/>
      <c r="AA2735" s="18"/>
      <c r="AB2735" s="18"/>
    </row>
    <row r="2736">
      <c r="A2736" s="31"/>
      <c r="B2736" s="34"/>
      <c r="C2736" s="18"/>
      <c r="D2736" s="18"/>
      <c r="E2736" s="18"/>
      <c r="F2736" s="18"/>
      <c r="G2736" s="35"/>
      <c r="H2736" s="33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  <c r="AA2736" s="18"/>
      <c r="AB2736" s="18"/>
    </row>
    <row r="2737">
      <c r="A2737" s="31"/>
      <c r="B2737" s="34"/>
      <c r="C2737" s="18"/>
      <c r="D2737" s="18"/>
      <c r="E2737" s="18"/>
      <c r="F2737" s="18"/>
      <c r="G2737" s="35"/>
      <c r="H2737" s="33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8"/>
      <c r="Y2737" s="18"/>
      <c r="Z2737" s="18"/>
      <c r="AA2737" s="18"/>
      <c r="AB2737" s="18"/>
    </row>
    <row r="2738">
      <c r="A2738" s="31"/>
      <c r="B2738" s="34"/>
      <c r="C2738" s="18"/>
      <c r="D2738" s="18"/>
      <c r="E2738" s="18"/>
      <c r="F2738" s="18"/>
      <c r="G2738" s="35"/>
      <c r="H2738" s="33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  <c r="Z2738" s="18"/>
      <c r="AA2738" s="18"/>
      <c r="AB2738" s="18"/>
    </row>
    <row r="2739">
      <c r="A2739" s="31"/>
      <c r="B2739" s="34"/>
      <c r="C2739" s="18"/>
      <c r="D2739" s="18"/>
      <c r="E2739" s="18"/>
      <c r="F2739" s="18"/>
      <c r="G2739" s="35"/>
      <c r="H2739" s="33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8"/>
      <c r="Y2739" s="18"/>
      <c r="Z2739" s="18"/>
      <c r="AA2739" s="18"/>
      <c r="AB2739" s="18"/>
    </row>
    <row r="2740">
      <c r="A2740" s="31"/>
      <c r="B2740" s="34"/>
      <c r="C2740" s="18"/>
      <c r="D2740" s="18"/>
      <c r="E2740" s="18"/>
      <c r="F2740" s="18"/>
      <c r="G2740" s="35"/>
      <c r="H2740" s="33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  <c r="Z2740" s="18"/>
      <c r="AA2740" s="18"/>
      <c r="AB2740" s="18"/>
    </row>
    <row r="2741">
      <c r="A2741" s="31"/>
      <c r="B2741" s="34"/>
      <c r="C2741" s="18"/>
      <c r="D2741" s="18"/>
      <c r="E2741" s="18"/>
      <c r="F2741" s="18"/>
      <c r="G2741" s="35"/>
      <c r="H2741" s="33"/>
      <c r="I2741" s="18"/>
      <c r="J2741" s="18"/>
      <c r="K2741" s="18"/>
      <c r="L2741" s="18"/>
      <c r="M2741" s="1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Y2741" s="18"/>
      <c r="Z2741" s="18"/>
      <c r="AA2741" s="18"/>
      <c r="AB2741" s="18"/>
    </row>
    <row r="2742">
      <c r="A2742" s="31"/>
      <c r="B2742" s="34"/>
      <c r="C2742" s="18"/>
      <c r="D2742" s="18"/>
      <c r="E2742" s="18"/>
      <c r="F2742" s="18"/>
      <c r="G2742" s="35"/>
      <c r="H2742" s="33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  <c r="AA2742" s="18"/>
      <c r="AB2742" s="18"/>
    </row>
    <row r="2743">
      <c r="A2743" s="31"/>
      <c r="B2743" s="34"/>
      <c r="C2743" s="18"/>
      <c r="D2743" s="18"/>
      <c r="E2743" s="18"/>
      <c r="F2743" s="18"/>
      <c r="G2743" s="35"/>
      <c r="H2743" s="33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8"/>
      <c r="Y2743" s="18"/>
      <c r="Z2743" s="18"/>
      <c r="AA2743" s="18"/>
      <c r="AB2743" s="18"/>
    </row>
    <row r="2744">
      <c r="A2744" s="31"/>
      <c r="B2744" s="34"/>
      <c r="C2744" s="18"/>
      <c r="D2744" s="18"/>
      <c r="E2744" s="18"/>
      <c r="F2744" s="18"/>
      <c r="G2744" s="35"/>
      <c r="H2744" s="33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Y2744" s="18"/>
      <c r="Z2744" s="18"/>
      <c r="AA2744" s="18"/>
      <c r="AB2744" s="18"/>
    </row>
    <row r="2745">
      <c r="A2745" s="31"/>
      <c r="B2745" s="34"/>
      <c r="C2745" s="18"/>
      <c r="D2745" s="18"/>
      <c r="E2745" s="18"/>
      <c r="F2745" s="18"/>
      <c r="G2745" s="35"/>
      <c r="H2745" s="33"/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Y2745" s="18"/>
      <c r="Z2745" s="18"/>
      <c r="AA2745" s="18"/>
      <c r="AB2745" s="18"/>
    </row>
    <row r="2746">
      <c r="A2746" s="31"/>
      <c r="B2746" s="34"/>
      <c r="C2746" s="18"/>
      <c r="D2746" s="18"/>
      <c r="E2746" s="18"/>
      <c r="F2746" s="18"/>
      <c r="G2746" s="35"/>
      <c r="H2746" s="33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  <c r="Z2746" s="18"/>
      <c r="AA2746" s="18"/>
      <c r="AB2746" s="18"/>
    </row>
    <row r="2747">
      <c r="A2747" s="31"/>
      <c r="B2747" s="34"/>
      <c r="C2747" s="18"/>
      <c r="D2747" s="18"/>
      <c r="E2747" s="18"/>
      <c r="F2747" s="18"/>
      <c r="G2747" s="35"/>
      <c r="H2747" s="33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  <c r="Z2747" s="18"/>
      <c r="AA2747" s="18"/>
      <c r="AB2747" s="18"/>
    </row>
    <row r="2748">
      <c r="A2748" s="31"/>
      <c r="B2748" s="34"/>
      <c r="C2748" s="18"/>
      <c r="D2748" s="18"/>
      <c r="E2748" s="18"/>
      <c r="F2748" s="18"/>
      <c r="G2748" s="35"/>
      <c r="H2748" s="33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  <c r="AA2748" s="18"/>
      <c r="AB2748" s="18"/>
    </row>
    <row r="2749">
      <c r="A2749" s="31"/>
      <c r="B2749" s="34"/>
      <c r="C2749" s="18"/>
      <c r="D2749" s="18"/>
      <c r="E2749" s="18"/>
      <c r="F2749" s="18"/>
      <c r="G2749" s="35"/>
      <c r="H2749" s="33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8"/>
      <c r="Y2749" s="18"/>
      <c r="Z2749" s="18"/>
      <c r="AA2749" s="18"/>
      <c r="AB2749" s="18"/>
    </row>
    <row r="2750">
      <c r="A2750" s="31"/>
      <c r="B2750" s="34"/>
      <c r="C2750" s="18"/>
      <c r="D2750" s="18"/>
      <c r="E2750" s="18"/>
      <c r="F2750" s="18"/>
      <c r="G2750" s="35"/>
      <c r="H2750" s="33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  <c r="Z2750" s="18"/>
      <c r="AA2750" s="18"/>
      <c r="AB2750" s="18"/>
    </row>
    <row r="2751">
      <c r="A2751" s="31"/>
      <c r="B2751" s="34"/>
      <c r="C2751" s="18"/>
      <c r="D2751" s="18"/>
      <c r="E2751" s="18"/>
      <c r="F2751" s="18"/>
      <c r="G2751" s="35"/>
      <c r="H2751" s="33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Y2751" s="18"/>
      <c r="Z2751" s="18"/>
      <c r="AA2751" s="18"/>
      <c r="AB2751" s="18"/>
    </row>
    <row r="2752">
      <c r="A2752" s="31"/>
      <c r="B2752" s="34"/>
      <c r="C2752" s="18"/>
      <c r="D2752" s="18"/>
      <c r="E2752" s="18"/>
      <c r="F2752" s="18"/>
      <c r="G2752" s="35"/>
      <c r="H2752" s="33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  <c r="Z2752" s="18"/>
      <c r="AA2752" s="18"/>
      <c r="AB2752" s="18"/>
    </row>
    <row r="2753">
      <c r="A2753" s="31"/>
      <c r="B2753" s="34"/>
      <c r="C2753" s="18"/>
      <c r="D2753" s="18"/>
      <c r="E2753" s="18"/>
      <c r="F2753" s="18"/>
      <c r="G2753" s="35"/>
      <c r="H2753" s="33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Y2753" s="18"/>
      <c r="Z2753" s="18"/>
      <c r="AA2753" s="18"/>
      <c r="AB2753" s="18"/>
    </row>
    <row r="2754">
      <c r="A2754" s="31"/>
      <c r="B2754" s="34"/>
      <c r="C2754" s="18"/>
      <c r="D2754" s="18"/>
      <c r="E2754" s="18"/>
      <c r="F2754" s="18"/>
      <c r="G2754" s="35"/>
      <c r="H2754" s="33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  <c r="AA2754" s="18"/>
      <c r="AB2754" s="18"/>
    </row>
    <row r="2755">
      <c r="A2755" s="31"/>
      <c r="B2755" s="34"/>
      <c r="C2755" s="18"/>
      <c r="D2755" s="18"/>
      <c r="E2755" s="18"/>
      <c r="F2755" s="18"/>
      <c r="G2755" s="35"/>
      <c r="H2755" s="33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8"/>
      <c r="Y2755" s="18"/>
      <c r="Z2755" s="18"/>
      <c r="AA2755" s="18"/>
      <c r="AB2755" s="18"/>
    </row>
    <row r="2756">
      <c r="A2756" s="31"/>
      <c r="B2756" s="34"/>
      <c r="C2756" s="18"/>
      <c r="D2756" s="18"/>
      <c r="E2756" s="18"/>
      <c r="F2756" s="18"/>
      <c r="G2756" s="35"/>
      <c r="H2756" s="33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  <c r="Z2756" s="18"/>
      <c r="AA2756" s="18"/>
      <c r="AB2756" s="18"/>
    </row>
    <row r="2757">
      <c r="A2757" s="31"/>
      <c r="B2757" s="34"/>
      <c r="C2757" s="18"/>
      <c r="D2757" s="18"/>
      <c r="E2757" s="18"/>
      <c r="F2757" s="18"/>
      <c r="G2757" s="35"/>
      <c r="H2757" s="33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  <c r="Z2757" s="18"/>
      <c r="AA2757" s="18"/>
      <c r="AB2757" s="18"/>
    </row>
    <row r="2758">
      <c r="A2758" s="31"/>
      <c r="B2758" s="34"/>
      <c r="C2758" s="18"/>
      <c r="D2758" s="18"/>
      <c r="E2758" s="18"/>
      <c r="F2758" s="18"/>
      <c r="G2758" s="35"/>
      <c r="H2758" s="33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  <c r="Z2758" s="18"/>
      <c r="AA2758" s="18"/>
      <c r="AB2758" s="18"/>
    </row>
    <row r="2759">
      <c r="A2759" s="31"/>
      <c r="B2759" s="34"/>
      <c r="C2759" s="18"/>
      <c r="D2759" s="18"/>
      <c r="E2759" s="18"/>
      <c r="F2759" s="18"/>
      <c r="G2759" s="35"/>
      <c r="H2759" s="33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8"/>
      <c r="Y2759" s="18"/>
      <c r="Z2759" s="18"/>
      <c r="AA2759" s="18"/>
      <c r="AB2759" s="18"/>
    </row>
    <row r="2760">
      <c r="A2760" s="31"/>
      <c r="B2760" s="34"/>
      <c r="C2760" s="18"/>
      <c r="D2760" s="18"/>
      <c r="E2760" s="18"/>
      <c r="F2760" s="18"/>
      <c r="G2760" s="35"/>
      <c r="H2760" s="33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  <c r="AA2760" s="18"/>
      <c r="AB2760" s="18"/>
    </row>
    <row r="2761">
      <c r="A2761" s="31"/>
      <c r="B2761" s="34"/>
      <c r="C2761" s="18"/>
      <c r="D2761" s="18"/>
      <c r="E2761" s="18"/>
      <c r="F2761" s="18"/>
      <c r="G2761" s="35"/>
      <c r="H2761" s="33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8"/>
      <c r="Y2761" s="18"/>
      <c r="Z2761" s="18"/>
      <c r="AA2761" s="18"/>
      <c r="AB2761" s="18"/>
    </row>
    <row r="2762">
      <c r="A2762" s="31"/>
      <c r="B2762" s="34"/>
      <c r="C2762" s="18"/>
      <c r="D2762" s="18"/>
      <c r="E2762" s="18"/>
      <c r="F2762" s="18"/>
      <c r="G2762" s="35"/>
      <c r="H2762" s="33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  <c r="AA2762" s="18"/>
      <c r="AB2762" s="18"/>
    </row>
    <row r="2763">
      <c r="A2763" s="31"/>
      <c r="B2763" s="34"/>
      <c r="C2763" s="18"/>
      <c r="D2763" s="18"/>
      <c r="E2763" s="18"/>
      <c r="F2763" s="18"/>
      <c r="G2763" s="35"/>
      <c r="H2763" s="33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8"/>
      <c r="Y2763" s="18"/>
      <c r="Z2763" s="18"/>
      <c r="AA2763" s="18"/>
      <c r="AB2763" s="18"/>
    </row>
    <row r="2764">
      <c r="A2764" s="31"/>
      <c r="B2764" s="34"/>
      <c r="C2764" s="18"/>
      <c r="D2764" s="18"/>
      <c r="E2764" s="18"/>
      <c r="F2764" s="18"/>
      <c r="G2764" s="35"/>
      <c r="H2764" s="33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  <c r="Z2764" s="18"/>
      <c r="AA2764" s="18"/>
      <c r="AB2764" s="18"/>
    </row>
    <row r="2765">
      <c r="A2765" s="31"/>
      <c r="B2765" s="34"/>
      <c r="C2765" s="18"/>
      <c r="D2765" s="18"/>
      <c r="E2765" s="18"/>
      <c r="F2765" s="18"/>
      <c r="G2765" s="35"/>
      <c r="H2765" s="33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8"/>
      <c r="Y2765" s="18"/>
      <c r="Z2765" s="18"/>
      <c r="AA2765" s="18"/>
      <c r="AB2765" s="18"/>
    </row>
    <row r="2766">
      <c r="A2766" s="31"/>
      <c r="B2766" s="34"/>
      <c r="C2766" s="18"/>
      <c r="D2766" s="18"/>
      <c r="E2766" s="18"/>
      <c r="F2766" s="18"/>
      <c r="G2766" s="35"/>
      <c r="H2766" s="33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  <c r="Z2766" s="18"/>
      <c r="AA2766" s="18"/>
      <c r="AB2766" s="18"/>
    </row>
    <row r="2767">
      <c r="A2767" s="31"/>
      <c r="B2767" s="34"/>
      <c r="C2767" s="18"/>
      <c r="D2767" s="18"/>
      <c r="E2767" s="18"/>
      <c r="F2767" s="18"/>
      <c r="G2767" s="35"/>
      <c r="H2767" s="33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8"/>
      <c r="Y2767" s="18"/>
      <c r="Z2767" s="18"/>
      <c r="AA2767" s="18"/>
      <c r="AB2767" s="18"/>
    </row>
    <row r="2768">
      <c r="A2768" s="31"/>
      <c r="B2768" s="34"/>
      <c r="C2768" s="18"/>
      <c r="D2768" s="18"/>
      <c r="E2768" s="18"/>
      <c r="F2768" s="18"/>
      <c r="G2768" s="35"/>
      <c r="H2768" s="33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Y2768" s="18"/>
      <c r="Z2768" s="18"/>
      <c r="AA2768" s="18"/>
      <c r="AB2768" s="18"/>
    </row>
    <row r="2769">
      <c r="A2769" s="31"/>
      <c r="B2769" s="34"/>
      <c r="C2769" s="18"/>
      <c r="D2769" s="18"/>
      <c r="E2769" s="18"/>
      <c r="F2769" s="18"/>
      <c r="G2769" s="35"/>
      <c r="H2769" s="33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Y2769" s="18"/>
      <c r="Z2769" s="18"/>
      <c r="AA2769" s="18"/>
      <c r="AB2769" s="18"/>
    </row>
    <row r="2770">
      <c r="A2770" s="31"/>
      <c r="B2770" s="34"/>
      <c r="C2770" s="18"/>
      <c r="D2770" s="18"/>
      <c r="E2770" s="18"/>
      <c r="F2770" s="18"/>
      <c r="G2770" s="35"/>
      <c r="H2770" s="33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Y2770" s="18"/>
      <c r="Z2770" s="18"/>
      <c r="AA2770" s="18"/>
      <c r="AB2770" s="18"/>
    </row>
    <row r="2771">
      <c r="A2771" s="31"/>
      <c r="B2771" s="34"/>
      <c r="C2771" s="18"/>
      <c r="D2771" s="18"/>
      <c r="E2771" s="18"/>
      <c r="F2771" s="18"/>
      <c r="G2771" s="35"/>
      <c r="H2771" s="33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  <c r="Z2771" s="18"/>
      <c r="AA2771" s="18"/>
      <c r="AB2771" s="18"/>
    </row>
    <row r="2772">
      <c r="A2772" s="31"/>
      <c r="B2772" s="34"/>
      <c r="C2772" s="18"/>
      <c r="D2772" s="18"/>
      <c r="E2772" s="18"/>
      <c r="F2772" s="18"/>
      <c r="G2772" s="35"/>
      <c r="H2772" s="33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  <c r="Z2772" s="18"/>
      <c r="AA2772" s="18"/>
      <c r="AB2772" s="18"/>
    </row>
    <row r="2773">
      <c r="A2773" s="31"/>
      <c r="B2773" s="34"/>
      <c r="C2773" s="18"/>
      <c r="D2773" s="18"/>
      <c r="E2773" s="18"/>
      <c r="F2773" s="18"/>
      <c r="G2773" s="35"/>
      <c r="H2773" s="33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8"/>
      <c r="Y2773" s="18"/>
      <c r="Z2773" s="18"/>
      <c r="AA2773" s="18"/>
      <c r="AB2773" s="18"/>
    </row>
    <row r="2774">
      <c r="A2774" s="31"/>
      <c r="B2774" s="34"/>
      <c r="C2774" s="18"/>
      <c r="D2774" s="18"/>
      <c r="E2774" s="18"/>
      <c r="F2774" s="18"/>
      <c r="G2774" s="35"/>
      <c r="H2774" s="33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  <c r="Z2774" s="18"/>
      <c r="AA2774" s="18"/>
      <c r="AB2774" s="18"/>
    </row>
    <row r="2775">
      <c r="A2775" s="31"/>
      <c r="B2775" s="34"/>
      <c r="C2775" s="18"/>
      <c r="D2775" s="18"/>
      <c r="E2775" s="18"/>
      <c r="F2775" s="18"/>
      <c r="G2775" s="35"/>
      <c r="H2775" s="33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Y2775" s="18"/>
      <c r="Z2775" s="18"/>
      <c r="AA2775" s="18"/>
      <c r="AB2775" s="18"/>
    </row>
    <row r="2776">
      <c r="A2776" s="31"/>
      <c r="B2776" s="34"/>
      <c r="C2776" s="18"/>
      <c r="D2776" s="18"/>
      <c r="E2776" s="18"/>
      <c r="F2776" s="18"/>
      <c r="G2776" s="35"/>
      <c r="H2776" s="33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  <c r="AA2776" s="18"/>
      <c r="AB2776" s="18"/>
    </row>
    <row r="2777">
      <c r="A2777" s="31"/>
      <c r="B2777" s="34"/>
      <c r="C2777" s="18"/>
      <c r="D2777" s="18"/>
      <c r="E2777" s="18"/>
      <c r="F2777" s="18"/>
      <c r="G2777" s="35"/>
      <c r="H2777" s="33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Y2777" s="18"/>
      <c r="Z2777" s="18"/>
      <c r="AA2777" s="18"/>
      <c r="AB2777" s="18"/>
    </row>
    <row r="2778">
      <c r="A2778" s="31"/>
      <c r="B2778" s="34"/>
      <c r="C2778" s="18"/>
      <c r="D2778" s="18"/>
      <c r="E2778" s="18"/>
      <c r="F2778" s="18"/>
      <c r="G2778" s="35"/>
      <c r="H2778" s="33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  <c r="Z2778" s="18"/>
      <c r="AA2778" s="18"/>
      <c r="AB2778" s="18"/>
    </row>
    <row r="2779">
      <c r="A2779" s="31"/>
      <c r="B2779" s="34"/>
      <c r="C2779" s="18"/>
      <c r="D2779" s="18"/>
      <c r="E2779" s="18"/>
      <c r="F2779" s="18"/>
      <c r="G2779" s="35"/>
      <c r="H2779" s="33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8"/>
      <c r="Y2779" s="18"/>
      <c r="Z2779" s="18"/>
      <c r="AA2779" s="18"/>
      <c r="AB2779" s="18"/>
    </row>
    <row r="2780">
      <c r="A2780" s="31"/>
      <c r="B2780" s="34"/>
      <c r="C2780" s="18"/>
      <c r="D2780" s="18"/>
      <c r="E2780" s="18"/>
      <c r="F2780" s="18"/>
      <c r="G2780" s="35"/>
      <c r="H2780" s="33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  <c r="Z2780" s="18"/>
      <c r="AA2780" s="18"/>
      <c r="AB2780" s="18"/>
    </row>
    <row r="2781">
      <c r="A2781" s="31"/>
      <c r="B2781" s="34"/>
      <c r="C2781" s="18"/>
      <c r="D2781" s="18"/>
      <c r="E2781" s="18"/>
      <c r="F2781" s="18"/>
      <c r="G2781" s="35"/>
      <c r="H2781" s="33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Y2781" s="18"/>
      <c r="Z2781" s="18"/>
      <c r="AA2781" s="18"/>
      <c r="AB2781" s="18"/>
    </row>
    <row r="2782">
      <c r="A2782" s="31"/>
      <c r="B2782" s="34"/>
      <c r="C2782" s="18"/>
      <c r="D2782" s="18"/>
      <c r="E2782" s="18"/>
      <c r="F2782" s="18"/>
      <c r="G2782" s="35"/>
      <c r="H2782" s="33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Y2782" s="18"/>
      <c r="Z2782" s="18"/>
      <c r="AA2782" s="18"/>
      <c r="AB2782" s="18"/>
    </row>
    <row r="2783">
      <c r="A2783" s="31"/>
      <c r="B2783" s="34"/>
      <c r="C2783" s="18"/>
      <c r="D2783" s="18"/>
      <c r="E2783" s="18"/>
      <c r="F2783" s="18"/>
      <c r="G2783" s="35"/>
      <c r="H2783" s="33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8"/>
      <c r="Y2783" s="18"/>
      <c r="Z2783" s="18"/>
      <c r="AA2783" s="18"/>
      <c r="AB2783" s="18"/>
    </row>
    <row r="2784">
      <c r="A2784" s="31"/>
      <c r="B2784" s="34"/>
      <c r="C2784" s="18"/>
      <c r="D2784" s="18"/>
      <c r="E2784" s="18"/>
      <c r="F2784" s="18"/>
      <c r="G2784" s="35"/>
      <c r="H2784" s="33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  <c r="AA2784" s="18"/>
      <c r="AB2784" s="18"/>
    </row>
    <row r="2785">
      <c r="A2785" s="31"/>
      <c r="B2785" s="34"/>
      <c r="C2785" s="18"/>
      <c r="D2785" s="18"/>
      <c r="E2785" s="18"/>
      <c r="F2785" s="18"/>
      <c r="G2785" s="35"/>
      <c r="H2785" s="33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8"/>
      <c r="Y2785" s="18"/>
      <c r="Z2785" s="18"/>
      <c r="AA2785" s="18"/>
      <c r="AB2785" s="18"/>
    </row>
    <row r="2786">
      <c r="A2786" s="31"/>
      <c r="B2786" s="34"/>
      <c r="C2786" s="18"/>
      <c r="D2786" s="18"/>
      <c r="E2786" s="18"/>
      <c r="F2786" s="18"/>
      <c r="G2786" s="35"/>
      <c r="H2786" s="33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Y2786" s="18"/>
      <c r="Z2786" s="18"/>
      <c r="AA2786" s="18"/>
      <c r="AB2786" s="18"/>
    </row>
    <row r="2787">
      <c r="A2787" s="31"/>
      <c r="B2787" s="34"/>
      <c r="C2787" s="18"/>
      <c r="D2787" s="18"/>
      <c r="E2787" s="18"/>
      <c r="F2787" s="18"/>
      <c r="G2787" s="35"/>
      <c r="H2787" s="33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Y2787" s="18"/>
      <c r="Z2787" s="18"/>
      <c r="AA2787" s="18"/>
      <c r="AB2787" s="18"/>
    </row>
    <row r="2788">
      <c r="A2788" s="31"/>
      <c r="B2788" s="34"/>
      <c r="C2788" s="18"/>
      <c r="D2788" s="18"/>
      <c r="E2788" s="18"/>
      <c r="F2788" s="18"/>
      <c r="G2788" s="35"/>
      <c r="H2788" s="33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Y2788" s="18"/>
      <c r="Z2788" s="18"/>
      <c r="AA2788" s="18"/>
      <c r="AB2788" s="18"/>
    </row>
    <row r="2789">
      <c r="A2789" s="31"/>
      <c r="B2789" s="34"/>
      <c r="C2789" s="18"/>
      <c r="D2789" s="18"/>
      <c r="E2789" s="18"/>
      <c r="F2789" s="18"/>
      <c r="G2789" s="35"/>
      <c r="H2789" s="33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8"/>
      <c r="U2789" s="18"/>
      <c r="V2789" s="18"/>
      <c r="W2789" s="18"/>
      <c r="X2789" s="18"/>
      <c r="Y2789" s="18"/>
      <c r="Z2789" s="18"/>
      <c r="AA2789" s="18"/>
      <c r="AB2789" s="18"/>
    </row>
    <row r="2790">
      <c r="A2790" s="31"/>
      <c r="B2790" s="34"/>
      <c r="C2790" s="18"/>
      <c r="D2790" s="18"/>
      <c r="E2790" s="18"/>
      <c r="F2790" s="18"/>
      <c r="G2790" s="35"/>
      <c r="H2790" s="33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  <c r="AA2790" s="18"/>
      <c r="AB2790" s="18"/>
    </row>
    <row r="2791">
      <c r="A2791" s="31"/>
      <c r="B2791" s="34"/>
      <c r="C2791" s="18"/>
      <c r="D2791" s="18"/>
      <c r="E2791" s="18"/>
      <c r="F2791" s="18"/>
      <c r="G2791" s="35"/>
      <c r="H2791" s="33"/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  <c r="T2791" s="18"/>
      <c r="U2791" s="18"/>
      <c r="V2791" s="18"/>
      <c r="W2791" s="18"/>
      <c r="X2791" s="18"/>
      <c r="Y2791" s="18"/>
      <c r="Z2791" s="18"/>
      <c r="AA2791" s="18"/>
      <c r="AB2791" s="18"/>
    </row>
    <row r="2792">
      <c r="A2792" s="31"/>
      <c r="B2792" s="34"/>
      <c r="C2792" s="18"/>
      <c r="D2792" s="18"/>
      <c r="E2792" s="18"/>
      <c r="F2792" s="18"/>
      <c r="G2792" s="35"/>
      <c r="H2792" s="33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Y2792" s="18"/>
      <c r="Z2792" s="18"/>
      <c r="AA2792" s="18"/>
      <c r="AB2792" s="18"/>
    </row>
    <row r="2793">
      <c r="A2793" s="31"/>
      <c r="B2793" s="34"/>
      <c r="C2793" s="18"/>
      <c r="D2793" s="18"/>
      <c r="E2793" s="18"/>
      <c r="F2793" s="18"/>
      <c r="G2793" s="35"/>
      <c r="H2793" s="33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Y2793" s="18"/>
      <c r="Z2793" s="18"/>
      <c r="AA2793" s="18"/>
      <c r="AB2793" s="18"/>
    </row>
    <row r="2794">
      <c r="A2794" s="31"/>
      <c r="B2794" s="34"/>
      <c r="C2794" s="18"/>
      <c r="D2794" s="18"/>
      <c r="E2794" s="18"/>
      <c r="F2794" s="18"/>
      <c r="G2794" s="35"/>
      <c r="H2794" s="33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Y2794" s="18"/>
      <c r="Z2794" s="18"/>
      <c r="AA2794" s="18"/>
      <c r="AB2794" s="18"/>
    </row>
    <row r="2795">
      <c r="A2795" s="31"/>
      <c r="B2795" s="34"/>
      <c r="C2795" s="18"/>
      <c r="D2795" s="18"/>
      <c r="E2795" s="18"/>
      <c r="F2795" s="18"/>
      <c r="G2795" s="35"/>
      <c r="H2795" s="33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Y2795" s="18"/>
      <c r="Z2795" s="18"/>
      <c r="AA2795" s="18"/>
      <c r="AB2795" s="18"/>
    </row>
    <row r="2796">
      <c r="A2796" s="31"/>
      <c r="B2796" s="34"/>
      <c r="C2796" s="18"/>
      <c r="D2796" s="18"/>
      <c r="E2796" s="18"/>
      <c r="F2796" s="18"/>
      <c r="G2796" s="35"/>
      <c r="H2796" s="33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  <c r="Z2796" s="18"/>
      <c r="AA2796" s="18"/>
      <c r="AB2796" s="18"/>
    </row>
    <row r="2797">
      <c r="A2797" s="31"/>
      <c r="B2797" s="34"/>
      <c r="C2797" s="18"/>
      <c r="D2797" s="18"/>
      <c r="E2797" s="18"/>
      <c r="F2797" s="18"/>
      <c r="G2797" s="35"/>
      <c r="H2797" s="33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8"/>
      <c r="Y2797" s="18"/>
      <c r="Z2797" s="18"/>
      <c r="AA2797" s="18"/>
      <c r="AB2797" s="18"/>
    </row>
    <row r="2798">
      <c r="A2798" s="31"/>
      <c r="B2798" s="34"/>
      <c r="C2798" s="18"/>
      <c r="D2798" s="18"/>
      <c r="E2798" s="18"/>
      <c r="F2798" s="18"/>
      <c r="G2798" s="35"/>
      <c r="H2798" s="33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8"/>
      <c r="Y2798" s="18"/>
      <c r="Z2798" s="18"/>
      <c r="AA2798" s="18"/>
      <c r="AB2798" s="18"/>
    </row>
    <row r="2799">
      <c r="A2799" s="31"/>
      <c r="B2799" s="34"/>
      <c r="C2799" s="18"/>
      <c r="D2799" s="18"/>
      <c r="E2799" s="18"/>
      <c r="F2799" s="18"/>
      <c r="G2799" s="35"/>
      <c r="H2799" s="33"/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8"/>
      <c r="Y2799" s="18"/>
      <c r="Z2799" s="18"/>
      <c r="AA2799" s="18"/>
      <c r="AB2799" s="18"/>
    </row>
    <row r="2800">
      <c r="A2800" s="31"/>
      <c r="B2800" s="34"/>
      <c r="C2800" s="18"/>
      <c r="D2800" s="18"/>
      <c r="E2800" s="18"/>
      <c r="F2800" s="18"/>
      <c r="G2800" s="35"/>
      <c r="H2800" s="33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  <c r="Z2800" s="18"/>
      <c r="AA2800" s="18"/>
      <c r="AB2800" s="18"/>
    </row>
    <row r="2801">
      <c r="A2801" s="31"/>
      <c r="B2801" s="34"/>
      <c r="C2801" s="18"/>
      <c r="D2801" s="18"/>
      <c r="E2801" s="18"/>
      <c r="F2801" s="18"/>
      <c r="G2801" s="35"/>
      <c r="H2801" s="33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Y2801" s="18"/>
      <c r="Z2801" s="18"/>
      <c r="AA2801" s="18"/>
      <c r="AB2801" s="18"/>
    </row>
    <row r="2802">
      <c r="A2802" s="31"/>
      <c r="B2802" s="34"/>
      <c r="C2802" s="18"/>
      <c r="D2802" s="18"/>
      <c r="E2802" s="18"/>
      <c r="F2802" s="18"/>
      <c r="G2802" s="35"/>
      <c r="H2802" s="33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  <c r="AA2802" s="18"/>
      <c r="AB2802" s="18"/>
    </row>
    <row r="2803">
      <c r="A2803" s="31"/>
      <c r="B2803" s="34"/>
      <c r="C2803" s="18"/>
      <c r="D2803" s="18"/>
      <c r="E2803" s="18"/>
      <c r="F2803" s="18"/>
      <c r="G2803" s="35"/>
      <c r="H2803" s="33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  <c r="Z2803" s="18"/>
      <c r="AA2803" s="18"/>
      <c r="AB2803" s="18"/>
    </row>
    <row r="2804">
      <c r="A2804" s="31"/>
      <c r="B2804" s="34"/>
      <c r="C2804" s="18"/>
      <c r="D2804" s="18"/>
      <c r="E2804" s="18"/>
      <c r="F2804" s="18"/>
      <c r="G2804" s="35"/>
      <c r="H2804" s="33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  <c r="AA2804" s="18"/>
      <c r="AB2804" s="18"/>
    </row>
    <row r="2805">
      <c r="A2805" s="31"/>
      <c r="B2805" s="34"/>
      <c r="C2805" s="18"/>
      <c r="D2805" s="18"/>
      <c r="E2805" s="18"/>
      <c r="F2805" s="18"/>
      <c r="G2805" s="35"/>
      <c r="H2805" s="33"/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8"/>
      <c r="Y2805" s="18"/>
      <c r="Z2805" s="18"/>
      <c r="AA2805" s="18"/>
      <c r="AB2805" s="18"/>
    </row>
    <row r="2806">
      <c r="A2806" s="31"/>
      <c r="B2806" s="34"/>
      <c r="C2806" s="18"/>
      <c r="D2806" s="18"/>
      <c r="E2806" s="18"/>
      <c r="F2806" s="18"/>
      <c r="G2806" s="35"/>
      <c r="H2806" s="33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8"/>
      <c r="Y2806" s="18"/>
      <c r="Z2806" s="18"/>
      <c r="AA2806" s="18"/>
      <c r="AB2806" s="18"/>
    </row>
    <row r="2807">
      <c r="A2807" s="31"/>
      <c r="B2807" s="34"/>
      <c r="C2807" s="18"/>
      <c r="D2807" s="18"/>
      <c r="E2807" s="18"/>
      <c r="F2807" s="18"/>
      <c r="G2807" s="35"/>
      <c r="H2807" s="33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  <c r="Z2807" s="18"/>
      <c r="AA2807" s="18"/>
      <c r="AB2807" s="18"/>
    </row>
    <row r="2808">
      <c r="A2808" s="31"/>
      <c r="B2808" s="34"/>
      <c r="C2808" s="18"/>
      <c r="D2808" s="18"/>
      <c r="E2808" s="18"/>
      <c r="F2808" s="18"/>
      <c r="G2808" s="35"/>
      <c r="H2808" s="33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Y2808" s="18"/>
      <c r="Z2808" s="18"/>
      <c r="AA2808" s="18"/>
      <c r="AB2808" s="18"/>
    </row>
    <row r="2809">
      <c r="A2809" s="31"/>
      <c r="B2809" s="34"/>
      <c r="C2809" s="18"/>
      <c r="D2809" s="18"/>
      <c r="E2809" s="18"/>
      <c r="F2809" s="18"/>
      <c r="G2809" s="35"/>
      <c r="H2809" s="33"/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8"/>
      <c r="Y2809" s="18"/>
      <c r="Z2809" s="18"/>
      <c r="AA2809" s="18"/>
      <c r="AB2809" s="18"/>
    </row>
    <row r="2810">
      <c r="A2810" s="31"/>
      <c r="B2810" s="34"/>
      <c r="C2810" s="18"/>
      <c r="D2810" s="18"/>
      <c r="E2810" s="18"/>
      <c r="F2810" s="18"/>
      <c r="G2810" s="35"/>
      <c r="H2810" s="33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  <c r="AA2810" s="18"/>
      <c r="AB2810" s="18"/>
    </row>
    <row r="2811">
      <c r="A2811" s="31"/>
      <c r="B2811" s="34"/>
      <c r="C2811" s="18"/>
      <c r="D2811" s="18"/>
      <c r="E2811" s="18"/>
      <c r="F2811" s="18"/>
      <c r="G2811" s="35"/>
      <c r="H2811" s="33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8"/>
      <c r="Y2811" s="18"/>
      <c r="Z2811" s="18"/>
      <c r="AA2811" s="18"/>
      <c r="AB2811" s="18"/>
    </row>
    <row r="2812">
      <c r="A2812" s="31"/>
      <c r="B2812" s="34"/>
      <c r="C2812" s="18"/>
      <c r="D2812" s="18"/>
      <c r="E2812" s="18"/>
      <c r="F2812" s="18"/>
      <c r="G2812" s="35"/>
      <c r="H2812" s="33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8"/>
      <c r="Y2812" s="18"/>
      <c r="Z2812" s="18"/>
      <c r="AA2812" s="18"/>
      <c r="AB2812" s="18"/>
    </row>
    <row r="2813">
      <c r="A2813" s="31"/>
      <c r="B2813" s="34"/>
      <c r="C2813" s="18"/>
      <c r="D2813" s="18"/>
      <c r="E2813" s="18"/>
      <c r="F2813" s="18"/>
      <c r="G2813" s="35"/>
      <c r="H2813" s="33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  <c r="Z2813" s="18"/>
      <c r="AA2813" s="18"/>
      <c r="AB2813" s="18"/>
    </row>
    <row r="2814">
      <c r="A2814" s="31"/>
      <c r="B2814" s="34"/>
      <c r="C2814" s="18"/>
      <c r="D2814" s="18"/>
      <c r="E2814" s="18"/>
      <c r="F2814" s="18"/>
      <c r="G2814" s="35"/>
      <c r="H2814" s="33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Y2814" s="18"/>
      <c r="Z2814" s="18"/>
      <c r="AA2814" s="18"/>
      <c r="AB2814" s="18"/>
    </row>
    <row r="2815">
      <c r="A2815" s="31"/>
      <c r="B2815" s="34"/>
      <c r="C2815" s="18"/>
      <c r="D2815" s="18"/>
      <c r="E2815" s="18"/>
      <c r="F2815" s="18"/>
      <c r="G2815" s="35"/>
      <c r="H2815" s="33"/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Y2815" s="18"/>
      <c r="Z2815" s="18"/>
      <c r="AA2815" s="18"/>
      <c r="AB2815" s="18"/>
    </row>
    <row r="2816">
      <c r="A2816" s="31"/>
      <c r="B2816" s="34"/>
      <c r="C2816" s="18"/>
      <c r="D2816" s="18"/>
      <c r="E2816" s="18"/>
      <c r="F2816" s="18"/>
      <c r="G2816" s="35"/>
      <c r="H2816" s="33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  <c r="Z2816" s="18"/>
      <c r="AA2816" s="18"/>
      <c r="AB2816" s="18"/>
    </row>
    <row r="2817">
      <c r="A2817" s="31"/>
      <c r="B2817" s="34"/>
      <c r="C2817" s="18"/>
      <c r="D2817" s="18"/>
      <c r="E2817" s="18"/>
      <c r="F2817" s="18"/>
      <c r="G2817" s="35"/>
      <c r="H2817" s="33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Y2817" s="18"/>
      <c r="Z2817" s="18"/>
      <c r="AA2817" s="18"/>
      <c r="AB2817" s="18"/>
    </row>
    <row r="2818">
      <c r="A2818" s="31"/>
      <c r="B2818" s="34"/>
      <c r="C2818" s="18"/>
      <c r="D2818" s="18"/>
      <c r="E2818" s="18"/>
      <c r="F2818" s="18"/>
      <c r="G2818" s="35"/>
      <c r="H2818" s="33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  <c r="AA2818" s="18"/>
      <c r="AB2818" s="18"/>
    </row>
    <row r="2819">
      <c r="A2819" s="31"/>
      <c r="B2819" s="34"/>
      <c r="C2819" s="18"/>
      <c r="D2819" s="18"/>
      <c r="E2819" s="18"/>
      <c r="F2819" s="18"/>
      <c r="G2819" s="35"/>
      <c r="H2819" s="33"/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8"/>
      <c r="Y2819" s="18"/>
      <c r="Z2819" s="18"/>
      <c r="AA2819" s="18"/>
      <c r="AB2819" s="18"/>
    </row>
    <row r="2820">
      <c r="A2820" s="31"/>
      <c r="B2820" s="34"/>
      <c r="C2820" s="18"/>
      <c r="D2820" s="18"/>
      <c r="E2820" s="18"/>
      <c r="F2820" s="18"/>
      <c r="G2820" s="35"/>
      <c r="H2820" s="33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  <c r="AA2820" s="18"/>
      <c r="AB2820" s="18"/>
    </row>
    <row r="2821">
      <c r="A2821" s="31"/>
      <c r="B2821" s="34"/>
      <c r="C2821" s="18"/>
      <c r="D2821" s="18"/>
      <c r="E2821" s="18"/>
      <c r="F2821" s="18"/>
      <c r="G2821" s="35"/>
      <c r="H2821" s="33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  <c r="Z2821" s="18"/>
      <c r="AA2821" s="18"/>
      <c r="AB2821" s="18"/>
    </row>
    <row r="2822">
      <c r="A2822" s="31"/>
      <c r="B2822" s="34"/>
      <c r="C2822" s="18"/>
      <c r="D2822" s="18"/>
      <c r="E2822" s="18"/>
      <c r="F2822" s="18"/>
      <c r="G2822" s="35"/>
      <c r="H2822" s="33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Y2822" s="18"/>
      <c r="Z2822" s="18"/>
      <c r="AA2822" s="18"/>
      <c r="AB2822" s="18"/>
    </row>
    <row r="2823">
      <c r="A2823" s="31"/>
      <c r="B2823" s="34"/>
      <c r="C2823" s="18"/>
      <c r="D2823" s="18"/>
      <c r="E2823" s="18"/>
      <c r="F2823" s="18"/>
      <c r="G2823" s="35"/>
      <c r="H2823" s="33"/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Y2823" s="18"/>
      <c r="Z2823" s="18"/>
      <c r="AA2823" s="18"/>
      <c r="AB2823" s="18"/>
    </row>
    <row r="2824">
      <c r="A2824" s="31"/>
      <c r="B2824" s="34"/>
      <c r="C2824" s="18"/>
      <c r="D2824" s="18"/>
      <c r="E2824" s="18"/>
      <c r="F2824" s="18"/>
      <c r="G2824" s="35"/>
      <c r="H2824" s="33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  <c r="Z2824" s="18"/>
      <c r="AA2824" s="18"/>
      <c r="AB2824" s="18"/>
    </row>
    <row r="2825">
      <c r="A2825" s="31"/>
      <c r="B2825" s="34"/>
      <c r="C2825" s="18"/>
      <c r="D2825" s="18"/>
      <c r="E2825" s="18"/>
      <c r="F2825" s="18"/>
      <c r="G2825" s="35"/>
      <c r="H2825" s="33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8"/>
      <c r="Y2825" s="18"/>
      <c r="Z2825" s="18"/>
      <c r="AA2825" s="18"/>
      <c r="AB2825" s="18"/>
    </row>
    <row r="2826">
      <c r="A2826" s="31"/>
      <c r="B2826" s="34"/>
      <c r="C2826" s="18"/>
      <c r="D2826" s="18"/>
      <c r="E2826" s="18"/>
      <c r="F2826" s="18"/>
      <c r="G2826" s="35"/>
      <c r="H2826" s="33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  <c r="AA2826" s="18"/>
      <c r="AB2826" s="18"/>
    </row>
    <row r="2827">
      <c r="A2827" s="31"/>
      <c r="B2827" s="34"/>
      <c r="C2827" s="18"/>
      <c r="D2827" s="18"/>
      <c r="E2827" s="18"/>
      <c r="F2827" s="18"/>
      <c r="G2827" s="35"/>
      <c r="H2827" s="33"/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8"/>
      <c r="Y2827" s="18"/>
      <c r="Z2827" s="18"/>
      <c r="AA2827" s="18"/>
      <c r="AB2827" s="18"/>
    </row>
    <row r="2828">
      <c r="A2828" s="31"/>
      <c r="B2828" s="34"/>
      <c r="C2828" s="18"/>
      <c r="D2828" s="18"/>
      <c r="E2828" s="18"/>
      <c r="F2828" s="18"/>
      <c r="G2828" s="35"/>
      <c r="H2828" s="33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Y2828" s="18"/>
      <c r="Z2828" s="18"/>
      <c r="AA2828" s="18"/>
      <c r="AB2828" s="18"/>
    </row>
    <row r="2829">
      <c r="A2829" s="31"/>
      <c r="B2829" s="34"/>
      <c r="C2829" s="18"/>
      <c r="D2829" s="18"/>
      <c r="E2829" s="18"/>
      <c r="F2829" s="18"/>
      <c r="G2829" s="35"/>
      <c r="H2829" s="33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Y2829" s="18"/>
      <c r="Z2829" s="18"/>
      <c r="AA2829" s="18"/>
      <c r="AB2829" s="18"/>
    </row>
    <row r="2830">
      <c r="A2830" s="31"/>
      <c r="B2830" s="34"/>
      <c r="C2830" s="18"/>
      <c r="D2830" s="18"/>
      <c r="E2830" s="18"/>
      <c r="F2830" s="18"/>
      <c r="G2830" s="35"/>
      <c r="H2830" s="33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  <c r="Z2830" s="18"/>
      <c r="AA2830" s="18"/>
      <c r="AB2830" s="18"/>
    </row>
    <row r="2831">
      <c r="A2831" s="31"/>
      <c r="B2831" s="34"/>
      <c r="C2831" s="18"/>
      <c r="D2831" s="18"/>
      <c r="E2831" s="18"/>
      <c r="F2831" s="18"/>
      <c r="G2831" s="35"/>
      <c r="H2831" s="33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  <c r="Z2831" s="18"/>
      <c r="AA2831" s="18"/>
      <c r="AB2831" s="18"/>
    </row>
    <row r="2832">
      <c r="A2832" s="31"/>
      <c r="B2832" s="34"/>
      <c r="C2832" s="18"/>
      <c r="D2832" s="18"/>
      <c r="E2832" s="18"/>
      <c r="F2832" s="18"/>
      <c r="G2832" s="35"/>
      <c r="H2832" s="33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  <c r="AA2832" s="18"/>
      <c r="AB2832" s="18"/>
    </row>
    <row r="2833">
      <c r="A2833" s="31"/>
      <c r="B2833" s="34"/>
      <c r="C2833" s="18"/>
      <c r="D2833" s="18"/>
      <c r="E2833" s="18"/>
      <c r="F2833" s="18"/>
      <c r="G2833" s="35"/>
      <c r="H2833" s="33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Y2833" s="18"/>
      <c r="Z2833" s="18"/>
      <c r="AA2833" s="18"/>
      <c r="AB2833" s="18"/>
    </row>
    <row r="2834">
      <c r="A2834" s="31"/>
      <c r="B2834" s="34"/>
      <c r="C2834" s="18"/>
      <c r="D2834" s="18"/>
      <c r="E2834" s="18"/>
      <c r="F2834" s="18"/>
      <c r="G2834" s="35"/>
      <c r="H2834" s="33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  <c r="AA2834" s="18"/>
      <c r="AB2834" s="18"/>
    </row>
    <row r="2835">
      <c r="A2835" s="31"/>
      <c r="B2835" s="34"/>
      <c r="C2835" s="18"/>
      <c r="D2835" s="18"/>
      <c r="E2835" s="18"/>
      <c r="F2835" s="18"/>
      <c r="G2835" s="35"/>
      <c r="H2835" s="33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Y2835" s="18"/>
      <c r="Z2835" s="18"/>
      <c r="AA2835" s="18"/>
      <c r="AB2835" s="18"/>
    </row>
    <row r="2836">
      <c r="A2836" s="31"/>
      <c r="B2836" s="34"/>
      <c r="C2836" s="18"/>
      <c r="D2836" s="18"/>
      <c r="E2836" s="18"/>
      <c r="F2836" s="18"/>
      <c r="G2836" s="35"/>
      <c r="H2836" s="33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  <c r="AA2836" s="18"/>
      <c r="AB2836" s="18"/>
    </row>
    <row r="2837">
      <c r="A2837" s="31"/>
      <c r="B2837" s="34"/>
      <c r="C2837" s="18"/>
      <c r="D2837" s="18"/>
      <c r="E2837" s="18"/>
      <c r="F2837" s="18"/>
      <c r="G2837" s="35"/>
      <c r="H2837" s="33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Y2837" s="18"/>
      <c r="Z2837" s="18"/>
      <c r="AA2837" s="18"/>
      <c r="AB2837" s="18"/>
    </row>
    <row r="2838">
      <c r="A2838" s="31"/>
      <c r="B2838" s="34"/>
      <c r="C2838" s="18"/>
      <c r="D2838" s="18"/>
      <c r="E2838" s="18"/>
      <c r="F2838" s="18"/>
      <c r="G2838" s="35"/>
      <c r="H2838" s="33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  <c r="AA2838" s="18"/>
      <c r="AB2838" s="18"/>
    </row>
    <row r="2839">
      <c r="A2839" s="31"/>
      <c r="B2839" s="34"/>
      <c r="C2839" s="18"/>
      <c r="D2839" s="18"/>
      <c r="E2839" s="18"/>
      <c r="F2839" s="18"/>
      <c r="G2839" s="35"/>
      <c r="H2839" s="33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  <c r="Z2839" s="18"/>
      <c r="AA2839" s="18"/>
      <c r="AB2839" s="18"/>
    </row>
    <row r="2840">
      <c r="A2840" s="31"/>
      <c r="B2840" s="34"/>
      <c r="C2840" s="18"/>
      <c r="D2840" s="18"/>
      <c r="E2840" s="18"/>
      <c r="F2840" s="18"/>
      <c r="G2840" s="35"/>
      <c r="H2840" s="33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  <c r="AA2840" s="18"/>
      <c r="AB2840" s="18"/>
    </row>
    <row r="2841">
      <c r="A2841" s="31"/>
      <c r="B2841" s="34"/>
      <c r="C2841" s="18"/>
      <c r="D2841" s="18"/>
      <c r="E2841" s="18"/>
      <c r="F2841" s="18"/>
      <c r="G2841" s="35"/>
      <c r="H2841" s="33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  <c r="Z2841" s="18"/>
      <c r="AA2841" s="18"/>
      <c r="AB2841" s="18"/>
    </row>
    <row r="2842">
      <c r="A2842" s="31"/>
      <c r="B2842" s="34"/>
      <c r="C2842" s="18"/>
      <c r="D2842" s="18"/>
      <c r="E2842" s="18"/>
      <c r="F2842" s="18"/>
      <c r="G2842" s="35"/>
      <c r="H2842" s="33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  <c r="AA2842" s="18"/>
      <c r="AB2842" s="18"/>
    </row>
    <row r="2843">
      <c r="A2843" s="31"/>
      <c r="B2843" s="34"/>
      <c r="C2843" s="18"/>
      <c r="D2843" s="18"/>
      <c r="E2843" s="18"/>
      <c r="F2843" s="18"/>
      <c r="G2843" s="35"/>
      <c r="H2843" s="33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  <c r="AA2843" s="18"/>
      <c r="AB2843" s="18"/>
    </row>
    <row r="2844">
      <c r="A2844" s="31"/>
      <c r="B2844" s="34"/>
      <c r="C2844" s="18"/>
      <c r="D2844" s="18"/>
      <c r="E2844" s="18"/>
      <c r="F2844" s="18"/>
      <c r="G2844" s="35"/>
      <c r="H2844" s="33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  <c r="AA2844" s="18"/>
      <c r="AB2844" s="18"/>
    </row>
    <row r="2845">
      <c r="A2845" s="31"/>
      <c r="B2845" s="34"/>
      <c r="C2845" s="18"/>
      <c r="D2845" s="18"/>
      <c r="E2845" s="18"/>
      <c r="F2845" s="18"/>
      <c r="G2845" s="35"/>
      <c r="H2845" s="33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  <c r="AA2845" s="18"/>
      <c r="AB2845" s="18"/>
    </row>
    <row r="2846">
      <c r="A2846" s="31"/>
      <c r="B2846" s="34"/>
      <c r="C2846" s="18"/>
      <c r="D2846" s="18"/>
      <c r="E2846" s="18"/>
      <c r="F2846" s="18"/>
      <c r="G2846" s="35"/>
      <c r="H2846" s="33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  <c r="Z2846" s="18"/>
      <c r="AA2846" s="18"/>
      <c r="AB2846" s="18"/>
    </row>
    <row r="2847">
      <c r="A2847" s="31"/>
      <c r="B2847" s="34"/>
      <c r="C2847" s="18"/>
      <c r="D2847" s="18"/>
      <c r="E2847" s="18"/>
      <c r="F2847" s="18"/>
      <c r="G2847" s="35"/>
      <c r="H2847" s="33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  <c r="Z2847" s="18"/>
      <c r="AA2847" s="18"/>
      <c r="AB2847" s="18"/>
    </row>
    <row r="2848">
      <c r="A2848" s="31"/>
      <c r="B2848" s="34"/>
      <c r="C2848" s="18"/>
      <c r="D2848" s="18"/>
      <c r="E2848" s="18"/>
      <c r="F2848" s="18"/>
      <c r="G2848" s="35"/>
      <c r="H2848" s="33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  <c r="AA2848" s="18"/>
      <c r="AB2848" s="18"/>
    </row>
    <row r="2849">
      <c r="A2849" s="31"/>
      <c r="B2849" s="34"/>
      <c r="C2849" s="18"/>
      <c r="D2849" s="18"/>
      <c r="E2849" s="18"/>
      <c r="F2849" s="18"/>
      <c r="G2849" s="35"/>
      <c r="H2849" s="33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  <c r="AA2849" s="18"/>
      <c r="AB2849" s="18"/>
    </row>
    <row r="2850">
      <c r="A2850" s="31"/>
      <c r="B2850" s="34"/>
      <c r="C2850" s="18"/>
      <c r="D2850" s="18"/>
      <c r="E2850" s="18"/>
      <c r="F2850" s="18"/>
      <c r="G2850" s="35"/>
      <c r="H2850" s="33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  <c r="AA2850" s="18"/>
      <c r="AB2850" s="18"/>
    </row>
    <row r="2851">
      <c r="A2851" s="31"/>
      <c r="B2851" s="34"/>
      <c r="C2851" s="18"/>
      <c r="D2851" s="18"/>
      <c r="E2851" s="18"/>
      <c r="F2851" s="18"/>
      <c r="G2851" s="35"/>
      <c r="H2851" s="33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  <c r="Z2851" s="18"/>
      <c r="AA2851" s="18"/>
      <c r="AB2851" s="18"/>
    </row>
    <row r="2852">
      <c r="A2852" s="31"/>
      <c r="B2852" s="34"/>
      <c r="C2852" s="18"/>
      <c r="D2852" s="18"/>
      <c r="E2852" s="18"/>
      <c r="F2852" s="18"/>
      <c r="G2852" s="35"/>
      <c r="H2852" s="33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  <c r="AA2852" s="18"/>
      <c r="AB2852" s="18"/>
    </row>
    <row r="2853">
      <c r="A2853" s="31"/>
      <c r="B2853" s="34"/>
      <c r="C2853" s="18"/>
      <c r="D2853" s="18"/>
      <c r="E2853" s="18"/>
      <c r="F2853" s="18"/>
      <c r="G2853" s="35"/>
      <c r="H2853" s="33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  <c r="Z2853" s="18"/>
      <c r="AA2853" s="18"/>
      <c r="AB2853" s="18"/>
    </row>
    <row r="2854">
      <c r="A2854" s="31"/>
      <c r="B2854" s="34"/>
      <c r="C2854" s="18"/>
      <c r="D2854" s="18"/>
      <c r="E2854" s="18"/>
      <c r="F2854" s="18"/>
      <c r="G2854" s="35"/>
      <c r="H2854" s="33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  <c r="AA2854" s="18"/>
      <c r="AB2854" s="18"/>
    </row>
    <row r="2855">
      <c r="A2855" s="31"/>
      <c r="B2855" s="34"/>
      <c r="C2855" s="18"/>
      <c r="D2855" s="18"/>
      <c r="E2855" s="18"/>
      <c r="F2855" s="18"/>
      <c r="G2855" s="35"/>
      <c r="H2855" s="33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  <c r="Z2855" s="18"/>
      <c r="AA2855" s="18"/>
      <c r="AB2855" s="18"/>
    </row>
    <row r="2856">
      <c r="A2856" s="31"/>
      <c r="B2856" s="34"/>
      <c r="C2856" s="18"/>
      <c r="D2856" s="18"/>
      <c r="E2856" s="18"/>
      <c r="F2856" s="18"/>
      <c r="G2856" s="35"/>
      <c r="H2856" s="33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  <c r="AA2856" s="18"/>
      <c r="AB2856" s="18"/>
    </row>
    <row r="2857">
      <c r="A2857" s="31"/>
      <c r="B2857" s="34"/>
      <c r="C2857" s="18"/>
      <c r="D2857" s="18"/>
      <c r="E2857" s="18"/>
      <c r="F2857" s="18"/>
      <c r="G2857" s="35"/>
      <c r="H2857" s="33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  <c r="Z2857" s="18"/>
      <c r="AA2857" s="18"/>
      <c r="AB2857" s="18"/>
    </row>
    <row r="2858">
      <c r="A2858" s="31"/>
      <c r="B2858" s="34"/>
      <c r="C2858" s="18"/>
      <c r="D2858" s="18"/>
      <c r="E2858" s="18"/>
      <c r="F2858" s="18"/>
      <c r="G2858" s="35"/>
      <c r="H2858" s="33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  <c r="AA2858" s="18"/>
      <c r="AB2858" s="18"/>
    </row>
    <row r="2859">
      <c r="A2859" s="31"/>
      <c r="B2859" s="34"/>
      <c r="C2859" s="18"/>
      <c r="D2859" s="18"/>
      <c r="E2859" s="18"/>
      <c r="F2859" s="18"/>
      <c r="G2859" s="35"/>
      <c r="H2859" s="33"/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8"/>
      <c r="Y2859" s="18"/>
      <c r="Z2859" s="18"/>
      <c r="AA2859" s="18"/>
      <c r="AB2859" s="18"/>
    </row>
    <row r="2860">
      <c r="A2860" s="31"/>
      <c r="B2860" s="34"/>
      <c r="C2860" s="18"/>
      <c r="D2860" s="18"/>
      <c r="E2860" s="18"/>
      <c r="F2860" s="18"/>
      <c r="G2860" s="35"/>
      <c r="H2860" s="33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Y2860" s="18"/>
      <c r="Z2860" s="18"/>
      <c r="AA2860" s="18"/>
      <c r="AB2860" s="18"/>
    </row>
    <row r="2861">
      <c r="A2861" s="31"/>
      <c r="B2861" s="34"/>
      <c r="C2861" s="18"/>
      <c r="D2861" s="18"/>
      <c r="E2861" s="18"/>
      <c r="F2861" s="18"/>
      <c r="G2861" s="35"/>
      <c r="H2861" s="33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  <c r="Z2861" s="18"/>
      <c r="AA2861" s="18"/>
      <c r="AB2861" s="18"/>
    </row>
    <row r="2862">
      <c r="A2862" s="31"/>
      <c r="B2862" s="34"/>
      <c r="C2862" s="18"/>
      <c r="D2862" s="18"/>
      <c r="E2862" s="18"/>
      <c r="F2862" s="18"/>
      <c r="G2862" s="35"/>
      <c r="H2862" s="33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  <c r="AA2862" s="18"/>
      <c r="AB2862" s="18"/>
    </row>
    <row r="2863">
      <c r="A2863" s="31"/>
      <c r="B2863" s="34"/>
      <c r="C2863" s="18"/>
      <c r="D2863" s="18"/>
      <c r="E2863" s="18"/>
      <c r="F2863" s="18"/>
      <c r="G2863" s="35"/>
      <c r="H2863" s="33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  <c r="Z2863" s="18"/>
      <c r="AA2863" s="18"/>
      <c r="AB2863" s="18"/>
    </row>
    <row r="2864">
      <c r="A2864" s="31"/>
      <c r="B2864" s="34"/>
      <c r="C2864" s="18"/>
      <c r="D2864" s="18"/>
      <c r="E2864" s="18"/>
      <c r="F2864" s="18"/>
      <c r="G2864" s="35"/>
      <c r="H2864" s="33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Y2864" s="18"/>
      <c r="Z2864" s="18"/>
      <c r="AA2864" s="18"/>
      <c r="AB2864" s="18"/>
    </row>
    <row r="2865">
      <c r="A2865" s="31"/>
      <c r="B2865" s="34"/>
      <c r="C2865" s="18"/>
      <c r="D2865" s="18"/>
      <c r="E2865" s="18"/>
      <c r="F2865" s="18"/>
      <c r="G2865" s="35"/>
      <c r="H2865" s="33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  <c r="Z2865" s="18"/>
      <c r="AA2865" s="18"/>
      <c r="AB2865" s="18"/>
    </row>
    <row r="2866">
      <c r="A2866" s="31"/>
      <c r="B2866" s="34"/>
      <c r="C2866" s="18"/>
      <c r="D2866" s="18"/>
      <c r="E2866" s="18"/>
      <c r="F2866" s="18"/>
      <c r="G2866" s="35"/>
      <c r="H2866" s="33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Y2866" s="18"/>
      <c r="Z2866" s="18"/>
      <c r="AA2866" s="18"/>
      <c r="AB2866" s="18"/>
    </row>
    <row r="2867">
      <c r="A2867" s="31"/>
      <c r="B2867" s="34"/>
      <c r="C2867" s="18"/>
      <c r="D2867" s="18"/>
      <c r="E2867" s="18"/>
      <c r="F2867" s="18"/>
      <c r="G2867" s="35"/>
      <c r="H2867" s="33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  <c r="AA2867" s="18"/>
      <c r="AB2867" s="18"/>
    </row>
    <row r="2868">
      <c r="A2868" s="31"/>
      <c r="B2868" s="34"/>
      <c r="C2868" s="18"/>
      <c r="D2868" s="18"/>
      <c r="E2868" s="18"/>
      <c r="F2868" s="18"/>
      <c r="G2868" s="35"/>
      <c r="H2868" s="33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  <c r="AA2868" s="18"/>
      <c r="AB2868" s="18"/>
    </row>
    <row r="2869">
      <c r="A2869" s="31"/>
      <c r="B2869" s="34"/>
      <c r="C2869" s="18"/>
      <c r="D2869" s="18"/>
      <c r="E2869" s="18"/>
      <c r="F2869" s="18"/>
      <c r="G2869" s="35"/>
      <c r="H2869" s="33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Y2869" s="18"/>
      <c r="Z2869" s="18"/>
      <c r="AA2869" s="18"/>
      <c r="AB2869" s="18"/>
    </row>
    <row r="2870">
      <c r="A2870" s="31"/>
      <c r="B2870" s="34"/>
      <c r="C2870" s="18"/>
      <c r="D2870" s="18"/>
      <c r="E2870" s="18"/>
      <c r="F2870" s="18"/>
      <c r="G2870" s="35"/>
      <c r="H2870" s="33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Y2870" s="18"/>
      <c r="Z2870" s="18"/>
      <c r="AA2870" s="18"/>
      <c r="AB2870" s="18"/>
    </row>
    <row r="2871">
      <c r="A2871" s="31"/>
      <c r="B2871" s="34"/>
      <c r="C2871" s="18"/>
      <c r="D2871" s="18"/>
      <c r="E2871" s="18"/>
      <c r="F2871" s="18"/>
      <c r="G2871" s="35"/>
      <c r="H2871" s="33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  <c r="Z2871" s="18"/>
      <c r="AA2871" s="18"/>
      <c r="AB2871" s="18"/>
    </row>
    <row r="2872">
      <c r="A2872" s="31"/>
      <c r="B2872" s="34"/>
      <c r="C2872" s="18"/>
      <c r="D2872" s="18"/>
      <c r="E2872" s="18"/>
      <c r="F2872" s="18"/>
      <c r="G2872" s="35"/>
      <c r="H2872" s="33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  <c r="AA2872" s="18"/>
      <c r="AB2872" s="18"/>
    </row>
    <row r="2873">
      <c r="A2873" s="31"/>
      <c r="B2873" s="34"/>
      <c r="C2873" s="18"/>
      <c r="D2873" s="18"/>
      <c r="E2873" s="18"/>
      <c r="F2873" s="18"/>
      <c r="G2873" s="35"/>
      <c r="H2873" s="33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  <c r="Z2873" s="18"/>
      <c r="AA2873" s="18"/>
      <c r="AB2873" s="18"/>
    </row>
    <row r="2874">
      <c r="A2874" s="31"/>
      <c r="B2874" s="34"/>
      <c r="C2874" s="18"/>
      <c r="D2874" s="18"/>
      <c r="E2874" s="18"/>
      <c r="F2874" s="18"/>
      <c r="G2874" s="35"/>
      <c r="H2874" s="33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  <c r="AA2874" s="18"/>
      <c r="AB2874" s="18"/>
    </row>
    <row r="2875">
      <c r="A2875" s="31"/>
      <c r="B2875" s="34"/>
      <c r="C2875" s="18"/>
      <c r="D2875" s="18"/>
      <c r="E2875" s="18"/>
      <c r="F2875" s="18"/>
      <c r="G2875" s="35"/>
      <c r="H2875" s="33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Y2875" s="18"/>
      <c r="Z2875" s="18"/>
      <c r="AA2875" s="18"/>
      <c r="AB2875" s="18"/>
    </row>
    <row r="2876">
      <c r="A2876" s="31"/>
      <c r="B2876" s="34"/>
      <c r="C2876" s="18"/>
      <c r="D2876" s="18"/>
      <c r="E2876" s="18"/>
      <c r="F2876" s="18"/>
      <c r="G2876" s="35"/>
      <c r="H2876" s="33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  <c r="AA2876" s="18"/>
      <c r="AB2876" s="18"/>
    </row>
    <row r="2877">
      <c r="A2877" s="31"/>
      <c r="B2877" s="34"/>
      <c r="C2877" s="18"/>
      <c r="D2877" s="18"/>
      <c r="E2877" s="18"/>
      <c r="F2877" s="18"/>
      <c r="G2877" s="35"/>
      <c r="H2877" s="33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  <c r="Z2877" s="18"/>
      <c r="AA2877" s="18"/>
      <c r="AB2877" s="18"/>
    </row>
    <row r="2878">
      <c r="A2878" s="31"/>
      <c r="B2878" s="34"/>
      <c r="C2878" s="18"/>
      <c r="D2878" s="18"/>
      <c r="E2878" s="18"/>
      <c r="F2878" s="18"/>
      <c r="G2878" s="35"/>
      <c r="H2878" s="33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  <c r="AA2878" s="18"/>
      <c r="AB2878" s="18"/>
    </row>
    <row r="2879">
      <c r="A2879" s="31"/>
      <c r="B2879" s="34"/>
      <c r="C2879" s="18"/>
      <c r="D2879" s="18"/>
      <c r="E2879" s="18"/>
      <c r="F2879" s="18"/>
      <c r="G2879" s="35"/>
      <c r="H2879" s="33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  <c r="Z2879" s="18"/>
      <c r="AA2879" s="18"/>
      <c r="AB2879" s="18"/>
    </row>
    <row r="2880">
      <c r="A2880" s="31"/>
      <c r="B2880" s="34"/>
      <c r="C2880" s="18"/>
      <c r="D2880" s="18"/>
      <c r="E2880" s="18"/>
      <c r="F2880" s="18"/>
      <c r="G2880" s="35"/>
      <c r="H2880" s="33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  <c r="AA2880" s="18"/>
      <c r="AB2880" s="18"/>
    </row>
    <row r="2881">
      <c r="A2881" s="31"/>
      <c r="B2881" s="34"/>
      <c r="C2881" s="18"/>
      <c r="D2881" s="18"/>
      <c r="E2881" s="18"/>
      <c r="F2881" s="18"/>
      <c r="G2881" s="35"/>
      <c r="H2881" s="33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  <c r="Z2881" s="18"/>
      <c r="AA2881" s="18"/>
      <c r="AB2881" s="18"/>
    </row>
    <row r="2882">
      <c r="A2882" s="31"/>
      <c r="B2882" s="34"/>
      <c r="C2882" s="18"/>
      <c r="D2882" s="18"/>
      <c r="E2882" s="18"/>
      <c r="F2882" s="18"/>
      <c r="G2882" s="35"/>
      <c r="H2882" s="33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  <c r="AA2882" s="18"/>
      <c r="AB2882" s="18"/>
    </row>
    <row r="2883">
      <c r="A2883" s="31"/>
      <c r="B2883" s="34"/>
      <c r="C2883" s="18"/>
      <c r="D2883" s="18"/>
      <c r="E2883" s="18"/>
      <c r="F2883" s="18"/>
      <c r="G2883" s="35"/>
      <c r="H2883" s="33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  <c r="Z2883" s="18"/>
      <c r="AA2883" s="18"/>
      <c r="AB2883" s="18"/>
    </row>
    <row r="2884">
      <c r="A2884" s="31"/>
      <c r="B2884" s="34"/>
      <c r="C2884" s="18"/>
      <c r="D2884" s="18"/>
      <c r="E2884" s="18"/>
      <c r="F2884" s="18"/>
      <c r="G2884" s="35"/>
      <c r="H2884" s="33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  <c r="Z2884" s="18"/>
      <c r="AA2884" s="18"/>
      <c r="AB2884" s="18"/>
    </row>
    <row r="2885">
      <c r="A2885" s="31"/>
      <c r="B2885" s="34"/>
      <c r="C2885" s="18"/>
      <c r="D2885" s="18"/>
      <c r="E2885" s="18"/>
      <c r="F2885" s="18"/>
      <c r="G2885" s="35"/>
      <c r="H2885" s="33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  <c r="Z2885" s="18"/>
      <c r="AA2885" s="18"/>
      <c r="AB2885" s="18"/>
    </row>
    <row r="2886">
      <c r="A2886" s="31"/>
      <c r="B2886" s="34"/>
      <c r="C2886" s="18"/>
      <c r="D2886" s="18"/>
      <c r="E2886" s="18"/>
      <c r="F2886" s="18"/>
      <c r="G2886" s="35"/>
      <c r="H2886" s="33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  <c r="AA2886" s="18"/>
      <c r="AB2886" s="18"/>
    </row>
    <row r="2887">
      <c r="A2887" s="31"/>
      <c r="B2887" s="34"/>
      <c r="C2887" s="18"/>
      <c r="D2887" s="18"/>
      <c r="E2887" s="18"/>
      <c r="F2887" s="18"/>
      <c r="G2887" s="35"/>
      <c r="H2887" s="33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  <c r="Z2887" s="18"/>
      <c r="AA2887" s="18"/>
      <c r="AB2887" s="18"/>
    </row>
    <row r="2888">
      <c r="A2888" s="31"/>
      <c r="B2888" s="34"/>
      <c r="C2888" s="18"/>
      <c r="D2888" s="18"/>
      <c r="E2888" s="18"/>
      <c r="F2888" s="18"/>
      <c r="G2888" s="35"/>
      <c r="H2888" s="33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  <c r="AA2888" s="18"/>
      <c r="AB2888" s="18"/>
    </row>
    <row r="2889">
      <c r="A2889" s="31"/>
      <c r="B2889" s="34"/>
      <c r="C2889" s="18"/>
      <c r="D2889" s="18"/>
      <c r="E2889" s="18"/>
      <c r="F2889" s="18"/>
      <c r="G2889" s="35"/>
      <c r="H2889" s="33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  <c r="Z2889" s="18"/>
      <c r="AA2889" s="18"/>
      <c r="AB2889" s="18"/>
    </row>
    <row r="2890">
      <c r="A2890" s="31"/>
      <c r="B2890" s="34"/>
      <c r="C2890" s="18"/>
      <c r="D2890" s="18"/>
      <c r="E2890" s="18"/>
      <c r="F2890" s="18"/>
      <c r="G2890" s="35"/>
      <c r="H2890" s="33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  <c r="AA2890" s="18"/>
      <c r="AB2890" s="18"/>
    </row>
    <row r="2891">
      <c r="A2891" s="31"/>
      <c r="B2891" s="34"/>
      <c r="C2891" s="18"/>
      <c r="D2891" s="18"/>
      <c r="E2891" s="18"/>
      <c r="F2891" s="18"/>
      <c r="G2891" s="35"/>
      <c r="H2891" s="33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  <c r="AA2891" s="18"/>
      <c r="AB2891" s="18"/>
    </row>
    <row r="2892">
      <c r="A2892" s="31"/>
      <c r="B2892" s="34"/>
      <c r="C2892" s="18"/>
      <c r="D2892" s="18"/>
      <c r="E2892" s="18"/>
      <c r="F2892" s="18"/>
      <c r="G2892" s="35"/>
      <c r="H2892" s="33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  <c r="AA2892" s="18"/>
      <c r="AB2892" s="18"/>
    </row>
    <row r="2893">
      <c r="A2893" s="31"/>
      <c r="B2893" s="34"/>
      <c r="C2893" s="18"/>
      <c r="D2893" s="18"/>
      <c r="E2893" s="18"/>
      <c r="F2893" s="18"/>
      <c r="G2893" s="35"/>
      <c r="H2893" s="33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  <c r="AA2893" s="18"/>
      <c r="AB2893" s="18"/>
    </row>
    <row r="2894">
      <c r="A2894" s="31"/>
      <c r="B2894" s="34"/>
      <c r="C2894" s="18"/>
      <c r="D2894" s="18"/>
      <c r="E2894" s="18"/>
      <c r="F2894" s="18"/>
      <c r="G2894" s="35"/>
      <c r="H2894" s="33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  <c r="Z2894" s="18"/>
      <c r="AA2894" s="18"/>
      <c r="AB2894" s="18"/>
    </row>
    <row r="2895">
      <c r="A2895" s="31"/>
      <c r="B2895" s="34"/>
      <c r="C2895" s="18"/>
      <c r="D2895" s="18"/>
      <c r="E2895" s="18"/>
      <c r="F2895" s="18"/>
      <c r="G2895" s="35"/>
      <c r="H2895" s="33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Y2895" s="18"/>
      <c r="Z2895" s="18"/>
      <c r="AA2895" s="18"/>
      <c r="AB2895" s="18"/>
    </row>
    <row r="2896">
      <c r="A2896" s="31"/>
      <c r="B2896" s="34"/>
      <c r="C2896" s="18"/>
      <c r="D2896" s="18"/>
      <c r="E2896" s="18"/>
      <c r="F2896" s="18"/>
      <c r="G2896" s="35"/>
      <c r="H2896" s="33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  <c r="AA2896" s="18"/>
      <c r="AB2896" s="18"/>
    </row>
    <row r="2897">
      <c r="A2897" s="31"/>
      <c r="B2897" s="34"/>
      <c r="C2897" s="18"/>
      <c r="D2897" s="18"/>
      <c r="E2897" s="18"/>
      <c r="F2897" s="18"/>
      <c r="G2897" s="35"/>
      <c r="H2897" s="33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Y2897" s="18"/>
      <c r="Z2897" s="18"/>
      <c r="AA2897" s="18"/>
      <c r="AB2897" s="18"/>
    </row>
    <row r="2898">
      <c r="A2898" s="31"/>
      <c r="B2898" s="34"/>
      <c r="C2898" s="18"/>
      <c r="D2898" s="18"/>
      <c r="E2898" s="18"/>
      <c r="F2898" s="18"/>
      <c r="G2898" s="35"/>
      <c r="H2898" s="33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  <c r="AA2898" s="18"/>
      <c r="AB2898" s="18"/>
    </row>
    <row r="2899">
      <c r="A2899" s="31"/>
      <c r="B2899" s="34"/>
      <c r="C2899" s="18"/>
      <c r="D2899" s="18"/>
      <c r="E2899" s="18"/>
      <c r="F2899" s="18"/>
      <c r="G2899" s="35"/>
      <c r="H2899" s="33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Y2899" s="18"/>
      <c r="Z2899" s="18"/>
      <c r="AA2899" s="18"/>
      <c r="AB2899" s="18"/>
    </row>
    <row r="2900">
      <c r="A2900" s="31"/>
      <c r="B2900" s="34"/>
      <c r="C2900" s="18"/>
      <c r="D2900" s="18"/>
      <c r="E2900" s="18"/>
      <c r="F2900" s="18"/>
      <c r="G2900" s="35"/>
      <c r="H2900" s="33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  <c r="AA2900" s="18"/>
      <c r="AB2900" s="18"/>
    </row>
    <row r="2901">
      <c r="A2901" s="31"/>
      <c r="B2901" s="34"/>
      <c r="C2901" s="18"/>
      <c r="D2901" s="18"/>
      <c r="E2901" s="18"/>
      <c r="F2901" s="18"/>
      <c r="G2901" s="35"/>
      <c r="H2901" s="33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Y2901" s="18"/>
      <c r="Z2901" s="18"/>
      <c r="AA2901" s="18"/>
      <c r="AB2901" s="18"/>
    </row>
    <row r="2902">
      <c r="A2902" s="31"/>
      <c r="B2902" s="34"/>
      <c r="C2902" s="18"/>
      <c r="D2902" s="18"/>
      <c r="E2902" s="18"/>
      <c r="F2902" s="18"/>
      <c r="G2902" s="35"/>
      <c r="H2902" s="33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Y2902" s="18"/>
      <c r="Z2902" s="18"/>
      <c r="AA2902" s="18"/>
      <c r="AB2902" s="18"/>
    </row>
    <row r="2903">
      <c r="A2903" s="31"/>
      <c r="B2903" s="34"/>
      <c r="C2903" s="18"/>
      <c r="D2903" s="18"/>
      <c r="E2903" s="18"/>
      <c r="F2903" s="18"/>
      <c r="G2903" s="35"/>
      <c r="H2903" s="33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Y2903" s="18"/>
      <c r="Z2903" s="18"/>
      <c r="AA2903" s="18"/>
      <c r="AB2903" s="18"/>
    </row>
    <row r="2904">
      <c r="A2904" s="31"/>
      <c r="B2904" s="34"/>
      <c r="C2904" s="18"/>
      <c r="D2904" s="18"/>
      <c r="E2904" s="18"/>
      <c r="F2904" s="18"/>
      <c r="G2904" s="35"/>
      <c r="H2904" s="33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  <c r="AA2904" s="18"/>
      <c r="AB2904" s="18"/>
    </row>
    <row r="2905">
      <c r="A2905" s="31"/>
      <c r="B2905" s="34"/>
      <c r="C2905" s="18"/>
      <c r="D2905" s="18"/>
      <c r="E2905" s="18"/>
      <c r="F2905" s="18"/>
      <c r="G2905" s="35"/>
      <c r="H2905" s="33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  <c r="AA2905" s="18"/>
      <c r="AB2905" s="18"/>
    </row>
    <row r="2906">
      <c r="A2906" s="31"/>
      <c r="B2906" s="34"/>
      <c r="C2906" s="18"/>
      <c r="D2906" s="18"/>
      <c r="E2906" s="18"/>
      <c r="F2906" s="18"/>
      <c r="G2906" s="35"/>
      <c r="H2906" s="33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  <c r="AA2906" s="18"/>
      <c r="AB2906" s="18"/>
    </row>
    <row r="2907">
      <c r="A2907" s="31"/>
      <c r="B2907" s="34"/>
      <c r="C2907" s="18"/>
      <c r="D2907" s="18"/>
      <c r="E2907" s="18"/>
      <c r="F2907" s="18"/>
      <c r="G2907" s="35"/>
      <c r="H2907" s="33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Y2907" s="18"/>
      <c r="Z2907" s="18"/>
      <c r="AA2907" s="18"/>
      <c r="AB2907" s="18"/>
    </row>
    <row r="2908">
      <c r="A2908" s="31"/>
      <c r="B2908" s="34"/>
      <c r="C2908" s="18"/>
      <c r="D2908" s="18"/>
      <c r="E2908" s="18"/>
      <c r="F2908" s="18"/>
      <c r="G2908" s="35"/>
      <c r="H2908" s="33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Y2908" s="18"/>
      <c r="Z2908" s="18"/>
      <c r="AA2908" s="18"/>
      <c r="AB2908" s="18"/>
    </row>
    <row r="2909">
      <c r="A2909" s="31"/>
      <c r="B2909" s="34"/>
      <c r="C2909" s="18"/>
      <c r="D2909" s="18"/>
      <c r="E2909" s="18"/>
      <c r="F2909" s="18"/>
      <c r="G2909" s="35"/>
      <c r="H2909" s="33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Y2909" s="18"/>
      <c r="Z2909" s="18"/>
      <c r="AA2909" s="18"/>
      <c r="AB2909" s="18"/>
    </row>
    <row r="2910">
      <c r="A2910" s="31"/>
      <c r="B2910" s="34"/>
      <c r="C2910" s="18"/>
      <c r="D2910" s="18"/>
      <c r="E2910" s="18"/>
      <c r="F2910" s="18"/>
      <c r="G2910" s="35"/>
      <c r="H2910" s="33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Y2910" s="18"/>
      <c r="Z2910" s="18"/>
      <c r="AA2910" s="18"/>
      <c r="AB2910" s="18"/>
    </row>
    <row r="2911">
      <c r="A2911" s="31"/>
      <c r="B2911" s="34"/>
      <c r="C2911" s="18"/>
      <c r="D2911" s="18"/>
      <c r="E2911" s="18"/>
      <c r="F2911" s="18"/>
      <c r="G2911" s="35"/>
      <c r="H2911" s="33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Y2911" s="18"/>
      <c r="Z2911" s="18"/>
      <c r="AA2911" s="18"/>
      <c r="AB2911" s="18"/>
    </row>
    <row r="2912">
      <c r="A2912" s="31"/>
      <c r="B2912" s="34"/>
      <c r="C2912" s="18"/>
      <c r="D2912" s="18"/>
      <c r="E2912" s="18"/>
      <c r="F2912" s="18"/>
      <c r="G2912" s="35"/>
      <c r="H2912" s="33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  <c r="AA2912" s="18"/>
      <c r="AB2912" s="18"/>
    </row>
    <row r="2913">
      <c r="A2913" s="31"/>
      <c r="B2913" s="34"/>
      <c r="C2913" s="18"/>
      <c r="D2913" s="18"/>
      <c r="E2913" s="18"/>
      <c r="F2913" s="18"/>
      <c r="G2913" s="35"/>
      <c r="H2913" s="33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8"/>
      <c r="Y2913" s="18"/>
      <c r="Z2913" s="18"/>
      <c r="AA2913" s="18"/>
      <c r="AB2913" s="18"/>
    </row>
    <row r="2914">
      <c r="A2914" s="31"/>
      <c r="B2914" s="34"/>
      <c r="C2914" s="18"/>
      <c r="D2914" s="18"/>
      <c r="E2914" s="18"/>
      <c r="F2914" s="18"/>
      <c r="G2914" s="35"/>
      <c r="H2914" s="33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8"/>
      <c r="Y2914" s="18"/>
      <c r="Z2914" s="18"/>
      <c r="AA2914" s="18"/>
      <c r="AB2914" s="18"/>
    </row>
    <row r="2915">
      <c r="A2915" s="31"/>
      <c r="B2915" s="34"/>
      <c r="C2915" s="18"/>
      <c r="D2915" s="18"/>
      <c r="E2915" s="18"/>
      <c r="F2915" s="18"/>
      <c r="G2915" s="35"/>
      <c r="H2915" s="33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Y2915" s="18"/>
      <c r="Z2915" s="18"/>
      <c r="AA2915" s="18"/>
      <c r="AB2915" s="18"/>
    </row>
    <row r="2916">
      <c r="A2916" s="31"/>
      <c r="B2916" s="34"/>
      <c r="C2916" s="18"/>
      <c r="D2916" s="18"/>
      <c r="E2916" s="18"/>
      <c r="F2916" s="18"/>
      <c r="G2916" s="35"/>
      <c r="H2916" s="33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  <c r="AA2916" s="18"/>
      <c r="AB2916" s="18"/>
    </row>
    <row r="2917">
      <c r="A2917" s="31"/>
      <c r="B2917" s="34"/>
      <c r="C2917" s="18"/>
      <c r="D2917" s="18"/>
      <c r="E2917" s="18"/>
      <c r="F2917" s="18"/>
      <c r="G2917" s="35"/>
      <c r="H2917" s="33"/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Y2917" s="18"/>
      <c r="Z2917" s="18"/>
      <c r="AA2917" s="18"/>
      <c r="AB2917" s="18"/>
    </row>
    <row r="2918">
      <c r="A2918" s="31"/>
      <c r="B2918" s="34"/>
      <c r="C2918" s="18"/>
      <c r="D2918" s="18"/>
      <c r="E2918" s="18"/>
      <c r="F2918" s="18"/>
      <c r="G2918" s="35"/>
      <c r="H2918" s="33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Y2918" s="18"/>
      <c r="Z2918" s="18"/>
      <c r="AA2918" s="18"/>
      <c r="AB2918" s="18"/>
    </row>
    <row r="2919">
      <c r="A2919" s="31"/>
      <c r="B2919" s="34"/>
      <c r="C2919" s="18"/>
      <c r="D2919" s="18"/>
      <c r="E2919" s="18"/>
      <c r="F2919" s="18"/>
      <c r="G2919" s="35"/>
      <c r="H2919" s="33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  <c r="AA2919" s="18"/>
      <c r="AB2919" s="18"/>
    </row>
    <row r="2920">
      <c r="A2920" s="31"/>
      <c r="B2920" s="34"/>
      <c r="C2920" s="18"/>
      <c r="D2920" s="18"/>
      <c r="E2920" s="18"/>
      <c r="F2920" s="18"/>
      <c r="G2920" s="35"/>
      <c r="H2920" s="33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  <c r="AA2920" s="18"/>
      <c r="AB2920" s="18"/>
    </row>
    <row r="2921">
      <c r="A2921" s="31"/>
      <c r="B2921" s="34"/>
      <c r="C2921" s="18"/>
      <c r="D2921" s="18"/>
      <c r="E2921" s="18"/>
      <c r="F2921" s="18"/>
      <c r="G2921" s="35"/>
      <c r="H2921" s="33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Y2921" s="18"/>
      <c r="Z2921" s="18"/>
      <c r="AA2921" s="18"/>
      <c r="AB2921" s="18"/>
    </row>
    <row r="2922">
      <c r="A2922" s="31"/>
      <c r="B2922" s="34"/>
      <c r="C2922" s="18"/>
      <c r="D2922" s="18"/>
      <c r="E2922" s="18"/>
      <c r="F2922" s="18"/>
      <c r="G2922" s="35"/>
      <c r="H2922" s="33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  <c r="AA2922" s="18"/>
      <c r="AB2922" s="18"/>
    </row>
    <row r="2923">
      <c r="A2923" s="31"/>
      <c r="B2923" s="34"/>
      <c r="C2923" s="18"/>
      <c r="D2923" s="18"/>
      <c r="E2923" s="18"/>
      <c r="F2923" s="18"/>
      <c r="G2923" s="35"/>
      <c r="H2923" s="33"/>
      <c r="I2923" s="18"/>
      <c r="J2923" s="18"/>
      <c r="K2923" s="18"/>
      <c r="L2923" s="18"/>
      <c r="M2923" s="18"/>
      <c r="N2923" s="18"/>
      <c r="O2923" s="18"/>
      <c r="P2923" s="18"/>
      <c r="Q2923" s="18"/>
      <c r="R2923" s="18"/>
      <c r="S2923" s="18"/>
      <c r="T2923" s="18"/>
      <c r="U2923" s="18"/>
      <c r="V2923" s="18"/>
      <c r="W2923" s="18"/>
      <c r="X2923" s="18"/>
      <c r="Y2923" s="18"/>
      <c r="Z2923" s="18"/>
      <c r="AA2923" s="18"/>
      <c r="AB2923" s="18"/>
    </row>
    <row r="2924">
      <c r="A2924" s="31"/>
      <c r="B2924" s="34"/>
      <c r="C2924" s="18"/>
      <c r="D2924" s="18"/>
      <c r="E2924" s="18"/>
      <c r="F2924" s="18"/>
      <c r="G2924" s="35"/>
      <c r="H2924" s="33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Y2924" s="18"/>
      <c r="Z2924" s="18"/>
      <c r="AA2924" s="18"/>
      <c r="AB2924" s="18"/>
    </row>
    <row r="2925">
      <c r="A2925" s="31"/>
      <c r="B2925" s="34"/>
      <c r="C2925" s="18"/>
      <c r="D2925" s="18"/>
      <c r="E2925" s="18"/>
      <c r="F2925" s="18"/>
      <c r="G2925" s="35"/>
      <c r="H2925" s="33"/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8"/>
      <c r="Y2925" s="18"/>
      <c r="Z2925" s="18"/>
      <c r="AA2925" s="18"/>
      <c r="AB2925" s="18"/>
    </row>
    <row r="2926">
      <c r="A2926" s="31"/>
      <c r="B2926" s="34"/>
      <c r="C2926" s="18"/>
      <c r="D2926" s="18"/>
      <c r="E2926" s="18"/>
      <c r="F2926" s="18"/>
      <c r="G2926" s="35"/>
      <c r="H2926" s="33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8"/>
      <c r="Y2926" s="18"/>
      <c r="Z2926" s="18"/>
      <c r="AA2926" s="18"/>
      <c r="AB2926" s="18"/>
    </row>
    <row r="2927">
      <c r="A2927" s="31"/>
      <c r="B2927" s="34"/>
      <c r="C2927" s="18"/>
      <c r="D2927" s="18"/>
      <c r="E2927" s="18"/>
      <c r="F2927" s="18"/>
      <c r="G2927" s="35"/>
      <c r="H2927" s="33"/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  <c r="T2927" s="18"/>
      <c r="U2927" s="18"/>
      <c r="V2927" s="18"/>
      <c r="W2927" s="18"/>
      <c r="X2927" s="18"/>
      <c r="Y2927" s="18"/>
      <c r="Z2927" s="18"/>
      <c r="AA2927" s="18"/>
      <c r="AB2927" s="18"/>
    </row>
    <row r="2928">
      <c r="A2928" s="31"/>
      <c r="B2928" s="34"/>
      <c r="C2928" s="18"/>
      <c r="D2928" s="18"/>
      <c r="E2928" s="18"/>
      <c r="F2928" s="18"/>
      <c r="G2928" s="35"/>
      <c r="H2928" s="33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  <c r="AA2928" s="18"/>
      <c r="AB2928" s="18"/>
    </row>
    <row r="2929">
      <c r="A2929" s="31"/>
      <c r="B2929" s="34"/>
      <c r="C2929" s="18"/>
      <c r="D2929" s="18"/>
      <c r="E2929" s="18"/>
      <c r="F2929" s="18"/>
      <c r="G2929" s="35"/>
      <c r="H2929" s="33"/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  <c r="T2929" s="18"/>
      <c r="U2929" s="18"/>
      <c r="V2929" s="18"/>
      <c r="W2929" s="18"/>
      <c r="X2929" s="18"/>
      <c r="Y2929" s="18"/>
      <c r="Z2929" s="18"/>
      <c r="AA2929" s="18"/>
      <c r="AB2929" s="18"/>
    </row>
    <row r="2930">
      <c r="A2930" s="31"/>
      <c r="B2930" s="34"/>
      <c r="C2930" s="18"/>
      <c r="D2930" s="18"/>
      <c r="E2930" s="18"/>
      <c r="F2930" s="18"/>
      <c r="G2930" s="35"/>
      <c r="H2930" s="33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  <c r="AA2930" s="18"/>
      <c r="AB2930" s="18"/>
    </row>
    <row r="2931">
      <c r="A2931" s="31"/>
      <c r="B2931" s="34"/>
      <c r="C2931" s="18"/>
      <c r="D2931" s="18"/>
      <c r="E2931" s="18"/>
      <c r="F2931" s="18"/>
      <c r="G2931" s="35"/>
      <c r="H2931" s="33"/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8"/>
      <c r="Y2931" s="18"/>
      <c r="Z2931" s="18"/>
      <c r="AA2931" s="18"/>
      <c r="AB2931" s="18"/>
    </row>
    <row r="2932">
      <c r="A2932" s="31"/>
      <c r="B2932" s="34"/>
      <c r="C2932" s="18"/>
      <c r="D2932" s="18"/>
      <c r="E2932" s="18"/>
      <c r="F2932" s="18"/>
      <c r="G2932" s="35"/>
      <c r="H2932" s="33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  <c r="AA2932" s="18"/>
      <c r="AB2932" s="18"/>
    </row>
    <row r="2933">
      <c r="A2933" s="31"/>
      <c r="B2933" s="34"/>
      <c r="C2933" s="18"/>
      <c r="D2933" s="18"/>
      <c r="E2933" s="18"/>
      <c r="F2933" s="18"/>
      <c r="G2933" s="35"/>
      <c r="H2933" s="33"/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8"/>
      <c r="Y2933" s="18"/>
      <c r="Z2933" s="18"/>
      <c r="AA2933" s="18"/>
      <c r="AB2933" s="18"/>
    </row>
    <row r="2934">
      <c r="A2934" s="31"/>
      <c r="B2934" s="34"/>
      <c r="C2934" s="18"/>
      <c r="D2934" s="18"/>
      <c r="E2934" s="18"/>
      <c r="F2934" s="18"/>
      <c r="G2934" s="35"/>
      <c r="H2934" s="33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  <c r="AA2934" s="18"/>
      <c r="AB2934" s="18"/>
    </row>
    <row r="2935">
      <c r="A2935" s="31"/>
      <c r="B2935" s="34"/>
      <c r="C2935" s="18"/>
      <c r="D2935" s="18"/>
      <c r="E2935" s="18"/>
      <c r="F2935" s="18"/>
      <c r="G2935" s="35"/>
      <c r="H2935" s="33"/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8"/>
      <c r="Y2935" s="18"/>
      <c r="Z2935" s="18"/>
      <c r="AA2935" s="18"/>
      <c r="AB2935" s="18"/>
    </row>
    <row r="2936">
      <c r="A2936" s="31"/>
      <c r="B2936" s="34"/>
      <c r="C2936" s="18"/>
      <c r="D2936" s="18"/>
      <c r="E2936" s="18"/>
      <c r="F2936" s="18"/>
      <c r="G2936" s="35"/>
      <c r="H2936" s="33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  <c r="X2936" s="18"/>
      <c r="Y2936" s="18"/>
      <c r="Z2936" s="18"/>
      <c r="AA2936" s="18"/>
      <c r="AB2936" s="18"/>
    </row>
    <row r="2937">
      <c r="A2937" s="31"/>
      <c r="B2937" s="34"/>
      <c r="C2937" s="18"/>
      <c r="D2937" s="18"/>
      <c r="E2937" s="18"/>
      <c r="F2937" s="18"/>
      <c r="G2937" s="35"/>
      <c r="H2937" s="33"/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Y2937" s="18"/>
      <c r="Z2937" s="18"/>
      <c r="AA2937" s="18"/>
      <c r="AB2937" s="18"/>
    </row>
    <row r="2938">
      <c r="A2938" s="31"/>
      <c r="B2938" s="34"/>
      <c r="C2938" s="18"/>
      <c r="D2938" s="18"/>
      <c r="E2938" s="18"/>
      <c r="F2938" s="18"/>
      <c r="G2938" s="35"/>
      <c r="H2938" s="33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Y2938" s="18"/>
      <c r="Z2938" s="18"/>
      <c r="AA2938" s="18"/>
      <c r="AB2938" s="18"/>
    </row>
    <row r="2939">
      <c r="A2939" s="31"/>
      <c r="B2939" s="34"/>
      <c r="C2939" s="18"/>
      <c r="D2939" s="18"/>
      <c r="E2939" s="18"/>
      <c r="F2939" s="18"/>
      <c r="G2939" s="35"/>
      <c r="H2939" s="33"/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  <c r="T2939" s="18"/>
      <c r="U2939" s="18"/>
      <c r="V2939" s="18"/>
      <c r="W2939" s="18"/>
      <c r="X2939" s="18"/>
      <c r="Y2939" s="18"/>
      <c r="Z2939" s="18"/>
      <c r="AA2939" s="18"/>
      <c r="AB2939" s="18"/>
    </row>
    <row r="2940">
      <c r="A2940" s="31"/>
      <c r="B2940" s="34"/>
      <c r="C2940" s="18"/>
      <c r="D2940" s="18"/>
      <c r="E2940" s="18"/>
      <c r="F2940" s="18"/>
      <c r="G2940" s="35"/>
      <c r="H2940" s="33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  <c r="AA2940" s="18"/>
      <c r="AB2940" s="18"/>
    </row>
    <row r="2941">
      <c r="A2941" s="31"/>
      <c r="B2941" s="34"/>
      <c r="C2941" s="18"/>
      <c r="D2941" s="18"/>
      <c r="E2941" s="18"/>
      <c r="F2941" s="18"/>
      <c r="G2941" s="35"/>
      <c r="H2941" s="33"/>
      <c r="I2941" s="18"/>
      <c r="J2941" s="18"/>
      <c r="K2941" s="18"/>
      <c r="L2941" s="18"/>
      <c r="M2941" s="18"/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8"/>
      <c r="Y2941" s="18"/>
      <c r="Z2941" s="18"/>
      <c r="AA2941" s="18"/>
      <c r="AB2941" s="18"/>
    </row>
    <row r="2942">
      <c r="A2942" s="31"/>
      <c r="B2942" s="34"/>
      <c r="C2942" s="18"/>
      <c r="D2942" s="18"/>
      <c r="E2942" s="18"/>
      <c r="F2942" s="18"/>
      <c r="G2942" s="35"/>
      <c r="H2942" s="33"/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Y2942" s="18"/>
      <c r="Z2942" s="18"/>
      <c r="AA2942" s="18"/>
      <c r="AB2942" s="18"/>
    </row>
    <row r="2943">
      <c r="A2943" s="31"/>
      <c r="B2943" s="34"/>
      <c r="C2943" s="18"/>
      <c r="D2943" s="18"/>
      <c r="E2943" s="18"/>
      <c r="F2943" s="18"/>
      <c r="G2943" s="35"/>
      <c r="H2943" s="33"/>
      <c r="I2943" s="18"/>
      <c r="J2943" s="18"/>
      <c r="K2943" s="18"/>
      <c r="L2943" s="18"/>
      <c r="M2943" s="18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8"/>
      <c r="Y2943" s="18"/>
      <c r="Z2943" s="18"/>
      <c r="AA2943" s="18"/>
      <c r="AB2943" s="18"/>
    </row>
    <row r="2944">
      <c r="A2944" s="31"/>
      <c r="B2944" s="34"/>
      <c r="C2944" s="18"/>
      <c r="D2944" s="18"/>
      <c r="E2944" s="18"/>
      <c r="F2944" s="18"/>
      <c r="G2944" s="35"/>
      <c r="H2944" s="33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Y2944" s="18"/>
      <c r="Z2944" s="18"/>
      <c r="AA2944" s="18"/>
      <c r="AB2944" s="18"/>
    </row>
    <row r="2945">
      <c r="A2945" s="31"/>
      <c r="B2945" s="34"/>
      <c r="C2945" s="18"/>
      <c r="D2945" s="18"/>
      <c r="E2945" s="18"/>
      <c r="F2945" s="18"/>
      <c r="G2945" s="35"/>
      <c r="H2945" s="33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Y2945" s="18"/>
      <c r="Z2945" s="18"/>
      <c r="AA2945" s="18"/>
      <c r="AB2945" s="18"/>
    </row>
    <row r="2946">
      <c r="A2946" s="31"/>
      <c r="B2946" s="34"/>
      <c r="C2946" s="18"/>
      <c r="D2946" s="18"/>
      <c r="E2946" s="18"/>
      <c r="F2946" s="18"/>
      <c r="G2946" s="35"/>
      <c r="H2946" s="33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  <c r="AA2946" s="18"/>
      <c r="AB2946" s="18"/>
    </row>
    <row r="2947">
      <c r="A2947" s="31"/>
      <c r="B2947" s="34"/>
      <c r="C2947" s="18"/>
      <c r="D2947" s="18"/>
      <c r="E2947" s="18"/>
      <c r="F2947" s="18"/>
      <c r="G2947" s="35"/>
      <c r="H2947" s="33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8"/>
      <c r="Y2947" s="18"/>
      <c r="Z2947" s="18"/>
      <c r="AA2947" s="18"/>
      <c r="AB2947" s="18"/>
    </row>
    <row r="2948">
      <c r="A2948" s="31"/>
      <c r="B2948" s="34"/>
      <c r="C2948" s="18"/>
      <c r="D2948" s="18"/>
      <c r="E2948" s="18"/>
      <c r="F2948" s="18"/>
      <c r="G2948" s="35"/>
      <c r="H2948" s="33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8"/>
      <c r="Y2948" s="18"/>
      <c r="Z2948" s="18"/>
      <c r="AA2948" s="18"/>
      <c r="AB2948" s="18"/>
    </row>
    <row r="2949">
      <c r="A2949" s="31"/>
      <c r="B2949" s="34"/>
      <c r="C2949" s="18"/>
      <c r="D2949" s="18"/>
      <c r="E2949" s="18"/>
      <c r="F2949" s="18"/>
      <c r="G2949" s="35"/>
      <c r="H2949" s="33"/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  <c r="T2949" s="18"/>
      <c r="U2949" s="18"/>
      <c r="V2949" s="18"/>
      <c r="W2949" s="18"/>
      <c r="X2949" s="18"/>
      <c r="Y2949" s="18"/>
      <c r="Z2949" s="18"/>
      <c r="AA2949" s="18"/>
      <c r="AB2949" s="18"/>
    </row>
    <row r="2950">
      <c r="A2950" s="31"/>
      <c r="B2950" s="34"/>
      <c r="C2950" s="18"/>
      <c r="D2950" s="18"/>
      <c r="E2950" s="18"/>
      <c r="F2950" s="18"/>
      <c r="G2950" s="35"/>
      <c r="H2950" s="33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Y2950" s="18"/>
      <c r="Z2950" s="18"/>
      <c r="AA2950" s="18"/>
      <c r="AB2950" s="18"/>
    </row>
    <row r="2951">
      <c r="A2951" s="31"/>
      <c r="B2951" s="34"/>
      <c r="C2951" s="18"/>
      <c r="D2951" s="18"/>
      <c r="E2951" s="18"/>
      <c r="F2951" s="18"/>
      <c r="G2951" s="35"/>
      <c r="H2951" s="33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8"/>
      <c r="Y2951" s="18"/>
      <c r="Z2951" s="18"/>
      <c r="AA2951" s="18"/>
      <c r="AB2951" s="18"/>
    </row>
    <row r="2952">
      <c r="A2952" s="31"/>
      <c r="B2952" s="34"/>
      <c r="C2952" s="18"/>
      <c r="D2952" s="18"/>
      <c r="E2952" s="18"/>
      <c r="F2952" s="18"/>
      <c r="G2952" s="35"/>
      <c r="H2952" s="33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  <c r="AA2952" s="18"/>
      <c r="AB2952" s="18"/>
    </row>
    <row r="2953">
      <c r="A2953" s="31"/>
      <c r="B2953" s="34"/>
      <c r="C2953" s="18"/>
      <c r="D2953" s="18"/>
      <c r="E2953" s="18"/>
      <c r="F2953" s="18"/>
      <c r="G2953" s="35"/>
      <c r="H2953" s="33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Y2953" s="18"/>
      <c r="Z2953" s="18"/>
      <c r="AA2953" s="18"/>
      <c r="AB2953" s="18"/>
    </row>
    <row r="2954">
      <c r="A2954" s="31"/>
      <c r="B2954" s="34"/>
      <c r="C2954" s="18"/>
      <c r="D2954" s="18"/>
      <c r="E2954" s="18"/>
      <c r="F2954" s="18"/>
      <c r="G2954" s="35"/>
      <c r="H2954" s="33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  <c r="AA2954" s="18"/>
      <c r="AB2954" s="18"/>
    </row>
    <row r="2955">
      <c r="A2955" s="31"/>
      <c r="B2955" s="34"/>
      <c r="C2955" s="18"/>
      <c r="D2955" s="18"/>
      <c r="E2955" s="18"/>
      <c r="F2955" s="18"/>
      <c r="G2955" s="35"/>
      <c r="H2955" s="33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8"/>
      <c r="Y2955" s="18"/>
      <c r="Z2955" s="18"/>
      <c r="AA2955" s="18"/>
      <c r="AB2955" s="18"/>
    </row>
    <row r="2956">
      <c r="A2956" s="31"/>
      <c r="B2956" s="34"/>
      <c r="C2956" s="18"/>
      <c r="D2956" s="18"/>
      <c r="E2956" s="18"/>
      <c r="F2956" s="18"/>
      <c r="G2956" s="35"/>
      <c r="H2956" s="33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  <c r="AA2956" s="18"/>
      <c r="AB2956" s="18"/>
    </row>
    <row r="2957">
      <c r="A2957" s="31"/>
      <c r="B2957" s="34"/>
      <c r="C2957" s="18"/>
      <c r="D2957" s="18"/>
      <c r="E2957" s="18"/>
      <c r="F2957" s="18"/>
      <c r="G2957" s="35"/>
      <c r="H2957" s="33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Y2957" s="18"/>
      <c r="Z2957" s="18"/>
      <c r="AA2957" s="18"/>
      <c r="AB2957" s="18"/>
    </row>
    <row r="2958">
      <c r="A2958" s="31"/>
      <c r="B2958" s="34"/>
      <c r="C2958" s="18"/>
      <c r="D2958" s="18"/>
      <c r="E2958" s="18"/>
      <c r="F2958" s="18"/>
      <c r="G2958" s="35"/>
      <c r="H2958" s="33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  <c r="AA2958" s="18"/>
      <c r="AB2958" s="18"/>
    </row>
    <row r="2959">
      <c r="A2959" s="31"/>
      <c r="B2959" s="34"/>
      <c r="C2959" s="18"/>
      <c r="D2959" s="18"/>
      <c r="E2959" s="18"/>
      <c r="F2959" s="18"/>
      <c r="G2959" s="35"/>
      <c r="H2959" s="33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Y2959" s="18"/>
      <c r="Z2959" s="18"/>
      <c r="AA2959" s="18"/>
      <c r="AB2959" s="18"/>
    </row>
    <row r="2960">
      <c r="A2960" s="31"/>
      <c r="B2960" s="34"/>
      <c r="C2960" s="18"/>
      <c r="D2960" s="18"/>
      <c r="E2960" s="18"/>
      <c r="F2960" s="18"/>
      <c r="G2960" s="35"/>
      <c r="H2960" s="33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8"/>
      <c r="Y2960" s="18"/>
      <c r="Z2960" s="18"/>
      <c r="AA2960" s="18"/>
      <c r="AB2960" s="18"/>
    </row>
    <row r="2961">
      <c r="A2961" s="31"/>
      <c r="B2961" s="34"/>
      <c r="C2961" s="18"/>
      <c r="D2961" s="18"/>
      <c r="E2961" s="18"/>
      <c r="F2961" s="18"/>
      <c r="G2961" s="35"/>
      <c r="H2961" s="33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Y2961" s="18"/>
      <c r="Z2961" s="18"/>
      <c r="AA2961" s="18"/>
      <c r="AB2961" s="18"/>
    </row>
    <row r="2962">
      <c r="A2962" s="31"/>
      <c r="B2962" s="34"/>
      <c r="C2962" s="18"/>
      <c r="D2962" s="18"/>
      <c r="E2962" s="18"/>
      <c r="F2962" s="18"/>
      <c r="G2962" s="35"/>
      <c r="H2962" s="33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Y2962" s="18"/>
      <c r="Z2962" s="18"/>
      <c r="AA2962" s="18"/>
      <c r="AB2962" s="18"/>
    </row>
    <row r="2963">
      <c r="A2963" s="31"/>
      <c r="B2963" s="34"/>
      <c r="C2963" s="18"/>
      <c r="D2963" s="18"/>
      <c r="E2963" s="18"/>
      <c r="F2963" s="18"/>
      <c r="G2963" s="35"/>
      <c r="H2963" s="33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8"/>
      <c r="Y2963" s="18"/>
      <c r="Z2963" s="18"/>
      <c r="AA2963" s="18"/>
      <c r="AB2963" s="18"/>
    </row>
    <row r="2964">
      <c r="A2964" s="31"/>
      <c r="B2964" s="34"/>
      <c r="C2964" s="18"/>
      <c r="D2964" s="18"/>
      <c r="E2964" s="18"/>
      <c r="F2964" s="18"/>
      <c r="G2964" s="35"/>
      <c r="H2964" s="33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  <c r="AA2964" s="18"/>
      <c r="AB2964" s="18"/>
    </row>
    <row r="2965">
      <c r="A2965" s="31"/>
      <c r="B2965" s="34"/>
      <c r="C2965" s="18"/>
      <c r="D2965" s="18"/>
      <c r="E2965" s="18"/>
      <c r="F2965" s="18"/>
      <c r="G2965" s="35"/>
      <c r="H2965" s="33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8"/>
      <c r="Y2965" s="18"/>
      <c r="Z2965" s="18"/>
      <c r="AA2965" s="18"/>
      <c r="AB2965" s="18"/>
    </row>
    <row r="2966">
      <c r="A2966" s="31"/>
      <c r="B2966" s="34"/>
      <c r="C2966" s="18"/>
      <c r="D2966" s="18"/>
      <c r="E2966" s="18"/>
      <c r="F2966" s="18"/>
      <c r="G2966" s="35"/>
      <c r="H2966" s="33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Y2966" s="18"/>
      <c r="Z2966" s="18"/>
      <c r="AA2966" s="18"/>
      <c r="AB2966" s="18"/>
    </row>
    <row r="2967">
      <c r="A2967" s="31"/>
      <c r="B2967" s="34"/>
      <c r="C2967" s="18"/>
      <c r="D2967" s="18"/>
      <c r="E2967" s="18"/>
      <c r="F2967" s="18"/>
      <c r="G2967" s="35"/>
      <c r="H2967" s="33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8"/>
      <c r="Y2967" s="18"/>
      <c r="Z2967" s="18"/>
      <c r="AA2967" s="18"/>
      <c r="AB2967" s="18"/>
    </row>
    <row r="2968">
      <c r="A2968" s="31"/>
      <c r="B2968" s="34"/>
      <c r="C2968" s="18"/>
      <c r="D2968" s="18"/>
      <c r="E2968" s="18"/>
      <c r="F2968" s="18"/>
      <c r="G2968" s="35"/>
      <c r="H2968" s="33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8"/>
      <c r="Y2968" s="18"/>
      <c r="Z2968" s="18"/>
      <c r="AA2968" s="18"/>
      <c r="AB2968" s="18"/>
    </row>
    <row r="2969">
      <c r="A2969" s="31"/>
      <c r="B2969" s="34"/>
      <c r="C2969" s="18"/>
      <c r="D2969" s="18"/>
      <c r="E2969" s="18"/>
      <c r="F2969" s="18"/>
      <c r="G2969" s="35"/>
      <c r="H2969" s="33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8"/>
      <c r="Y2969" s="18"/>
      <c r="Z2969" s="18"/>
      <c r="AA2969" s="18"/>
      <c r="AB2969" s="18"/>
    </row>
    <row r="2970">
      <c r="A2970" s="31"/>
      <c r="B2970" s="34"/>
      <c r="C2970" s="18"/>
      <c r="D2970" s="18"/>
      <c r="E2970" s="18"/>
      <c r="F2970" s="18"/>
      <c r="G2970" s="35"/>
      <c r="H2970" s="33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  <c r="AA2970" s="18"/>
      <c r="AB2970" s="18"/>
    </row>
    <row r="2971">
      <c r="A2971" s="31"/>
      <c r="B2971" s="34"/>
      <c r="C2971" s="18"/>
      <c r="D2971" s="18"/>
      <c r="E2971" s="18"/>
      <c r="F2971" s="18"/>
      <c r="G2971" s="35"/>
      <c r="H2971" s="33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8"/>
      <c r="Y2971" s="18"/>
      <c r="Z2971" s="18"/>
      <c r="AA2971" s="18"/>
      <c r="AB2971" s="18"/>
    </row>
    <row r="2972">
      <c r="A2972" s="31"/>
      <c r="B2972" s="34"/>
      <c r="C2972" s="18"/>
      <c r="D2972" s="18"/>
      <c r="E2972" s="18"/>
      <c r="F2972" s="18"/>
      <c r="G2972" s="35"/>
      <c r="H2972" s="33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Y2972" s="18"/>
      <c r="Z2972" s="18"/>
      <c r="AA2972" s="18"/>
      <c r="AB2972" s="18"/>
    </row>
    <row r="2973">
      <c r="A2973" s="31"/>
      <c r="B2973" s="34"/>
      <c r="C2973" s="18"/>
      <c r="D2973" s="18"/>
      <c r="E2973" s="18"/>
      <c r="F2973" s="18"/>
      <c r="G2973" s="35"/>
      <c r="H2973" s="33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8"/>
      <c r="Y2973" s="18"/>
      <c r="Z2973" s="18"/>
      <c r="AA2973" s="18"/>
      <c r="AB2973" s="18"/>
    </row>
    <row r="2974">
      <c r="A2974" s="31"/>
      <c r="B2974" s="34"/>
      <c r="C2974" s="18"/>
      <c r="D2974" s="18"/>
      <c r="E2974" s="18"/>
      <c r="F2974" s="18"/>
      <c r="G2974" s="35"/>
      <c r="H2974" s="33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  <c r="AA2974" s="18"/>
      <c r="AB2974" s="18"/>
    </row>
    <row r="2975">
      <c r="A2975" s="31"/>
      <c r="B2975" s="34"/>
      <c r="C2975" s="18"/>
      <c r="D2975" s="18"/>
      <c r="E2975" s="18"/>
      <c r="F2975" s="18"/>
      <c r="G2975" s="35"/>
      <c r="H2975" s="33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8"/>
      <c r="U2975" s="18"/>
      <c r="V2975" s="18"/>
      <c r="W2975" s="18"/>
      <c r="X2975" s="18"/>
      <c r="Y2975" s="18"/>
      <c r="Z2975" s="18"/>
      <c r="AA2975" s="18"/>
      <c r="AB2975" s="18"/>
    </row>
    <row r="2976">
      <c r="A2976" s="31"/>
      <c r="B2976" s="34"/>
      <c r="C2976" s="18"/>
      <c r="D2976" s="18"/>
      <c r="E2976" s="18"/>
      <c r="F2976" s="18"/>
      <c r="G2976" s="35"/>
      <c r="H2976" s="33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8"/>
      <c r="Y2976" s="18"/>
      <c r="Z2976" s="18"/>
      <c r="AA2976" s="18"/>
      <c r="AB2976" s="18"/>
    </row>
    <row r="2977">
      <c r="A2977" s="31"/>
      <c r="B2977" s="34"/>
      <c r="C2977" s="18"/>
      <c r="D2977" s="18"/>
      <c r="E2977" s="18"/>
      <c r="F2977" s="18"/>
      <c r="G2977" s="35"/>
      <c r="H2977" s="33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Y2977" s="18"/>
      <c r="Z2977" s="18"/>
      <c r="AA2977" s="18"/>
      <c r="AB2977" s="18"/>
    </row>
    <row r="2978">
      <c r="A2978" s="31"/>
      <c r="B2978" s="34"/>
      <c r="C2978" s="18"/>
      <c r="D2978" s="18"/>
      <c r="E2978" s="18"/>
      <c r="F2978" s="18"/>
      <c r="G2978" s="35"/>
      <c r="H2978" s="33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  <c r="AA2978" s="18"/>
      <c r="AB2978" s="18"/>
    </row>
    <row r="2979">
      <c r="A2979" s="31"/>
      <c r="B2979" s="34"/>
      <c r="C2979" s="18"/>
      <c r="D2979" s="18"/>
      <c r="E2979" s="18"/>
      <c r="F2979" s="18"/>
      <c r="G2979" s="35"/>
      <c r="H2979" s="33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8"/>
      <c r="Y2979" s="18"/>
      <c r="Z2979" s="18"/>
      <c r="AA2979" s="18"/>
      <c r="AB2979" s="18"/>
    </row>
    <row r="2980">
      <c r="A2980" s="31"/>
      <c r="B2980" s="34"/>
      <c r="C2980" s="18"/>
      <c r="D2980" s="18"/>
      <c r="E2980" s="18"/>
      <c r="F2980" s="18"/>
      <c r="G2980" s="35"/>
      <c r="H2980" s="33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Y2980" s="18"/>
      <c r="Z2980" s="18"/>
      <c r="AA2980" s="18"/>
      <c r="AB2980" s="18"/>
    </row>
    <row r="2981">
      <c r="A2981" s="31"/>
      <c r="B2981" s="34"/>
      <c r="C2981" s="18"/>
      <c r="D2981" s="18"/>
      <c r="E2981" s="18"/>
      <c r="F2981" s="18"/>
      <c r="G2981" s="35"/>
      <c r="H2981" s="33"/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  <c r="T2981" s="18"/>
      <c r="U2981" s="18"/>
      <c r="V2981" s="18"/>
      <c r="W2981" s="18"/>
      <c r="X2981" s="18"/>
      <c r="Y2981" s="18"/>
      <c r="Z2981" s="18"/>
      <c r="AA2981" s="18"/>
      <c r="AB2981" s="18"/>
    </row>
    <row r="2982">
      <c r="A2982" s="31"/>
      <c r="B2982" s="34"/>
      <c r="C2982" s="18"/>
      <c r="D2982" s="18"/>
      <c r="E2982" s="18"/>
      <c r="F2982" s="18"/>
      <c r="G2982" s="35"/>
      <c r="H2982" s="33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  <c r="AA2982" s="18"/>
      <c r="AB2982" s="18"/>
    </row>
    <row r="2983">
      <c r="A2983" s="31"/>
      <c r="B2983" s="34"/>
      <c r="C2983" s="18"/>
      <c r="D2983" s="18"/>
      <c r="E2983" s="18"/>
      <c r="F2983" s="18"/>
      <c r="G2983" s="35"/>
      <c r="H2983" s="33"/>
      <c r="I2983" s="18"/>
      <c r="J2983" s="18"/>
      <c r="K2983" s="18"/>
      <c r="L2983" s="18"/>
      <c r="M2983" s="18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8"/>
      <c r="Y2983" s="18"/>
      <c r="Z2983" s="18"/>
      <c r="AA2983" s="18"/>
      <c r="AB2983" s="18"/>
    </row>
    <row r="2984">
      <c r="A2984" s="31"/>
      <c r="B2984" s="34"/>
      <c r="C2984" s="18"/>
      <c r="D2984" s="18"/>
      <c r="E2984" s="18"/>
      <c r="F2984" s="18"/>
      <c r="G2984" s="35"/>
      <c r="H2984" s="33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  <c r="AA2984" s="18"/>
      <c r="AB2984" s="18"/>
    </row>
    <row r="2985">
      <c r="A2985" s="31"/>
      <c r="B2985" s="34"/>
      <c r="C2985" s="18"/>
      <c r="D2985" s="18"/>
      <c r="E2985" s="18"/>
      <c r="F2985" s="18"/>
      <c r="G2985" s="35"/>
      <c r="H2985" s="33"/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Y2985" s="18"/>
      <c r="Z2985" s="18"/>
      <c r="AA2985" s="18"/>
      <c r="AB2985" s="18"/>
    </row>
    <row r="2986">
      <c r="A2986" s="31"/>
      <c r="B2986" s="34"/>
      <c r="C2986" s="18"/>
      <c r="D2986" s="18"/>
      <c r="E2986" s="18"/>
      <c r="F2986" s="18"/>
      <c r="G2986" s="35"/>
      <c r="H2986" s="33"/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  <c r="AA2986" s="18"/>
      <c r="AB2986" s="18"/>
    </row>
    <row r="2987">
      <c r="A2987" s="31"/>
      <c r="B2987" s="34"/>
      <c r="C2987" s="18"/>
      <c r="D2987" s="18"/>
      <c r="E2987" s="18"/>
      <c r="F2987" s="18"/>
      <c r="G2987" s="35"/>
      <c r="H2987" s="33"/>
      <c r="I2987" s="18"/>
      <c r="J2987" s="18"/>
      <c r="K2987" s="18"/>
      <c r="L2987" s="18"/>
      <c r="M2987" s="18"/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Y2987" s="18"/>
      <c r="Z2987" s="18"/>
      <c r="AA2987" s="18"/>
      <c r="AB2987" s="18"/>
    </row>
    <row r="2988">
      <c r="A2988" s="31"/>
      <c r="B2988" s="34"/>
      <c r="C2988" s="18"/>
      <c r="D2988" s="18"/>
      <c r="E2988" s="18"/>
      <c r="F2988" s="18"/>
      <c r="G2988" s="35"/>
      <c r="H2988" s="33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  <c r="AA2988" s="18"/>
      <c r="AB2988" s="18"/>
    </row>
    <row r="2989">
      <c r="A2989" s="31"/>
      <c r="B2989" s="34"/>
      <c r="C2989" s="18"/>
      <c r="D2989" s="18"/>
      <c r="E2989" s="18"/>
      <c r="F2989" s="18"/>
      <c r="G2989" s="35"/>
      <c r="H2989" s="33"/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  <c r="AA2989" s="18"/>
      <c r="AB2989" s="18"/>
    </row>
    <row r="2990">
      <c r="A2990" s="31"/>
      <c r="B2990" s="34"/>
      <c r="C2990" s="18"/>
      <c r="D2990" s="18"/>
      <c r="E2990" s="18"/>
      <c r="F2990" s="18"/>
      <c r="G2990" s="35"/>
      <c r="H2990" s="33"/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Y2990" s="18"/>
      <c r="Z2990" s="18"/>
      <c r="AA2990" s="18"/>
      <c r="AB2990" s="18"/>
    </row>
    <row r="2991">
      <c r="A2991" s="31"/>
      <c r="B2991" s="34"/>
      <c r="C2991" s="18"/>
      <c r="D2991" s="18"/>
      <c r="E2991" s="18"/>
      <c r="F2991" s="18"/>
      <c r="G2991" s="35"/>
      <c r="H2991" s="33"/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8"/>
      <c r="Y2991" s="18"/>
      <c r="Z2991" s="18"/>
      <c r="AA2991" s="18"/>
      <c r="AB2991" s="18"/>
    </row>
    <row r="2992">
      <c r="A2992" s="31"/>
      <c r="B2992" s="34"/>
      <c r="C2992" s="18"/>
      <c r="D2992" s="18"/>
      <c r="E2992" s="18"/>
      <c r="F2992" s="18"/>
      <c r="G2992" s="35"/>
      <c r="H2992" s="33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  <c r="AA2992" s="18"/>
      <c r="AB2992" s="18"/>
    </row>
    <row r="2993">
      <c r="A2993" s="31"/>
      <c r="B2993" s="34"/>
      <c r="C2993" s="18"/>
      <c r="D2993" s="18"/>
      <c r="E2993" s="18"/>
      <c r="F2993" s="18"/>
      <c r="G2993" s="35"/>
      <c r="H2993" s="33"/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Y2993" s="18"/>
      <c r="Z2993" s="18"/>
      <c r="AA2993" s="18"/>
      <c r="AB2993" s="18"/>
    </row>
    <row r="2994">
      <c r="A2994" s="31"/>
      <c r="B2994" s="34"/>
      <c r="C2994" s="18"/>
      <c r="D2994" s="18"/>
      <c r="E2994" s="18"/>
      <c r="F2994" s="18"/>
      <c r="G2994" s="35"/>
      <c r="H2994" s="33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  <c r="AA2994" s="18"/>
      <c r="AB2994" s="18"/>
    </row>
    <row r="2995">
      <c r="A2995" s="31"/>
      <c r="B2995" s="34"/>
      <c r="C2995" s="18"/>
      <c r="D2995" s="18"/>
      <c r="E2995" s="18"/>
      <c r="F2995" s="18"/>
      <c r="G2995" s="35"/>
      <c r="H2995" s="33"/>
      <c r="I2995" s="18"/>
      <c r="J2995" s="18"/>
      <c r="K2995" s="18"/>
      <c r="L2995" s="18"/>
      <c r="M2995" s="18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8"/>
      <c r="Y2995" s="18"/>
      <c r="Z2995" s="18"/>
      <c r="AA2995" s="18"/>
      <c r="AB2995" s="18"/>
    </row>
    <row r="2996">
      <c r="A2996" s="31"/>
      <c r="B2996" s="34"/>
      <c r="C2996" s="18"/>
      <c r="D2996" s="18"/>
      <c r="E2996" s="18"/>
      <c r="F2996" s="18"/>
      <c r="G2996" s="35"/>
      <c r="H2996" s="33"/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  <c r="X2996" s="18"/>
      <c r="Y2996" s="18"/>
      <c r="Z2996" s="18"/>
      <c r="AA2996" s="18"/>
      <c r="AB2996" s="18"/>
    </row>
    <row r="2997">
      <c r="A2997" s="31"/>
      <c r="B2997" s="34"/>
      <c r="C2997" s="18"/>
      <c r="D2997" s="18"/>
      <c r="E2997" s="18"/>
      <c r="F2997" s="18"/>
      <c r="G2997" s="35"/>
      <c r="H2997" s="33"/>
      <c r="I2997" s="18"/>
      <c r="J2997" s="18"/>
      <c r="K2997" s="18"/>
      <c r="L2997" s="18"/>
      <c r="M2997" s="18"/>
      <c r="N2997" s="18"/>
      <c r="O2997" s="18"/>
      <c r="P2997" s="18"/>
      <c r="Q2997" s="18"/>
      <c r="R2997" s="18"/>
      <c r="S2997" s="18"/>
      <c r="T2997" s="18"/>
      <c r="U2997" s="18"/>
      <c r="V2997" s="18"/>
      <c r="W2997" s="18"/>
      <c r="X2997" s="18"/>
      <c r="Y2997" s="18"/>
      <c r="Z2997" s="18"/>
      <c r="AA2997" s="18"/>
      <c r="AB2997" s="18"/>
    </row>
    <row r="2998">
      <c r="A2998" s="31"/>
      <c r="B2998" s="34"/>
      <c r="C2998" s="18"/>
      <c r="D2998" s="18"/>
      <c r="E2998" s="18"/>
      <c r="F2998" s="18"/>
      <c r="G2998" s="35"/>
      <c r="H2998" s="33"/>
      <c r="I2998" s="18"/>
      <c r="J2998" s="18"/>
      <c r="K2998" s="18"/>
      <c r="L2998" s="18"/>
      <c r="M2998" s="18"/>
      <c r="N2998" s="18"/>
      <c r="O2998" s="18"/>
      <c r="P2998" s="18"/>
      <c r="Q2998" s="18"/>
      <c r="R2998" s="18"/>
      <c r="S2998" s="18"/>
      <c r="T2998" s="18"/>
      <c r="U2998" s="18"/>
      <c r="V2998" s="18"/>
      <c r="W2998" s="18"/>
      <c r="X2998" s="18"/>
      <c r="Y2998" s="18"/>
      <c r="Z2998" s="18"/>
      <c r="AA2998" s="18"/>
      <c r="AB2998" s="18"/>
    </row>
    <row r="2999">
      <c r="A2999" s="31"/>
      <c r="B2999" s="34"/>
      <c r="C2999" s="18"/>
      <c r="D2999" s="18"/>
      <c r="E2999" s="18"/>
      <c r="F2999" s="18"/>
      <c r="G2999" s="35"/>
      <c r="H2999" s="33"/>
      <c r="I2999" s="18"/>
      <c r="J2999" s="18"/>
      <c r="K2999" s="18"/>
      <c r="L2999" s="18"/>
      <c r="M2999" s="18"/>
      <c r="N2999" s="18"/>
      <c r="O2999" s="18"/>
      <c r="P2999" s="18"/>
      <c r="Q2999" s="18"/>
      <c r="R2999" s="18"/>
      <c r="S2999" s="18"/>
      <c r="T2999" s="18"/>
      <c r="U2999" s="18"/>
      <c r="V2999" s="18"/>
      <c r="W2999" s="18"/>
      <c r="X2999" s="18"/>
      <c r="Y2999" s="18"/>
      <c r="Z2999" s="18"/>
      <c r="AA2999" s="18"/>
      <c r="AB2999" s="18"/>
    </row>
    <row r="3000">
      <c r="A3000" s="31"/>
      <c r="B3000" s="34"/>
      <c r="C3000" s="18"/>
      <c r="D3000" s="18"/>
      <c r="E3000" s="18"/>
      <c r="F3000" s="18"/>
      <c r="G3000" s="35"/>
      <c r="H3000" s="33"/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8"/>
      <c r="Y3000" s="18"/>
      <c r="Z3000" s="18"/>
      <c r="AA3000" s="18"/>
      <c r="AB3000" s="18"/>
    </row>
    <row r="3001">
      <c r="A3001" s="31"/>
      <c r="B3001" s="34"/>
      <c r="C3001" s="18"/>
      <c r="D3001" s="18"/>
      <c r="E3001" s="18"/>
      <c r="F3001" s="18"/>
      <c r="G3001" s="35"/>
      <c r="H3001" s="33"/>
      <c r="I3001" s="18"/>
      <c r="J3001" s="18"/>
      <c r="K3001" s="18"/>
      <c r="L3001" s="18"/>
      <c r="M3001" s="18"/>
      <c r="N3001" s="18"/>
      <c r="O3001" s="18"/>
      <c r="P3001" s="18"/>
      <c r="Q3001" s="18"/>
      <c r="R3001" s="18"/>
      <c r="S3001" s="18"/>
      <c r="T3001" s="18"/>
      <c r="U3001" s="18"/>
      <c r="V3001" s="18"/>
      <c r="W3001" s="18"/>
      <c r="X3001" s="18"/>
      <c r="Y3001" s="18"/>
      <c r="Z3001" s="18"/>
      <c r="AA3001" s="18"/>
      <c r="AB3001" s="18"/>
    </row>
    <row r="3002">
      <c r="A3002" s="31"/>
      <c r="B3002" s="34"/>
      <c r="C3002" s="18"/>
      <c r="D3002" s="18"/>
      <c r="E3002" s="18"/>
      <c r="F3002" s="18"/>
      <c r="G3002" s="35"/>
      <c r="H3002" s="33"/>
      <c r="I3002" s="18"/>
      <c r="J3002" s="18"/>
      <c r="K3002" s="18"/>
      <c r="L3002" s="18"/>
      <c r="M3002" s="18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  <c r="AA3002" s="18"/>
      <c r="AB3002" s="18"/>
    </row>
    <row r="3003">
      <c r="A3003" s="31"/>
      <c r="B3003" s="34"/>
      <c r="C3003" s="18"/>
      <c r="D3003" s="18"/>
      <c r="E3003" s="18"/>
      <c r="F3003" s="18"/>
      <c r="G3003" s="35"/>
      <c r="H3003" s="33"/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Y3003" s="18"/>
      <c r="Z3003" s="18"/>
      <c r="AA3003" s="18"/>
      <c r="AB3003" s="18"/>
    </row>
    <row r="3004">
      <c r="A3004" s="31"/>
      <c r="B3004" s="34"/>
      <c r="C3004" s="18"/>
      <c r="D3004" s="18"/>
      <c r="E3004" s="18"/>
      <c r="F3004" s="18"/>
      <c r="G3004" s="35"/>
      <c r="H3004" s="33"/>
      <c r="I3004" s="18"/>
      <c r="J3004" s="18"/>
      <c r="K3004" s="18"/>
      <c r="L3004" s="18"/>
      <c r="M3004" s="18"/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8"/>
      <c r="Y3004" s="18"/>
      <c r="Z3004" s="18"/>
      <c r="AA3004" s="18"/>
      <c r="AB3004" s="18"/>
    </row>
    <row r="3005">
      <c r="A3005" s="31"/>
      <c r="B3005" s="34"/>
      <c r="C3005" s="18"/>
      <c r="D3005" s="18"/>
      <c r="E3005" s="18"/>
      <c r="F3005" s="18"/>
      <c r="G3005" s="35"/>
      <c r="H3005" s="33"/>
      <c r="I3005" s="18"/>
      <c r="J3005" s="18"/>
      <c r="K3005" s="18"/>
      <c r="L3005" s="18"/>
      <c r="M3005" s="18"/>
      <c r="N3005" s="18"/>
      <c r="O3005" s="18"/>
      <c r="P3005" s="18"/>
      <c r="Q3005" s="18"/>
      <c r="R3005" s="18"/>
      <c r="S3005" s="18"/>
      <c r="T3005" s="18"/>
      <c r="U3005" s="18"/>
      <c r="V3005" s="18"/>
      <c r="W3005" s="18"/>
      <c r="X3005" s="18"/>
      <c r="Y3005" s="18"/>
      <c r="Z3005" s="18"/>
      <c r="AA3005" s="18"/>
      <c r="AB3005" s="18"/>
    </row>
    <row r="3006">
      <c r="A3006" s="31"/>
      <c r="B3006" s="34"/>
      <c r="C3006" s="18"/>
      <c r="D3006" s="18"/>
      <c r="E3006" s="18"/>
      <c r="F3006" s="18"/>
      <c r="G3006" s="35"/>
      <c r="H3006" s="33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  <c r="AA3006" s="18"/>
      <c r="AB3006" s="18"/>
    </row>
    <row r="3007">
      <c r="A3007" s="31"/>
      <c r="B3007" s="34"/>
      <c r="C3007" s="18"/>
      <c r="D3007" s="18"/>
      <c r="E3007" s="18"/>
      <c r="F3007" s="18"/>
      <c r="G3007" s="35"/>
      <c r="H3007" s="33"/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8"/>
      <c r="Y3007" s="18"/>
      <c r="Z3007" s="18"/>
      <c r="AA3007" s="18"/>
      <c r="AB3007" s="18"/>
    </row>
    <row r="3008">
      <c r="A3008" s="31"/>
      <c r="B3008" s="34"/>
      <c r="C3008" s="18"/>
      <c r="D3008" s="18"/>
      <c r="E3008" s="18"/>
      <c r="F3008" s="18"/>
      <c r="G3008" s="35"/>
      <c r="H3008" s="33"/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Y3008" s="18"/>
      <c r="Z3008" s="18"/>
      <c r="AA3008" s="18"/>
      <c r="AB3008" s="18"/>
    </row>
    <row r="3009">
      <c r="A3009" s="31"/>
      <c r="B3009" s="34"/>
      <c r="C3009" s="18"/>
      <c r="D3009" s="18"/>
      <c r="E3009" s="18"/>
      <c r="F3009" s="18"/>
      <c r="G3009" s="35"/>
      <c r="H3009" s="33"/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Y3009" s="18"/>
      <c r="Z3009" s="18"/>
      <c r="AA3009" s="18"/>
      <c r="AB3009" s="18"/>
    </row>
    <row r="3010">
      <c r="A3010" s="31"/>
      <c r="B3010" s="34"/>
      <c r="C3010" s="18"/>
      <c r="D3010" s="18"/>
      <c r="E3010" s="18"/>
      <c r="F3010" s="18"/>
      <c r="G3010" s="35"/>
      <c r="H3010" s="33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  <c r="AA3010" s="18"/>
      <c r="AB3010" s="18"/>
    </row>
    <row r="3011">
      <c r="A3011" s="31"/>
      <c r="B3011" s="34"/>
      <c r="C3011" s="18"/>
      <c r="D3011" s="18"/>
      <c r="E3011" s="18"/>
      <c r="F3011" s="18"/>
      <c r="G3011" s="35"/>
      <c r="H3011" s="33"/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Y3011" s="18"/>
      <c r="Z3011" s="18"/>
      <c r="AA3011" s="18"/>
      <c r="AB3011" s="18"/>
    </row>
    <row r="3012">
      <c r="A3012" s="31"/>
      <c r="B3012" s="34"/>
      <c r="C3012" s="18"/>
      <c r="D3012" s="18"/>
      <c r="E3012" s="18"/>
      <c r="F3012" s="18"/>
      <c r="G3012" s="35"/>
      <c r="H3012" s="33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Y3012" s="18"/>
      <c r="Z3012" s="18"/>
      <c r="AA3012" s="18"/>
      <c r="AB3012" s="18"/>
    </row>
    <row r="3013">
      <c r="A3013" s="31"/>
      <c r="B3013" s="34"/>
      <c r="C3013" s="18"/>
      <c r="D3013" s="18"/>
      <c r="E3013" s="18"/>
      <c r="F3013" s="18"/>
      <c r="G3013" s="35"/>
      <c r="H3013" s="33"/>
      <c r="I3013" s="18"/>
      <c r="J3013" s="18"/>
      <c r="K3013" s="18"/>
      <c r="L3013" s="18"/>
      <c r="M3013" s="18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8"/>
      <c r="Y3013" s="18"/>
      <c r="Z3013" s="18"/>
      <c r="AA3013" s="18"/>
      <c r="AB3013" s="18"/>
    </row>
    <row r="3014">
      <c r="A3014" s="31"/>
      <c r="B3014" s="34"/>
      <c r="C3014" s="18"/>
      <c r="D3014" s="18"/>
      <c r="E3014" s="18"/>
      <c r="F3014" s="18"/>
      <c r="G3014" s="35"/>
      <c r="H3014" s="33"/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8"/>
      <c r="Y3014" s="18"/>
      <c r="Z3014" s="18"/>
      <c r="AA3014" s="18"/>
      <c r="AB3014" s="18"/>
    </row>
    <row r="3015">
      <c r="A3015" s="31"/>
      <c r="B3015" s="34"/>
      <c r="C3015" s="18"/>
      <c r="D3015" s="18"/>
      <c r="E3015" s="18"/>
      <c r="F3015" s="18"/>
      <c r="G3015" s="35"/>
      <c r="H3015" s="33"/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8"/>
      <c r="U3015" s="18"/>
      <c r="V3015" s="18"/>
      <c r="W3015" s="18"/>
      <c r="X3015" s="18"/>
      <c r="Y3015" s="18"/>
      <c r="Z3015" s="18"/>
      <c r="AA3015" s="18"/>
      <c r="AB3015" s="18"/>
    </row>
    <row r="3016">
      <c r="A3016" s="31"/>
      <c r="B3016" s="34"/>
      <c r="C3016" s="18"/>
      <c r="D3016" s="18"/>
      <c r="E3016" s="18"/>
      <c r="F3016" s="18"/>
      <c r="G3016" s="35"/>
      <c r="H3016" s="33"/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8"/>
      <c r="U3016" s="18"/>
      <c r="V3016" s="18"/>
      <c r="W3016" s="18"/>
      <c r="X3016" s="18"/>
      <c r="Y3016" s="18"/>
      <c r="Z3016" s="18"/>
      <c r="AA3016" s="18"/>
      <c r="AB3016" s="18"/>
    </row>
    <row r="3017">
      <c r="A3017" s="31"/>
      <c r="B3017" s="34"/>
      <c r="C3017" s="18"/>
      <c r="D3017" s="18"/>
      <c r="E3017" s="18"/>
      <c r="F3017" s="18"/>
      <c r="G3017" s="35"/>
      <c r="H3017" s="33"/>
      <c r="I3017" s="18"/>
      <c r="J3017" s="18"/>
      <c r="K3017" s="18"/>
      <c r="L3017" s="18"/>
      <c r="M3017" s="18"/>
      <c r="N3017" s="18"/>
      <c r="O3017" s="18"/>
      <c r="P3017" s="18"/>
      <c r="Q3017" s="18"/>
      <c r="R3017" s="18"/>
      <c r="S3017" s="18"/>
      <c r="T3017" s="18"/>
      <c r="U3017" s="18"/>
      <c r="V3017" s="18"/>
      <c r="W3017" s="18"/>
      <c r="X3017" s="18"/>
      <c r="Y3017" s="18"/>
      <c r="Z3017" s="18"/>
      <c r="AA3017" s="18"/>
      <c r="AB3017" s="18"/>
    </row>
    <row r="3018">
      <c r="A3018" s="31"/>
      <c r="B3018" s="34"/>
      <c r="C3018" s="18"/>
      <c r="D3018" s="18"/>
      <c r="E3018" s="18"/>
      <c r="F3018" s="18"/>
      <c r="G3018" s="35"/>
      <c r="H3018" s="33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  <c r="AA3018" s="18"/>
      <c r="AB3018" s="18"/>
    </row>
    <row r="3019">
      <c r="A3019" s="31"/>
      <c r="B3019" s="34"/>
      <c r="C3019" s="18"/>
      <c r="D3019" s="18"/>
      <c r="E3019" s="18"/>
      <c r="F3019" s="18"/>
      <c r="G3019" s="35"/>
      <c r="H3019" s="33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  <c r="X3019" s="18"/>
      <c r="Y3019" s="18"/>
      <c r="Z3019" s="18"/>
      <c r="AA3019" s="18"/>
      <c r="AB3019" s="18"/>
    </row>
    <row r="3020">
      <c r="A3020" s="31"/>
      <c r="B3020" s="34"/>
      <c r="C3020" s="18"/>
      <c r="D3020" s="18"/>
      <c r="E3020" s="18"/>
      <c r="F3020" s="18"/>
      <c r="G3020" s="35"/>
      <c r="H3020" s="33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Y3020" s="18"/>
      <c r="Z3020" s="18"/>
      <c r="AA3020" s="18"/>
      <c r="AB3020" s="18"/>
    </row>
    <row r="3021">
      <c r="A3021" s="31"/>
      <c r="B3021" s="34"/>
      <c r="C3021" s="18"/>
      <c r="D3021" s="18"/>
      <c r="E3021" s="18"/>
      <c r="F3021" s="18"/>
      <c r="G3021" s="35"/>
      <c r="H3021" s="33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8"/>
      <c r="Y3021" s="18"/>
      <c r="Z3021" s="18"/>
      <c r="AA3021" s="18"/>
      <c r="AB3021" s="18"/>
    </row>
    <row r="3022">
      <c r="A3022" s="31"/>
      <c r="B3022" s="34"/>
      <c r="C3022" s="18"/>
      <c r="D3022" s="18"/>
      <c r="E3022" s="18"/>
      <c r="F3022" s="18"/>
      <c r="G3022" s="35"/>
      <c r="H3022" s="33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8"/>
      <c r="Y3022" s="18"/>
      <c r="Z3022" s="18"/>
      <c r="AA3022" s="18"/>
      <c r="AB3022" s="18"/>
    </row>
    <row r="3023">
      <c r="A3023" s="31"/>
      <c r="B3023" s="34"/>
      <c r="C3023" s="18"/>
      <c r="D3023" s="18"/>
      <c r="E3023" s="18"/>
      <c r="F3023" s="18"/>
      <c r="G3023" s="35"/>
      <c r="H3023" s="33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8"/>
      <c r="Y3023" s="18"/>
      <c r="Z3023" s="18"/>
      <c r="AA3023" s="18"/>
      <c r="AB3023" s="18"/>
    </row>
    <row r="3024">
      <c r="A3024" s="31"/>
      <c r="B3024" s="34"/>
      <c r="C3024" s="18"/>
      <c r="D3024" s="18"/>
      <c r="E3024" s="18"/>
      <c r="F3024" s="18"/>
      <c r="G3024" s="35"/>
      <c r="H3024" s="33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Y3024" s="18"/>
      <c r="Z3024" s="18"/>
      <c r="AA3024" s="18"/>
      <c r="AB3024" s="18"/>
    </row>
    <row r="3025">
      <c r="A3025" s="31"/>
      <c r="B3025" s="34"/>
      <c r="C3025" s="18"/>
      <c r="D3025" s="18"/>
      <c r="E3025" s="18"/>
      <c r="F3025" s="18"/>
      <c r="G3025" s="35"/>
      <c r="H3025" s="33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8"/>
      <c r="Y3025" s="18"/>
      <c r="Z3025" s="18"/>
      <c r="AA3025" s="18"/>
      <c r="AB3025" s="18"/>
    </row>
    <row r="3026">
      <c r="A3026" s="31"/>
      <c r="B3026" s="34"/>
      <c r="C3026" s="18"/>
      <c r="D3026" s="18"/>
      <c r="E3026" s="18"/>
      <c r="F3026" s="18"/>
      <c r="G3026" s="35"/>
      <c r="H3026" s="33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8"/>
      <c r="Y3026" s="18"/>
      <c r="Z3026" s="18"/>
      <c r="AA3026" s="18"/>
      <c r="AB3026" s="18"/>
    </row>
    <row r="3027">
      <c r="A3027" s="31"/>
      <c r="B3027" s="34"/>
      <c r="C3027" s="18"/>
      <c r="D3027" s="18"/>
      <c r="E3027" s="18"/>
      <c r="F3027" s="18"/>
      <c r="G3027" s="35"/>
      <c r="H3027" s="33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  <c r="X3027" s="18"/>
      <c r="Y3027" s="18"/>
      <c r="Z3027" s="18"/>
      <c r="AA3027" s="18"/>
      <c r="AB3027" s="18"/>
    </row>
    <row r="3028">
      <c r="A3028" s="31"/>
      <c r="B3028" s="34"/>
      <c r="C3028" s="18"/>
      <c r="D3028" s="18"/>
      <c r="E3028" s="18"/>
      <c r="F3028" s="18"/>
      <c r="G3028" s="35"/>
      <c r="H3028" s="33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8"/>
      <c r="Y3028" s="18"/>
      <c r="Z3028" s="18"/>
      <c r="AA3028" s="18"/>
      <c r="AB3028" s="18"/>
    </row>
    <row r="3029">
      <c r="A3029" s="31"/>
      <c r="B3029" s="34"/>
      <c r="C3029" s="18"/>
      <c r="D3029" s="18"/>
      <c r="E3029" s="18"/>
      <c r="F3029" s="18"/>
      <c r="G3029" s="35"/>
      <c r="H3029" s="33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8"/>
      <c r="Y3029" s="18"/>
      <c r="Z3029" s="18"/>
      <c r="AA3029" s="18"/>
      <c r="AB3029" s="18"/>
    </row>
    <row r="3030">
      <c r="A3030" s="31"/>
      <c r="B3030" s="34"/>
      <c r="C3030" s="18"/>
      <c r="D3030" s="18"/>
      <c r="E3030" s="18"/>
      <c r="F3030" s="18"/>
      <c r="G3030" s="35"/>
      <c r="H3030" s="33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  <c r="AA3030" s="18"/>
      <c r="AB3030" s="18"/>
    </row>
    <row r="3031">
      <c r="A3031" s="31"/>
      <c r="B3031" s="34"/>
      <c r="C3031" s="18"/>
      <c r="D3031" s="18"/>
      <c r="E3031" s="18"/>
      <c r="F3031" s="18"/>
      <c r="G3031" s="35"/>
      <c r="H3031" s="33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  <c r="X3031" s="18"/>
      <c r="Y3031" s="18"/>
      <c r="Z3031" s="18"/>
      <c r="AA3031" s="18"/>
      <c r="AB3031" s="18"/>
    </row>
    <row r="3032">
      <c r="A3032" s="31"/>
      <c r="B3032" s="34"/>
      <c r="C3032" s="18"/>
      <c r="D3032" s="18"/>
      <c r="E3032" s="18"/>
      <c r="F3032" s="18"/>
      <c r="G3032" s="35"/>
      <c r="H3032" s="33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Y3032" s="18"/>
      <c r="Z3032" s="18"/>
      <c r="AA3032" s="18"/>
      <c r="AB3032" s="18"/>
    </row>
    <row r="3033">
      <c r="A3033" s="31"/>
      <c r="B3033" s="34"/>
      <c r="C3033" s="18"/>
      <c r="D3033" s="18"/>
      <c r="E3033" s="18"/>
      <c r="F3033" s="18"/>
      <c r="G3033" s="35"/>
      <c r="H3033" s="33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8"/>
      <c r="U3033" s="18"/>
      <c r="V3033" s="18"/>
      <c r="W3033" s="18"/>
      <c r="X3033" s="18"/>
      <c r="Y3033" s="18"/>
      <c r="Z3033" s="18"/>
      <c r="AA3033" s="18"/>
      <c r="AB3033" s="18"/>
    </row>
    <row r="3034">
      <c r="A3034" s="31"/>
      <c r="B3034" s="34"/>
      <c r="C3034" s="18"/>
      <c r="D3034" s="18"/>
      <c r="E3034" s="18"/>
      <c r="F3034" s="18"/>
      <c r="G3034" s="35"/>
      <c r="H3034" s="33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Y3034" s="18"/>
      <c r="Z3034" s="18"/>
      <c r="AA3034" s="18"/>
      <c r="AB3034" s="18"/>
    </row>
    <row r="3035">
      <c r="A3035" s="31"/>
      <c r="B3035" s="34"/>
      <c r="C3035" s="18"/>
      <c r="D3035" s="18"/>
      <c r="E3035" s="18"/>
      <c r="F3035" s="18"/>
      <c r="G3035" s="35"/>
      <c r="H3035" s="33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Y3035" s="18"/>
      <c r="Z3035" s="18"/>
      <c r="AA3035" s="18"/>
      <c r="AB3035" s="18"/>
    </row>
    <row r="3036">
      <c r="A3036" s="31"/>
      <c r="B3036" s="34"/>
      <c r="C3036" s="18"/>
      <c r="D3036" s="18"/>
      <c r="E3036" s="18"/>
      <c r="F3036" s="18"/>
      <c r="G3036" s="35"/>
      <c r="H3036" s="33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  <c r="AA3036" s="18"/>
      <c r="AB3036" s="18"/>
    </row>
    <row r="3037">
      <c r="A3037" s="31"/>
      <c r="B3037" s="34"/>
      <c r="C3037" s="18"/>
      <c r="D3037" s="18"/>
      <c r="E3037" s="18"/>
      <c r="F3037" s="18"/>
      <c r="G3037" s="35"/>
      <c r="H3037" s="33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8"/>
      <c r="Y3037" s="18"/>
      <c r="Z3037" s="18"/>
      <c r="AA3037" s="18"/>
      <c r="AB3037" s="18"/>
    </row>
    <row r="3038">
      <c r="A3038" s="31"/>
      <c r="B3038" s="34"/>
      <c r="C3038" s="18"/>
      <c r="D3038" s="18"/>
      <c r="E3038" s="18"/>
      <c r="F3038" s="18"/>
      <c r="G3038" s="35"/>
      <c r="H3038" s="33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Y3038" s="18"/>
      <c r="Z3038" s="18"/>
      <c r="AA3038" s="18"/>
      <c r="AB3038" s="18"/>
    </row>
    <row r="3039">
      <c r="A3039" s="31"/>
      <c r="B3039" s="34"/>
      <c r="C3039" s="18"/>
      <c r="D3039" s="18"/>
      <c r="E3039" s="18"/>
      <c r="F3039" s="18"/>
      <c r="G3039" s="35"/>
      <c r="H3039" s="33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Y3039" s="18"/>
      <c r="Z3039" s="18"/>
      <c r="AA3039" s="18"/>
      <c r="AB3039" s="18"/>
    </row>
    <row r="3040">
      <c r="A3040" s="31"/>
      <c r="B3040" s="34"/>
      <c r="C3040" s="18"/>
      <c r="D3040" s="18"/>
      <c r="E3040" s="18"/>
      <c r="F3040" s="18"/>
      <c r="G3040" s="35"/>
      <c r="H3040" s="33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Y3040" s="18"/>
      <c r="Z3040" s="18"/>
      <c r="AA3040" s="18"/>
      <c r="AB3040" s="18"/>
    </row>
    <row r="3041">
      <c r="A3041" s="31"/>
      <c r="B3041" s="34"/>
      <c r="C3041" s="18"/>
      <c r="D3041" s="18"/>
      <c r="E3041" s="18"/>
      <c r="F3041" s="18"/>
      <c r="G3041" s="35"/>
      <c r="H3041" s="33"/>
      <c r="I3041" s="18"/>
      <c r="J3041" s="18"/>
      <c r="K3041" s="18"/>
      <c r="L3041" s="18"/>
      <c r="M3041" s="1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Y3041" s="18"/>
      <c r="Z3041" s="18"/>
      <c r="AA3041" s="18"/>
      <c r="AB3041" s="18"/>
    </row>
    <row r="3042">
      <c r="A3042" s="31"/>
      <c r="B3042" s="34"/>
      <c r="C3042" s="18"/>
      <c r="D3042" s="18"/>
      <c r="E3042" s="18"/>
      <c r="F3042" s="18"/>
      <c r="G3042" s="35"/>
      <c r="H3042" s="33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  <c r="AA3042" s="18"/>
      <c r="AB3042" s="18"/>
    </row>
    <row r="3043">
      <c r="A3043" s="31"/>
      <c r="B3043" s="34"/>
      <c r="C3043" s="18"/>
      <c r="D3043" s="18"/>
      <c r="E3043" s="18"/>
      <c r="F3043" s="18"/>
      <c r="G3043" s="35"/>
      <c r="H3043" s="33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  <c r="X3043" s="18"/>
      <c r="Y3043" s="18"/>
      <c r="Z3043" s="18"/>
      <c r="AA3043" s="18"/>
      <c r="AB3043" s="18"/>
    </row>
    <row r="3044">
      <c r="A3044" s="31"/>
      <c r="B3044" s="34"/>
      <c r="C3044" s="18"/>
      <c r="D3044" s="18"/>
      <c r="E3044" s="18"/>
      <c r="F3044" s="18"/>
      <c r="G3044" s="35"/>
      <c r="H3044" s="33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Y3044" s="18"/>
      <c r="Z3044" s="18"/>
      <c r="AA3044" s="18"/>
      <c r="AB3044" s="18"/>
    </row>
    <row r="3045">
      <c r="A3045" s="31"/>
      <c r="B3045" s="34"/>
      <c r="C3045" s="18"/>
      <c r="D3045" s="18"/>
      <c r="E3045" s="18"/>
      <c r="F3045" s="18"/>
      <c r="G3045" s="35"/>
      <c r="H3045" s="33"/>
      <c r="I3045" s="18"/>
      <c r="J3045" s="18"/>
      <c r="K3045" s="18"/>
      <c r="L3045" s="18"/>
      <c r="M3045" s="18"/>
      <c r="N3045" s="18"/>
      <c r="O3045" s="18"/>
      <c r="P3045" s="18"/>
      <c r="Q3045" s="18"/>
      <c r="R3045" s="18"/>
      <c r="S3045" s="18"/>
      <c r="T3045" s="18"/>
      <c r="U3045" s="18"/>
      <c r="V3045" s="18"/>
      <c r="W3045" s="18"/>
      <c r="X3045" s="18"/>
      <c r="Y3045" s="18"/>
      <c r="Z3045" s="18"/>
      <c r="AA3045" s="18"/>
      <c r="AB3045" s="18"/>
    </row>
    <row r="3046">
      <c r="A3046" s="31"/>
      <c r="B3046" s="34"/>
      <c r="C3046" s="18"/>
      <c r="D3046" s="18"/>
      <c r="E3046" s="18"/>
      <c r="F3046" s="18"/>
      <c r="G3046" s="35"/>
      <c r="H3046" s="33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8"/>
      <c r="Y3046" s="18"/>
      <c r="Z3046" s="18"/>
      <c r="AA3046" s="18"/>
      <c r="AB3046" s="18"/>
    </row>
    <row r="3047">
      <c r="A3047" s="31"/>
      <c r="B3047" s="34"/>
      <c r="C3047" s="18"/>
      <c r="D3047" s="18"/>
      <c r="E3047" s="18"/>
      <c r="F3047" s="18"/>
      <c r="G3047" s="35"/>
      <c r="H3047" s="33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8"/>
      <c r="Y3047" s="18"/>
      <c r="Z3047" s="18"/>
      <c r="AA3047" s="18"/>
      <c r="AB3047" s="18"/>
    </row>
    <row r="3048">
      <c r="A3048" s="31"/>
      <c r="B3048" s="34"/>
      <c r="C3048" s="18"/>
      <c r="D3048" s="18"/>
      <c r="E3048" s="18"/>
      <c r="F3048" s="18"/>
      <c r="G3048" s="35"/>
      <c r="H3048" s="33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Y3048" s="18"/>
      <c r="Z3048" s="18"/>
      <c r="AA3048" s="18"/>
      <c r="AB3048" s="18"/>
    </row>
    <row r="3049">
      <c r="A3049" s="31"/>
      <c r="B3049" s="34"/>
      <c r="C3049" s="18"/>
      <c r="D3049" s="18"/>
      <c r="E3049" s="18"/>
      <c r="F3049" s="18"/>
      <c r="G3049" s="35"/>
      <c r="H3049" s="33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Y3049" s="18"/>
      <c r="Z3049" s="18"/>
      <c r="AA3049" s="18"/>
      <c r="AB3049" s="18"/>
    </row>
    <row r="3050">
      <c r="A3050" s="31"/>
      <c r="B3050" s="34"/>
      <c r="C3050" s="18"/>
      <c r="D3050" s="18"/>
      <c r="E3050" s="18"/>
      <c r="F3050" s="18"/>
      <c r="G3050" s="35"/>
      <c r="H3050" s="33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8"/>
      <c r="Y3050" s="18"/>
      <c r="Z3050" s="18"/>
      <c r="AA3050" s="18"/>
      <c r="AB3050" s="18"/>
    </row>
    <row r="3051">
      <c r="A3051" s="31"/>
      <c r="B3051" s="34"/>
      <c r="C3051" s="18"/>
      <c r="D3051" s="18"/>
      <c r="E3051" s="18"/>
      <c r="F3051" s="18"/>
      <c r="G3051" s="35"/>
      <c r="H3051" s="33"/>
      <c r="I3051" s="18"/>
      <c r="J3051" s="18"/>
      <c r="K3051" s="18"/>
      <c r="L3051" s="18"/>
      <c r="M3051" s="1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8"/>
      <c r="Y3051" s="18"/>
      <c r="Z3051" s="18"/>
      <c r="AA3051" s="18"/>
      <c r="AB3051" s="18"/>
    </row>
    <row r="3052">
      <c r="A3052" s="31"/>
      <c r="B3052" s="34"/>
      <c r="C3052" s="18"/>
      <c r="D3052" s="18"/>
      <c r="E3052" s="18"/>
      <c r="F3052" s="18"/>
      <c r="G3052" s="35"/>
      <c r="H3052" s="33"/>
      <c r="I3052" s="18"/>
      <c r="J3052" s="18"/>
      <c r="K3052" s="18"/>
      <c r="L3052" s="18"/>
      <c r="M3052" s="18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Y3052" s="18"/>
      <c r="Z3052" s="18"/>
      <c r="AA3052" s="18"/>
      <c r="AB3052" s="18"/>
    </row>
    <row r="3053">
      <c r="A3053" s="31"/>
      <c r="B3053" s="34"/>
      <c r="C3053" s="18"/>
      <c r="D3053" s="18"/>
      <c r="E3053" s="18"/>
      <c r="F3053" s="18"/>
      <c r="G3053" s="35"/>
      <c r="H3053" s="33"/>
      <c r="I3053" s="18"/>
      <c r="J3053" s="18"/>
      <c r="K3053" s="18"/>
      <c r="L3053" s="18"/>
      <c r="M3053" s="18"/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8"/>
      <c r="Y3053" s="18"/>
      <c r="Z3053" s="18"/>
      <c r="AA3053" s="18"/>
      <c r="AB3053" s="18"/>
    </row>
    <row r="3054">
      <c r="A3054" s="31"/>
      <c r="B3054" s="34"/>
      <c r="C3054" s="18"/>
      <c r="D3054" s="18"/>
      <c r="E3054" s="18"/>
      <c r="F3054" s="18"/>
      <c r="G3054" s="35"/>
      <c r="H3054" s="33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  <c r="AA3054" s="18"/>
      <c r="AB3054" s="18"/>
    </row>
    <row r="3055">
      <c r="A3055" s="31"/>
      <c r="B3055" s="34"/>
      <c r="C3055" s="18"/>
      <c r="D3055" s="18"/>
      <c r="E3055" s="18"/>
      <c r="F3055" s="18"/>
      <c r="G3055" s="35"/>
      <c r="H3055" s="33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  <c r="AA3055" s="18"/>
      <c r="AB3055" s="18"/>
    </row>
    <row r="3056">
      <c r="A3056" s="31"/>
      <c r="B3056" s="34"/>
      <c r="C3056" s="18"/>
      <c r="D3056" s="18"/>
      <c r="E3056" s="18"/>
      <c r="F3056" s="18"/>
      <c r="G3056" s="35"/>
      <c r="H3056" s="33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  <c r="AA3056" s="18"/>
      <c r="AB3056" s="18"/>
    </row>
    <row r="3057">
      <c r="A3057" s="31"/>
      <c r="B3057" s="34"/>
      <c r="C3057" s="18"/>
      <c r="D3057" s="18"/>
      <c r="E3057" s="18"/>
      <c r="F3057" s="18"/>
      <c r="G3057" s="35"/>
      <c r="H3057" s="33"/>
      <c r="I3057" s="18"/>
      <c r="J3057" s="18"/>
      <c r="K3057" s="18"/>
      <c r="L3057" s="18"/>
      <c r="M3057" s="18"/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8"/>
      <c r="Y3057" s="18"/>
      <c r="Z3057" s="18"/>
      <c r="AA3057" s="18"/>
      <c r="AB3057" s="18"/>
    </row>
    <row r="3058">
      <c r="A3058" s="31"/>
      <c r="B3058" s="34"/>
      <c r="C3058" s="18"/>
      <c r="D3058" s="18"/>
      <c r="E3058" s="18"/>
      <c r="F3058" s="18"/>
      <c r="G3058" s="35"/>
      <c r="H3058" s="33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  <c r="AA3058" s="18"/>
      <c r="AB3058" s="18"/>
    </row>
    <row r="3059">
      <c r="A3059" s="31"/>
      <c r="B3059" s="34"/>
      <c r="C3059" s="18"/>
      <c r="D3059" s="18"/>
      <c r="E3059" s="18"/>
      <c r="F3059" s="18"/>
      <c r="G3059" s="35"/>
      <c r="H3059" s="33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8"/>
      <c r="Y3059" s="18"/>
      <c r="Z3059" s="18"/>
      <c r="AA3059" s="18"/>
      <c r="AB3059" s="18"/>
    </row>
    <row r="3060">
      <c r="A3060" s="31"/>
      <c r="B3060" s="34"/>
      <c r="C3060" s="18"/>
      <c r="D3060" s="18"/>
      <c r="E3060" s="18"/>
      <c r="F3060" s="18"/>
      <c r="G3060" s="35"/>
      <c r="H3060" s="33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Y3060" s="18"/>
      <c r="Z3060" s="18"/>
      <c r="AA3060" s="18"/>
      <c r="AB3060" s="18"/>
    </row>
    <row r="3061">
      <c r="A3061" s="31"/>
      <c r="B3061" s="34"/>
      <c r="C3061" s="18"/>
      <c r="D3061" s="18"/>
      <c r="E3061" s="18"/>
      <c r="F3061" s="18"/>
      <c r="G3061" s="35"/>
      <c r="H3061" s="33"/>
      <c r="I3061" s="18"/>
      <c r="J3061" s="18"/>
      <c r="K3061" s="18"/>
      <c r="L3061" s="18"/>
      <c r="M3061" s="18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Y3061" s="18"/>
      <c r="Z3061" s="18"/>
      <c r="AA3061" s="18"/>
      <c r="AB3061" s="18"/>
    </row>
    <row r="3062">
      <c r="A3062" s="31"/>
      <c r="B3062" s="34"/>
      <c r="C3062" s="18"/>
      <c r="D3062" s="18"/>
      <c r="E3062" s="18"/>
      <c r="F3062" s="18"/>
      <c r="G3062" s="35"/>
      <c r="H3062" s="33"/>
      <c r="I3062" s="18"/>
      <c r="J3062" s="18"/>
      <c r="K3062" s="18"/>
      <c r="L3062" s="18"/>
      <c r="M3062" s="18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  <c r="AA3062" s="18"/>
      <c r="AB3062" s="18"/>
    </row>
    <row r="3063">
      <c r="A3063" s="31"/>
      <c r="B3063" s="34"/>
      <c r="C3063" s="18"/>
      <c r="D3063" s="18"/>
      <c r="E3063" s="18"/>
      <c r="F3063" s="18"/>
      <c r="G3063" s="35"/>
      <c r="H3063" s="33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Y3063" s="18"/>
      <c r="Z3063" s="18"/>
      <c r="AA3063" s="18"/>
      <c r="AB3063" s="18"/>
    </row>
    <row r="3064">
      <c r="A3064" s="31"/>
      <c r="B3064" s="34"/>
      <c r="C3064" s="18"/>
      <c r="D3064" s="18"/>
      <c r="E3064" s="18"/>
      <c r="F3064" s="18"/>
      <c r="G3064" s="35"/>
      <c r="H3064" s="33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8"/>
      <c r="Y3064" s="18"/>
      <c r="Z3064" s="18"/>
      <c r="AA3064" s="18"/>
      <c r="AB3064" s="18"/>
    </row>
    <row r="3065">
      <c r="A3065" s="31"/>
      <c r="B3065" s="34"/>
      <c r="C3065" s="18"/>
      <c r="D3065" s="18"/>
      <c r="E3065" s="18"/>
      <c r="F3065" s="18"/>
      <c r="G3065" s="35"/>
      <c r="H3065" s="33"/>
      <c r="I3065" s="18"/>
      <c r="J3065" s="18"/>
      <c r="K3065" s="18"/>
      <c r="L3065" s="18"/>
      <c r="M3065" s="18"/>
      <c r="N3065" s="18"/>
      <c r="O3065" s="18"/>
      <c r="P3065" s="18"/>
      <c r="Q3065" s="18"/>
      <c r="R3065" s="18"/>
      <c r="S3065" s="18"/>
      <c r="T3065" s="18"/>
      <c r="U3065" s="18"/>
      <c r="V3065" s="18"/>
      <c r="W3065" s="18"/>
      <c r="X3065" s="18"/>
      <c r="Y3065" s="18"/>
      <c r="Z3065" s="18"/>
      <c r="AA3065" s="18"/>
      <c r="AB3065" s="18"/>
    </row>
    <row r="3066">
      <c r="A3066" s="31"/>
      <c r="B3066" s="34"/>
      <c r="C3066" s="18"/>
      <c r="D3066" s="18"/>
      <c r="E3066" s="18"/>
      <c r="F3066" s="18"/>
      <c r="G3066" s="35"/>
      <c r="H3066" s="33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Y3066" s="18"/>
      <c r="Z3066" s="18"/>
      <c r="AA3066" s="18"/>
      <c r="AB3066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8442</v>
      </c>
      <c r="B1" s="36" t="s">
        <v>8443</v>
      </c>
      <c r="C1" s="36" t="s">
        <v>8444</v>
      </c>
      <c r="D1" s="2"/>
      <c r="E1" s="37" t="s">
        <v>8445</v>
      </c>
      <c r="F1" s="36" t="s">
        <v>8443</v>
      </c>
      <c r="G1" s="36" t="s">
        <v>8444</v>
      </c>
      <c r="H1" s="37" t="s">
        <v>8446</v>
      </c>
      <c r="I1" s="37" t="s">
        <v>8447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379</v>
      </c>
      <c r="B2" s="2" t="s">
        <v>8448</v>
      </c>
      <c r="C2" s="2" t="s">
        <v>8449</v>
      </c>
      <c r="D2" s="2"/>
      <c r="E2" s="2" t="s">
        <v>83</v>
      </c>
      <c r="F2" s="2" t="s">
        <v>8450</v>
      </c>
      <c r="G2" s="2" t="s">
        <v>8451</v>
      </c>
      <c r="H2" s="2" t="str">
        <f>"전적확인_" &amp; A2</f>
        <v>전적확인_시즌14</v>
      </c>
      <c r="I2" s="2" t="s">
        <v>8452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1352</v>
      </c>
      <c r="B3" s="2" t="s">
        <v>8453</v>
      </c>
      <c r="C3" s="2" t="s">
        <v>8448</v>
      </c>
      <c r="D3" s="2"/>
      <c r="E3" s="2"/>
      <c r="F3" s="2"/>
      <c r="G3" s="38" t="s">
        <v>8454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2017</v>
      </c>
      <c r="B4" s="2" t="s">
        <v>8455</v>
      </c>
      <c r="C4" s="2" t="s">
        <v>8456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2396</v>
      </c>
      <c r="B5" s="2" t="s">
        <v>8457</v>
      </c>
      <c r="C5" s="2" t="s">
        <v>8458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2888</v>
      </c>
      <c r="B6" s="2" t="s">
        <v>8459</v>
      </c>
      <c r="C6" s="2" t="s">
        <v>8460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3405</v>
      </c>
      <c r="B7" s="2" t="s">
        <v>8461</v>
      </c>
      <c r="C7" s="2" t="s">
        <v>8462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4257</v>
      </c>
      <c r="B8" s="2" t="s">
        <v>8463</v>
      </c>
      <c r="C8" s="2" t="s">
        <v>8464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4737</v>
      </c>
      <c r="B9" s="2" t="s">
        <v>8465</v>
      </c>
      <c r="C9" s="2" t="s">
        <v>8466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5526</v>
      </c>
      <c r="B10" s="2" t="s">
        <v>8467</v>
      </c>
      <c r="C10" s="2" t="s">
        <v>8468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6279</v>
      </c>
      <c r="B11" s="2" t="s">
        <v>8469</v>
      </c>
      <c r="C11" s="2" t="s">
        <v>8470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6619</v>
      </c>
      <c r="B12" s="2" t="s">
        <v>8471</v>
      </c>
      <c r="C12" s="2" t="s">
        <v>8472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6904</v>
      </c>
      <c r="B13" s="2" t="s">
        <v>8473</v>
      </c>
      <c r="C13" s="2" t="s">
        <v>8471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7316</v>
      </c>
      <c r="B14" s="2" t="s">
        <v>8474</v>
      </c>
      <c r="C14" s="2" t="s">
        <v>8473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7689</v>
      </c>
      <c r="B15" s="2" t="s">
        <v>8475</v>
      </c>
      <c r="C15" s="2" t="s">
        <v>8476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8266</v>
      </c>
      <c r="B16" s="2" t="s">
        <v>8477</v>
      </c>
      <c r="C16" s="2" t="s">
        <v>8478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list" allowBlank="1" showErrorMessage="1" sqref="I2">
      <formula1>"오픈,마감"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69</v>
      </c>
      <c r="B1" s="39" t="s">
        <v>8479</v>
      </c>
      <c r="C1" s="39" t="s">
        <v>8480</v>
      </c>
      <c r="D1" s="39" t="s">
        <v>8481</v>
      </c>
      <c r="E1" s="39" t="s">
        <v>8482</v>
      </c>
    </row>
    <row r="2">
      <c r="A2" s="40" t="s">
        <v>83</v>
      </c>
      <c r="B2" s="40" t="s">
        <v>8483</v>
      </c>
      <c r="C2" s="41">
        <v>13.0</v>
      </c>
      <c r="D2" s="41">
        <v>5.0</v>
      </c>
      <c r="E2" s="42" t="str">
        <f t="shared" ref="E2:E3367" si="1">IFERROR(TEXT(C2/(C2+D2), "0.0%"), "N/A")</f>
        <v>72.2%</v>
      </c>
    </row>
    <row r="3">
      <c r="A3" s="40" t="s">
        <v>83</v>
      </c>
      <c r="B3" s="40" t="s">
        <v>8484</v>
      </c>
      <c r="C3" s="41">
        <v>13.0</v>
      </c>
      <c r="D3" s="41">
        <v>10.0</v>
      </c>
      <c r="E3" s="42" t="str">
        <f t="shared" si="1"/>
        <v>56.5%</v>
      </c>
    </row>
    <row r="4">
      <c r="A4" s="40" t="s">
        <v>83</v>
      </c>
      <c r="B4" s="40" t="s">
        <v>8485</v>
      </c>
      <c r="C4" s="41">
        <v>12.0</v>
      </c>
      <c r="D4" s="41">
        <v>8.0</v>
      </c>
      <c r="E4" s="42" t="str">
        <f t="shared" si="1"/>
        <v>60.0%</v>
      </c>
    </row>
    <row r="5">
      <c r="A5" s="40" t="s">
        <v>83</v>
      </c>
      <c r="B5" s="40" t="s">
        <v>8486</v>
      </c>
      <c r="C5" s="41">
        <v>11.0</v>
      </c>
      <c r="D5" s="41">
        <v>6.0</v>
      </c>
      <c r="E5" s="42" t="str">
        <f t="shared" si="1"/>
        <v>64.7%</v>
      </c>
    </row>
    <row r="6">
      <c r="A6" s="40" t="s">
        <v>83</v>
      </c>
      <c r="B6" s="40" t="s">
        <v>8487</v>
      </c>
      <c r="C6" s="41">
        <v>11.0</v>
      </c>
      <c r="D6" s="41">
        <v>12.0</v>
      </c>
      <c r="E6" s="42" t="str">
        <f t="shared" si="1"/>
        <v>47.8%</v>
      </c>
    </row>
    <row r="7">
      <c r="A7" s="40" t="s">
        <v>83</v>
      </c>
      <c r="B7" s="40" t="s">
        <v>8488</v>
      </c>
      <c r="C7" s="41">
        <v>10.0</v>
      </c>
      <c r="D7" s="41">
        <v>1.0</v>
      </c>
      <c r="E7" s="42" t="str">
        <f t="shared" si="1"/>
        <v>90.9%</v>
      </c>
    </row>
    <row r="8">
      <c r="A8" s="40" t="s">
        <v>83</v>
      </c>
      <c r="B8" s="40" t="s">
        <v>8489</v>
      </c>
      <c r="C8" s="41">
        <v>10.0</v>
      </c>
      <c r="D8" s="41">
        <v>2.0</v>
      </c>
      <c r="E8" s="42" t="str">
        <f t="shared" si="1"/>
        <v>83.3%</v>
      </c>
    </row>
    <row r="9">
      <c r="A9" s="40" t="s">
        <v>83</v>
      </c>
      <c r="B9" s="40" t="s">
        <v>8490</v>
      </c>
      <c r="C9" s="41">
        <v>10.0</v>
      </c>
      <c r="D9" s="41">
        <v>9.0</v>
      </c>
      <c r="E9" s="42" t="str">
        <f t="shared" si="1"/>
        <v>52.6%</v>
      </c>
    </row>
    <row r="10">
      <c r="A10" s="40" t="s">
        <v>83</v>
      </c>
      <c r="B10" s="40" t="s">
        <v>8491</v>
      </c>
      <c r="C10" s="41">
        <v>10.0</v>
      </c>
      <c r="D10" s="41">
        <v>10.0</v>
      </c>
      <c r="E10" s="42" t="str">
        <f t="shared" si="1"/>
        <v>50.0%</v>
      </c>
    </row>
    <row r="11">
      <c r="A11" s="40" t="s">
        <v>83</v>
      </c>
      <c r="B11" s="40" t="s">
        <v>8492</v>
      </c>
      <c r="C11" s="41">
        <v>9.0</v>
      </c>
      <c r="D11" s="41">
        <v>5.0</v>
      </c>
      <c r="E11" s="42" t="str">
        <f t="shared" si="1"/>
        <v>64.3%</v>
      </c>
    </row>
    <row r="12">
      <c r="A12" s="40" t="s">
        <v>83</v>
      </c>
      <c r="B12" s="40" t="s">
        <v>8493</v>
      </c>
      <c r="C12" s="41">
        <v>9.0</v>
      </c>
      <c r="D12" s="41">
        <v>13.0</v>
      </c>
      <c r="E12" s="42" t="str">
        <f t="shared" si="1"/>
        <v>40.9%</v>
      </c>
    </row>
    <row r="13">
      <c r="A13" s="40" t="s">
        <v>83</v>
      </c>
      <c r="B13" s="40" t="s">
        <v>8494</v>
      </c>
      <c r="C13" s="41">
        <v>8.0</v>
      </c>
      <c r="D13" s="41">
        <v>2.0</v>
      </c>
      <c r="E13" s="42" t="str">
        <f t="shared" si="1"/>
        <v>80.0%</v>
      </c>
    </row>
    <row r="14">
      <c r="A14" s="40" t="s">
        <v>83</v>
      </c>
      <c r="B14" s="40" t="s">
        <v>8495</v>
      </c>
      <c r="C14" s="41">
        <v>8.0</v>
      </c>
      <c r="D14" s="41">
        <v>8.0</v>
      </c>
      <c r="E14" s="42" t="str">
        <f t="shared" si="1"/>
        <v>50.0%</v>
      </c>
    </row>
    <row r="15">
      <c r="A15" s="40" t="s">
        <v>83</v>
      </c>
      <c r="B15" s="40" t="s">
        <v>8496</v>
      </c>
      <c r="C15" s="41">
        <v>8.0</v>
      </c>
      <c r="D15" s="41">
        <v>9.0</v>
      </c>
      <c r="E15" s="42" t="str">
        <f t="shared" si="1"/>
        <v>47.1%</v>
      </c>
    </row>
    <row r="16">
      <c r="A16" s="40" t="s">
        <v>83</v>
      </c>
      <c r="B16" s="40" t="s">
        <v>8497</v>
      </c>
      <c r="C16" s="41">
        <v>7.0</v>
      </c>
      <c r="D16" s="41">
        <v>0.0</v>
      </c>
      <c r="E16" s="42" t="str">
        <f t="shared" si="1"/>
        <v>100.0%</v>
      </c>
    </row>
    <row r="17">
      <c r="A17" s="40" t="s">
        <v>83</v>
      </c>
      <c r="B17" s="40" t="s">
        <v>8498</v>
      </c>
      <c r="C17" s="41">
        <v>7.0</v>
      </c>
      <c r="D17" s="41">
        <v>3.0</v>
      </c>
      <c r="E17" s="42" t="str">
        <f t="shared" si="1"/>
        <v>70.0%</v>
      </c>
    </row>
    <row r="18">
      <c r="A18" s="40" t="s">
        <v>83</v>
      </c>
      <c r="B18" s="40" t="s">
        <v>8499</v>
      </c>
      <c r="C18" s="41">
        <v>7.0</v>
      </c>
      <c r="D18" s="41">
        <v>4.0</v>
      </c>
      <c r="E18" s="42" t="str">
        <f t="shared" si="1"/>
        <v>63.6%</v>
      </c>
    </row>
    <row r="19">
      <c r="A19" s="40" t="s">
        <v>83</v>
      </c>
      <c r="B19" s="40" t="s">
        <v>8500</v>
      </c>
      <c r="C19" s="41">
        <v>7.0</v>
      </c>
      <c r="D19" s="41">
        <v>5.0</v>
      </c>
      <c r="E19" s="42" t="str">
        <f t="shared" si="1"/>
        <v>58.3%</v>
      </c>
    </row>
    <row r="20">
      <c r="A20" s="40" t="s">
        <v>83</v>
      </c>
      <c r="B20" s="40" t="s">
        <v>8501</v>
      </c>
      <c r="C20" s="41">
        <v>6.0</v>
      </c>
      <c r="D20" s="41">
        <v>3.0</v>
      </c>
      <c r="E20" s="42" t="str">
        <f t="shared" si="1"/>
        <v>66.7%</v>
      </c>
    </row>
    <row r="21">
      <c r="A21" s="40" t="s">
        <v>83</v>
      </c>
      <c r="B21" s="40" t="s">
        <v>8502</v>
      </c>
      <c r="C21" s="41">
        <v>6.0</v>
      </c>
      <c r="D21" s="41">
        <v>3.0</v>
      </c>
      <c r="E21" s="42" t="str">
        <f t="shared" si="1"/>
        <v>66.7%</v>
      </c>
    </row>
    <row r="22">
      <c r="A22" s="40" t="s">
        <v>83</v>
      </c>
      <c r="B22" s="40" t="s">
        <v>8503</v>
      </c>
      <c r="C22" s="41">
        <v>6.0</v>
      </c>
      <c r="D22" s="41">
        <v>3.0</v>
      </c>
      <c r="E22" s="42" t="str">
        <f t="shared" si="1"/>
        <v>66.7%</v>
      </c>
    </row>
    <row r="23">
      <c r="A23" s="40" t="s">
        <v>83</v>
      </c>
      <c r="B23" s="40" t="s">
        <v>8504</v>
      </c>
      <c r="C23" s="41">
        <v>6.0</v>
      </c>
      <c r="D23" s="41">
        <v>3.0</v>
      </c>
      <c r="E23" s="42" t="str">
        <f t="shared" si="1"/>
        <v>66.7%</v>
      </c>
    </row>
    <row r="24">
      <c r="A24" s="40" t="s">
        <v>83</v>
      </c>
      <c r="B24" s="40" t="s">
        <v>8505</v>
      </c>
      <c r="C24" s="41">
        <v>6.0</v>
      </c>
      <c r="D24" s="41">
        <v>3.0</v>
      </c>
      <c r="E24" s="42" t="str">
        <f t="shared" si="1"/>
        <v>66.7%</v>
      </c>
    </row>
    <row r="25">
      <c r="A25" s="40" t="s">
        <v>83</v>
      </c>
      <c r="B25" s="40" t="s">
        <v>8506</v>
      </c>
      <c r="C25" s="41">
        <v>6.0</v>
      </c>
      <c r="D25" s="41">
        <v>3.0</v>
      </c>
      <c r="E25" s="42" t="str">
        <f t="shared" si="1"/>
        <v>66.7%</v>
      </c>
    </row>
    <row r="26">
      <c r="A26" s="40" t="s">
        <v>83</v>
      </c>
      <c r="B26" s="40" t="s">
        <v>8507</v>
      </c>
      <c r="C26" s="41">
        <v>6.0</v>
      </c>
      <c r="D26" s="41">
        <v>4.0</v>
      </c>
      <c r="E26" s="42" t="str">
        <f t="shared" si="1"/>
        <v>60.0%</v>
      </c>
    </row>
    <row r="27">
      <c r="A27" s="40" t="s">
        <v>83</v>
      </c>
      <c r="B27" s="40" t="s">
        <v>8508</v>
      </c>
      <c r="C27" s="41">
        <v>5.0</v>
      </c>
      <c r="D27" s="41">
        <v>2.0</v>
      </c>
      <c r="E27" s="42" t="str">
        <f t="shared" si="1"/>
        <v>71.4%</v>
      </c>
    </row>
    <row r="28">
      <c r="A28" s="40" t="s">
        <v>83</v>
      </c>
      <c r="B28" s="40" t="s">
        <v>8509</v>
      </c>
      <c r="C28" s="41">
        <v>5.0</v>
      </c>
      <c r="D28" s="41">
        <v>3.0</v>
      </c>
      <c r="E28" s="42" t="str">
        <f t="shared" si="1"/>
        <v>62.5%</v>
      </c>
    </row>
    <row r="29">
      <c r="A29" s="40" t="s">
        <v>83</v>
      </c>
      <c r="B29" s="40" t="s">
        <v>8510</v>
      </c>
      <c r="C29" s="41">
        <v>5.0</v>
      </c>
      <c r="D29" s="41">
        <v>3.0</v>
      </c>
      <c r="E29" s="42" t="str">
        <f t="shared" si="1"/>
        <v>62.5%</v>
      </c>
    </row>
    <row r="30">
      <c r="A30" s="40" t="s">
        <v>83</v>
      </c>
      <c r="B30" s="40" t="s">
        <v>8511</v>
      </c>
      <c r="C30" s="41">
        <v>5.0</v>
      </c>
      <c r="D30" s="41">
        <v>5.0</v>
      </c>
      <c r="E30" s="42" t="str">
        <f t="shared" si="1"/>
        <v>50.0%</v>
      </c>
    </row>
    <row r="31">
      <c r="A31" s="40" t="s">
        <v>83</v>
      </c>
      <c r="B31" s="40" t="s">
        <v>8512</v>
      </c>
      <c r="C31" s="41">
        <v>5.0</v>
      </c>
      <c r="D31" s="41">
        <v>6.0</v>
      </c>
      <c r="E31" s="42" t="str">
        <f t="shared" si="1"/>
        <v>45.5%</v>
      </c>
    </row>
    <row r="32">
      <c r="A32" s="40" t="s">
        <v>83</v>
      </c>
      <c r="B32" s="40" t="s">
        <v>8513</v>
      </c>
      <c r="C32" s="41">
        <v>4.0</v>
      </c>
      <c r="D32" s="41">
        <v>0.0</v>
      </c>
      <c r="E32" s="42" t="str">
        <f t="shared" si="1"/>
        <v>100.0%</v>
      </c>
    </row>
    <row r="33">
      <c r="A33" s="40" t="s">
        <v>83</v>
      </c>
      <c r="B33" s="40" t="s">
        <v>8514</v>
      </c>
      <c r="C33" s="41">
        <v>4.0</v>
      </c>
      <c r="D33" s="41">
        <v>1.0</v>
      </c>
      <c r="E33" s="42" t="str">
        <f t="shared" si="1"/>
        <v>80.0%</v>
      </c>
    </row>
    <row r="34">
      <c r="A34" s="40" t="s">
        <v>83</v>
      </c>
      <c r="B34" s="40" t="s">
        <v>8515</v>
      </c>
      <c r="C34" s="41">
        <v>4.0</v>
      </c>
      <c r="D34" s="41">
        <v>2.0</v>
      </c>
      <c r="E34" s="42" t="str">
        <f t="shared" si="1"/>
        <v>66.7%</v>
      </c>
    </row>
    <row r="35">
      <c r="A35" s="40" t="s">
        <v>83</v>
      </c>
      <c r="B35" s="40" t="s">
        <v>8516</v>
      </c>
      <c r="C35" s="41">
        <v>4.0</v>
      </c>
      <c r="D35" s="41">
        <v>2.0</v>
      </c>
      <c r="E35" s="42" t="str">
        <f t="shared" si="1"/>
        <v>66.7%</v>
      </c>
    </row>
    <row r="36">
      <c r="A36" s="40" t="s">
        <v>83</v>
      </c>
      <c r="B36" s="40" t="s">
        <v>8517</v>
      </c>
      <c r="C36" s="41">
        <v>4.0</v>
      </c>
      <c r="D36" s="41">
        <v>3.0</v>
      </c>
      <c r="E36" s="42" t="str">
        <f t="shared" si="1"/>
        <v>57.1%</v>
      </c>
    </row>
    <row r="37">
      <c r="A37" s="40" t="s">
        <v>83</v>
      </c>
      <c r="B37" s="40" t="s">
        <v>8518</v>
      </c>
      <c r="C37" s="41">
        <v>4.0</v>
      </c>
      <c r="D37" s="41">
        <v>4.0</v>
      </c>
      <c r="E37" s="42" t="str">
        <f t="shared" si="1"/>
        <v>50.0%</v>
      </c>
    </row>
    <row r="38">
      <c r="A38" s="40" t="s">
        <v>83</v>
      </c>
      <c r="B38" s="40" t="s">
        <v>8519</v>
      </c>
      <c r="C38" s="41">
        <v>4.0</v>
      </c>
      <c r="D38" s="41">
        <v>5.0</v>
      </c>
      <c r="E38" s="42" t="str">
        <f t="shared" si="1"/>
        <v>44.4%</v>
      </c>
    </row>
    <row r="39">
      <c r="A39" s="40" t="s">
        <v>83</v>
      </c>
      <c r="B39" s="40" t="s">
        <v>8520</v>
      </c>
      <c r="C39" s="41">
        <v>4.0</v>
      </c>
      <c r="D39" s="41">
        <v>11.0</v>
      </c>
      <c r="E39" s="42" t="str">
        <f t="shared" si="1"/>
        <v>26.7%</v>
      </c>
    </row>
    <row r="40">
      <c r="A40" s="40" t="s">
        <v>83</v>
      </c>
      <c r="B40" s="40" t="s">
        <v>8521</v>
      </c>
      <c r="C40" s="41">
        <v>3.0</v>
      </c>
      <c r="D40" s="41">
        <v>1.0</v>
      </c>
      <c r="E40" s="42" t="str">
        <f t="shared" si="1"/>
        <v>75.0%</v>
      </c>
    </row>
    <row r="41">
      <c r="A41" s="40" t="s">
        <v>83</v>
      </c>
      <c r="B41" s="40" t="s">
        <v>8522</v>
      </c>
      <c r="C41" s="41">
        <v>3.0</v>
      </c>
      <c r="D41" s="41">
        <v>1.0</v>
      </c>
      <c r="E41" s="42" t="str">
        <f t="shared" si="1"/>
        <v>75.0%</v>
      </c>
    </row>
    <row r="42">
      <c r="A42" s="40" t="s">
        <v>83</v>
      </c>
      <c r="B42" s="40" t="s">
        <v>8523</v>
      </c>
      <c r="C42" s="41">
        <v>3.0</v>
      </c>
      <c r="D42" s="41">
        <v>1.0</v>
      </c>
      <c r="E42" s="42" t="str">
        <f t="shared" si="1"/>
        <v>75.0%</v>
      </c>
    </row>
    <row r="43">
      <c r="A43" s="40" t="s">
        <v>83</v>
      </c>
      <c r="B43" s="40" t="s">
        <v>8524</v>
      </c>
      <c r="C43" s="41">
        <v>3.0</v>
      </c>
      <c r="D43" s="41">
        <v>1.0</v>
      </c>
      <c r="E43" s="42" t="str">
        <f t="shared" si="1"/>
        <v>75.0%</v>
      </c>
    </row>
    <row r="44">
      <c r="A44" s="40" t="s">
        <v>83</v>
      </c>
      <c r="B44" s="40" t="s">
        <v>8525</v>
      </c>
      <c r="C44" s="41">
        <v>3.0</v>
      </c>
      <c r="D44" s="41">
        <v>2.0</v>
      </c>
      <c r="E44" s="42" t="str">
        <f t="shared" si="1"/>
        <v>60.0%</v>
      </c>
    </row>
    <row r="45">
      <c r="A45" s="40" t="s">
        <v>83</v>
      </c>
      <c r="B45" s="40" t="s">
        <v>8526</v>
      </c>
      <c r="C45" s="41">
        <v>3.0</v>
      </c>
      <c r="D45" s="41">
        <v>2.0</v>
      </c>
      <c r="E45" s="42" t="str">
        <f t="shared" si="1"/>
        <v>60.0%</v>
      </c>
    </row>
    <row r="46">
      <c r="A46" s="40" t="s">
        <v>83</v>
      </c>
      <c r="B46" s="40" t="s">
        <v>8527</v>
      </c>
      <c r="C46" s="41">
        <v>3.0</v>
      </c>
      <c r="D46" s="41">
        <v>2.0</v>
      </c>
      <c r="E46" s="42" t="str">
        <f t="shared" si="1"/>
        <v>60.0%</v>
      </c>
    </row>
    <row r="47">
      <c r="A47" s="40" t="s">
        <v>83</v>
      </c>
      <c r="B47" s="40" t="s">
        <v>8528</v>
      </c>
      <c r="C47" s="41">
        <v>3.0</v>
      </c>
      <c r="D47" s="41">
        <v>2.0</v>
      </c>
      <c r="E47" s="42" t="str">
        <f t="shared" si="1"/>
        <v>60.0%</v>
      </c>
    </row>
    <row r="48">
      <c r="A48" s="40" t="s">
        <v>83</v>
      </c>
      <c r="B48" s="40" t="s">
        <v>8529</v>
      </c>
      <c r="C48" s="41">
        <v>3.0</v>
      </c>
      <c r="D48" s="41">
        <v>2.0</v>
      </c>
      <c r="E48" s="42" t="str">
        <f t="shared" si="1"/>
        <v>60.0%</v>
      </c>
    </row>
    <row r="49">
      <c r="A49" s="40" t="s">
        <v>83</v>
      </c>
      <c r="B49" s="40" t="s">
        <v>8530</v>
      </c>
      <c r="C49" s="41">
        <v>3.0</v>
      </c>
      <c r="D49" s="41">
        <v>3.0</v>
      </c>
      <c r="E49" s="42" t="str">
        <f t="shared" si="1"/>
        <v>50.0%</v>
      </c>
    </row>
    <row r="50">
      <c r="A50" s="40" t="s">
        <v>83</v>
      </c>
      <c r="B50" s="40" t="s">
        <v>8531</v>
      </c>
      <c r="C50" s="41">
        <v>3.0</v>
      </c>
      <c r="D50" s="41">
        <v>3.0</v>
      </c>
      <c r="E50" s="42" t="str">
        <f t="shared" si="1"/>
        <v>50.0%</v>
      </c>
    </row>
    <row r="51">
      <c r="A51" s="40" t="s">
        <v>83</v>
      </c>
      <c r="B51" s="40" t="s">
        <v>8532</v>
      </c>
      <c r="C51" s="41">
        <v>3.0</v>
      </c>
      <c r="D51" s="41">
        <v>3.0</v>
      </c>
      <c r="E51" s="42" t="str">
        <f t="shared" si="1"/>
        <v>50.0%</v>
      </c>
    </row>
    <row r="52">
      <c r="A52" s="40" t="s">
        <v>83</v>
      </c>
      <c r="B52" s="40" t="s">
        <v>8533</v>
      </c>
      <c r="C52" s="41">
        <v>3.0</v>
      </c>
      <c r="D52" s="41">
        <v>3.0</v>
      </c>
      <c r="E52" s="42" t="str">
        <f t="shared" si="1"/>
        <v>50.0%</v>
      </c>
    </row>
    <row r="53">
      <c r="A53" s="40" t="s">
        <v>83</v>
      </c>
      <c r="B53" s="40" t="s">
        <v>8534</v>
      </c>
      <c r="C53" s="41">
        <v>3.0</v>
      </c>
      <c r="D53" s="41">
        <v>5.0</v>
      </c>
      <c r="E53" s="42" t="str">
        <f t="shared" si="1"/>
        <v>37.5%</v>
      </c>
    </row>
    <row r="54">
      <c r="A54" s="40" t="s">
        <v>83</v>
      </c>
      <c r="B54" s="40" t="s">
        <v>8535</v>
      </c>
      <c r="C54" s="41">
        <v>3.0</v>
      </c>
      <c r="D54" s="41">
        <v>6.0</v>
      </c>
      <c r="E54" s="42" t="str">
        <f t="shared" si="1"/>
        <v>33.3%</v>
      </c>
    </row>
    <row r="55">
      <c r="A55" s="40" t="s">
        <v>83</v>
      </c>
      <c r="B55" s="40" t="s">
        <v>8536</v>
      </c>
      <c r="C55" s="41">
        <v>3.0</v>
      </c>
      <c r="D55" s="41">
        <v>7.0</v>
      </c>
      <c r="E55" s="42" t="str">
        <f t="shared" si="1"/>
        <v>30.0%</v>
      </c>
    </row>
    <row r="56">
      <c r="A56" s="40" t="s">
        <v>83</v>
      </c>
      <c r="B56" s="40" t="s">
        <v>8537</v>
      </c>
      <c r="C56" s="41">
        <v>2.0</v>
      </c>
      <c r="D56" s="41">
        <v>0.0</v>
      </c>
      <c r="E56" s="42" t="str">
        <f t="shared" si="1"/>
        <v>100.0%</v>
      </c>
    </row>
    <row r="57">
      <c r="A57" s="40" t="s">
        <v>83</v>
      </c>
      <c r="B57" s="40" t="s">
        <v>8538</v>
      </c>
      <c r="C57" s="41">
        <v>2.0</v>
      </c>
      <c r="D57" s="41">
        <v>0.0</v>
      </c>
      <c r="E57" s="42" t="str">
        <f t="shared" si="1"/>
        <v>100.0%</v>
      </c>
    </row>
    <row r="58">
      <c r="A58" s="40" t="s">
        <v>83</v>
      </c>
      <c r="B58" s="40" t="s">
        <v>8539</v>
      </c>
      <c r="C58" s="41">
        <v>2.0</v>
      </c>
      <c r="D58" s="41">
        <v>1.0</v>
      </c>
      <c r="E58" s="42" t="str">
        <f t="shared" si="1"/>
        <v>66.7%</v>
      </c>
    </row>
    <row r="59">
      <c r="A59" s="40" t="s">
        <v>83</v>
      </c>
      <c r="B59" s="40" t="s">
        <v>8540</v>
      </c>
      <c r="C59" s="41">
        <v>2.0</v>
      </c>
      <c r="D59" s="41">
        <v>1.0</v>
      </c>
      <c r="E59" s="42" t="str">
        <f t="shared" si="1"/>
        <v>66.7%</v>
      </c>
    </row>
    <row r="60">
      <c r="A60" s="40" t="s">
        <v>83</v>
      </c>
      <c r="B60" s="40" t="s">
        <v>8541</v>
      </c>
      <c r="C60" s="41">
        <v>2.0</v>
      </c>
      <c r="D60" s="41">
        <v>1.0</v>
      </c>
      <c r="E60" s="42" t="str">
        <f t="shared" si="1"/>
        <v>66.7%</v>
      </c>
    </row>
    <row r="61">
      <c r="A61" s="40" t="s">
        <v>83</v>
      </c>
      <c r="B61" s="40" t="s">
        <v>8542</v>
      </c>
      <c r="C61" s="41">
        <v>2.0</v>
      </c>
      <c r="D61" s="41">
        <v>1.0</v>
      </c>
      <c r="E61" s="42" t="str">
        <f t="shared" si="1"/>
        <v>66.7%</v>
      </c>
    </row>
    <row r="62">
      <c r="A62" s="40" t="s">
        <v>83</v>
      </c>
      <c r="B62" s="40" t="s">
        <v>8543</v>
      </c>
      <c r="C62" s="41">
        <v>2.0</v>
      </c>
      <c r="D62" s="41">
        <v>1.0</v>
      </c>
      <c r="E62" s="42" t="str">
        <f t="shared" si="1"/>
        <v>66.7%</v>
      </c>
    </row>
    <row r="63">
      <c r="A63" s="40" t="s">
        <v>83</v>
      </c>
      <c r="B63" s="40" t="s">
        <v>8544</v>
      </c>
      <c r="C63" s="41">
        <v>2.0</v>
      </c>
      <c r="D63" s="41">
        <v>1.0</v>
      </c>
      <c r="E63" s="42" t="str">
        <f t="shared" si="1"/>
        <v>66.7%</v>
      </c>
    </row>
    <row r="64">
      <c r="A64" s="40" t="s">
        <v>83</v>
      </c>
      <c r="B64" s="40" t="s">
        <v>8545</v>
      </c>
      <c r="C64" s="41">
        <v>2.0</v>
      </c>
      <c r="D64" s="41">
        <v>1.0</v>
      </c>
      <c r="E64" s="42" t="str">
        <f t="shared" si="1"/>
        <v>66.7%</v>
      </c>
    </row>
    <row r="65">
      <c r="A65" s="40" t="s">
        <v>83</v>
      </c>
      <c r="B65" s="40" t="s">
        <v>8546</v>
      </c>
      <c r="C65" s="41">
        <v>2.0</v>
      </c>
      <c r="D65" s="41">
        <v>2.0</v>
      </c>
      <c r="E65" s="42" t="str">
        <f t="shared" si="1"/>
        <v>50.0%</v>
      </c>
    </row>
    <row r="66">
      <c r="A66" s="40" t="s">
        <v>83</v>
      </c>
      <c r="B66" s="40" t="s">
        <v>8547</v>
      </c>
      <c r="C66" s="41">
        <v>2.0</v>
      </c>
      <c r="D66" s="41">
        <v>2.0</v>
      </c>
      <c r="E66" s="42" t="str">
        <f t="shared" si="1"/>
        <v>50.0%</v>
      </c>
    </row>
    <row r="67">
      <c r="A67" s="40" t="s">
        <v>83</v>
      </c>
      <c r="B67" s="40" t="s">
        <v>8548</v>
      </c>
      <c r="C67" s="41">
        <v>2.0</v>
      </c>
      <c r="D67" s="41">
        <v>2.0</v>
      </c>
      <c r="E67" s="42" t="str">
        <f t="shared" si="1"/>
        <v>50.0%</v>
      </c>
    </row>
    <row r="68">
      <c r="A68" s="40" t="s">
        <v>83</v>
      </c>
      <c r="B68" s="40" t="s">
        <v>8549</v>
      </c>
      <c r="C68" s="41">
        <v>2.0</v>
      </c>
      <c r="D68" s="41">
        <v>2.0</v>
      </c>
      <c r="E68" s="42" t="str">
        <f t="shared" si="1"/>
        <v>50.0%</v>
      </c>
    </row>
    <row r="69">
      <c r="A69" s="40" t="s">
        <v>83</v>
      </c>
      <c r="B69" s="40" t="s">
        <v>8550</v>
      </c>
      <c r="C69" s="41">
        <v>2.0</v>
      </c>
      <c r="D69" s="41">
        <v>2.0</v>
      </c>
      <c r="E69" s="42" t="str">
        <f t="shared" si="1"/>
        <v>50.0%</v>
      </c>
    </row>
    <row r="70">
      <c r="A70" s="40" t="s">
        <v>83</v>
      </c>
      <c r="B70" s="40" t="s">
        <v>8551</v>
      </c>
      <c r="C70" s="41">
        <v>2.0</v>
      </c>
      <c r="D70" s="41">
        <v>3.0</v>
      </c>
      <c r="E70" s="42" t="str">
        <f t="shared" si="1"/>
        <v>40.0%</v>
      </c>
    </row>
    <row r="71">
      <c r="A71" s="40" t="s">
        <v>83</v>
      </c>
      <c r="B71" s="40" t="s">
        <v>8552</v>
      </c>
      <c r="C71" s="41">
        <v>2.0</v>
      </c>
      <c r="D71" s="41">
        <v>3.0</v>
      </c>
      <c r="E71" s="42" t="str">
        <f t="shared" si="1"/>
        <v>40.0%</v>
      </c>
    </row>
    <row r="72">
      <c r="A72" s="40" t="s">
        <v>83</v>
      </c>
      <c r="B72" s="40" t="s">
        <v>8553</v>
      </c>
      <c r="C72" s="41">
        <v>2.0</v>
      </c>
      <c r="D72" s="41">
        <v>3.0</v>
      </c>
      <c r="E72" s="42" t="str">
        <f t="shared" si="1"/>
        <v>40.0%</v>
      </c>
    </row>
    <row r="73">
      <c r="A73" s="40" t="s">
        <v>83</v>
      </c>
      <c r="B73" s="40" t="s">
        <v>8554</v>
      </c>
      <c r="C73" s="41">
        <v>2.0</v>
      </c>
      <c r="D73" s="41">
        <v>4.0</v>
      </c>
      <c r="E73" s="42" t="str">
        <f t="shared" si="1"/>
        <v>33.3%</v>
      </c>
    </row>
    <row r="74">
      <c r="A74" s="40" t="s">
        <v>83</v>
      </c>
      <c r="B74" s="40" t="s">
        <v>8555</v>
      </c>
      <c r="C74" s="41">
        <v>2.0</v>
      </c>
      <c r="D74" s="41">
        <v>4.0</v>
      </c>
      <c r="E74" s="42" t="str">
        <f t="shared" si="1"/>
        <v>33.3%</v>
      </c>
    </row>
    <row r="75">
      <c r="A75" s="40" t="s">
        <v>83</v>
      </c>
      <c r="B75" s="40" t="s">
        <v>8556</v>
      </c>
      <c r="C75" s="41">
        <v>2.0</v>
      </c>
      <c r="D75" s="41">
        <v>4.0</v>
      </c>
      <c r="E75" s="42" t="str">
        <f t="shared" si="1"/>
        <v>33.3%</v>
      </c>
    </row>
    <row r="76">
      <c r="A76" s="40" t="s">
        <v>83</v>
      </c>
      <c r="B76" s="40" t="s">
        <v>8557</v>
      </c>
      <c r="C76" s="41">
        <v>2.0</v>
      </c>
      <c r="D76" s="41">
        <v>6.0</v>
      </c>
      <c r="E76" s="42" t="str">
        <f t="shared" si="1"/>
        <v>25.0%</v>
      </c>
    </row>
    <row r="77">
      <c r="A77" s="40" t="s">
        <v>83</v>
      </c>
      <c r="B77" s="40" t="s">
        <v>8558</v>
      </c>
      <c r="C77" s="41">
        <v>1.0</v>
      </c>
      <c r="D77" s="41">
        <v>0.0</v>
      </c>
      <c r="E77" s="42" t="str">
        <f t="shared" si="1"/>
        <v>100.0%</v>
      </c>
    </row>
    <row r="78">
      <c r="A78" s="40" t="s">
        <v>83</v>
      </c>
      <c r="B78" s="40" t="s">
        <v>8559</v>
      </c>
      <c r="C78" s="41">
        <v>1.0</v>
      </c>
      <c r="D78" s="41">
        <v>0.0</v>
      </c>
      <c r="E78" s="42" t="str">
        <f t="shared" si="1"/>
        <v>100.0%</v>
      </c>
    </row>
    <row r="79">
      <c r="A79" s="40" t="s">
        <v>83</v>
      </c>
      <c r="B79" s="40" t="s">
        <v>8560</v>
      </c>
      <c r="C79" s="41">
        <v>1.0</v>
      </c>
      <c r="D79" s="41">
        <v>0.0</v>
      </c>
      <c r="E79" s="42" t="str">
        <f t="shared" si="1"/>
        <v>100.0%</v>
      </c>
    </row>
    <row r="80">
      <c r="A80" s="40" t="s">
        <v>83</v>
      </c>
      <c r="B80" s="40" t="s">
        <v>8561</v>
      </c>
      <c r="C80" s="41">
        <v>1.0</v>
      </c>
      <c r="D80" s="41">
        <v>0.0</v>
      </c>
      <c r="E80" s="42" t="str">
        <f t="shared" si="1"/>
        <v>100.0%</v>
      </c>
    </row>
    <row r="81">
      <c r="A81" s="40" t="s">
        <v>83</v>
      </c>
      <c r="B81" s="40" t="s">
        <v>8562</v>
      </c>
      <c r="C81" s="41">
        <v>1.0</v>
      </c>
      <c r="D81" s="41">
        <v>0.0</v>
      </c>
      <c r="E81" s="42" t="str">
        <f t="shared" si="1"/>
        <v>100.0%</v>
      </c>
    </row>
    <row r="82">
      <c r="A82" s="40" t="s">
        <v>83</v>
      </c>
      <c r="B82" s="40" t="s">
        <v>8563</v>
      </c>
      <c r="C82" s="41">
        <v>1.0</v>
      </c>
      <c r="D82" s="41">
        <v>0.0</v>
      </c>
      <c r="E82" s="42" t="str">
        <f t="shared" si="1"/>
        <v>100.0%</v>
      </c>
    </row>
    <row r="83">
      <c r="A83" s="40" t="s">
        <v>83</v>
      </c>
      <c r="B83" s="40" t="s">
        <v>8564</v>
      </c>
      <c r="C83" s="41">
        <v>1.0</v>
      </c>
      <c r="D83" s="41">
        <v>0.0</v>
      </c>
      <c r="E83" s="42" t="str">
        <f t="shared" si="1"/>
        <v>100.0%</v>
      </c>
    </row>
    <row r="84">
      <c r="A84" s="40" t="s">
        <v>83</v>
      </c>
      <c r="B84" s="40" t="s">
        <v>8565</v>
      </c>
      <c r="C84" s="41">
        <v>1.0</v>
      </c>
      <c r="D84" s="41">
        <v>0.0</v>
      </c>
      <c r="E84" s="42" t="str">
        <f t="shared" si="1"/>
        <v>100.0%</v>
      </c>
    </row>
    <row r="85">
      <c r="A85" s="40" t="s">
        <v>83</v>
      </c>
      <c r="B85" s="40" t="s">
        <v>8566</v>
      </c>
      <c r="C85" s="41">
        <v>1.0</v>
      </c>
      <c r="D85" s="41">
        <v>0.0</v>
      </c>
      <c r="E85" s="42" t="str">
        <f t="shared" si="1"/>
        <v>100.0%</v>
      </c>
    </row>
    <row r="86">
      <c r="A86" s="40" t="s">
        <v>83</v>
      </c>
      <c r="B86" s="40" t="s">
        <v>8567</v>
      </c>
      <c r="C86" s="41">
        <v>1.0</v>
      </c>
      <c r="D86" s="41">
        <v>0.0</v>
      </c>
      <c r="E86" s="42" t="str">
        <f t="shared" si="1"/>
        <v>100.0%</v>
      </c>
    </row>
    <row r="87">
      <c r="A87" s="40" t="s">
        <v>83</v>
      </c>
      <c r="B87" s="40" t="s">
        <v>8568</v>
      </c>
      <c r="C87" s="41">
        <v>1.0</v>
      </c>
      <c r="D87" s="41">
        <v>0.0</v>
      </c>
      <c r="E87" s="42" t="str">
        <f t="shared" si="1"/>
        <v>100.0%</v>
      </c>
    </row>
    <row r="88">
      <c r="A88" s="40" t="s">
        <v>83</v>
      </c>
      <c r="B88" s="40" t="s">
        <v>8569</v>
      </c>
      <c r="C88" s="41">
        <v>1.0</v>
      </c>
      <c r="D88" s="41">
        <v>0.0</v>
      </c>
      <c r="E88" s="42" t="str">
        <f t="shared" si="1"/>
        <v>100.0%</v>
      </c>
    </row>
    <row r="89">
      <c r="A89" s="40" t="s">
        <v>83</v>
      </c>
      <c r="B89" s="40" t="s">
        <v>8570</v>
      </c>
      <c r="C89" s="41">
        <v>1.0</v>
      </c>
      <c r="D89" s="41">
        <v>1.0</v>
      </c>
      <c r="E89" s="42" t="str">
        <f t="shared" si="1"/>
        <v>50.0%</v>
      </c>
    </row>
    <row r="90">
      <c r="A90" s="40" t="s">
        <v>83</v>
      </c>
      <c r="B90" s="40" t="s">
        <v>8571</v>
      </c>
      <c r="C90" s="41">
        <v>1.0</v>
      </c>
      <c r="D90" s="41">
        <v>1.0</v>
      </c>
      <c r="E90" s="42" t="str">
        <f t="shared" si="1"/>
        <v>50.0%</v>
      </c>
    </row>
    <row r="91">
      <c r="A91" s="40" t="s">
        <v>83</v>
      </c>
      <c r="B91" s="40" t="s">
        <v>8572</v>
      </c>
      <c r="C91" s="41">
        <v>1.0</v>
      </c>
      <c r="D91" s="41">
        <v>1.0</v>
      </c>
      <c r="E91" s="42" t="str">
        <f t="shared" si="1"/>
        <v>50.0%</v>
      </c>
    </row>
    <row r="92">
      <c r="A92" s="40" t="s">
        <v>83</v>
      </c>
      <c r="B92" s="40" t="s">
        <v>8573</v>
      </c>
      <c r="C92" s="41">
        <v>1.0</v>
      </c>
      <c r="D92" s="41">
        <v>1.0</v>
      </c>
      <c r="E92" s="42" t="str">
        <f t="shared" si="1"/>
        <v>50.0%</v>
      </c>
    </row>
    <row r="93">
      <c r="A93" s="40" t="s">
        <v>83</v>
      </c>
      <c r="B93" s="40" t="s">
        <v>8574</v>
      </c>
      <c r="C93" s="41">
        <v>1.0</v>
      </c>
      <c r="D93" s="41">
        <v>1.0</v>
      </c>
      <c r="E93" s="42" t="str">
        <f t="shared" si="1"/>
        <v>50.0%</v>
      </c>
    </row>
    <row r="94">
      <c r="A94" s="40" t="s">
        <v>83</v>
      </c>
      <c r="B94" s="40" t="s">
        <v>8575</v>
      </c>
      <c r="C94" s="41">
        <v>1.0</v>
      </c>
      <c r="D94" s="41">
        <v>1.0</v>
      </c>
      <c r="E94" s="42" t="str">
        <f t="shared" si="1"/>
        <v>50.0%</v>
      </c>
    </row>
    <row r="95">
      <c r="A95" s="40" t="s">
        <v>83</v>
      </c>
      <c r="B95" s="40" t="s">
        <v>8576</v>
      </c>
      <c r="C95" s="41">
        <v>1.0</v>
      </c>
      <c r="D95" s="41">
        <v>1.0</v>
      </c>
      <c r="E95" s="42" t="str">
        <f t="shared" si="1"/>
        <v>50.0%</v>
      </c>
    </row>
    <row r="96">
      <c r="A96" s="40" t="s">
        <v>83</v>
      </c>
      <c r="B96" s="40" t="s">
        <v>8577</v>
      </c>
      <c r="C96" s="41">
        <v>1.0</v>
      </c>
      <c r="D96" s="41">
        <v>1.0</v>
      </c>
      <c r="E96" s="42" t="str">
        <f t="shared" si="1"/>
        <v>50.0%</v>
      </c>
    </row>
    <row r="97">
      <c r="A97" s="40" t="s">
        <v>83</v>
      </c>
      <c r="B97" s="40" t="s">
        <v>8578</v>
      </c>
      <c r="C97" s="41">
        <v>1.0</v>
      </c>
      <c r="D97" s="41">
        <v>1.0</v>
      </c>
      <c r="E97" s="42" t="str">
        <f t="shared" si="1"/>
        <v>50.0%</v>
      </c>
    </row>
    <row r="98">
      <c r="A98" s="40" t="s">
        <v>83</v>
      </c>
      <c r="B98" s="40" t="s">
        <v>8579</v>
      </c>
      <c r="C98" s="41">
        <v>1.0</v>
      </c>
      <c r="D98" s="41">
        <v>1.0</v>
      </c>
      <c r="E98" s="42" t="str">
        <f t="shared" si="1"/>
        <v>50.0%</v>
      </c>
    </row>
    <row r="99">
      <c r="A99" s="40" t="s">
        <v>83</v>
      </c>
      <c r="B99" s="40" t="s">
        <v>8580</v>
      </c>
      <c r="C99" s="41">
        <v>1.0</v>
      </c>
      <c r="D99" s="41">
        <v>1.0</v>
      </c>
      <c r="E99" s="42" t="str">
        <f t="shared" si="1"/>
        <v>50.0%</v>
      </c>
    </row>
    <row r="100">
      <c r="A100" s="40" t="s">
        <v>83</v>
      </c>
      <c r="B100" s="40" t="s">
        <v>8581</v>
      </c>
      <c r="C100" s="41">
        <v>1.0</v>
      </c>
      <c r="D100" s="41">
        <v>1.0</v>
      </c>
      <c r="E100" s="42" t="str">
        <f t="shared" si="1"/>
        <v>50.0%</v>
      </c>
    </row>
    <row r="101">
      <c r="A101" s="40" t="s">
        <v>83</v>
      </c>
      <c r="B101" s="40" t="s">
        <v>8582</v>
      </c>
      <c r="C101" s="41">
        <v>1.0</v>
      </c>
      <c r="D101" s="41">
        <v>1.0</v>
      </c>
      <c r="E101" s="42" t="str">
        <f t="shared" si="1"/>
        <v>50.0%</v>
      </c>
    </row>
    <row r="102">
      <c r="A102" s="40" t="s">
        <v>83</v>
      </c>
      <c r="B102" s="40" t="s">
        <v>8583</v>
      </c>
      <c r="C102" s="41">
        <v>1.0</v>
      </c>
      <c r="D102" s="41">
        <v>2.0</v>
      </c>
      <c r="E102" s="42" t="str">
        <f t="shared" si="1"/>
        <v>33.3%</v>
      </c>
    </row>
    <row r="103">
      <c r="A103" s="40" t="s">
        <v>83</v>
      </c>
      <c r="B103" s="40" t="s">
        <v>8584</v>
      </c>
      <c r="C103" s="41">
        <v>1.0</v>
      </c>
      <c r="D103" s="41">
        <v>2.0</v>
      </c>
      <c r="E103" s="42" t="str">
        <f t="shared" si="1"/>
        <v>33.3%</v>
      </c>
    </row>
    <row r="104">
      <c r="A104" s="40" t="s">
        <v>83</v>
      </c>
      <c r="B104" s="40" t="s">
        <v>8585</v>
      </c>
      <c r="C104" s="41">
        <v>1.0</v>
      </c>
      <c r="D104" s="41">
        <v>2.0</v>
      </c>
      <c r="E104" s="42" t="str">
        <f t="shared" si="1"/>
        <v>33.3%</v>
      </c>
    </row>
    <row r="105">
      <c r="A105" s="40" t="s">
        <v>83</v>
      </c>
      <c r="B105" s="40" t="s">
        <v>8586</v>
      </c>
      <c r="C105" s="41">
        <v>1.0</v>
      </c>
      <c r="D105" s="41">
        <v>2.0</v>
      </c>
      <c r="E105" s="42" t="str">
        <f t="shared" si="1"/>
        <v>33.3%</v>
      </c>
    </row>
    <row r="106">
      <c r="A106" s="40" t="s">
        <v>83</v>
      </c>
      <c r="B106" s="40" t="s">
        <v>8587</v>
      </c>
      <c r="C106" s="41">
        <v>1.0</v>
      </c>
      <c r="D106" s="41">
        <v>2.0</v>
      </c>
      <c r="E106" s="42" t="str">
        <f t="shared" si="1"/>
        <v>33.3%</v>
      </c>
    </row>
    <row r="107">
      <c r="A107" s="40" t="s">
        <v>83</v>
      </c>
      <c r="B107" s="40" t="s">
        <v>8588</v>
      </c>
      <c r="C107" s="41">
        <v>1.0</v>
      </c>
      <c r="D107" s="41">
        <v>2.0</v>
      </c>
      <c r="E107" s="42" t="str">
        <f t="shared" si="1"/>
        <v>33.3%</v>
      </c>
    </row>
    <row r="108">
      <c r="A108" s="40" t="s">
        <v>83</v>
      </c>
      <c r="B108" s="40" t="s">
        <v>8589</v>
      </c>
      <c r="C108" s="41">
        <v>1.0</v>
      </c>
      <c r="D108" s="41">
        <v>3.0</v>
      </c>
      <c r="E108" s="42" t="str">
        <f t="shared" si="1"/>
        <v>25.0%</v>
      </c>
    </row>
    <row r="109">
      <c r="A109" s="40" t="s">
        <v>83</v>
      </c>
      <c r="B109" s="40" t="s">
        <v>8590</v>
      </c>
      <c r="C109" s="41">
        <v>1.0</v>
      </c>
      <c r="D109" s="41">
        <v>3.0</v>
      </c>
      <c r="E109" s="42" t="str">
        <f t="shared" si="1"/>
        <v>25.0%</v>
      </c>
    </row>
    <row r="110">
      <c r="A110" s="40" t="s">
        <v>83</v>
      </c>
      <c r="B110" s="40" t="s">
        <v>8591</v>
      </c>
      <c r="C110" s="41">
        <v>1.0</v>
      </c>
      <c r="D110" s="41">
        <v>3.0</v>
      </c>
      <c r="E110" s="42" t="str">
        <f t="shared" si="1"/>
        <v>25.0%</v>
      </c>
    </row>
    <row r="111">
      <c r="A111" s="40" t="s">
        <v>83</v>
      </c>
      <c r="B111" s="40" t="s">
        <v>8592</v>
      </c>
      <c r="C111" s="41">
        <v>1.0</v>
      </c>
      <c r="D111" s="41">
        <v>5.0</v>
      </c>
      <c r="E111" s="42" t="str">
        <f t="shared" si="1"/>
        <v>16.7%</v>
      </c>
    </row>
    <row r="112">
      <c r="A112" s="40" t="s">
        <v>83</v>
      </c>
      <c r="B112" s="40" t="s">
        <v>8593</v>
      </c>
      <c r="C112" s="41">
        <v>1.0</v>
      </c>
      <c r="D112" s="41">
        <v>6.0</v>
      </c>
      <c r="E112" s="42" t="str">
        <f t="shared" si="1"/>
        <v>14.3%</v>
      </c>
    </row>
    <row r="113">
      <c r="A113" s="40" t="s">
        <v>83</v>
      </c>
      <c r="B113" s="40" t="s">
        <v>8594</v>
      </c>
      <c r="C113" s="41">
        <v>1.0</v>
      </c>
      <c r="D113" s="41">
        <v>6.0</v>
      </c>
      <c r="E113" s="42" t="str">
        <f t="shared" si="1"/>
        <v>14.3%</v>
      </c>
    </row>
    <row r="114">
      <c r="A114" s="40" t="s">
        <v>83</v>
      </c>
      <c r="B114" s="40" t="s">
        <v>8595</v>
      </c>
      <c r="C114" s="41">
        <v>0.0</v>
      </c>
      <c r="D114" s="41">
        <v>1.0</v>
      </c>
      <c r="E114" s="42" t="str">
        <f t="shared" si="1"/>
        <v>0.0%</v>
      </c>
    </row>
    <row r="115">
      <c r="A115" s="40" t="s">
        <v>83</v>
      </c>
      <c r="B115" s="40" t="s">
        <v>8596</v>
      </c>
      <c r="C115" s="41">
        <v>0.0</v>
      </c>
      <c r="D115" s="41">
        <v>1.0</v>
      </c>
      <c r="E115" s="42" t="str">
        <f t="shared" si="1"/>
        <v>0.0%</v>
      </c>
    </row>
    <row r="116">
      <c r="A116" s="40" t="s">
        <v>83</v>
      </c>
      <c r="B116" s="40" t="s">
        <v>8597</v>
      </c>
      <c r="C116" s="41">
        <v>0.0</v>
      </c>
      <c r="D116" s="41">
        <v>1.0</v>
      </c>
      <c r="E116" s="42" t="str">
        <f t="shared" si="1"/>
        <v>0.0%</v>
      </c>
    </row>
    <row r="117">
      <c r="A117" s="40" t="s">
        <v>83</v>
      </c>
      <c r="B117" s="40" t="s">
        <v>8598</v>
      </c>
      <c r="C117" s="41">
        <v>0.0</v>
      </c>
      <c r="D117" s="41">
        <v>1.0</v>
      </c>
      <c r="E117" s="42" t="str">
        <f t="shared" si="1"/>
        <v>0.0%</v>
      </c>
    </row>
    <row r="118">
      <c r="A118" s="40" t="s">
        <v>83</v>
      </c>
      <c r="B118" s="40" t="s">
        <v>8599</v>
      </c>
      <c r="C118" s="41">
        <v>0.0</v>
      </c>
      <c r="D118" s="41">
        <v>1.0</v>
      </c>
      <c r="E118" s="42" t="str">
        <f t="shared" si="1"/>
        <v>0.0%</v>
      </c>
    </row>
    <row r="119">
      <c r="A119" s="40" t="s">
        <v>83</v>
      </c>
      <c r="B119" s="40" t="s">
        <v>8600</v>
      </c>
      <c r="C119" s="41">
        <v>0.0</v>
      </c>
      <c r="D119" s="41">
        <v>1.0</v>
      </c>
      <c r="E119" s="42" t="str">
        <f t="shared" si="1"/>
        <v>0.0%</v>
      </c>
    </row>
    <row r="120">
      <c r="A120" s="40" t="s">
        <v>83</v>
      </c>
      <c r="B120" s="40" t="s">
        <v>8601</v>
      </c>
      <c r="C120" s="41">
        <v>0.0</v>
      </c>
      <c r="D120" s="41">
        <v>1.0</v>
      </c>
      <c r="E120" s="42" t="str">
        <f t="shared" si="1"/>
        <v>0.0%</v>
      </c>
    </row>
    <row r="121">
      <c r="A121" s="40" t="s">
        <v>83</v>
      </c>
      <c r="B121" s="40" t="s">
        <v>8602</v>
      </c>
      <c r="C121" s="41">
        <v>0.0</v>
      </c>
      <c r="D121" s="41">
        <v>1.0</v>
      </c>
      <c r="E121" s="42" t="str">
        <f t="shared" si="1"/>
        <v>0.0%</v>
      </c>
    </row>
    <row r="122">
      <c r="A122" s="40" t="s">
        <v>83</v>
      </c>
      <c r="B122" s="40" t="s">
        <v>8603</v>
      </c>
      <c r="C122" s="41">
        <v>0.0</v>
      </c>
      <c r="D122" s="41">
        <v>1.0</v>
      </c>
      <c r="E122" s="42" t="str">
        <f t="shared" si="1"/>
        <v>0.0%</v>
      </c>
    </row>
    <row r="123">
      <c r="A123" s="40" t="s">
        <v>83</v>
      </c>
      <c r="B123" s="40" t="s">
        <v>8604</v>
      </c>
      <c r="C123" s="41">
        <v>0.0</v>
      </c>
      <c r="D123" s="41">
        <v>1.0</v>
      </c>
      <c r="E123" s="42" t="str">
        <f t="shared" si="1"/>
        <v>0.0%</v>
      </c>
    </row>
    <row r="124">
      <c r="A124" s="40" t="s">
        <v>83</v>
      </c>
      <c r="B124" s="40" t="s">
        <v>8605</v>
      </c>
      <c r="C124" s="41">
        <v>0.0</v>
      </c>
      <c r="D124" s="41">
        <v>1.0</v>
      </c>
      <c r="E124" s="42" t="str">
        <f t="shared" si="1"/>
        <v>0.0%</v>
      </c>
    </row>
    <row r="125">
      <c r="A125" s="40" t="s">
        <v>83</v>
      </c>
      <c r="B125" s="40" t="s">
        <v>8606</v>
      </c>
      <c r="C125" s="41">
        <v>0.0</v>
      </c>
      <c r="D125" s="41">
        <v>1.0</v>
      </c>
      <c r="E125" s="42" t="str">
        <f t="shared" si="1"/>
        <v>0.0%</v>
      </c>
    </row>
    <row r="126">
      <c r="A126" s="40" t="s">
        <v>83</v>
      </c>
      <c r="B126" s="40" t="s">
        <v>8607</v>
      </c>
      <c r="C126" s="41">
        <v>0.0</v>
      </c>
      <c r="D126" s="41">
        <v>1.0</v>
      </c>
      <c r="E126" s="42" t="str">
        <f t="shared" si="1"/>
        <v>0.0%</v>
      </c>
    </row>
    <row r="127">
      <c r="A127" s="40" t="s">
        <v>83</v>
      </c>
      <c r="B127" s="40" t="s">
        <v>8608</v>
      </c>
      <c r="C127" s="41">
        <v>0.0</v>
      </c>
      <c r="D127" s="41">
        <v>1.0</v>
      </c>
      <c r="E127" s="42" t="str">
        <f t="shared" si="1"/>
        <v>0.0%</v>
      </c>
    </row>
    <row r="128">
      <c r="A128" s="40" t="s">
        <v>83</v>
      </c>
      <c r="B128" s="40" t="s">
        <v>8609</v>
      </c>
      <c r="C128" s="41">
        <v>0.0</v>
      </c>
      <c r="D128" s="41">
        <v>1.0</v>
      </c>
      <c r="E128" s="42" t="str">
        <f t="shared" si="1"/>
        <v>0.0%</v>
      </c>
    </row>
    <row r="129">
      <c r="A129" s="40" t="s">
        <v>83</v>
      </c>
      <c r="B129" s="40" t="s">
        <v>8610</v>
      </c>
      <c r="C129" s="41">
        <v>0.0</v>
      </c>
      <c r="D129" s="41">
        <v>1.0</v>
      </c>
      <c r="E129" s="42" t="str">
        <f t="shared" si="1"/>
        <v>0.0%</v>
      </c>
    </row>
    <row r="130">
      <c r="A130" s="40" t="s">
        <v>83</v>
      </c>
      <c r="B130" s="40" t="s">
        <v>8611</v>
      </c>
      <c r="C130" s="41">
        <v>0.0</v>
      </c>
      <c r="D130" s="41">
        <v>1.0</v>
      </c>
      <c r="E130" s="42" t="str">
        <f t="shared" si="1"/>
        <v>0.0%</v>
      </c>
    </row>
    <row r="131">
      <c r="A131" s="40" t="s">
        <v>83</v>
      </c>
      <c r="B131" s="40" t="s">
        <v>8612</v>
      </c>
      <c r="C131" s="41">
        <v>0.0</v>
      </c>
      <c r="D131" s="41">
        <v>1.0</v>
      </c>
      <c r="E131" s="42" t="str">
        <f t="shared" si="1"/>
        <v>0.0%</v>
      </c>
    </row>
    <row r="132">
      <c r="A132" s="40" t="s">
        <v>83</v>
      </c>
      <c r="B132" s="40" t="s">
        <v>8613</v>
      </c>
      <c r="C132" s="41">
        <v>0.0</v>
      </c>
      <c r="D132" s="41">
        <v>1.0</v>
      </c>
      <c r="E132" s="42" t="str">
        <f t="shared" si="1"/>
        <v>0.0%</v>
      </c>
    </row>
    <row r="133">
      <c r="A133" s="40" t="s">
        <v>83</v>
      </c>
      <c r="B133" s="40" t="s">
        <v>8614</v>
      </c>
      <c r="C133" s="41">
        <v>0.0</v>
      </c>
      <c r="D133" s="41">
        <v>1.0</v>
      </c>
      <c r="E133" s="42" t="str">
        <f t="shared" si="1"/>
        <v>0.0%</v>
      </c>
    </row>
    <row r="134">
      <c r="A134" s="40" t="s">
        <v>83</v>
      </c>
      <c r="B134" s="40" t="s">
        <v>8615</v>
      </c>
      <c r="C134" s="41">
        <v>0.0</v>
      </c>
      <c r="D134" s="41">
        <v>1.0</v>
      </c>
      <c r="E134" s="42" t="str">
        <f t="shared" si="1"/>
        <v>0.0%</v>
      </c>
    </row>
    <row r="135">
      <c r="A135" s="40" t="s">
        <v>83</v>
      </c>
      <c r="B135" s="40" t="s">
        <v>8616</v>
      </c>
      <c r="C135" s="41">
        <v>0.0</v>
      </c>
      <c r="D135" s="41">
        <v>1.0</v>
      </c>
      <c r="E135" s="42" t="str">
        <f t="shared" si="1"/>
        <v>0.0%</v>
      </c>
    </row>
    <row r="136">
      <c r="A136" s="40" t="s">
        <v>83</v>
      </c>
      <c r="B136" s="40" t="s">
        <v>8617</v>
      </c>
      <c r="C136" s="41">
        <v>0.0</v>
      </c>
      <c r="D136" s="41">
        <v>1.0</v>
      </c>
      <c r="E136" s="42" t="str">
        <f t="shared" si="1"/>
        <v>0.0%</v>
      </c>
    </row>
    <row r="137">
      <c r="A137" s="40" t="s">
        <v>83</v>
      </c>
      <c r="B137" s="40" t="s">
        <v>8618</v>
      </c>
      <c r="C137" s="41">
        <v>0.0</v>
      </c>
      <c r="D137" s="41">
        <v>1.0</v>
      </c>
      <c r="E137" s="42" t="str">
        <f t="shared" si="1"/>
        <v>0.0%</v>
      </c>
    </row>
    <row r="138">
      <c r="A138" s="40" t="s">
        <v>83</v>
      </c>
      <c r="B138" s="40" t="s">
        <v>8619</v>
      </c>
      <c r="C138" s="41">
        <v>0.0</v>
      </c>
      <c r="D138" s="41">
        <v>1.0</v>
      </c>
      <c r="E138" s="42" t="str">
        <f t="shared" si="1"/>
        <v>0.0%</v>
      </c>
    </row>
    <row r="139">
      <c r="A139" s="40" t="s">
        <v>83</v>
      </c>
      <c r="B139" s="40" t="s">
        <v>8620</v>
      </c>
      <c r="C139" s="41">
        <v>0.0</v>
      </c>
      <c r="D139" s="41">
        <v>1.0</v>
      </c>
      <c r="E139" s="42" t="str">
        <f t="shared" si="1"/>
        <v>0.0%</v>
      </c>
    </row>
    <row r="140">
      <c r="A140" s="40" t="s">
        <v>83</v>
      </c>
      <c r="B140" s="40" t="s">
        <v>8621</v>
      </c>
      <c r="C140" s="41">
        <v>0.0</v>
      </c>
      <c r="D140" s="41">
        <v>1.0</v>
      </c>
      <c r="E140" s="42" t="str">
        <f t="shared" si="1"/>
        <v>0.0%</v>
      </c>
    </row>
    <row r="141">
      <c r="A141" s="40" t="s">
        <v>83</v>
      </c>
      <c r="B141" s="40" t="s">
        <v>8622</v>
      </c>
      <c r="C141" s="41">
        <v>0.0</v>
      </c>
      <c r="D141" s="41">
        <v>1.0</v>
      </c>
      <c r="E141" s="42" t="str">
        <f t="shared" si="1"/>
        <v>0.0%</v>
      </c>
    </row>
    <row r="142">
      <c r="A142" s="40" t="s">
        <v>83</v>
      </c>
      <c r="B142" s="40" t="s">
        <v>8623</v>
      </c>
      <c r="C142" s="41">
        <v>0.0</v>
      </c>
      <c r="D142" s="41">
        <v>1.0</v>
      </c>
      <c r="E142" s="42" t="str">
        <f t="shared" si="1"/>
        <v>0.0%</v>
      </c>
    </row>
    <row r="143">
      <c r="A143" s="40" t="s">
        <v>83</v>
      </c>
      <c r="B143" s="40" t="s">
        <v>8624</v>
      </c>
      <c r="C143" s="41">
        <v>0.0</v>
      </c>
      <c r="D143" s="41">
        <v>1.0</v>
      </c>
      <c r="E143" s="42" t="str">
        <f t="shared" si="1"/>
        <v>0.0%</v>
      </c>
    </row>
    <row r="144">
      <c r="A144" s="40" t="s">
        <v>83</v>
      </c>
      <c r="B144" s="40" t="s">
        <v>8625</v>
      </c>
      <c r="C144" s="41">
        <v>0.0</v>
      </c>
      <c r="D144" s="41">
        <v>1.0</v>
      </c>
      <c r="E144" s="42" t="str">
        <f t="shared" si="1"/>
        <v>0.0%</v>
      </c>
    </row>
    <row r="145">
      <c r="A145" s="40" t="s">
        <v>83</v>
      </c>
      <c r="B145" s="40" t="s">
        <v>8626</v>
      </c>
      <c r="C145" s="41">
        <v>0.0</v>
      </c>
      <c r="D145" s="41">
        <v>1.0</v>
      </c>
      <c r="E145" s="42" t="str">
        <f t="shared" si="1"/>
        <v>0.0%</v>
      </c>
    </row>
    <row r="146">
      <c r="A146" s="40" t="s">
        <v>83</v>
      </c>
      <c r="B146" s="40" t="s">
        <v>8627</v>
      </c>
      <c r="C146" s="41">
        <v>0.0</v>
      </c>
      <c r="D146" s="41">
        <v>1.0</v>
      </c>
      <c r="E146" s="42" t="str">
        <f t="shared" si="1"/>
        <v>0.0%</v>
      </c>
    </row>
    <row r="147">
      <c r="A147" s="40" t="s">
        <v>83</v>
      </c>
      <c r="B147" s="40" t="s">
        <v>8628</v>
      </c>
      <c r="C147" s="41">
        <v>0.0</v>
      </c>
      <c r="D147" s="41">
        <v>2.0</v>
      </c>
      <c r="E147" s="42" t="str">
        <f t="shared" si="1"/>
        <v>0.0%</v>
      </c>
    </row>
    <row r="148">
      <c r="A148" s="40" t="s">
        <v>83</v>
      </c>
      <c r="B148" s="40" t="s">
        <v>8629</v>
      </c>
      <c r="C148" s="41">
        <v>0.0</v>
      </c>
      <c r="D148" s="41">
        <v>2.0</v>
      </c>
      <c r="E148" s="42" t="str">
        <f t="shared" si="1"/>
        <v>0.0%</v>
      </c>
    </row>
    <row r="149">
      <c r="A149" s="40" t="s">
        <v>83</v>
      </c>
      <c r="B149" s="40" t="s">
        <v>8630</v>
      </c>
      <c r="C149" s="41">
        <v>0.0</v>
      </c>
      <c r="D149" s="41">
        <v>2.0</v>
      </c>
      <c r="E149" s="42" t="str">
        <f t="shared" si="1"/>
        <v>0.0%</v>
      </c>
    </row>
    <row r="150">
      <c r="A150" s="40" t="s">
        <v>83</v>
      </c>
      <c r="B150" s="40" t="s">
        <v>8631</v>
      </c>
      <c r="C150" s="41">
        <v>0.0</v>
      </c>
      <c r="D150" s="41">
        <v>2.0</v>
      </c>
      <c r="E150" s="42" t="str">
        <f t="shared" si="1"/>
        <v>0.0%</v>
      </c>
    </row>
    <row r="151">
      <c r="A151" s="40" t="s">
        <v>83</v>
      </c>
      <c r="B151" s="40" t="s">
        <v>8632</v>
      </c>
      <c r="C151" s="41">
        <v>0.0</v>
      </c>
      <c r="D151" s="41">
        <v>2.0</v>
      </c>
      <c r="E151" s="42" t="str">
        <f t="shared" si="1"/>
        <v>0.0%</v>
      </c>
    </row>
    <row r="152">
      <c r="A152" s="40" t="s">
        <v>83</v>
      </c>
      <c r="B152" s="40" t="s">
        <v>8633</v>
      </c>
      <c r="C152" s="41">
        <v>0.0</v>
      </c>
      <c r="D152" s="41">
        <v>2.0</v>
      </c>
      <c r="E152" s="42" t="str">
        <f t="shared" si="1"/>
        <v>0.0%</v>
      </c>
    </row>
    <row r="153">
      <c r="A153" s="40" t="s">
        <v>83</v>
      </c>
      <c r="B153" s="40" t="s">
        <v>8634</v>
      </c>
      <c r="C153" s="41">
        <v>0.0</v>
      </c>
      <c r="D153" s="41">
        <v>2.0</v>
      </c>
      <c r="E153" s="42" t="str">
        <f t="shared" si="1"/>
        <v>0.0%</v>
      </c>
    </row>
    <row r="154">
      <c r="A154" s="40" t="s">
        <v>83</v>
      </c>
      <c r="B154" s="40" t="s">
        <v>8635</v>
      </c>
      <c r="C154" s="41">
        <v>0.0</v>
      </c>
      <c r="D154" s="41">
        <v>2.0</v>
      </c>
      <c r="E154" s="42" t="str">
        <f t="shared" si="1"/>
        <v>0.0%</v>
      </c>
    </row>
    <row r="155">
      <c r="A155" s="40" t="s">
        <v>83</v>
      </c>
      <c r="B155" s="40" t="s">
        <v>8636</v>
      </c>
      <c r="C155" s="41">
        <v>0.0</v>
      </c>
      <c r="D155" s="41">
        <v>2.0</v>
      </c>
      <c r="E155" s="42" t="str">
        <f t="shared" si="1"/>
        <v>0.0%</v>
      </c>
    </row>
    <row r="156">
      <c r="A156" s="40" t="s">
        <v>83</v>
      </c>
      <c r="B156" s="40" t="s">
        <v>8637</v>
      </c>
      <c r="C156" s="41">
        <v>0.0</v>
      </c>
      <c r="D156" s="41">
        <v>2.0</v>
      </c>
      <c r="E156" s="42" t="str">
        <f t="shared" si="1"/>
        <v>0.0%</v>
      </c>
    </row>
    <row r="157">
      <c r="A157" s="40" t="s">
        <v>83</v>
      </c>
      <c r="B157" s="40" t="s">
        <v>8638</v>
      </c>
      <c r="C157" s="41">
        <v>0.0</v>
      </c>
      <c r="D157" s="41">
        <v>2.0</v>
      </c>
      <c r="E157" s="42" t="str">
        <f t="shared" si="1"/>
        <v>0.0%</v>
      </c>
    </row>
    <row r="158">
      <c r="A158" s="40" t="s">
        <v>83</v>
      </c>
      <c r="B158" s="40" t="s">
        <v>8639</v>
      </c>
      <c r="C158" s="41">
        <v>0.0</v>
      </c>
      <c r="D158" s="41">
        <v>3.0</v>
      </c>
      <c r="E158" s="42" t="str">
        <f t="shared" si="1"/>
        <v>0.0%</v>
      </c>
    </row>
    <row r="159">
      <c r="A159" s="40" t="s">
        <v>83</v>
      </c>
      <c r="B159" s="40" t="s">
        <v>8640</v>
      </c>
      <c r="C159" s="41">
        <v>0.0</v>
      </c>
      <c r="D159" s="41">
        <v>3.0</v>
      </c>
      <c r="E159" s="42" t="str">
        <f t="shared" si="1"/>
        <v>0.0%</v>
      </c>
    </row>
    <row r="160">
      <c r="A160" s="40" t="s">
        <v>83</v>
      </c>
      <c r="B160" s="40" t="s">
        <v>8641</v>
      </c>
      <c r="C160" s="41">
        <v>0.0</v>
      </c>
      <c r="D160" s="41">
        <v>3.0</v>
      </c>
      <c r="E160" s="42" t="str">
        <f t="shared" si="1"/>
        <v>0.0%</v>
      </c>
    </row>
    <row r="161">
      <c r="A161" s="40" t="s">
        <v>83</v>
      </c>
      <c r="B161" s="40" t="s">
        <v>8642</v>
      </c>
      <c r="C161" s="41">
        <v>0.0</v>
      </c>
      <c r="D161" s="41">
        <v>3.0</v>
      </c>
      <c r="E161" s="42" t="str">
        <f t="shared" si="1"/>
        <v>0.0%</v>
      </c>
    </row>
    <row r="162">
      <c r="A162" s="40" t="s">
        <v>83</v>
      </c>
      <c r="B162" s="40" t="s">
        <v>8643</v>
      </c>
      <c r="C162" s="41">
        <v>0.0</v>
      </c>
      <c r="D162" s="41">
        <v>4.0</v>
      </c>
      <c r="E162" s="42" t="str">
        <f t="shared" si="1"/>
        <v>0.0%</v>
      </c>
    </row>
    <row r="163">
      <c r="A163" s="40" t="s">
        <v>83</v>
      </c>
      <c r="B163" s="40" t="s">
        <v>8644</v>
      </c>
      <c r="C163" s="41">
        <v>0.0</v>
      </c>
      <c r="D163" s="41">
        <v>5.0</v>
      </c>
      <c r="E163" s="42" t="str">
        <f t="shared" si="1"/>
        <v>0.0%</v>
      </c>
    </row>
    <row r="164">
      <c r="A164" s="40" t="s">
        <v>379</v>
      </c>
      <c r="B164" s="40" t="s">
        <v>8498</v>
      </c>
      <c r="C164" s="41">
        <v>30.0</v>
      </c>
      <c r="D164" s="41">
        <v>14.0</v>
      </c>
      <c r="E164" s="42" t="str">
        <f t="shared" si="1"/>
        <v>68.2%</v>
      </c>
    </row>
    <row r="165">
      <c r="A165" s="40" t="s">
        <v>379</v>
      </c>
      <c r="B165" s="40" t="s">
        <v>8489</v>
      </c>
      <c r="C165" s="41">
        <v>26.0</v>
      </c>
      <c r="D165" s="41">
        <v>7.0</v>
      </c>
      <c r="E165" s="42" t="str">
        <f t="shared" si="1"/>
        <v>78.8%</v>
      </c>
    </row>
    <row r="166">
      <c r="A166" s="40" t="s">
        <v>379</v>
      </c>
      <c r="B166" s="40" t="s">
        <v>8483</v>
      </c>
      <c r="C166" s="41">
        <v>25.0</v>
      </c>
      <c r="D166" s="41">
        <v>9.0</v>
      </c>
      <c r="E166" s="42" t="str">
        <f t="shared" si="1"/>
        <v>73.5%</v>
      </c>
    </row>
    <row r="167">
      <c r="A167" s="40" t="s">
        <v>379</v>
      </c>
      <c r="B167" s="40" t="s">
        <v>8504</v>
      </c>
      <c r="C167" s="41">
        <v>24.0</v>
      </c>
      <c r="D167" s="41">
        <v>6.0</v>
      </c>
      <c r="E167" s="42" t="str">
        <f t="shared" si="1"/>
        <v>80.0%</v>
      </c>
    </row>
    <row r="168">
      <c r="A168" s="40" t="s">
        <v>379</v>
      </c>
      <c r="B168" s="40" t="s">
        <v>8500</v>
      </c>
      <c r="C168" s="41">
        <v>24.0</v>
      </c>
      <c r="D168" s="41">
        <v>15.0</v>
      </c>
      <c r="E168" s="42" t="str">
        <f t="shared" si="1"/>
        <v>61.5%</v>
      </c>
    </row>
    <row r="169">
      <c r="A169" s="40" t="s">
        <v>379</v>
      </c>
      <c r="B169" s="40" t="s">
        <v>8484</v>
      </c>
      <c r="C169" s="41">
        <v>23.0</v>
      </c>
      <c r="D169" s="41">
        <v>13.0</v>
      </c>
      <c r="E169" s="42" t="str">
        <f t="shared" si="1"/>
        <v>63.9%</v>
      </c>
    </row>
    <row r="170">
      <c r="A170" s="40" t="s">
        <v>379</v>
      </c>
      <c r="B170" s="40" t="s">
        <v>8549</v>
      </c>
      <c r="C170" s="41">
        <v>22.0</v>
      </c>
      <c r="D170" s="41">
        <v>6.0</v>
      </c>
      <c r="E170" s="42" t="str">
        <f t="shared" si="1"/>
        <v>78.6%</v>
      </c>
    </row>
    <row r="171">
      <c r="A171" s="40" t="s">
        <v>379</v>
      </c>
      <c r="B171" s="40" t="s">
        <v>8491</v>
      </c>
      <c r="C171" s="41">
        <v>22.0</v>
      </c>
      <c r="D171" s="41">
        <v>27.0</v>
      </c>
      <c r="E171" s="42" t="str">
        <f t="shared" si="1"/>
        <v>44.9%</v>
      </c>
    </row>
    <row r="172">
      <c r="A172" s="40" t="s">
        <v>379</v>
      </c>
      <c r="B172" s="40" t="s">
        <v>8532</v>
      </c>
      <c r="C172" s="41">
        <v>20.0</v>
      </c>
      <c r="D172" s="41">
        <v>6.0</v>
      </c>
      <c r="E172" s="42" t="str">
        <f t="shared" si="1"/>
        <v>76.9%</v>
      </c>
    </row>
    <row r="173">
      <c r="A173" s="40" t="s">
        <v>379</v>
      </c>
      <c r="B173" s="40" t="s">
        <v>8578</v>
      </c>
      <c r="C173" s="41">
        <v>20.0</v>
      </c>
      <c r="D173" s="41">
        <v>12.0</v>
      </c>
      <c r="E173" s="42" t="str">
        <f t="shared" si="1"/>
        <v>62.5%</v>
      </c>
    </row>
    <row r="174">
      <c r="A174" s="40" t="s">
        <v>379</v>
      </c>
      <c r="B174" s="40" t="s">
        <v>8534</v>
      </c>
      <c r="C174" s="41">
        <v>20.0</v>
      </c>
      <c r="D174" s="41">
        <v>16.0</v>
      </c>
      <c r="E174" s="42" t="str">
        <f t="shared" si="1"/>
        <v>55.6%</v>
      </c>
    </row>
    <row r="175">
      <c r="A175" s="40" t="s">
        <v>379</v>
      </c>
      <c r="B175" s="40" t="s">
        <v>8515</v>
      </c>
      <c r="C175" s="41">
        <v>19.0</v>
      </c>
      <c r="D175" s="41">
        <v>18.0</v>
      </c>
      <c r="E175" s="42" t="str">
        <f t="shared" si="1"/>
        <v>51.4%</v>
      </c>
    </row>
    <row r="176">
      <c r="A176" s="40" t="s">
        <v>379</v>
      </c>
      <c r="B176" s="40" t="s">
        <v>8561</v>
      </c>
      <c r="C176" s="41">
        <v>18.0</v>
      </c>
      <c r="D176" s="41">
        <v>3.0</v>
      </c>
      <c r="E176" s="42" t="str">
        <f t="shared" si="1"/>
        <v>85.7%</v>
      </c>
    </row>
    <row r="177">
      <c r="A177" s="40" t="s">
        <v>379</v>
      </c>
      <c r="B177" s="40" t="s">
        <v>8547</v>
      </c>
      <c r="C177" s="41">
        <v>18.0</v>
      </c>
      <c r="D177" s="41">
        <v>10.0</v>
      </c>
      <c r="E177" s="42" t="str">
        <f t="shared" si="1"/>
        <v>64.3%</v>
      </c>
    </row>
    <row r="178">
      <c r="A178" s="40" t="s">
        <v>379</v>
      </c>
      <c r="B178" s="40" t="s">
        <v>8590</v>
      </c>
      <c r="C178" s="41">
        <v>18.0</v>
      </c>
      <c r="D178" s="41">
        <v>11.0</v>
      </c>
      <c r="E178" s="42" t="str">
        <f t="shared" si="1"/>
        <v>62.1%</v>
      </c>
    </row>
    <row r="179">
      <c r="A179" s="40" t="s">
        <v>379</v>
      </c>
      <c r="B179" s="40" t="s">
        <v>8556</v>
      </c>
      <c r="C179" s="41">
        <v>18.0</v>
      </c>
      <c r="D179" s="41">
        <v>12.0</v>
      </c>
      <c r="E179" s="42" t="str">
        <f t="shared" si="1"/>
        <v>60.0%</v>
      </c>
    </row>
    <row r="180">
      <c r="A180" s="40" t="s">
        <v>379</v>
      </c>
      <c r="B180" s="40" t="s">
        <v>8517</v>
      </c>
      <c r="C180" s="41">
        <v>18.0</v>
      </c>
      <c r="D180" s="41">
        <v>14.0</v>
      </c>
      <c r="E180" s="42" t="str">
        <f t="shared" si="1"/>
        <v>56.3%</v>
      </c>
    </row>
    <row r="181">
      <c r="A181" s="40" t="s">
        <v>379</v>
      </c>
      <c r="B181" s="40" t="s">
        <v>8554</v>
      </c>
      <c r="C181" s="41">
        <v>18.0</v>
      </c>
      <c r="D181" s="41">
        <v>17.0</v>
      </c>
      <c r="E181" s="42" t="str">
        <f t="shared" si="1"/>
        <v>51.4%</v>
      </c>
    </row>
    <row r="182">
      <c r="A182" s="40" t="s">
        <v>379</v>
      </c>
      <c r="B182" s="40" t="s">
        <v>8516</v>
      </c>
      <c r="C182" s="41">
        <v>17.0</v>
      </c>
      <c r="D182" s="41">
        <v>10.0</v>
      </c>
      <c r="E182" s="42" t="str">
        <f t="shared" si="1"/>
        <v>63.0%</v>
      </c>
    </row>
    <row r="183">
      <c r="A183" s="40" t="s">
        <v>379</v>
      </c>
      <c r="B183" s="40" t="s">
        <v>8645</v>
      </c>
      <c r="C183" s="41">
        <v>15.0</v>
      </c>
      <c r="D183" s="41">
        <v>6.0</v>
      </c>
      <c r="E183" s="42" t="str">
        <f t="shared" si="1"/>
        <v>71.4%</v>
      </c>
    </row>
    <row r="184">
      <c r="A184" s="40" t="s">
        <v>379</v>
      </c>
      <c r="B184" s="40" t="s">
        <v>8579</v>
      </c>
      <c r="C184" s="41">
        <v>15.0</v>
      </c>
      <c r="D184" s="41">
        <v>6.0</v>
      </c>
      <c r="E184" s="42" t="str">
        <f t="shared" si="1"/>
        <v>71.4%</v>
      </c>
    </row>
    <row r="185">
      <c r="A185" s="40" t="s">
        <v>379</v>
      </c>
      <c r="B185" s="40" t="s">
        <v>8577</v>
      </c>
      <c r="C185" s="41">
        <v>15.0</v>
      </c>
      <c r="D185" s="41">
        <v>9.0</v>
      </c>
      <c r="E185" s="42" t="str">
        <f t="shared" si="1"/>
        <v>62.5%</v>
      </c>
    </row>
    <row r="186">
      <c r="A186" s="40" t="s">
        <v>379</v>
      </c>
      <c r="B186" s="40" t="s">
        <v>8519</v>
      </c>
      <c r="C186" s="41">
        <v>15.0</v>
      </c>
      <c r="D186" s="41">
        <v>12.0</v>
      </c>
      <c r="E186" s="42" t="str">
        <f t="shared" si="1"/>
        <v>55.6%</v>
      </c>
    </row>
    <row r="187">
      <c r="A187" s="40" t="s">
        <v>379</v>
      </c>
      <c r="B187" s="40" t="s">
        <v>8501</v>
      </c>
      <c r="C187" s="41">
        <v>15.0</v>
      </c>
      <c r="D187" s="41">
        <v>19.0</v>
      </c>
      <c r="E187" s="42" t="str">
        <f t="shared" si="1"/>
        <v>44.1%</v>
      </c>
    </row>
    <row r="188">
      <c r="A188" s="40" t="s">
        <v>379</v>
      </c>
      <c r="B188" s="40" t="s">
        <v>8544</v>
      </c>
      <c r="C188" s="41">
        <v>14.0</v>
      </c>
      <c r="D188" s="41">
        <v>1.0</v>
      </c>
      <c r="E188" s="42" t="str">
        <f t="shared" si="1"/>
        <v>93.3%</v>
      </c>
    </row>
    <row r="189">
      <c r="A189" s="40" t="s">
        <v>379</v>
      </c>
      <c r="B189" s="40" t="s">
        <v>8548</v>
      </c>
      <c r="C189" s="41">
        <v>14.0</v>
      </c>
      <c r="D189" s="41">
        <v>6.0</v>
      </c>
      <c r="E189" s="42" t="str">
        <f t="shared" si="1"/>
        <v>70.0%</v>
      </c>
    </row>
    <row r="190">
      <c r="A190" s="40" t="s">
        <v>379</v>
      </c>
      <c r="B190" s="40" t="s">
        <v>8518</v>
      </c>
      <c r="C190" s="41">
        <v>14.0</v>
      </c>
      <c r="D190" s="41">
        <v>7.0</v>
      </c>
      <c r="E190" s="42" t="str">
        <f t="shared" si="1"/>
        <v>66.7%</v>
      </c>
    </row>
    <row r="191">
      <c r="A191" s="40" t="s">
        <v>379</v>
      </c>
      <c r="B191" s="40" t="s">
        <v>8621</v>
      </c>
      <c r="C191" s="41">
        <v>14.0</v>
      </c>
      <c r="D191" s="41">
        <v>11.0</v>
      </c>
      <c r="E191" s="42" t="str">
        <f t="shared" si="1"/>
        <v>56.0%</v>
      </c>
    </row>
    <row r="192">
      <c r="A192" s="40" t="s">
        <v>379</v>
      </c>
      <c r="B192" s="40" t="s">
        <v>8506</v>
      </c>
      <c r="C192" s="41">
        <v>14.0</v>
      </c>
      <c r="D192" s="41">
        <v>11.0</v>
      </c>
      <c r="E192" s="42" t="str">
        <f t="shared" si="1"/>
        <v>56.0%</v>
      </c>
    </row>
    <row r="193">
      <c r="A193" s="40" t="s">
        <v>379</v>
      </c>
      <c r="B193" s="40" t="s">
        <v>8490</v>
      </c>
      <c r="C193" s="41">
        <v>14.0</v>
      </c>
      <c r="D193" s="41">
        <v>18.0</v>
      </c>
      <c r="E193" s="42" t="str">
        <f t="shared" si="1"/>
        <v>43.8%</v>
      </c>
    </row>
    <row r="194">
      <c r="A194" s="40" t="s">
        <v>379</v>
      </c>
      <c r="B194" s="40" t="s">
        <v>8588</v>
      </c>
      <c r="C194" s="41">
        <v>13.0</v>
      </c>
      <c r="D194" s="41">
        <v>19.0</v>
      </c>
      <c r="E194" s="42" t="str">
        <f t="shared" si="1"/>
        <v>40.6%</v>
      </c>
    </row>
    <row r="195">
      <c r="A195" s="40" t="s">
        <v>379</v>
      </c>
      <c r="B195" s="40" t="s">
        <v>8604</v>
      </c>
      <c r="C195" s="41">
        <v>12.0</v>
      </c>
      <c r="D195" s="41">
        <v>4.0</v>
      </c>
      <c r="E195" s="42" t="str">
        <f t="shared" si="1"/>
        <v>75.0%</v>
      </c>
    </row>
    <row r="196">
      <c r="A196" s="40" t="s">
        <v>379</v>
      </c>
      <c r="B196" s="40" t="s">
        <v>8646</v>
      </c>
      <c r="C196" s="41">
        <v>12.0</v>
      </c>
      <c r="D196" s="41">
        <v>7.0</v>
      </c>
      <c r="E196" s="42" t="str">
        <f t="shared" si="1"/>
        <v>63.2%</v>
      </c>
    </row>
    <row r="197">
      <c r="A197" s="40" t="s">
        <v>379</v>
      </c>
      <c r="B197" s="40" t="s">
        <v>8497</v>
      </c>
      <c r="C197" s="41">
        <v>12.0</v>
      </c>
      <c r="D197" s="41">
        <v>8.0</v>
      </c>
      <c r="E197" s="42" t="str">
        <f t="shared" si="1"/>
        <v>60.0%</v>
      </c>
    </row>
    <row r="198">
      <c r="A198" s="40" t="s">
        <v>379</v>
      </c>
      <c r="B198" s="40" t="s">
        <v>8581</v>
      </c>
      <c r="C198" s="41">
        <v>12.0</v>
      </c>
      <c r="D198" s="41">
        <v>14.0</v>
      </c>
      <c r="E198" s="42" t="str">
        <f t="shared" si="1"/>
        <v>46.2%</v>
      </c>
    </row>
    <row r="199">
      <c r="A199" s="40" t="s">
        <v>379</v>
      </c>
      <c r="B199" s="40" t="s">
        <v>8528</v>
      </c>
      <c r="C199" s="41">
        <v>11.0</v>
      </c>
      <c r="D199" s="41">
        <v>2.0</v>
      </c>
      <c r="E199" s="42" t="str">
        <f t="shared" si="1"/>
        <v>84.6%</v>
      </c>
    </row>
    <row r="200">
      <c r="A200" s="40" t="s">
        <v>379</v>
      </c>
      <c r="B200" s="40" t="s">
        <v>8488</v>
      </c>
      <c r="C200" s="41">
        <v>11.0</v>
      </c>
      <c r="D200" s="41">
        <v>3.0</v>
      </c>
      <c r="E200" s="42" t="str">
        <f t="shared" si="1"/>
        <v>78.6%</v>
      </c>
    </row>
    <row r="201">
      <c r="A201" s="40" t="s">
        <v>379</v>
      </c>
      <c r="B201" s="40" t="s">
        <v>8582</v>
      </c>
      <c r="C201" s="41">
        <v>11.0</v>
      </c>
      <c r="D201" s="41">
        <v>3.0</v>
      </c>
      <c r="E201" s="42" t="str">
        <f t="shared" si="1"/>
        <v>78.6%</v>
      </c>
    </row>
    <row r="202">
      <c r="A202" s="40" t="s">
        <v>379</v>
      </c>
      <c r="B202" s="40" t="s">
        <v>8555</v>
      </c>
      <c r="C202" s="41">
        <v>11.0</v>
      </c>
      <c r="D202" s="41">
        <v>5.0</v>
      </c>
      <c r="E202" s="42" t="str">
        <f t="shared" si="1"/>
        <v>68.8%</v>
      </c>
    </row>
    <row r="203">
      <c r="A203" s="40" t="s">
        <v>379</v>
      </c>
      <c r="B203" s="40" t="s">
        <v>8553</v>
      </c>
      <c r="C203" s="41">
        <v>11.0</v>
      </c>
      <c r="D203" s="41">
        <v>6.0</v>
      </c>
      <c r="E203" s="42" t="str">
        <f t="shared" si="1"/>
        <v>64.7%</v>
      </c>
    </row>
    <row r="204">
      <c r="A204" s="40" t="s">
        <v>379</v>
      </c>
      <c r="B204" s="40" t="s">
        <v>8485</v>
      </c>
      <c r="C204" s="41">
        <v>11.0</v>
      </c>
      <c r="D204" s="41">
        <v>8.0</v>
      </c>
      <c r="E204" s="42" t="str">
        <f t="shared" si="1"/>
        <v>57.9%</v>
      </c>
    </row>
    <row r="205">
      <c r="A205" s="40" t="s">
        <v>379</v>
      </c>
      <c r="B205" s="40" t="s">
        <v>8511</v>
      </c>
      <c r="C205" s="41">
        <v>11.0</v>
      </c>
      <c r="D205" s="41">
        <v>12.0</v>
      </c>
      <c r="E205" s="42" t="str">
        <f t="shared" si="1"/>
        <v>47.8%</v>
      </c>
    </row>
    <row r="206">
      <c r="A206" s="40" t="s">
        <v>379</v>
      </c>
      <c r="B206" s="40" t="s">
        <v>8647</v>
      </c>
      <c r="C206" s="41">
        <v>11.0</v>
      </c>
      <c r="D206" s="41">
        <v>12.0</v>
      </c>
      <c r="E206" s="42" t="str">
        <f t="shared" si="1"/>
        <v>47.8%</v>
      </c>
    </row>
    <row r="207">
      <c r="A207" s="40" t="s">
        <v>379</v>
      </c>
      <c r="B207" s="40" t="s">
        <v>8589</v>
      </c>
      <c r="C207" s="41">
        <v>11.0</v>
      </c>
      <c r="D207" s="41">
        <v>15.0</v>
      </c>
      <c r="E207" s="42" t="str">
        <f t="shared" si="1"/>
        <v>42.3%</v>
      </c>
    </row>
    <row r="208">
      <c r="A208" s="40" t="s">
        <v>379</v>
      </c>
      <c r="B208" s="40" t="s">
        <v>8508</v>
      </c>
      <c r="C208" s="41">
        <v>10.0</v>
      </c>
      <c r="D208" s="41">
        <v>2.0</v>
      </c>
      <c r="E208" s="42" t="str">
        <f t="shared" si="1"/>
        <v>83.3%</v>
      </c>
    </row>
    <row r="209">
      <c r="A209" s="40" t="s">
        <v>379</v>
      </c>
      <c r="B209" s="40" t="s">
        <v>8648</v>
      </c>
      <c r="C209" s="41">
        <v>10.0</v>
      </c>
      <c r="D209" s="41">
        <v>3.0</v>
      </c>
      <c r="E209" s="42" t="str">
        <f t="shared" si="1"/>
        <v>76.9%</v>
      </c>
    </row>
    <row r="210">
      <c r="A210" s="40" t="s">
        <v>379</v>
      </c>
      <c r="B210" s="40" t="s">
        <v>8643</v>
      </c>
      <c r="C210" s="41">
        <v>10.0</v>
      </c>
      <c r="D210" s="41">
        <v>6.0</v>
      </c>
      <c r="E210" s="42" t="str">
        <f t="shared" si="1"/>
        <v>62.5%</v>
      </c>
    </row>
    <row r="211">
      <c r="A211" s="40" t="s">
        <v>379</v>
      </c>
      <c r="B211" s="40" t="s">
        <v>8569</v>
      </c>
      <c r="C211" s="41">
        <v>10.0</v>
      </c>
      <c r="D211" s="41">
        <v>8.0</v>
      </c>
      <c r="E211" s="42" t="str">
        <f t="shared" si="1"/>
        <v>55.6%</v>
      </c>
    </row>
    <row r="212">
      <c r="A212" s="40" t="s">
        <v>379</v>
      </c>
      <c r="B212" s="40" t="s">
        <v>8520</v>
      </c>
      <c r="C212" s="41">
        <v>10.0</v>
      </c>
      <c r="D212" s="41">
        <v>17.0</v>
      </c>
      <c r="E212" s="42" t="str">
        <f t="shared" si="1"/>
        <v>37.0%</v>
      </c>
    </row>
    <row r="213">
      <c r="A213" s="40" t="s">
        <v>379</v>
      </c>
      <c r="B213" s="40" t="s">
        <v>8494</v>
      </c>
      <c r="C213" s="41">
        <v>9.0</v>
      </c>
      <c r="D213" s="41">
        <v>0.0</v>
      </c>
      <c r="E213" s="42" t="str">
        <f t="shared" si="1"/>
        <v>100.0%</v>
      </c>
    </row>
    <row r="214">
      <c r="A214" s="40" t="s">
        <v>379</v>
      </c>
      <c r="B214" s="40" t="s">
        <v>8635</v>
      </c>
      <c r="C214" s="41">
        <v>9.0</v>
      </c>
      <c r="D214" s="41">
        <v>3.0</v>
      </c>
      <c r="E214" s="42" t="str">
        <f t="shared" si="1"/>
        <v>75.0%</v>
      </c>
    </row>
    <row r="215">
      <c r="A215" s="40" t="s">
        <v>379</v>
      </c>
      <c r="B215" s="40" t="s">
        <v>8649</v>
      </c>
      <c r="C215" s="41">
        <v>9.0</v>
      </c>
      <c r="D215" s="41">
        <v>5.0</v>
      </c>
      <c r="E215" s="42" t="str">
        <f t="shared" si="1"/>
        <v>64.3%</v>
      </c>
    </row>
    <row r="216">
      <c r="A216" s="40" t="s">
        <v>379</v>
      </c>
      <c r="B216" s="40" t="s">
        <v>8650</v>
      </c>
      <c r="C216" s="41">
        <v>9.0</v>
      </c>
      <c r="D216" s="41">
        <v>6.0</v>
      </c>
      <c r="E216" s="42" t="str">
        <f t="shared" si="1"/>
        <v>60.0%</v>
      </c>
    </row>
    <row r="217">
      <c r="A217" s="40" t="s">
        <v>379</v>
      </c>
      <c r="B217" s="40" t="s">
        <v>8625</v>
      </c>
      <c r="C217" s="41">
        <v>9.0</v>
      </c>
      <c r="D217" s="41">
        <v>6.0</v>
      </c>
      <c r="E217" s="42" t="str">
        <f t="shared" si="1"/>
        <v>60.0%</v>
      </c>
    </row>
    <row r="218">
      <c r="A218" s="40" t="s">
        <v>379</v>
      </c>
      <c r="B218" s="40" t="s">
        <v>8651</v>
      </c>
      <c r="C218" s="41">
        <v>9.0</v>
      </c>
      <c r="D218" s="41">
        <v>6.0</v>
      </c>
      <c r="E218" s="42" t="str">
        <f t="shared" si="1"/>
        <v>60.0%</v>
      </c>
    </row>
    <row r="219">
      <c r="A219" s="40" t="s">
        <v>379</v>
      </c>
      <c r="B219" s="40" t="s">
        <v>8487</v>
      </c>
      <c r="C219" s="41">
        <v>9.0</v>
      </c>
      <c r="D219" s="41">
        <v>10.0</v>
      </c>
      <c r="E219" s="42" t="str">
        <f t="shared" si="1"/>
        <v>47.4%</v>
      </c>
    </row>
    <row r="220">
      <c r="A220" s="40" t="s">
        <v>379</v>
      </c>
      <c r="B220" s="40" t="s">
        <v>8545</v>
      </c>
      <c r="C220" s="41">
        <v>9.0</v>
      </c>
      <c r="D220" s="41">
        <v>12.0</v>
      </c>
      <c r="E220" s="42" t="str">
        <f t="shared" si="1"/>
        <v>42.9%</v>
      </c>
    </row>
    <row r="221">
      <c r="A221" s="40" t="s">
        <v>379</v>
      </c>
      <c r="B221" s="40" t="s">
        <v>8505</v>
      </c>
      <c r="C221" s="41">
        <v>9.0</v>
      </c>
      <c r="D221" s="41">
        <v>14.0</v>
      </c>
      <c r="E221" s="42" t="str">
        <f t="shared" si="1"/>
        <v>39.1%</v>
      </c>
    </row>
    <row r="222">
      <c r="A222" s="40" t="s">
        <v>379</v>
      </c>
      <c r="B222" s="40" t="s">
        <v>8496</v>
      </c>
      <c r="C222" s="41">
        <v>9.0</v>
      </c>
      <c r="D222" s="41">
        <v>23.0</v>
      </c>
      <c r="E222" s="42" t="str">
        <f t="shared" si="1"/>
        <v>28.1%</v>
      </c>
    </row>
    <row r="223">
      <c r="A223" s="40" t="s">
        <v>379</v>
      </c>
      <c r="B223" s="40" t="s">
        <v>8567</v>
      </c>
      <c r="C223" s="41">
        <v>8.0</v>
      </c>
      <c r="D223" s="41">
        <v>2.0</v>
      </c>
      <c r="E223" s="42" t="str">
        <f t="shared" si="1"/>
        <v>80.0%</v>
      </c>
    </row>
    <row r="224">
      <c r="A224" s="40" t="s">
        <v>379</v>
      </c>
      <c r="B224" s="40" t="s">
        <v>8652</v>
      </c>
      <c r="C224" s="41">
        <v>8.0</v>
      </c>
      <c r="D224" s="41">
        <v>4.0</v>
      </c>
      <c r="E224" s="42" t="str">
        <f t="shared" si="1"/>
        <v>66.7%</v>
      </c>
    </row>
    <row r="225">
      <c r="A225" s="40" t="s">
        <v>379</v>
      </c>
      <c r="B225" s="40" t="s">
        <v>8653</v>
      </c>
      <c r="C225" s="41">
        <v>8.0</v>
      </c>
      <c r="D225" s="41">
        <v>5.0</v>
      </c>
      <c r="E225" s="42" t="str">
        <f t="shared" si="1"/>
        <v>61.5%</v>
      </c>
    </row>
    <row r="226">
      <c r="A226" s="40" t="s">
        <v>379</v>
      </c>
      <c r="B226" s="40" t="s">
        <v>8526</v>
      </c>
      <c r="C226" s="41">
        <v>8.0</v>
      </c>
      <c r="D226" s="41">
        <v>8.0</v>
      </c>
      <c r="E226" s="42" t="str">
        <f t="shared" si="1"/>
        <v>50.0%</v>
      </c>
    </row>
    <row r="227">
      <c r="A227" s="40" t="s">
        <v>379</v>
      </c>
      <c r="B227" s="40" t="s">
        <v>8654</v>
      </c>
      <c r="C227" s="41">
        <v>8.0</v>
      </c>
      <c r="D227" s="41">
        <v>8.0</v>
      </c>
      <c r="E227" s="42" t="str">
        <f t="shared" si="1"/>
        <v>50.0%</v>
      </c>
    </row>
    <row r="228">
      <c r="A228" s="40" t="s">
        <v>379</v>
      </c>
      <c r="B228" s="40" t="s">
        <v>8568</v>
      </c>
      <c r="C228" s="41">
        <v>7.0</v>
      </c>
      <c r="D228" s="41">
        <v>3.0</v>
      </c>
      <c r="E228" s="42" t="str">
        <f t="shared" si="1"/>
        <v>70.0%</v>
      </c>
    </row>
    <row r="229">
      <c r="A229" s="40" t="s">
        <v>379</v>
      </c>
      <c r="B229" s="40" t="s">
        <v>8633</v>
      </c>
      <c r="C229" s="41">
        <v>7.0</v>
      </c>
      <c r="D229" s="41">
        <v>4.0</v>
      </c>
      <c r="E229" s="42" t="str">
        <f t="shared" si="1"/>
        <v>63.6%</v>
      </c>
    </row>
    <row r="230">
      <c r="A230" s="40" t="s">
        <v>379</v>
      </c>
      <c r="B230" s="40" t="s">
        <v>8514</v>
      </c>
      <c r="C230" s="41">
        <v>7.0</v>
      </c>
      <c r="D230" s="41">
        <v>4.0</v>
      </c>
      <c r="E230" s="42" t="str">
        <f t="shared" si="1"/>
        <v>63.6%</v>
      </c>
    </row>
    <row r="231">
      <c r="A231" s="40" t="s">
        <v>379</v>
      </c>
      <c r="B231" s="40" t="s">
        <v>8492</v>
      </c>
      <c r="C231" s="41">
        <v>7.0</v>
      </c>
      <c r="D231" s="41">
        <v>7.0</v>
      </c>
      <c r="E231" s="42" t="str">
        <f t="shared" si="1"/>
        <v>50.0%</v>
      </c>
    </row>
    <row r="232">
      <c r="A232" s="40" t="s">
        <v>379</v>
      </c>
      <c r="B232" s="40" t="s">
        <v>8580</v>
      </c>
      <c r="C232" s="41">
        <v>7.0</v>
      </c>
      <c r="D232" s="41">
        <v>8.0</v>
      </c>
      <c r="E232" s="42" t="str">
        <f t="shared" si="1"/>
        <v>46.7%</v>
      </c>
    </row>
    <row r="233">
      <c r="A233" s="40" t="s">
        <v>379</v>
      </c>
      <c r="B233" s="40" t="s">
        <v>8641</v>
      </c>
      <c r="C233" s="41">
        <v>7.0</v>
      </c>
      <c r="D233" s="41">
        <v>8.0</v>
      </c>
      <c r="E233" s="42" t="str">
        <f t="shared" si="1"/>
        <v>46.7%</v>
      </c>
    </row>
    <row r="234">
      <c r="A234" s="40" t="s">
        <v>379</v>
      </c>
      <c r="B234" s="40" t="s">
        <v>8642</v>
      </c>
      <c r="C234" s="41">
        <v>7.0</v>
      </c>
      <c r="D234" s="41">
        <v>8.0</v>
      </c>
      <c r="E234" s="42" t="str">
        <f t="shared" si="1"/>
        <v>46.7%</v>
      </c>
    </row>
    <row r="235">
      <c r="A235" s="40" t="s">
        <v>379</v>
      </c>
      <c r="B235" s="40" t="s">
        <v>8560</v>
      </c>
      <c r="C235" s="41">
        <v>7.0</v>
      </c>
      <c r="D235" s="41">
        <v>11.0</v>
      </c>
      <c r="E235" s="42" t="str">
        <f t="shared" si="1"/>
        <v>38.9%</v>
      </c>
    </row>
    <row r="236">
      <c r="A236" s="40" t="s">
        <v>379</v>
      </c>
      <c r="B236" s="40" t="s">
        <v>8655</v>
      </c>
      <c r="C236" s="41">
        <v>7.0</v>
      </c>
      <c r="D236" s="41">
        <v>13.0</v>
      </c>
      <c r="E236" s="42" t="str">
        <f t="shared" si="1"/>
        <v>35.0%</v>
      </c>
    </row>
    <row r="237">
      <c r="A237" s="40" t="s">
        <v>379</v>
      </c>
      <c r="B237" s="40" t="s">
        <v>8530</v>
      </c>
      <c r="C237" s="41">
        <v>7.0</v>
      </c>
      <c r="D237" s="41">
        <v>14.0</v>
      </c>
      <c r="E237" s="42" t="str">
        <f t="shared" si="1"/>
        <v>33.3%</v>
      </c>
    </row>
    <row r="238">
      <c r="A238" s="40" t="s">
        <v>379</v>
      </c>
      <c r="B238" s="40" t="s">
        <v>8510</v>
      </c>
      <c r="C238" s="41">
        <v>7.0</v>
      </c>
      <c r="D238" s="41">
        <v>14.0</v>
      </c>
      <c r="E238" s="42" t="str">
        <f t="shared" si="1"/>
        <v>33.3%</v>
      </c>
    </row>
    <row r="239">
      <c r="A239" s="40" t="s">
        <v>379</v>
      </c>
      <c r="B239" s="40" t="s">
        <v>8503</v>
      </c>
      <c r="C239" s="41">
        <v>6.0</v>
      </c>
      <c r="D239" s="41">
        <v>1.0</v>
      </c>
      <c r="E239" s="42" t="str">
        <f t="shared" si="1"/>
        <v>85.7%</v>
      </c>
    </row>
    <row r="240">
      <c r="A240" s="40" t="s">
        <v>379</v>
      </c>
      <c r="B240" s="40" t="s">
        <v>8656</v>
      </c>
      <c r="C240" s="41">
        <v>6.0</v>
      </c>
      <c r="D240" s="41">
        <v>3.0</v>
      </c>
      <c r="E240" s="42" t="str">
        <f t="shared" si="1"/>
        <v>66.7%</v>
      </c>
    </row>
    <row r="241">
      <c r="A241" s="40" t="s">
        <v>379</v>
      </c>
      <c r="B241" s="40" t="s">
        <v>8521</v>
      </c>
      <c r="C241" s="41">
        <v>6.0</v>
      </c>
      <c r="D241" s="41">
        <v>3.0</v>
      </c>
      <c r="E241" s="42" t="str">
        <f t="shared" si="1"/>
        <v>66.7%</v>
      </c>
    </row>
    <row r="242">
      <c r="A242" s="40" t="s">
        <v>379</v>
      </c>
      <c r="B242" s="40" t="s">
        <v>8533</v>
      </c>
      <c r="C242" s="41">
        <v>6.0</v>
      </c>
      <c r="D242" s="41">
        <v>3.0</v>
      </c>
      <c r="E242" s="42" t="str">
        <f t="shared" si="1"/>
        <v>66.7%</v>
      </c>
    </row>
    <row r="243">
      <c r="A243" s="40" t="s">
        <v>379</v>
      </c>
      <c r="B243" s="40" t="s">
        <v>8576</v>
      </c>
      <c r="C243" s="41">
        <v>6.0</v>
      </c>
      <c r="D243" s="41">
        <v>4.0</v>
      </c>
      <c r="E243" s="42" t="str">
        <f t="shared" si="1"/>
        <v>60.0%</v>
      </c>
    </row>
    <row r="244">
      <c r="A244" s="40" t="s">
        <v>379</v>
      </c>
      <c r="B244" s="40" t="s">
        <v>8657</v>
      </c>
      <c r="C244" s="41">
        <v>6.0</v>
      </c>
      <c r="D244" s="41">
        <v>6.0</v>
      </c>
      <c r="E244" s="42" t="str">
        <f t="shared" si="1"/>
        <v>50.0%</v>
      </c>
    </row>
    <row r="245">
      <c r="A245" s="40" t="s">
        <v>379</v>
      </c>
      <c r="B245" s="40" t="s">
        <v>8623</v>
      </c>
      <c r="C245" s="41">
        <v>6.0</v>
      </c>
      <c r="D245" s="41">
        <v>8.0</v>
      </c>
      <c r="E245" s="42" t="str">
        <f t="shared" si="1"/>
        <v>42.9%</v>
      </c>
    </row>
    <row r="246">
      <c r="A246" s="40" t="s">
        <v>379</v>
      </c>
      <c r="B246" s="40" t="s">
        <v>8638</v>
      </c>
      <c r="C246" s="41">
        <v>6.0</v>
      </c>
      <c r="D246" s="41">
        <v>8.0</v>
      </c>
      <c r="E246" s="42" t="str">
        <f t="shared" si="1"/>
        <v>42.9%</v>
      </c>
    </row>
    <row r="247">
      <c r="A247" s="40" t="s">
        <v>379</v>
      </c>
      <c r="B247" s="40" t="s">
        <v>8630</v>
      </c>
      <c r="C247" s="41">
        <v>6.0</v>
      </c>
      <c r="D247" s="41">
        <v>9.0</v>
      </c>
      <c r="E247" s="42" t="str">
        <f t="shared" si="1"/>
        <v>40.0%</v>
      </c>
    </row>
    <row r="248">
      <c r="A248" s="40" t="s">
        <v>379</v>
      </c>
      <c r="B248" s="40" t="s">
        <v>8658</v>
      </c>
      <c r="C248" s="41">
        <v>6.0</v>
      </c>
      <c r="D248" s="41">
        <v>10.0</v>
      </c>
      <c r="E248" s="42" t="str">
        <f t="shared" si="1"/>
        <v>37.5%</v>
      </c>
    </row>
    <row r="249">
      <c r="A249" s="40" t="s">
        <v>379</v>
      </c>
      <c r="B249" s="40" t="s">
        <v>8639</v>
      </c>
      <c r="C249" s="41">
        <v>6.0</v>
      </c>
      <c r="D249" s="41">
        <v>19.0</v>
      </c>
      <c r="E249" s="42" t="str">
        <f t="shared" si="1"/>
        <v>24.0%</v>
      </c>
    </row>
    <row r="250">
      <c r="A250" s="40" t="s">
        <v>379</v>
      </c>
      <c r="B250" s="40" t="s">
        <v>8659</v>
      </c>
      <c r="C250" s="41">
        <v>5.0</v>
      </c>
      <c r="D250" s="41">
        <v>1.0</v>
      </c>
      <c r="E250" s="42" t="str">
        <f t="shared" si="1"/>
        <v>83.3%</v>
      </c>
    </row>
    <row r="251">
      <c r="A251" s="40" t="s">
        <v>379</v>
      </c>
      <c r="B251" s="40" t="s">
        <v>8599</v>
      </c>
      <c r="C251" s="41">
        <v>5.0</v>
      </c>
      <c r="D251" s="41">
        <v>2.0</v>
      </c>
      <c r="E251" s="42" t="str">
        <f t="shared" si="1"/>
        <v>71.4%</v>
      </c>
    </row>
    <row r="252">
      <c r="A252" s="40" t="s">
        <v>379</v>
      </c>
      <c r="B252" s="40" t="s">
        <v>8522</v>
      </c>
      <c r="C252" s="41">
        <v>5.0</v>
      </c>
      <c r="D252" s="41">
        <v>2.0</v>
      </c>
      <c r="E252" s="42" t="str">
        <f t="shared" si="1"/>
        <v>71.4%</v>
      </c>
    </row>
    <row r="253">
      <c r="A253" s="40" t="s">
        <v>379</v>
      </c>
      <c r="B253" s="40" t="s">
        <v>8603</v>
      </c>
      <c r="C253" s="41">
        <v>5.0</v>
      </c>
      <c r="D253" s="41">
        <v>4.0</v>
      </c>
      <c r="E253" s="42" t="str">
        <f t="shared" si="1"/>
        <v>55.6%</v>
      </c>
    </row>
    <row r="254">
      <c r="A254" s="40" t="s">
        <v>379</v>
      </c>
      <c r="B254" s="40" t="s">
        <v>8660</v>
      </c>
      <c r="C254" s="41">
        <v>5.0</v>
      </c>
      <c r="D254" s="41">
        <v>6.0</v>
      </c>
      <c r="E254" s="42" t="str">
        <f t="shared" si="1"/>
        <v>45.5%</v>
      </c>
    </row>
    <row r="255">
      <c r="A255" s="40" t="s">
        <v>379</v>
      </c>
      <c r="B255" s="40" t="s">
        <v>8585</v>
      </c>
      <c r="C255" s="41">
        <v>5.0</v>
      </c>
      <c r="D255" s="41">
        <v>6.0</v>
      </c>
      <c r="E255" s="42" t="str">
        <f t="shared" si="1"/>
        <v>45.5%</v>
      </c>
    </row>
    <row r="256">
      <c r="A256" s="40" t="s">
        <v>379</v>
      </c>
      <c r="B256" s="40" t="s">
        <v>8661</v>
      </c>
      <c r="C256" s="41">
        <v>5.0</v>
      </c>
      <c r="D256" s="41">
        <v>7.0</v>
      </c>
      <c r="E256" s="42" t="str">
        <f t="shared" si="1"/>
        <v>41.7%</v>
      </c>
    </row>
    <row r="257">
      <c r="A257" s="40" t="s">
        <v>379</v>
      </c>
      <c r="B257" s="40" t="s">
        <v>8662</v>
      </c>
      <c r="C257" s="41">
        <v>5.0</v>
      </c>
      <c r="D257" s="41">
        <v>7.0</v>
      </c>
      <c r="E257" s="42" t="str">
        <f t="shared" si="1"/>
        <v>41.7%</v>
      </c>
    </row>
    <row r="258">
      <c r="A258" s="40" t="s">
        <v>379</v>
      </c>
      <c r="B258" s="40" t="s">
        <v>8502</v>
      </c>
      <c r="C258" s="41">
        <v>5.0</v>
      </c>
      <c r="D258" s="41">
        <v>7.0</v>
      </c>
      <c r="E258" s="42" t="str">
        <f t="shared" si="1"/>
        <v>41.7%</v>
      </c>
    </row>
    <row r="259">
      <c r="A259" s="40" t="s">
        <v>379</v>
      </c>
      <c r="B259" s="40" t="s">
        <v>8640</v>
      </c>
      <c r="C259" s="41">
        <v>5.0</v>
      </c>
      <c r="D259" s="41">
        <v>8.0</v>
      </c>
      <c r="E259" s="42" t="str">
        <f t="shared" si="1"/>
        <v>38.5%</v>
      </c>
    </row>
    <row r="260">
      <c r="A260" s="40" t="s">
        <v>379</v>
      </c>
      <c r="B260" s="40" t="s">
        <v>8550</v>
      </c>
      <c r="C260" s="41">
        <v>5.0</v>
      </c>
      <c r="D260" s="41">
        <v>10.0</v>
      </c>
      <c r="E260" s="42" t="str">
        <f t="shared" si="1"/>
        <v>33.3%</v>
      </c>
    </row>
    <row r="261">
      <c r="A261" s="40" t="s">
        <v>379</v>
      </c>
      <c r="B261" s="40" t="s">
        <v>8663</v>
      </c>
      <c r="C261" s="41">
        <v>5.0</v>
      </c>
      <c r="D261" s="41">
        <v>10.0</v>
      </c>
      <c r="E261" s="42" t="str">
        <f t="shared" si="1"/>
        <v>33.3%</v>
      </c>
    </row>
    <row r="262">
      <c r="A262" s="40" t="s">
        <v>379</v>
      </c>
      <c r="B262" s="40" t="s">
        <v>8664</v>
      </c>
      <c r="C262" s="41">
        <v>4.0</v>
      </c>
      <c r="D262" s="41">
        <v>1.0</v>
      </c>
      <c r="E262" s="42" t="str">
        <f t="shared" si="1"/>
        <v>80.0%</v>
      </c>
    </row>
    <row r="263">
      <c r="A263" s="40" t="s">
        <v>379</v>
      </c>
      <c r="B263" s="40" t="s">
        <v>8665</v>
      </c>
      <c r="C263" s="41">
        <v>4.0</v>
      </c>
      <c r="D263" s="41">
        <v>1.0</v>
      </c>
      <c r="E263" s="42" t="str">
        <f t="shared" si="1"/>
        <v>80.0%</v>
      </c>
    </row>
    <row r="264">
      <c r="A264" s="40" t="s">
        <v>379</v>
      </c>
      <c r="B264" s="40" t="s">
        <v>8552</v>
      </c>
      <c r="C264" s="41">
        <v>4.0</v>
      </c>
      <c r="D264" s="41">
        <v>1.0</v>
      </c>
      <c r="E264" s="42" t="str">
        <f t="shared" si="1"/>
        <v>80.0%</v>
      </c>
    </row>
    <row r="265">
      <c r="A265" s="40" t="s">
        <v>379</v>
      </c>
      <c r="B265" s="40" t="s">
        <v>8523</v>
      </c>
      <c r="C265" s="41">
        <v>4.0</v>
      </c>
      <c r="D265" s="41">
        <v>1.0</v>
      </c>
      <c r="E265" s="42" t="str">
        <f t="shared" si="1"/>
        <v>80.0%</v>
      </c>
    </row>
    <row r="266">
      <c r="A266" s="40" t="s">
        <v>379</v>
      </c>
      <c r="B266" s="40" t="s">
        <v>8628</v>
      </c>
      <c r="C266" s="41">
        <v>4.0</v>
      </c>
      <c r="D266" s="41">
        <v>2.0</v>
      </c>
      <c r="E266" s="42" t="str">
        <f t="shared" si="1"/>
        <v>66.7%</v>
      </c>
    </row>
    <row r="267">
      <c r="A267" s="40" t="s">
        <v>379</v>
      </c>
      <c r="B267" s="40" t="s">
        <v>8666</v>
      </c>
      <c r="C267" s="41">
        <v>4.0</v>
      </c>
      <c r="D267" s="41">
        <v>2.0</v>
      </c>
      <c r="E267" s="42" t="str">
        <f t="shared" si="1"/>
        <v>66.7%</v>
      </c>
    </row>
    <row r="268">
      <c r="A268" s="40" t="s">
        <v>379</v>
      </c>
      <c r="B268" s="40" t="s">
        <v>8667</v>
      </c>
      <c r="C268" s="41">
        <v>4.0</v>
      </c>
      <c r="D268" s="41">
        <v>3.0</v>
      </c>
      <c r="E268" s="42" t="str">
        <f t="shared" si="1"/>
        <v>57.1%</v>
      </c>
    </row>
    <row r="269">
      <c r="A269" s="40" t="s">
        <v>379</v>
      </c>
      <c r="B269" s="40" t="s">
        <v>8668</v>
      </c>
      <c r="C269" s="41">
        <v>4.0</v>
      </c>
      <c r="D269" s="41">
        <v>4.0</v>
      </c>
      <c r="E269" s="42" t="str">
        <f t="shared" si="1"/>
        <v>50.0%</v>
      </c>
    </row>
    <row r="270">
      <c r="A270" s="40" t="s">
        <v>379</v>
      </c>
      <c r="B270" s="40" t="s">
        <v>8601</v>
      </c>
      <c r="C270" s="41">
        <v>4.0</v>
      </c>
      <c r="D270" s="41">
        <v>5.0</v>
      </c>
      <c r="E270" s="42" t="str">
        <f t="shared" si="1"/>
        <v>44.4%</v>
      </c>
    </row>
    <row r="271">
      <c r="A271" s="40" t="s">
        <v>379</v>
      </c>
      <c r="B271" s="40" t="s">
        <v>8636</v>
      </c>
      <c r="C271" s="41">
        <v>4.0</v>
      </c>
      <c r="D271" s="41">
        <v>5.0</v>
      </c>
      <c r="E271" s="42" t="str">
        <f t="shared" si="1"/>
        <v>44.4%</v>
      </c>
    </row>
    <row r="272">
      <c r="A272" s="40" t="s">
        <v>379</v>
      </c>
      <c r="B272" s="40" t="s">
        <v>8602</v>
      </c>
      <c r="C272" s="41">
        <v>4.0</v>
      </c>
      <c r="D272" s="41">
        <v>7.0</v>
      </c>
      <c r="E272" s="42" t="str">
        <f t="shared" si="1"/>
        <v>36.4%</v>
      </c>
    </row>
    <row r="273">
      <c r="A273" s="40" t="s">
        <v>379</v>
      </c>
      <c r="B273" s="40" t="s">
        <v>8669</v>
      </c>
      <c r="C273" s="41">
        <v>4.0</v>
      </c>
      <c r="D273" s="41">
        <v>7.0</v>
      </c>
      <c r="E273" s="42" t="str">
        <f t="shared" si="1"/>
        <v>36.4%</v>
      </c>
    </row>
    <row r="274">
      <c r="A274" s="40" t="s">
        <v>379</v>
      </c>
      <c r="B274" s="40" t="s">
        <v>8507</v>
      </c>
      <c r="C274" s="41">
        <v>4.0</v>
      </c>
      <c r="D274" s="41">
        <v>7.0</v>
      </c>
      <c r="E274" s="42" t="str">
        <f t="shared" si="1"/>
        <v>36.4%</v>
      </c>
    </row>
    <row r="275">
      <c r="A275" s="40" t="s">
        <v>379</v>
      </c>
      <c r="B275" s="40" t="s">
        <v>8670</v>
      </c>
      <c r="C275" s="41">
        <v>4.0</v>
      </c>
      <c r="D275" s="41">
        <v>8.0</v>
      </c>
      <c r="E275" s="42" t="str">
        <f t="shared" si="1"/>
        <v>33.3%</v>
      </c>
    </row>
    <row r="276">
      <c r="A276" s="40" t="s">
        <v>379</v>
      </c>
      <c r="B276" s="40" t="s">
        <v>8671</v>
      </c>
      <c r="C276" s="41">
        <v>4.0</v>
      </c>
      <c r="D276" s="41">
        <v>10.0</v>
      </c>
      <c r="E276" s="42" t="str">
        <f t="shared" si="1"/>
        <v>28.6%</v>
      </c>
    </row>
    <row r="277">
      <c r="A277" s="40" t="s">
        <v>379</v>
      </c>
      <c r="B277" s="40" t="s">
        <v>8495</v>
      </c>
      <c r="C277" s="41">
        <v>4.0</v>
      </c>
      <c r="D277" s="41">
        <v>11.0</v>
      </c>
      <c r="E277" s="42" t="str">
        <f t="shared" si="1"/>
        <v>26.7%</v>
      </c>
    </row>
    <row r="278">
      <c r="A278" s="40" t="s">
        <v>379</v>
      </c>
      <c r="B278" s="40" t="s">
        <v>8593</v>
      </c>
      <c r="C278" s="41">
        <v>4.0</v>
      </c>
      <c r="D278" s="41">
        <v>13.0</v>
      </c>
      <c r="E278" s="42" t="str">
        <f t="shared" si="1"/>
        <v>23.5%</v>
      </c>
    </row>
    <row r="279">
      <c r="A279" s="40" t="s">
        <v>379</v>
      </c>
      <c r="B279" s="40" t="s">
        <v>8644</v>
      </c>
      <c r="C279" s="41">
        <v>4.0</v>
      </c>
      <c r="D279" s="41">
        <v>13.0</v>
      </c>
      <c r="E279" s="42" t="str">
        <f t="shared" si="1"/>
        <v>23.5%</v>
      </c>
    </row>
    <row r="280">
      <c r="A280" s="40" t="s">
        <v>379</v>
      </c>
      <c r="B280" s="40" t="s">
        <v>8672</v>
      </c>
      <c r="C280" s="41">
        <v>4.0</v>
      </c>
      <c r="D280" s="41">
        <v>17.0</v>
      </c>
      <c r="E280" s="42" t="str">
        <f t="shared" si="1"/>
        <v>19.0%</v>
      </c>
    </row>
    <row r="281">
      <c r="A281" s="40" t="s">
        <v>379</v>
      </c>
      <c r="B281" s="40" t="s">
        <v>8595</v>
      </c>
      <c r="C281" s="41">
        <v>3.0</v>
      </c>
      <c r="D281" s="41">
        <v>0.0</v>
      </c>
      <c r="E281" s="42" t="str">
        <f t="shared" si="1"/>
        <v>100.0%</v>
      </c>
    </row>
    <row r="282">
      <c r="A282" s="40" t="s">
        <v>379</v>
      </c>
      <c r="B282" s="40" t="s">
        <v>8535</v>
      </c>
      <c r="C282" s="41">
        <v>3.0</v>
      </c>
      <c r="D282" s="41">
        <v>0.0</v>
      </c>
      <c r="E282" s="42" t="str">
        <f t="shared" si="1"/>
        <v>100.0%</v>
      </c>
    </row>
    <row r="283">
      <c r="A283" s="40" t="s">
        <v>379</v>
      </c>
      <c r="B283" s="40" t="s">
        <v>8673</v>
      </c>
      <c r="C283" s="41">
        <v>3.0</v>
      </c>
      <c r="D283" s="41">
        <v>0.0</v>
      </c>
      <c r="E283" s="42" t="str">
        <f t="shared" si="1"/>
        <v>100.0%</v>
      </c>
    </row>
    <row r="284">
      <c r="A284" s="40" t="s">
        <v>379</v>
      </c>
      <c r="B284" s="40" t="s">
        <v>8674</v>
      </c>
      <c r="C284" s="41">
        <v>3.0</v>
      </c>
      <c r="D284" s="41">
        <v>0.0</v>
      </c>
      <c r="E284" s="42" t="str">
        <f t="shared" si="1"/>
        <v>100.0%</v>
      </c>
    </row>
    <row r="285">
      <c r="A285" s="40" t="s">
        <v>379</v>
      </c>
      <c r="B285" s="40" t="s">
        <v>8675</v>
      </c>
      <c r="C285" s="41">
        <v>3.0</v>
      </c>
      <c r="D285" s="41">
        <v>1.0</v>
      </c>
      <c r="E285" s="42" t="str">
        <f t="shared" si="1"/>
        <v>75.0%</v>
      </c>
    </row>
    <row r="286">
      <c r="A286" s="40" t="s">
        <v>379</v>
      </c>
      <c r="B286" s="40" t="s">
        <v>8512</v>
      </c>
      <c r="C286" s="41">
        <v>3.0</v>
      </c>
      <c r="D286" s="41">
        <v>1.0</v>
      </c>
      <c r="E286" s="42" t="str">
        <f t="shared" si="1"/>
        <v>75.0%</v>
      </c>
    </row>
    <row r="287">
      <c r="A287" s="40" t="s">
        <v>379</v>
      </c>
      <c r="B287" s="40" t="s">
        <v>8513</v>
      </c>
      <c r="C287" s="41">
        <v>3.0</v>
      </c>
      <c r="D287" s="41">
        <v>1.0</v>
      </c>
      <c r="E287" s="42" t="str">
        <f t="shared" si="1"/>
        <v>75.0%</v>
      </c>
    </row>
    <row r="288">
      <c r="A288" s="40" t="s">
        <v>379</v>
      </c>
      <c r="B288" s="40" t="s">
        <v>8676</v>
      </c>
      <c r="C288" s="41">
        <v>3.0</v>
      </c>
      <c r="D288" s="41">
        <v>2.0</v>
      </c>
      <c r="E288" s="42" t="str">
        <f t="shared" si="1"/>
        <v>60.0%</v>
      </c>
    </row>
    <row r="289">
      <c r="A289" s="40" t="s">
        <v>379</v>
      </c>
      <c r="B289" s="40" t="s">
        <v>8493</v>
      </c>
      <c r="C289" s="41">
        <v>3.0</v>
      </c>
      <c r="D289" s="41">
        <v>3.0</v>
      </c>
      <c r="E289" s="42" t="str">
        <f t="shared" si="1"/>
        <v>50.0%</v>
      </c>
    </row>
    <row r="290">
      <c r="A290" s="40" t="s">
        <v>379</v>
      </c>
      <c r="B290" s="40" t="s">
        <v>8677</v>
      </c>
      <c r="C290" s="41">
        <v>3.0</v>
      </c>
      <c r="D290" s="41">
        <v>3.0</v>
      </c>
      <c r="E290" s="42" t="str">
        <f t="shared" si="1"/>
        <v>50.0%</v>
      </c>
    </row>
    <row r="291">
      <c r="A291" s="40" t="s">
        <v>379</v>
      </c>
      <c r="B291" s="40" t="s">
        <v>8678</v>
      </c>
      <c r="C291" s="41">
        <v>3.0</v>
      </c>
      <c r="D291" s="41">
        <v>3.0</v>
      </c>
      <c r="E291" s="42" t="str">
        <f t="shared" si="1"/>
        <v>50.0%</v>
      </c>
    </row>
    <row r="292">
      <c r="A292" s="40" t="s">
        <v>379</v>
      </c>
      <c r="B292" s="40" t="s">
        <v>8562</v>
      </c>
      <c r="C292" s="41">
        <v>3.0</v>
      </c>
      <c r="D292" s="41">
        <v>4.0</v>
      </c>
      <c r="E292" s="42" t="str">
        <f t="shared" si="1"/>
        <v>42.9%</v>
      </c>
    </row>
    <row r="293">
      <c r="A293" s="40" t="s">
        <v>379</v>
      </c>
      <c r="B293" s="40" t="s">
        <v>8679</v>
      </c>
      <c r="C293" s="41">
        <v>3.0</v>
      </c>
      <c r="D293" s="41">
        <v>5.0</v>
      </c>
      <c r="E293" s="42" t="str">
        <f t="shared" si="1"/>
        <v>37.5%</v>
      </c>
    </row>
    <row r="294">
      <c r="A294" s="40" t="s">
        <v>379</v>
      </c>
      <c r="B294" s="40" t="s">
        <v>8680</v>
      </c>
      <c r="C294" s="41">
        <v>3.0</v>
      </c>
      <c r="D294" s="41">
        <v>6.0</v>
      </c>
      <c r="E294" s="42" t="str">
        <f t="shared" si="1"/>
        <v>33.3%</v>
      </c>
    </row>
    <row r="295">
      <c r="A295" s="40" t="s">
        <v>379</v>
      </c>
      <c r="B295" s="40" t="s">
        <v>8622</v>
      </c>
      <c r="C295" s="41">
        <v>3.0</v>
      </c>
      <c r="D295" s="41">
        <v>6.0</v>
      </c>
      <c r="E295" s="42" t="str">
        <f t="shared" si="1"/>
        <v>33.3%</v>
      </c>
    </row>
    <row r="296">
      <c r="A296" s="40" t="s">
        <v>379</v>
      </c>
      <c r="B296" s="40" t="s">
        <v>8681</v>
      </c>
      <c r="C296" s="41">
        <v>3.0</v>
      </c>
      <c r="D296" s="41">
        <v>8.0</v>
      </c>
      <c r="E296" s="42" t="str">
        <f t="shared" si="1"/>
        <v>27.3%</v>
      </c>
    </row>
    <row r="297">
      <c r="A297" s="40" t="s">
        <v>379</v>
      </c>
      <c r="B297" s="40" t="s">
        <v>8682</v>
      </c>
      <c r="C297" s="41">
        <v>3.0</v>
      </c>
      <c r="D297" s="41">
        <v>10.0</v>
      </c>
      <c r="E297" s="42" t="str">
        <f t="shared" si="1"/>
        <v>23.1%</v>
      </c>
    </row>
    <row r="298">
      <c r="A298" s="40" t="s">
        <v>379</v>
      </c>
      <c r="B298" s="40" t="s">
        <v>8591</v>
      </c>
      <c r="C298" s="41">
        <v>3.0</v>
      </c>
      <c r="D298" s="41">
        <v>11.0</v>
      </c>
      <c r="E298" s="42" t="str">
        <f t="shared" si="1"/>
        <v>21.4%</v>
      </c>
    </row>
    <row r="299">
      <c r="A299" s="40" t="s">
        <v>379</v>
      </c>
      <c r="B299" s="40" t="s">
        <v>8486</v>
      </c>
      <c r="C299" s="41">
        <v>2.0</v>
      </c>
      <c r="D299" s="41">
        <v>0.0</v>
      </c>
      <c r="E299" s="42" t="str">
        <f t="shared" si="1"/>
        <v>100.0%</v>
      </c>
    </row>
    <row r="300">
      <c r="A300" s="40" t="s">
        <v>379</v>
      </c>
      <c r="B300" s="40" t="s">
        <v>8543</v>
      </c>
      <c r="C300" s="41">
        <v>2.0</v>
      </c>
      <c r="D300" s="41">
        <v>0.0</v>
      </c>
      <c r="E300" s="42" t="str">
        <f t="shared" si="1"/>
        <v>100.0%</v>
      </c>
    </row>
    <row r="301">
      <c r="A301" s="40" t="s">
        <v>379</v>
      </c>
      <c r="B301" s="40" t="s">
        <v>8524</v>
      </c>
      <c r="C301" s="41">
        <v>2.0</v>
      </c>
      <c r="D301" s="41">
        <v>0.0</v>
      </c>
      <c r="E301" s="42" t="str">
        <f t="shared" si="1"/>
        <v>100.0%</v>
      </c>
    </row>
    <row r="302">
      <c r="A302" s="40" t="s">
        <v>379</v>
      </c>
      <c r="B302" s="40" t="s">
        <v>8683</v>
      </c>
      <c r="C302" s="41">
        <v>2.0</v>
      </c>
      <c r="D302" s="41">
        <v>0.0</v>
      </c>
      <c r="E302" s="42" t="str">
        <f t="shared" si="1"/>
        <v>100.0%</v>
      </c>
    </row>
    <row r="303">
      <c r="A303" s="40" t="s">
        <v>379</v>
      </c>
      <c r="B303" s="40" t="s">
        <v>8684</v>
      </c>
      <c r="C303" s="41">
        <v>2.0</v>
      </c>
      <c r="D303" s="41">
        <v>0.0</v>
      </c>
      <c r="E303" s="42" t="str">
        <f t="shared" si="1"/>
        <v>100.0%</v>
      </c>
    </row>
    <row r="304">
      <c r="A304" s="40" t="s">
        <v>379</v>
      </c>
      <c r="B304" s="40" t="s">
        <v>8685</v>
      </c>
      <c r="C304" s="41">
        <v>2.0</v>
      </c>
      <c r="D304" s="41">
        <v>1.0</v>
      </c>
      <c r="E304" s="42" t="str">
        <f t="shared" si="1"/>
        <v>66.7%</v>
      </c>
    </row>
    <row r="305">
      <c r="A305" s="40" t="s">
        <v>379</v>
      </c>
      <c r="B305" s="40" t="s">
        <v>8686</v>
      </c>
      <c r="C305" s="41">
        <v>2.0</v>
      </c>
      <c r="D305" s="41">
        <v>1.0</v>
      </c>
      <c r="E305" s="42" t="str">
        <f t="shared" si="1"/>
        <v>66.7%</v>
      </c>
    </row>
    <row r="306">
      <c r="A306" s="40" t="s">
        <v>379</v>
      </c>
      <c r="B306" s="40" t="s">
        <v>8594</v>
      </c>
      <c r="C306" s="41">
        <v>2.0</v>
      </c>
      <c r="D306" s="41">
        <v>1.0</v>
      </c>
      <c r="E306" s="42" t="str">
        <f t="shared" si="1"/>
        <v>66.7%</v>
      </c>
    </row>
    <row r="307">
      <c r="A307" s="40" t="s">
        <v>379</v>
      </c>
      <c r="B307" s="40" t="s">
        <v>8687</v>
      </c>
      <c r="C307" s="41">
        <v>2.0</v>
      </c>
      <c r="D307" s="41">
        <v>1.0</v>
      </c>
      <c r="E307" s="42" t="str">
        <f t="shared" si="1"/>
        <v>66.7%</v>
      </c>
    </row>
    <row r="308">
      <c r="A308" s="40" t="s">
        <v>379</v>
      </c>
      <c r="B308" s="40" t="s">
        <v>8688</v>
      </c>
      <c r="C308" s="41">
        <v>2.0</v>
      </c>
      <c r="D308" s="41">
        <v>1.0</v>
      </c>
      <c r="E308" s="42" t="str">
        <f t="shared" si="1"/>
        <v>66.7%</v>
      </c>
    </row>
    <row r="309">
      <c r="A309" s="40" t="s">
        <v>379</v>
      </c>
      <c r="B309" s="40" t="s">
        <v>8689</v>
      </c>
      <c r="C309" s="41">
        <v>2.0</v>
      </c>
      <c r="D309" s="41">
        <v>2.0</v>
      </c>
      <c r="E309" s="42" t="str">
        <f t="shared" si="1"/>
        <v>50.0%</v>
      </c>
    </row>
    <row r="310">
      <c r="A310" s="40" t="s">
        <v>379</v>
      </c>
      <c r="B310" s="40" t="s">
        <v>8690</v>
      </c>
      <c r="C310" s="41">
        <v>2.0</v>
      </c>
      <c r="D310" s="41">
        <v>2.0</v>
      </c>
      <c r="E310" s="42" t="str">
        <f t="shared" si="1"/>
        <v>50.0%</v>
      </c>
    </row>
    <row r="311">
      <c r="A311" s="40" t="s">
        <v>379</v>
      </c>
      <c r="B311" s="40" t="s">
        <v>8691</v>
      </c>
      <c r="C311" s="41">
        <v>2.0</v>
      </c>
      <c r="D311" s="41">
        <v>2.0</v>
      </c>
      <c r="E311" s="42" t="str">
        <f t="shared" si="1"/>
        <v>50.0%</v>
      </c>
    </row>
    <row r="312">
      <c r="A312" s="40" t="s">
        <v>379</v>
      </c>
      <c r="B312" s="40" t="s">
        <v>8692</v>
      </c>
      <c r="C312" s="41">
        <v>2.0</v>
      </c>
      <c r="D312" s="41">
        <v>2.0</v>
      </c>
      <c r="E312" s="42" t="str">
        <f t="shared" si="1"/>
        <v>50.0%</v>
      </c>
    </row>
    <row r="313">
      <c r="A313" s="40" t="s">
        <v>379</v>
      </c>
      <c r="B313" s="40" t="s">
        <v>8693</v>
      </c>
      <c r="C313" s="41">
        <v>2.0</v>
      </c>
      <c r="D313" s="41">
        <v>3.0</v>
      </c>
      <c r="E313" s="42" t="str">
        <f t="shared" si="1"/>
        <v>40.0%</v>
      </c>
    </row>
    <row r="314">
      <c r="A314" s="40" t="s">
        <v>379</v>
      </c>
      <c r="B314" s="40" t="s">
        <v>8694</v>
      </c>
      <c r="C314" s="41">
        <v>2.0</v>
      </c>
      <c r="D314" s="41">
        <v>3.0</v>
      </c>
      <c r="E314" s="42" t="str">
        <f t="shared" si="1"/>
        <v>40.0%</v>
      </c>
    </row>
    <row r="315">
      <c r="A315" s="40" t="s">
        <v>379</v>
      </c>
      <c r="B315" s="40" t="s">
        <v>8592</v>
      </c>
      <c r="C315" s="41">
        <v>2.0</v>
      </c>
      <c r="D315" s="41">
        <v>3.0</v>
      </c>
      <c r="E315" s="42" t="str">
        <f t="shared" si="1"/>
        <v>40.0%</v>
      </c>
    </row>
    <row r="316">
      <c r="A316" s="40" t="s">
        <v>379</v>
      </c>
      <c r="B316" s="40" t="s">
        <v>8619</v>
      </c>
      <c r="C316" s="41">
        <v>2.0</v>
      </c>
      <c r="D316" s="41">
        <v>3.0</v>
      </c>
      <c r="E316" s="42" t="str">
        <f t="shared" si="1"/>
        <v>40.0%</v>
      </c>
    </row>
    <row r="317">
      <c r="A317" s="40" t="s">
        <v>379</v>
      </c>
      <c r="B317" s="40" t="s">
        <v>8626</v>
      </c>
      <c r="C317" s="41">
        <v>2.0</v>
      </c>
      <c r="D317" s="41">
        <v>3.0</v>
      </c>
      <c r="E317" s="42" t="str">
        <f t="shared" si="1"/>
        <v>40.0%</v>
      </c>
    </row>
    <row r="318">
      <c r="A318" s="40" t="s">
        <v>379</v>
      </c>
      <c r="B318" s="40" t="s">
        <v>8695</v>
      </c>
      <c r="C318" s="41">
        <v>2.0</v>
      </c>
      <c r="D318" s="41">
        <v>3.0</v>
      </c>
      <c r="E318" s="42" t="str">
        <f t="shared" si="1"/>
        <v>40.0%</v>
      </c>
    </row>
    <row r="319">
      <c r="A319" s="40" t="s">
        <v>379</v>
      </c>
      <c r="B319" s="40" t="s">
        <v>8696</v>
      </c>
      <c r="C319" s="41">
        <v>2.0</v>
      </c>
      <c r="D319" s="41">
        <v>4.0</v>
      </c>
      <c r="E319" s="42" t="str">
        <f t="shared" si="1"/>
        <v>33.3%</v>
      </c>
    </row>
    <row r="320">
      <c r="A320" s="40" t="s">
        <v>379</v>
      </c>
      <c r="B320" s="40" t="s">
        <v>8557</v>
      </c>
      <c r="C320" s="41">
        <v>2.0</v>
      </c>
      <c r="D320" s="41">
        <v>4.0</v>
      </c>
      <c r="E320" s="42" t="str">
        <f t="shared" si="1"/>
        <v>33.3%</v>
      </c>
    </row>
    <row r="321">
      <c r="A321" s="40" t="s">
        <v>379</v>
      </c>
      <c r="B321" s="40" t="s">
        <v>8605</v>
      </c>
      <c r="C321" s="41">
        <v>2.0</v>
      </c>
      <c r="D321" s="41">
        <v>5.0</v>
      </c>
      <c r="E321" s="42" t="str">
        <f t="shared" si="1"/>
        <v>28.6%</v>
      </c>
    </row>
    <row r="322">
      <c r="A322" s="40" t="s">
        <v>379</v>
      </c>
      <c r="B322" s="40" t="s">
        <v>8697</v>
      </c>
      <c r="C322" s="41">
        <v>2.0</v>
      </c>
      <c r="D322" s="41">
        <v>5.0</v>
      </c>
      <c r="E322" s="42" t="str">
        <f t="shared" si="1"/>
        <v>28.6%</v>
      </c>
    </row>
    <row r="323">
      <c r="A323" s="40" t="s">
        <v>379</v>
      </c>
      <c r="B323" s="40" t="s">
        <v>8698</v>
      </c>
      <c r="C323" s="41">
        <v>2.0</v>
      </c>
      <c r="D323" s="41">
        <v>5.0</v>
      </c>
      <c r="E323" s="42" t="str">
        <f t="shared" si="1"/>
        <v>28.6%</v>
      </c>
    </row>
    <row r="324">
      <c r="A324" s="40" t="s">
        <v>379</v>
      </c>
      <c r="B324" s="40" t="s">
        <v>8531</v>
      </c>
      <c r="C324" s="41">
        <v>2.0</v>
      </c>
      <c r="D324" s="41">
        <v>5.0</v>
      </c>
      <c r="E324" s="42" t="str">
        <f t="shared" si="1"/>
        <v>28.6%</v>
      </c>
    </row>
    <row r="325">
      <c r="A325" s="40" t="s">
        <v>379</v>
      </c>
      <c r="B325" s="40" t="s">
        <v>8699</v>
      </c>
      <c r="C325" s="41">
        <v>2.0</v>
      </c>
      <c r="D325" s="41">
        <v>5.0</v>
      </c>
      <c r="E325" s="42" t="str">
        <f t="shared" si="1"/>
        <v>28.6%</v>
      </c>
    </row>
    <row r="326">
      <c r="A326" s="40" t="s">
        <v>379</v>
      </c>
      <c r="B326" s="40" t="s">
        <v>8700</v>
      </c>
      <c r="C326" s="41">
        <v>2.0</v>
      </c>
      <c r="D326" s="41">
        <v>6.0</v>
      </c>
      <c r="E326" s="42" t="str">
        <f t="shared" si="1"/>
        <v>25.0%</v>
      </c>
    </row>
    <row r="327">
      <c r="A327" s="40" t="s">
        <v>379</v>
      </c>
      <c r="B327" s="40" t="s">
        <v>8701</v>
      </c>
      <c r="C327" s="41">
        <v>2.0</v>
      </c>
      <c r="D327" s="41">
        <v>7.0</v>
      </c>
      <c r="E327" s="42" t="str">
        <f t="shared" si="1"/>
        <v>22.2%</v>
      </c>
    </row>
    <row r="328">
      <c r="A328" s="40" t="s">
        <v>379</v>
      </c>
      <c r="B328" s="40" t="s">
        <v>8702</v>
      </c>
      <c r="C328" s="41">
        <v>2.0</v>
      </c>
      <c r="D328" s="41">
        <v>11.0</v>
      </c>
      <c r="E328" s="42" t="str">
        <f t="shared" si="1"/>
        <v>15.4%</v>
      </c>
    </row>
    <row r="329">
      <c r="A329" s="40" t="s">
        <v>379</v>
      </c>
      <c r="B329" s="40" t="s">
        <v>8703</v>
      </c>
      <c r="C329" s="41">
        <v>1.0</v>
      </c>
      <c r="D329" s="41">
        <v>0.0</v>
      </c>
      <c r="E329" s="42" t="str">
        <f t="shared" si="1"/>
        <v>100.0%</v>
      </c>
    </row>
    <row r="330">
      <c r="A330" s="40" t="s">
        <v>379</v>
      </c>
      <c r="B330" s="40" t="s">
        <v>8704</v>
      </c>
      <c r="C330" s="41">
        <v>1.0</v>
      </c>
      <c r="D330" s="41">
        <v>0.0</v>
      </c>
      <c r="E330" s="42" t="str">
        <f t="shared" si="1"/>
        <v>100.0%</v>
      </c>
    </row>
    <row r="331">
      <c r="A331" s="40" t="s">
        <v>379</v>
      </c>
      <c r="B331" s="40" t="s">
        <v>8705</v>
      </c>
      <c r="C331" s="41">
        <v>1.0</v>
      </c>
      <c r="D331" s="41">
        <v>0.0</v>
      </c>
      <c r="E331" s="42" t="str">
        <f t="shared" si="1"/>
        <v>100.0%</v>
      </c>
    </row>
    <row r="332">
      <c r="A332" s="40" t="s">
        <v>379</v>
      </c>
      <c r="B332" s="40" t="s">
        <v>8706</v>
      </c>
      <c r="C332" s="41">
        <v>1.0</v>
      </c>
      <c r="D332" s="41">
        <v>0.0</v>
      </c>
      <c r="E332" s="42" t="str">
        <f t="shared" si="1"/>
        <v>100.0%</v>
      </c>
    </row>
    <row r="333">
      <c r="A333" s="40" t="s">
        <v>379</v>
      </c>
      <c r="B333" s="40" t="s">
        <v>8609</v>
      </c>
      <c r="C333" s="41">
        <v>1.0</v>
      </c>
      <c r="D333" s="41">
        <v>0.0</v>
      </c>
      <c r="E333" s="42" t="str">
        <f t="shared" si="1"/>
        <v>100.0%</v>
      </c>
    </row>
    <row r="334">
      <c r="A334" s="40" t="s">
        <v>379</v>
      </c>
      <c r="B334" s="40" t="s">
        <v>8707</v>
      </c>
      <c r="C334" s="41">
        <v>1.0</v>
      </c>
      <c r="D334" s="41">
        <v>0.0</v>
      </c>
      <c r="E334" s="42" t="str">
        <f t="shared" si="1"/>
        <v>100.0%</v>
      </c>
    </row>
    <row r="335">
      <c r="A335" s="40" t="s">
        <v>379</v>
      </c>
      <c r="B335" s="40" t="s">
        <v>8708</v>
      </c>
      <c r="C335" s="41">
        <v>1.0</v>
      </c>
      <c r="D335" s="41">
        <v>0.0</v>
      </c>
      <c r="E335" s="42" t="str">
        <f t="shared" si="1"/>
        <v>100.0%</v>
      </c>
    </row>
    <row r="336">
      <c r="A336" s="40" t="s">
        <v>379</v>
      </c>
      <c r="B336" s="40" t="s">
        <v>8709</v>
      </c>
      <c r="C336" s="41">
        <v>1.0</v>
      </c>
      <c r="D336" s="41">
        <v>0.0</v>
      </c>
      <c r="E336" s="42" t="str">
        <f t="shared" si="1"/>
        <v>100.0%</v>
      </c>
    </row>
    <row r="337">
      <c r="A337" s="40" t="s">
        <v>379</v>
      </c>
      <c r="B337" s="40" t="s">
        <v>8710</v>
      </c>
      <c r="C337" s="41">
        <v>1.0</v>
      </c>
      <c r="D337" s="41">
        <v>0.0</v>
      </c>
      <c r="E337" s="42" t="str">
        <f t="shared" si="1"/>
        <v>100.0%</v>
      </c>
    </row>
    <row r="338">
      <c r="A338" s="40" t="s">
        <v>379</v>
      </c>
      <c r="B338" s="40" t="s">
        <v>8711</v>
      </c>
      <c r="C338" s="41">
        <v>1.0</v>
      </c>
      <c r="D338" s="41">
        <v>0.0</v>
      </c>
      <c r="E338" s="42" t="str">
        <f t="shared" si="1"/>
        <v>100.0%</v>
      </c>
    </row>
    <row r="339">
      <c r="A339" s="40" t="s">
        <v>379</v>
      </c>
      <c r="B339" s="40" t="s">
        <v>8712</v>
      </c>
      <c r="C339" s="41">
        <v>1.0</v>
      </c>
      <c r="D339" s="41">
        <v>0.0</v>
      </c>
      <c r="E339" s="42" t="str">
        <f t="shared" si="1"/>
        <v>100.0%</v>
      </c>
    </row>
    <row r="340">
      <c r="A340" s="40" t="s">
        <v>379</v>
      </c>
      <c r="B340" s="40" t="s">
        <v>8713</v>
      </c>
      <c r="C340" s="41">
        <v>1.0</v>
      </c>
      <c r="D340" s="41">
        <v>0.0</v>
      </c>
      <c r="E340" s="42" t="str">
        <f t="shared" si="1"/>
        <v>100.0%</v>
      </c>
    </row>
    <row r="341">
      <c r="A341" s="40" t="s">
        <v>379</v>
      </c>
      <c r="B341" s="40" t="s">
        <v>8714</v>
      </c>
      <c r="C341" s="41">
        <v>1.0</v>
      </c>
      <c r="D341" s="41">
        <v>0.0</v>
      </c>
      <c r="E341" s="42" t="str">
        <f t="shared" si="1"/>
        <v>100.0%</v>
      </c>
    </row>
    <row r="342">
      <c r="A342" s="40" t="s">
        <v>379</v>
      </c>
      <c r="B342" s="40" t="s">
        <v>8715</v>
      </c>
      <c r="C342" s="41">
        <v>1.0</v>
      </c>
      <c r="D342" s="41">
        <v>0.0</v>
      </c>
      <c r="E342" s="42" t="str">
        <f t="shared" si="1"/>
        <v>100.0%</v>
      </c>
    </row>
    <row r="343">
      <c r="A343" s="40" t="s">
        <v>379</v>
      </c>
      <c r="B343" s="40" t="s">
        <v>8716</v>
      </c>
      <c r="C343" s="41">
        <v>1.0</v>
      </c>
      <c r="D343" s="41">
        <v>0.0</v>
      </c>
      <c r="E343" s="42" t="str">
        <f t="shared" si="1"/>
        <v>100.0%</v>
      </c>
    </row>
    <row r="344">
      <c r="A344" s="40" t="s">
        <v>379</v>
      </c>
      <c r="B344" s="40" t="s">
        <v>8717</v>
      </c>
      <c r="C344" s="41">
        <v>1.0</v>
      </c>
      <c r="D344" s="41">
        <v>1.0</v>
      </c>
      <c r="E344" s="42" t="str">
        <f t="shared" si="1"/>
        <v>50.0%</v>
      </c>
    </row>
    <row r="345">
      <c r="A345" s="40" t="s">
        <v>379</v>
      </c>
      <c r="B345" s="40" t="s">
        <v>8718</v>
      </c>
      <c r="C345" s="41">
        <v>1.0</v>
      </c>
      <c r="D345" s="41">
        <v>1.0</v>
      </c>
      <c r="E345" s="42" t="str">
        <f t="shared" si="1"/>
        <v>50.0%</v>
      </c>
    </row>
    <row r="346">
      <c r="A346" s="40" t="s">
        <v>379</v>
      </c>
      <c r="B346" s="40" t="s">
        <v>8719</v>
      </c>
      <c r="C346" s="41">
        <v>1.0</v>
      </c>
      <c r="D346" s="41">
        <v>1.0</v>
      </c>
      <c r="E346" s="42" t="str">
        <f t="shared" si="1"/>
        <v>50.0%</v>
      </c>
    </row>
    <row r="347">
      <c r="A347" s="40" t="s">
        <v>379</v>
      </c>
      <c r="B347" s="40" t="s">
        <v>8720</v>
      </c>
      <c r="C347" s="41">
        <v>1.0</v>
      </c>
      <c r="D347" s="41">
        <v>1.0</v>
      </c>
      <c r="E347" s="42" t="str">
        <f t="shared" si="1"/>
        <v>50.0%</v>
      </c>
    </row>
    <row r="348">
      <c r="A348" s="40" t="s">
        <v>379</v>
      </c>
      <c r="B348" s="40" t="s">
        <v>8721</v>
      </c>
      <c r="C348" s="41">
        <v>1.0</v>
      </c>
      <c r="D348" s="41">
        <v>1.0</v>
      </c>
      <c r="E348" s="42" t="str">
        <f t="shared" si="1"/>
        <v>50.0%</v>
      </c>
    </row>
    <row r="349">
      <c r="A349" s="40" t="s">
        <v>379</v>
      </c>
      <c r="B349" s="40" t="s">
        <v>8722</v>
      </c>
      <c r="C349" s="41">
        <v>1.0</v>
      </c>
      <c r="D349" s="41">
        <v>1.0</v>
      </c>
      <c r="E349" s="42" t="str">
        <f t="shared" si="1"/>
        <v>50.0%</v>
      </c>
    </row>
    <row r="350">
      <c r="A350" s="40" t="s">
        <v>379</v>
      </c>
      <c r="B350" s="40" t="s">
        <v>8723</v>
      </c>
      <c r="C350" s="41">
        <v>1.0</v>
      </c>
      <c r="D350" s="41">
        <v>1.0</v>
      </c>
      <c r="E350" s="42" t="str">
        <f t="shared" si="1"/>
        <v>50.0%</v>
      </c>
    </row>
    <row r="351">
      <c r="A351" s="40" t="s">
        <v>379</v>
      </c>
      <c r="B351" s="40" t="s">
        <v>8724</v>
      </c>
      <c r="C351" s="41">
        <v>1.0</v>
      </c>
      <c r="D351" s="41">
        <v>1.0</v>
      </c>
      <c r="E351" s="42" t="str">
        <f t="shared" si="1"/>
        <v>50.0%</v>
      </c>
    </row>
    <row r="352">
      <c r="A352" s="40" t="s">
        <v>379</v>
      </c>
      <c r="B352" s="40" t="s">
        <v>8725</v>
      </c>
      <c r="C352" s="41">
        <v>1.0</v>
      </c>
      <c r="D352" s="41">
        <v>1.0</v>
      </c>
      <c r="E352" s="42" t="str">
        <f t="shared" si="1"/>
        <v>50.0%</v>
      </c>
    </row>
    <row r="353">
      <c r="A353" s="40" t="s">
        <v>379</v>
      </c>
      <c r="B353" s="40" t="s">
        <v>8726</v>
      </c>
      <c r="C353" s="41">
        <v>1.0</v>
      </c>
      <c r="D353" s="41">
        <v>1.0</v>
      </c>
      <c r="E353" s="42" t="str">
        <f t="shared" si="1"/>
        <v>50.0%</v>
      </c>
    </row>
    <row r="354">
      <c r="A354" s="40" t="s">
        <v>379</v>
      </c>
      <c r="B354" s="40" t="s">
        <v>8727</v>
      </c>
      <c r="C354" s="41">
        <v>1.0</v>
      </c>
      <c r="D354" s="41">
        <v>1.0</v>
      </c>
      <c r="E354" s="42" t="str">
        <f t="shared" si="1"/>
        <v>50.0%</v>
      </c>
    </row>
    <row r="355">
      <c r="A355" s="40" t="s">
        <v>379</v>
      </c>
      <c r="B355" s="40" t="s">
        <v>8728</v>
      </c>
      <c r="C355" s="41">
        <v>1.0</v>
      </c>
      <c r="D355" s="41">
        <v>2.0</v>
      </c>
      <c r="E355" s="42" t="str">
        <f t="shared" si="1"/>
        <v>33.3%</v>
      </c>
    </row>
    <row r="356">
      <c r="A356" s="40" t="s">
        <v>379</v>
      </c>
      <c r="B356" s="40" t="s">
        <v>8729</v>
      </c>
      <c r="C356" s="41">
        <v>1.0</v>
      </c>
      <c r="D356" s="41">
        <v>2.0</v>
      </c>
      <c r="E356" s="42" t="str">
        <f t="shared" si="1"/>
        <v>33.3%</v>
      </c>
    </row>
    <row r="357">
      <c r="A357" s="40" t="s">
        <v>379</v>
      </c>
      <c r="B357" s="40" t="s">
        <v>8730</v>
      </c>
      <c r="C357" s="41">
        <v>1.0</v>
      </c>
      <c r="D357" s="41">
        <v>2.0</v>
      </c>
      <c r="E357" s="42" t="str">
        <f t="shared" si="1"/>
        <v>33.3%</v>
      </c>
    </row>
    <row r="358">
      <c r="A358" s="40" t="s">
        <v>379</v>
      </c>
      <c r="B358" s="40" t="s">
        <v>8536</v>
      </c>
      <c r="C358" s="41">
        <v>1.0</v>
      </c>
      <c r="D358" s="41">
        <v>2.0</v>
      </c>
      <c r="E358" s="42" t="str">
        <f t="shared" si="1"/>
        <v>33.3%</v>
      </c>
    </row>
    <row r="359">
      <c r="A359" s="40" t="s">
        <v>379</v>
      </c>
      <c r="B359" s="40" t="s">
        <v>8731</v>
      </c>
      <c r="C359" s="41">
        <v>1.0</v>
      </c>
      <c r="D359" s="41">
        <v>2.0</v>
      </c>
      <c r="E359" s="42" t="str">
        <f t="shared" si="1"/>
        <v>33.3%</v>
      </c>
    </row>
    <row r="360">
      <c r="A360" s="40" t="s">
        <v>379</v>
      </c>
      <c r="B360" s="40" t="s">
        <v>8732</v>
      </c>
      <c r="C360" s="41">
        <v>1.0</v>
      </c>
      <c r="D360" s="41">
        <v>2.0</v>
      </c>
      <c r="E360" s="42" t="str">
        <f t="shared" si="1"/>
        <v>33.3%</v>
      </c>
    </row>
    <row r="361">
      <c r="A361" s="40" t="s">
        <v>379</v>
      </c>
      <c r="B361" s="40" t="s">
        <v>8733</v>
      </c>
      <c r="C361" s="41">
        <v>1.0</v>
      </c>
      <c r="D361" s="41">
        <v>2.0</v>
      </c>
      <c r="E361" s="42" t="str">
        <f t="shared" si="1"/>
        <v>33.3%</v>
      </c>
    </row>
    <row r="362">
      <c r="A362" s="40" t="s">
        <v>379</v>
      </c>
      <c r="B362" s="40" t="s">
        <v>8734</v>
      </c>
      <c r="C362" s="41">
        <v>1.0</v>
      </c>
      <c r="D362" s="41">
        <v>2.0</v>
      </c>
      <c r="E362" s="42" t="str">
        <f t="shared" si="1"/>
        <v>33.3%</v>
      </c>
    </row>
    <row r="363">
      <c r="A363" s="40" t="s">
        <v>379</v>
      </c>
      <c r="B363" s="40" t="s">
        <v>8735</v>
      </c>
      <c r="C363" s="41">
        <v>1.0</v>
      </c>
      <c r="D363" s="41">
        <v>2.0</v>
      </c>
      <c r="E363" s="42" t="str">
        <f t="shared" si="1"/>
        <v>33.3%</v>
      </c>
    </row>
    <row r="364">
      <c r="A364" s="40" t="s">
        <v>379</v>
      </c>
      <c r="B364" s="40" t="s">
        <v>8600</v>
      </c>
      <c r="C364" s="41">
        <v>1.0</v>
      </c>
      <c r="D364" s="41">
        <v>3.0</v>
      </c>
      <c r="E364" s="42" t="str">
        <f t="shared" si="1"/>
        <v>25.0%</v>
      </c>
    </row>
    <row r="365">
      <c r="A365" s="40" t="s">
        <v>379</v>
      </c>
      <c r="B365" s="40" t="s">
        <v>8606</v>
      </c>
      <c r="C365" s="41">
        <v>1.0</v>
      </c>
      <c r="D365" s="41">
        <v>3.0</v>
      </c>
      <c r="E365" s="42" t="str">
        <f t="shared" si="1"/>
        <v>25.0%</v>
      </c>
    </row>
    <row r="366">
      <c r="A366" s="40" t="s">
        <v>379</v>
      </c>
      <c r="B366" s="40" t="s">
        <v>8736</v>
      </c>
      <c r="C366" s="41">
        <v>1.0</v>
      </c>
      <c r="D366" s="41">
        <v>3.0</v>
      </c>
      <c r="E366" s="42" t="str">
        <f t="shared" si="1"/>
        <v>25.0%</v>
      </c>
    </row>
    <row r="367">
      <c r="A367" s="40" t="s">
        <v>379</v>
      </c>
      <c r="B367" s="40" t="s">
        <v>8499</v>
      </c>
      <c r="C367" s="41">
        <v>1.0</v>
      </c>
      <c r="D367" s="41">
        <v>3.0</v>
      </c>
      <c r="E367" s="42" t="str">
        <f t="shared" si="1"/>
        <v>25.0%</v>
      </c>
    </row>
    <row r="368">
      <c r="A368" s="40" t="s">
        <v>379</v>
      </c>
      <c r="B368" s="40" t="s">
        <v>8737</v>
      </c>
      <c r="C368" s="41">
        <v>1.0</v>
      </c>
      <c r="D368" s="41">
        <v>3.0</v>
      </c>
      <c r="E368" s="42" t="str">
        <f t="shared" si="1"/>
        <v>25.0%</v>
      </c>
    </row>
    <row r="369">
      <c r="A369" s="40" t="s">
        <v>379</v>
      </c>
      <c r="B369" s="40" t="s">
        <v>8738</v>
      </c>
      <c r="C369" s="41">
        <v>1.0</v>
      </c>
      <c r="D369" s="41">
        <v>3.0</v>
      </c>
      <c r="E369" s="42" t="str">
        <f t="shared" si="1"/>
        <v>25.0%</v>
      </c>
    </row>
    <row r="370">
      <c r="A370" s="40" t="s">
        <v>379</v>
      </c>
      <c r="B370" s="40" t="s">
        <v>8739</v>
      </c>
      <c r="C370" s="41">
        <v>1.0</v>
      </c>
      <c r="D370" s="41">
        <v>3.0</v>
      </c>
      <c r="E370" s="42" t="str">
        <f t="shared" si="1"/>
        <v>25.0%</v>
      </c>
    </row>
    <row r="371">
      <c r="A371" s="40" t="s">
        <v>379</v>
      </c>
      <c r="B371" s="40" t="s">
        <v>8740</v>
      </c>
      <c r="C371" s="41">
        <v>1.0</v>
      </c>
      <c r="D371" s="41">
        <v>3.0</v>
      </c>
      <c r="E371" s="42" t="str">
        <f t="shared" si="1"/>
        <v>25.0%</v>
      </c>
    </row>
    <row r="372">
      <c r="A372" s="40" t="s">
        <v>379</v>
      </c>
      <c r="B372" s="40" t="s">
        <v>8741</v>
      </c>
      <c r="C372" s="41">
        <v>1.0</v>
      </c>
      <c r="D372" s="41">
        <v>4.0</v>
      </c>
      <c r="E372" s="42" t="str">
        <f t="shared" si="1"/>
        <v>20.0%</v>
      </c>
    </row>
    <row r="373">
      <c r="A373" s="40" t="s">
        <v>379</v>
      </c>
      <c r="B373" s="40" t="s">
        <v>8742</v>
      </c>
      <c r="C373" s="41">
        <v>1.0</v>
      </c>
      <c r="D373" s="41">
        <v>4.0</v>
      </c>
      <c r="E373" s="42" t="str">
        <f t="shared" si="1"/>
        <v>20.0%</v>
      </c>
    </row>
    <row r="374">
      <c r="A374" s="40" t="s">
        <v>379</v>
      </c>
      <c r="B374" s="40" t="s">
        <v>8743</v>
      </c>
      <c r="C374" s="41">
        <v>1.0</v>
      </c>
      <c r="D374" s="41">
        <v>4.0</v>
      </c>
      <c r="E374" s="42" t="str">
        <f t="shared" si="1"/>
        <v>20.0%</v>
      </c>
    </row>
    <row r="375">
      <c r="A375" s="40" t="s">
        <v>379</v>
      </c>
      <c r="B375" s="40" t="s">
        <v>8744</v>
      </c>
      <c r="C375" s="41">
        <v>1.0</v>
      </c>
      <c r="D375" s="41">
        <v>5.0</v>
      </c>
      <c r="E375" s="42" t="str">
        <f t="shared" si="1"/>
        <v>16.7%</v>
      </c>
    </row>
    <row r="376">
      <c r="A376" s="40" t="s">
        <v>379</v>
      </c>
      <c r="B376" s="40" t="s">
        <v>8745</v>
      </c>
      <c r="C376" s="41">
        <v>1.0</v>
      </c>
      <c r="D376" s="41">
        <v>5.0</v>
      </c>
      <c r="E376" s="42" t="str">
        <f t="shared" si="1"/>
        <v>16.7%</v>
      </c>
    </row>
    <row r="377">
      <c r="A377" s="40" t="s">
        <v>379</v>
      </c>
      <c r="B377" s="40" t="s">
        <v>8746</v>
      </c>
      <c r="C377" s="41">
        <v>1.0</v>
      </c>
      <c r="D377" s="41">
        <v>6.0</v>
      </c>
      <c r="E377" s="42" t="str">
        <f t="shared" si="1"/>
        <v>14.3%</v>
      </c>
    </row>
    <row r="378">
      <c r="A378" s="40" t="s">
        <v>379</v>
      </c>
      <c r="B378" s="40" t="s">
        <v>8747</v>
      </c>
      <c r="C378" s="41">
        <v>1.0</v>
      </c>
      <c r="D378" s="41">
        <v>6.0</v>
      </c>
      <c r="E378" s="42" t="str">
        <f t="shared" si="1"/>
        <v>14.3%</v>
      </c>
    </row>
    <row r="379">
      <c r="A379" s="40" t="s">
        <v>379</v>
      </c>
      <c r="B379" s="40" t="s">
        <v>8748</v>
      </c>
      <c r="C379" s="41">
        <v>1.0</v>
      </c>
      <c r="D379" s="41">
        <v>6.0</v>
      </c>
      <c r="E379" s="42" t="str">
        <f t="shared" si="1"/>
        <v>14.3%</v>
      </c>
    </row>
    <row r="380">
      <c r="A380" s="40" t="s">
        <v>379</v>
      </c>
      <c r="B380" s="40" t="s">
        <v>8749</v>
      </c>
      <c r="C380" s="41">
        <v>1.0</v>
      </c>
      <c r="D380" s="41">
        <v>7.0</v>
      </c>
      <c r="E380" s="42" t="str">
        <f t="shared" si="1"/>
        <v>12.5%</v>
      </c>
    </row>
    <row r="381">
      <c r="A381" s="40" t="s">
        <v>379</v>
      </c>
      <c r="B381" s="40" t="s">
        <v>8750</v>
      </c>
      <c r="C381" s="41">
        <v>0.0</v>
      </c>
      <c r="D381" s="41">
        <v>1.0</v>
      </c>
      <c r="E381" s="42" t="str">
        <f t="shared" si="1"/>
        <v>0.0%</v>
      </c>
    </row>
    <row r="382">
      <c r="A382" s="40" t="s">
        <v>379</v>
      </c>
      <c r="B382" s="40" t="s">
        <v>8751</v>
      </c>
      <c r="C382" s="41">
        <v>0.0</v>
      </c>
      <c r="D382" s="41">
        <v>1.0</v>
      </c>
      <c r="E382" s="42" t="str">
        <f t="shared" si="1"/>
        <v>0.0%</v>
      </c>
    </row>
    <row r="383">
      <c r="A383" s="40" t="s">
        <v>379</v>
      </c>
      <c r="B383" s="40" t="s">
        <v>8752</v>
      </c>
      <c r="C383" s="41">
        <v>0.0</v>
      </c>
      <c r="D383" s="41">
        <v>1.0</v>
      </c>
      <c r="E383" s="42" t="str">
        <f t="shared" si="1"/>
        <v>0.0%</v>
      </c>
    </row>
    <row r="384">
      <c r="A384" s="40" t="s">
        <v>379</v>
      </c>
      <c r="B384" s="40" t="s">
        <v>8753</v>
      </c>
      <c r="C384" s="41">
        <v>0.0</v>
      </c>
      <c r="D384" s="41">
        <v>1.0</v>
      </c>
      <c r="E384" s="42" t="str">
        <f t="shared" si="1"/>
        <v>0.0%</v>
      </c>
    </row>
    <row r="385">
      <c r="A385" s="40" t="s">
        <v>379</v>
      </c>
      <c r="B385" s="40" t="s">
        <v>8754</v>
      </c>
      <c r="C385" s="41">
        <v>0.0</v>
      </c>
      <c r="D385" s="41">
        <v>1.0</v>
      </c>
      <c r="E385" s="42" t="str">
        <f t="shared" si="1"/>
        <v>0.0%</v>
      </c>
    </row>
    <row r="386">
      <c r="A386" s="40" t="s">
        <v>379</v>
      </c>
      <c r="B386" s="40" t="s">
        <v>8755</v>
      </c>
      <c r="C386" s="41">
        <v>0.0</v>
      </c>
      <c r="D386" s="41">
        <v>1.0</v>
      </c>
      <c r="E386" s="42" t="str">
        <f t="shared" si="1"/>
        <v>0.0%</v>
      </c>
    </row>
    <row r="387">
      <c r="A387" s="40" t="s">
        <v>379</v>
      </c>
      <c r="B387" s="40" t="s">
        <v>8756</v>
      </c>
      <c r="C387" s="41">
        <v>0.0</v>
      </c>
      <c r="D387" s="41">
        <v>1.0</v>
      </c>
      <c r="E387" s="42" t="str">
        <f t="shared" si="1"/>
        <v>0.0%</v>
      </c>
    </row>
    <row r="388">
      <c r="A388" s="40" t="s">
        <v>379</v>
      </c>
      <c r="B388" s="40" t="s">
        <v>8564</v>
      </c>
      <c r="C388" s="41">
        <v>0.0</v>
      </c>
      <c r="D388" s="41">
        <v>1.0</v>
      </c>
      <c r="E388" s="42" t="str">
        <f t="shared" si="1"/>
        <v>0.0%</v>
      </c>
    </row>
    <row r="389">
      <c r="A389" s="40" t="s">
        <v>379</v>
      </c>
      <c r="B389" s="40" t="s">
        <v>8586</v>
      </c>
      <c r="C389" s="41">
        <v>0.0</v>
      </c>
      <c r="D389" s="41">
        <v>1.0</v>
      </c>
      <c r="E389" s="42" t="str">
        <f t="shared" si="1"/>
        <v>0.0%</v>
      </c>
    </row>
    <row r="390">
      <c r="A390" s="40" t="s">
        <v>379</v>
      </c>
      <c r="B390" s="40" t="s">
        <v>8757</v>
      </c>
      <c r="C390" s="41">
        <v>0.0</v>
      </c>
      <c r="D390" s="41">
        <v>1.0</v>
      </c>
      <c r="E390" s="42" t="str">
        <f t="shared" si="1"/>
        <v>0.0%</v>
      </c>
    </row>
    <row r="391">
      <c r="A391" s="40" t="s">
        <v>379</v>
      </c>
      <c r="B391" s="40" t="s">
        <v>8758</v>
      </c>
      <c r="C391" s="41">
        <v>0.0</v>
      </c>
      <c r="D391" s="41">
        <v>1.0</v>
      </c>
      <c r="E391" s="42" t="str">
        <f t="shared" si="1"/>
        <v>0.0%</v>
      </c>
    </row>
    <row r="392">
      <c r="A392" s="40" t="s">
        <v>379</v>
      </c>
      <c r="B392" s="40" t="s">
        <v>8759</v>
      </c>
      <c r="C392" s="41">
        <v>0.0</v>
      </c>
      <c r="D392" s="41">
        <v>1.0</v>
      </c>
      <c r="E392" s="42" t="str">
        <f t="shared" si="1"/>
        <v>0.0%</v>
      </c>
    </row>
    <row r="393">
      <c r="A393" s="40" t="s">
        <v>379</v>
      </c>
      <c r="B393" s="40" t="s">
        <v>8760</v>
      </c>
      <c r="C393" s="41">
        <v>0.0</v>
      </c>
      <c r="D393" s="41">
        <v>1.0</v>
      </c>
      <c r="E393" s="42" t="str">
        <f t="shared" si="1"/>
        <v>0.0%</v>
      </c>
    </row>
    <row r="394">
      <c r="A394" s="40" t="s">
        <v>379</v>
      </c>
      <c r="B394" s="40" t="s">
        <v>8761</v>
      </c>
      <c r="C394" s="41">
        <v>0.0</v>
      </c>
      <c r="D394" s="41">
        <v>1.0</v>
      </c>
      <c r="E394" s="42" t="str">
        <f t="shared" si="1"/>
        <v>0.0%</v>
      </c>
    </row>
    <row r="395">
      <c r="A395" s="40" t="s">
        <v>379</v>
      </c>
      <c r="B395" s="40" t="s">
        <v>8762</v>
      </c>
      <c r="C395" s="41">
        <v>0.0</v>
      </c>
      <c r="D395" s="41">
        <v>1.0</v>
      </c>
      <c r="E395" s="42" t="str">
        <f t="shared" si="1"/>
        <v>0.0%</v>
      </c>
    </row>
    <row r="396">
      <c r="A396" s="40" t="s">
        <v>379</v>
      </c>
      <c r="B396" s="40" t="s">
        <v>8763</v>
      </c>
      <c r="C396" s="41">
        <v>0.0</v>
      </c>
      <c r="D396" s="41">
        <v>1.0</v>
      </c>
      <c r="E396" s="42" t="str">
        <f t="shared" si="1"/>
        <v>0.0%</v>
      </c>
    </row>
    <row r="397">
      <c r="A397" s="40" t="s">
        <v>379</v>
      </c>
      <c r="B397" s="40" t="s">
        <v>8764</v>
      </c>
      <c r="C397" s="41">
        <v>0.0</v>
      </c>
      <c r="D397" s="41">
        <v>1.0</v>
      </c>
      <c r="E397" s="42" t="str">
        <f t="shared" si="1"/>
        <v>0.0%</v>
      </c>
    </row>
    <row r="398">
      <c r="A398" s="40" t="s">
        <v>379</v>
      </c>
      <c r="B398" s="40" t="s">
        <v>8765</v>
      </c>
      <c r="C398" s="41">
        <v>0.0</v>
      </c>
      <c r="D398" s="41">
        <v>1.0</v>
      </c>
      <c r="E398" s="42" t="str">
        <f t="shared" si="1"/>
        <v>0.0%</v>
      </c>
    </row>
    <row r="399">
      <c r="A399" s="40" t="s">
        <v>379</v>
      </c>
      <c r="B399" s="40" t="s">
        <v>8766</v>
      </c>
      <c r="C399" s="41">
        <v>0.0</v>
      </c>
      <c r="D399" s="41">
        <v>1.0</v>
      </c>
      <c r="E399" s="42" t="str">
        <f t="shared" si="1"/>
        <v>0.0%</v>
      </c>
    </row>
    <row r="400">
      <c r="A400" s="40" t="s">
        <v>379</v>
      </c>
      <c r="B400" s="40" t="s">
        <v>8767</v>
      </c>
      <c r="C400" s="41">
        <v>0.0</v>
      </c>
      <c r="D400" s="41">
        <v>1.0</v>
      </c>
      <c r="E400" s="42" t="str">
        <f t="shared" si="1"/>
        <v>0.0%</v>
      </c>
    </row>
    <row r="401">
      <c r="A401" s="40" t="s">
        <v>379</v>
      </c>
      <c r="B401" s="40" t="s">
        <v>8768</v>
      </c>
      <c r="C401" s="41">
        <v>0.0</v>
      </c>
      <c r="D401" s="41">
        <v>1.0</v>
      </c>
      <c r="E401" s="42" t="str">
        <f t="shared" si="1"/>
        <v>0.0%</v>
      </c>
    </row>
    <row r="402">
      <c r="A402" s="40" t="s">
        <v>379</v>
      </c>
      <c r="B402" s="40" t="s">
        <v>8769</v>
      </c>
      <c r="C402" s="41">
        <v>0.0</v>
      </c>
      <c r="D402" s="41">
        <v>1.0</v>
      </c>
      <c r="E402" s="42" t="str">
        <f t="shared" si="1"/>
        <v>0.0%</v>
      </c>
    </row>
    <row r="403">
      <c r="A403" s="40" t="s">
        <v>379</v>
      </c>
      <c r="B403" s="40" t="s">
        <v>8770</v>
      </c>
      <c r="C403" s="41">
        <v>0.0</v>
      </c>
      <c r="D403" s="41">
        <v>1.0</v>
      </c>
      <c r="E403" s="42" t="str">
        <f t="shared" si="1"/>
        <v>0.0%</v>
      </c>
    </row>
    <row r="404">
      <c r="A404" s="40" t="s">
        <v>379</v>
      </c>
      <c r="B404" s="40" t="s">
        <v>8771</v>
      </c>
      <c r="C404" s="41">
        <v>0.0</v>
      </c>
      <c r="D404" s="41">
        <v>1.0</v>
      </c>
      <c r="E404" s="42" t="str">
        <f t="shared" si="1"/>
        <v>0.0%</v>
      </c>
    </row>
    <row r="405">
      <c r="A405" s="40" t="s">
        <v>379</v>
      </c>
      <c r="B405" s="40" t="s">
        <v>8772</v>
      </c>
      <c r="C405" s="41">
        <v>0.0</v>
      </c>
      <c r="D405" s="41">
        <v>1.0</v>
      </c>
      <c r="E405" s="42" t="str">
        <f t="shared" si="1"/>
        <v>0.0%</v>
      </c>
    </row>
    <row r="406">
      <c r="A406" s="40" t="s">
        <v>379</v>
      </c>
      <c r="B406" s="40" t="s">
        <v>8773</v>
      </c>
      <c r="C406" s="41">
        <v>0.0</v>
      </c>
      <c r="D406" s="41">
        <v>1.0</v>
      </c>
      <c r="E406" s="42" t="str">
        <f t="shared" si="1"/>
        <v>0.0%</v>
      </c>
    </row>
    <row r="407">
      <c r="A407" s="40" t="s">
        <v>379</v>
      </c>
      <c r="B407" s="40" t="s">
        <v>8774</v>
      </c>
      <c r="C407" s="41">
        <v>0.0</v>
      </c>
      <c r="D407" s="41">
        <v>1.0</v>
      </c>
      <c r="E407" s="42" t="str">
        <f t="shared" si="1"/>
        <v>0.0%</v>
      </c>
    </row>
    <row r="408">
      <c r="A408" s="40" t="s">
        <v>379</v>
      </c>
      <c r="B408" s="40" t="s">
        <v>8775</v>
      </c>
      <c r="C408" s="41">
        <v>0.0</v>
      </c>
      <c r="D408" s="41">
        <v>1.0</v>
      </c>
      <c r="E408" s="42" t="str">
        <f t="shared" si="1"/>
        <v>0.0%</v>
      </c>
    </row>
    <row r="409">
      <c r="A409" s="40" t="s">
        <v>379</v>
      </c>
      <c r="B409" s="40" t="s">
        <v>8776</v>
      </c>
      <c r="C409" s="41">
        <v>0.0</v>
      </c>
      <c r="D409" s="41">
        <v>1.0</v>
      </c>
      <c r="E409" s="42" t="str">
        <f t="shared" si="1"/>
        <v>0.0%</v>
      </c>
    </row>
    <row r="410">
      <c r="A410" s="40" t="s">
        <v>379</v>
      </c>
      <c r="B410" s="40" t="s">
        <v>8777</v>
      </c>
      <c r="C410" s="41">
        <v>0.0</v>
      </c>
      <c r="D410" s="41">
        <v>1.0</v>
      </c>
      <c r="E410" s="42" t="str">
        <f t="shared" si="1"/>
        <v>0.0%</v>
      </c>
    </row>
    <row r="411">
      <c r="A411" s="40" t="s">
        <v>379</v>
      </c>
      <c r="B411" s="40" t="s">
        <v>8778</v>
      </c>
      <c r="C411" s="41">
        <v>0.0</v>
      </c>
      <c r="D411" s="41">
        <v>1.0</v>
      </c>
      <c r="E411" s="42" t="str">
        <f t="shared" si="1"/>
        <v>0.0%</v>
      </c>
    </row>
    <row r="412">
      <c r="A412" s="40" t="s">
        <v>379</v>
      </c>
      <c r="B412" s="40" t="s">
        <v>8779</v>
      </c>
      <c r="C412" s="41">
        <v>0.0</v>
      </c>
      <c r="D412" s="41">
        <v>1.0</v>
      </c>
      <c r="E412" s="42" t="str">
        <f t="shared" si="1"/>
        <v>0.0%</v>
      </c>
    </row>
    <row r="413">
      <c r="A413" s="40" t="s">
        <v>379</v>
      </c>
      <c r="B413" s="40" t="s">
        <v>8780</v>
      </c>
      <c r="C413" s="41">
        <v>0.0</v>
      </c>
      <c r="D413" s="41">
        <v>1.0</v>
      </c>
      <c r="E413" s="42" t="str">
        <f t="shared" si="1"/>
        <v>0.0%</v>
      </c>
    </row>
    <row r="414">
      <c r="A414" s="40" t="s">
        <v>379</v>
      </c>
      <c r="B414" s="40" t="s">
        <v>8781</v>
      </c>
      <c r="C414" s="41">
        <v>0.0</v>
      </c>
      <c r="D414" s="41">
        <v>1.0</v>
      </c>
      <c r="E414" s="42" t="str">
        <f t="shared" si="1"/>
        <v>0.0%</v>
      </c>
    </row>
    <row r="415">
      <c r="A415" s="40" t="s">
        <v>379</v>
      </c>
      <c r="B415" s="40" t="s">
        <v>8782</v>
      </c>
      <c r="C415" s="41">
        <v>0.0</v>
      </c>
      <c r="D415" s="41">
        <v>1.0</v>
      </c>
      <c r="E415" s="42" t="str">
        <f t="shared" si="1"/>
        <v>0.0%</v>
      </c>
    </row>
    <row r="416">
      <c r="A416" s="40" t="s">
        <v>379</v>
      </c>
      <c r="B416" s="40" t="s">
        <v>8783</v>
      </c>
      <c r="C416" s="41">
        <v>0.0</v>
      </c>
      <c r="D416" s="41">
        <v>1.0</v>
      </c>
      <c r="E416" s="42" t="str">
        <f t="shared" si="1"/>
        <v>0.0%</v>
      </c>
    </row>
    <row r="417">
      <c r="A417" s="40" t="s">
        <v>379</v>
      </c>
      <c r="B417" s="40" t="s">
        <v>8629</v>
      </c>
      <c r="C417" s="41">
        <v>0.0</v>
      </c>
      <c r="D417" s="41">
        <v>2.0</v>
      </c>
      <c r="E417" s="42" t="str">
        <f t="shared" si="1"/>
        <v>0.0%</v>
      </c>
    </row>
    <row r="418">
      <c r="A418" s="40" t="s">
        <v>379</v>
      </c>
      <c r="B418" s="40" t="s">
        <v>8784</v>
      </c>
      <c r="C418" s="41">
        <v>0.0</v>
      </c>
      <c r="D418" s="41">
        <v>2.0</v>
      </c>
      <c r="E418" s="42" t="str">
        <f t="shared" si="1"/>
        <v>0.0%</v>
      </c>
    </row>
    <row r="419">
      <c r="A419" s="40" t="s">
        <v>379</v>
      </c>
      <c r="B419" s="40" t="s">
        <v>8785</v>
      </c>
      <c r="C419" s="41">
        <v>0.0</v>
      </c>
      <c r="D419" s="41">
        <v>2.0</v>
      </c>
      <c r="E419" s="42" t="str">
        <f t="shared" si="1"/>
        <v>0.0%</v>
      </c>
    </row>
    <row r="420">
      <c r="A420" s="40" t="s">
        <v>379</v>
      </c>
      <c r="B420" s="40" t="s">
        <v>8786</v>
      </c>
      <c r="C420" s="41">
        <v>0.0</v>
      </c>
      <c r="D420" s="41">
        <v>2.0</v>
      </c>
      <c r="E420" s="42" t="str">
        <f t="shared" si="1"/>
        <v>0.0%</v>
      </c>
    </row>
    <row r="421">
      <c r="A421" s="40" t="s">
        <v>379</v>
      </c>
      <c r="B421" s="40" t="s">
        <v>8787</v>
      </c>
      <c r="C421" s="41">
        <v>0.0</v>
      </c>
      <c r="D421" s="41">
        <v>2.0</v>
      </c>
      <c r="E421" s="42" t="str">
        <f t="shared" si="1"/>
        <v>0.0%</v>
      </c>
    </row>
    <row r="422">
      <c r="A422" s="40" t="s">
        <v>379</v>
      </c>
      <c r="B422" s="40" t="s">
        <v>8788</v>
      </c>
      <c r="C422" s="41">
        <v>0.0</v>
      </c>
      <c r="D422" s="41">
        <v>2.0</v>
      </c>
      <c r="E422" s="42" t="str">
        <f t="shared" si="1"/>
        <v>0.0%</v>
      </c>
    </row>
    <row r="423">
      <c r="A423" s="40" t="s">
        <v>379</v>
      </c>
      <c r="B423" s="40" t="s">
        <v>8624</v>
      </c>
      <c r="C423" s="41">
        <v>0.0</v>
      </c>
      <c r="D423" s="41">
        <v>2.0</v>
      </c>
      <c r="E423" s="42" t="str">
        <f t="shared" si="1"/>
        <v>0.0%</v>
      </c>
    </row>
    <row r="424">
      <c r="A424" s="40" t="s">
        <v>379</v>
      </c>
      <c r="B424" s="40" t="s">
        <v>8789</v>
      </c>
      <c r="C424" s="41">
        <v>0.0</v>
      </c>
      <c r="D424" s="41">
        <v>2.0</v>
      </c>
      <c r="E424" s="42" t="str">
        <f t="shared" si="1"/>
        <v>0.0%</v>
      </c>
    </row>
    <row r="425">
      <c r="A425" s="40" t="s">
        <v>379</v>
      </c>
      <c r="B425" s="40" t="s">
        <v>8790</v>
      </c>
      <c r="C425" s="41">
        <v>0.0</v>
      </c>
      <c r="D425" s="41">
        <v>2.0</v>
      </c>
      <c r="E425" s="42" t="str">
        <f t="shared" si="1"/>
        <v>0.0%</v>
      </c>
    </row>
    <row r="426">
      <c r="A426" s="40" t="s">
        <v>379</v>
      </c>
      <c r="B426" s="40" t="s">
        <v>8791</v>
      </c>
      <c r="C426" s="41">
        <v>0.0</v>
      </c>
      <c r="D426" s="41">
        <v>2.0</v>
      </c>
      <c r="E426" s="42" t="str">
        <f t="shared" si="1"/>
        <v>0.0%</v>
      </c>
    </row>
    <row r="427">
      <c r="A427" s="40" t="s">
        <v>379</v>
      </c>
      <c r="B427" s="40" t="s">
        <v>8792</v>
      </c>
      <c r="C427" s="41">
        <v>0.0</v>
      </c>
      <c r="D427" s="41">
        <v>2.0</v>
      </c>
      <c r="E427" s="42" t="str">
        <f t="shared" si="1"/>
        <v>0.0%</v>
      </c>
    </row>
    <row r="428">
      <c r="A428" s="40" t="s">
        <v>379</v>
      </c>
      <c r="B428" s="40" t="s">
        <v>8793</v>
      </c>
      <c r="C428" s="41">
        <v>0.0</v>
      </c>
      <c r="D428" s="41">
        <v>2.0</v>
      </c>
      <c r="E428" s="42" t="str">
        <f t="shared" si="1"/>
        <v>0.0%</v>
      </c>
    </row>
    <row r="429">
      <c r="A429" s="40" t="s">
        <v>379</v>
      </c>
      <c r="B429" s="40" t="s">
        <v>8794</v>
      </c>
      <c r="C429" s="41">
        <v>0.0</v>
      </c>
      <c r="D429" s="41">
        <v>2.0</v>
      </c>
      <c r="E429" s="42" t="str">
        <f t="shared" si="1"/>
        <v>0.0%</v>
      </c>
    </row>
    <row r="430">
      <c r="A430" s="40" t="s">
        <v>379</v>
      </c>
      <c r="B430" s="40" t="s">
        <v>8795</v>
      </c>
      <c r="C430" s="41">
        <v>0.0</v>
      </c>
      <c r="D430" s="41">
        <v>2.0</v>
      </c>
      <c r="E430" s="42" t="str">
        <f t="shared" si="1"/>
        <v>0.0%</v>
      </c>
    </row>
    <row r="431">
      <c r="A431" s="40" t="s">
        <v>379</v>
      </c>
      <c r="B431" s="40" t="s">
        <v>8796</v>
      </c>
      <c r="C431" s="41">
        <v>0.0</v>
      </c>
      <c r="D431" s="41">
        <v>2.0</v>
      </c>
      <c r="E431" s="42" t="str">
        <f t="shared" si="1"/>
        <v>0.0%</v>
      </c>
    </row>
    <row r="432">
      <c r="A432" s="40" t="s">
        <v>379</v>
      </c>
      <c r="B432" s="40" t="s">
        <v>8797</v>
      </c>
      <c r="C432" s="41">
        <v>0.0</v>
      </c>
      <c r="D432" s="41">
        <v>2.0</v>
      </c>
      <c r="E432" s="42" t="str">
        <f t="shared" si="1"/>
        <v>0.0%</v>
      </c>
    </row>
    <row r="433">
      <c r="A433" s="40" t="s">
        <v>379</v>
      </c>
      <c r="B433" s="40" t="s">
        <v>8798</v>
      </c>
      <c r="C433" s="41">
        <v>0.0</v>
      </c>
      <c r="D433" s="41">
        <v>2.0</v>
      </c>
      <c r="E433" s="42" t="str">
        <f t="shared" si="1"/>
        <v>0.0%</v>
      </c>
    </row>
    <row r="434">
      <c r="A434" s="40" t="s">
        <v>379</v>
      </c>
      <c r="B434" s="40" t="s">
        <v>8799</v>
      </c>
      <c r="C434" s="41">
        <v>0.0</v>
      </c>
      <c r="D434" s="41">
        <v>2.0</v>
      </c>
      <c r="E434" s="42" t="str">
        <f t="shared" si="1"/>
        <v>0.0%</v>
      </c>
    </row>
    <row r="435">
      <c r="A435" s="40" t="s">
        <v>379</v>
      </c>
      <c r="B435" s="40" t="s">
        <v>8800</v>
      </c>
      <c r="C435" s="41">
        <v>0.0</v>
      </c>
      <c r="D435" s="41">
        <v>2.0</v>
      </c>
      <c r="E435" s="42" t="str">
        <f t="shared" si="1"/>
        <v>0.0%</v>
      </c>
    </row>
    <row r="436">
      <c r="A436" s="40" t="s">
        <v>379</v>
      </c>
      <c r="B436" s="40" t="s">
        <v>8801</v>
      </c>
      <c r="C436" s="41">
        <v>0.0</v>
      </c>
      <c r="D436" s="41">
        <v>2.0</v>
      </c>
      <c r="E436" s="42" t="str">
        <f t="shared" si="1"/>
        <v>0.0%</v>
      </c>
    </row>
    <row r="437">
      <c r="A437" s="40" t="s">
        <v>379</v>
      </c>
      <c r="B437" s="40" t="s">
        <v>8802</v>
      </c>
      <c r="C437" s="41">
        <v>0.0</v>
      </c>
      <c r="D437" s="41">
        <v>2.0</v>
      </c>
      <c r="E437" s="42" t="str">
        <f t="shared" si="1"/>
        <v>0.0%</v>
      </c>
    </row>
    <row r="438">
      <c r="A438" s="40" t="s">
        <v>379</v>
      </c>
      <c r="B438" s="40" t="s">
        <v>8803</v>
      </c>
      <c r="C438" s="41">
        <v>0.0</v>
      </c>
      <c r="D438" s="41">
        <v>2.0</v>
      </c>
      <c r="E438" s="42" t="str">
        <f t="shared" si="1"/>
        <v>0.0%</v>
      </c>
    </row>
    <row r="439">
      <c r="A439" s="40" t="s">
        <v>379</v>
      </c>
      <c r="B439" s="40" t="s">
        <v>8804</v>
      </c>
      <c r="C439" s="41">
        <v>0.0</v>
      </c>
      <c r="D439" s="41">
        <v>3.0</v>
      </c>
      <c r="E439" s="42" t="str">
        <f t="shared" si="1"/>
        <v>0.0%</v>
      </c>
    </row>
    <row r="440">
      <c r="A440" s="40" t="s">
        <v>379</v>
      </c>
      <c r="B440" s="40" t="s">
        <v>8587</v>
      </c>
      <c r="C440" s="41">
        <v>0.0</v>
      </c>
      <c r="D440" s="41">
        <v>3.0</v>
      </c>
      <c r="E440" s="42" t="str">
        <f t="shared" si="1"/>
        <v>0.0%</v>
      </c>
    </row>
    <row r="441">
      <c r="A441" s="40" t="s">
        <v>379</v>
      </c>
      <c r="B441" s="40" t="s">
        <v>8805</v>
      </c>
      <c r="C441" s="41">
        <v>0.0</v>
      </c>
      <c r="D441" s="41">
        <v>3.0</v>
      </c>
      <c r="E441" s="42" t="str">
        <f t="shared" si="1"/>
        <v>0.0%</v>
      </c>
    </row>
    <row r="442">
      <c r="A442" s="40" t="s">
        <v>379</v>
      </c>
      <c r="B442" s="40" t="s">
        <v>8806</v>
      </c>
      <c r="C442" s="41">
        <v>0.0</v>
      </c>
      <c r="D442" s="41">
        <v>3.0</v>
      </c>
      <c r="E442" s="42" t="str">
        <f t="shared" si="1"/>
        <v>0.0%</v>
      </c>
    </row>
    <row r="443">
      <c r="A443" s="40" t="s">
        <v>379</v>
      </c>
      <c r="B443" s="40" t="s">
        <v>8807</v>
      </c>
      <c r="C443" s="41">
        <v>0.0</v>
      </c>
      <c r="D443" s="41">
        <v>3.0</v>
      </c>
      <c r="E443" s="42" t="str">
        <f t="shared" si="1"/>
        <v>0.0%</v>
      </c>
    </row>
    <row r="444">
      <c r="A444" s="40" t="s">
        <v>379</v>
      </c>
      <c r="B444" s="40" t="s">
        <v>8808</v>
      </c>
      <c r="C444" s="41">
        <v>0.0</v>
      </c>
      <c r="D444" s="41">
        <v>3.0</v>
      </c>
      <c r="E444" s="42" t="str">
        <f t="shared" si="1"/>
        <v>0.0%</v>
      </c>
    </row>
    <row r="445">
      <c r="A445" s="40" t="s">
        <v>379</v>
      </c>
      <c r="B445" s="40" t="s">
        <v>8571</v>
      </c>
      <c r="C445" s="41">
        <v>0.0</v>
      </c>
      <c r="D445" s="41">
        <v>4.0</v>
      </c>
      <c r="E445" s="42" t="str">
        <f t="shared" si="1"/>
        <v>0.0%</v>
      </c>
    </row>
    <row r="446">
      <c r="A446" s="40" t="s">
        <v>379</v>
      </c>
      <c r="B446" s="40" t="s">
        <v>8809</v>
      </c>
      <c r="C446" s="41">
        <v>0.0</v>
      </c>
      <c r="D446" s="41">
        <v>4.0</v>
      </c>
      <c r="E446" s="42" t="str">
        <f t="shared" si="1"/>
        <v>0.0%</v>
      </c>
    </row>
    <row r="447">
      <c r="A447" s="40" t="s">
        <v>379</v>
      </c>
      <c r="B447" s="40" t="s">
        <v>8637</v>
      </c>
      <c r="C447" s="41">
        <v>0.0</v>
      </c>
      <c r="D447" s="41">
        <v>4.0</v>
      </c>
      <c r="E447" s="42" t="str">
        <f t="shared" si="1"/>
        <v>0.0%</v>
      </c>
    </row>
    <row r="448">
      <c r="A448" s="40" t="s">
        <v>379</v>
      </c>
      <c r="B448" s="40" t="s">
        <v>8810</v>
      </c>
      <c r="C448" s="41">
        <v>0.0</v>
      </c>
      <c r="D448" s="41">
        <v>4.0</v>
      </c>
      <c r="E448" s="42" t="str">
        <f t="shared" si="1"/>
        <v>0.0%</v>
      </c>
    </row>
    <row r="449">
      <c r="A449" s="40" t="s">
        <v>379</v>
      </c>
      <c r="B449" s="40" t="s">
        <v>8811</v>
      </c>
      <c r="C449" s="41">
        <v>0.0</v>
      </c>
      <c r="D449" s="41">
        <v>4.0</v>
      </c>
      <c r="E449" s="42" t="str">
        <f t="shared" si="1"/>
        <v>0.0%</v>
      </c>
    </row>
    <row r="450">
      <c r="A450" s="40" t="s">
        <v>379</v>
      </c>
      <c r="B450" s="40" t="s">
        <v>8812</v>
      </c>
      <c r="C450" s="41">
        <v>0.0</v>
      </c>
      <c r="D450" s="41">
        <v>4.0</v>
      </c>
      <c r="E450" s="42" t="str">
        <f t="shared" si="1"/>
        <v>0.0%</v>
      </c>
    </row>
    <row r="451">
      <c r="A451" s="40" t="s">
        <v>379</v>
      </c>
      <c r="B451" s="40" t="s">
        <v>8813</v>
      </c>
      <c r="C451" s="41">
        <v>0.0</v>
      </c>
      <c r="D451" s="41">
        <v>5.0</v>
      </c>
      <c r="E451" s="42" t="str">
        <f t="shared" si="1"/>
        <v>0.0%</v>
      </c>
    </row>
    <row r="452">
      <c r="A452" s="40" t="s">
        <v>379</v>
      </c>
      <c r="B452" s="40" t="s">
        <v>8814</v>
      </c>
      <c r="C452" s="41">
        <v>0.0</v>
      </c>
      <c r="D452" s="41">
        <v>5.0</v>
      </c>
      <c r="E452" s="42" t="str">
        <f t="shared" si="1"/>
        <v>0.0%</v>
      </c>
    </row>
    <row r="453">
      <c r="A453" s="40" t="s">
        <v>379</v>
      </c>
      <c r="B453" s="40" t="s">
        <v>8815</v>
      </c>
      <c r="C453" s="41">
        <v>0.0</v>
      </c>
      <c r="D453" s="41">
        <v>6.0</v>
      </c>
      <c r="E453" s="42" t="str">
        <f t="shared" si="1"/>
        <v>0.0%</v>
      </c>
    </row>
    <row r="454">
      <c r="A454" s="40" t="s">
        <v>1352</v>
      </c>
      <c r="B454" s="40" t="s">
        <v>8491</v>
      </c>
      <c r="C454" s="41">
        <v>37.0</v>
      </c>
      <c r="D454" s="41">
        <v>20.0</v>
      </c>
      <c r="E454" s="42" t="str">
        <f t="shared" si="1"/>
        <v>64.9%</v>
      </c>
    </row>
    <row r="455">
      <c r="A455" s="40" t="s">
        <v>1352</v>
      </c>
      <c r="B455" s="40" t="s">
        <v>8483</v>
      </c>
      <c r="C455" s="41">
        <v>35.0</v>
      </c>
      <c r="D455" s="41">
        <v>11.0</v>
      </c>
      <c r="E455" s="42" t="str">
        <f t="shared" si="1"/>
        <v>76.1%</v>
      </c>
    </row>
    <row r="456">
      <c r="A456" s="40" t="s">
        <v>1352</v>
      </c>
      <c r="B456" s="40" t="s">
        <v>8484</v>
      </c>
      <c r="C456" s="41">
        <v>35.0</v>
      </c>
      <c r="D456" s="41">
        <v>19.0</v>
      </c>
      <c r="E456" s="42" t="str">
        <f t="shared" si="1"/>
        <v>64.8%</v>
      </c>
    </row>
    <row r="457">
      <c r="A457" s="40" t="s">
        <v>1352</v>
      </c>
      <c r="B457" s="40" t="s">
        <v>8501</v>
      </c>
      <c r="C457" s="41">
        <v>28.0</v>
      </c>
      <c r="D457" s="41">
        <v>16.0</v>
      </c>
      <c r="E457" s="42" t="str">
        <f t="shared" si="1"/>
        <v>63.6%</v>
      </c>
    </row>
    <row r="458">
      <c r="A458" s="40" t="s">
        <v>1352</v>
      </c>
      <c r="B458" s="40" t="s">
        <v>8518</v>
      </c>
      <c r="C458" s="41">
        <v>24.0</v>
      </c>
      <c r="D458" s="41">
        <v>15.0</v>
      </c>
      <c r="E458" s="42" t="str">
        <f t="shared" si="1"/>
        <v>61.5%</v>
      </c>
    </row>
    <row r="459">
      <c r="A459" s="40" t="s">
        <v>1352</v>
      </c>
      <c r="B459" s="40" t="s">
        <v>8530</v>
      </c>
      <c r="C459" s="41">
        <v>23.0</v>
      </c>
      <c r="D459" s="41">
        <v>16.0</v>
      </c>
      <c r="E459" s="42" t="str">
        <f t="shared" si="1"/>
        <v>59.0%</v>
      </c>
    </row>
    <row r="460">
      <c r="A460" s="40" t="s">
        <v>1352</v>
      </c>
      <c r="B460" s="40" t="s">
        <v>8488</v>
      </c>
      <c r="C460" s="41">
        <v>19.0</v>
      </c>
      <c r="D460" s="41">
        <v>8.0</v>
      </c>
      <c r="E460" s="42" t="str">
        <f t="shared" si="1"/>
        <v>70.4%</v>
      </c>
    </row>
    <row r="461">
      <c r="A461" s="40" t="s">
        <v>1352</v>
      </c>
      <c r="B461" s="40" t="s">
        <v>8504</v>
      </c>
      <c r="C461" s="41">
        <v>19.0</v>
      </c>
      <c r="D461" s="41">
        <v>9.0</v>
      </c>
      <c r="E461" s="42" t="str">
        <f t="shared" si="1"/>
        <v>67.9%</v>
      </c>
    </row>
    <row r="462">
      <c r="A462" s="40" t="s">
        <v>1352</v>
      </c>
      <c r="B462" s="40" t="s">
        <v>8568</v>
      </c>
      <c r="C462" s="41">
        <v>19.0</v>
      </c>
      <c r="D462" s="41">
        <v>13.0</v>
      </c>
      <c r="E462" s="42" t="str">
        <f t="shared" si="1"/>
        <v>59.4%</v>
      </c>
    </row>
    <row r="463">
      <c r="A463" s="40" t="s">
        <v>1352</v>
      </c>
      <c r="B463" s="40" t="s">
        <v>8588</v>
      </c>
      <c r="C463" s="41">
        <v>19.0</v>
      </c>
      <c r="D463" s="41">
        <v>19.0</v>
      </c>
      <c r="E463" s="42" t="str">
        <f t="shared" si="1"/>
        <v>50.0%</v>
      </c>
    </row>
    <row r="464">
      <c r="A464" s="40" t="s">
        <v>1352</v>
      </c>
      <c r="B464" s="40" t="s">
        <v>8532</v>
      </c>
      <c r="C464" s="41">
        <v>18.0</v>
      </c>
      <c r="D464" s="41">
        <v>4.0</v>
      </c>
      <c r="E464" s="42" t="str">
        <f t="shared" si="1"/>
        <v>81.8%</v>
      </c>
    </row>
    <row r="465">
      <c r="A465" s="40" t="s">
        <v>1352</v>
      </c>
      <c r="B465" s="40" t="s">
        <v>8502</v>
      </c>
      <c r="C465" s="41">
        <v>18.0</v>
      </c>
      <c r="D465" s="41">
        <v>10.0</v>
      </c>
      <c r="E465" s="42" t="str">
        <f t="shared" si="1"/>
        <v>64.3%</v>
      </c>
    </row>
    <row r="466">
      <c r="A466" s="40" t="s">
        <v>1352</v>
      </c>
      <c r="B466" s="40" t="s">
        <v>8556</v>
      </c>
      <c r="C466" s="41">
        <v>18.0</v>
      </c>
      <c r="D466" s="41">
        <v>18.0</v>
      </c>
      <c r="E466" s="42" t="str">
        <f t="shared" si="1"/>
        <v>50.0%</v>
      </c>
    </row>
    <row r="467">
      <c r="A467" s="40" t="s">
        <v>1352</v>
      </c>
      <c r="B467" s="40" t="s">
        <v>8534</v>
      </c>
      <c r="C467" s="41">
        <v>17.0</v>
      </c>
      <c r="D467" s="41">
        <v>15.0</v>
      </c>
      <c r="E467" s="42" t="str">
        <f t="shared" si="1"/>
        <v>53.1%</v>
      </c>
    </row>
    <row r="468">
      <c r="A468" s="40" t="s">
        <v>1352</v>
      </c>
      <c r="B468" s="40" t="s">
        <v>8581</v>
      </c>
      <c r="C468" s="41">
        <v>16.0</v>
      </c>
      <c r="D468" s="41">
        <v>20.0</v>
      </c>
      <c r="E468" s="42" t="str">
        <f t="shared" si="1"/>
        <v>44.4%</v>
      </c>
    </row>
    <row r="469">
      <c r="A469" s="40" t="s">
        <v>1352</v>
      </c>
      <c r="B469" s="40" t="s">
        <v>8521</v>
      </c>
      <c r="C469" s="41">
        <v>15.0</v>
      </c>
      <c r="D469" s="41">
        <v>4.0</v>
      </c>
      <c r="E469" s="42" t="str">
        <f t="shared" si="1"/>
        <v>78.9%</v>
      </c>
    </row>
    <row r="470">
      <c r="A470" s="40" t="s">
        <v>1352</v>
      </c>
      <c r="B470" s="40" t="s">
        <v>8497</v>
      </c>
      <c r="C470" s="41">
        <v>15.0</v>
      </c>
      <c r="D470" s="41">
        <v>5.0</v>
      </c>
      <c r="E470" s="42" t="str">
        <f t="shared" si="1"/>
        <v>75.0%</v>
      </c>
    </row>
    <row r="471">
      <c r="A471" s="40" t="s">
        <v>1352</v>
      </c>
      <c r="B471" s="40" t="s">
        <v>8561</v>
      </c>
      <c r="C471" s="41">
        <v>15.0</v>
      </c>
      <c r="D471" s="41">
        <v>8.0</v>
      </c>
      <c r="E471" s="42" t="str">
        <f t="shared" si="1"/>
        <v>65.2%</v>
      </c>
    </row>
    <row r="472">
      <c r="A472" s="40" t="s">
        <v>1352</v>
      </c>
      <c r="B472" s="40" t="s">
        <v>8508</v>
      </c>
      <c r="C472" s="41">
        <v>13.0</v>
      </c>
      <c r="D472" s="41">
        <v>3.0</v>
      </c>
      <c r="E472" s="42" t="str">
        <f t="shared" si="1"/>
        <v>81.3%</v>
      </c>
    </row>
    <row r="473">
      <c r="A473" s="40" t="s">
        <v>1352</v>
      </c>
      <c r="B473" s="40" t="s">
        <v>8503</v>
      </c>
      <c r="C473" s="41">
        <v>11.0</v>
      </c>
      <c r="D473" s="41">
        <v>4.0</v>
      </c>
      <c r="E473" s="42" t="str">
        <f t="shared" si="1"/>
        <v>73.3%</v>
      </c>
    </row>
    <row r="474">
      <c r="A474" s="40" t="s">
        <v>1352</v>
      </c>
      <c r="B474" s="40" t="s">
        <v>8489</v>
      </c>
      <c r="C474" s="41">
        <v>11.0</v>
      </c>
      <c r="D474" s="41">
        <v>5.0</v>
      </c>
      <c r="E474" s="42" t="str">
        <f t="shared" si="1"/>
        <v>68.8%</v>
      </c>
    </row>
    <row r="475">
      <c r="A475" s="40" t="s">
        <v>1352</v>
      </c>
      <c r="B475" s="40" t="s">
        <v>8514</v>
      </c>
      <c r="C475" s="41">
        <v>11.0</v>
      </c>
      <c r="D475" s="41">
        <v>5.0</v>
      </c>
      <c r="E475" s="42" t="str">
        <f t="shared" si="1"/>
        <v>68.8%</v>
      </c>
    </row>
    <row r="476">
      <c r="A476" s="40" t="s">
        <v>1352</v>
      </c>
      <c r="B476" s="40" t="s">
        <v>8638</v>
      </c>
      <c r="C476" s="41">
        <v>10.0</v>
      </c>
      <c r="D476" s="41">
        <v>7.0</v>
      </c>
      <c r="E476" s="42" t="str">
        <f t="shared" si="1"/>
        <v>58.8%</v>
      </c>
    </row>
    <row r="477">
      <c r="A477" s="40" t="s">
        <v>1352</v>
      </c>
      <c r="B477" s="40" t="s">
        <v>8569</v>
      </c>
      <c r="C477" s="41">
        <v>10.0</v>
      </c>
      <c r="D477" s="41">
        <v>13.0</v>
      </c>
      <c r="E477" s="42" t="str">
        <f t="shared" si="1"/>
        <v>43.5%</v>
      </c>
    </row>
    <row r="478">
      <c r="A478" s="40" t="s">
        <v>1352</v>
      </c>
      <c r="B478" s="40" t="s">
        <v>8496</v>
      </c>
      <c r="C478" s="41">
        <v>9.0</v>
      </c>
      <c r="D478" s="41">
        <v>28.0</v>
      </c>
      <c r="E478" s="42" t="str">
        <f t="shared" si="1"/>
        <v>24.3%</v>
      </c>
    </row>
    <row r="479">
      <c r="A479" s="40" t="s">
        <v>1352</v>
      </c>
      <c r="B479" s="40" t="s">
        <v>8605</v>
      </c>
      <c r="C479" s="41">
        <v>8.0</v>
      </c>
      <c r="D479" s="41">
        <v>3.0</v>
      </c>
      <c r="E479" s="42" t="str">
        <f t="shared" si="1"/>
        <v>72.7%</v>
      </c>
    </row>
    <row r="480">
      <c r="A480" s="40" t="s">
        <v>1352</v>
      </c>
      <c r="B480" s="40" t="s">
        <v>8576</v>
      </c>
      <c r="C480" s="41">
        <v>8.0</v>
      </c>
      <c r="D480" s="41">
        <v>5.0</v>
      </c>
      <c r="E480" s="42" t="str">
        <f t="shared" si="1"/>
        <v>61.5%</v>
      </c>
    </row>
    <row r="481">
      <c r="A481" s="40" t="s">
        <v>1352</v>
      </c>
      <c r="B481" s="40" t="s">
        <v>8816</v>
      </c>
      <c r="C481" s="41">
        <v>8.0</v>
      </c>
      <c r="D481" s="41">
        <v>5.0</v>
      </c>
      <c r="E481" s="42" t="str">
        <f t="shared" si="1"/>
        <v>61.5%</v>
      </c>
    </row>
    <row r="482">
      <c r="A482" s="40" t="s">
        <v>1352</v>
      </c>
      <c r="B482" s="40" t="s">
        <v>8635</v>
      </c>
      <c r="C482" s="41">
        <v>8.0</v>
      </c>
      <c r="D482" s="41">
        <v>6.0</v>
      </c>
      <c r="E482" s="42" t="str">
        <f t="shared" si="1"/>
        <v>57.1%</v>
      </c>
    </row>
    <row r="483">
      <c r="A483" s="40" t="s">
        <v>1352</v>
      </c>
      <c r="B483" s="40" t="s">
        <v>8621</v>
      </c>
      <c r="C483" s="41">
        <v>8.0</v>
      </c>
      <c r="D483" s="41">
        <v>7.0</v>
      </c>
      <c r="E483" s="42" t="str">
        <f t="shared" si="1"/>
        <v>53.3%</v>
      </c>
    </row>
    <row r="484">
      <c r="A484" s="40" t="s">
        <v>1352</v>
      </c>
      <c r="B484" s="40" t="s">
        <v>8487</v>
      </c>
      <c r="C484" s="41">
        <v>8.0</v>
      </c>
      <c r="D484" s="41">
        <v>17.0</v>
      </c>
      <c r="E484" s="42" t="str">
        <f t="shared" si="1"/>
        <v>32.0%</v>
      </c>
    </row>
    <row r="485">
      <c r="A485" s="40" t="s">
        <v>1352</v>
      </c>
      <c r="B485" s="40" t="s">
        <v>8807</v>
      </c>
      <c r="C485" s="41">
        <v>7.0</v>
      </c>
      <c r="D485" s="41">
        <v>3.0</v>
      </c>
      <c r="E485" s="42" t="str">
        <f t="shared" si="1"/>
        <v>70.0%</v>
      </c>
    </row>
    <row r="486">
      <c r="A486" s="40" t="s">
        <v>1352</v>
      </c>
      <c r="B486" s="40" t="s">
        <v>8817</v>
      </c>
      <c r="C486" s="41">
        <v>7.0</v>
      </c>
      <c r="D486" s="41">
        <v>6.0</v>
      </c>
      <c r="E486" s="42" t="str">
        <f t="shared" si="1"/>
        <v>53.8%</v>
      </c>
    </row>
    <row r="487">
      <c r="A487" s="40" t="s">
        <v>1352</v>
      </c>
      <c r="B487" s="40" t="s">
        <v>8725</v>
      </c>
      <c r="C487" s="41">
        <v>7.0</v>
      </c>
      <c r="D487" s="41">
        <v>7.0</v>
      </c>
      <c r="E487" s="42" t="str">
        <f t="shared" si="1"/>
        <v>50.0%</v>
      </c>
    </row>
    <row r="488">
      <c r="A488" s="40" t="s">
        <v>1352</v>
      </c>
      <c r="B488" s="40" t="s">
        <v>8665</v>
      </c>
      <c r="C488" s="41">
        <v>7.0</v>
      </c>
      <c r="D488" s="41">
        <v>9.0</v>
      </c>
      <c r="E488" s="42" t="str">
        <f t="shared" si="1"/>
        <v>43.8%</v>
      </c>
    </row>
    <row r="489">
      <c r="A489" s="40" t="s">
        <v>1352</v>
      </c>
      <c r="B489" s="40" t="s">
        <v>8510</v>
      </c>
      <c r="C489" s="41">
        <v>7.0</v>
      </c>
      <c r="D489" s="41">
        <v>16.0</v>
      </c>
      <c r="E489" s="42" t="str">
        <f t="shared" si="1"/>
        <v>30.4%</v>
      </c>
    </row>
    <row r="490">
      <c r="A490" s="40" t="s">
        <v>1352</v>
      </c>
      <c r="B490" s="40" t="s">
        <v>8490</v>
      </c>
      <c r="C490" s="41">
        <v>7.0</v>
      </c>
      <c r="D490" s="41">
        <v>18.0</v>
      </c>
      <c r="E490" s="42" t="str">
        <f t="shared" si="1"/>
        <v>28.0%</v>
      </c>
    </row>
    <row r="491">
      <c r="A491" s="40" t="s">
        <v>1352</v>
      </c>
      <c r="B491" s="40" t="s">
        <v>8818</v>
      </c>
      <c r="C491" s="41">
        <v>6.0</v>
      </c>
      <c r="D491" s="41">
        <v>0.0</v>
      </c>
      <c r="E491" s="42" t="str">
        <f t="shared" si="1"/>
        <v>100.0%</v>
      </c>
    </row>
    <row r="492">
      <c r="A492" s="40" t="s">
        <v>1352</v>
      </c>
      <c r="B492" s="40" t="s">
        <v>8549</v>
      </c>
      <c r="C492" s="41">
        <v>6.0</v>
      </c>
      <c r="D492" s="41">
        <v>2.0</v>
      </c>
      <c r="E492" s="42" t="str">
        <f t="shared" si="1"/>
        <v>75.0%</v>
      </c>
    </row>
    <row r="493">
      <c r="A493" s="40" t="s">
        <v>1352</v>
      </c>
      <c r="B493" s="40" t="s">
        <v>8790</v>
      </c>
      <c r="C493" s="41">
        <v>6.0</v>
      </c>
      <c r="D493" s="41">
        <v>3.0</v>
      </c>
      <c r="E493" s="42" t="str">
        <f t="shared" si="1"/>
        <v>66.7%</v>
      </c>
    </row>
    <row r="494">
      <c r="A494" s="40" t="s">
        <v>1352</v>
      </c>
      <c r="B494" s="40" t="s">
        <v>8652</v>
      </c>
      <c r="C494" s="41">
        <v>6.0</v>
      </c>
      <c r="D494" s="41">
        <v>4.0</v>
      </c>
      <c r="E494" s="42" t="str">
        <f t="shared" si="1"/>
        <v>60.0%</v>
      </c>
    </row>
    <row r="495">
      <c r="A495" s="40" t="s">
        <v>1352</v>
      </c>
      <c r="B495" s="40" t="s">
        <v>8528</v>
      </c>
      <c r="C495" s="41">
        <v>6.0</v>
      </c>
      <c r="D495" s="41">
        <v>4.0</v>
      </c>
      <c r="E495" s="42" t="str">
        <f t="shared" si="1"/>
        <v>60.0%</v>
      </c>
    </row>
    <row r="496">
      <c r="A496" s="40" t="s">
        <v>1352</v>
      </c>
      <c r="B496" s="40" t="s">
        <v>8599</v>
      </c>
      <c r="C496" s="41">
        <v>6.0</v>
      </c>
      <c r="D496" s="41">
        <v>5.0</v>
      </c>
      <c r="E496" s="42" t="str">
        <f t="shared" si="1"/>
        <v>54.5%</v>
      </c>
    </row>
    <row r="497">
      <c r="A497" s="40" t="s">
        <v>1352</v>
      </c>
      <c r="B497" s="40" t="s">
        <v>8698</v>
      </c>
      <c r="C497" s="41">
        <v>6.0</v>
      </c>
      <c r="D497" s="41">
        <v>5.0</v>
      </c>
      <c r="E497" s="42" t="str">
        <f t="shared" si="1"/>
        <v>54.5%</v>
      </c>
    </row>
    <row r="498">
      <c r="A498" s="40" t="s">
        <v>1352</v>
      </c>
      <c r="B498" s="40" t="s">
        <v>8498</v>
      </c>
      <c r="C498" s="41">
        <v>6.0</v>
      </c>
      <c r="D498" s="41">
        <v>5.0</v>
      </c>
      <c r="E498" s="42" t="str">
        <f t="shared" si="1"/>
        <v>54.5%</v>
      </c>
    </row>
    <row r="499">
      <c r="A499" s="40" t="s">
        <v>1352</v>
      </c>
      <c r="B499" s="40" t="s">
        <v>8819</v>
      </c>
      <c r="C499" s="41">
        <v>6.0</v>
      </c>
      <c r="D499" s="41">
        <v>7.0</v>
      </c>
      <c r="E499" s="42" t="str">
        <f t="shared" si="1"/>
        <v>46.2%</v>
      </c>
    </row>
    <row r="500">
      <c r="A500" s="40" t="s">
        <v>1352</v>
      </c>
      <c r="B500" s="40" t="s">
        <v>8684</v>
      </c>
      <c r="C500" s="41">
        <v>6.0</v>
      </c>
      <c r="D500" s="41">
        <v>8.0</v>
      </c>
      <c r="E500" s="42" t="str">
        <f t="shared" si="1"/>
        <v>42.9%</v>
      </c>
    </row>
    <row r="501">
      <c r="A501" s="40" t="s">
        <v>1352</v>
      </c>
      <c r="B501" s="40" t="s">
        <v>8606</v>
      </c>
      <c r="C501" s="41">
        <v>5.0</v>
      </c>
      <c r="D501" s="41">
        <v>1.0</v>
      </c>
      <c r="E501" s="42" t="str">
        <f t="shared" si="1"/>
        <v>83.3%</v>
      </c>
    </row>
    <row r="502">
      <c r="A502" s="40" t="s">
        <v>1352</v>
      </c>
      <c r="B502" s="40" t="s">
        <v>8820</v>
      </c>
      <c r="C502" s="41">
        <v>5.0</v>
      </c>
      <c r="D502" s="41">
        <v>1.0</v>
      </c>
      <c r="E502" s="42" t="str">
        <f t="shared" si="1"/>
        <v>83.3%</v>
      </c>
    </row>
    <row r="503">
      <c r="A503" s="40" t="s">
        <v>1352</v>
      </c>
      <c r="B503" s="40" t="s">
        <v>8821</v>
      </c>
      <c r="C503" s="41">
        <v>5.0</v>
      </c>
      <c r="D503" s="41">
        <v>1.0</v>
      </c>
      <c r="E503" s="42" t="str">
        <f t="shared" si="1"/>
        <v>83.3%</v>
      </c>
    </row>
    <row r="504">
      <c r="A504" s="40" t="s">
        <v>1352</v>
      </c>
      <c r="B504" s="40" t="s">
        <v>8822</v>
      </c>
      <c r="C504" s="41">
        <v>5.0</v>
      </c>
      <c r="D504" s="41">
        <v>2.0</v>
      </c>
      <c r="E504" s="42" t="str">
        <f t="shared" si="1"/>
        <v>71.4%</v>
      </c>
    </row>
    <row r="505">
      <c r="A505" s="40" t="s">
        <v>1352</v>
      </c>
      <c r="B505" s="40" t="s">
        <v>8660</v>
      </c>
      <c r="C505" s="41">
        <v>5.0</v>
      </c>
      <c r="D505" s="41">
        <v>3.0</v>
      </c>
      <c r="E505" s="42" t="str">
        <f t="shared" si="1"/>
        <v>62.5%</v>
      </c>
    </row>
    <row r="506">
      <c r="A506" s="40" t="s">
        <v>1352</v>
      </c>
      <c r="B506" s="40" t="s">
        <v>8823</v>
      </c>
      <c r="C506" s="41">
        <v>5.0</v>
      </c>
      <c r="D506" s="41">
        <v>3.0</v>
      </c>
      <c r="E506" s="42" t="str">
        <f t="shared" si="1"/>
        <v>62.5%</v>
      </c>
    </row>
    <row r="507">
      <c r="A507" s="40" t="s">
        <v>1352</v>
      </c>
      <c r="B507" s="40" t="s">
        <v>8547</v>
      </c>
      <c r="C507" s="41">
        <v>5.0</v>
      </c>
      <c r="D507" s="41">
        <v>4.0</v>
      </c>
      <c r="E507" s="42" t="str">
        <f t="shared" si="1"/>
        <v>55.6%</v>
      </c>
    </row>
    <row r="508">
      <c r="A508" s="40" t="s">
        <v>1352</v>
      </c>
      <c r="B508" s="40" t="s">
        <v>8658</v>
      </c>
      <c r="C508" s="41">
        <v>5.0</v>
      </c>
      <c r="D508" s="41">
        <v>5.0</v>
      </c>
      <c r="E508" s="42" t="str">
        <f t="shared" si="1"/>
        <v>50.0%</v>
      </c>
    </row>
    <row r="509">
      <c r="A509" s="40" t="s">
        <v>1352</v>
      </c>
      <c r="B509" s="40" t="s">
        <v>8695</v>
      </c>
      <c r="C509" s="41">
        <v>5.0</v>
      </c>
      <c r="D509" s="41">
        <v>5.0</v>
      </c>
      <c r="E509" s="42" t="str">
        <f t="shared" si="1"/>
        <v>50.0%</v>
      </c>
    </row>
    <row r="510">
      <c r="A510" s="40" t="s">
        <v>1352</v>
      </c>
      <c r="B510" s="40" t="s">
        <v>8824</v>
      </c>
      <c r="C510" s="41">
        <v>5.0</v>
      </c>
      <c r="D510" s="41">
        <v>5.0</v>
      </c>
      <c r="E510" s="42" t="str">
        <f t="shared" si="1"/>
        <v>50.0%</v>
      </c>
    </row>
    <row r="511">
      <c r="A511" s="40" t="s">
        <v>1352</v>
      </c>
      <c r="B511" s="40" t="s">
        <v>8672</v>
      </c>
      <c r="C511" s="41">
        <v>5.0</v>
      </c>
      <c r="D511" s="41">
        <v>6.0</v>
      </c>
      <c r="E511" s="42" t="str">
        <f t="shared" si="1"/>
        <v>45.5%</v>
      </c>
    </row>
    <row r="512">
      <c r="A512" s="40" t="s">
        <v>1352</v>
      </c>
      <c r="B512" s="40" t="s">
        <v>8533</v>
      </c>
      <c r="C512" s="41">
        <v>5.0</v>
      </c>
      <c r="D512" s="41">
        <v>7.0</v>
      </c>
      <c r="E512" s="42" t="str">
        <f t="shared" si="1"/>
        <v>41.7%</v>
      </c>
    </row>
    <row r="513">
      <c r="A513" s="40" t="s">
        <v>1352</v>
      </c>
      <c r="B513" s="40" t="s">
        <v>8798</v>
      </c>
      <c r="C513" s="41">
        <v>5.0</v>
      </c>
      <c r="D513" s="41">
        <v>7.0</v>
      </c>
      <c r="E513" s="42" t="str">
        <f t="shared" si="1"/>
        <v>41.7%</v>
      </c>
    </row>
    <row r="514">
      <c r="A514" s="40" t="s">
        <v>1352</v>
      </c>
      <c r="B514" s="40" t="s">
        <v>8681</v>
      </c>
      <c r="C514" s="41">
        <v>5.0</v>
      </c>
      <c r="D514" s="41">
        <v>9.0</v>
      </c>
      <c r="E514" s="42" t="str">
        <f t="shared" si="1"/>
        <v>35.7%</v>
      </c>
    </row>
    <row r="515">
      <c r="A515" s="40" t="s">
        <v>1352</v>
      </c>
      <c r="B515" s="40" t="s">
        <v>8626</v>
      </c>
      <c r="C515" s="41">
        <v>4.0</v>
      </c>
      <c r="D515" s="41">
        <v>0.0</v>
      </c>
      <c r="E515" s="42" t="str">
        <f t="shared" si="1"/>
        <v>100.0%</v>
      </c>
    </row>
    <row r="516">
      <c r="A516" s="40" t="s">
        <v>1352</v>
      </c>
      <c r="B516" s="40" t="s">
        <v>8523</v>
      </c>
      <c r="C516" s="41">
        <v>4.0</v>
      </c>
      <c r="D516" s="41">
        <v>1.0</v>
      </c>
      <c r="E516" s="42" t="str">
        <f t="shared" si="1"/>
        <v>80.0%</v>
      </c>
    </row>
    <row r="517">
      <c r="A517" s="40" t="s">
        <v>1352</v>
      </c>
      <c r="B517" s="40" t="s">
        <v>8555</v>
      </c>
      <c r="C517" s="41">
        <v>4.0</v>
      </c>
      <c r="D517" s="41">
        <v>1.0</v>
      </c>
      <c r="E517" s="42" t="str">
        <f t="shared" si="1"/>
        <v>80.0%</v>
      </c>
    </row>
    <row r="518">
      <c r="A518" s="40" t="s">
        <v>1352</v>
      </c>
      <c r="B518" s="40" t="s">
        <v>8771</v>
      </c>
      <c r="C518" s="41">
        <v>4.0</v>
      </c>
      <c r="D518" s="41">
        <v>1.0</v>
      </c>
      <c r="E518" s="42" t="str">
        <f t="shared" si="1"/>
        <v>80.0%</v>
      </c>
    </row>
    <row r="519">
      <c r="A519" s="40" t="s">
        <v>1352</v>
      </c>
      <c r="B519" s="40" t="s">
        <v>8589</v>
      </c>
      <c r="C519" s="41">
        <v>4.0</v>
      </c>
      <c r="D519" s="41">
        <v>2.0</v>
      </c>
      <c r="E519" s="42" t="str">
        <f t="shared" si="1"/>
        <v>66.7%</v>
      </c>
    </row>
    <row r="520">
      <c r="A520" s="40" t="s">
        <v>1352</v>
      </c>
      <c r="B520" s="40" t="s">
        <v>8825</v>
      </c>
      <c r="C520" s="41">
        <v>4.0</v>
      </c>
      <c r="D520" s="41">
        <v>2.0</v>
      </c>
      <c r="E520" s="42" t="str">
        <f t="shared" si="1"/>
        <v>66.7%</v>
      </c>
    </row>
    <row r="521">
      <c r="A521" s="40" t="s">
        <v>1352</v>
      </c>
      <c r="B521" s="40" t="s">
        <v>8700</v>
      </c>
      <c r="C521" s="41">
        <v>4.0</v>
      </c>
      <c r="D521" s="41">
        <v>3.0</v>
      </c>
      <c r="E521" s="42" t="str">
        <f t="shared" si="1"/>
        <v>57.1%</v>
      </c>
    </row>
    <row r="522">
      <c r="A522" s="40" t="s">
        <v>1352</v>
      </c>
      <c r="B522" s="40" t="s">
        <v>8663</v>
      </c>
      <c r="C522" s="41">
        <v>4.0</v>
      </c>
      <c r="D522" s="41">
        <v>4.0</v>
      </c>
      <c r="E522" s="42" t="str">
        <f t="shared" si="1"/>
        <v>50.0%</v>
      </c>
    </row>
    <row r="523">
      <c r="A523" s="40" t="s">
        <v>1352</v>
      </c>
      <c r="B523" s="40" t="s">
        <v>8826</v>
      </c>
      <c r="C523" s="41">
        <v>4.0</v>
      </c>
      <c r="D523" s="41">
        <v>4.0</v>
      </c>
      <c r="E523" s="42" t="str">
        <f t="shared" si="1"/>
        <v>50.0%</v>
      </c>
    </row>
    <row r="524">
      <c r="A524" s="40" t="s">
        <v>1352</v>
      </c>
      <c r="B524" s="40" t="s">
        <v>8827</v>
      </c>
      <c r="C524" s="41">
        <v>4.0</v>
      </c>
      <c r="D524" s="41">
        <v>7.0</v>
      </c>
      <c r="E524" s="42" t="str">
        <f t="shared" si="1"/>
        <v>36.4%</v>
      </c>
    </row>
    <row r="525">
      <c r="A525" s="40" t="s">
        <v>1352</v>
      </c>
      <c r="B525" s="40" t="s">
        <v>8828</v>
      </c>
      <c r="C525" s="41">
        <v>4.0</v>
      </c>
      <c r="D525" s="41">
        <v>7.0</v>
      </c>
      <c r="E525" s="42" t="str">
        <f t="shared" si="1"/>
        <v>36.4%</v>
      </c>
    </row>
    <row r="526">
      <c r="A526" s="40" t="s">
        <v>1352</v>
      </c>
      <c r="B526" s="40" t="s">
        <v>8773</v>
      </c>
      <c r="C526" s="41">
        <v>4.0</v>
      </c>
      <c r="D526" s="41">
        <v>8.0</v>
      </c>
      <c r="E526" s="42" t="str">
        <f t="shared" si="1"/>
        <v>33.3%</v>
      </c>
    </row>
    <row r="527">
      <c r="A527" s="40" t="s">
        <v>1352</v>
      </c>
      <c r="B527" s="40" t="s">
        <v>8643</v>
      </c>
      <c r="C527" s="41">
        <v>3.0</v>
      </c>
      <c r="D527" s="41">
        <v>0.0</v>
      </c>
      <c r="E527" s="42" t="str">
        <f t="shared" si="1"/>
        <v>100.0%</v>
      </c>
    </row>
    <row r="528">
      <c r="A528" s="40" t="s">
        <v>1352</v>
      </c>
      <c r="B528" s="40" t="s">
        <v>8538</v>
      </c>
      <c r="C528" s="41">
        <v>3.0</v>
      </c>
      <c r="D528" s="41">
        <v>1.0</v>
      </c>
      <c r="E528" s="42" t="str">
        <f t="shared" si="1"/>
        <v>75.0%</v>
      </c>
    </row>
    <row r="529">
      <c r="A529" s="40" t="s">
        <v>1352</v>
      </c>
      <c r="B529" s="40" t="s">
        <v>8553</v>
      </c>
      <c r="C529" s="41">
        <v>3.0</v>
      </c>
      <c r="D529" s="41">
        <v>1.0</v>
      </c>
      <c r="E529" s="42" t="str">
        <f t="shared" si="1"/>
        <v>75.0%</v>
      </c>
    </row>
    <row r="530">
      <c r="A530" s="40" t="s">
        <v>1352</v>
      </c>
      <c r="B530" s="40" t="s">
        <v>8630</v>
      </c>
      <c r="C530" s="41">
        <v>3.0</v>
      </c>
      <c r="D530" s="41">
        <v>2.0</v>
      </c>
      <c r="E530" s="42" t="str">
        <f t="shared" si="1"/>
        <v>60.0%</v>
      </c>
    </row>
    <row r="531">
      <c r="A531" s="40" t="s">
        <v>1352</v>
      </c>
      <c r="B531" s="40" t="s">
        <v>8670</v>
      </c>
      <c r="C531" s="41">
        <v>3.0</v>
      </c>
      <c r="D531" s="41">
        <v>2.0</v>
      </c>
      <c r="E531" s="42" t="str">
        <f t="shared" si="1"/>
        <v>60.0%</v>
      </c>
    </row>
    <row r="532">
      <c r="A532" s="40" t="s">
        <v>1352</v>
      </c>
      <c r="B532" s="40" t="s">
        <v>8544</v>
      </c>
      <c r="C532" s="41">
        <v>3.0</v>
      </c>
      <c r="D532" s="41">
        <v>2.0</v>
      </c>
      <c r="E532" s="42" t="str">
        <f t="shared" si="1"/>
        <v>60.0%</v>
      </c>
    </row>
    <row r="533">
      <c r="A533" s="40" t="s">
        <v>1352</v>
      </c>
      <c r="B533" s="40" t="s">
        <v>8791</v>
      </c>
      <c r="C533" s="41">
        <v>3.0</v>
      </c>
      <c r="D533" s="41">
        <v>2.0</v>
      </c>
      <c r="E533" s="42" t="str">
        <f t="shared" si="1"/>
        <v>60.0%</v>
      </c>
    </row>
    <row r="534">
      <c r="A534" s="40" t="s">
        <v>1352</v>
      </c>
      <c r="B534" s="40" t="s">
        <v>8796</v>
      </c>
      <c r="C534" s="41">
        <v>3.0</v>
      </c>
      <c r="D534" s="41">
        <v>2.0</v>
      </c>
      <c r="E534" s="42" t="str">
        <f t="shared" si="1"/>
        <v>60.0%</v>
      </c>
    </row>
    <row r="535">
      <c r="A535" s="40" t="s">
        <v>1352</v>
      </c>
      <c r="B535" s="40" t="s">
        <v>8829</v>
      </c>
      <c r="C535" s="41">
        <v>3.0</v>
      </c>
      <c r="D535" s="41">
        <v>2.0</v>
      </c>
      <c r="E535" s="42" t="str">
        <f t="shared" si="1"/>
        <v>60.0%</v>
      </c>
    </row>
    <row r="536">
      <c r="A536" s="40" t="s">
        <v>1352</v>
      </c>
      <c r="B536" s="40" t="s">
        <v>8650</v>
      </c>
      <c r="C536" s="41">
        <v>3.0</v>
      </c>
      <c r="D536" s="41">
        <v>3.0</v>
      </c>
      <c r="E536" s="42" t="str">
        <f t="shared" si="1"/>
        <v>50.0%</v>
      </c>
    </row>
    <row r="537">
      <c r="A537" s="40" t="s">
        <v>1352</v>
      </c>
      <c r="B537" s="40" t="s">
        <v>8799</v>
      </c>
      <c r="C537" s="41">
        <v>3.0</v>
      </c>
      <c r="D537" s="41">
        <v>3.0</v>
      </c>
      <c r="E537" s="42" t="str">
        <f t="shared" si="1"/>
        <v>50.0%</v>
      </c>
    </row>
    <row r="538">
      <c r="A538" s="40" t="s">
        <v>1352</v>
      </c>
      <c r="B538" s="40" t="s">
        <v>8830</v>
      </c>
      <c r="C538" s="41">
        <v>3.0</v>
      </c>
      <c r="D538" s="41">
        <v>3.0</v>
      </c>
      <c r="E538" s="42" t="str">
        <f t="shared" si="1"/>
        <v>50.0%</v>
      </c>
    </row>
    <row r="539">
      <c r="A539" s="40" t="s">
        <v>1352</v>
      </c>
      <c r="B539" s="40" t="s">
        <v>8738</v>
      </c>
      <c r="C539" s="41">
        <v>3.0</v>
      </c>
      <c r="D539" s="41">
        <v>4.0</v>
      </c>
      <c r="E539" s="42" t="str">
        <f t="shared" si="1"/>
        <v>42.9%</v>
      </c>
    </row>
    <row r="540">
      <c r="A540" s="40" t="s">
        <v>1352</v>
      </c>
      <c r="B540" s="40" t="s">
        <v>8794</v>
      </c>
      <c r="C540" s="41">
        <v>3.0</v>
      </c>
      <c r="D540" s="41">
        <v>4.0</v>
      </c>
      <c r="E540" s="42" t="str">
        <f t="shared" si="1"/>
        <v>42.9%</v>
      </c>
    </row>
    <row r="541">
      <c r="A541" s="40" t="s">
        <v>1352</v>
      </c>
      <c r="B541" s="40" t="s">
        <v>8831</v>
      </c>
      <c r="C541" s="41">
        <v>3.0</v>
      </c>
      <c r="D541" s="41">
        <v>4.0</v>
      </c>
      <c r="E541" s="42" t="str">
        <f t="shared" si="1"/>
        <v>42.9%</v>
      </c>
    </row>
    <row r="542">
      <c r="A542" s="40" t="s">
        <v>1352</v>
      </c>
      <c r="B542" s="40" t="s">
        <v>8832</v>
      </c>
      <c r="C542" s="41">
        <v>3.0</v>
      </c>
      <c r="D542" s="41">
        <v>5.0</v>
      </c>
      <c r="E542" s="42" t="str">
        <f t="shared" si="1"/>
        <v>37.5%</v>
      </c>
    </row>
    <row r="543">
      <c r="A543" s="40" t="s">
        <v>1352</v>
      </c>
      <c r="B543" s="40" t="s">
        <v>8833</v>
      </c>
      <c r="C543" s="41">
        <v>3.0</v>
      </c>
      <c r="D543" s="41">
        <v>5.0</v>
      </c>
      <c r="E543" s="42" t="str">
        <f t="shared" si="1"/>
        <v>37.5%</v>
      </c>
    </row>
    <row r="544">
      <c r="A544" s="40" t="s">
        <v>1352</v>
      </c>
      <c r="B544" s="40" t="s">
        <v>8603</v>
      </c>
      <c r="C544" s="41">
        <v>3.0</v>
      </c>
      <c r="D544" s="41">
        <v>6.0</v>
      </c>
      <c r="E544" s="42" t="str">
        <f t="shared" si="1"/>
        <v>33.3%</v>
      </c>
    </row>
    <row r="545">
      <c r="A545" s="40" t="s">
        <v>1352</v>
      </c>
      <c r="B545" s="40" t="s">
        <v>8505</v>
      </c>
      <c r="C545" s="41">
        <v>3.0</v>
      </c>
      <c r="D545" s="41">
        <v>6.0</v>
      </c>
      <c r="E545" s="42" t="str">
        <f t="shared" si="1"/>
        <v>33.3%</v>
      </c>
    </row>
    <row r="546">
      <c r="A546" s="40" t="s">
        <v>1352</v>
      </c>
      <c r="B546" s="40" t="s">
        <v>8682</v>
      </c>
      <c r="C546" s="41">
        <v>3.0</v>
      </c>
      <c r="D546" s="41">
        <v>19.0</v>
      </c>
      <c r="E546" s="42" t="str">
        <f t="shared" si="1"/>
        <v>13.6%</v>
      </c>
    </row>
    <row r="547">
      <c r="A547" s="40" t="s">
        <v>1352</v>
      </c>
      <c r="B547" s="40" t="s">
        <v>8641</v>
      </c>
      <c r="C547" s="41">
        <v>3.0</v>
      </c>
      <c r="D547" s="41">
        <v>24.0</v>
      </c>
      <c r="E547" s="42" t="str">
        <f t="shared" si="1"/>
        <v>11.1%</v>
      </c>
    </row>
    <row r="548">
      <c r="A548" s="40" t="s">
        <v>1352</v>
      </c>
      <c r="B548" s="40" t="s">
        <v>8729</v>
      </c>
      <c r="C548" s="41">
        <v>2.0</v>
      </c>
      <c r="D548" s="41">
        <v>0.0</v>
      </c>
      <c r="E548" s="42" t="str">
        <f t="shared" si="1"/>
        <v>100.0%</v>
      </c>
    </row>
    <row r="549">
      <c r="A549" s="40" t="s">
        <v>1352</v>
      </c>
      <c r="B549" s="40" t="s">
        <v>8622</v>
      </c>
      <c r="C549" s="41">
        <v>2.0</v>
      </c>
      <c r="D549" s="41">
        <v>0.0</v>
      </c>
      <c r="E549" s="42" t="str">
        <f t="shared" si="1"/>
        <v>100.0%</v>
      </c>
    </row>
    <row r="550">
      <c r="A550" s="40" t="s">
        <v>1352</v>
      </c>
      <c r="B550" s="40" t="s">
        <v>8511</v>
      </c>
      <c r="C550" s="41">
        <v>2.0</v>
      </c>
      <c r="D550" s="41">
        <v>0.0</v>
      </c>
      <c r="E550" s="42" t="str">
        <f t="shared" si="1"/>
        <v>100.0%</v>
      </c>
    </row>
    <row r="551">
      <c r="A551" s="40" t="s">
        <v>1352</v>
      </c>
      <c r="B551" s="40" t="s">
        <v>8654</v>
      </c>
      <c r="C551" s="41">
        <v>2.0</v>
      </c>
      <c r="D551" s="41">
        <v>0.0</v>
      </c>
      <c r="E551" s="42" t="str">
        <f t="shared" si="1"/>
        <v>100.0%</v>
      </c>
    </row>
    <row r="552">
      <c r="A552" s="40" t="s">
        <v>1352</v>
      </c>
      <c r="B552" s="40" t="s">
        <v>8659</v>
      </c>
      <c r="C552" s="41">
        <v>2.0</v>
      </c>
      <c r="D552" s="41">
        <v>0.0</v>
      </c>
      <c r="E552" s="42" t="str">
        <f t="shared" si="1"/>
        <v>100.0%</v>
      </c>
    </row>
    <row r="553">
      <c r="A553" s="40" t="s">
        <v>1352</v>
      </c>
      <c r="B553" s="40" t="s">
        <v>8834</v>
      </c>
      <c r="C553" s="41">
        <v>2.0</v>
      </c>
      <c r="D553" s="41">
        <v>0.0</v>
      </c>
      <c r="E553" s="42" t="str">
        <f t="shared" si="1"/>
        <v>100.0%</v>
      </c>
    </row>
    <row r="554">
      <c r="A554" s="40" t="s">
        <v>1352</v>
      </c>
      <c r="B554" s="40" t="s">
        <v>8835</v>
      </c>
      <c r="C554" s="41">
        <v>2.0</v>
      </c>
      <c r="D554" s="41">
        <v>0.0</v>
      </c>
      <c r="E554" s="42" t="str">
        <f t="shared" si="1"/>
        <v>100.0%</v>
      </c>
    </row>
    <row r="555">
      <c r="A555" s="40" t="s">
        <v>1352</v>
      </c>
      <c r="B555" s="40" t="s">
        <v>8836</v>
      </c>
      <c r="C555" s="41">
        <v>2.0</v>
      </c>
      <c r="D555" s="41">
        <v>0.0</v>
      </c>
      <c r="E555" s="42" t="str">
        <f t="shared" si="1"/>
        <v>100.0%</v>
      </c>
    </row>
    <row r="556">
      <c r="A556" s="40" t="s">
        <v>1352</v>
      </c>
      <c r="B556" s="40" t="s">
        <v>8513</v>
      </c>
      <c r="C556" s="41">
        <v>2.0</v>
      </c>
      <c r="D556" s="41">
        <v>1.0</v>
      </c>
      <c r="E556" s="42" t="str">
        <f t="shared" si="1"/>
        <v>66.7%</v>
      </c>
    </row>
    <row r="557">
      <c r="A557" s="40" t="s">
        <v>1352</v>
      </c>
      <c r="B557" s="40" t="s">
        <v>8625</v>
      </c>
      <c r="C557" s="41">
        <v>2.0</v>
      </c>
      <c r="D557" s="41">
        <v>1.0</v>
      </c>
      <c r="E557" s="42" t="str">
        <f t="shared" si="1"/>
        <v>66.7%</v>
      </c>
    </row>
    <row r="558">
      <c r="A558" s="40" t="s">
        <v>1352</v>
      </c>
      <c r="B558" s="40" t="s">
        <v>8647</v>
      </c>
      <c r="C558" s="41">
        <v>2.0</v>
      </c>
      <c r="D558" s="41">
        <v>1.0</v>
      </c>
      <c r="E558" s="42" t="str">
        <f t="shared" si="1"/>
        <v>66.7%</v>
      </c>
    </row>
    <row r="559">
      <c r="A559" s="40" t="s">
        <v>1352</v>
      </c>
      <c r="B559" s="40" t="s">
        <v>8801</v>
      </c>
      <c r="C559" s="41">
        <v>2.0</v>
      </c>
      <c r="D559" s="41">
        <v>1.0</v>
      </c>
      <c r="E559" s="42" t="str">
        <f t="shared" si="1"/>
        <v>66.7%</v>
      </c>
    </row>
    <row r="560">
      <c r="A560" s="40" t="s">
        <v>1352</v>
      </c>
      <c r="B560" s="40" t="s">
        <v>8837</v>
      </c>
      <c r="C560" s="41">
        <v>2.0</v>
      </c>
      <c r="D560" s="41">
        <v>1.0</v>
      </c>
      <c r="E560" s="42" t="str">
        <f t="shared" si="1"/>
        <v>66.7%</v>
      </c>
    </row>
    <row r="561">
      <c r="A561" s="40" t="s">
        <v>1352</v>
      </c>
      <c r="B561" s="40" t="s">
        <v>8838</v>
      </c>
      <c r="C561" s="41">
        <v>2.0</v>
      </c>
      <c r="D561" s="41">
        <v>1.0</v>
      </c>
      <c r="E561" s="42" t="str">
        <f t="shared" si="1"/>
        <v>66.7%</v>
      </c>
    </row>
    <row r="562">
      <c r="A562" s="40" t="s">
        <v>1352</v>
      </c>
      <c r="B562" s="40" t="s">
        <v>8839</v>
      </c>
      <c r="C562" s="41">
        <v>2.0</v>
      </c>
      <c r="D562" s="41">
        <v>1.0</v>
      </c>
      <c r="E562" s="42" t="str">
        <f t="shared" si="1"/>
        <v>66.7%</v>
      </c>
    </row>
    <row r="563">
      <c r="A563" s="40" t="s">
        <v>1352</v>
      </c>
      <c r="B563" s="40" t="s">
        <v>8520</v>
      </c>
      <c r="C563" s="41">
        <v>2.0</v>
      </c>
      <c r="D563" s="41">
        <v>2.0</v>
      </c>
      <c r="E563" s="42" t="str">
        <f t="shared" si="1"/>
        <v>50.0%</v>
      </c>
    </row>
    <row r="564">
      <c r="A564" s="40" t="s">
        <v>1352</v>
      </c>
      <c r="B564" s="40" t="s">
        <v>8762</v>
      </c>
      <c r="C564" s="41">
        <v>2.0</v>
      </c>
      <c r="D564" s="41">
        <v>2.0</v>
      </c>
      <c r="E564" s="42" t="str">
        <f t="shared" si="1"/>
        <v>50.0%</v>
      </c>
    </row>
    <row r="565">
      <c r="A565" s="40" t="s">
        <v>1352</v>
      </c>
      <c r="B565" s="40" t="s">
        <v>8739</v>
      </c>
      <c r="C565" s="41">
        <v>2.0</v>
      </c>
      <c r="D565" s="41">
        <v>2.0</v>
      </c>
      <c r="E565" s="42" t="str">
        <f t="shared" si="1"/>
        <v>50.0%</v>
      </c>
    </row>
    <row r="566">
      <c r="A566" s="40" t="s">
        <v>1352</v>
      </c>
      <c r="B566" s="40" t="s">
        <v>8840</v>
      </c>
      <c r="C566" s="41">
        <v>2.0</v>
      </c>
      <c r="D566" s="41">
        <v>2.0</v>
      </c>
      <c r="E566" s="42" t="str">
        <f t="shared" si="1"/>
        <v>50.0%</v>
      </c>
    </row>
    <row r="567">
      <c r="A567" s="40" t="s">
        <v>1352</v>
      </c>
      <c r="B567" s="40" t="s">
        <v>8841</v>
      </c>
      <c r="C567" s="41">
        <v>2.0</v>
      </c>
      <c r="D567" s="41">
        <v>2.0</v>
      </c>
      <c r="E567" s="42" t="str">
        <f t="shared" si="1"/>
        <v>50.0%</v>
      </c>
    </row>
    <row r="568">
      <c r="A568" s="40" t="s">
        <v>1352</v>
      </c>
      <c r="B568" s="40" t="s">
        <v>8842</v>
      </c>
      <c r="C568" s="41">
        <v>2.0</v>
      </c>
      <c r="D568" s="41">
        <v>2.0</v>
      </c>
      <c r="E568" s="42" t="str">
        <f t="shared" si="1"/>
        <v>50.0%</v>
      </c>
    </row>
    <row r="569">
      <c r="A569" s="40" t="s">
        <v>1352</v>
      </c>
      <c r="B569" s="40" t="s">
        <v>8543</v>
      </c>
      <c r="C569" s="41">
        <v>2.0</v>
      </c>
      <c r="D569" s="41">
        <v>3.0</v>
      </c>
      <c r="E569" s="42" t="str">
        <f t="shared" si="1"/>
        <v>40.0%</v>
      </c>
    </row>
    <row r="570">
      <c r="A570" s="40" t="s">
        <v>1352</v>
      </c>
      <c r="B570" s="40" t="s">
        <v>8592</v>
      </c>
      <c r="C570" s="41">
        <v>2.0</v>
      </c>
      <c r="D570" s="41">
        <v>3.0</v>
      </c>
      <c r="E570" s="42" t="str">
        <f t="shared" si="1"/>
        <v>40.0%</v>
      </c>
    </row>
    <row r="571">
      <c r="A571" s="40" t="s">
        <v>1352</v>
      </c>
      <c r="B571" s="40" t="s">
        <v>8545</v>
      </c>
      <c r="C571" s="41">
        <v>2.0</v>
      </c>
      <c r="D571" s="41">
        <v>3.0</v>
      </c>
      <c r="E571" s="42" t="str">
        <f t="shared" si="1"/>
        <v>40.0%</v>
      </c>
    </row>
    <row r="572">
      <c r="A572" s="40" t="s">
        <v>1352</v>
      </c>
      <c r="B572" s="40" t="s">
        <v>8731</v>
      </c>
      <c r="C572" s="41">
        <v>2.0</v>
      </c>
      <c r="D572" s="41">
        <v>3.0</v>
      </c>
      <c r="E572" s="42" t="str">
        <f t="shared" si="1"/>
        <v>40.0%</v>
      </c>
    </row>
    <row r="573">
      <c r="A573" s="40" t="s">
        <v>1352</v>
      </c>
      <c r="B573" s="40" t="s">
        <v>8749</v>
      </c>
      <c r="C573" s="41">
        <v>2.0</v>
      </c>
      <c r="D573" s="41">
        <v>3.0</v>
      </c>
      <c r="E573" s="42" t="str">
        <f t="shared" si="1"/>
        <v>40.0%</v>
      </c>
    </row>
    <row r="574">
      <c r="A574" s="40" t="s">
        <v>1352</v>
      </c>
      <c r="B574" s="40" t="s">
        <v>8683</v>
      </c>
      <c r="C574" s="41">
        <v>2.0</v>
      </c>
      <c r="D574" s="41">
        <v>3.0</v>
      </c>
      <c r="E574" s="42" t="str">
        <f t="shared" si="1"/>
        <v>40.0%</v>
      </c>
    </row>
    <row r="575">
      <c r="A575" s="40" t="s">
        <v>1352</v>
      </c>
      <c r="B575" s="40" t="s">
        <v>8843</v>
      </c>
      <c r="C575" s="41">
        <v>2.0</v>
      </c>
      <c r="D575" s="41">
        <v>3.0</v>
      </c>
      <c r="E575" s="42" t="str">
        <f t="shared" si="1"/>
        <v>40.0%</v>
      </c>
    </row>
    <row r="576">
      <c r="A576" s="40" t="s">
        <v>1352</v>
      </c>
      <c r="B576" s="40" t="s">
        <v>8590</v>
      </c>
      <c r="C576" s="41">
        <v>2.0</v>
      </c>
      <c r="D576" s="41">
        <v>5.0</v>
      </c>
      <c r="E576" s="42" t="str">
        <f t="shared" si="1"/>
        <v>28.6%</v>
      </c>
    </row>
    <row r="577">
      <c r="A577" s="40" t="s">
        <v>1352</v>
      </c>
      <c r="B577" s="40" t="s">
        <v>8844</v>
      </c>
      <c r="C577" s="41">
        <v>2.0</v>
      </c>
      <c r="D577" s="41">
        <v>5.0</v>
      </c>
      <c r="E577" s="42" t="str">
        <f t="shared" si="1"/>
        <v>28.6%</v>
      </c>
    </row>
    <row r="578">
      <c r="A578" s="40" t="s">
        <v>1352</v>
      </c>
      <c r="B578" s="40" t="s">
        <v>8507</v>
      </c>
      <c r="C578" s="41">
        <v>2.0</v>
      </c>
      <c r="D578" s="41">
        <v>6.0</v>
      </c>
      <c r="E578" s="42" t="str">
        <f t="shared" si="1"/>
        <v>25.0%</v>
      </c>
    </row>
    <row r="579">
      <c r="A579" s="40" t="s">
        <v>1352</v>
      </c>
      <c r="B579" s="40" t="s">
        <v>8770</v>
      </c>
      <c r="C579" s="41">
        <v>2.0</v>
      </c>
      <c r="D579" s="41">
        <v>7.0</v>
      </c>
      <c r="E579" s="42" t="str">
        <f t="shared" si="1"/>
        <v>22.2%</v>
      </c>
    </row>
    <row r="580">
      <c r="A580" s="40" t="s">
        <v>1352</v>
      </c>
      <c r="B580" s="40" t="s">
        <v>8845</v>
      </c>
      <c r="C580" s="41">
        <v>2.0</v>
      </c>
      <c r="D580" s="41">
        <v>7.0</v>
      </c>
      <c r="E580" s="42" t="str">
        <f t="shared" si="1"/>
        <v>22.2%</v>
      </c>
    </row>
    <row r="581">
      <c r="A581" s="40" t="s">
        <v>1352</v>
      </c>
      <c r="B581" s="40" t="s">
        <v>8515</v>
      </c>
      <c r="C581" s="41">
        <v>2.0</v>
      </c>
      <c r="D581" s="41">
        <v>8.0</v>
      </c>
      <c r="E581" s="42" t="str">
        <f t="shared" si="1"/>
        <v>20.0%</v>
      </c>
    </row>
    <row r="582">
      <c r="A582" s="40" t="s">
        <v>1352</v>
      </c>
      <c r="B582" s="40" t="s">
        <v>8637</v>
      </c>
      <c r="C582" s="41">
        <v>2.0</v>
      </c>
      <c r="D582" s="41">
        <v>8.0</v>
      </c>
      <c r="E582" s="42" t="str">
        <f t="shared" si="1"/>
        <v>20.0%</v>
      </c>
    </row>
    <row r="583">
      <c r="A583" s="40" t="s">
        <v>1352</v>
      </c>
      <c r="B583" s="40" t="s">
        <v>8629</v>
      </c>
      <c r="C583" s="41">
        <v>1.0</v>
      </c>
      <c r="D583" s="41">
        <v>0.0</v>
      </c>
      <c r="E583" s="42" t="str">
        <f t="shared" si="1"/>
        <v>100.0%</v>
      </c>
    </row>
    <row r="584">
      <c r="A584" s="40" t="s">
        <v>1352</v>
      </c>
      <c r="B584" s="40" t="s">
        <v>8748</v>
      </c>
      <c r="C584" s="41">
        <v>1.0</v>
      </c>
      <c r="D584" s="41">
        <v>0.0</v>
      </c>
      <c r="E584" s="42" t="str">
        <f t="shared" si="1"/>
        <v>100.0%</v>
      </c>
    </row>
    <row r="585">
      <c r="A585" s="40" t="s">
        <v>1352</v>
      </c>
      <c r="B585" s="40" t="s">
        <v>8519</v>
      </c>
      <c r="C585" s="41">
        <v>1.0</v>
      </c>
      <c r="D585" s="41">
        <v>0.0</v>
      </c>
      <c r="E585" s="42" t="str">
        <f t="shared" si="1"/>
        <v>100.0%</v>
      </c>
    </row>
    <row r="586">
      <c r="A586" s="40" t="s">
        <v>1352</v>
      </c>
      <c r="B586" s="40" t="s">
        <v>8585</v>
      </c>
      <c r="C586" s="41">
        <v>1.0</v>
      </c>
      <c r="D586" s="41">
        <v>0.0</v>
      </c>
      <c r="E586" s="42" t="str">
        <f t="shared" si="1"/>
        <v>100.0%</v>
      </c>
    </row>
    <row r="587">
      <c r="A587" s="40" t="s">
        <v>1352</v>
      </c>
      <c r="B587" s="40" t="s">
        <v>8619</v>
      </c>
      <c r="C587" s="41">
        <v>1.0</v>
      </c>
      <c r="D587" s="41">
        <v>0.0</v>
      </c>
      <c r="E587" s="42" t="str">
        <f t="shared" si="1"/>
        <v>100.0%</v>
      </c>
    </row>
    <row r="588">
      <c r="A588" s="40" t="s">
        <v>1352</v>
      </c>
      <c r="B588" s="40" t="s">
        <v>8577</v>
      </c>
      <c r="C588" s="41">
        <v>1.0</v>
      </c>
      <c r="D588" s="41">
        <v>0.0</v>
      </c>
      <c r="E588" s="42" t="str">
        <f t="shared" si="1"/>
        <v>100.0%</v>
      </c>
    </row>
    <row r="589">
      <c r="A589" s="40" t="s">
        <v>1352</v>
      </c>
      <c r="B589" s="40" t="s">
        <v>8567</v>
      </c>
      <c r="C589" s="41">
        <v>1.0</v>
      </c>
      <c r="D589" s="41">
        <v>0.0</v>
      </c>
      <c r="E589" s="42" t="str">
        <f t="shared" si="1"/>
        <v>100.0%</v>
      </c>
    </row>
    <row r="590">
      <c r="A590" s="40" t="s">
        <v>1352</v>
      </c>
      <c r="B590" s="40" t="s">
        <v>8640</v>
      </c>
      <c r="C590" s="41">
        <v>1.0</v>
      </c>
      <c r="D590" s="41">
        <v>0.0</v>
      </c>
      <c r="E590" s="42" t="str">
        <f t="shared" si="1"/>
        <v>100.0%</v>
      </c>
    </row>
    <row r="591">
      <c r="A591" s="40" t="s">
        <v>1352</v>
      </c>
      <c r="B591" s="40" t="s">
        <v>8707</v>
      </c>
      <c r="C591" s="41">
        <v>1.0</v>
      </c>
      <c r="D591" s="41">
        <v>0.0</v>
      </c>
      <c r="E591" s="42" t="str">
        <f t="shared" si="1"/>
        <v>100.0%</v>
      </c>
    </row>
    <row r="592">
      <c r="A592" s="40" t="s">
        <v>1352</v>
      </c>
      <c r="B592" s="40" t="s">
        <v>8765</v>
      </c>
      <c r="C592" s="41">
        <v>1.0</v>
      </c>
      <c r="D592" s="41">
        <v>0.0</v>
      </c>
      <c r="E592" s="42" t="str">
        <f t="shared" si="1"/>
        <v>100.0%</v>
      </c>
    </row>
    <row r="593">
      <c r="A593" s="40" t="s">
        <v>1352</v>
      </c>
      <c r="B593" s="40" t="s">
        <v>8846</v>
      </c>
      <c r="C593" s="41">
        <v>1.0</v>
      </c>
      <c r="D593" s="41">
        <v>0.0</v>
      </c>
      <c r="E593" s="42" t="str">
        <f t="shared" si="1"/>
        <v>100.0%</v>
      </c>
    </row>
    <row r="594">
      <c r="A594" s="40" t="s">
        <v>1352</v>
      </c>
      <c r="B594" s="40" t="s">
        <v>8847</v>
      </c>
      <c r="C594" s="41">
        <v>1.0</v>
      </c>
      <c r="D594" s="41">
        <v>0.0</v>
      </c>
      <c r="E594" s="42" t="str">
        <f t="shared" si="1"/>
        <v>100.0%</v>
      </c>
    </row>
    <row r="595">
      <c r="A595" s="40" t="s">
        <v>1352</v>
      </c>
      <c r="B595" s="40" t="s">
        <v>8848</v>
      </c>
      <c r="C595" s="41">
        <v>1.0</v>
      </c>
      <c r="D595" s="41">
        <v>0.0</v>
      </c>
      <c r="E595" s="42" t="str">
        <f t="shared" si="1"/>
        <v>100.0%</v>
      </c>
    </row>
    <row r="596">
      <c r="A596" s="40" t="s">
        <v>1352</v>
      </c>
      <c r="B596" s="40" t="s">
        <v>8849</v>
      </c>
      <c r="C596" s="41">
        <v>1.0</v>
      </c>
      <c r="D596" s="41">
        <v>0.0</v>
      </c>
      <c r="E596" s="42" t="str">
        <f t="shared" si="1"/>
        <v>100.0%</v>
      </c>
    </row>
    <row r="597">
      <c r="A597" s="40" t="s">
        <v>1352</v>
      </c>
      <c r="B597" s="40" t="s">
        <v>8850</v>
      </c>
      <c r="C597" s="41">
        <v>1.0</v>
      </c>
      <c r="D597" s="41">
        <v>0.0</v>
      </c>
      <c r="E597" s="42" t="str">
        <f t="shared" si="1"/>
        <v>100.0%</v>
      </c>
    </row>
    <row r="598">
      <c r="A598" s="40" t="s">
        <v>1352</v>
      </c>
      <c r="B598" s="40" t="s">
        <v>8851</v>
      </c>
      <c r="C598" s="41">
        <v>1.0</v>
      </c>
      <c r="D598" s="41">
        <v>0.0</v>
      </c>
      <c r="E598" s="42" t="str">
        <f t="shared" si="1"/>
        <v>100.0%</v>
      </c>
    </row>
    <row r="599">
      <c r="A599" s="40" t="s">
        <v>1352</v>
      </c>
      <c r="B599" s="40" t="s">
        <v>8852</v>
      </c>
      <c r="C599" s="41">
        <v>1.0</v>
      </c>
      <c r="D599" s="41">
        <v>0.0</v>
      </c>
      <c r="E599" s="42" t="str">
        <f t="shared" si="1"/>
        <v>100.0%</v>
      </c>
    </row>
    <row r="600">
      <c r="A600" s="40" t="s">
        <v>1352</v>
      </c>
      <c r="B600" s="40" t="s">
        <v>8853</v>
      </c>
      <c r="C600" s="41">
        <v>1.0</v>
      </c>
      <c r="D600" s="41">
        <v>0.0</v>
      </c>
      <c r="E600" s="42" t="str">
        <f t="shared" si="1"/>
        <v>100.0%</v>
      </c>
    </row>
    <row r="601">
      <c r="A601" s="40" t="s">
        <v>1352</v>
      </c>
      <c r="B601" s="40" t="s">
        <v>8854</v>
      </c>
      <c r="C601" s="41">
        <v>1.0</v>
      </c>
      <c r="D601" s="41">
        <v>0.0</v>
      </c>
      <c r="E601" s="42" t="str">
        <f t="shared" si="1"/>
        <v>100.0%</v>
      </c>
    </row>
    <row r="602">
      <c r="A602" s="40" t="s">
        <v>1352</v>
      </c>
      <c r="B602" s="40" t="s">
        <v>8648</v>
      </c>
      <c r="C602" s="41">
        <v>1.0</v>
      </c>
      <c r="D602" s="41">
        <v>1.0</v>
      </c>
      <c r="E602" s="42" t="str">
        <f t="shared" si="1"/>
        <v>50.0%</v>
      </c>
    </row>
    <row r="603">
      <c r="A603" s="40" t="s">
        <v>1352</v>
      </c>
      <c r="B603" s="40" t="s">
        <v>8691</v>
      </c>
      <c r="C603" s="41">
        <v>1.0</v>
      </c>
      <c r="D603" s="41">
        <v>1.0</v>
      </c>
      <c r="E603" s="42" t="str">
        <f t="shared" si="1"/>
        <v>50.0%</v>
      </c>
    </row>
    <row r="604">
      <c r="A604" s="40" t="s">
        <v>1352</v>
      </c>
      <c r="B604" s="40" t="s">
        <v>8554</v>
      </c>
      <c r="C604" s="41">
        <v>1.0</v>
      </c>
      <c r="D604" s="41">
        <v>1.0</v>
      </c>
      <c r="E604" s="42" t="str">
        <f t="shared" si="1"/>
        <v>50.0%</v>
      </c>
    </row>
    <row r="605">
      <c r="A605" s="40" t="s">
        <v>1352</v>
      </c>
      <c r="B605" s="40" t="s">
        <v>8593</v>
      </c>
      <c r="C605" s="41">
        <v>1.0</v>
      </c>
      <c r="D605" s="41">
        <v>1.0</v>
      </c>
      <c r="E605" s="42" t="str">
        <f t="shared" si="1"/>
        <v>50.0%</v>
      </c>
    </row>
    <row r="606">
      <c r="A606" s="40" t="s">
        <v>1352</v>
      </c>
      <c r="B606" s="40" t="s">
        <v>8522</v>
      </c>
      <c r="C606" s="41">
        <v>1.0</v>
      </c>
      <c r="D606" s="41">
        <v>1.0</v>
      </c>
      <c r="E606" s="42" t="str">
        <f t="shared" si="1"/>
        <v>50.0%</v>
      </c>
    </row>
    <row r="607">
      <c r="A607" s="40" t="s">
        <v>1352</v>
      </c>
      <c r="B607" s="40" t="s">
        <v>8636</v>
      </c>
      <c r="C607" s="41">
        <v>1.0</v>
      </c>
      <c r="D607" s="41">
        <v>1.0</v>
      </c>
      <c r="E607" s="42" t="str">
        <f t="shared" si="1"/>
        <v>50.0%</v>
      </c>
    </row>
    <row r="608">
      <c r="A608" s="40" t="s">
        <v>1352</v>
      </c>
      <c r="B608" s="40" t="s">
        <v>8624</v>
      </c>
      <c r="C608" s="41">
        <v>1.0</v>
      </c>
      <c r="D608" s="41">
        <v>1.0</v>
      </c>
      <c r="E608" s="42" t="str">
        <f t="shared" si="1"/>
        <v>50.0%</v>
      </c>
    </row>
    <row r="609">
      <c r="A609" s="40" t="s">
        <v>1352</v>
      </c>
      <c r="B609" s="40" t="s">
        <v>8651</v>
      </c>
      <c r="C609" s="41">
        <v>1.0</v>
      </c>
      <c r="D609" s="41">
        <v>1.0</v>
      </c>
      <c r="E609" s="42" t="str">
        <f t="shared" si="1"/>
        <v>50.0%</v>
      </c>
    </row>
    <row r="610">
      <c r="A610" s="40" t="s">
        <v>1352</v>
      </c>
      <c r="B610" s="40" t="s">
        <v>8797</v>
      </c>
      <c r="C610" s="41">
        <v>1.0</v>
      </c>
      <c r="D610" s="41">
        <v>1.0</v>
      </c>
      <c r="E610" s="42" t="str">
        <f t="shared" si="1"/>
        <v>50.0%</v>
      </c>
    </row>
    <row r="611">
      <c r="A611" s="40" t="s">
        <v>1352</v>
      </c>
      <c r="B611" s="40" t="s">
        <v>8855</v>
      </c>
      <c r="C611" s="41">
        <v>1.0</v>
      </c>
      <c r="D611" s="41">
        <v>1.0</v>
      </c>
      <c r="E611" s="42" t="str">
        <f t="shared" si="1"/>
        <v>50.0%</v>
      </c>
    </row>
    <row r="612">
      <c r="A612" s="40" t="s">
        <v>1352</v>
      </c>
      <c r="B612" s="40" t="s">
        <v>8856</v>
      </c>
      <c r="C612" s="41">
        <v>1.0</v>
      </c>
      <c r="D612" s="41">
        <v>1.0</v>
      </c>
      <c r="E612" s="42" t="str">
        <f t="shared" si="1"/>
        <v>50.0%</v>
      </c>
    </row>
    <row r="613">
      <c r="A613" s="40" t="s">
        <v>1352</v>
      </c>
      <c r="B613" s="40" t="s">
        <v>8857</v>
      </c>
      <c r="C613" s="41">
        <v>1.0</v>
      </c>
      <c r="D613" s="41">
        <v>1.0</v>
      </c>
      <c r="E613" s="42" t="str">
        <f t="shared" si="1"/>
        <v>50.0%</v>
      </c>
    </row>
    <row r="614">
      <c r="A614" s="40" t="s">
        <v>1352</v>
      </c>
      <c r="B614" s="40" t="s">
        <v>8858</v>
      </c>
      <c r="C614" s="41">
        <v>1.0</v>
      </c>
      <c r="D614" s="41">
        <v>1.0</v>
      </c>
      <c r="E614" s="42" t="str">
        <f t="shared" si="1"/>
        <v>50.0%</v>
      </c>
    </row>
    <row r="615">
      <c r="A615" s="40" t="s">
        <v>1352</v>
      </c>
      <c r="B615" s="40" t="s">
        <v>8859</v>
      </c>
      <c r="C615" s="41">
        <v>1.0</v>
      </c>
      <c r="D615" s="41">
        <v>1.0</v>
      </c>
      <c r="E615" s="42" t="str">
        <f t="shared" si="1"/>
        <v>50.0%</v>
      </c>
    </row>
    <row r="616">
      <c r="A616" s="40" t="s">
        <v>1352</v>
      </c>
      <c r="B616" s="40" t="s">
        <v>8860</v>
      </c>
      <c r="C616" s="41">
        <v>1.0</v>
      </c>
      <c r="D616" s="41">
        <v>1.0</v>
      </c>
      <c r="E616" s="42" t="str">
        <f t="shared" si="1"/>
        <v>50.0%</v>
      </c>
    </row>
    <row r="617">
      <c r="A617" s="40" t="s">
        <v>1352</v>
      </c>
      <c r="B617" s="40" t="s">
        <v>8861</v>
      </c>
      <c r="C617" s="41">
        <v>1.0</v>
      </c>
      <c r="D617" s="41">
        <v>1.0</v>
      </c>
      <c r="E617" s="42" t="str">
        <f t="shared" si="1"/>
        <v>50.0%</v>
      </c>
    </row>
    <row r="618">
      <c r="A618" s="40" t="s">
        <v>1352</v>
      </c>
      <c r="B618" s="40" t="s">
        <v>8862</v>
      </c>
      <c r="C618" s="41">
        <v>1.0</v>
      </c>
      <c r="D618" s="41">
        <v>1.0</v>
      </c>
      <c r="E618" s="42" t="str">
        <f t="shared" si="1"/>
        <v>50.0%</v>
      </c>
    </row>
    <row r="619">
      <c r="A619" s="40" t="s">
        <v>1352</v>
      </c>
      <c r="B619" s="40" t="s">
        <v>8863</v>
      </c>
      <c r="C619" s="41">
        <v>1.0</v>
      </c>
      <c r="D619" s="41">
        <v>1.0</v>
      </c>
      <c r="E619" s="42" t="str">
        <f t="shared" si="1"/>
        <v>50.0%</v>
      </c>
    </row>
    <row r="620">
      <c r="A620" s="40" t="s">
        <v>1352</v>
      </c>
      <c r="B620" s="40" t="s">
        <v>8864</v>
      </c>
      <c r="C620" s="41">
        <v>1.0</v>
      </c>
      <c r="D620" s="41">
        <v>1.0</v>
      </c>
      <c r="E620" s="42" t="str">
        <f t="shared" si="1"/>
        <v>50.0%</v>
      </c>
    </row>
    <row r="621">
      <c r="A621" s="40" t="s">
        <v>1352</v>
      </c>
      <c r="B621" s="40" t="s">
        <v>8865</v>
      </c>
      <c r="C621" s="41">
        <v>1.0</v>
      </c>
      <c r="D621" s="41">
        <v>1.0</v>
      </c>
      <c r="E621" s="42" t="str">
        <f t="shared" si="1"/>
        <v>50.0%</v>
      </c>
    </row>
    <row r="622">
      <c r="A622" s="40" t="s">
        <v>1352</v>
      </c>
      <c r="B622" s="40" t="s">
        <v>8866</v>
      </c>
      <c r="C622" s="41">
        <v>1.0</v>
      </c>
      <c r="D622" s="41">
        <v>1.0</v>
      </c>
      <c r="E622" s="42" t="str">
        <f t="shared" si="1"/>
        <v>50.0%</v>
      </c>
    </row>
    <row r="623">
      <c r="A623" s="40" t="s">
        <v>1352</v>
      </c>
      <c r="B623" s="40" t="s">
        <v>8867</v>
      </c>
      <c r="C623" s="41">
        <v>1.0</v>
      </c>
      <c r="D623" s="41">
        <v>1.0</v>
      </c>
      <c r="E623" s="42" t="str">
        <f t="shared" si="1"/>
        <v>50.0%</v>
      </c>
    </row>
    <row r="624">
      <c r="A624" s="40" t="s">
        <v>1352</v>
      </c>
      <c r="B624" s="40" t="s">
        <v>8868</v>
      </c>
      <c r="C624" s="41">
        <v>1.0</v>
      </c>
      <c r="D624" s="41">
        <v>1.0</v>
      </c>
      <c r="E624" s="42" t="str">
        <f t="shared" si="1"/>
        <v>50.0%</v>
      </c>
    </row>
    <row r="625">
      <c r="A625" s="40" t="s">
        <v>1352</v>
      </c>
      <c r="B625" s="40" t="s">
        <v>8668</v>
      </c>
      <c r="C625" s="41">
        <v>1.0</v>
      </c>
      <c r="D625" s="41">
        <v>2.0</v>
      </c>
      <c r="E625" s="42" t="str">
        <f t="shared" si="1"/>
        <v>33.3%</v>
      </c>
    </row>
    <row r="626">
      <c r="A626" s="40" t="s">
        <v>1352</v>
      </c>
      <c r="B626" s="40" t="s">
        <v>8578</v>
      </c>
      <c r="C626" s="41">
        <v>1.0</v>
      </c>
      <c r="D626" s="41">
        <v>2.0</v>
      </c>
      <c r="E626" s="42" t="str">
        <f t="shared" si="1"/>
        <v>33.3%</v>
      </c>
    </row>
    <row r="627">
      <c r="A627" s="40" t="s">
        <v>1352</v>
      </c>
      <c r="B627" s="40" t="s">
        <v>8623</v>
      </c>
      <c r="C627" s="41">
        <v>1.0</v>
      </c>
      <c r="D627" s="41">
        <v>2.0</v>
      </c>
      <c r="E627" s="42" t="str">
        <f t="shared" si="1"/>
        <v>33.3%</v>
      </c>
    </row>
    <row r="628">
      <c r="A628" s="40" t="s">
        <v>1352</v>
      </c>
      <c r="B628" s="40" t="s">
        <v>8869</v>
      </c>
      <c r="C628" s="41">
        <v>1.0</v>
      </c>
      <c r="D628" s="41">
        <v>2.0</v>
      </c>
      <c r="E628" s="42" t="str">
        <f t="shared" si="1"/>
        <v>33.3%</v>
      </c>
    </row>
    <row r="629">
      <c r="A629" s="40" t="s">
        <v>1352</v>
      </c>
      <c r="B629" s="40" t="s">
        <v>8870</v>
      </c>
      <c r="C629" s="41">
        <v>1.0</v>
      </c>
      <c r="D629" s="41">
        <v>2.0</v>
      </c>
      <c r="E629" s="42" t="str">
        <f t="shared" si="1"/>
        <v>33.3%</v>
      </c>
    </row>
    <row r="630">
      <c r="A630" s="40" t="s">
        <v>1352</v>
      </c>
      <c r="B630" s="40" t="s">
        <v>8871</v>
      </c>
      <c r="C630" s="41">
        <v>1.0</v>
      </c>
      <c r="D630" s="41">
        <v>2.0</v>
      </c>
      <c r="E630" s="42" t="str">
        <f t="shared" si="1"/>
        <v>33.3%</v>
      </c>
    </row>
    <row r="631">
      <c r="A631" s="40" t="s">
        <v>1352</v>
      </c>
      <c r="B631" s="40" t="s">
        <v>8872</v>
      </c>
      <c r="C631" s="41">
        <v>1.0</v>
      </c>
      <c r="D631" s="41">
        <v>2.0</v>
      </c>
      <c r="E631" s="42" t="str">
        <f t="shared" si="1"/>
        <v>33.3%</v>
      </c>
    </row>
    <row r="632">
      <c r="A632" s="40" t="s">
        <v>1352</v>
      </c>
      <c r="B632" s="40" t="s">
        <v>8873</v>
      </c>
      <c r="C632" s="41">
        <v>1.0</v>
      </c>
      <c r="D632" s="41">
        <v>2.0</v>
      </c>
      <c r="E632" s="42" t="str">
        <f t="shared" si="1"/>
        <v>33.3%</v>
      </c>
    </row>
    <row r="633">
      <c r="A633" s="40" t="s">
        <v>1352</v>
      </c>
      <c r="B633" s="40" t="s">
        <v>8874</v>
      </c>
      <c r="C633" s="41">
        <v>1.0</v>
      </c>
      <c r="D633" s="41">
        <v>2.0</v>
      </c>
      <c r="E633" s="42" t="str">
        <f t="shared" si="1"/>
        <v>33.3%</v>
      </c>
    </row>
    <row r="634">
      <c r="A634" s="40" t="s">
        <v>1352</v>
      </c>
      <c r="B634" s="40" t="s">
        <v>8560</v>
      </c>
      <c r="C634" s="41">
        <v>1.0</v>
      </c>
      <c r="D634" s="41">
        <v>3.0</v>
      </c>
      <c r="E634" s="42" t="str">
        <f t="shared" si="1"/>
        <v>25.0%</v>
      </c>
    </row>
    <row r="635">
      <c r="A635" s="40" t="s">
        <v>1352</v>
      </c>
      <c r="B635" s="40" t="s">
        <v>8720</v>
      </c>
      <c r="C635" s="41">
        <v>1.0</v>
      </c>
      <c r="D635" s="41">
        <v>3.0</v>
      </c>
      <c r="E635" s="42" t="str">
        <f t="shared" si="1"/>
        <v>25.0%</v>
      </c>
    </row>
    <row r="636">
      <c r="A636" s="40" t="s">
        <v>1352</v>
      </c>
      <c r="B636" s="40" t="s">
        <v>8580</v>
      </c>
      <c r="C636" s="41">
        <v>1.0</v>
      </c>
      <c r="D636" s="41">
        <v>3.0</v>
      </c>
      <c r="E636" s="42" t="str">
        <f t="shared" si="1"/>
        <v>25.0%</v>
      </c>
    </row>
    <row r="637">
      <c r="A637" s="40" t="s">
        <v>1352</v>
      </c>
      <c r="B637" s="40" t="s">
        <v>8875</v>
      </c>
      <c r="C637" s="41">
        <v>1.0</v>
      </c>
      <c r="D637" s="41">
        <v>3.0</v>
      </c>
      <c r="E637" s="42" t="str">
        <f t="shared" si="1"/>
        <v>25.0%</v>
      </c>
    </row>
    <row r="638">
      <c r="A638" s="40" t="s">
        <v>1352</v>
      </c>
      <c r="B638" s="40" t="s">
        <v>8876</v>
      </c>
      <c r="C638" s="41">
        <v>1.0</v>
      </c>
      <c r="D638" s="41">
        <v>3.0</v>
      </c>
      <c r="E638" s="42" t="str">
        <f t="shared" si="1"/>
        <v>25.0%</v>
      </c>
    </row>
    <row r="639">
      <c r="A639" s="40" t="s">
        <v>1352</v>
      </c>
      <c r="B639" s="40" t="s">
        <v>8877</v>
      </c>
      <c r="C639" s="41">
        <v>1.0</v>
      </c>
      <c r="D639" s="41">
        <v>3.0</v>
      </c>
      <c r="E639" s="42" t="str">
        <f t="shared" si="1"/>
        <v>25.0%</v>
      </c>
    </row>
    <row r="640">
      <c r="A640" s="40" t="s">
        <v>1352</v>
      </c>
      <c r="B640" s="40" t="s">
        <v>8812</v>
      </c>
      <c r="C640" s="41">
        <v>1.0</v>
      </c>
      <c r="D640" s="41">
        <v>4.0</v>
      </c>
      <c r="E640" s="42" t="str">
        <f t="shared" si="1"/>
        <v>20.0%</v>
      </c>
    </row>
    <row r="641">
      <c r="A641" s="40" t="s">
        <v>1352</v>
      </c>
      <c r="B641" s="40" t="s">
        <v>8878</v>
      </c>
      <c r="C641" s="41">
        <v>1.0</v>
      </c>
      <c r="D641" s="41">
        <v>4.0</v>
      </c>
      <c r="E641" s="42" t="str">
        <f t="shared" si="1"/>
        <v>20.0%</v>
      </c>
    </row>
    <row r="642">
      <c r="A642" s="40" t="s">
        <v>1352</v>
      </c>
      <c r="B642" s="40" t="s">
        <v>8879</v>
      </c>
      <c r="C642" s="41">
        <v>1.0</v>
      </c>
      <c r="D642" s="41">
        <v>4.0</v>
      </c>
      <c r="E642" s="42" t="str">
        <f t="shared" si="1"/>
        <v>20.0%</v>
      </c>
    </row>
    <row r="643">
      <c r="A643" s="40" t="s">
        <v>1352</v>
      </c>
      <c r="B643" s="40" t="s">
        <v>8655</v>
      </c>
      <c r="C643" s="41">
        <v>1.0</v>
      </c>
      <c r="D643" s="41">
        <v>5.0</v>
      </c>
      <c r="E643" s="42" t="str">
        <f t="shared" si="1"/>
        <v>16.7%</v>
      </c>
    </row>
    <row r="644">
      <c r="A644" s="40" t="s">
        <v>1352</v>
      </c>
      <c r="B644" s="40" t="s">
        <v>8880</v>
      </c>
      <c r="C644" s="41">
        <v>1.0</v>
      </c>
      <c r="D644" s="41">
        <v>5.0</v>
      </c>
      <c r="E644" s="42" t="str">
        <f t="shared" si="1"/>
        <v>16.7%</v>
      </c>
    </row>
    <row r="645">
      <c r="A645" s="40" t="s">
        <v>1352</v>
      </c>
      <c r="B645" s="40" t="s">
        <v>8881</v>
      </c>
      <c r="C645" s="41">
        <v>1.0</v>
      </c>
      <c r="D645" s="41">
        <v>6.0</v>
      </c>
      <c r="E645" s="42" t="str">
        <f t="shared" si="1"/>
        <v>14.3%</v>
      </c>
    </row>
    <row r="646">
      <c r="A646" s="40" t="s">
        <v>1352</v>
      </c>
      <c r="B646" s="40" t="s">
        <v>8882</v>
      </c>
      <c r="C646" s="41">
        <v>1.0</v>
      </c>
      <c r="D646" s="41">
        <v>6.0</v>
      </c>
      <c r="E646" s="42" t="str">
        <f t="shared" si="1"/>
        <v>14.3%</v>
      </c>
    </row>
    <row r="647">
      <c r="A647" s="40" t="s">
        <v>1352</v>
      </c>
      <c r="B647" s="40" t="s">
        <v>8601</v>
      </c>
      <c r="C647" s="41">
        <v>0.0</v>
      </c>
      <c r="D647" s="41">
        <v>1.0</v>
      </c>
      <c r="E647" s="42" t="str">
        <f t="shared" si="1"/>
        <v>0.0%</v>
      </c>
    </row>
    <row r="648">
      <c r="A648" s="40" t="s">
        <v>1352</v>
      </c>
      <c r="B648" s="40" t="s">
        <v>8550</v>
      </c>
      <c r="C648" s="41">
        <v>0.0</v>
      </c>
      <c r="D648" s="41">
        <v>1.0</v>
      </c>
      <c r="E648" s="42" t="str">
        <f t="shared" si="1"/>
        <v>0.0%</v>
      </c>
    </row>
    <row r="649">
      <c r="A649" s="40" t="s">
        <v>1352</v>
      </c>
      <c r="B649" s="40" t="s">
        <v>8644</v>
      </c>
      <c r="C649" s="41">
        <v>0.0</v>
      </c>
      <c r="D649" s="41">
        <v>1.0</v>
      </c>
      <c r="E649" s="42" t="str">
        <f t="shared" si="1"/>
        <v>0.0%</v>
      </c>
    </row>
    <row r="650">
      <c r="A650" s="40" t="s">
        <v>1352</v>
      </c>
      <c r="B650" s="40" t="s">
        <v>8688</v>
      </c>
      <c r="C650" s="41">
        <v>0.0</v>
      </c>
      <c r="D650" s="41">
        <v>1.0</v>
      </c>
      <c r="E650" s="42" t="str">
        <f t="shared" si="1"/>
        <v>0.0%</v>
      </c>
    </row>
    <row r="651">
      <c r="A651" s="40" t="s">
        <v>1352</v>
      </c>
      <c r="B651" s="40" t="s">
        <v>8774</v>
      </c>
      <c r="C651" s="41">
        <v>0.0</v>
      </c>
      <c r="D651" s="41">
        <v>1.0</v>
      </c>
      <c r="E651" s="42" t="str">
        <f t="shared" si="1"/>
        <v>0.0%</v>
      </c>
    </row>
    <row r="652">
      <c r="A652" s="40" t="s">
        <v>1352</v>
      </c>
      <c r="B652" s="40" t="s">
        <v>8735</v>
      </c>
      <c r="C652" s="41">
        <v>0.0</v>
      </c>
      <c r="D652" s="41">
        <v>1.0</v>
      </c>
      <c r="E652" s="42" t="str">
        <f t="shared" si="1"/>
        <v>0.0%</v>
      </c>
    </row>
    <row r="653">
      <c r="A653" s="40" t="s">
        <v>1352</v>
      </c>
      <c r="B653" s="40" t="s">
        <v>8883</v>
      </c>
      <c r="C653" s="41">
        <v>0.0</v>
      </c>
      <c r="D653" s="41">
        <v>1.0</v>
      </c>
      <c r="E653" s="42" t="str">
        <f t="shared" si="1"/>
        <v>0.0%</v>
      </c>
    </row>
    <row r="654">
      <c r="A654" s="40" t="s">
        <v>1352</v>
      </c>
      <c r="B654" s="40" t="s">
        <v>8884</v>
      </c>
      <c r="C654" s="41">
        <v>0.0</v>
      </c>
      <c r="D654" s="41">
        <v>1.0</v>
      </c>
      <c r="E654" s="42" t="str">
        <f t="shared" si="1"/>
        <v>0.0%</v>
      </c>
    </row>
    <row r="655">
      <c r="A655" s="40" t="s">
        <v>1352</v>
      </c>
      <c r="B655" s="40" t="s">
        <v>8885</v>
      </c>
      <c r="C655" s="41">
        <v>0.0</v>
      </c>
      <c r="D655" s="41">
        <v>1.0</v>
      </c>
      <c r="E655" s="42" t="str">
        <f t="shared" si="1"/>
        <v>0.0%</v>
      </c>
    </row>
    <row r="656">
      <c r="A656" s="40" t="s">
        <v>1352</v>
      </c>
      <c r="B656" s="40" t="s">
        <v>8886</v>
      </c>
      <c r="C656" s="41">
        <v>0.0</v>
      </c>
      <c r="D656" s="41">
        <v>1.0</v>
      </c>
      <c r="E656" s="42" t="str">
        <f t="shared" si="1"/>
        <v>0.0%</v>
      </c>
    </row>
    <row r="657">
      <c r="A657" s="40" t="s">
        <v>1352</v>
      </c>
      <c r="B657" s="40" t="s">
        <v>8887</v>
      </c>
      <c r="C657" s="41">
        <v>0.0</v>
      </c>
      <c r="D657" s="41">
        <v>1.0</v>
      </c>
      <c r="E657" s="42" t="str">
        <f t="shared" si="1"/>
        <v>0.0%</v>
      </c>
    </row>
    <row r="658">
      <c r="A658" s="40" t="s">
        <v>1352</v>
      </c>
      <c r="B658" s="40" t="s">
        <v>8888</v>
      </c>
      <c r="C658" s="41">
        <v>0.0</v>
      </c>
      <c r="D658" s="41">
        <v>1.0</v>
      </c>
      <c r="E658" s="42" t="str">
        <f t="shared" si="1"/>
        <v>0.0%</v>
      </c>
    </row>
    <row r="659">
      <c r="A659" s="40" t="s">
        <v>1352</v>
      </c>
      <c r="B659" s="40" t="s">
        <v>8889</v>
      </c>
      <c r="C659" s="41">
        <v>0.0</v>
      </c>
      <c r="D659" s="41">
        <v>1.0</v>
      </c>
      <c r="E659" s="42" t="str">
        <f t="shared" si="1"/>
        <v>0.0%</v>
      </c>
    </row>
    <row r="660">
      <c r="A660" s="40" t="s">
        <v>1352</v>
      </c>
      <c r="B660" s="40" t="s">
        <v>8890</v>
      </c>
      <c r="C660" s="41">
        <v>0.0</v>
      </c>
      <c r="D660" s="41">
        <v>1.0</v>
      </c>
      <c r="E660" s="42" t="str">
        <f t="shared" si="1"/>
        <v>0.0%</v>
      </c>
    </row>
    <row r="661">
      <c r="A661" s="40" t="s">
        <v>1352</v>
      </c>
      <c r="B661" s="40" t="s">
        <v>8891</v>
      </c>
      <c r="C661" s="41">
        <v>0.0</v>
      </c>
      <c r="D661" s="41">
        <v>1.0</v>
      </c>
      <c r="E661" s="42" t="str">
        <f t="shared" si="1"/>
        <v>0.0%</v>
      </c>
    </row>
    <row r="662">
      <c r="A662" s="40" t="s">
        <v>1352</v>
      </c>
      <c r="B662" s="40" t="s">
        <v>8892</v>
      </c>
      <c r="C662" s="41">
        <v>0.0</v>
      </c>
      <c r="D662" s="41">
        <v>1.0</v>
      </c>
      <c r="E662" s="42" t="str">
        <f t="shared" si="1"/>
        <v>0.0%</v>
      </c>
    </row>
    <row r="663">
      <c r="A663" s="40" t="s">
        <v>1352</v>
      </c>
      <c r="B663" s="40" t="s">
        <v>8893</v>
      </c>
      <c r="C663" s="41">
        <v>0.0</v>
      </c>
      <c r="D663" s="41">
        <v>1.0</v>
      </c>
      <c r="E663" s="42" t="str">
        <f t="shared" si="1"/>
        <v>0.0%</v>
      </c>
    </row>
    <row r="664">
      <c r="A664" s="40" t="s">
        <v>1352</v>
      </c>
      <c r="B664" s="40" t="s">
        <v>8894</v>
      </c>
      <c r="C664" s="41">
        <v>0.0</v>
      </c>
      <c r="D664" s="41">
        <v>1.0</v>
      </c>
      <c r="E664" s="42" t="str">
        <f t="shared" si="1"/>
        <v>0.0%</v>
      </c>
    </row>
    <row r="665">
      <c r="A665" s="40" t="s">
        <v>1352</v>
      </c>
      <c r="B665" s="40" t="s">
        <v>8895</v>
      </c>
      <c r="C665" s="41">
        <v>0.0</v>
      </c>
      <c r="D665" s="41">
        <v>1.0</v>
      </c>
      <c r="E665" s="42" t="str">
        <f t="shared" si="1"/>
        <v>0.0%</v>
      </c>
    </row>
    <row r="666">
      <c r="A666" s="40" t="s">
        <v>1352</v>
      </c>
      <c r="B666" s="40" t="s">
        <v>8485</v>
      </c>
      <c r="C666" s="41">
        <v>0.0</v>
      </c>
      <c r="D666" s="41">
        <v>2.0</v>
      </c>
      <c r="E666" s="42" t="str">
        <f t="shared" si="1"/>
        <v>0.0%</v>
      </c>
    </row>
    <row r="667">
      <c r="A667" s="40" t="s">
        <v>1352</v>
      </c>
      <c r="B667" s="40" t="s">
        <v>8552</v>
      </c>
      <c r="C667" s="41">
        <v>0.0</v>
      </c>
      <c r="D667" s="41">
        <v>2.0</v>
      </c>
      <c r="E667" s="42" t="str">
        <f t="shared" si="1"/>
        <v>0.0%</v>
      </c>
    </row>
    <row r="668">
      <c r="A668" s="40" t="s">
        <v>1352</v>
      </c>
      <c r="B668" s="40" t="s">
        <v>8529</v>
      </c>
      <c r="C668" s="41">
        <v>0.0</v>
      </c>
      <c r="D668" s="41">
        <v>2.0</v>
      </c>
      <c r="E668" s="42" t="str">
        <f t="shared" si="1"/>
        <v>0.0%</v>
      </c>
    </row>
    <row r="669">
      <c r="A669" s="40" t="s">
        <v>1352</v>
      </c>
      <c r="B669" s="40" t="s">
        <v>8792</v>
      </c>
      <c r="C669" s="41">
        <v>0.0</v>
      </c>
      <c r="D669" s="41">
        <v>2.0</v>
      </c>
      <c r="E669" s="42" t="str">
        <f t="shared" si="1"/>
        <v>0.0%</v>
      </c>
    </row>
    <row r="670">
      <c r="A670" s="40" t="s">
        <v>1352</v>
      </c>
      <c r="B670" s="40" t="s">
        <v>8772</v>
      </c>
      <c r="C670" s="41">
        <v>0.0</v>
      </c>
      <c r="D670" s="41">
        <v>2.0</v>
      </c>
      <c r="E670" s="42" t="str">
        <f t="shared" si="1"/>
        <v>0.0%</v>
      </c>
    </row>
    <row r="671">
      <c r="A671" s="40" t="s">
        <v>1352</v>
      </c>
      <c r="B671" s="40" t="s">
        <v>8740</v>
      </c>
      <c r="C671" s="41">
        <v>0.0</v>
      </c>
      <c r="D671" s="41">
        <v>2.0</v>
      </c>
      <c r="E671" s="42" t="str">
        <f t="shared" si="1"/>
        <v>0.0%</v>
      </c>
    </row>
    <row r="672">
      <c r="A672" s="40" t="s">
        <v>1352</v>
      </c>
      <c r="B672" s="40" t="s">
        <v>8896</v>
      </c>
      <c r="C672" s="41">
        <v>0.0</v>
      </c>
      <c r="D672" s="41">
        <v>2.0</v>
      </c>
      <c r="E672" s="42" t="str">
        <f t="shared" si="1"/>
        <v>0.0%</v>
      </c>
    </row>
    <row r="673">
      <c r="A673" s="40" t="s">
        <v>1352</v>
      </c>
      <c r="B673" s="40" t="s">
        <v>8897</v>
      </c>
      <c r="C673" s="41">
        <v>0.0</v>
      </c>
      <c r="D673" s="41">
        <v>2.0</v>
      </c>
      <c r="E673" s="42" t="str">
        <f t="shared" si="1"/>
        <v>0.0%</v>
      </c>
    </row>
    <row r="674">
      <c r="A674" s="40" t="s">
        <v>1352</v>
      </c>
      <c r="B674" s="40" t="s">
        <v>8898</v>
      </c>
      <c r="C674" s="41">
        <v>0.0</v>
      </c>
      <c r="D674" s="41">
        <v>2.0</v>
      </c>
      <c r="E674" s="42" t="str">
        <f t="shared" si="1"/>
        <v>0.0%</v>
      </c>
    </row>
    <row r="675">
      <c r="A675" s="40" t="s">
        <v>1352</v>
      </c>
      <c r="B675" s="40" t="s">
        <v>8899</v>
      </c>
      <c r="C675" s="41">
        <v>0.0</v>
      </c>
      <c r="D675" s="41">
        <v>2.0</v>
      </c>
      <c r="E675" s="42" t="str">
        <f t="shared" si="1"/>
        <v>0.0%</v>
      </c>
    </row>
    <row r="676">
      <c r="A676" s="40" t="s">
        <v>1352</v>
      </c>
      <c r="B676" s="40" t="s">
        <v>8900</v>
      </c>
      <c r="C676" s="41">
        <v>0.0</v>
      </c>
      <c r="D676" s="41">
        <v>2.0</v>
      </c>
      <c r="E676" s="42" t="str">
        <f t="shared" si="1"/>
        <v>0.0%</v>
      </c>
    </row>
    <row r="677">
      <c r="A677" s="40" t="s">
        <v>1352</v>
      </c>
      <c r="B677" s="40" t="s">
        <v>8901</v>
      </c>
      <c r="C677" s="41">
        <v>0.0</v>
      </c>
      <c r="D677" s="41">
        <v>2.0</v>
      </c>
      <c r="E677" s="42" t="str">
        <f t="shared" si="1"/>
        <v>0.0%</v>
      </c>
    </row>
    <row r="678">
      <c r="A678" s="40" t="s">
        <v>1352</v>
      </c>
      <c r="B678" s="40" t="s">
        <v>8902</v>
      </c>
      <c r="C678" s="41">
        <v>0.0</v>
      </c>
      <c r="D678" s="41">
        <v>2.0</v>
      </c>
      <c r="E678" s="42" t="str">
        <f t="shared" si="1"/>
        <v>0.0%</v>
      </c>
    </row>
    <row r="679">
      <c r="A679" s="40" t="s">
        <v>1352</v>
      </c>
      <c r="B679" s="40" t="s">
        <v>8903</v>
      </c>
      <c r="C679" s="41">
        <v>0.0</v>
      </c>
      <c r="D679" s="41">
        <v>2.0</v>
      </c>
      <c r="E679" s="42" t="str">
        <f t="shared" si="1"/>
        <v>0.0%</v>
      </c>
    </row>
    <row r="680">
      <c r="A680" s="40" t="s">
        <v>1352</v>
      </c>
      <c r="B680" s="40" t="s">
        <v>8500</v>
      </c>
      <c r="C680" s="41">
        <v>0.0</v>
      </c>
      <c r="D680" s="41">
        <v>3.0</v>
      </c>
      <c r="E680" s="42" t="str">
        <f t="shared" si="1"/>
        <v>0.0%</v>
      </c>
    </row>
    <row r="681">
      <c r="A681" s="40" t="s">
        <v>1352</v>
      </c>
      <c r="B681" s="40" t="s">
        <v>8495</v>
      </c>
      <c r="C681" s="41">
        <v>0.0</v>
      </c>
      <c r="D681" s="41">
        <v>3.0</v>
      </c>
      <c r="E681" s="42" t="str">
        <f t="shared" si="1"/>
        <v>0.0%</v>
      </c>
    </row>
    <row r="682">
      <c r="A682" s="40" t="s">
        <v>1352</v>
      </c>
      <c r="B682" s="40" t="s">
        <v>8671</v>
      </c>
      <c r="C682" s="41">
        <v>0.0</v>
      </c>
      <c r="D682" s="41">
        <v>3.0</v>
      </c>
      <c r="E682" s="42" t="str">
        <f t="shared" si="1"/>
        <v>0.0%</v>
      </c>
    </row>
    <row r="683">
      <c r="A683" s="40" t="s">
        <v>1352</v>
      </c>
      <c r="B683" s="40" t="s">
        <v>8744</v>
      </c>
      <c r="C683" s="41">
        <v>0.0</v>
      </c>
      <c r="D683" s="41">
        <v>3.0</v>
      </c>
      <c r="E683" s="42" t="str">
        <f t="shared" si="1"/>
        <v>0.0%</v>
      </c>
    </row>
    <row r="684">
      <c r="A684" s="40" t="s">
        <v>1352</v>
      </c>
      <c r="B684" s="40" t="s">
        <v>8732</v>
      </c>
      <c r="C684" s="41">
        <v>0.0</v>
      </c>
      <c r="D684" s="41">
        <v>3.0</v>
      </c>
      <c r="E684" s="42" t="str">
        <f t="shared" si="1"/>
        <v>0.0%</v>
      </c>
    </row>
    <row r="685">
      <c r="A685" s="40" t="s">
        <v>1352</v>
      </c>
      <c r="B685" s="40" t="s">
        <v>8743</v>
      </c>
      <c r="C685" s="41">
        <v>0.0</v>
      </c>
      <c r="D685" s="41">
        <v>3.0</v>
      </c>
      <c r="E685" s="42" t="str">
        <f t="shared" si="1"/>
        <v>0.0%</v>
      </c>
    </row>
    <row r="686">
      <c r="A686" s="40" t="s">
        <v>1352</v>
      </c>
      <c r="B686" s="40" t="s">
        <v>8904</v>
      </c>
      <c r="C686" s="41">
        <v>0.0</v>
      </c>
      <c r="D686" s="41">
        <v>3.0</v>
      </c>
      <c r="E686" s="42" t="str">
        <f t="shared" si="1"/>
        <v>0.0%</v>
      </c>
    </row>
    <row r="687">
      <c r="A687" s="40" t="s">
        <v>1352</v>
      </c>
      <c r="B687" s="40" t="s">
        <v>8905</v>
      </c>
      <c r="C687" s="41">
        <v>0.0</v>
      </c>
      <c r="D687" s="41">
        <v>3.0</v>
      </c>
      <c r="E687" s="42" t="str">
        <f t="shared" si="1"/>
        <v>0.0%</v>
      </c>
    </row>
    <row r="688">
      <c r="A688" s="40" t="s">
        <v>1352</v>
      </c>
      <c r="B688" s="40" t="s">
        <v>8906</v>
      </c>
      <c r="C688" s="41">
        <v>0.0</v>
      </c>
      <c r="D688" s="41">
        <v>3.0</v>
      </c>
      <c r="E688" s="42" t="str">
        <f t="shared" si="1"/>
        <v>0.0%</v>
      </c>
    </row>
    <row r="689">
      <c r="A689" s="40" t="s">
        <v>1352</v>
      </c>
      <c r="B689" s="40" t="s">
        <v>8639</v>
      </c>
      <c r="C689" s="41">
        <v>0.0</v>
      </c>
      <c r="D689" s="41">
        <v>4.0</v>
      </c>
      <c r="E689" s="42" t="str">
        <f t="shared" si="1"/>
        <v>0.0%</v>
      </c>
    </row>
    <row r="690">
      <c r="A690" s="40" t="s">
        <v>1352</v>
      </c>
      <c r="B690" s="40" t="s">
        <v>8702</v>
      </c>
      <c r="C690" s="41">
        <v>0.0</v>
      </c>
      <c r="D690" s="41">
        <v>4.0</v>
      </c>
      <c r="E690" s="42" t="str">
        <f t="shared" si="1"/>
        <v>0.0%</v>
      </c>
    </row>
    <row r="691">
      <c r="A691" s="40" t="s">
        <v>1352</v>
      </c>
      <c r="B691" s="40" t="s">
        <v>8642</v>
      </c>
      <c r="C691" s="41">
        <v>0.0</v>
      </c>
      <c r="D691" s="41">
        <v>4.0</v>
      </c>
      <c r="E691" s="42" t="str">
        <f t="shared" si="1"/>
        <v>0.0%</v>
      </c>
    </row>
    <row r="692">
      <c r="A692" s="40" t="s">
        <v>1352</v>
      </c>
      <c r="B692" s="40" t="s">
        <v>8907</v>
      </c>
      <c r="C692" s="41">
        <v>0.0</v>
      </c>
      <c r="D692" s="41">
        <v>4.0</v>
      </c>
      <c r="E692" s="42" t="str">
        <f t="shared" si="1"/>
        <v>0.0%</v>
      </c>
    </row>
    <row r="693">
      <c r="A693" s="40" t="s">
        <v>1352</v>
      </c>
      <c r="B693" s="40" t="s">
        <v>8908</v>
      </c>
      <c r="C693" s="41">
        <v>0.0</v>
      </c>
      <c r="D693" s="41">
        <v>4.0</v>
      </c>
      <c r="E693" s="42" t="str">
        <f t="shared" si="1"/>
        <v>0.0%</v>
      </c>
    </row>
    <row r="694">
      <c r="A694" s="40" t="s">
        <v>1352</v>
      </c>
      <c r="B694" s="40" t="s">
        <v>8909</v>
      </c>
      <c r="C694" s="41">
        <v>0.0</v>
      </c>
      <c r="D694" s="41">
        <v>5.0</v>
      </c>
      <c r="E694" s="42" t="str">
        <f t="shared" si="1"/>
        <v>0.0%</v>
      </c>
    </row>
    <row r="695">
      <c r="A695" s="40" t="s">
        <v>1352</v>
      </c>
      <c r="B695" s="40" t="s">
        <v>8910</v>
      </c>
      <c r="C695" s="41">
        <v>0.0</v>
      </c>
      <c r="D695" s="41">
        <v>5.0</v>
      </c>
      <c r="E695" s="42" t="str">
        <f t="shared" si="1"/>
        <v>0.0%</v>
      </c>
    </row>
    <row r="696">
      <c r="A696" s="40" t="s">
        <v>1352</v>
      </c>
      <c r="B696" s="40" t="s">
        <v>8600</v>
      </c>
      <c r="C696" s="41">
        <v>0.0</v>
      </c>
      <c r="D696" s="41">
        <v>8.0</v>
      </c>
      <c r="E696" s="42" t="str">
        <f t="shared" si="1"/>
        <v>0.0%</v>
      </c>
    </row>
    <row r="697">
      <c r="A697" s="40" t="s">
        <v>2017</v>
      </c>
      <c r="B697" s="40" t="s">
        <v>8518</v>
      </c>
      <c r="C697" s="41">
        <v>18.0</v>
      </c>
      <c r="D697" s="41">
        <v>11.0</v>
      </c>
      <c r="E697" s="42" t="str">
        <f t="shared" si="1"/>
        <v>62.1%</v>
      </c>
    </row>
    <row r="698">
      <c r="A698" s="40" t="s">
        <v>2017</v>
      </c>
      <c r="B698" s="40" t="s">
        <v>8483</v>
      </c>
      <c r="C698" s="41">
        <v>16.0</v>
      </c>
      <c r="D698" s="41">
        <v>12.0</v>
      </c>
      <c r="E698" s="42" t="str">
        <f t="shared" si="1"/>
        <v>57.1%</v>
      </c>
    </row>
    <row r="699">
      <c r="A699" s="40" t="s">
        <v>2017</v>
      </c>
      <c r="B699" s="40" t="s">
        <v>8561</v>
      </c>
      <c r="C699" s="41">
        <v>15.0</v>
      </c>
      <c r="D699" s="41">
        <v>7.0</v>
      </c>
      <c r="E699" s="42" t="str">
        <f t="shared" si="1"/>
        <v>68.2%</v>
      </c>
    </row>
    <row r="700">
      <c r="A700" s="40" t="s">
        <v>2017</v>
      </c>
      <c r="B700" s="40" t="s">
        <v>8487</v>
      </c>
      <c r="C700" s="41">
        <v>14.0</v>
      </c>
      <c r="D700" s="41">
        <v>14.0</v>
      </c>
      <c r="E700" s="42" t="str">
        <f t="shared" si="1"/>
        <v>50.0%</v>
      </c>
    </row>
    <row r="701">
      <c r="A701" s="40" t="s">
        <v>2017</v>
      </c>
      <c r="B701" s="40" t="s">
        <v>8532</v>
      </c>
      <c r="C701" s="41">
        <v>13.0</v>
      </c>
      <c r="D701" s="41">
        <v>5.0</v>
      </c>
      <c r="E701" s="42" t="str">
        <f t="shared" si="1"/>
        <v>72.2%</v>
      </c>
    </row>
    <row r="702">
      <c r="A702" s="40" t="s">
        <v>2017</v>
      </c>
      <c r="B702" s="40" t="s">
        <v>8497</v>
      </c>
      <c r="C702" s="41">
        <v>13.0</v>
      </c>
      <c r="D702" s="41">
        <v>6.0</v>
      </c>
      <c r="E702" s="42" t="str">
        <f t="shared" si="1"/>
        <v>68.4%</v>
      </c>
    </row>
    <row r="703">
      <c r="A703" s="40" t="s">
        <v>2017</v>
      </c>
      <c r="B703" s="40" t="s">
        <v>8569</v>
      </c>
      <c r="C703" s="41">
        <v>13.0</v>
      </c>
      <c r="D703" s="41">
        <v>7.0</v>
      </c>
      <c r="E703" s="42" t="str">
        <f t="shared" si="1"/>
        <v>65.0%</v>
      </c>
    </row>
    <row r="704">
      <c r="A704" s="40" t="s">
        <v>2017</v>
      </c>
      <c r="B704" s="40" t="s">
        <v>8621</v>
      </c>
      <c r="C704" s="41">
        <v>13.0</v>
      </c>
      <c r="D704" s="41">
        <v>11.0</v>
      </c>
      <c r="E704" s="42" t="str">
        <f t="shared" si="1"/>
        <v>54.2%</v>
      </c>
    </row>
    <row r="705">
      <c r="A705" s="40" t="s">
        <v>2017</v>
      </c>
      <c r="B705" s="40" t="s">
        <v>8484</v>
      </c>
      <c r="C705" s="41">
        <v>13.0</v>
      </c>
      <c r="D705" s="41">
        <v>12.0</v>
      </c>
      <c r="E705" s="42" t="str">
        <f t="shared" si="1"/>
        <v>52.0%</v>
      </c>
    </row>
    <row r="706">
      <c r="A706" s="40" t="s">
        <v>2017</v>
      </c>
      <c r="B706" s="40" t="s">
        <v>8588</v>
      </c>
      <c r="C706" s="41">
        <v>13.0</v>
      </c>
      <c r="D706" s="41">
        <v>18.0</v>
      </c>
      <c r="E706" s="42" t="str">
        <f t="shared" si="1"/>
        <v>41.9%</v>
      </c>
    </row>
    <row r="707">
      <c r="A707" s="40" t="s">
        <v>2017</v>
      </c>
      <c r="B707" s="40" t="s">
        <v>8508</v>
      </c>
      <c r="C707" s="41">
        <v>12.0</v>
      </c>
      <c r="D707" s="41">
        <v>4.0</v>
      </c>
      <c r="E707" s="42" t="str">
        <f t="shared" si="1"/>
        <v>75.0%</v>
      </c>
    </row>
    <row r="708">
      <c r="A708" s="40" t="s">
        <v>2017</v>
      </c>
      <c r="B708" s="40" t="s">
        <v>8504</v>
      </c>
      <c r="C708" s="41">
        <v>12.0</v>
      </c>
      <c r="D708" s="41">
        <v>6.0</v>
      </c>
      <c r="E708" s="42" t="str">
        <f t="shared" si="1"/>
        <v>66.7%</v>
      </c>
    </row>
    <row r="709">
      <c r="A709" s="40" t="s">
        <v>2017</v>
      </c>
      <c r="B709" s="40" t="s">
        <v>8568</v>
      </c>
      <c r="C709" s="41">
        <v>12.0</v>
      </c>
      <c r="D709" s="41">
        <v>7.0</v>
      </c>
      <c r="E709" s="42" t="str">
        <f t="shared" si="1"/>
        <v>63.2%</v>
      </c>
    </row>
    <row r="710">
      <c r="A710" s="40" t="s">
        <v>2017</v>
      </c>
      <c r="B710" s="40" t="s">
        <v>8581</v>
      </c>
      <c r="C710" s="41">
        <v>12.0</v>
      </c>
      <c r="D710" s="41">
        <v>13.0</v>
      </c>
      <c r="E710" s="42" t="str">
        <f t="shared" si="1"/>
        <v>48.0%</v>
      </c>
    </row>
    <row r="711">
      <c r="A711" s="40" t="s">
        <v>2017</v>
      </c>
      <c r="B711" s="40" t="s">
        <v>8534</v>
      </c>
      <c r="C711" s="41">
        <v>12.0</v>
      </c>
      <c r="D711" s="41">
        <v>16.0</v>
      </c>
      <c r="E711" s="42" t="str">
        <f t="shared" si="1"/>
        <v>42.9%</v>
      </c>
    </row>
    <row r="712">
      <c r="A712" s="40" t="s">
        <v>2017</v>
      </c>
      <c r="B712" s="40" t="s">
        <v>8530</v>
      </c>
      <c r="C712" s="41">
        <v>12.0</v>
      </c>
      <c r="D712" s="41">
        <v>24.0</v>
      </c>
      <c r="E712" s="42" t="str">
        <f t="shared" si="1"/>
        <v>33.3%</v>
      </c>
    </row>
    <row r="713">
      <c r="A713" s="40" t="s">
        <v>2017</v>
      </c>
      <c r="B713" s="40" t="s">
        <v>8528</v>
      </c>
      <c r="C713" s="41">
        <v>11.0</v>
      </c>
      <c r="D713" s="41">
        <v>2.0</v>
      </c>
      <c r="E713" s="42" t="str">
        <f t="shared" si="1"/>
        <v>84.6%</v>
      </c>
    </row>
    <row r="714">
      <c r="A714" s="40" t="s">
        <v>2017</v>
      </c>
      <c r="B714" s="40" t="s">
        <v>8503</v>
      </c>
      <c r="C714" s="41">
        <v>11.0</v>
      </c>
      <c r="D714" s="41">
        <v>3.0</v>
      </c>
      <c r="E714" s="42" t="str">
        <f t="shared" si="1"/>
        <v>78.6%</v>
      </c>
    </row>
    <row r="715">
      <c r="A715" s="40" t="s">
        <v>2017</v>
      </c>
      <c r="B715" s="40" t="s">
        <v>8556</v>
      </c>
      <c r="C715" s="41">
        <v>10.0</v>
      </c>
      <c r="D715" s="41">
        <v>3.0</v>
      </c>
      <c r="E715" s="42" t="str">
        <f t="shared" si="1"/>
        <v>76.9%</v>
      </c>
    </row>
    <row r="716">
      <c r="A716" s="40" t="s">
        <v>2017</v>
      </c>
      <c r="B716" s="40" t="s">
        <v>8490</v>
      </c>
      <c r="C716" s="41">
        <v>10.0</v>
      </c>
      <c r="D716" s="41">
        <v>14.0</v>
      </c>
      <c r="E716" s="42" t="str">
        <f t="shared" si="1"/>
        <v>41.7%</v>
      </c>
    </row>
    <row r="717">
      <c r="A717" s="40" t="s">
        <v>2017</v>
      </c>
      <c r="B717" s="40" t="s">
        <v>8641</v>
      </c>
      <c r="C717" s="41">
        <v>10.0</v>
      </c>
      <c r="D717" s="41">
        <v>15.0</v>
      </c>
      <c r="E717" s="42" t="str">
        <f t="shared" si="1"/>
        <v>40.0%</v>
      </c>
    </row>
    <row r="718">
      <c r="A718" s="40" t="s">
        <v>2017</v>
      </c>
      <c r="B718" s="40" t="s">
        <v>8533</v>
      </c>
      <c r="C718" s="41">
        <v>9.0</v>
      </c>
      <c r="D718" s="41">
        <v>5.0</v>
      </c>
      <c r="E718" s="42" t="str">
        <f t="shared" si="1"/>
        <v>64.3%</v>
      </c>
    </row>
    <row r="719">
      <c r="A719" s="40" t="s">
        <v>2017</v>
      </c>
      <c r="B719" s="40" t="s">
        <v>8488</v>
      </c>
      <c r="C719" s="41">
        <v>9.0</v>
      </c>
      <c r="D719" s="41">
        <v>6.0</v>
      </c>
      <c r="E719" s="42" t="str">
        <f t="shared" si="1"/>
        <v>60.0%</v>
      </c>
    </row>
    <row r="720">
      <c r="A720" s="40" t="s">
        <v>2017</v>
      </c>
      <c r="B720" s="40" t="s">
        <v>8501</v>
      </c>
      <c r="C720" s="41">
        <v>9.0</v>
      </c>
      <c r="D720" s="41">
        <v>10.0</v>
      </c>
      <c r="E720" s="42" t="str">
        <f t="shared" si="1"/>
        <v>47.4%</v>
      </c>
    </row>
    <row r="721">
      <c r="A721" s="40" t="s">
        <v>2017</v>
      </c>
      <c r="B721" s="40" t="s">
        <v>8523</v>
      </c>
      <c r="C721" s="41">
        <v>8.0</v>
      </c>
      <c r="D721" s="41">
        <v>1.0</v>
      </c>
      <c r="E721" s="42" t="str">
        <f t="shared" si="1"/>
        <v>88.9%</v>
      </c>
    </row>
    <row r="722">
      <c r="A722" s="40" t="s">
        <v>2017</v>
      </c>
      <c r="B722" s="40" t="s">
        <v>8911</v>
      </c>
      <c r="C722" s="41">
        <v>8.0</v>
      </c>
      <c r="D722" s="41">
        <v>7.0</v>
      </c>
      <c r="E722" s="42" t="str">
        <f t="shared" si="1"/>
        <v>53.3%</v>
      </c>
    </row>
    <row r="723">
      <c r="A723" s="40" t="s">
        <v>2017</v>
      </c>
      <c r="B723" s="40" t="s">
        <v>8502</v>
      </c>
      <c r="C723" s="41">
        <v>8.0</v>
      </c>
      <c r="D723" s="41">
        <v>8.0</v>
      </c>
      <c r="E723" s="42" t="str">
        <f t="shared" si="1"/>
        <v>50.0%</v>
      </c>
    </row>
    <row r="724">
      <c r="A724" s="40" t="s">
        <v>2017</v>
      </c>
      <c r="B724" s="40" t="s">
        <v>8510</v>
      </c>
      <c r="C724" s="41">
        <v>8.0</v>
      </c>
      <c r="D724" s="41">
        <v>14.0</v>
      </c>
      <c r="E724" s="42" t="str">
        <f t="shared" si="1"/>
        <v>36.4%</v>
      </c>
    </row>
    <row r="725">
      <c r="A725" s="40" t="s">
        <v>2017</v>
      </c>
      <c r="B725" s="40" t="s">
        <v>8912</v>
      </c>
      <c r="C725" s="41">
        <v>7.0</v>
      </c>
      <c r="D725" s="41">
        <v>3.0</v>
      </c>
      <c r="E725" s="42" t="str">
        <f t="shared" si="1"/>
        <v>70.0%</v>
      </c>
    </row>
    <row r="726">
      <c r="A726" s="40" t="s">
        <v>2017</v>
      </c>
      <c r="B726" s="40" t="s">
        <v>8507</v>
      </c>
      <c r="C726" s="41">
        <v>7.0</v>
      </c>
      <c r="D726" s="41">
        <v>5.0</v>
      </c>
      <c r="E726" s="42" t="str">
        <f t="shared" si="1"/>
        <v>58.3%</v>
      </c>
    </row>
    <row r="727">
      <c r="A727" s="40" t="s">
        <v>2017</v>
      </c>
      <c r="B727" s="40" t="s">
        <v>8514</v>
      </c>
      <c r="C727" s="41">
        <v>7.0</v>
      </c>
      <c r="D727" s="41">
        <v>6.0</v>
      </c>
      <c r="E727" s="42" t="str">
        <f t="shared" si="1"/>
        <v>53.8%</v>
      </c>
    </row>
    <row r="728">
      <c r="A728" s="40" t="s">
        <v>2017</v>
      </c>
      <c r="B728" s="40" t="s">
        <v>8583</v>
      </c>
      <c r="C728" s="41">
        <v>7.0</v>
      </c>
      <c r="D728" s="41">
        <v>9.0</v>
      </c>
      <c r="E728" s="42" t="str">
        <f t="shared" si="1"/>
        <v>43.8%</v>
      </c>
    </row>
    <row r="729">
      <c r="A729" s="40" t="s">
        <v>2017</v>
      </c>
      <c r="B729" s="40" t="s">
        <v>8491</v>
      </c>
      <c r="C729" s="41">
        <v>7.0</v>
      </c>
      <c r="D729" s="41">
        <v>14.0</v>
      </c>
      <c r="E729" s="42" t="str">
        <f t="shared" si="1"/>
        <v>33.3%</v>
      </c>
    </row>
    <row r="730">
      <c r="A730" s="40" t="s">
        <v>2017</v>
      </c>
      <c r="B730" s="40" t="s">
        <v>8521</v>
      </c>
      <c r="C730" s="41">
        <v>6.0</v>
      </c>
      <c r="D730" s="41">
        <v>2.0</v>
      </c>
      <c r="E730" s="42" t="str">
        <f t="shared" si="1"/>
        <v>75.0%</v>
      </c>
    </row>
    <row r="731">
      <c r="A731" s="40" t="s">
        <v>2017</v>
      </c>
      <c r="B731" s="40" t="s">
        <v>8548</v>
      </c>
      <c r="C731" s="41">
        <v>6.0</v>
      </c>
      <c r="D731" s="41">
        <v>2.0</v>
      </c>
      <c r="E731" s="42" t="str">
        <f t="shared" si="1"/>
        <v>75.0%</v>
      </c>
    </row>
    <row r="732">
      <c r="A732" s="40" t="s">
        <v>2017</v>
      </c>
      <c r="B732" s="40" t="s">
        <v>8913</v>
      </c>
      <c r="C732" s="41">
        <v>6.0</v>
      </c>
      <c r="D732" s="41">
        <v>2.0</v>
      </c>
      <c r="E732" s="42" t="str">
        <f t="shared" si="1"/>
        <v>75.0%</v>
      </c>
    </row>
    <row r="733">
      <c r="A733" s="40" t="s">
        <v>2017</v>
      </c>
      <c r="B733" s="40" t="s">
        <v>8635</v>
      </c>
      <c r="C733" s="41">
        <v>6.0</v>
      </c>
      <c r="D733" s="41">
        <v>5.0</v>
      </c>
      <c r="E733" s="42" t="str">
        <f t="shared" si="1"/>
        <v>54.5%</v>
      </c>
    </row>
    <row r="734">
      <c r="A734" s="40" t="s">
        <v>2017</v>
      </c>
      <c r="B734" s="40" t="s">
        <v>8541</v>
      </c>
      <c r="C734" s="41">
        <v>6.0</v>
      </c>
      <c r="D734" s="41">
        <v>8.0</v>
      </c>
      <c r="E734" s="42" t="str">
        <f t="shared" si="1"/>
        <v>42.9%</v>
      </c>
    </row>
    <row r="735">
      <c r="A735" s="40" t="s">
        <v>2017</v>
      </c>
      <c r="B735" s="40" t="s">
        <v>8914</v>
      </c>
      <c r="C735" s="41">
        <v>6.0</v>
      </c>
      <c r="D735" s="41">
        <v>10.0</v>
      </c>
      <c r="E735" s="42" t="str">
        <f t="shared" si="1"/>
        <v>37.5%</v>
      </c>
    </row>
    <row r="736">
      <c r="A736" s="40" t="s">
        <v>2017</v>
      </c>
      <c r="B736" s="40" t="s">
        <v>8567</v>
      </c>
      <c r="C736" s="41">
        <v>5.0</v>
      </c>
      <c r="D736" s="41">
        <v>2.0</v>
      </c>
      <c r="E736" s="42" t="str">
        <f t="shared" si="1"/>
        <v>71.4%</v>
      </c>
    </row>
    <row r="737">
      <c r="A737" s="40" t="s">
        <v>2017</v>
      </c>
      <c r="B737" s="40" t="s">
        <v>8682</v>
      </c>
      <c r="C737" s="41">
        <v>5.0</v>
      </c>
      <c r="D737" s="41">
        <v>20.0</v>
      </c>
      <c r="E737" s="42" t="str">
        <f t="shared" si="1"/>
        <v>20.0%</v>
      </c>
    </row>
    <row r="738">
      <c r="A738" s="40" t="s">
        <v>2017</v>
      </c>
      <c r="B738" s="40" t="s">
        <v>8698</v>
      </c>
      <c r="C738" s="41">
        <v>4.0</v>
      </c>
      <c r="D738" s="41">
        <v>0.0</v>
      </c>
      <c r="E738" s="42" t="str">
        <f t="shared" si="1"/>
        <v>100.0%</v>
      </c>
    </row>
    <row r="739">
      <c r="A739" s="40" t="s">
        <v>2017</v>
      </c>
      <c r="B739" s="40" t="s">
        <v>8485</v>
      </c>
      <c r="C739" s="41">
        <v>4.0</v>
      </c>
      <c r="D739" s="41">
        <v>1.0</v>
      </c>
      <c r="E739" s="42" t="str">
        <f t="shared" si="1"/>
        <v>80.0%</v>
      </c>
    </row>
    <row r="740">
      <c r="A740" s="40" t="s">
        <v>2017</v>
      </c>
      <c r="B740" s="40" t="s">
        <v>8540</v>
      </c>
      <c r="C740" s="41">
        <v>4.0</v>
      </c>
      <c r="D740" s="41">
        <v>2.0</v>
      </c>
      <c r="E740" s="42" t="str">
        <f t="shared" si="1"/>
        <v>66.7%</v>
      </c>
    </row>
    <row r="741">
      <c r="A741" s="40" t="s">
        <v>2017</v>
      </c>
      <c r="B741" s="40" t="s">
        <v>8652</v>
      </c>
      <c r="C741" s="41">
        <v>4.0</v>
      </c>
      <c r="D741" s="41">
        <v>3.0</v>
      </c>
      <c r="E741" s="42" t="str">
        <f t="shared" si="1"/>
        <v>57.1%</v>
      </c>
    </row>
    <row r="742">
      <c r="A742" s="40" t="s">
        <v>2017</v>
      </c>
      <c r="B742" s="40" t="s">
        <v>8574</v>
      </c>
      <c r="C742" s="41">
        <v>4.0</v>
      </c>
      <c r="D742" s="41">
        <v>3.0</v>
      </c>
      <c r="E742" s="42" t="str">
        <f t="shared" si="1"/>
        <v>57.1%</v>
      </c>
    </row>
    <row r="743">
      <c r="A743" s="40" t="s">
        <v>2017</v>
      </c>
      <c r="B743" s="40" t="s">
        <v>8606</v>
      </c>
      <c r="C743" s="41">
        <v>4.0</v>
      </c>
      <c r="D743" s="41">
        <v>4.0</v>
      </c>
      <c r="E743" s="42" t="str">
        <f t="shared" si="1"/>
        <v>50.0%</v>
      </c>
    </row>
    <row r="744">
      <c r="A744" s="40" t="s">
        <v>2017</v>
      </c>
      <c r="B744" s="40" t="s">
        <v>8555</v>
      </c>
      <c r="C744" s="41">
        <v>4.0</v>
      </c>
      <c r="D744" s="41">
        <v>4.0</v>
      </c>
      <c r="E744" s="42" t="str">
        <f t="shared" si="1"/>
        <v>50.0%</v>
      </c>
    </row>
    <row r="745">
      <c r="A745" s="40" t="s">
        <v>2017</v>
      </c>
      <c r="B745" s="40" t="s">
        <v>8572</v>
      </c>
      <c r="C745" s="41">
        <v>4.0</v>
      </c>
      <c r="D745" s="41">
        <v>7.0</v>
      </c>
      <c r="E745" s="42" t="str">
        <f t="shared" si="1"/>
        <v>36.4%</v>
      </c>
    </row>
    <row r="746">
      <c r="A746" s="40" t="s">
        <v>2017</v>
      </c>
      <c r="B746" s="40" t="s">
        <v>8570</v>
      </c>
      <c r="C746" s="41">
        <v>4.0</v>
      </c>
      <c r="D746" s="41">
        <v>15.0</v>
      </c>
      <c r="E746" s="42" t="str">
        <f t="shared" si="1"/>
        <v>21.1%</v>
      </c>
    </row>
    <row r="747">
      <c r="A747" s="40" t="s">
        <v>2017</v>
      </c>
      <c r="B747" s="40" t="s">
        <v>8731</v>
      </c>
      <c r="C747" s="41">
        <v>3.0</v>
      </c>
      <c r="D747" s="41">
        <v>0.0</v>
      </c>
      <c r="E747" s="42" t="str">
        <f t="shared" si="1"/>
        <v>100.0%</v>
      </c>
    </row>
    <row r="748">
      <c r="A748" s="40" t="s">
        <v>2017</v>
      </c>
      <c r="B748" s="40" t="s">
        <v>8790</v>
      </c>
      <c r="C748" s="41">
        <v>3.0</v>
      </c>
      <c r="D748" s="41">
        <v>0.0</v>
      </c>
      <c r="E748" s="42" t="str">
        <f t="shared" si="1"/>
        <v>100.0%</v>
      </c>
    </row>
    <row r="749">
      <c r="A749" s="40" t="s">
        <v>2017</v>
      </c>
      <c r="B749" s="40" t="s">
        <v>8915</v>
      </c>
      <c r="C749" s="41">
        <v>3.0</v>
      </c>
      <c r="D749" s="41">
        <v>0.0</v>
      </c>
      <c r="E749" s="42" t="str">
        <f t="shared" si="1"/>
        <v>100.0%</v>
      </c>
    </row>
    <row r="750">
      <c r="A750" s="40" t="s">
        <v>2017</v>
      </c>
      <c r="B750" s="40" t="s">
        <v>8916</v>
      </c>
      <c r="C750" s="41">
        <v>3.0</v>
      </c>
      <c r="D750" s="41">
        <v>1.0</v>
      </c>
      <c r="E750" s="42" t="str">
        <f t="shared" si="1"/>
        <v>75.0%</v>
      </c>
    </row>
    <row r="751">
      <c r="A751" s="40" t="s">
        <v>2017</v>
      </c>
      <c r="B751" s="40" t="s">
        <v>8552</v>
      </c>
      <c r="C751" s="41">
        <v>3.0</v>
      </c>
      <c r="D751" s="41">
        <v>2.0</v>
      </c>
      <c r="E751" s="42" t="str">
        <f t="shared" si="1"/>
        <v>60.0%</v>
      </c>
    </row>
    <row r="752">
      <c r="A752" s="40" t="s">
        <v>2017</v>
      </c>
      <c r="B752" s="40" t="s">
        <v>8537</v>
      </c>
      <c r="C752" s="41">
        <v>3.0</v>
      </c>
      <c r="D752" s="41">
        <v>4.0</v>
      </c>
      <c r="E752" s="42" t="str">
        <f t="shared" si="1"/>
        <v>42.9%</v>
      </c>
    </row>
    <row r="753">
      <c r="A753" s="40" t="s">
        <v>2017</v>
      </c>
      <c r="B753" s="40" t="s">
        <v>8729</v>
      </c>
      <c r="C753" s="41">
        <v>3.0</v>
      </c>
      <c r="D753" s="41">
        <v>7.0</v>
      </c>
      <c r="E753" s="42" t="str">
        <f t="shared" si="1"/>
        <v>30.0%</v>
      </c>
    </row>
    <row r="754">
      <c r="A754" s="40" t="s">
        <v>2017</v>
      </c>
      <c r="B754" s="40" t="s">
        <v>8496</v>
      </c>
      <c r="C754" s="41">
        <v>3.0</v>
      </c>
      <c r="D754" s="41">
        <v>20.0</v>
      </c>
      <c r="E754" s="42" t="str">
        <f t="shared" si="1"/>
        <v>13.0%</v>
      </c>
    </row>
    <row r="755">
      <c r="A755" s="40" t="s">
        <v>2017</v>
      </c>
      <c r="B755" s="40" t="s">
        <v>8539</v>
      </c>
      <c r="C755" s="41">
        <v>2.0</v>
      </c>
      <c r="D755" s="41">
        <v>0.0</v>
      </c>
      <c r="E755" s="42" t="str">
        <f t="shared" si="1"/>
        <v>100.0%</v>
      </c>
    </row>
    <row r="756">
      <c r="A756" s="40" t="s">
        <v>2017</v>
      </c>
      <c r="B756" s="40" t="s">
        <v>8720</v>
      </c>
      <c r="C756" s="41">
        <v>2.0</v>
      </c>
      <c r="D756" s="41">
        <v>0.0</v>
      </c>
      <c r="E756" s="42" t="str">
        <f t="shared" si="1"/>
        <v>100.0%</v>
      </c>
    </row>
    <row r="757">
      <c r="A757" s="40" t="s">
        <v>2017</v>
      </c>
      <c r="B757" s="40" t="s">
        <v>8585</v>
      </c>
      <c r="C757" s="41">
        <v>2.0</v>
      </c>
      <c r="D757" s="41">
        <v>0.0</v>
      </c>
      <c r="E757" s="42" t="str">
        <f t="shared" si="1"/>
        <v>100.0%</v>
      </c>
    </row>
    <row r="758">
      <c r="A758" s="40" t="s">
        <v>2017</v>
      </c>
      <c r="B758" s="40" t="s">
        <v>8522</v>
      </c>
      <c r="C758" s="41">
        <v>2.0</v>
      </c>
      <c r="D758" s="41">
        <v>0.0</v>
      </c>
      <c r="E758" s="42" t="str">
        <f t="shared" si="1"/>
        <v>100.0%</v>
      </c>
    </row>
    <row r="759">
      <c r="A759" s="40" t="s">
        <v>2017</v>
      </c>
      <c r="B759" s="40" t="s">
        <v>8738</v>
      </c>
      <c r="C759" s="41">
        <v>2.0</v>
      </c>
      <c r="D759" s="41">
        <v>0.0</v>
      </c>
      <c r="E759" s="42" t="str">
        <f t="shared" si="1"/>
        <v>100.0%</v>
      </c>
    </row>
    <row r="760">
      <c r="A760" s="40" t="s">
        <v>2017</v>
      </c>
      <c r="B760" s="40" t="s">
        <v>8917</v>
      </c>
      <c r="C760" s="41">
        <v>2.0</v>
      </c>
      <c r="D760" s="41">
        <v>0.0</v>
      </c>
      <c r="E760" s="42" t="str">
        <f t="shared" si="1"/>
        <v>100.0%</v>
      </c>
    </row>
    <row r="761">
      <c r="A761" s="40" t="s">
        <v>2017</v>
      </c>
      <c r="B761" s="40" t="s">
        <v>8918</v>
      </c>
      <c r="C761" s="41">
        <v>2.0</v>
      </c>
      <c r="D761" s="41">
        <v>0.0</v>
      </c>
      <c r="E761" s="42" t="str">
        <f t="shared" si="1"/>
        <v>100.0%</v>
      </c>
    </row>
    <row r="762">
      <c r="A762" s="40" t="s">
        <v>2017</v>
      </c>
      <c r="B762" s="40" t="s">
        <v>8919</v>
      </c>
      <c r="C762" s="41">
        <v>2.0</v>
      </c>
      <c r="D762" s="41">
        <v>0.0</v>
      </c>
      <c r="E762" s="42" t="str">
        <f t="shared" si="1"/>
        <v>100.0%</v>
      </c>
    </row>
    <row r="763">
      <c r="A763" s="40" t="s">
        <v>2017</v>
      </c>
      <c r="B763" s="40" t="s">
        <v>8920</v>
      </c>
      <c r="C763" s="41">
        <v>2.0</v>
      </c>
      <c r="D763" s="41">
        <v>0.0</v>
      </c>
      <c r="E763" s="42" t="str">
        <f t="shared" si="1"/>
        <v>100.0%</v>
      </c>
    </row>
    <row r="764">
      <c r="A764" s="40" t="s">
        <v>2017</v>
      </c>
      <c r="B764" s="40" t="s">
        <v>8520</v>
      </c>
      <c r="C764" s="41">
        <v>2.0</v>
      </c>
      <c r="D764" s="41">
        <v>1.0</v>
      </c>
      <c r="E764" s="42" t="str">
        <f t="shared" si="1"/>
        <v>66.7%</v>
      </c>
    </row>
    <row r="765">
      <c r="A765" s="40" t="s">
        <v>2017</v>
      </c>
      <c r="B765" s="40" t="s">
        <v>8921</v>
      </c>
      <c r="C765" s="41">
        <v>2.0</v>
      </c>
      <c r="D765" s="41">
        <v>1.0</v>
      </c>
      <c r="E765" s="42" t="str">
        <f t="shared" si="1"/>
        <v>66.7%</v>
      </c>
    </row>
    <row r="766">
      <c r="A766" s="40" t="s">
        <v>2017</v>
      </c>
      <c r="B766" s="40" t="s">
        <v>8545</v>
      </c>
      <c r="C766" s="41">
        <v>2.0</v>
      </c>
      <c r="D766" s="41">
        <v>3.0</v>
      </c>
      <c r="E766" s="42" t="str">
        <f t="shared" si="1"/>
        <v>40.0%</v>
      </c>
    </row>
    <row r="767">
      <c r="A767" s="40" t="s">
        <v>2017</v>
      </c>
      <c r="B767" s="40" t="s">
        <v>8605</v>
      </c>
      <c r="C767" s="41">
        <v>2.0</v>
      </c>
      <c r="D767" s="41">
        <v>4.0</v>
      </c>
      <c r="E767" s="42" t="str">
        <f t="shared" si="1"/>
        <v>33.3%</v>
      </c>
    </row>
    <row r="768">
      <c r="A768" s="40" t="s">
        <v>2017</v>
      </c>
      <c r="B768" s="40" t="s">
        <v>8589</v>
      </c>
      <c r="C768" s="41">
        <v>2.0</v>
      </c>
      <c r="D768" s="41">
        <v>6.0</v>
      </c>
      <c r="E768" s="42" t="str">
        <f t="shared" si="1"/>
        <v>25.0%</v>
      </c>
    </row>
    <row r="769">
      <c r="A769" s="40" t="s">
        <v>2017</v>
      </c>
      <c r="B769" s="40" t="s">
        <v>8645</v>
      </c>
      <c r="C769" s="41">
        <v>1.0</v>
      </c>
      <c r="D769" s="41">
        <v>0.0</v>
      </c>
      <c r="E769" s="42" t="str">
        <f t="shared" si="1"/>
        <v>100.0%</v>
      </c>
    </row>
    <row r="770">
      <c r="A770" s="40" t="s">
        <v>2017</v>
      </c>
      <c r="B770" s="40" t="s">
        <v>8660</v>
      </c>
      <c r="C770" s="41">
        <v>1.0</v>
      </c>
      <c r="D770" s="41">
        <v>0.0</v>
      </c>
      <c r="E770" s="42" t="str">
        <f t="shared" si="1"/>
        <v>100.0%</v>
      </c>
    </row>
    <row r="771">
      <c r="A771" s="40" t="s">
        <v>2017</v>
      </c>
      <c r="B771" s="40" t="s">
        <v>8498</v>
      </c>
      <c r="C771" s="41">
        <v>1.0</v>
      </c>
      <c r="D771" s="41">
        <v>0.0</v>
      </c>
      <c r="E771" s="42" t="str">
        <f t="shared" si="1"/>
        <v>100.0%</v>
      </c>
    </row>
    <row r="772">
      <c r="A772" s="40" t="s">
        <v>2017</v>
      </c>
      <c r="B772" s="40" t="s">
        <v>8593</v>
      </c>
      <c r="C772" s="41">
        <v>1.0</v>
      </c>
      <c r="D772" s="41">
        <v>0.0</v>
      </c>
      <c r="E772" s="42" t="str">
        <f t="shared" si="1"/>
        <v>100.0%</v>
      </c>
    </row>
    <row r="773">
      <c r="A773" s="40" t="s">
        <v>2017</v>
      </c>
      <c r="B773" s="40" t="s">
        <v>8549</v>
      </c>
      <c r="C773" s="41">
        <v>1.0</v>
      </c>
      <c r="D773" s="41">
        <v>0.0</v>
      </c>
      <c r="E773" s="42" t="str">
        <f t="shared" si="1"/>
        <v>100.0%</v>
      </c>
    </row>
    <row r="774">
      <c r="A774" s="40" t="s">
        <v>2017</v>
      </c>
      <c r="B774" s="40" t="s">
        <v>8511</v>
      </c>
      <c r="C774" s="41">
        <v>1.0</v>
      </c>
      <c r="D774" s="41">
        <v>0.0</v>
      </c>
      <c r="E774" s="42" t="str">
        <f t="shared" si="1"/>
        <v>100.0%</v>
      </c>
    </row>
    <row r="775">
      <c r="A775" s="40" t="s">
        <v>2017</v>
      </c>
      <c r="B775" s="40" t="s">
        <v>8823</v>
      </c>
      <c r="C775" s="41">
        <v>1.0</v>
      </c>
      <c r="D775" s="41">
        <v>0.0</v>
      </c>
      <c r="E775" s="42" t="str">
        <f t="shared" si="1"/>
        <v>100.0%</v>
      </c>
    </row>
    <row r="776">
      <c r="A776" s="40" t="s">
        <v>2017</v>
      </c>
      <c r="B776" s="40" t="s">
        <v>8922</v>
      </c>
      <c r="C776" s="41">
        <v>1.0</v>
      </c>
      <c r="D776" s="41">
        <v>0.0</v>
      </c>
      <c r="E776" s="42" t="str">
        <f t="shared" si="1"/>
        <v>100.0%</v>
      </c>
    </row>
    <row r="777">
      <c r="A777" s="40" t="s">
        <v>2017</v>
      </c>
      <c r="B777" s="40" t="s">
        <v>8923</v>
      </c>
      <c r="C777" s="41">
        <v>1.0</v>
      </c>
      <c r="D777" s="41">
        <v>0.0</v>
      </c>
      <c r="E777" s="42" t="str">
        <f t="shared" si="1"/>
        <v>100.0%</v>
      </c>
    </row>
    <row r="778">
      <c r="A778" s="40" t="s">
        <v>2017</v>
      </c>
      <c r="B778" s="40" t="s">
        <v>8924</v>
      </c>
      <c r="C778" s="41">
        <v>1.0</v>
      </c>
      <c r="D778" s="41">
        <v>0.0</v>
      </c>
      <c r="E778" s="42" t="str">
        <f t="shared" si="1"/>
        <v>100.0%</v>
      </c>
    </row>
    <row r="779">
      <c r="A779" s="40" t="s">
        <v>2017</v>
      </c>
      <c r="B779" s="40" t="s">
        <v>8603</v>
      </c>
      <c r="C779" s="41">
        <v>1.0</v>
      </c>
      <c r="D779" s="41">
        <v>1.0</v>
      </c>
      <c r="E779" s="42" t="str">
        <f t="shared" si="1"/>
        <v>50.0%</v>
      </c>
    </row>
    <row r="780">
      <c r="A780" s="40" t="s">
        <v>2017</v>
      </c>
      <c r="B780" s="40" t="s">
        <v>8668</v>
      </c>
      <c r="C780" s="41">
        <v>1.0</v>
      </c>
      <c r="D780" s="41">
        <v>1.0</v>
      </c>
      <c r="E780" s="42" t="str">
        <f t="shared" si="1"/>
        <v>50.0%</v>
      </c>
    </row>
    <row r="781">
      <c r="A781" s="40" t="s">
        <v>2017</v>
      </c>
      <c r="B781" s="40" t="s">
        <v>8489</v>
      </c>
      <c r="C781" s="41">
        <v>1.0</v>
      </c>
      <c r="D781" s="41">
        <v>1.0</v>
      </c>
      <c r="E781" s="42" t="str">
        <f t="shared" si="1"/>
        <v>50.0%</v>
      </c>
    </row>
    <row r="782">
      <c r="A782" s="40" t="s">
        <v>2017</v>
      </c>
      <c r="B782" s="40" t="s">
        <v>8642</v>
      </c>
      <c r="C782" s="41">
        <v>1.0</v>
      </c>
      <c r="D782" s="41">
        <v>1.0</v>
      </c>
      <c r="E782" s="42" t="str">
        <f t="shared" si="1"/>
        <v>50.0%</v>
      </c>
    </row>
    <row r="783">
      <c r="A783" s="40" t="s">
        <v>2017</v>
      </c>
      <c r="B783" s="40" t="s">
        <v>8626</v>
      </c>
      <c r="C783" s="41">
        <v>1.0</v>
      </c>
      <c r="D783" s="41">
        <v>1.0</v>
      </c>
      <c r="E783" s="42" t="str">
        <f t="shared" si="1"/>
        <v>50.0%</v>
      </c>
    </row>
    <row r="784">
      <c r="A784" s="40" t="s">
        <v>2017</v>
      </c>
      <c r="B784" s="40" t="s">
        <v>8925</v>
      </c>
      <c r="C784" s="41">
        <v>1.0</v>
      </c>
      <c r="D784" s="41">
        <v>1.0</v>
      </c>
      <c r="E784" s="42" t="str">
        <f t="shared" si="1"/>
        <v>50.0%</v>
      </c>
    </row>
    <row r="785">
      <c r="A785" s="40" t="s">
        <v>2017</v>
      </c>
      <c r="B785" s="40" t="s">
        <v>8926</v>
      </c>
      <c r="C785" s="41">
        <v>1.0</v>
      </c>
      <c r="D785" s="41">
        <v>1.0</v>
      </c>
      <c r="E785" s="42" t="str">
        <f t="shared" si="1"/>
        <v>50.0%</v>
      </c>
    </row>
    <row r="786">
      <c r="A786" s="40" t="s">
        <v>2017</v>
      </c>
      <c r="B786" s="40" t="s">
        <v>8927</v>
      </c>
      <c r="C786" s="41">
        <v>1.0</v>
      </c>
      <c r="D786" s="41">
        <v>1.0</v>
      </c>
      <c r="E786" s="42" t="str">
        <f t="shared" si="1"/>
        <v>50.0%</v>
      </c>
    </row>
    <row r="787">
      <c r="A787" s="40" t="s">
        <v>2017</v>
      </c>
      <c r="B787" s="40" t="s">
        <v>8928</v>
      </c>
      <c r="C787" s="41">
        <v>1.0</v>
      </c>
      <c r="D787" s="41">
        <v>1.0</v>
      </c>
      <c r="E787" s="42" t="str">
        <f t="shared" si="1"/>
        <v>50.0%</v>
      </c>
    </row>
    <row r="788">
      <c r="A788" s="40" t="s">
        <v>2017</v>
      </c>
      <c r="B788" s="40" t="s">
        <v>8929</v>
      </c>
      <c r="C788" s="41">
        <v>1.0</v>
      </c>
      <c r="D788" s="41">
        <v>1.0</v>
      </c>
      <c r="E788" s="42" t="str">
        <f t="shared" si="1"/>
        <v>50.0%</v>
      </c>
    </row>
    <row r="789">
      <c r="A789" s="40" t="s">
        <v>2017</v>
      </c>
      <c r="B789" s="40" t="s">
        <v>8930</v>
      </c>
      <c r="C789" s="41">
        <v>1.0</v>
      </c>
      <c r="D789" s="41">
        <v>1.0</v>
      </c>
      <c r="E789" s="42" t="str">
        <f t="shared" si="1"/>
        <v>50.0%</v>
      </c>
    </row>
    <row r="790">
      <c r="A790" s="40" t="s">
        <v>2017</v>
      </c>
      <c r="B790" s="40" t="s">
        <v>8931</v>
      </c>
      <c r="C790" s="41">
        <v>1.0</v>
      </c>
      <c r="D790" s="41">
        <v>2.0</v>
      </c>
      <c r="E790" s="42" t="str">
        <f t="shared" si="1"/>
        <v>33.3%</v>
      </c>
    </row>
    <row r="791">
      <c r="A791" s="40" t="s">
        <v>2017</v>
      </c>
      <c r="B791" s="40" t="s">
        <v>8648</v>
      </c>
      <c r="C791" s="41">
        <v>1.0</v>
      </c>
      <c r="D791" s="41">
        <v>3.0</v>
      </c>
      <c r="E791" s="42" t="str">
        <f t="shared" si="1"/>
        <v>25.0%</v>
      </c>
    </row>
    <row r="792">
      <c r="A792" s="40" t="s">
        <v>2017</v>
      </c>
      <c r="B792" s="40" t="s">
        <v>8495</v>
      </c>
      <c r="C792" s="41">
        <v>1.0</v>
      </c>
      <c r="D792" s="41">
        <v>3.0</v>
      </c>
      <c r="E792" s="42" t="str">
        <f t="shared" si="1"/>
        <v>25.0%</v>
      </c>
    </row>
    <row r="793">
      <c r="A793" s="40" t="s">
        <v>2017</v>
      </c>
      <c r="B793" s="40" t="s">
        <v>8638</v>
      </c>
      <c r="C793" s="41">
        <v>1.0</v>
      </c>
      <c r="D793" s="41">
        <v>3.0</v>
      </c>
      <c r="E793" s="42" t="str">
        <f t="shared" si="1"/>
        <v>25.0%</v>
      </c>
    </row>
    <row r="794">
      <c r="A794" s="40" t="s">
        <v>2017</v>
      </c>
      <c r="B794" s="40" t="s">
        <v>8599</v>
      </c>
      <c r="C794" s="41">
        <v>1.0</v>
      </c>
      <c r="D794" s="41">
        <v>4.0</v>
      </c>
      <c r="E794" s="42" t="str">
        <f t="shared" si="1"/>
        <v>20.0%</v>
      </c>
    </row>
    <row r="795">
      <c r="A795" s="40" t="s">
        <v>2017</v>
      </c>
      <c r="B795" s="40" t="s">
        <v>8550</v>
      </c>
      <c r="C795" s="41">
        <v>1.0</v>
      </c>
      <c r="D795" s="41">
        <v>4.0</v>
      </c>
      <c r="E795" s="42" t="str">
        <f t="shared" si="1"/>
        <v>20.0%</v>
      </c>
    </row>
    <row r="796">
      <c r="A796" s="40" t="s">
        <v>2017</v>
      </c>
      <c r="B796" s="40" t="s">
        <v>8640</v>
      </c>
      <c r="C796" s="41">
        <v>1.0</v>
      </c>
      <c r="D796" s="41">
        <v>4.0</v>
      </c>
      <c r="E796" s="42" t="str">
        <f t="shared" si="1"/>
        <v>20.0%</v>
      </c>
    </row>
    <row r="797">
      <c r="A797" s="40" t="s">
        <v>2017</v>
      </c>
      <c r="B797" s="40" t="s">
        <v>8553</v>
      </c>
      <c r="C797" s="41">
        <v>1.0</v>
      </c>
      <c r="D797" s="41">
        <v>7.0</v>
      </c>
      <c r="E797" s="42" t="str">
        <f t="shared" si="1"/>
        <v>12.5%</v>
      </c>
    </row>
    <row r="798">
      <c r="A798" s="40" t="s">
        <v>2017</v>
      </c>
      <c r="B798" s="40" t="s">
        <v>8515</v>
      </c>
      <c r="C798" s="41">
        <v>0.0</v>
      </c>
      <c r="D798" s="41">
        <v>1.0</v>
      </c>
      <c r="E798" s="42" t="str">
        <f t="shared" si="1"/>
        <v>0.0%</v>
      </c>
    </row>
    <row r="799">
      <c r="A799" s="40" t="s">
        <v>2017</v>
      </c>
      <c r="B799" s="40" t="s">
        <v>8614</v>
      </c>
      <c r="C799" s="41">
        <v>0.0</v>
      </c>
      <c r="D799" s="41">
        <v>1.0</v>
      </c>
      <c r="E799" s="42" t="str">
        <f t="shared" si="1"/>
        <v>0.0%</v>
      </c>
    </row>
    <row r="800">
      <c r="A800" s="40" t="s">
        <v>2017</v>
      </c>
      <c r="B800" s="40" t="s">
        <v>8616</v>
      </c>
      <c r="C800" s="41">
        <v>0.0</v>
      </c>
      <c r="D800" s="41">
        <v>1.0</v>
      </c>
      <c r="E800" s="42" t="str">
        <f t="shared" si="1"/>
        <v>0.0%</v>
      </c>
    </row>
    <row r="801">
      <c r="A801" s="40" t="s">
        <v>2017</v>
      </c>
      <c r="B801" s="40" t="s">
        <v>8576</v>
      </c>
      <c r="C801" s="41">
        <v>0.0</v>
      </c>
      <c r="D801" s="41">
        <v>1.0</v>
      </c>
      <c r="E801" s="42" t="str">
        <f t="shared" si="1"/>
        <v>0.0%</v>
      </c>
    </row>
    <row r="802">
      <c r="A802" s="40" t="s">
        <v>2017</v>
      </c>
      <c r="B802" s="40" t="s">
        <v>8577</v>
      </c>
      <c r="C802" s="41">
        <v>0.0</v>
      </c>
      <c r="D802" s="41">
        <v>1.0</v>
      </c>
      <c r="E802" s="42" t="str">
        <f t="shared" si="1"/>
        <v>0.0%</v>
      </c>
    </row>
    <row r="803">
      <c r="A803" s="40" t="s">
        <v>2017</v>
      </c>
      <c r="B803" s="40" t="s">
        <v>8578</v>
      </c>
      <c r="C803" s="41">
        <v>0.0</v>
      </c>
      <c r="D803" s="41">
        <v>1.0</v>
      </c>
      <c r="E803" s="42" t="str">
        <f t="shared" si="1"/>
        <v>0.0%</v>
      </c>
    </row>
    <row r="804">
      <c r="A804" s="40" t="s">
        <v>2017</v>
      </c>
      <c r="B804" s="40" t="s">
        <v>8622</v>
      </c>
      <c r="C804" s="41">
        <v>0.0</v>
      </c>
      <c r="D804" s="41">
        <v>1.0</v>
      </c>
      <c r="E804" s="42" t="str">
        <f t="shared" si="1"/>
        <v>0.0%</v>
      </c>
    </row>
    <row r="805">
      <c r="A805" s="40" t="s">
        <v>2017</v>
      </c>
      <c r="B805" s="40" t="s">
        <v>8580</v>
      </c>
      <c r="C805" s="41">
        <v>0.0</v>
      </c>
      <c r="D805" s="41">
        <v>1.0</v>
      </c>
      <c r="E805" s="42" t="str">
        <f t="shared" si="1"/>
        <v>0.0%</v>
      </c>
    </row>
    <row r="806">
      <c r="A806" s="40" t="s">
        <v>2017</v>
      </c>
      <c r="B806" s="40" t="s">
        <v>8749</v>
      </c>
      <c r="C806" s="41">
        <v>0.0</v>
      </c>
      <c r="D806" s="41">
        <v>1.0</v>
      </c>
      <c r="E806" s="42" t="str">
        <f t="shared" si="1"/>
        <v>0.0%</v>
      </c>
    </row>
    <row r="807">
      <c r="A807" s="40" t="s">
        <v>2017</v>
      </c>
      <c r="B807" s="40" t="s">
        <v>8659</v>
      </c>
      <c r="C807" s="41">
        <v>0.0</v>
      </c>
      <c r="D807" s="41">
        <v>1.0</v>
      </c>
      <c r="E807" s="42" t="str">
        <f t="shared" si="1"/>
        <v>0.0%</v>
      </c>
    </row>
    <row r="808">
      <c r="A808" s="40" t="s">
        <v>2017</v>
      </c>
      <c r="B808" s="40" t="s">
        <v>8932</v>
      </c>
      <c r="C808" s="41">
        <v>0.0</v>
      </c>
      <c r="D808" s="41">
        <v>1.0</v>
      </c>
      <c r="E808" s="42" t="str">
        <f t="shared" si="1"/>
        <v>0.0%</v>
      </c>
    </row>
    <row r="809">
      <c r="A809" s="40" t="s">
        <v>2017</v>
      </c>
      <c r="B809" s="40" t="s">
        <v>8933</v>
      </c>
      <c r="C809" s="41">
        <v>0.0</v>
      </c>
      <c r="D809" s="41">
        <v>1.0</v>
      </c>
      <c r="E809" s="42" t="str">
        <f t="shared" si="1"/>
        <v>0.0%</v>
      </c>
    </row>
    <row r="810">
      <c r="A810" s="40" t="s">
        <v>2017</v>
      </c>
      <c r="B810" s="40" t="s">
        <v>8934</v>
      </c>
      <c r="C810" s="41">
        <v>0.0</v>
      </c>
      <c r="D810" s="41">
        <v>1.0</v>
      </c>
      <c r="E810" s="42" t="str">
        <f t="shared" si="1"/>
        <v>0.0%</v>
      </c>
    </row>
    <row r="811">
      <c r="A811" s="40" t="s">
        <v>2017</v>
      </c>
      <c r="B811" s="40" t="s">
        <v>8935</v>
      </c>
      <c r="C811" s="41">
        <v>0.0</v>
      </c>
      <c r="D811" s="41">
        <v>1.0</v>
      </c>
      <c r="E811" s="42" t="str">
        <f t="shared" si="1"/>
        <v>0.0%</v>
      </c>
    </row>
    <row r="812">
      <c r="A812" s="40" t="s">
        <v>2017</v>
      </c>
      <c r="B812" s="40" t="s">
        <v>8936</v>
      </c>
      <c r="C812" s="41">
        <v>0.0</v>
      </c>
      <c r="D812" s="41">
        <v>1.0</v>
      </c>
      <c r="E812" s="42" t="str">
        <f t="shared" si="1"/>
        <v>0.0%</v>
      </c>
    </row>
    <row r="813">
      <c r="A813" s="40" t="s">
        <v>2017</v>
      </c>
      <c r="B813" s="40" t="s">
        <v>8937</v>
      </c>
      <c r="C813" s="41">
        <v>0.0</v>
      </c>
      <c r="D813" s="41">
        <v>1.0</v>
      </c>
      <c r="E813" s="42" t="str">
        <f t="shared" si="1"/>
        <v>0.0%</v>
      </c>
    </row>
    <row r="814">
      <c r="A814" s="40" t="s">
        <v>2017</v>
      </c>
      <c r="B814" s="40" t="s">
        <v>8938</v>
      </c>
      <c r="C814" s="41">
        <v>0.0</v>
      </c>
      <c r="D814" s="41">
        <v>1.0</v>
      </c>
      <c r="E814" s="42" t="str">
        <f t="shared" si="1"/>
        <v>0.0%</v>
      </c>
    </row>
    <row r="815">
      <c r="A815" s="40" t="s">
        <v>2017</v>
      </c>
      <c r="B815" s="40" t="s">
        <v>8600</v>
      </c>
      <c r="C815" s="41">
        <v>0.0</v>
      </c>
      <c r="D815" s="41">
        <v>2.0</v>
      </c>
      <c r="E815" s="42" t="str">
        <f t="shared" si="1"/>
        <v>0.0%</v>
      </c>
    </row>
    <row r="816">
      <c r="A816" s="40" t="s">
        <v>2017</v>
      </c>
      <c r="B816" s="40" t="s">
        <v>8681</v>
      </c>
      <c r="C816" s="41">
        <v>0.0</v>
      </c>
      <c r="D816" s="41">
        <v>2.0</v>
      </c>
      <c r="E816" s="42" t="str">
        <f t="shared" si="1"/>
        <v>0.0%</v>
      </c>
    </row>
    <row r="817">
      <c r="A817" s="40" t="s">
        <v>2017</v>
      </c>
      <c r="B817" s="40" t="s">
        <v>8619</v>
      </c>
      <c r="C817" s="41">
        <v>0.0</v>
      </c>
      <c r="D817" s="41">
        <v>2.0</v>
      </c>
      <c r="E817" s="42" t="str">
        <f t="shared" si="1"/>
        <v>0.0%</v>
      </c>
    </row>
    <row r="818">
      <c r="A818" s="40" t="s">
        <v>2017</v>
      </c>
      <c r="B818" s="40" t="s">
        <v>8939</v>
      </c>
      <c r="C818" s="41">
        <v>0.0</v>
      </c>
      <c r="D818" s="41">
        <v>2.0</v>
      </c>
      <c r="E818" s="42" t="str">
        <f t="shared" si="1"/>
        <v>0.0%</v>
      </c>
    </row>
    <row r="819">
      <c r="A819" s="40" t="s">
        <v>2017</v>
      </c>
      <c r="B819" s="40" t="s">
        <v>8940</v>
      </c>
      <c r="C819" s="41">
        <v>0.0</v>
      </c>
      <c r="D819" s="41">
        <v>2.0</v>
      </c>
      <c r="E819" s="42" t="str">
        <f t="shared" si="1"/>
        <v>0.0%</v>
      </c>
    </row>
    <row r="820">
      <c r="A820" s="40" t="s">
        <v>2017</v>
      </c>
      <c r="B820" s="40" t="s">
        <v>8500</v>
      </c>
      <c r="C820" s="41">
        <v>0.0</v>
      </c>
      <c r="D820" s="41">
        <v>3.0</v>
      </c>
      <c r="E820" s="42" t="str">
        <f t="shared" si="1"/>
        <v>0.0%</v>
      </c>
    </row>
    <row r="821">
      <c r="A821" s="40" t="s">
        <v>2017</v>
      </c>
      <c r="B821" s="40" t="s">
        <v>8941</v>
      </c>
      <c r="C821" s="41">
        <v>0.0</v>
      </c>
      <c r="D821" s="41">
        <v>3.0</v>
      </c>
      <c r="E821" s="42" t="str">
        <f t="shared" si="1"/>
        <v>0.0%</v>
      </c>
    </row>
    <row r="822">
      <c r="A822" s="40" t="s">
        <v>2017</v>
      </c>
      <c r="B822" s="40" t="s">
        <v>8942</v>
      </c>
      <c r="C822" s="41">
        <v>0.0</v>
      </c>
      <c r="D822" s="41">
        <v>3.0</v>
      </c>
      <c r="E822" s="42" t="str">
        <f t="shared" si="1"/>
        <v>0.0%</v>
      </c>
    </row>
    <row r="823">
      <c r="A823" s="40" t="s">
        <v>2017</v>
      </c>
      <c r="B823" s="40" t="s">
        <v>8943</v>
      </c>
      <c r="C823" s="41">
        <v>0.0</v>
      </c>
      <c r="D823" s="41">
        <v>3.0</v>
      </c>
      <c r="E823" s="42" t="str">
        <f t="shared" si="1"/>
        <v>0.0%</v>
      </c>
    </row>
    <row r="824">
      <c r="A824" s="40" t="s">
        <v>2017</v>
      </c>
      <c r="B824" s="40" t="s">
        <v>8944</v>
      </c>
      <c r="C824" s="41">
        <v>0.0</v>
      </c>
      <c r="D824" s="41">
        <v>5.0</v>
      </c>
      <c r="E824" s="42" t="str">
        <f t="shared" si="1"/>
        <v>0.0%</v>
      </c>
    </row>
    <row r="825">
      <c r="A825" s="40" t="s">
        <v>2396</v>
      </c>
      <c r="B825" s="40" t="s">
        <v>8523</v>
      </c>
      <c r="C825" s="41">
        <v>28.0</v>
      </c>
      <c r="D825" s="41">
        <v>9.0</v>
      </c>
      <c r="E825" s="42" t="str">
        <f t="shared" si="1"/>
        <v>75.7%</v>
      </c>
    </row>
    <row r="826">
      <c r="A826" s="40" t="s">
        <v>2396</v>
      </c>
      <c r="B826" s="40" t="s">
        <v>8561</v>
      </c>
      <c r="C826" s="41">
        <v>26.0</v>
      </c>
      <c r="D826" s="41">
        <v>19.0</v>
      </c>
      <c r="E826" s="42" t="str">
        <f t="shared" si="1"/>
        <v>57.8%</v>
      </c>
    </row>
    <row r="827">
      <c r="A827" s="40" t="s">
        <v>2396</v>
      </c>
      <c r="B827" s="40" t="s">
        <v>8508</v>
      </c>
      <c r="C827" s="41">
        <v>23.0</v>
      </c>
      <c r="D827" s="41">
        <v>7.0</v>
      </c>
      <c r="E827" s="42" t="str">
        <f t="shared" si="1"/>
        <v>76.7%</v>
      </c>
    </row>
    <row r="828">
      <c r="A828" s="40" t="s">
        <v>2396</v>
      </c>
      <c r="B828" s="40" t="s">
        <v>8568</v>
      </c>
      <c r="C828" s="41">
        <v>23.0</v>
      </c>
      <c r="D828" s="41">
        <v>9.0</v>
      </c>
      <c r="E828" s="42" t="str">
        <f t="shared" si="1"/>
        <v>71.9%</v>
      </c>
    </row>
    <row r="829">
      <c r="A829" s="40" t="s">
        <v>2396</v>
      </c>
      <c r="B829" s="40" t="s">
        <v>8497</v>
      </c>
      <c r="C829" s="41">
        <v>22.0</v>
      </c>
      <c r="D829" s="41">
        <v>13.0</v>
      </c>
      <c r="E829" s="42" t="str">
        <f t="shared" si="1"/>
        <v>62.9%</v>
      </c>
    </row>
    <row r="830">
      <c r="A830" s="40" t="s">
        <v>2396</v>
      </c>
      <c r="B830" s="40" t="s">
        <v>8483</v>
      </c>
      <c r="C830" s="41">
        <v>22.0</v>
      </c>
      <c r="D830" s="41">
        <v>19.0</v>
      </c>
      <c r="E830" s="42" t="str">
        <f t="shared" si="1"/>
        <v>53.7%</v>
      </c>
    </row>
    <row r="831">
      <c r="A831" s="40" t="s">
        <v>2396</v>
      </c>
      <c r="B831" s="40" t="s">
        <v>8588</v>
      </c>
      <c r="C831" s="41">
        <v>22.0</v>
      </c>
      <c r="D831" s="41">
        <v>24.0</v>
      </c>
      <c r="E831" s="42" t="str">
        <f t="shared" si="1"/>
        <v>47.8%</v>
      </c>
    </row>
    <row r="832">
      <c r="A832" s="40" t="s">
        <v>2396</v>
      </c>
      <c r="B832" s="40" t="s">
        <v>8484</v>
      </c>
      <c r="C832" s="41">
        <v>21.0</v>
      </c>
      <c r="D832" s="41">
        <v>19.0</v>
      </c>
      <c r="E832" s="42" t="str">
        <f t="shared" si="1"/>
        <v>52.5%</v>
      </c>
    </row>
    <row r="833">
      <c r="A833" s="40" t="s">
        <v>2396</v>
      </c>
      <c r="B833" s="40" t="s">
        <v>8556</v>
      </c>
      <c r="C833" s="41">
        <v>20.0</v>
      </c>
      <c r="D833" s="41">
        <v>17.0</v>
      </c>
      <c r="E833" s="42" t="str">
        <f t="shared" si="1"/>
        <v>54.1%</v>
      </c>
    </row>
    <row r="834">
      <c r="A834" s="40" t="s">
        <v>2396</v>
      </c>
      <c r="B834" s="40" t="s">
        <v>8491</v>
      </c>
      <c r="C834" s="41">
        <v>20.0</v>
      </c>
      <c r="D834" s="41">
        <v>26.0</v>
      </c>
      <c r="E834" s="42" t="str">
        <f t="shared" si="1"/>
        <v>43.5%</v>
      </c>
    </row>
    <row r="835">
      <c r="A835" s="40" t="s">
        <v>2396</v>
      </c>
      <c r="B835" s="40" t="s">
        <v>8488</v>
      </c>
      <c r="C835" s="41">
        <v>19.0</v>
      </c>
      <c r="D835" s="41">
        <v>11.0</v>
      </c>
      <c r="E835" s="42" t="str">
        <f t="shared" si="1"/>
        <v>63.3%</v>
      </c>
    </row>
    <row r="836">
      <c r="A836" s="40" t="s">
        <v>2396</v>
      </c>
      <c r="B836" s="40" t="s">
        <v>8521</v>
      </c>
      <c r="C836" s="41">
        <v>19.0</v>
      </c>
      <c r="D836" s="41">
        <v>16.0</v>
      </c>
      <c r="E836" s="42" t="str">
        <f t="shared" si="1"/>
        <v>54.3%</v>
      </c>
    </row>
    <row r="837">
      <c r="A837" s="40" t="s">
        <v>2396</v>
      </c>
      <c r="B837" s="40" t="s">
        <v>8518</v>
      </c>
      <c r="C837" s="41">
        <v>18.0</v>
      </c>
      <c r="D837" s="41">
        <v>25.0</v>
      </c>
      <c r="E837" s="42" t="str">
        <f t="shared" si="1"/>
        <v>41.9%</v>
      </c>
    </row>
    <row r="838">
      <c r="A838" s="40" t="s">
        <v>2396</v>
      </c>
      <c r="B838" s="40" t="s">
        <v>8514</v>
      </c>
      <c r="C838" s="41">
        <v>17.0</v>
      </c>
      <c r="D838" s="41">
        <v>10.0</v>
      </c>
      <c r="E838" s="42" t="str">
        <f t="shared" si="1"/>
        <v>63.0%</v>
      </c>
    </row>
    <row r="839">
      <c r="A839" s="40" t="s">
        <v>2396</v>
      </c>
      <c r="B839" s="40" t="s">
        <v>8606</v>
      </c>
      <c r="C839" s="41">
        <v>15.0</v>
      </c>
      <c r="D839" s="41">
        <v>11.0</v>
      </c>
      <c r="E839" s="42" t="str">
        <f t="shared" si="1"/>
        <v>57.7%</v>
      </c>
    </row>
    <row r="840">
      <c r="A840" s="40" t="s">
        <v>2396</v>
      </c>
      <c r="B840" s="40" t="s">
        <v>8503</v>
      </c>
      <c r="C840" s="41">
        <v>15.0</v>
      </c>
      <c r="D840" s="41">
        <v>11.0</v>
      </c>
      <c r="E840" s="42" t="str">
        <f t="shared" si="1"/>
        <v>57.7%</v>
      </c>
    </row>
    <row r="841">
      <c r="A841" s="40" t="s">
        <v>2396</v>
      </c>
      <c r="B841" s="40" t="s">
        <v>8555</v>
      </c>
      <c r="C841" s="41">
        <v>15.0</v>
      </c>
      <c r="D841" s="41">
        <v>13.0</v>
      </c>
      <c r="E841" s="42" t="str">
        <f t="shared" si="1"/>
        <v>53.6%</v>
      </c>
    </row>
    <row r="842">
      <c r="A842" s="40" t="s">
        <v>2396</v>
      </c>
      <c r="B842" s="40" t="s">
        <v>8534</v>
      </c>
      <c r="C842" s="41">
        <v>14.0</v>
      </c>
      <c r="D842" s="41">
        <v>8.0</v>
      </c>
      <c r="E842" s="42" t="str">
        <f t="shared" si="1"/>
        <v>63.6%</v>
      </c>
    </row>
    <row r="843">
      <c r="A843" s="40" t="s">
        <v>2396</v>
      </c>
      <c r="B843" s="40" t="s">
        <v>8502</v>
      </c>
      <c r="C843" s="41">
        <v>14.0</v>
      </c>
      <c r="D843" s="41">
        <v>13.0</v>
      </c>
      <c r="E843" s="42" t="str">
        <f t="shared" si="1"/>
        <v>51.9%</v>
      </c>
    </row>
    <row r="844">
      <c r="A844" s="40" t="s">
        <v>2396</v>
      </c>
      <c r="B844" s="40" t="s">
        <v>8581</v>
      </c>
      <c r="C844" s="41">
        <v>14.0</v>
      </c>
      <c r="D844" s="41">
        <v>23.0</v>
      </c>
      <c r="E844" s="42" t="str">
        <f t="shared" si="1"/>
        <v>37.8%</v>
      </c>
    </row>
    <row r="845">
      <c r="A845" s="40" t="s">
        <v>2396</v>
      </c>
      <c r="B845" s="40" t="s">
        <v>8522</v>
      </c>
      <c r="C845" s="41">
        <v>13.0</v>
      </c>
      <c r="D845" s="41">
        <v>4.0</v>
      </c>
      <c r="E845" s="42" t="str">
        <f t="shared" si="1"/>
        <v>76.5%</v>
      </c>
    </row>
    <row r="846">
      <c r="A846" s="40" t="s">
        <v>2396</v>
      </c>
      <c r="B846" s="40" t="s">
        <v>8648</v>
      </c>
      <c r="C846" s="41">
        <v>13.0</v>
      </c>
      <c r="D846" s="41">
        <v>8.0</v>
      </c>
      <c r="E846" s="42" t="str">
        <f t="shared" si="1"/>
        <v>61.9%</v>
      </c>
    </row>
    <row r="847">
      <c r="A847" s="40" t="s">
        <v>2396</v>
      </c>
      <c r="B847" s="40" t="s">
        <v>8652</v>
      </c>
      <c r="C847" s="41">
        <v>13.0</v>
      </c>
      <c r="D847" s="41">
        <v>11.0</v>
      </c>
      <c r="E847" s="42" t="str">
        <f t="shared" si="1"/>
        <v>54.2%</v>
      </c>
    </row>
    <row r="848">
      <c r="A848" s="40" t="s">
        <v>2396</v>
      </c>
      <c r="B848" s="40" t="s">
        <v>8485</v>
      </c>
      <c r="C848" s="41">
        <v>12.0</v>
      </c>
      <c r="D848" s="41">
        <v>12.0</v>
      </c>
      <c r="E848" s="42" t="str">
        <f t="shared" si="1"/>
        <v>50.0%</v>
      </c>
    </row>
    <row r="849">
      <c r="A849" s="40" t="s">
        <v>2396</v>
      </c>
      <c r="B849" s="40" t="s">
        <v>8530</v>
      </c>
      <c r="C849" s="41">
        <v>11.0</v>
      </c>
      <c r="D849" s="41">
        <v>27.0</v>
      </c>
      <c r="E849" s="42" t="str">
        <f t="shared" si="1"/>
        <v>28.9%</v>
      </c>
    </row>
    <row r="850">
      <c r="A850" s="40" t="s">
        <v>2396</v>
      </c>
      <c r="B850" s="40" t="s">
        <v>8567</v>
      </c>
      <c r="C850" s="41">
        <v>10.0</v>
      </c>
      <c r="D850" s="41">
        <v>4.0</v>
      </c>
      <c r="E850" s="42" t="str">
        <f t="shared" si="1"/>
        <v>71.4%</v>
      </c>
    </row>
    <row r="851">
      <c r="A851" s="40" t="s">
        <v>2396</v>
      </c>
      <c r="B851" s="40" t="s">
        <v>8729</v>
      </c>
      <c r="C851" s="41">
        <v>10.0</v>
      </c>
      <c r="D851" s="41">
        <v>8.0</v>
      </c>
      <c r="E851" s="42" t="str">
        <f t="shared" si="1"/>
        <v>55.6%</v>
      </c>
    </row>
    <row r="852">
      <c r="A852" s="40" t="s">
        <v>2396</v>
      </c>
      <c r="B852" s="40" t="s">
        <v>8520</v>
      </c>
      <c r="C852" s="41">
        <v>10.0</v>
      </c>
      <c r="D852" s="41">
        <v>14.0</v>
      </c>
      <c r="E852" s="42" t="str">
        <f t="shared" si="1"/>
        <v>41.7%</v>
      </c>
    </row>
    <row r="853">
      <c r="A853" s="40" t="s">
        <v>2396</v>
      </c>
      <c r="B853" s="40" t="s">
        <v>8501</v>
      </c>
      <c r="C853" s="41">
        <v>10.0</v>
      </c>
      <c r="D853" s="41">
        <v>20.0</v>
      </c>
      <c r="E853" s="42" t="str">
        <f t="shared" si="1"/>
        <v>33.3%</v>
      </c>
    </row>
    <row r="854">
      <c r="A854" s="40" t="s">
        <v>2396</v>
      </c>
      <c r="B854" s="40" t="s">
        <v>8642</v>
      </c>
      <c r="C854" s="41">
        <v>9.0</v>
      </c>
      <c r="D854" s="41">
        <v>5.0</v>
      </c>
      <c r="E854" s="42" t="str">
        <f t="shared" si="1"/>
        <v>64.3%</v>
      </c>
    </row>
    <row r="855">
      <c r="A855" s="40" t="s">
        <v>2396</v>
      </c>
      <c r="B855" s="40" t="s">
        <v>8533</v>
      </c>
      <c r="C855" s="41">
        <v>9.0</v>
      </c>
      <c r="D855" s="41">
        <v>9.0</v>
      </c>
      <c r="E855" s="42" t="str">
        <f t="shared" si="1"/>
        <v>50.0%</v>
      </c>
    </row>
    <row r="856">
      <c r="A856" s="40" t="s">
        <v>2396</v>
      </c>
      <c r="B856" s="40" t="s">
        <v>8504</v>
      </c>
      <c r="C856" s="41">
        <v>9.0</v>
      </c>
      <c r="D856" s="41">
        <v>10.0</v>
      </c>
      <c r="E856" s="42" t="str">
        <f t="shared" si="1"/>
        <v>47.4%</v>
      </c>
    </row>
    <row r="857">
      <c r="A857" s="40" t="s">
        <v>2396</v>
      </c>
      <c r="B857" s="40" t="s">
        <v>8640</v>
      </c>
      <c r="C857" s="41">
        <v>9.0</v>
      </c>
      <c r="D857" s="41">
        <v>14.0</v>
      </c>
      <c r="E857" s="42" t="str">
        <f t="shared" si="1"/>
        <v>39.1%</v>
      </c>
    </row>
    <row r="858">
      <c r="A858" s="40" t="s">
        <v>2396</v>
      </c>
      <c r="B858" s="40" t="s">
        <v>8528</v>
      </c>
      <c r="C858" s="41">
        <v>8.0</v>
      </c>
      <c r="D858" s="41">
        <v>3.0</v>
      </c>
      <c r="E858" s="42" t="str">
        <f t="shared" si="1"/>
        <v>72.7%</v>
      </c>
    </row>
    <row r="859">
      <c r="A859" s="40" t="s">
        <v>2396</v>
      </c>
      <c r="B859" s="40" t="s">
        <v>8635</v>
      </c>
      <c r="C859" s="41">
        <v>8.0</v>
      </c>
      <c r="D859" s="41">
        <v>3.0</v>
      </c>
      <c r="E859" s="42" t="str">
        <f t="shared" si="1"/>
        <v>72.7%</v>
      </c>
    </row>
    <row r="860">
      <c r="A860" s="40" t="s">
        <v>2396</v>
      </c>
      <c r="B860" s="40" t="s">
        <v>8552</v>
      </c>
      <c r="C860" s="41">
        <v>8.0</v>
      </c>
      <c r="D860" s="41">
        <v>8.0</v>
      </c>
      <c r="E860" s="42" t="str">
        <f t="shared" si="1"/>
        <v>50.0%</v>
      </c>
    </row>
    <row r="861">
      <c r="A861" s="40" t="s">
        <v>2396</v>
      </c>
      <c r="B861" s="40" t="s">
        <v>8569</v>
      </c>
      <c r="C861" s="41">
        <v>8.0</v>
      </c>
      <c r="D861" s="41">
        <v>9.0</v>
      </c>
      <c r="E861" s="42" t="str">
        <f t="shared" si="1"/>
        <v>47.1%</v>
      </c>
    </row>
    <row r="862">
      <c r="A862" s="40" t="s">
        <v>2396</v>
      </c>
      <c r="B862" s="40" t="s">
        <v>8500</v>
      </c>
      <c r="C862" s="41">
        <v>8.0</v>
      </c>
      <c r="D862" s="41">
        <v>11.0</v>
      </c>
      <c r="E862" s="42" t="str">
        <f t="shared" si="1"/>
        <v>42.1%</v>
      </c>
    </row>
    <row r="863">
      <c r="A863" s="40" t="s">
        <v>2396</v>
      </c>
      <c r="B863" s="40" t="s">
        <v>8589</v>
      </c>
      <c r="C863" s="41">
        <v>7.0</v>
      </c>
      <c r="D863" s="41">
        <v>10.0</v>
      </c>
      <c r="E863" s="42" t="str">
        <f t="shared" si="1"/>
        <v>41.2%</v>
      </c>
    </row>
    <row r="864">
      <c r="A864" s="40" t="s">
        <v>2396</v>
      </c>
      <c r="B864" s="40" t="s">
        <v>8487</v>
      </c>
      <c r="C864" s="41">
        <v>7.0</v>
      </c>
      <c r="D864" s="41">
        <v>11.0</v>
      </c>
      <c r="E864" s="42" t="str">
        <f t="shared" si="1"/>
        <v>38.9%</v>
      </c>
    </row>
    <row r="865">
      <c r="A865" s="40" t="s">
        <v>2396</v>
      </c>
      <c r="B865" s="40" t="s">
        <v>8496</v>
      </c>
      <c r="C865" s="41">
        <v>7.0</v>
      </c>
      <c r="D865" s="41">
        <v>22.0</v>
      </c>
      <c r="E865" s="42" t="str">
        <f t="shared" si="1"/>
        <v>24.1%</v>
      </c>
    </row>
    <row r="866">
      <c r="A866" s="40" t="s">
        <v>2396</v>
      </c>
      <c r="B866" s="40" t="s">
        <v>8822</v>
      </c>
      <c r="C866" s="41">
        <v>6.0</v>
      </c>
      <c r="D866" s="41">
        <v>3.0</v>
      </c>
      <c r="E866" s="42" t="str">
        <f t="shared" si="1"/>
        <v>66.7%</v>
      </c>
    </row>
    <row r="867">
      <c r="A867" s="40" t="s">
        <v>2396</v>
      </c>
      <c r="B867" s="40" t="s">
        <v>8532</v>
      </c>
      <c r="C867" s="41">
        <v>6.0</v>
      </c>
      <c r="D867" s="41">
        <v>5.0</v>
      </c>
      <c r="E867" s="42" t="str">
        <f t="shared" si="1"/>
        <v>54.5%</v>
      </c>
    </row>
    <row r="868">
      <c r="A868" s="40" t="s">
        <v>2396</v>
      </c>
      <c r="B868" s="40" t="s">
        <v>8578</v>
      </c>
      <c r="C868" s="41">
        <v>6.0</v>
      </c>
      <c r="D868" s="41">
        <v>6.0</v>
      </c>
      <c r="E868" s="42" t="str">
        <f t="shared" si="1"/>
        <v>50.0%</v>
      </c>
    </row>
    <row r="869">
      <c r="A869" s="40" t="s">
        <v>2396</v>
      </c>
      <c r="B869" s="40" t="s">
        <v>8553</v>
      </c>
      <c r="C869" s="41">
        <v>5.0</v>
      </c>
      <c r="D869" s="41">
        <v>2.0</v>
      </c>
      <c r="E869" s="42" t="str">
        <f t="shared" si="1"/>
        <v>71.4%</v>
      </c>
    </row>
    <row r="870">
      <c r="A870" s="40" t="s">
        <v>2396</v>
      </c>
      <c r="B870" s="40" t="s">
        <v>8866</v>
      </c>
      <c r="C870" s="41">
        <v>5.0</v>
      </c>
      <c r="D870" s="41">
        <v>2.0</v>
      </c>
      <c r="E870" s="42" t="str">
        <f t="shared" si="1"/>
        <v>71.4%</v>
      </c>
    </row>
    <row r="871">
      <c r="A871" s="40" t="s">
        <v>2396</v>
      </c>
      <c r="B871" s="40" t="s">
        <v>8541</v>
      </c>
      <c r="C871" s="41">
        <v>5.0</v>
      </c>
      <c r="D871" s="41">
        <v>3.0</v>
      </c>
      <c r="E871" s="42" t="str">
        <f t="shared" si="1"/>
        <v>62.5%</v>
      </c>
    </row>
    <row r="872">
      <c r="A872" s="40" t="s">
        <v>2396</v>
      </c>
      <c r="B872" s="40" t="s">
        <v>8621</v>
      </c>
      <c r="C872" s="41">
        <v>5.0</v>
      </c>
      <c r="D872" s="41">
        <v>8.0</v>
      </c>
      <c r="E872" s="42" t="str">
        <f t="shared" si="1"/>
        <v>38.5%</v>
      </c>
    </row>
    <row r="873">
      <c r="A873" s="40" t="s">
        <v>2396</v>
      </c>
      <c r="B873" s="40" t="s">
        <v>8641</v>
      </c>
      <c r="C873" s="41">
        <v>5.0</v>
      </c>
      <c r="D873" s="41">
        <v>13.0</v>
      </c>
      <c r="E873" s="42" t="str">
        <f t="shared" si="1"/>
        <v>27.8%</v>
      </c>
    </row>
    <row r="874">
      <c r="A874" s="40" t="s">
        <v>2396</v>
      </c>
      <c r="B874" s="40" t="s">
        <v>8489</v>
      </c>
      <c r="C874" s="41">
        <v>4.0</v>
      </c>
      <c r="D874" s="41">
        <v>2.0</v>
      </c>
      <c r="E874" s="42" t="str">
        <f t="shared" si="1"/>
        <v>66.7%</v>
      </c>
    </row>
    <row r="875">
      <c r="A875" s="40" t="s">
        <v>2396</v>
      </c>
      <c r="B875" s="40" t="s">
        <v>8832</v>
      </c>
      <c r="C875" s="41">
        <v>4.0</v>
      </c>
      <c r="D875" s="41">
        <v>2.0</v>
      </c>
      <c r="E875" s="42" t="str">
        <f t="shared" si="1"/>
        <v>66.7%</v>
      </c>
    </row>
    <row r="876">
      <c r="A876" s="40" t="s">
        <v>2396</v>
      </c>
      <c r="B876" s="40" t="s">
        <v>8577</v>
      </c>
      <c r="C876" s="41">
        <v>4.0</v>
      </c>
      <c r="D876" s="41">
        <v>4.0</v>
      </c>
      <c r="E876" s="42" t="str">
        <f t="shared" si="1"/>
        <v>50.0%</v>
      </c>
    </row>
    <row r="877">
      <c r="A877" s="40" t="s">
        <v>2396</v>
      </c>
      <c r="B877" s="40" t="s">
        <v>8507</v>
      </c>
      <c r="C877" s="41">
        <v>4.0</v>
      </c>
      <c r="D877" s="41">
        <v>5.0</v>
      </c>
      <c r="E877" s="42" t="str">
        <f t="shared" si="1"/>
        <v>44.4%</v>
      </c>
    </row>
    <row r="878">
      <c r="A878" s="40" t="s">
        <v>2396</v>
      </c>
      <c r="B878" s="40" t="s">
        <v>8545</v>
      </c>
      <c r="C878" s="41">
        <v>4.0</v>
      </c>
      <c r="D878" s="41">
        <v>11.0</v>
      </c>
      <c r="E878" s="42" t="str">
        <f t="shared" si="1"/>
        <v>26.7%</v>
      </c>
    </row>
    <row r="879">
      <c r="A879" s="40" t="s">
        <v>2396</v>
      </c>
      <c r="B879" s="40" t="s">
        <v>8820</v>
      </c>
      <c r="C879" s="41">
        <v>3.0</v>
      </c>
      <c r="D879" s="41">
        <v>0.0</v>
      </c>
      <c r="E879" s="42" t="str">
        <f t="shared" si="1"/>
        <v>100.0%</v>
      </c>
    </row>
    <row r="880">
      <c r="A880" s="40" t="s">
        <v>2396</v>
      </c>
      <c r="B880" s="40" t="s">
        <v>8515</v>
      </c>
      <c r="C880" s="41">
        <v>3.0</v>
      </c>
      <c r="D880" s="41">
        <v>1.0</v>
      </c>
      <c r="E880" s="42" t="str">
        <f t="shared" si="1"/>
        <v>75.0%</v>
      </c>
    </row>
    <row r="881">
      <c r="A881" s="40" t="s">
        <v>2396</v>
      </c>
      <c r="B881" s="40" t="s">
        <v>8498</v>
      </c>
      <c r="C881" s="41">
        <v>3.0</v>
      </c>
      <c r="D881" s="41">
        <v>1.0</v>
      </c>
      <c r="E881" s="42" t="str">
        <f t="shared" si="1"/>
        <v>75.0%</v>
      </c>
    </row>
    <row r="882">
      <c r="A882" s="40" t="s">
        <v>2396</v>
      </c>
      <c r="B882" s="40" t="s">
        <v>8585</v>
      </c>
      <c r="C882" s="41">
        <v>3.0</v>
      </c>
      <c r="D882" s="41">
        <v>1.0</v>
      </c>
      <c r="E882" s="42" t="str">
        <f t="shared" si="1"/>
        <v>75.0%</v>
      </c>
    </row>
    <row r="883">
      <c r="A883" s="40" t="s">
        <v>2396</v>
      </c>
      <c r="B883" s="40" t="s">
        <v>8572</v>
      </c>
      <c r="C883" s="41">
        <v>3.0</v>
      </c>
      <c r="D883" s="41">
        <v>2.0</v>
      </c>
      <c r="E883" s="42" t="str">
        <f t="shared" si="1"/>
        <v>60.0%</v>
      </c>
    </row>
    <row r="884">
      <c r="A884" s="40" t="s">
        <v>2396</v>
      </c>
      <c r="B884" s="40" t="s">
        <v>8609</v>
      </c>
      <c r="C884" s="41">
        <v>3.0</v>
      </c>
      <c r="D884" s="41">
        <v>2.0</v>
      </c>
      <c r="E884" s="42" t="str">
        <f t="shared" si="1"/>
        <v>60.0%</v>
      </c>
    </row>
    <row r="885">
      <c r="A885" s="40" t="s">
        <v>2396</v>
      </c>
      <c r="B885" s="40" t="s">
        <v>8590</v>
      </c>
      <c r="C885" s="41">
        <v>3.0</v>
      </c>
      <c r="D885" s="41">
        <v>2.0</v>
      </c>
      <c r="E885" s="42" t="str">
        <f t="shared" si="1"/>
        <v>60.0%</v>
      </c>
    </row>
    <row r="886">
      <c r="A886" s="40" t="s">
        <v>2396</v>
      </c>
      <c r="B886" s="40" t="s">
        <v>8816</v>
      </c>
      <c r="C886" s="41">
        <v>3.0</v>
      </c>
      <c r="D886" s="41">
        <v>3.0</v>
      </c>
      <c r="E886" s="42" t="str">
        <f t="shared" si="1"/>
        <v>50.0%</v>
      </c>
    </row>
    <row r="887">
      <c r="A887" s="40" t="s">
        <v>2396</v>
      </c>
      <c r="B887" s="40" t="s">
        <v>8865</v>
      </c>
      <c r="C887" s="41">
        <v>3.0</v>
      </c>
      <c r="D887" s="41">
        <v>3.0</v>
      </c>
      <c r="E887" s="42" t="str">
        <f t="shared" si="1"/>
        <v>50.0%</v>
      </c>
    </row>
    <row r="888">
      <c r="A888" s="40" t="s">
        <v>2396</v>
      </c>
      <c r="B888" s="40" t="s">
        <v>8911</v>
      </c>
      <c r="C888" s="41">
        <v>3.0</v>
      </c>
      <c r="D888" s="41">
        <v>3.0</v>
      </c>
      <c r="E888" s="42" t="str">
        <f t="shared" si="1"/>
        <v>50.0%</v>
      </c>
    </row>
    <row r="889">
      <c r="A889" s="40" t="s">
        <v>2396</v>
      </c>
      <c r="B889" s="40" t="s">
        <v>8548</v>
      </c>
      <c r="C889" s="41">
        <v>3.0</v>
      </c>
      <c r="D889" s="41">
        <v>4.0</v>
      </c>
      <c r="E889" s="42" t="str">
        <f t="shared" si="1"/>
        <v>42.9%</v>
      </c>
    </row>
    <row r="890">
      <c r="A890" s="40" t="s">
        <v>2396</v>
      </c>
      <c r="B890" s="40" t="s">
        <v>8490</v>
      </c>
      <c r="C890" s="41">
        <v>3.0</v>
      </c>
      <c r="D890" s="41">
        <v>17.0</v>
      </c>
      <c r="E890" s="42" t="str">
        <f t="shared" si="1"/>
        <v>15.0%</v>
      </c>
    </row>
    <row r="891">
      <c r="A891" s="40" t="s">
        <v>2396</v>
      </c>
      <c r="B891" s="40" t="s">
        <v>8570</v>
      </c>
      <c r="C891" s="41">
        <v>2.0</v>
      </c>
      <c r="D891" s="41">
        <v>0.0</v>
      </c>
      <c r="E891" s="42" t="str">
        <f t="shared" si="1"/>
        <v>100.0%</v>
      </c>
    </row>
    <row r="892">
      <c r="A892" s="40" t="s">
        <v>2396</v>
      </c>
      <c r="B892" s="40" t="s">
        <v>8544</v>
      </c>
      <c r="C892" s="41">
        <v>2.0</v>
      </c>
      <c r="D892" s="41">
        <v>0.0</v>
      </c>
      <c r="E892" s="42" t="str">
        <f t="shared" si="1"/>
        <v>100.0%</v>
      </c>
    </row>
    <row r="893">
      <c r="A893" s="40" t="s">
        <v>2396</v>
      </c>
      <c r="B893" s="40" t="s">
        <v>8579</v>
      </c>
      <c r="C893" s="41">
        <v>2.0</v>
      </c>
      <c r="D893" s="41">
        <v>0.0</v>
      </c>
      <c r="E893" s="42" t="str">
        <f t="shared" si="1"/>
        <v>100.0%</v>
      </c>
    </row>
    <row r="894">
      <c r="A894" s="40" t="s">
        <v>2396</v>
      </c>
      <c r="B894" s="40" t="s">
        <v>8824</v>
      </c>
      <c r="C894" s="41">
        <v>2.0</v>
      </c>
      <c r="D894" s="41">
        <v>0.0</v>
      </c>
      <c r="E894" s="42" t="str">
        <f t="shared" si="1"/>
        <v>100.0%</v>
      </c>
    </row>
    <row r="895">
      <c r="A895" s="40" t="s">
        <v>2396</v>
      </c>
      <c r="B895" s="40" t="s">
        <v>8626</v>
      </c>
      <c r="C895" s="41">
        <v>2.0</v>
      </c>
      <c r="D895" s="41">
        <v>1.0</v>
      </c>
      <c r="E895" s="42" t="str">
        <f t="shared" si="1"/>
        <v>66.7%</v>
      </c>
    </row>
    <row r="896">
      <c r="A896" s="40" t="s">
        <v>2396</v>
      </c>
      <c r="B896" s="40" t="s">
        <v>8884</v>
      </c>
      <c r="C896" s="41">
        <v>2.0</v>
      </c>
      <c r="D896" s="41">
        <v>1.0</v>
      </c>
      <c r="E896" s="42" t="str">
        <f t="shared" si="1"/>
        <v>66.7%</v>
      </c>
    </row>
    <row r="897">
      <c r="A897" s="40" t="s">
        <v>2396</v>
      </c>
      <c r="B897" s="40" t="s">
        <v>8945</v>
      </c>
      <c r="C897" s="41">
        <v>2.0</v>
      </c>
      <c r="D897" s="41">
        <v>1.0</v>
      </c>
      <c r="E897" s="42" t="str">
        <f t="shared" si="1"/>
        <v>66.7%</v>
      </c>
    </row>
    <row r="898">
      <c r="A898" s="40" t="s">
        <v>2396</v>
      </c>
      <c r="B898" s="40" t="s">
        <v>8549</v>
      </c>
      <c r="C898" s="41">
        <v>2.0</v>
      </c>
      <c r="D898" s="41">
        <v>2.0</v>
      </c>
      <c r="E898" s="42" t="str">
        <f t="shared" si="1"/>
        <v>50.0%</v>
      </c>
    </row>
    <row r="899">
      <c r="A899" s="40" t="s">
        <v>2396</v>
      </c>
      <c r="B899" s="40" t="s">
        <v>8550</v>
      </c>
      <c r="C899" s="41">
        <v>2.0</v>
      </c>
      <c r="D899" s="41">
        <v>2.0</v>
      </c>
      <c r="E899" s="42" t="str">
        <f t="shared" si="1"/>
        <v>50.0%</v>
      </c>
    </row>
    <row r="900">
      <c r="A900" s="40" t="s">
        <v>2396</v>
      </c>
      <c r="B900" s="40" t="s">
        <v>8715</v>
      </c>
      <c r="C900" s="41">
        <v>2.0</v>
      </c>
      <c r="D900" s="41">
        <v>2.0</v>
      </c>
      <c r="E900" s="42" t="str">
        <f t="shared" si="1"/>
        <v>50.0%</v>
      </c>
    </row>
    <row r="901">
      <c r="A901" s="40" t="s">
        <v>2396</v>
      </c>
      <c r="B901" s="40" t="s">
        <v>8819</v>
      </c>
      <c r="C901" s="41">
        <v>2.0</v>
      </c>
      <c r="D901" s="41">
        <v>2.0</v>
      </c>
      <c r="E901" s="42" t="str">
        <f t="shared" si="1"/>
        <v>50.0%</v>
      </c>
    </row>
    <row r="902">
      <c r="A902" s="40" t="s">
        <v>2396</v>
      </c>
      <c r="B902" s="40" t="s">
        <v>8946</v>
      </c>
      <c r="C902" s="41">
        <v>2.0</v>
      </c>
      <c r="D902" s="41">
        <v>2.0</v>
      </c>
      <c r="E902" s="42" t="str">
        <f t="shared" si="1"/>
        <v>50.0%</v>
      </c>
    </row>
    <row r="903">
      <c r="A903" s="40" t="s">
        <v>2396</v>
      </c>
      <c r="B903" s="40" t="s">
        <v>8595</v>
      </c>
      <c r="C903" s="41">
        <v>2.0</v>
      </c>
      <c r="D903" s="41">
        <v>3.0</v>
      </c>
      <c r="E903" s="42" t="str">
        <f t="shared" si="1"/>
        <v>40.0%</v>
      </c>
    </row>
    <row r="904">
      <c r="A904" s="40" t="s">
        <v>2396</v>
      </c>
      <c r="B904" s="40" t="s">
        <v>8638</v>
      </c>
      <c r="C904" s="41">
        <v>2.0</v>
      </c>
      <c r="D904" s="41">
        <v>3.0</v>
      </c>
      <c r="E904" s="42" t="str">
        <f t="shared" si="1"/>
        <v>40.0%</v>
      </c>
    </row>
    <row r="905">
      <c r="A905" s="40" t="s">
        <v>2396</v>
      </c>
      <c r="B905" s="40" t="s">
        <v>8603</v>
      </c>
      <c r="C905" s="41">
        <v>2.0</v>
      </c>
      <c r="D905" s="41">
        <v>3.0</v>
      </c>
      <c r="E905" s="42" t="str">
        <f t="shared" si="1"/>
        <v>40.0%</v>
      </c>
    </row>
    <row r="906">
      <c r="A906" s="40" t="s">
        <v>2396</v>
      </c>
      <c r="B906" s="40" t="s">
        <v>8547</v>
      </c>
      <c r="C906" s="41">
        <v>2.0</v>
      </c>
      <c r="D906" s="41">
        <v>5.0</v>
      </c>
      <c r="E906" s="42" t="str">
        <f t="shared" si="1"/>
        <v>28.6%</v>
      </c>
    </row>
    <row r="907">
      <c r="A907" s="40" t="s">
        <v>2396</v>
      </c>
      <c r="B907" s="40" t="s">
        <v>8510</v>
      </c>
      <c r="C907" s="41">
        <v>2.0</v>
      </c>
      <c r="D907" s="41">
        <v>9.0</v>
      </c>
      <c r="E907" s="42" t="str">
        <f t="shared" si="1"/>
        <v>18.2%</v>
      </c>
    </row>
    <row r="908">
      <c r="A908" s="40" t="s">
        <v>2396</v>
      </c>
      <c r="B908" s="40" t="s">
        <v>8682</v>
      </c>
      <c r="C908" s="41">
        <v>2.0</v>
      </c>
      <c r="D908" s="41">
        <v>16.0</v>
      </c>
      <c r="E908" s="42" t="str">
        <f t="shared" si="1"/>
        <v>11.1%</v>
      </c>
    </row>
    <row r="909">
      <c r="A909" s="40" t="s">
        <v>2396</v>
      </c>
      <c r="B909" s="40" t="s">
        <v>8583</v>
      </c>
      <c r="C909" s="41">
        <v>1.0</v>
      </c>
      <c r="D909" s="41">
        <v>0.0</v>
      </c>
      <c r="E909" s="42" t="str">
        <f t="shared" si="1"/>
        <v>100.0%</v>
      </c>
    </row>
    <row r="910">
      <c r="A910" s="40" t="s">
        <v>2396</v>
      </c>
      <c r="B910" s="40" t="s">
        <v>8629</v>
      </c>
      <c r="C910" s="41">
        <v>1.0</v>
      </c>
      <c r="D910" s="41">
        <v>0.0</v>
      </c>
      <c r="E910" s="42" t="str">
        <f t="shared" si="1"/>
        <v>100.0%</v>
      </c>
    </row>
    <row r="911">
      <c r="A911" s="40" t="s">
        <v>2396</v>
      </c>
      <c r="B911" s="40" t="s">
        <v>8773</v>
      </c>
      <c r="C911" s="41">
        <v>1.0</v>
      </c>
      <c r="D911" s="41">
        <v>0.0</v>
      </c>
      <c r="E911" s="42" t="str">
        <f t="shared" si="1"/>
        <v>100.0%</v>
      </c>
    </row>
    <row r="912">
      <c r="A912" s="40" t="s">
        <v>2396</v>
      </c>
      <c r="B912" s="40" t="s">
        <v>8826</v>
      </c>
      <c r="C912" s="41">
        <v>1.0</v>
      </c>
      <c r="D912" s="41">
        <v>0.0</v>
      </c>
      <c r="E912" s="42" t="str">
        <f t="shared" si="1"/>
        <v>100.0%</v>
      </c>
    </row>
    <row r="913">
      <c r="A913" s="40" t="s">
        <v>2396</v>
      </c>
      <c r="B913" s="40" t="s">
        <v>8947</v>
      </c>
      <c r="C913" s="41">
        <v>1.0</v>
      </c>
      <c r="D913" s="41">
        <v>0.0</v>
      </c>
      <c r="E913" s="42" t="str">
        <f t="shared" si="1"/>
        <v>100.0%</v>
      </c>
    </row>
    <row r="914">
      <c r="A914" s="40" t="s">
        <v>2396</v>
      </c>
      <c r="B914" s="40" t="s">
        <v>8948</v>
      </c>
      <c r="C914" s="41">
        <v>1.0</v>
      </c>
      <c r="D914" s="41">
        <v>0.0</v>
      </c>
      <c r="E914" s="42" t="str">
        <f t="shared" si="1"/>
        <v>100.0%</v>
      </c>
    </row>
    <row r="915">
      <c r="A915" s="40" t="s">
        <v>2396</v>
      </c>
      <c r="B915" s="40" t="s">
        <v>8605</v>
      </c>
      <c r="C915" s="41">
        <v>1.0</v>
      </c>
      <c r="D915" s="41">
        <v>1.0</v>
      </c>
      <c r="E915" s="42" t="str">
        <f t="shared" si="1"/>
        <v>50.0%</v>
      </c>
    </row>
    <row r="916">
      <c r="A916" s="40" t="s">
        <v>2396</v>
      </c>
      <c r="B916" s="40" t="s">
        <v>8809</v>
      </c>
      <c r="C916" s="41">
        <v>1.0</v>
      </c>
      <c r="D916" s="41">
        <v>1.0</v>
      </c>
      <c r="E916" s="42" t="str">
        <f t="shared" si="1"/>
        <v>50.0%</v>
      </c>
    </row>
    <row r="917">
      <c r="A917" s="40" t="s">
        <v>2396</v>
      </c>
      <c r="B917" s="40" t="s">
        <v>8673</v>
      </c>
      <c r="C917" s="41">
        <v>1.0</v>
      </c>
      <c r="D917" s="41">
        <v>1.0</v>
      </c>
      <c r="E917" s="42" t="str">
        <f t="shared" si="1"/>
        <v>50.0%</v>
      </c>
    </row>
    <row r="918">
      <c r="A918" s="40" t="s">
        <v>2396</v>
      </c>
      <c r="B918" s="40" t="s">
        <v>8794</v>
      </c>
      <c r="C918" s="41">
        <v>1.0</v>
      </c>
      <c r="D918" s="41">
        <v>1.0</v>
      </c>
      <c r="E918" s="42" t="str">
        <f t="shared" si="1"/>
        <v>50.0%</v>
      </c>
    </row>
    <row r="919">
      <c r="A919" s="40" t="s">
        <v>2396</v>
      </c>
      <c r="B919" s="40" t="s">
        <v>8926</v>
      </c>
      <c r="C919" s="41">
        <v>1.0</v>
      </c>
      <c r="D919" s="41">
        <v>1.0</v>
      </c>
      <c r="E919" s="42" t="str">
        <f t="shared" si="1"/>
        <v>50.0%</v>
      </c>
    </row>
    <row r="920">
      <c r="A920" s="40" t="s">
        <v>2396</v>
      </c>
      <c r="B920" s="40" t="s">
        <v>8949</v>
      </c>
      <c r="C920" s="41">
        <v>1.0</v>
      </c>
      <c r="D920" s="41">
        <v>1.0</v>
      </c>
      <c r="E920" s="42" t="str">
        <f t="shared" si="1"/>
        <v>50.0%</v>
      </c>
    </row>
    <row r="921">
      <c r="A921" s="40" t="s">
        <v>2396</v>
      </c>
      <c r="B921" s="40" t="s">
        <v>8950</v>
      </c>
      <c r="C921" s="41">
        <v>1.0</v>
      </c>
      <c r="D921" s="41">
        <v>1.0</v>
      </c>
      <c r="E921" s="42" t="str">
        <f t="shared" si="1"/>
        <v>50.0%</v>
      </c>
    </row>
    <row r="922">
      <c r="A922" s="40" t="s">
        <v>2396</v>
      </c>
      <c r="B922" s="40" t="s">
        <v>8951</v>
      </c>
      <c r="C922" s="41">
        <v>1.0</v>
      </c>
      <c r="D922" s="41">
        <v>1.0</v>
      </c>
      <c r="E922" s="42" t="str">
        <f t="shared" si="1"/>
        <v>50.0%</v>
      </c>
    </row>
    <row r="923">
      <c r="A923" s="40" t="s">
        <v>2396</v>
      </c>
      <c r="B923" s="40" t="s">
        <v>8952</v>
      </c>
      <c r="C923" s="41">
        <v>1.0</v>
      </c>
      <c r="D923" s="41">
        <v>1.0</v>
      </c>
      <c r="E923" s="42" t="str">
        <f t="shared" si="1"/>
        <v>50.0%</v>
      </c>
    </row>
    <row r="924">
      <c r="A924" s="40" t="s">
        <v>2396</v>
      </c>
      <c r="B924" s="40" t="s">
        <v>8914</v>
      </c>
      <c r="C924" s="41">
        <v>1.0</v>
      </c>
      <c r="D924" s="41">
        <v>2.0</v>
      </c>
      <c r="E924" s="42" t="str">
        <f t="shared" si="1"/>
        <v>33.3%</v>
      </c>
    </row>
    <row r="925">
      <c r="A925" s="40" t="s">
        <v>2396</v>
      </c>
      <c r="B925" s="40" t="s">
        <v>8565</v>
      </c>
      <c r="C925" s="41">
        <v>1.0</v>
      </c>
      <c r="D925" s="41">
        <v>3.0</v>
      </c>
      <c r="E925" s="42" t="str">
        <f t="shared" si="1"/>
        <v>25.0%</v>
      </c>
    </row>
    <row r="926">
      <c r="A926" s="40" t="s">
        <v>2396</v>
      </c>
      <c r="B926" s="40" t="s">
        <v>8599</v>
      </c>
      <c r="C926" s="41">
        <v>0.0</v>
      </c>
      <c r="D926" s="41">
        <v>1.0</v>
      </c>
      <c r="E926" s="42" t="str">
        <f t="shared" si="1"/>
        <v>0.0%</v>
      </c>
    </row>
    <row r="927">
      <c r="A927" s="40" t="s">
        <v>2396</v>
      </c>
      <c r="B927" s="40" t="s">
        <v>8675</v>
      </c>
      <c r="C927" s="41">
        <v>0.0</v>
      </c>
      <c r="D927" s="41">
        <v>1.0</v>
      </c>
      <c r="E927" s="42" t="str">
        <f t="shared" si="1"/>
        <v>0.0%</v>
      </c>
    </row>
    <row r="928">
      <c r="A928" s="40" t="s">
        <v>2396</v>
      </c>
      <c r="B928" s="40" t="s">
        <v>8505</v>
      </c>
      <c r="C928" s="41">
        <v>0.0</v>
      </c>
      <c r="D928" s="41">
        <v>1.0</v>
      </c>
      <c r="E928" s="42" t="str">
        <f t="shared" si="1"/>
        <v>0.0%</v>
      </c>
    </row>
    <row r="929">
      <c r="A929" s="40" t="s">
        <v>2396</v>
      </c>
      <c r="B929" s="40" t="s">
        <v>8687</v>
      </c>
      <c r="C929" s="41">
        <v>0.0</v>
      </c>
      <c r="D929" s="41">
        <v>1.0</v>
      </c>
      <c r="E929" s="42" t="str">
        <f t="shared" si="1"/>
        <v>0.0%</v>
      </c>
    </row>
    <row r="930">
      <c r="A930" s="40" t="s">
        <v>2396</v>
      </c>
      <c r="B930" s="40" t="s">
        <v>8771</v>
      </c>
      <c r="C930" s="41">
        <v>0.0</v>
      </c>
      <c r="D930" s="41">
        <v>1.0</v>
      </c>
      <c r="E930" s="42" t="str">
        <f t="shared" si="1"/>
        <v>0.0%</v>
      </c>
    </row>
    <row r="931">
      <c r="A931" s="40" t="s">
        <v>2396</v>
      </c>
      <c r="B931" s="40" t="s">
        <v>8858</v>
      </c>
      <c r="C931" s="41">
        <v>0.0</v>
      </c>
      <c r="D931" s="41">
        <v>1.0</v>
      </c>
      <c r="E931" s="42" t="str">
        <f t="shared" si="1"/>
        <v>0.0%</v>
      </c>
    </row>
    <row r="932">
      <c r="A932" s="40" t="s">
        <v>2396</v>
      </c>
      <c r="B932" s="40" t="s">
        <v>8829</v>
      </c>
      <c r="C932" s="41">
        <v>0.0</v>
      </c>
      <c r="D932" s="41">
        <v>1.0</v>
      </c>
      <c r="E932" s="42" t="str">
        <f t="shared" si="1"/>
        <v>0.0%</v>
      </c>
    </row>
    <row r="933">
      <c r="A933" s="40" t="s">
        <v>2396</v>
      </c>
      <c r="B933" s="40" t="s">
        <v>8907</v>
      </c>
      <c r="C933" s="41">
        <v>0.0</v>
      </c>
      <c r="D933" s="41">
        <v>1.0</v>
      </c>
      <c r="E933" s="42" t="str">
        <f t="shared" si="1"/>
        <v>0.0%</v>
      </c>
    </row>
    <row r="934">
      <c r="A934" s="40" t="s">
        <v>2396</v>
      </c>
      <c r="B934" s="40" t="s">
        <v>8916</v>
      </c>
      <c r="C934" s="41">
        <v>0.0</v>
      </c>
      <c r="D934" s="41">
        <v>1.0</v>
      </c>
      <c r="E934" s="42" t="str">
        <f t="shared" si="1"/>
        <v>0.0%</v>
      </c>
    </row>
    <row r="935">
      <c r="A935" s="40" t="s">
        <v>2396</v>
      </c>
      <c r="B935" s="40" t="s">
        <v>8938</v>
      </c>
      <c r="C935" s="41">
        <v>0.0</v>
      </c>
      <c r="D935" s="41">
        <v>1.0</v>
      </c>
      <c r="E935" s="42" t="str">
        <f t="shared" si="1"/>
        <v>0.0%</v>
      </c>
    </row>
    <row r="936">
      <c r="A936" s="40" t="s">
        <v>2396</v>
      </c>
      <c r="B936" s="40" t="s">
        <v>8953</v>
      </c>
      <c r="C936" s="41">
        <v>0.0</v>
      </c>
      <c r="D936" s="41">
        <v>1.0</v>
      </c>
      <c r="E936" s="42" t="str">
        <f t="shared" si="1"/>
        <v>0.0%</v>
      </c>
    </row>
    <row r="937">
      <c r="A937" s="40" t="s">
        <v>2396</v>
      </c>
      <c r="B937" s="40" t="s">
        <v>8954</v>
      </c>
      <c r="C937" s="41">
        <v>0.0</v>
      </c>
      <c r="D937" s="41">
        <v>1.0</v>
      </c>
      <c r="E937" s="42" t="str">
        <f t="shared" si="1"/>
        <v>0.0%</v>
      </c>
    </row>
    <row r="938">
      <c r="A938" s="40" t="s">
        <v>2396</v>
      </c>
      <c r="B938" s="40" t="s">
        <v>8955</v>
      </c>
      <c r="C938" s="41">
        <v>0.0</v>
      </c>
      <c r="D938" s="41">
        <v>1.0</v>
      </c>
      <c r="E938" s="42" t="str">
        <f t="shared" si="1"/>
        <v>0.0%</v>
      </c>
    </row>
    <row r="939">
      <c r="A939" s="40" t="s">
        <v>2396</v>
      </c>
      <c r="B939" s="40" t="s">
        <v>8956</v>
      </c>
      <c r="C939" s="41">
        <v>0.0</v>
      </c>
      <c r="D939" s="41">
        <v>1.0</v>
      </c>
      <c r="E939" s="42" t="str">
        <f t="shared" si="1"/>
        <v>0.0%</v>
      </c>
    </row>
    <row r="940">
      <c r="A940" s="40" t="s">
        <v>2396</v>
      </c>
      <c r="B940" s="40" t="s">
        <v>8957</v>
      </c>
      <c r="C940" s="41">
        <v>0.0</v>
      </c>
      <c r="D940" s="41">
        <v>1.0</v>
      </c>
      <c r="E940" s="42" t="str">
        <f t="shared" si="1"/>
        <v>0.0%</v>
      </c>
    </row>
    <row r="941">
      <c r="A941" s="40" t="s">
        <v>2396</v>
      </c>
      <c r="B941" s="40" t="s">
        <v>8958</v>
      </c>
      <c r="C941" s="41">
        <v>0.0</v>
      </c>
      <c r="D941" s="41">
        <v>1.0</v>
      </c>
      <c r="E941" s="42" t="str">
        <f t="shared" si="1"/>
        <v>0.0%</v>
      </c>
    </row>
    <row r="942">
      <c r="A942" s="40" t="s">
        <v>2396</v>
      </c>
      <c r="B942" s="40" t="s">
        <v>8959</v>
      </c>
      <c r="C942" s="41">
        <v>0.0</v>
      </c>
      <c r="D942" s="41">
        <v>1.0</v>
      </c>
      <c r="E942" s="42" t="str">
        <f t="shared" si="1"/>
        <v>0.0%</v>
      </c>
    </row>
    <row r="943">
      <c r="A943" s="40" t="s">
        <v>2396</v>
      </c>
      <c r="B943" s="40" t="s">
        <v>8960</v>
      </c>
      <c r="C943" s="41">
        <v>0.0</v>
      </c>
      <c r="D943" s="41">
        <v>1.0</v>
      </c>
      <c r="E943" s="42" t="str">
        <f t="shared" si="1"/>
        <v>0.0%</v>
      </c>
    </row>
    <row r="944">
      <c r="A944" s="40" t="s">
        <v>2396</v>
      </c>
      <c r="B944" s="40" t="s">
        <v>8961</v>
      </c>
      <c r="C944" s="41">
        <v>0.0</v>
      </c>
      <c r="D944" s="41">
        <v>1.0</v>
      </c>
      <c r="E944" s="42" t="str">
        <f t="shared" si="1"/>
        <v>0.0%</v>
      </c>
    </row>
    <row r="945">
      <c r="A945" s="40" t="s">
        <v>2396</v>
      </c>
      <c r="B945" s="40" t="s">
        <v>8962</v>
      </c>
      <c r="C945" s="41">
        <v>0.0</v>
      </c>
      <c r="D945" s="41">
        <v>1.0</v>
      </c>
      <c r="E945" s="42" t="str">
        <f t="shared" si="1"/>
        <v>0.0%</v>
      </c>
    </row>
    <row r="946">
      <c r="A946" s="40" t="s">
        <v>2396</v>
      </c>
      <c r="B946" s="40" t="s">
        <v>8681</v>
      </c>
      <c r="C946" s="41">
        <v>0.0</v>
      </c>
      <c r="D946" s="41">
        <v>2.0</v>
      </c>
      <c r="E946" s="42" t="str">
        <f t="shared" si="1"/>
        <v>0.0%</v>
      </c>
    </row>
    <row r="947">
      <c r="A947" s="40" t="s">
        <v>2396</v>
      </c>
      <c r="B947" s="40" t="s">
        <v>8898</v>
      </c>
      <c r="C947" s="41">
        <v>0.0</v>
      </c>
      <c r="D947" s="41">
        <v>2.0</v>
      </c>
      <c r="E947" s="42" t="str">
        <f t="shared" si="1"/>
        <v>0.0%</v>
      </c>
    </row>
    <row r="948">
      <c r="A948" s="40" t="s">
        <v>2396</v>
      </c>
      <c r="B948" s="40" t="s">
        <v>8899</v>
      </c>
      <c r="C948" s="41">
        <v>0.0</v>
      </c>
      <c r="D948" s="41">
        <v>2.0</v>
      </c>
      <c r="E948" s="42" t="str">
        <f t="shared" si="1"/>
        <v>0.0%</v>
      </c>
    </row>
    <row r="949">
      <c r="A949" s="40" t="s">
        <v>2396</v>
      </c>
      <c r="B949" s="40" t="s">
        <v>8963</v>
      </c>
      <c r="C949" s="41">
        <v>0.0</v>
      </c>
      <c r="D949" s="41">
        <v>2.0</v>
      </c>
      <c r="E949" s="42" t="str">
        <f t="shared" si="1"/>
        <v>0.0%</v>
      </c>
    </row>
    <row r="950">
      <c r="A950" s="40" t="s">
        <v>2396</v>
      </c>
      <c r="B950" s="40" t="s">
        <v>8964</v>
      </c>
      <c r="C950" s="41">
        <v>0.0</v>
      </c>
      <c r="D950" s="41">
        <v>2.0</v>
      </c>
      <c r="E950" s="42" t="str">
        <f t="shared" si="1"/>
        <v>0.0%</v>
      </c>
    </row>
    <row r="951">
      <c r="A951" s="40" t="s">
        <v>2396</v>
      </c>
      <c r="B951" s="40" t="s">
        <v>8965</v>
      </c>
      <c r="C951" s="41">
        <v>0.0</v>
      </c>
      <c r="D951" s="41">
        <v>2.0</v>
      </c>
      <c r="E951" s="42" t="str">
        <f t="shared" si="1"/>
        <v>0.0%</v>
      </c>
    </row>
    <row r="952">
      <c r="A952" s="40" t="s">
        <v>2396</v>
      </c>
      <c r="B952" s="40" t="s">
        <v>8495</v>
      </c>
      <c r="C952" s="41">
        <v>0.0</v>
      </c>
      <c r="D952" s="41">
        <v>9.0</v>
      </c>
      <c r="E952" s="42" t="str">
        <f t="shared" si="1"/>
        <v>0.0%</v>
      </c>
    </row>
    <row r="953">
      <c r="A953" s="40" t="s">
        <v>2888</v>
      </c>
      <c r="B953" s="40" t="s">
        <v>8497</v>
      </c>
      <c r="C953" s="41">
        <v>16.0</v>
      </c>
      <c r="D953" s="41">
        <v>10.0</v>
      </c>
      <c r="E953" s="42" t="str">
        <f t="shared" si="1"/>
        <v>61.5%</v>
      </c>
    </row>
    <row r="954">
      <c r="A954" s="40" t="s">
        <v>2888</v>
      </c>
      <c r="B954" s="40" t="s">
        <v>8548</v>
      </c>
      <c r="C954" s="41">
        <v>15.0</v>
      </c>
      <c r="D954" s="41">
        <v>6.0</v>
      </c>
      <c r="E954" s="42" t="str">
        <f t="shared" si="1"/>
        <v>71.4%</v>
      </c>
    </row>
    <row r="955">
      <c r="A955" s="40" t="s">
        <v>2888</v>
      </c>
      <c r="B955" s="40" t="s">
        <v>8520</v>
      </c>
      <c r="C955" s="41">
        <v>15.0</v>
      </c>
      <c r="D955" s="41">
        <v>19.0</v>
      </c>
      <c r="E955" s="42" t="str">
        <f t="shared" si="1"/>
        <v>44.1%</v>
      </c>
    </row>
    <row r="956">
      <c r="A956" s="40" t="s">
        <v>2888</v>
      </c>
      <c r="B956" s="40" t="s">
        <v>8484</v>
      </c>
      <c r="C956" s="41">
        <v>14.0</v>
      </c>
      <c r="D956" s="41">
        <v>11.0</v>
      </c>
      <c r="E956" s="42" t="str">
        <f t="shared" si="1"/>
        <v>56.0%</v>
      </c>
    </row>
    <row r="957">
      <c r="A957" s="40" t="s">
        <v>2888</v>
      </c>
      <c r="B957" s="40" t="s">
        <v>8534</v>
      </c>
      <c r="C957" s="41">
        <v>14.0</v>
      </c>
      <c r="D957" s="41">
        <v>13.0</v>
      </c>
      <c r="E957" s="42" t="str">
        <f t="shared" si="1"/>
        <v>51.9%</v>
      </c>
    </row>
    <row r="958">
      <c r="A958" s="40" t="s">
        <v>2888</v>
      </c>
      <c r="B958" s="40" t="s">
        <v>8518</v>
      </c>
      <c r="C958" s="41">
        <v>13.0</v>
      </c>
      <c r="D958" s="41">
        <v>0.0</v>
      </c>
      <c r="E958" s="42" t="str">
        <f t="shared" si="1"/>
        <v>100.0%</v>
      </c>
    </row>
    <row r="959">
      <c r="A959" s="40" t="s">
        <v>2888</v>
      </c>
      <c r="B959" s="40" t="s">
        <v>8966</v>
      </c>
      <c r="C959" s="41">
        <v>13.0</v>
      </c>
      <c r="D959" s="41">
        <v>2.0</v>
      </c>
      <c r="E959" s="42" t="str">
        <f t="shared" si="1"/>
        <v>86.7%</v>
      </c>
    </row>
    <row r="960">
      <c r="A960" s="40" t="s">
        <v>2888</v>
      </c>
      <c r="B960" s="40" t="s">
        <v>8967</v>
      </c>
      <c r="C960" s="41">
        <v>13.0</v>
      </c>
      <c r="D960" s="41">
        <v>3.0</v>
      </c>
      <c r="E960" s="42" t="str">
        <f t="shared" si="1"/>
        <v>81.3%</v>
      </c>
    </row>
    <row r="961">
      <c r="A961" s="40" t="s">
        <v>2888</v>
      </c>
      <c r="B961" s="40" t="s">
        <v>8485</v>
      </c>
      <c r="C961" s="41">
        <v>13.0</v>
      </c>
      <c r="D961" s="41">
        <v>4.0</v>
      </c>
      <c r="E961" s="42" t="str">
        <f t="shared" si="1"/>
        <v>76.5%</v>
      </c>
    </row>
    <row r="962">
      <c r="A962" s="40" t="s">
        <v>2888</v>
      </c>
      <c r="B962" s="40" t="s">
        <v>8968</v>
      </c>
      <c r="C962" s="41">
        <v>13.0</v>
      </c>
      <c r="D962" s="41">
        <v>4.0</v>
      </c>
      <c r="E962" s="42" t="str">
        <f t="shared" si="1"/>
        <v>76.5%</v>
      </c>
    </row>
    <row r="963">
      <c r="A963" s="40" t="s">
        <v>2888</v>
      </c>
      <c r="B963" s="40" t="s">
        <v>8522</v>
      </c>
      <c r="C963" s="41">
        <v>11.0</v>
      </c>
      <c r="D963" s="41">
        <v>4.0</v>
      </c>
      <c r="E963" s="42" t="str">
        <f t="shared" si="1"/>
        <v>73.3%</v>
      </c>
    </row>
    <row r="964">
      <c r="A964" s="40" t="s">
        <v>2888</v>
      </c>
      <c r="B964" s="40" t="s">
        <v>8643</v>
      </c>
      <c r="C964" s="41">
        <v>11.0</v>
      </c>
      <c r="D964" s="41">
        <v>5.0</v>
      </c>
      <c r="E964" s="42" t="str">
        <f t="shared" si="1"/>
        <v>68.8%</v>
      </c>
    </row>
    <row r="965">
      <c r="A965" s="40" t="s">
        <v>2888</v>
      </c>
      <c r="B965" s="40" t="s">
        <v>8532</v>
      </c>
      <c r="C965" s="41">
        <v>11.0</v>
      </c>
      <c r="D965" s="41">
        <v>5.0</v>
      </c>
      <c r="E965" s="42" t="str">
        <f t="shared" si="1"/>
        <v>68.8%</v>
      </c>
    </row>
    <row r="966">
      <c r="A966" s="40" t="s">
        <v>2888</v>
      </c>
      <c r="B966" s="40" t="s">
        <v>8642</v>
      </c>
      <c r="C966" s="41">
        <v>11.0</v>
      </c>
      <c r="D966" s="41">
        <v>8.0</v>
      </c>
      <c r="E966" s="42" t="str">
        <f t="shared" si="1"/>
        <v>57.9%</v>
      </c>
    </row>
    <row r="967">
      <c r="A967" s="40" t="s">
        <v>2888</v>
      </c>
      <c r="B967" s="40" t="s">
        <v>8675</v>
      </c>
      <c r="C967" s="41">
        <v>11.0</v>
      </c>
      <c r="D967" s="41">
        <v>13.0</v>
      </c>
      <c r="E967" s="42" t="str">
        <f t="shared" si="1"/>
        <v>45.8%</v>
      </c>
    </row>
    <row r="968">
      <c r="A968" s="40" t="s">
        <v>2888</v>
      </c>
      <c r="B968" s="40" t="s">
        <v>8487</v>
      </c>
      <c r="C968" s="41">
        <v>11.0</v>
      </c>
      <c r="D968" s="41">
        <v>13.0</v>
      </c>
      <c r="E968" s="42" t="str">
        <f t="shared" si="1"/>
        <v>45.8%</v>
      </c>
    </row>
    <row r="969">
      <c r="A969" s="40" t="s">
        <v>2888</v>
      </c>
      <c r="B969" s="40" t="s">
        <v>8488</v>
      </c>
      <c r="C969" s="41">
        <v>10.0</v>
      </c>
      <c r="D969" s="41">
        <v>2.0</v>
      </c>
      <c r="E969" s="42" t="str">
        <f t="shared" si="1"/>
        <v>83.3%</v>
      </c>
    </row>
    <row r="970">
      <c r="A970" s="40" t="s">
        <v>2888</v>
      </c>
      <c r="B970" s="40" t="s">
        <v>8504</v>
      </c>
      <c r="C970" s="41">
        <v>10.0</v>
      </c>
      <c r="D970" s="41">
        <v>6.0</v>
      </c>
      <c r="E970" s="42" t="str">
        <f t="shared" si="1"/>
        <v>62.5%</v>
      </c>
    </row>
    <row r="971">
      <c r="A971" s="40" t="s">
        <v>2888</v>
      </c>
      <c r="B971" s="40" t="s">
        <v>8528</v>
      </c>
      <c r="C971" s="41">
        <v>10.0</v>
      </c>
      <c r="D971" s="41">
        <v>7.0</v>
      </c>
      <c r="E971" s="42" t="str">
        <f t="shared" si="1"/>
        <v>58.8%</v>
      </c>
    </row>
    <row r="972">
      <c r="A972" s="40" t="s">
        <v>2888</v>
      </c>
      <c r="B972" s="40" t="s">
        <v>8500</v>
      </c>
      <c r="C972" s="41">
        <v>10.0</v>
      </c>
      <c r="D972" s="41">
        <v>9.0</v>
      </c>
      <c r="E972" s="42" t="str">
        <f t="shared" si="1"/>
        <v>52.6%</v>
      </c>
    </row>
    <row r="973">
      <c r="A973" s="40" t="s">
        <v>2888</v>
      </c>
      <c r="B973" s="40" t="s">
        <v>8635</v>
      </c>
      <c r="C973" s="41">
        <v>10.0</v>
      </c>
      <c r="D973" s="41">
        <v>9.0</v>
      </c>
      <c r="E973" s="42" t="str">
        <f t="shared" si="1"/>
        <v>52.6%</v>
      </c>
    </row>
    <row r="974">
      <c r="A974" s="40" t="s">
        <v>2888</v>
      </c>
      <c r="B974" s="40" t="s">
        <v>8491</v>
      </c>
      <c r="C974" s="41">
        <v>10.0</v>
      </c>
      <c r="D974" s="41">
        <v>12.0</v>
      </c>
      <c r="E974" s="42" t="str">
        <f t="shared" si="1"/>
        <v>45.5%</v>
      </c>
    </row>
    <row r="975">
      <c r="A975" s="40" t="s">
        <v>2888</v>
      </c>
      <c r="B975" s="40" t="s">
        <v>8508</v>
      </c>
      <c r="C975" s="41">
        <v>9.0</v>
      </c>
      <c r="D975" s="41">
        <v>4.0</v>
      </c>
      <c r="E975" s="42" t="str">
        <f t="shared" si="1"/>
        <v>69.2%</v>
      </c>
    </row>
    <row r="976">
      <c r="A976" s="40" t="s">
        <v>2888</v>
      </c>
      <c r="B976" s="40" t="s">
        <v>8726</v>
      </c>
      <c r="C976" s="41">
        <v>9.0</v>
      </c>
      <c r="D976" s="41">
        <v>4.0</v>
      </c>
      <c r="E976" s="42" t="str">
        <f t="shared" si="1"/>
        <v>69.2%</v>
      </c>
    </row>
    <row r="977">
      <c r="A977" s="40" t="s">
        <v>2888</v>
      </c>
      <c r="B977" s="40" t="s">
        <v>8965</v>
      </c>
      <c r="C977" s="41">
        <v>9.0</v>
      </c>
      <c r="D977" s="41">
        <v>4.0</v>
      </c>
      <c r="E977" s="42" t="str">
        <f t="shared" si="1"/>
        <v>69.2%</v>
      </c>
    </row>
    <row r="978">
      <c r="A978" s="40" t="s">
        <v>2888</v>
      </c>
      <c r="B978" s="40" t="s">
        <v>8545</v>
      </c>
      <c r="C978" s="41">
        <v>9.0</v>
      </c>
      <c r="D978" s="41">
        <v>5.0</v>
      </c>
      <c r="E978" s="42" t="str">
        <f t="shared" si="1"/>
        <v>64.3%</v>
      </c>
    </row>
    <row r="979">
      <c r="A979" s="40" t="s">
        <v>2888</v>
      </c>
      <c r="B979" s="40" t="s">
        <v>8969</v>
      </c>
      <c r="C979" s="41">
        <v>9.0</v>
      </c>
      <c r="D979" s="41">
        <v>7.0</v>
      </c>
      <c r="E979" s="42" t="str">
        <f t="shared" si="1"/>
        <v>56.3%</v>
      </c>
    </row>
    <row r="980">
      <c r="A980" s="40" t="s">
        <v>2888</v>
      </c>
      <c r="B980" s="40" t="s">
        <v>8510</v>
      </c>
      <c r="C980" s="41">
        <v>9.0</v>
      </c>
      <c r="D980" s="41">
        <v>9.0</v>
      </c>
      <c r="E980" s="42" t="str">
        <f t="shared" si="1"/>
        <v>50.0%</v>
      </c>
    </row>
    <row r="981">
      <c r="A981" s="40" t="s">
        <v>2888</v>
      </c>
      <c r="B981" s="40" t="s">
        <v>8962</v>
      </c>
      <c r="C981" s="41">
        <v>9.0</v>
      </c>
      <c r="D981" s="41">
        <v>10.0</v>
      </c>
      <c r="E981" s="42" t="str">
        <f t="shared" si="1"/>
        <v>47.4%</v>
      </c>
    </row>
    <row r="982">
      <c r="A982" s="40" t="s">
        <v>2888</v>
      </c>
      <c r="B982" s="40" t="s">
        <v>8591</v>
      </c>
      <c r="C982" s="41">
        <v>9.0</v>
      </c>
      <c r="D982" s="41">
        <v>12.0</v>
      </c>
      <c r="E982" s="42" t="str">
        <f t="shared" si="1"/>
        <v>42.9%</v>
      </c>
    </row>
    <row r="983">
      <c r="A983" s="40" t="s">
        <v>2888</v>
      </c>
      <c r="B983" s="40" t="s">
        <v>8639</v>
      </c>
      <c r="C983" s="41">
        <v>9.0</v>
      </c>
      <c r="D983" s="41">
        <v>13.0</v>
      </c>
      <c r="E983" s="42" t="str">
        <f t="shared" si="1"/>
        <v>40.9%</v>
      </c>
    </row>
    <row r="984">
      <c r="A984" s="40" t="s">
        <v>2888</v>
      </c>
      <c r="B984" s="40" t="s">
        <v>8496</v>
      </c>
      <c r="C984" s="41">
        <v>9.0</v>
      </c>
      <c r="D984" s="41">
        <v>25.0</v>
      </c>
      <c r="E984" s="42" t="str">
        <f t="shared" si="1"/>
        <v>26.5%</v>
      </c>
    </row>
    <row r="985">
      <c r="A985" s="40" t="s">
        <v>2888</v>
      </c>
      <c r="B985" s="40" t="s">
        <v>8949</v>
      </c>
      <c r="C985" s="41">
        <v>8.0</v>
      </c>
      <c r="D985" s="41">
        <v>2.0</v>
      </c>
      <c r="E985" s="42" t="str">
        <f t="shared" si="1"/>
        <v>80.0%</v>
      </c>
    </row>
    <row r="986">
      <c r="A986" s="40" t="s">
        <v>2888</v>
      </c>
      <c r="B986" s="40" t="s">
        <v>8483</v>
      </c>
      <c r="C986" s="41">
        <v>8.0</v>
      </c>
      <c r="D986" s="41">
        <v>4.0</v>
      </c>
      <c r="E986" s="42" t="str">
        <f t="shared" si="1"/>
        <v>66.7%</v>
      </c>
    </row>
    <row r="987">
      <c r="A987" s="40" t="s">
        <v>2888</v>
      </c>
      <c r="B987" s="40" t="s">
        <v>8501</v>
      </c>
      <c r="C987" s="41">
        <v>8.0</v>
      </c>
      <c r="D987" s="41">
        <v>5.0</v>
      </c>
      <c r="E987" s="42" t="str">
        <f t="shared" si="1"/>
        <v>61.5%</v>
      </c>
    </row>
    <row r="988">
      <c r="A988" s="40" t="s">
        <v>2888</v>
      </c>
      <c r="B988" s="40" t="s">
        <v>8670</v>
      </c>
      <c r="C988" s="41">
        <v>8.0</v>
      </c>
      <c r="D988" s="41">
        <v>5.0</v>
      </c>
      <c r="E988" s="42" t="str">
        <f t="shared" si="1"/>
        <v>61.5%</v>
      </c>
    </row>
    <row r="989">
      <c r="A989" s="40" t="s">
        <v>2888</v>
      </c>
      <c r="B989" s="40" t="s">
        <v>8523</v>
      </c>
      <c r="C989" s="41">
        <v>8.0</v>
      </c>
      <c r="D989" s="41">
        <v>5.0</v>
      </c>
      <c r="E989" s="42" t="str">
        <f t="shared" si="1"/>
        <v>61.5%</v>
      </c>
    </row>
    <row r="990">
      <c r="A990" s="40" t="s">
        <v>2888</v>
      </c>
      <c r="B990" s="40" t="s">
        <v>8588</v>
      </c>
      <c r="C990" s="41">
        <v>8.0</v>
      </c>
      <c r="D990" s="41">
        <v>7.0</v>
      </c>
      <c r="E990" s="42" t="str">
        <f t="shared" si="1"/>
        <v>53.3%</v>
      </c>
    </row>
    <row r="991">
      <c r="A991" s="40" t="s">
        <v>2888</v>
      </c>
      <c r="B991" s="40" t="s">
        <v>8565</v>
      </c>
      <c r="C991" s="41">
        <v>8.0</v>
      </c>
      <c r="D991" s="41">
        <v>10.0</v>
      </c>
      <c r="E991" s="42" t="str">
        <f t="shared" si="1"/>
        <v>44.4%</v>
      </c>
    </row>
    <row r="992">
      <c r="A992" s="40" t="s">
        <v>2888</v>
      </c>
      <c r="B992" s="40" t="s">
        <v>8530</v>
      </c>
      <c r="C992" s="41">
        <v>8.0</v>
      </c>
      <c r="D992" s="41">
        <v>11.0</v>
      </c>
      <c r="E992" s="42" t="str">
        <f t="shared" si="1"/>
        <v>42.1%</v>
      </c>
    </row>
    <row r="993">
      <c r="A993" s="40" t="s">
        <v>2888</v>
      </c>
      <c r="B993" s="40" t="s">
        <v>8621</v>
      </c>
      <c r="C993" s="41">
        <v>7.0</v>
      </c>
      <c r="D993" s="41">
        <v>1.0</v>
      </c>
      <c r="E993" s="42" t="str">
        <f t="shared" si="1"/>
        <v>87.5%</v>
      </c>
    </row>
    <row r="994">
      <c r="A994" s="40" t="s">
        <v>2888</v>
      </c>
      <c r="B994" s="40" t="s">
        <v>8552</v>
      </c>
      <c r="C994" s="41">
        <v>7.0</v>
      </c>
      <c r="D994" s="41">
        <v>2.0</v>
      </c>
      <c r="E994" s="42" t="str">
        <f t="shared" si="1"/>
        <v>77.8%</v>
      </c>
    </row>
    <row r="995">
      <c r="A995" s="40" t="s">
        <v>2888</v>
      </c>
      <c r="B995" s="40" t="s">
        <v>8970</v>
      </c>
      <c r="C995" s="41">
        <v>7.0</v>
      </c>
      <c r="D995" s="41">
        <v>3.0</v>
      </c>
      <c r="E995" s="42" t="str">
        <f t="shared" si="1"/>
        <v>70.0%</v>
      </c>
    </row>
    <row r="996">
      <c r="A996" s="40" t="s">
        <v>2888</v>
      </c>
      <c r="B996" s="40" t="s">
        <v>8971</v>
      </c>
      <c r="C996" s="41">
        <v>7.0</v>
      </c>
      <c r="D996" s="41">
        <v>3.0</v>
      </c>
      <c r="E996" s="42" t="str">
        <f t="shared" si="1"/>
        <v>70.0%</v>
      </c>
    </row>
    <row r="997">
      <c r="A997" s="40" t="s">
        <v>2888</v>
      </c>
      <c r="B997" s="40" t="s">
        <v>8748</v>
      </c>
      <c r="C997" s="41">
        <v>7.0</v>
      </c>
      <c r="D997" s="41">
        <v>4.0</v>
      </c>
      <c r="E997" s="42" t="str">
        <f t="shared" si="1"/>
        <v>63.6%</v>
      </c>
    </row>
    <row r="998">
      <c r="A998" s="40" t="s">
        <v>2888</v>
      </c>
      <c r="B998" s="40" t="s">
        <v>8521</v>
      </c>
      <c r="C998" s="41">
        <v>7.0</v>
      </c>
      <c r="D998" s="41">
        <v>4.0</v>
      </c>
      <c r="E998" s="42" t="str">
        <f t="shared" si="1"/>
        <v>63.6%</v>
      </c>
    </row>
    <row r="999">
      <c r="A999" s="40" t="s">
        <v>2888</v>
      </c>
      <c r="B999" s="40" t="s">
        <v>8567</v>
      </c>
      <c r="C999" s="41">
        <v>7.0</v>
      </c>
      <c r="D999" s="41">
        <v>7.0</v>
      </c>
      <c r="E999" s="42" t="str">
        <f t="shared" si="1"/>
        <v>50.0%</v>
      </c>
    </row>
    <row r="1000">
      <c r="A1000" s="40" t="s">
        <v>2888</v>
      </c>
      <c r="B1000" s="40" t="s">
        <v>8495</v>
      </c>
      <c r="C1000" s="41">
        <v>7.0</v>
      </c>
      <c r="D1000" s="41">
        <v>10.0</v>
      </c>
      <c r="E1000" s="42" t="str">
        <f t="shared" si="1"/>
        <v>41.2%</v>
      </c>
    </row>
    <row r="1001">
      <c r="A1001" s="40" t="s">
        <v>2888</v>
      </c>
      <c r="B1001" s="40" t="s">
        <v>8502</v>
      </c>
      <c r="C1001" s="41">
        <v>7.0</v>
      </c>
      <c r="D1001" s="41">
        <v>13.0</v>
      </c>
      <c r="E1001" s="42" t="str">
        <f t="shared" si="1"/>
        <v>35.0%</v>
      </c>
    </row>
    <row r="1002">
      <c r="A1002" s="40" t="s">
        <v>2888</v>
      </c>
      <c r="B1002" s="40" t="s">
        <v>8972</v>
      </c>
      <c r="C1002" s="41">
        <v>6.0</v>
      </c>
      <c r="D1002" s="41">
        <v>1.0</v>
      </c>
      <c r="E1002" s="42" t="str">
        <f t="shared" si="1"/>
        <v>85.7%</v>
      </c>
    </row>
    <row r="1003">
      <c r="A1003" s="40" t="s">
        <v>2888</v>
      </c>
      <c r="B1003" s="40" t="s">
        <v>8595</v>
      </c>
      <c r="C1003" s="41">
        <v>6.0</v>
      </c>
      <c r="D1003" s="41">
        <v>2.0</v>
      </c>
      <c r="E1003" s="42" t="str">
        <f t="shared" si="1"/>
        <v>75.0%</v>
      </c>
    </row>
    <row r="1004">
      <c r="A1004" s="40" t="s">
        <v>2888</v>
      </c>
      <c r="B1004" s="40" t="s">
        <v>8715</v>
      </c>
      <c r="C1004" s="41">
        <v>6.0</v>
      </c>
      <c r="D1004" s="41">
        <v>3.0</v>
      </c>
      <c r="E1004" s="42" t="str">
        <f t="shared" si="1"/>
        <v>66.7%</v>
      </c>
    </row>
    <row r="1005">
      <c r="A1005" s="40" t="s">
        <v>2888</v>
      </c>
      <c r="B1005" s="40" t="s">
        <v>8561</v>
      </c>
      <c r="C1005" s="41">
        <v>6.0</v>
      </c>
      <c r="D1005" s="41">
        <v>5.0</v>
      </c>
      <c r="E1005" s="42" t="str">
        <f t="shared" si="1"/>
        <v>54.5%</v>
      </c>
    </row>
    <row r="1006">
      <c r="A1006" s="40" t="s">
        <v>2888</v>
      </c>
      <c r="B1006" s="40" t="s">
        <v>8973</v>
      </c>
      <c r="C1006" s="41">
        <v>6.0</v>
      </c>
      <c r="D1006" s="41">
        <v>5.0</v>
      </c>
      <c r="E1006" s="42" t="str">
        <f t="shared" si="1"/>
        <v>54.5%</v>
      </c>
    </row>
    <row r="1007">
      <c r="A1007" s="40" t="s">
        <v>2888</v>
      </c>
      <c r="B1007" s="40" t="s">
        <v>8609</v>
      </c>
      <c r="C1007" s="41">
        <v>6.0</v>
      </c>
      <c r="D1007" s="41">
        <v>7.0</v>
      </c>
      <c r="E1007" s="42" t="str">
        <f t="shared" si="1"/>
        <v>46.2%</v>
      </c>
    </row>
    <row r="1008">
      <c r="A1008" s="40" t="s">
        <v>2888</v>
      </c>
      <c r="B1008" s="40" t="s">
        <v>8682</v>
      </c>
      <c r="C1008" s="41">
        <v>6.0</v>
      </c>
      <c r="D1008" s="41">
        <v>7.0</v>
      </c>
      <c r="E1008" s="42" t="str">
        <f t="shared" si="1"/>
        <v>46.2%</v>
      </c>
    </row>
    <row r="1009">
      <c r="A1009" s="40" t="s">
        <v>2888</v>
      </c>
      <c r="B1009" s="40" t="s">
        <v>8974</v>
      </c>
      <c r="C1009" s="41">
        <v>6.0</v>
      </c>
      <c r="D1009" s="41">
        <v>7.0</v>
      </c>
      <c r="E1009" s="42" t="str">
        <f t="shared" si="1"/>
        <v>46.2%</v>
      </c>
    </row>
    <row r="1010">
      <c r="A1010" s="40" t="s">
        <v>2888</v>
      </c>
      <c r="B1010" s="40" t="s">
        <v>8490</v>
      </c>
      <c r="C1010" s="41">
        <v>6.0</v>
      </c>
      <c r="D1010" s="41">
        <v>10.0</v>
      </c>
      <c r="E1010" s="42" t="str">
        <f t="shared" si="1"/>
        <v>37.5%</v>
      </c>
    </row>
    <row r="1011">
      <c r="A1011" s="40" t="s">
        <v>2888</v>
      </c>
      <c r="B1011" s="40" t="s">
        <v>8589</v>
      </c>
      <c r="C1011" s="41">
        <v>6.0</v>
      </c>
      <c r="D1011" s="41">
        <v>12.0</v>
      </c>
      <c r="E1011" s="42" t="str">
        <f t="shared" si="1"/>
        <v>33.3%</v>
      </c>
    </row>
    <row r="1012">
      <c r="A1012" s="40" t="s">
        <v>2888</v>
      </c>
      <c r="B1012" s="40" t="s">
        <v>8975</v>
      </c>
      <c r="C1012" s="41">
        <v>5.0</v>
      </c>
      <c r="D1012" s="41">
        <v>2.0</v>
      </c>
      <c r="E1012" s="42" t="str">
        <f t="shared" si="1"/>
        <v>71.4%</v>
      </c>
    </row>
    <row r="1013">
      <c r="A1013" s="40" t="s">
        <v>2888</v>
      </c>
      <c r="B1013" s="40" t="s">
        <v>8577</v>
      </c>
      <c r="C1013" s="41">
        <v>5.0</v>
      </c>
      <c r="D1013" s="41">
        <v>3.0</v>
      </c>
      <c r="E1013" s="42" t="str">
        <f t="shared" si="1"/>
        <v>62.5%</v>
      </c>
    </row>
    <row r="1014">
      <c r="A1014" s="40" t="s">
        <v>2888</v>
      </c>
      <c r="B1014" s="40" t="s">
        <v>8568</v>
      </c>
      <c r="C1014" s="41">
        <v>5.0</v>
      </c>
      <c r="D1014" s="41">
        <v>4.0</v>
      </c>
      <c r="E1014" s="42" t="str">
        <f t="shared" si="1"/>
        <v>55.6%</v>
      </c>
    </row>
    <row r="1015">
      <c r="A1015" s="40" t="s">
        <v>2888</v>
      </c>
      <c r="B1015" s="40" t="s">
        <v>8673</v>
      </c>
      <c r="C1015" s="41">
        <v>5.0</v>
      </c>
      <c r="D1015" s="41">
        <v>5.0</v>
      </c>
      <c r="E1015" s="42" t="str">
        <f t="shared" si="1"/>
        <v>50.0%</v>
      </c>
    </row>
    <row r="1016">
      <c r="A1016" s="40" t="s">
        <v>2888</v>
      </c>
      <c r="B1016" s="40" t="s">
        <v>8641</v>
      </c>
      <c r="C1016" s="41">
        <v>5.0</v>
      </c>
      <c r="D1016" s="41">
        <v>7.0</v>
      </c>
      <c r="E1016" s="42" t="str">
        <f t="shared" si="1"/>
        <v>41.7%</v>
      </c>
    </row>
    <row r="1017">
      <c r="A1017" s="40" t="s">
        <v>2888</v>
      </c>
      <c r="B1017" s="40" t="s">
        <v>8569</v>
      </c>
      <c r="C1017" s="41">
        <v>5.0</v>
      </c>
      <c r="D1017" s="41">
        <v>7.0</v>
      </c>
      <c r="E1017" s="42" t="str">
        <f t="shared" si="1"/>
        <v>41.7%</v>
      </c>
    </row>
    <row r="1018">
      <c r="A1018" s="40" t="s">
        <v>2888</v>
      </c>
      <c r="B1018" s="40" t="s">
        <v>8564</v>
      </c>
      <c r="C1018" s="41">
        <v>5.0</v>
      </c>
      <c r="D1018" s="41">
        <v>8.0</v>
      </c>
      <c r="E1018" s="42" t="str">
        <f t="shared" si="1"/>
        <v>38.5%</v>
      </c>
    </row>
    <row r="1019">
      <c r="A1019" s="40" t="s">
        <v>2888</v>
      </c>
      <c r="B1019" s="40" t="s">
        <v>8964</v>
      </c>
      <c r="C1019" s="41">
        <v>5.0</v>
      </c>
      <c r="D1019" s="41">
        <v>9.0</v>
      </c>
      <c r="E1019" s="42" t="str">
        <f t="shared" si="1"/>
        <v>35.7%</v>
      </c>
    </row>
    <row r="1020">
      <c r="A1020" s="40" t="s">
        <v>2888</v>
      </c>
      <c r="B1020" s="40" t="s">
        <v>8581</v>
      </c>
      <c r="C1020" s="41">
        <v>4.0</v>
      </c>
      <c r="D1020" s="41">
        <v>0.0</v>
      </c>
      <c r="E1020" s="42" t="str">
        <f t="shared" si="1"/>
        <v>100.0%</v>
      </c>
    </row>
    <row r="1021">
      <c r="A1021" s="40" t="s">
        <v>2888</v>
      </c>
      <c r="B1021" s="40" t="s">
        <v>8514</v>
      </c>
      <c r="C1021" s="41">
        <v>4.0</v>
      </c>
      <c r="D1021" s="41">
        <v>1.0</v>
      </c>
      <c r="E1021" s="42" t="str">
        <f t="shared" si="1"/>
        <v>80.0%</v>
      </c>
    </row>
    <row r="1022">
      <c r="A1022" s="40" t="s">
        <v>2888</v>
      </c>
      <c r="B1022" s="40" t="s">
        <v>8976</v>
      </c>
      <c r="C1022" s="41">
        <v>4.0</v>
      </c>
      <c r="D1022" s="41">
        <v>1.0</v>
      </c>
      <c r="E1022" s="42" t="str">
        <f t="shared" si="1"/>
        <v>80.0%</v>
      </c>
    </row>
    <row r="1023">
      <c r="A1023" s="40" t="s">
        <v>2888</v>
      </c>
      <c r="B1023" s="40" t="s">
        <v>8663</v>
      </c>
      <c r="C1023" s="41">
        <v>4.0</v>
      </c>
      <c r="D1023" s="41">
        <v>2.0</v>
      </c>
      <c r="E1023" s="42" t="str">
        <f t="shared" si="1"/>
        <v>66.7%</v>
      </c>
    </row>
    <row r="1024">
      <c r="A1024" s="40" t="s">
        <v>2888</v>
      </c>
      <c r="B1024" s="40" t="s">
        <v>8678</v>
      </c>
      <c r="C1024" s="41">
        <v>4.0</v>
      </c>
      <c r="D1024" s="41">
        <v>3.0</v>
      </c>
      <c r="E1024" s="42" t="str">
        <f t="shared" si="1"/>
        <v>57.1%</v>
      </c>
    </row>
    <row r="1025">
      <c r="A1025" s="40" t="s">
        <v>2888</v>
      </c>
      <c r="B1025" s="40" t="s">
        <v>8687</v>
      </c>
      <c r="C1025" s="41">
        <v>4.0</v>
      </c>
      <c r="D1025" s="41">
        <v>4.0</v>
      </c>
      <c r="E1025" s="42" t="str">
        <f t="shared" si="1"/>
        <v>50.0%</v>
      </c>
    </row>
    <row r="1026">
      <c r="A1026" s="40" t="s">
        <v>2888</v>
      </c>
      <c r="B1026" s="40" t="s">
        <v>8625</v>
      </c>
      <c r="C1026" s="41">
        <v>4.0</v>
      </c>
      <c r="D1026" s="41">
        <v>5.0</v>
      </c>
      <c r="E1026" s="42" t="str">
        <f t="shared" si="1"/>
        <v>44.4%</v>
      </c>
    </row>
    <row r="1027">
      <c r="A1027" s="40" t="s">
        <v>2888</v>
      </c>
      <c r="B1027" s="40" t="s">
        <v>8630</v>
      </c>
      <c r="C1027" s="41">
        <v>4.0</v>
      </c>
      <c r="D1027" s="41">
        <v>6.0</v>
      </c>
      <c r="E1027" s="42" t="str">
        <f t="shared" si="1"/>
        <v>40.0%</v>
      </c>
    </row>
    <row r="1028">
      <c r="A1028" s="40" t="s">
        <v>2888</v>
      </c>
      <c r="B1028" s="40" t="s">
        <v>8553</v>
      </c>
      <c r="C1028" s="41">
        <v>4.0</v>
      </c>
      <c r="D1028" s="41">
        <v>6.0</v>
      </c>
      <c r="E1028" s="42" t="str">
        <f t="shared" si="1"/>
        <v>40.0%</v>
      </c>
    </row>
    <row r="1029">
      <c r="A1029" s="40" t="s">
        <v>2888</v>
      </c>
      <c r="B1029" s="40" t="s">
        <v>8533</v>
      </c>
      <c r="C1029" s="41">
        <v>4.0</v>
      </c>
      <c r="D1029" s="41">
        <v>6.0</v>
      </c>
      <c r="E1029" s="42" t="str">
        <f t="shared" si="1"/>
        <v>40.0%</v>
      </c>
    </row>
    <row r="1030">
      <c r="A1030" s="40" t="s">
        <v>2888</v>
      </c>
      <c r="B1030" s="40" t="s">
        <v>8759</v>
      </c>
      <c r="C1030" s="41">
        <v>4.0</v>
      </c>
      <c r="D1030" s="41">
        <v>7.0</v>
      </c>
      <c r="E1030" s="42" t="str">
        <f t="shared" si="1"/>
        <v>36.4%</v>
      </c>
    </row>
    <row r="1031">
      <c r="A1031" s="40" t="s">
        <v>2888</v>
      </c>
      <c r="B1031" s="40" t="s">
        <v>8664</v>
      </c>
      <c r="C1031" s="41">
        <v>4.0</v>
      </c>
      <c r="D1031" s="41">
        <v>9.0</v>
      </c>
      <c r="E1031" s="42" t="str">
        <f t="shared" si="1"/>
        <v>30.8%</v>
      </c>
    </row>
    <row r="1032">
      <c r="A1032" s="40" t="s">
        <v>2888</v>
      </c>
      <c r="B1032" s="40" t="s">
        <v>8507</v>
      </c>
      <c r="C1032" s="41">
        <v>4.0</v>
      </c>
      <c r="D1032" s="41">
        <v>9.0</v>
      </c>
      <c r="E1032" s="42" t="str">
        <f t="shared" si="1"/>
        <v>30.8%</v>
      </c>
    </row>
    <row r="1033">
      <c r="A1033" s="40" t="s">
        <v>2888</v>
      </c>
      <c r="B1033" s="40" t="s">
        <v>8729</v>
      </c>
      <c r="C1033" s="41">
        <v>4.0</v>
      </c>
      <c r="D1033" s="41">
        <v>10.0</v>
      </c>
      <c r="E1033" s="42" t="str">
        <f t="shared" si="1"/>
        <v>28.6%</v>
      </c>
    </row>
    <row r="1034">
      <c r="A1034" s="40" t="s">
        <v>2888</v>
      </c>
      <c r="B1034" s="40" t="s">
        <v>8626</v>
      </c>
      <c r="C1034" s="41">
        <v>3.0</v>
      </c>
      <c r="D1034" s="41">
        <v>1.0</v>
      </c>
      <c r="E1034" s="42" t="str">
        <f t="shared" si="1"/>
        <v>75.0%</v>
      </c>
    </row>
    <row r="1035">
      <c r="A1035" s="40" t="s">
        <v>2888</v>
      </c>
      <c r="B1035" s="40" t="s">
        <v>8651</v>
      </c>
      <c r="C1035" s="41">
        <v>3.0</v>
      </c>
      <c r="D1035" s="41">
        <v>1.0</v>
      </c>
      <c r="E1035" s="42" t="str">
        <f t="shared" si="1"/>
        <v>75.0%</v>
      </c>
    </row>
    <row r="1036">
      <c r="A1036" s="40" t="s">
        <v>2888</v>
      </c>
      <c r="B1036" s="40" t="s">
        <v>8842</v>
      </c>
      <c r="C1036" s="41">
        <v>3.0</v>
      </c>
      <c r="D1036" s="41">
        <v>1.0</v>
      </c>
      <c r="E1036" s="42" t="str">
        <f t="shared" si="1"/>
        <v>75.0%</v>
      </c>
    </row>
    <row r="1037">
      <c r="A1037" s="40" t="s">
        <v>2888</v>
      </c>
      <c r="B1037" s="40" t="s">
        <v>8932</v>
      </c>
      <c r="C1037" s="41">
        <v>3.0</v>
      </c>
      <c r="D1037" s="41">
        <v>1.0</v>
      </c>
      <c r="E1037" s="42" t="str">
        <f t="shared" si="1"/>
        <v>75.0%</v>
      </c>
    </row>
    <row r="1038">
      <c r="A1038" s="40" t="s">
        <v>2888</v>
      </c>
      <c r="B1038" s="40" t="s">
        <v>8933</v>
      </c>
      <c r="C1038" s="41">
        <v>3.0</v>
      </c>
      <c r="D1038" s="41">
        <v>1.0</v>
      </c>
      <c r="E1038" s="42" t="str">
        <f t="shared" si="1"/>
        <v>75.0%</v>
      </c>
    </row>
    <row r="1039">
      <c r="A1039" s="40" t="s">
        <v>2888</v>
      </c>
      <c r="B1039" s="40" t="s">
        <v>8583</v>
      </c>
      <c r="C1039" s="41">
        <v>3.0</v>
      </c>
      <c r="D1039" s="41">
        <v>2.0</v>
      </c>
      <c r="E1039" s="42" t="str">
        <f t="shared" si="1"/>
        <v>60.0%</v>
      </c>
    </row>
    <row r="1040">
      <c r="A1040" s="40" t="s">
        <v>2888</v>
      </c>
      <c r="B1040" s="40" t="s">
        <v>8650</v>
      </c>
      <c r="C1040" s="41">
        <v>3.0</v>
      </c>
      <c r="D1040" s="41">
        <v>3.0</v>
      </c>
      <c r="E1040" s="42" t="str">
        <f t="shared" si="1"/>
        <v>50.0%</v>
      </c>
    </row>
    <row r="1041">
      <c r="A1041" s="40" t="s">
        <v>2888</v>
      </c>
      <c r="B1041" s="40" t="s">
        <v>8614</v>
      </c>
      <c r="C1041" s="41">
        <v>3.0</v>
      </c>
      <c r="D1041" s="41">
        <v>3.0</v>
      </c>
      <c r="E1041" s="42" t="str">
        <f t="shared" si="1"/>
        <v>50.0%</v>
      </c>
    </row>
    <row r="1042">
      <c r="A1042" s="40" t="s">
        <v>2888</v>
      </c>
      <c r="B1042" s="40" t="s">
        <v>8701</v>
      </c>
      <c r="C1042" s="41">
        <v>3.0</v>
      </c>
      <c r="D1042" s="41">
        <v>3.0</v>
      </c>
      <c r="E1042" s="42" t="str">
        <f t="shared" si="1"/>
        <v>50.0%</v>
      </c>
    </row>
    <row r="1043">
      <c r="A1043" s="40" t="s">
        <v>2888</v>
      </c>
      <c r="B1043" s="40" t="s">
        <v>8977</v>
      </c>
      <c r="C1043" s="41">
        <v>3.0</v>
      </c>
      <c r="D1043" s="41">
        <v>3.0</v>
      </c>
      <c r="E1043" s="42" t="str">
        <f t="shared" si="1"/>
        <v>50.0%</v>
      </c>
    </row>
    <row r="1044">
      <c r="A1044" s="40" t="s">
        <v>2888</v>
      </c>
      <c r="B1044" s="40" t="s">
        <v>8655</v>
      </c>
      <c r="C1044" s="41">
        <v>3.0</v>
      </c>
      <c r="D1044" s="41">
        <v>4.0</v>
      </c>
      <c r="E1044" s="42" t="str">
        <f t="shared" si="1"/>
        <v>42.9%</v>
      </c>
    </row>
    <row r="1045">
      <c r="A1045" s="40" t="s">
        <v>2888</v>
      </c>
      <c r="B1045" s="40" t="s">
        <v>8541</v>
      </c>
      <c r="C1045" s="41">
        <v>3.0</v>
      </c>
      <c r="D1045" s="41">
        <v>4.0</v>
      </c>
      <c r="E1045" s="42" t="str">
        <f t="shared" si="1"/>
        <v>42.9%</v>
      </c>
    </row>
    <row r="1046">
      <c r="A1046" s="40" t="s">
        <v>2888</v>
      </c>
      <c r="B1046" s="40" t="s">
        <v>8978</v>
      </c>
      <c r="C1046" s="41">
        <v>3.0</v>
      </c>
      <c r="D1046" s="41">
        <v>4.0</v>
      </c>
      <c r="E1046" s="42" t="str">
        <f t="shared" si="1"/>
        <v>42.9%</v>
      </c>
    </row>
    <row r="1047">
      <c r="A1047" s="40" t="s">
        <v>2888</v>
      </c>
      <c r="B1047" s="40" t="s">
        <v>8556</v>
      </c>
      <c r="C1047" s="41">
        <v>3.0</v>
      </c>
      <c r="D1047" s="41">
        <v>10.0</v>
      </c>
      <c r="E1047" s="42" t="str">
        <f t="shared" si="1"/>
        <v>23.1%</v>
      </c>
    </row>
    <row r="1048">
      <c r="A1048" s="40" t="s">
        <v>2888</v>
      </c>
      <c r="B1048" s="40" t="s">
        <v>8601</v>
      </c>
      <c r="C1048" s="41">
        <v>2.0</v>
      </c>
      <c r="D1048" s="41">
        <v>0.0</v>
      </c>
      <c r="E1048" s="42" t="str">
        <f t="shared" si="1"/>
        <v>100.0%</v>
      </c>
    </row>
    <row r="1049">
      <c r="A1049" s="40" t="s">
        <v>2888</v>
      </c>
      <c r="B1049" s="40" t="s">
        <v>8679</v>
      </c>
      <c r="C1049" s="41">
        <v>2.0</v>
      </c>
      <c r="D1049" s="41">
        <v>0.0</v>
      </c>
      <c r="E1049" s="42" t="str">
        <f t="shared" si="1"/>
        <v>100.0%</v>
      </c>
    </row>
    <row r="1050">
      <c r="A1050" s="40" t="s">
        <v>2888</v>
      </c>
      <c r="B1050" s="40" t="s">
        <v>8716</v>
      </c>
      <c r="C1050" s="41">
        <v>2.0</v>
      </c>
      <c r="D1050" s="41">
        <v>0.0</v>
      </c>
      <c r="E1050" s="42" t="str">
        <f t="shared" si="1"/>
        <v>100.0%</v>
      </c>
    </row>
    <row r="1051">
      <c r="A1051" s="40" t="s">
        <v>2888</v>
      </c>
      <c r="B1051" s="40" t="s">
        <v>8599</v>
      </c>
      <c r="C1051" s="41">
        <v>2.0</v>
      </c>
      <c r="D1051" s="41">
        <v>1.0</v>
      </c>
      <c r="E1051" s="42" t="str">
        <f t="shared" si="1"/>
        <v>66.7%</v>
      </c>
    </row>
    <row r="1052">
      <c r="A1052" s="40" t="s">
        <v>2888</v>
      </c>
      <c r="B1052" s="40" t="s">
        <v>8648</v>
      </c>
      <c r="C1052" s="41">
        <v>2.0</v>
      </c>
      <c r="D1052" s="41">
        <v>1.0</v>
      </c>
      <c r="E1052" s="42" t="str">
        <f t="shared" si="1"/>
        <v>66.7%</v>
      </c>
    </row>
    <row r="1053">
      <c r="A1053" s="40" t="s">
        <v>2888</v>
      </c>
      <c r="B1053" s="40" t="s">
        <v>8572</v>
      </c>
      <c r="C1053" s="41">
        <v>2.0</v>
      </c>
      <c r="D1053" s="41">
        <v>1.0</v>
      </c>
      <c r="E1053" s="42" t="str">
        <f t="shared" si="1"/>
        <v>66.7%</v>
      </c>
    </row>
    <row r="1054">
      <c r="A1054" s="40" t="s">
        <v>2888</v>
      </c>
      <c r="B1054" s="40" t="s">
        <v>8874</v>
      </c>
      <c r="C1054" s="41">
        <v>2.0</v>
      </c>
      <c r="D1054" s="41">
        <v>1.0</v>
      </c>
      <c r="E1054" s="42" t="str">
        <f t="shared" si="1"/>
        <v>66.7%</v>
      </c>
    </row>
    <row r="1055">
      <c r="A1055" s="40" t="s">
        <v>2888</v>
      </c>
      <c r="B1055" s="40" t="s">
        <v>8926</v>
      </c>
      <c r="C1055" s="41">
        <v>2.0</v>
      </c>
      <c r="D1055" s="41">
        <v>1.0</v>
      </c>
      <c r="E1055" s="42" t="str">
        <f t="shared" si="1"/>
        <v>66.7%</v>
      </c>
    </row>
    <row r="1056">
      <c r="A1056" s="40" t="s">
        <v>2888</v>
      </c>
      <c r="B1056" s="40" t="s">
        <v>8912</v>
      </c>
      <c r="C1056" s="41">
        <v>2.0</v>
      </c>
      <c r="D1056" s="41">
        <v>1.0</v>
      </c>
      <c r="E1056" s="42" t="str">
        <f t="shared" si="1"/>
        <v>66.7%</v>
      </c>
    </row>
    <row r="1057">
      <c r="A1057" s="40" t="s">
        <v>2888</v>
      </c>
      <c r="B1057" s="40" t="s">
        <v>8927</v>
      </c>
      <c r="C1057" s="41">
        <v>2.0</v>
      </c>
      <c r="D1057" s="41">
        <v>1.0</v>
      </c>
      <c r="E1057" s="42" t="str">
        <f t="shared" si="1"/>
        <v>66.7%</v>
      </c>
    </row>
    <row r="1058">
      <c r="A1058" s="40" t="s">
        <v>2888</v>
      </c>
      <c r="B1058" s="40" t="s">
        <v>8811</v>
      </c>
      <c r="C1058" s="41">
        <v>2.0</v>
      </c>
      <c r="D1058" s="41">
        <v>2.0</v>
      </c>
      <c r="E1058" s="42" t="str">
        <f t="shared" si="1"/>
        <v>50.0%</v>
      </c>
    </row>
    <row r="1059">
      <c r="A1059" s="40" t="s">
        <v>2888</v>
      </c>
      <c r="B1059" s="40" t="s">
        <v>8688</v>
      </c>
      <c r="C1059" s="41">
        <v>2.0</v>
      </c>
      <c r="D1059" s="41">
        <v>2.0</v>
      </c>
      <c r="E1059" s="42" t="str">
        <f t="shared" si="1"/>
        <v>50.0%</v>
      </c>
    </row>
    <row r="1060">
      <c r="A1060" s="40" t="s">
        <v>2888</v>
      </c>
      <c r="B1060" s="40" t="s">
        <v>8961</v>
      </c>
      <c r="C1060" s="41">
        <v>2.0</v>
      </c>
      <c r="D1060" s="41">
        <v>2.0</v>
      </c>
      <c r="E1060" s="42" t="str">
        <f t="shared" si="1"/>
        <v>50.0%</v>
      </c>
    </row>
    <row r="1061">
      <c r="A1061" s="40" t="s">
        <v>2888</v>
      </c>
      <c r="B1061" s="40" t="s">
        <v>8979</v>
      </c>
      <c r="C1061" s="41">
        <v>2.0</v>
      </c>
      <c r="D1061" s="41">
        <v>2.0</v>
      </c>
      <c r="E1061" s="42" t="str">
        <f t="shared" si="1"/>
        <v>50.0%</v>
      </c>
    </row>
    <row r="1062">
      <c r="A1062" s="40" t="s">
        <v>2888</v>
      </c>
      <c r="B1062" s="40" t="s">
        <v>8503</v>
      </c>
      <c r="C1062" s="41">
        <v>2.0</v>
      </c>
      <c r="D1062" s="41">
        <v>3.0</v>
      </c>
      <c r="E1062" s="42" t="str">
        <f t="shared" si="1"/>
        <v>40.0%</v>
      </c>
    </row>
    <row r="1063">
      <c r="A1063" s="40" t="s">
        <v>2888</v>
      </c>
      <c r="B1063" s="40" t="s">
        <v>8824</v>
      </c>
      <c r="C1063" s="41">
        <v>2.0</v>
      </c>
      <c r="D1063" s="41">
        <v>3.0</v>
      </c>
      <c r="E1063" s="42" t="str">
        <f t="shared" si="1"/>
        <v>40.0%</v>
      </c>
    </row>
    <row r="1064">
      <c r="A1064" s="40" t="s">
        <v>2888</v>
      </c>
      <c r="B1064" s="40" t="s">
        <v>8578</v>
      </c>
      <c r="C1064" s="41">
        <v>2.0</v>
      </c>
      <c r="D1064" s="41">
        <v>4.0</v>
      </c>
      <c r="E1064" s="42" t="str">
        <f t="shared" si="1"/>
        <v>33.3%</v>
      </c>
    </row>
    <row r="1065">
      <c r="A1065" s="40" t="s">
        <v>2888</v>
      </c>
      <c r="B1065" s="40" t="s">
        <v>8570</v>
      </c>
      <c r="C1065" s="41">
        <v>2.0</v>
      </c>
      <c r="D1065" s="41">
        <v>5.0</v>
      </c>
      <c r="E1065" s="42" t="str">
        <f t="shared" si="1"/>
        <v>28.6%</v>
      </c>
    </row>
    <row r="1066">
      <c r="A1066" s="40" t="s">
        <v>2888</v>
      </c>
      <c r="B1066" s="40" t="s">
        <v>8980</v>
      </c>
      <c r="C1066" s="41">
        <v>2.0</v>
      </c>
      <c r="D1066" s="41">
        <v>5.0</v>
      </c>
      <c r="E1066" s="42" t="str">
        <f t="shared" si="1"/>
        <v>28.6%</v>
      </c>
    </row>
    <row r="1067">
      <c r="A1067" s="40" t="s">
        <v>2888</v>
      </c>
      <c r="B1067" s="40" t="s">
        <v>8644</v>
      </c>
      <c r="C1067" s="41">
        <v>2.0</v>
      </c>
      <c r="D1067" s="41">
        <v>7.0</v>
      </c>
      <c r="E1067" s="42" t="str">
        <f t="shared" si="1"/>
        <v>22.2%</v>
      </c>
    </row>
    <row r="1068">
      <c r="A1068" s="40" t="s">
        <v>2888</v>
      </c>
      <c r="B1068" s="40" t="s">
        <v>8600</v>
      </c>
      <c r="C1068" s="41">
        <v>1.0</v>
      </c>
      <c r="D1068" s="41">
        <v>0.0</v>
      </c>
      <c r="E1068" s="42" t="str">
        <f t="shared" si="1"/>
        <v>100.0%</v>
      </c>
    </row>
    <row r="1069">
      <c r="A1069" s="40" t="s">
        <v>2888</v>
      </c>
      <c r="B1069" s="40" t="s">
        <v>8606</v>
      </c>
      <c r="C1069" s="41">
        <v>1.0</v>
      </c>
      <c r="D1069" s="41">
        <v>0.0</v>
      </c>
      <c r="E1069" s="42" t="str">
        <f t="shared" si="1"/>
        <v>100.0%</v>
      </c>
    </row>
    <row r="1070">
      <c r="A1070" s="40" t="s">
        <v>2888</v>
      </c>
      <c r="B1070" s="40" t="s">
        <v>8498</v>
      </c>
      <c r="C1070" s="41">
        <v>1.0</v>
      </c>
      <c r="D1070" s="41">
        <v>0.0</v>
      </c>
      <c r="E1070" s="42" t="str">
        <f t="shared" si="1"/>
        <v>100.0%</v>
      </c>
    </row>
    <row r="1071">
      <c r="A1071" s="40" t="s">
        <v>2888</v>
      </c>
      <c r="B1071" s="40" t="s">
        <v>8585</v>
      </c>
      <c r="C1071" s="41">
        <v>1.0</v>
      </c>
      <c r="D1071" s="41">
        <v>0.0</v>
      </c>
      <c r="E1071" s="42" t="str">
        <f t="shared" si="1"/>
        <v>100.0%</v>
      </c>
    </row>
    <row r="1072">
      <c r="A1072" s="40" t="s">
        <v>2888</v>
      </c>
      <c r="B1072" s="40" t="s">
        <v>8616</v>
      </c>
      <c r="C1072" s="41">
        <v>1.0</v>
      </c>
      <c r="D1072" s="41">
        <v>0.0</v>
      </c>
      <c r="E1072" s="42" t="str">
        <f t="shared" si="1"/>
        <v>100.0%</v>
      </c>
    </row>
    <row r="1073">
      <c r="A1073" s="40" t="s">
        <v>2888</v>
      </c>
      <c r="B1073" s="40" t="s">
        <v>8506</v>
      </c>
      <c r="C1073" s="41">
        <v>1.0</v>
      </c>
      <c r="D1073" s="41">
        <v>0.0</v>
      </c>
      <c r="E1073" s="42" t="str">
        <f t="shared" si="1"/>
        <v>100.0%</v>
      </c>
    </row>
    <row r="1074">
      <c r="A1074" s="40" t="s">
        <v>2888</v>
      </c>
      <c r="B1074" s="40" t="s">
        <v>8838</v>
      </c>
      <c r="C1074" s="41">
        <v>1.0</v>
      </c>
      <c r="D1074" s="41">
        <v>0.0</v>
      </c>
      <c r="E1074" s="42" t="str">
        <f t="shared" si="1"/>
        <v>100.0%</v>
      </c>
    </row>
    <row r="1075">
      <c r="A1075" s="40" t="s">
        <v>2888</v>
      </c>
      <c r="B1075" s="40" t="s">
        <v>8841</v>
      </c>
      <c r="C1075" s="41">
        <v>1.0</v>
      </c>
      <c r="D1075" s="41">
        <v>0.0</v>
      </c>
      <c r="E1075" s="42" t="str">
        <f t="shared" si="1"/>
        <v>100.0%</v>
      </c>
    </row>
    <row r="1076">
      <c r="A1076" s="40" t="s">
        <v>2888</v>
      </c>
      <c r="B1076" s="40" t="s">
        <v>8981</v>
      </c>
      <c r="C1076" s="41">
        <v>1.0</v>
      </c>
      <c r="D1076" s="41">
        <v>0.0</v>
      </c>
      <c r="E1076" s="42" t="str">
        <f t="shared" si="1"/>
        <v>100.0%</v>
      </c>
    </row>
    <row r="1077">
      <c r="A1077" s="40" t="s">
        <v>2888</v>
      </c>
      <c r="B1077" s="40" t="s">
        <v>8982</v>
      </c>
      <c r="C1077" s="41">
        <v>1.0</v>
      </c>
      <c r="D1077" s="41">
        <v>0.0</v>
      </c>
      <c r="E1077" s="42" t="str">
        <f t="shared" si="1"/>
        <v>100.0%</v>
      </c>
    </row>
    <row r="1078">
      <c r="A1078" s="40" t="s">
        <v>2888</v>
      </c>
      <c r="B1078" s="40" t="s">
        <v>8983</v>
      </c>
      <c r="C1078" s="41">
        <v>1.0</v>
      </c>
      <c r="D1078" s="41">
        <v>0.0</v>
      </c>
      <c r="E1078" s="42" t="str">
        <f t="shared" si="1"/>
        <v>100.0%</v>
      </c>
    </row>
    <row r="1079">
      <c r="A1079" s="40" t="s">
        <v>2888</v>
      </c>
      <c r="B1079" s="40" t="s">
        <v>8984</v>
      </c>
      <c r="C1079" s="41">
        <v>1.0</v>
      </c>
      <c r="D1079" s="41">
        <v>0.0</v>
      </c>
      <c r="E1079" s="42" t="str">
        <f t="shared" si="1"/>
        <v>100.0%</v>
      </c>
    </row>
    <row r="1080">
      <c r="A1080" s="40" t="s">
        <v>2888</v>
      </c>
      <c r="B1080" s="40" t="s">
        <v>8950</v>
      </c>
      <c r="C1080" s="41">
        <v>1.0</v>
      </c>
      <c r="D1080" s="41">
        <v>0.0</v>
      </c>
      <c r="E1080" s="42" t="str">
        <f t="shared" si="1"/>
        <v>100.0%</v>
      </c>
    </row>
    <row r="1081">
      <c r="A1081" s="40" t="s">
        <v>2888</v>
      </c>
      <c r="B1081" s="40" t="s">
        <v>8985</v>
      </c>
      <c r="C1081" s="41">
        <v>1.0</v>
      </c>
      <c r="D1081" s="41">
        <v>0.0</v>
      </c>
      <c r="E1081" s="42" t="str">
        <f t="shared" si="1"/>
        <v>100.0%</v>
      </c>
    </row>
    <row r="1082">
      <c r="A1082" s="40" t="s">
        <v>2888</v>
      </c>
      <c r="B1082" s="40" t="s">
        <v>8986</v>
      </c>
      <c r="C1082" s="41">
        <v>1.0</v>
      </c>
      <c r="D1082" s="41">
        <v>0.0</v>
      </c>
      <c r="E1082" s="42" t="str">
        <f t="shared" si="1"/>
        <v>100.0%</v>
      </c>
    </row>
    <row r="1083">
      <c r="A1083" s="40" t="s">
        <v>2888</v>
      </c>
      <c r="B1083" s="40" t="s">
        <v>8987</v>
      </c>
      <c r="C1083" s="41">
        <v>1.0</v>
      </c>
      <c r="D1083" s="41">
        <v>0.0</v>
      </c>
      <c r="E1083" s="42" t="str">
        <f t="shared" si="1"/>
        <v>100.0%</v>
      </c>
    </row>
    <row r="1084">
      <c r="A1084" s="40" t="s">
        <v>2888</v>
      </c>
      <c r="B1084" s="40" t="s">
        <v>8988</v>
      </c>
      <c r="C1084" s="41">
        <v>1.0</v>
      </c>
      <c r="D1084" s="41">
        <v>0.0</v>
      </c>
      <c r="E1084" s="42" t="str">
        <f t="shared" si="1"/>
        <v>100.0%</v>
      </c>
    </row>
    <row r="1085">
      <c r="A1085" s="40" t="s">
        <v>2888</v>
      </c>
      <c r="B1085" s="40" t="s">
        <v>8989</v>
      </c>
      <c r="C1085" s="41">
        <v>1.0</v>
      </c>
      <c r="D1085" s="41">
        <v>0.0</v>
      </c>
      <c r="E1085" s="42" t="str">
        <f t="shared" si="1"/>
        <v>100.0%</v>
      </c>
    </row>
    <row r="1086">
      <c r="A1086" s="40" t="s">
        <v>2888</v>
      </c>
      <c r="B1086" s="40" t="s">
        <v>8605</v>
      </c>
      <c r="C1086" s="41">
        <v>1.0</v>
      </c>
      <c r="D1086" s="41">
        <v>1.0</v>
      </c>
      <c r="E1086" s="42" t="str">
        <f t="shared" si="1"/>
        <v>50.0%</v>
      </c>
    </row>
    <row r="1087">
      <c r="A1087" s="40" t="s">
        <v>2888</v>
      </c>
      <c r="B1087" s="40" t="s">
        <v>8549</v>
      </c>
      <c r="C1087" s="41">
        <v>1.0</v>
      </c>
      <c r="D1087" s="41">
        <v>1.0</v>
      </c>
      <c r="E1087" s="42" t="str">
        <f t="shared" si="1"/>
        <v>50.0%</v>
      </c>
    </row>
    <row r="1088">
      <c r="A1088" s="40" t="s">
        <v>2888</v>
      </c>
      <c r="B1088" s="40" t="s">
        <v>8692</v>
      </c>
      <c r="C1088" s="41">
        <v>1.0</v>
      </c>
      <c r="D1088" s="41">
        <v>1.0</v>
      </c>
      <c r="E1088" s="42" t="str">
        <f t="shared" si="1"/>
        <v>50.0%</v>
      </c>
    </row>
    <row r="1089">
      <c r="A1089" s="40" t="s">
        <v>2888</v>
      </c>
      <c r="B1089" s="40" t="s">
        <v>8769</v>
      </c>
      <c r="C1089" s="41">
        <v>1.0</v>
      </c>
      <c r="D1089" s="41">
        <v>1.0</v>
      </c>
      <c r="E1089" s="42" t="str">
        <f t="shared" si="1"/>
        <v>50.0%</v>
      </c>
    </row>
    <row r="1090">
      <c r="A1090" s="40" t="s">
        <v>2888</v>
      </c>
      <c r="B1090" s="40" t="s">
        <v>8934</v>
      </c>
      <c r="C1090" s="41">
        <v>1.0</v>
      </c>
      <c r="D1090" s="41">
        <v>1.0</v>
      </c>
      <c r="E1090" s="42" t="str">
        <f t="shared" si="1"/>
        <v>50.0%</v>
      </c>
    </row>
    <row r="1091">
      <c r="A1091" s="40" t="s">
        <v>2888</v>
      </c>
      <c r="B1091" s="40" t="s">
        <v>8990</v>
      </c>
      <c r="C1091" s="41">
        <v>1.0</v>
      </c>
      <c r="D1091" s="41">
        <v>1.0</v>
      </c>
      <c r="E1091" s="42" t="str">
        <f t="shared" si="1"/>
        <v>50.0%</v>
      </c>
    </row>
    <row r="1092">
      <c r="A1092" s="40" t="s">
        <v>2888</v>
      </c>
      <c r="B1092" s="40" t="s">
        <v>8951</v>
      </c>
      <c r="C1092" s="41">
        <v>1.0</v>
      </c>
      <c r="D1092" s="41">
        <v>1.0</v>
      </c>
      <c r="E1092" s="42" t="str">
        <f t="shared" si="1"/>
        <v>50.0%</v>
      </c>
    </row>
    <row r="1093">
      <c r="A1093" s="40" t="s">
        <v>2888</v>
      </c>
      <c r="B1093" s="40" t="s">
        <v>8991</v>
      </c>
      <c r="C1093" s="41">
        <v>1.0</v>
      </c>
      <c r="D1093" s="41">
        <v>1.0</v>
      </c>
      <c r="E1093" s="42" t="str">
        <f t="shared" si="1"/>
        <v>50.0%</v>
      </c>
    </row>
    <row r="1094">
      <c r="A1094" s="40" t="s">
        <v>2888</v>
      </c>
      <c r="B1094" s="40" t="s">
        <v>8992</v>
      </c>
      <c r="C1094" s="41">
        <v>1.0</v>
      </c>
      <c r="D1094" s="41">
        <v>1.0</v>
      </c>
      <c r="E1094" s="42" t="str">
        <f t="shared" si="1"/>
        <v>50.0%</v>
      </c>
    </row>
    <row r="1095">
      <c r="A1095" s="40" t="s">
        <v>2888</v>
      </c>
      <c r="B1095" s="40" t="s">
        <v>8993</v>
      </c>
      <c r="C1095" s="41">
        <v>1.0</v>
      </c>
      <c r="D1095" s="41">
        <v>1.0</v>
      </c>
      <c r="E1095" s="42" t="str">
        <f t="shared" si="1"/>
        <v>50.0%</v>
      </c>
    </row>
    <row r="1096">
      <c r="A1096" s="40" t="s">
        <v>2888</v>
      </c>
      <c r="B1096" s="40" t="s">
        <v>8994</v>
      </c>
      <c r="C1096" s="41">
        <v>1.0</v>
      </c>
      <c r="D1096" s="41">
        <v>1.0</v>
      </c>
      <c r="E1096" s="42" t="str">
        <f t="shared" si="1"/>
        <v>50.0%</v>
      </c>
    </row>
    <row r="1097">
      <c r="A1097" s="40" t="s">
        <v>2888</v>
      </c>
      <c r="B1097" s="40" t="s">
        <v>8995</v>
      </c>
      <c r="C1097" s="41">
        <v>1.0</v>
      </c>
      <c r="D1097" s="41">
        <v>1.0</v>
      </c>
      <c r="E1097" s="42" t="str">
        <f t="shared" si="1"/>
        <v>50.0%</v>
      </c>
    </row>
    <row r="1098">
      <c r="A1098" s="40" t="s">
        <v>2888</v>
      </c>
      <c r="B1098" s="40" t="s">
        <v>8996</v>
      </c>
      <c r="C1098" s="41">
        <v>1.0</v>
      </c>
      <c r="D1098" s="41">
        <v>1.0</v>
      </c>
      <c r="E1098" s="42" t="str">
        <f t="shared" si="1"/>
        <v>50.0%</v>
      </c>
    </row>
    <row r="1099">
      <c r="A1099" s="40" t="s">
        <v>2888</v>
      </c>
      <c r="B1099" s="40" t="s">
        <v>8638</v>
      </c>
      <c r="C1099" s="41">
        <v>1.0</v>
      </c>
      <c r="D1099" s="41">
        <v>2.0</v>
      </c>
      <c r="E1099" s="42" t="str">
        <f t="shared" si="1"/>
        <v>33.3%</v>
      </c>
    </row>
    <row r="1100">
      <c r="A1100" s="40" t="s">
        <v>2888</v>
      </c>
      <c r="B1100" s="40" t="s">
        <v>8708</v>
      </c>
      <c r="C1100" s="41">
        <v>1.0</v>
      </c>
      <c r="D1100" s="41">
        <v>2.0</v>
      </c>
      <c r="E1100" s="42" t="str">
        <f t="shared" si="1"/>
        <v>33.3%</v>
      </c>
    </row>
    <row r="1101">
      <c r="A1101" s="40" t="s">
        <v>2888</v>
      </c>
      <c r="B1101" s="40" t="s">
        <v>8674</v>
      </c>
      <c r="C1101" s="41">
        <v>1.0</v>
      </c>
      <c r="D1101" s="41">
        <v>2.0</v>
      </c>
      <c r="E1101" s="42" t="str">
        <f t="shared" si="1"/>
        <v>33.3%</v>
      </c>
    </row>
    <row r="1102">
      <c r="A1102" s="40" t="s">
        <v>2888</v>
      </c>
      <c r="B1102" s="40" t="s">
        <v>8766</v>
      </c>
      <c r="C1102" s="41">
        <v>1.0</v>
      </c>
      <c r="D1102" s="41">
        <v>2.0</v>
      </c>
      <c r="E1102" s="42" t="str">
        <f t="shared" si="1"/>
        <v>33.3%</v>
      </c>
    </row>
    <row r="1103">
      <c r="A1103" s="40" t="s">
        <v>2888</v>
      </c>
      <c r="B1103" s="40" t="s">
        <v>8826</v>
      </c>
      <c r="C1103" s="41">
        <v>1.0</v>
      </c>
      <c r="D1103" s="41">
        <v>2.0</v>
      </c>
      <c r="E1103" s="42" t="str">
        <f t="shared" si="1"/>
        <v>33.3%</v>
      </c>
    </row>
    <row r="1104">
      <c r="A1104" s="40" t="s">
        <v>2888</v>
      </c>
      <c r="B1104" s="40" t="s">
        <v>8848</v>
      </c>
      <c r="C1104" s="41">
        <v>1.0</v>
      </c>
      <c r="D1104" s="41">
        <v>2.0</v>
      </c>
      <c r="E1104" s="42" t="str">
        <f t="shared" si="1"/>
        <v>33.3%</v>
      </c>
    </row>
    <row r="1105">
      <c r="A1105" s="40" t="s">
        <v>2888</v>
      </c>
      <c r="B1105" s="40" t="s">
        <v>8864</v>
      </c>
      <c r="C1105" s="41">
        <v>1.0</v>
      </c>
      <c r="D1105" s="41">
        <v>2.0</v>
      </c>
      <c r="E1105" s="42" t="str">
        <f t="shared" si="1"/>
        <v>33.3%</v>
      </c>
    </row>
    <row r="1106">
      <c r="A1106" s="40" t="s">
        <v>2888</v>
      </c>
      <c r="B1106" s="40" t="s">
        <v>8997</v>
      </c>
      <c r="C1106" s="41">
        <v>1.0</v>
      </c>
      <c r="D1106" s="41">
        <v>2.0</v>
      </c>
      <c r="E1106" s="42" t="str">
        <f t="shared" si="1"/>
        <v>33.3%</v>
      </c>
    </row>
    <row r="1107">
      <c r="A1107" s="40" t="s">
        <v>2888</v>
      </c>
      <c r="B1107" s="40" t="s">
        <v>8998</v>
      </c>
      <c r="C1107" s="41">
        <v>1.0</v>
      </c>
      <c r="D1107" s="41">
        <v>2.0</v>
      </c>
      <c r="E1107" s="42" t="str">
        <f t="shared" si="1"/>
        <v>33.3%</v>
      </c>
    </row>
    <row r="1108">
      <c r="A1108" s="40" t="s">
        <v>2888</v>
      </c>
      <c r="B1108" s="40" t="s">
        <v>8999</v>
      </c>
      <c r="C1108" s="41">
        <v>1.0</v>
      </c>
      <c r="D1108" s="41">
        <v>2.0</v>
      </c>
      <c r="E1108" s="42" t="str">
        <f t="shared" si="1"/>
        <v>33.3%</v>
      </c>
    </row>
    <row r="1109">
      <c r="A1109" s="40" t="s">
        <v>2888</v>
      </c>
      <c r="B1109" s="40" t="s">
        <v>8652</v>
      </c>
      <c r="C1109" s="41">
        <v>1.0</v>
      </c>
      <c r="D1109" s="41">
        <v>3.0</v>
      </c>
      <c r="E1109" s="42" t="str">
        <f t="shared" si="1"/>
        <v>25.0%</v>
      </c>
    </row>
    <row r="1110">
      <c r="A1110" s="40" t="s">
        <v>2888</v>
      </c>
      <c r="B1110" s="40" t="s">
        <v>8505</v>
      </c>
      <c r="C1110" s="41">
        <v>1.0</v>
      </c>
      <c r="D1110" s="41">
        <v>3.0</v>
      </c>
      <c r="E1110" s="42" t="str">
        <f t="shared" si="1"/>
        <v>25.0%</v>
      </c>
    </row>
    <row r="1111">
      <c r="A1111" s="40" t="s">
        <v>2888</v>
      </c>
      <c r="B1111" s="40" t="s">
        <v>8763</v>
      </c>
      <c r="C1111" s="41">
        <v>1.0</v>
      </c>
      <c r="D1111" s="41">
        <v>3.0</v>
      </c>
      <c r="E1111" s="42" t="str">
        <f t="shared" si="1"/>
        <v>25.0%</v>
      </c>
    </row>
    <row r="1112">
      <c r="A1112" s="40" t="s">
        <v>2888</v>
      </c>
      <c r="B1112" s="40" t="s">
        <v>8891</v>
      </c>
      <c r="C1112" s="41">
        <v>1.0</v>
      </c>
      <c r="D1112" s="41">
        <v>3.0</v>
      </c>
      <c r="E1112" s="42" t="str">
        <f t="shared" si="1"/>
        <v>25.0%</v>
      </c>
    </row>
    <row r="1113">
      <c r="A1113" s="40" t="s">
        <v>2888</v>
      </c>
      <c r="B1113" s="40" t="s">
        <v>8944</v>
      </c>
      <c r="C1113" s="41">
        <v>1.0</v>
      </c>
      <c r="D1113" s="41">
        <v>3.0</v>
      </c>
      <c r="E1113" s="42" t="str">
        <f t="shared" si="1"/>
        <v>25.0%</v>
      </c>
    </row>
    <row r="1114">
      <c r="A1114" s="40" t="s">
        <v>2888</v>
      </c>
      <c r="B1114" s="40" t="s">
        <v>9000</v>
      </c>
      <c r="C1114" s="41">
        <v>1.0</v>
      </c>
      <c r="D1114" s="41">
        <v>3.0</v>
      </c>
      <c r="E1114" s="42" t="str">
        <f t="shared" si="1"/>
        <v>25.0%</v>
      </c>
    </row>
    <row r="1115">
      <c r="A1115" s="40" t="s">
        <v>2888</v>
      </c>
      <c r="B1115" s="40" t="s">
        <v>9001</v>
      </c>
      <c r="C1115" s="41">
        <v>1.0</v>
      </c>
      <c r="D1115" s="41">
        <v>3.0</v>
      </c>
      <c r="E1115" s="42" t="str">
        <f t="shared" si="1"/>
        <v>25.0%</v>
      </c>
    </row>
    <row r="1116">
      <c r="A1116" s="40" t="s">
        <v>2888</v>
      </c>
      <c r="B1116" s="40" t="s">
        <v>9002</v>
      </c>
      <c r="C1116" s="41">
        <v>1.0</v>
      </c>
      <c r="D1116" s="41">
        <v>3.0</v>
      </c>
      <c r="E1116" s="42" t="str">
        <f t="shared" si="1"/>
        <v>25.0%</v>
      </c>
    </row>
    <row r="1117">
      <c r="A1117" s="40" t="s">
        <v>2888</v>
      </c>
      <c r="B1117" s="40" t="s">
        <v>8654</v>
      </c>
      <c r="C1117" s="41">
        <v>1.0</v>
      </c>
      <c r="D1117" s="41">
        <v>4.0</v>
      </c>
      <c r="E1117" s="42" t="str">
        <f t="shared" si="1"/>
        <v>20.0%</v>
      </c>
    </row>
    <row r="1118">
      <c r="A1118" s="40" t="s">
        <v>2888</v>
      </c>
      <c r="B1118" s="40" t="s">
        <v>8881</v>
      </c>
      <c r="C1118" s="41">
        <v>1.0</v>
      </c>
      <c r="D1118" s="41">
        <v>4.0</v>
      </c>
      <c r="E1118" s="42" t="str">
        <f t="shared" si="1"/>
        <v>20.0%</v>
      </c>
    </row>
    <row r="1119">
      <c r="A1119" s="40" t="s">
        <v>2888</v>
      </c>
      <c r="B1119" s="40" t="s">
        <v>9003</v>
      </c>
      <c r="C1119" s="41">
        <v>1.0</v>
      </c>
      <c r="D1119" s="41">
        <v>4.0</v>
      </c>
      <c r="E1119" s="42" t="str">
        <f t="shared" si="1"/>
        <v>20.0%</v>
      </c>
    </row>
    <row r="1120">
      <c r="A1120" s="40" t="s">
        <v>2888</v>
      </c>
      <c r="B1120" s="40" t="s">
        <v>8555</v>
      </c>
      <c r="C1120" s="41">
        <v>1.0</v>
      </c>
      <c r="D1120" s="41">
        <v>5.0</v>
      </c>
      <c r="E1120" s="42" t="str">
        <f t="shared" si="1"/>
        <v>16.7%</v>
      </c>
    </row>
    <row r="1121">
      <c r="A1121" s="40" t="s">
        <v>2888</v>
      </c>
      <c r="B1121" s="40" t="s">
        <v>8914</v>
      </c>
      <c r="C1121" s="41">
        <v>1.0</v>
      </c>
      <c r="D1121" s="41">
        <v>6.0</v>
      </c>
      <c r="E1121" s="42" t="str">
        <f t="shared" si="1"/>
        <v>14.3%</v>
      </c>
    </row>
    <row r="1122">
      <c r="A1122" s="40" t="s">
        <v>2888</v>
      </c>
      <c r="B1122" s="40" t="s">
        <v>8598</v>
      </c>
      <c r="C1122" s="41">
        <v>0.0</v>
      </c>
      <c r="D1122" s="41">
        <v>1.0</v>
      </c>
      <c r="E1122" s="42" t="str">
        <f t="shared" si="1"/>
        <v>0.0%</v>
      </c>
    </row>
    <row r="1123">
      <c r="A1123" s="40" t="s">
        <v>2888</v>
      </c>
      <c r="B1123" s="40" t="s">
        <v>8629</v>
      </c>
      <c r="C1123" s="41">
        <v>0.0</v>
      </c>
      <c r="D1123" s="41">
        <v>1.0</v>
      </c>
      <c r="E1123" s="42" t="str">
        <f t="shared" si="1"/>
        <v>0.0%</v>
      </c>
    </row>
    <row r="1124">
      <c r="A1124" s="40" t="s">
        <v>2888</v>
      </c>
      <c r="B1124" s="40" t="s">
        <v>8604</v>
      </c>
      <c r="C1124" s="41">
        <v>0.0</v>
      </c>
      <c r="D1124" s="41">
        <v>1.0</v>
      </c>
      <c r="E1124" s="42" t="str">
        <f t="shared" si="1"/>
        <v>0.0%</v>
      </c>
    </row>
    <row r="1125">
      <c r="A1125" s="40" t="s">
        <v>2888</v>
      </c>
      <c r="B1125" s="40" t="s">
        <v>8645</v>
      </c>
      <c r="C1125" s="41">
        <v>0.0</v>
      </c>
      <c r="D1125" s="41">
        <v>1.0</v>
      </c>
      <c r="E1125" s="42" t="str">
        <f t="shared" si="1"/>
        <v>0.0%</v>
      </c>
    </row>
    <row r="1126">
      <c r="A1126" s="40" t="s">
        <v>2888</v>
      </c>
      <c r="B1126" s="40" t="s">
        <v>8809</v>
      </c>
      <c r="C1126" s="41">
        <v>0.0</v>
      </c>
      <c r="D1126" s="41">
        <v>1.0</v>
      </c>
      <c r="E1126" s="42" t="str">
        <f t="shared" si="1"/>
        <v>0.0%</v>
      </c>
    </row>
    <row r="1127">
      <c r="A1127" s="40" t="s">
        <v>2888</v>
      </c>
      <c r="B1127" s="40" t="s">
        <v>8702</v>
      </c>
      <c r="C1127" s="41">
        <v>0.0</v>
      </c>
      <c r="D1127" s="41">
        <v>1.0</v>
      </c>
      <c r="E1127" s="42" t="str">
        <f t="shared" si="1"/>
        <v>0.0%</v>
      </c>
    </row>
    <row r="1128">
      <c r="A1128" s="40" t="s">
        <v>2888</v>
      </c>
      <c r="B1128" s="40" t="s">
        <v>8658</v>
      </c>
      <c r="C1128" s="41">
        <v>0.0</v>
      </c>
      <c r="D1128" s="41">
        <v>1.0</v>
      </c>
      <c r="E1128" s="42" t="str">
        <f t="shared" si="1"/>
        <v>0.0%</v>
      </c>
    </row>
    <row r="1129">
      <c r="A1129" s="40" t="s">
        <v>2888</v>
      </c>
      <c r="B1129" s="40" t="s">
        <v>8563</v>
      </c>
      <c r="C1129" s="41">
        <v>0.0</v>
      </c>
      <c r="D1129" s="41">
        <v>1.0</v>
      </c>
      <c r="E1129" s="42" t="str">
        <f t="shared" si="1"/>
        <v>0.0%</v>
      </c>
    </row>
    <row r="1130">
      <c r="A1130" s="40" t="s">
        <v>2888</v>
      </c>
      <c r="B1130" s="40" t="s">
        <v>8519</v>
      </c>
      <c r="C1130" s="41">
        <v>0.0</v>
      </c>
      <c r="D1130" s="41">
        <v>1.0</v>
      </c>
      <c r="E1130" s="42" t="str">
        <f t="shared" si="1"/>
        <v>0.0%</v>
      </c>
    </row>
    <row r="1131">
      <c r="A1131" s="40" t="s">
        <v>2888</v>
      </c>
      <c r="B1131" s="40" t="s">
        <v>8544</v>
      </c>
      <c r="C1131" s="41">
        <v>0.0</v>
      </c>
      <c r="D1131" s="41">
        <v>1.0</v>
      </c>
      <c r="E1131" s="42" t="str">
        <f t="shared" si="1"/>
        <v>0.0%</v>
      </c>
    </row>
    <row r="1132">
      <c r="A1132" s="40" t="s">
        <v>2888</v>
      </c>
      <c r="B1132" s="40" t="s">
        <v>8712</v>
      </c>
      <c r="C1132" s="41">
        <v>0.0</v>
      </c>
      <c r="D1132" s="41">
        <v>1.0</v>
      </c>
      <c r="E1132" s="42" t="str">
        <f t="shared" si="1"/>
        <v>0.0%</v>
      </c>
    </row>
    <row r="1133">
      <c r="A1133" s="40" t="s">
        <v>2888</v>
      </c>
      <c r="B1133" s="40" t="s">
        <v>8771</v>
      </c>
      <c r="C1133" s="41">
        <v>0.0</v>
      </c>
      <c r="D1133" s="41">
        <v>1.0</v>
      </c>
      <c r="E1133" s="42" t="str">
        <f t="shared" si="1"/>
        <v>0.0%</v>
      </c>
    </row>
    <row r="1134">
      <c r="A1134" s="40" t="s">
        <v>2888</v>
      </c>
      <c r="B1134" s="40" t="s">
        <v>8852</v>
      </c>
      <c r="C1134" s="41">
        <v>0.0</v>
      </c>
      <c r="D1134" s="41">
        <v>1.0</v>
      </c>
      <c r="E1134" s="42" t="str">
        <f t="shared" si="1"/>
        <v>0.0%</v>
      </c>
    </row>
    <row r="1135">
      <c r="A1135" s="40" t="s">
        <v>2888</v>
      </c>
      <c r="B1135" s="40" t="s">
        <v>8818</v>
      </c>
      <c r="C1135" s="41">
        <v>0.0</v>
      </c>
      <c r="D1135" s="41">
        <v>1.0</v>
      </c>
      <c r="E1135" s="42" t="str">
        <f t="shared" si="1"/>
        <v>0.0%</v>
      </c>
    </row>
    <row r="1136">
      <c r="A1136" s="40" t="s">
        <v>2888</v>
      </c>
      <c r="B1136" s="40" t="s">
        <v>8834</v>
      </c>
      <c r="C1136" s="41">
        <v>0.0</v>
      </c>
      <c r="D1136" s="41">
        <v>1.0</v>
      </c>
      <c r="E1136" s="42" t="str">
        <f t="shared" si="1"/>
        <v>0.0%</v>
      </c>
    </row>
    <row r="1137">
      <c r="A1137" s="40" t="s">
        <v>2888</v>
      </c>
      <c r="B1137" s="40" t="s">
        <v>8939</v>
      </c>
      <c r="C1137" s="41">
        <v>0.0</v>
      </c>
      <c r="D1137" s="41">
        <v>1.0</v>
      </c>
      <c r="E1137" s="42" t="str">
        <f t="shared" si="1"/>
        <v>0.0%</v>
      </c>
    </row>
    <row r="1138">
      <c r="A1138" s="40" t="s">
        <v>2888</v>
      </c>
      <c r="B1138" s="40" t="s">
        <v>8911</v>
      </c>
      <c r="C1138" s="41">
        <v>0.0</v>
      </c>
      <c r="D1138" s="41">
        <v>1.0</v>
      </c>
      <c r="E1138" s="42" t="str">
        <f t="shared" si="1"/>
        <v>0.0%</v>
      </c>
    </row>
    <row r="1139">
      <c r="A1139" s="40" t="s">
        <v>2888</v>
      </c>
      <c r="B1139" s="40" t="s">
        <v>8952</v>
      </c>
      <c r="C1139" s="41">
        <v>0.0</v>
      </c>
      <c r="D1139" s="41">
        <v>1.0</v>
      </c>
      <c r="E1139" s="42" t="str">
        <f t="shared" si="1"/>
        <v>0.0%</v>
      </c>
    </row>
    <row r="1140">
      <c r="A1140" s="40" t="s">
        <v>2888</v>
      </c>
      <c r="B1140" s="40" t="s">
        <v>9004</v>
      </c>
      <c r="C1140" s="41">
        <v>0.0</v>
      </c>
      <c r="D1140" s="41">
        <v>1.0</v>
      </c>
      <c r="E1140" s="42" t="str">
        <f t="shared" si="1"/>
        <v>0.0%</v>
      </c>
    </row>
    <row r="1141">
      <c r="A1141" s="40" t="s">
        <v>2888</v>
      </c>
      <c r="B1141" s="40" t="s">
        <v>9005</v>
      </c>
      <c r="C1141" s="41">
        <v>0.0</v>
      </c>
      <c r="D1141" s="41">
        <v>1.0</v>
      </c>
      <c r="E1141" s="42" t="str">
        <f t="shared" si="1"/>
        <v>0.0%</v>
      </c>
    </row>
    <row r="1142">
      <c r="A1142" s="40" t="s">
        <v>2888</v>
      </c>
      <c r="B1142" s="40" t="s">
        <v>9006</v>
      </c>
      <c r="C1142" s="41">
        <v>0.0</v>
      </c>
      <c r="D1142" s="41">
        <v>1.0</v>
      </c>
      <c r="E1142" s="42" t="str">
        <f t="shared" si="1"/>
        <v>0.0%</v>
      </c>
    </row>
    <row r="1143">
      <c r="A1143" s="40" t="s">
        <v>2888</v>
      </c>
      <c r="B1143" s="40" t="s">
        <v>9007</v>
      </c>
      <c r="C1143" s="41">
        <v>0.0</v>
      </c>
      <c r="D1143" s="41">
        <v>1.0</v>
      </c>
      <c r="E1143" s="42" t="str">
        <f t="shared" si="1"/>
        <v>0.0%</v>
      </c>
    </row>
    <row r="1144">
      <c r="A1144" s="40" t="s">
        <v>2888</v>
      </c>
      <c r="B1144" s="40" t="s">
        <v>9008</v>
      </c>
      <c r="C1144" s="41">
        <v>0.0</v>
      </c>
      <c r="D1144" s="41">
        <v>1.0</v>
      </c>
      <c r="E1144" s="42" t="str">
        <f t="shared" si="1"/>
        <v>0.0%</v>
      </c>
    </row>
    <row r="1145">
      <c r="A1145" s="40" t="s">
        <v>2888</v>
      </c>
      <c r="B1145" s="40" t="s">
        <v>9009</v>
      </c>
      <c r="C1145" s="41">
        <v>0.0</v>
      </c>
      <c r="D1145" s="41">
        <v>1.0</v>
      </c>
      <c r="E1145" s="42" t="str">
        <f t="shared" si="1"/>
        <v>0.0%</v>
      </c>
    </row>
    <row r="1146">
      <c r="A1146" s="40" t="s">
        <v>2888</v>
      </c>
      <c r="B1146" s="40" t="s">
        <v>9010</v>
      </c>
      <c r="C1146" s="41">
        <v>0.0</v>
      </c>
      <c r="D1146" s="41">
        <v>1.0</v>
      </c>
      <c r="E1146" s="42" t="str">
        <f t="shared" si="1"/>
        <v>0.0%</v>
      </c>
    </row>
    <row r="1147">
      <c r="A1147" s="40" t="s">
        <v>2888</v>
      </c>
      <c r="B1147" s="40" t="s">
        <v>9011</v>
      </c>
      <c r="C1147" s="41">
        <v>0.0</v>
      </c>
      <c r="D1147" s="41">
        <v>1.0</v>
      </c>
      <c r="E1147" s="42" t="str">
        <f t="shared" si="1"/>
        <v>0.0%</v>
      </c>
    </row>
    <row r="1148">
      <c r="A1148" s="40" t="s">
        <v>2888</v>
      </c>
      <c r="B1148" s="40" t="s">
        <v>9012</v>
      </c>
      <c r="C1148" s="41">
        <v>0.0</v>
      </c>
      <c r="D1148" s="41">
        <v>1.0</v>
      </c>
      <c r="E1148" s="42" t="str">
        <f t="shared" si="1"/>
        <v>0.0%</v>
      </c>
    </row>
    <row r="1149">
      <c r="A1149" s="40" t="s">
        <v>2888</v>
      </c>
      <c r="B1149" s="40" t="s">
        <v>9013</v>
      </c>
      <c r="C1149" s="41">
        <v>0.0</v>
      </c>
      <c r="D1149" s="41">
        <v>1.0</v>
      </c>
      <c r="E1149" s="42" t="str">
        <f t="shared" si="1"/>
        <v>0.0%</v>
      </c>
    </row>
    <row r="1150">
      <c r="A1150" s="40" t="s">
        <v>2888</v>
      </c>
      <c r="B1150" s="40" t="s">
        <v>9014</v>
      </c>
      <c r="C1150" s="41">
        <v>0.0</v>
      </c>
      <c r="D1150" s="41">
        <v>1.0</v>
      </c>
      <c r="E1150" s="42" t="str">
        <f t="shared" si="1"/>
        <v>0.0%</v>
      </c>
    </row>
    <row r="1151">
      <c r="A1151" s="40" t="s">
        <v>2888</v>
      </c>
      <c r="B1151" s="40" t="s">
        <v>9015</v>
      </c>
      <c r="C1151" s="41">
        <v>0.0</v>
      </c>
      <c r="D1151" s="41">
        <v>1.0</v>
      </c>
      <c r="E1151" s="42" t="str">
        <f t="shared" si="1"/>
        <v>0.0%</v>
      </c>
    </row>
    <row r="1152">
      <c r="A1152" s="40" t="s">
        <v>2888</v>
      </c>
      <c r="B1152" s="40" t="s">
        <v>9016</v>
      </c>
      <c r="C1152" s="41">
        <v>0.0</v>
      </c>
      <c r="D1152" s="41">
        <v>1.0</v>
      </c>
      <c r="E1152" s="42" t="str">
        <f t="shared" si="1"/>
        <v>0.0%</v>
      </c>
    </row>
    <row r="1153">
      <c r="A1153" s="40" t="s">
        <v>2888</v>
      </c>
      <c r="B1153" s="40" t="s">
        <v>9017</v>
      </c>
      <c r="C1153" s="41">
        <v>0.0</v>
      </c>
      <c r="D1153" s="41">
        <v>1.0</v>
      </c>
      <c r="E1153" s="42" t="str">
        <f t="shared" si="1"/>
        <v>0.0%</v>
      </c>
    </row>
    <row r="1154">
      <c r="A1154" s="40" t="s">
        <v>2888</v>
      </c>
      <c r="B1154" s="40" t="s">
        <v>8515</v>
      </c>
      <c r="C1154" s="41">
        <v>0.0</v>
      </c>
      <c r="D1154" s="41">
        <v>2.0</v>
      </c>
      <c r="E1154" s="42" t="str">
        <f t="shared" si="1"/>
        <v>0.0%</v>
      </c>
    </row>
    <row r="1155">
      <c r="A1155" s="40" t="s">
        <v>2888</v>
      </c>
      <c r="B1155" s="40" t="s">
        <v>8603</v>
      </c>
      <c r="C1155" s="41">
        <v>0.0</v>
      </c>
      <c r="D1155" s="41">
        <v>2.0</v>
      </c>
      <c r="E1155" s="42" t="str">
        <f t="shared" si="1"/>
        <v>0.0%</v>
      </c>
    </row>
    <row r="1156">
      <c r="A1156" s="40" t="s">
        <v>2888</v>
      </c>
      <c r="B1156" s="40" t="s">
        <v>8767</v>
      </c>
      <c r="C1156" s="41">
        <v>0.0</v>
      </c>
      <c r="D1156" s="41">
        <v>2.0</v>
      </c>
      <c r="E1156" s="42" t="str">
        <f t="shared" si="1"/>
        <v>0.0%</v>
      </c>
    </row>
    <row r="1157">
      <c r="A1157" s="40" t="s">
        <v>2888</v>
      </c>
      <c r="B1157" s="40" t="s">
        <v>8773</v>
      </c>
      <c r="C1157" s="41">
        <v>0.0</v>
      </c>
      <c r="D1157" s="41">
        <v>2.0</v>
      </c>
      <c r="E1157" s="42" t="str">
        <f t="shared" si="1"/>
        <v>0.0%</v>
      </c>
    </row>
    <row r="1158">
      <c r="A1158" s="40" t="s">
        <v>2888</v>
      </c>
      <c r="B1158" s="40" t="s">
        <v>8774</v>
      </c>
      <c r="C1158" s="41">
        <v>0.0</v>
      </c>
      <c r="D1158" s="41">
        <v>2.0</v>
      </c>
      <c r="E1158" s="42" t="str">
        <f t="shared" si="1"/>
        <v>0.0%</v>
      </c>
    </row>
    <row r="1159">
      <c r="A1159" s="40" t="s">
        <v>2888</v>
      </c>
      <c r="B1159" s="40" t="s">
        <v>8835</v>
      </c>
      <c r="C1159" s="41">
        <v>0.0</v>
      </c>
      <c r="D1159" s="41">
        <v>2.0</v>
      </c>
      <c r="E1159" s="42" t="str">
        <f t="shared" si="1"/>
        <v>0.0%</v>
      </c>
    </row>
    <row r="1160">
      <c r="A1160" s="40" t="s">
        <v>2888</v>
      </c>
      <c r="B1160" s="40" t="s">
        <v>9018</v>
      </c>
      <c r="C1160" s="41">
        <v>0.0</v>
      </c>
      <c r="D1160" s="41">
        <v>2.0</v>
      </c>
      <c r="E1160" s="42" t="str">
        <f t="shared" si="1"/>
        <v>0.0%</v>
      </c>
    </row>
    <row r="1161">
      <c r="A1161" s="40" t="s">
        <v>2888</v>
      </c>
      <c r="B1161" s="40" t="s">
        <v>9019</v>
      </c>
      <c r="C1161" s="41">
        <v>0.0</v>
      </c>
      <c r="D1161" s="41">
        <v>2.0</v>
      </c>
      <c r="E1161" s="42" t="str">
        <f t="shared" si="1"/>
        <v>0.0%</v>
      </c>
    </row>
    <row r="1162">
      <c r="A1162" s="40" t="s">
        <v>2888</v>
      </c>
      <c r="B1162" s="40" t="s">
        <v>9020</v>
      </c>
      <c r="C1162" s="41">
        <v>0.0</v>
      </c>
      <c r="D1162" s="41">
        <v>2.0</v>
      </c>
      <c r="E1162" s="42" t="str">
        <f t="shared" si="1"/>
        <v>0.0%</v>
      </c>
    </row>
    <row r="1163">
      <c r="A1163" s="40" t="s">
        <v>2888</v>
      </c>
      <c r="B1163" s="40" t="s">
        <v>9021</v>
      </c>
      <c r="C1163" s="41">
        <v>0.0</v>
      </c>
      <c r="D1163" s="41">
        <v>2.0</v>
      </c>
      <c r="E1163" s="42" t="str">
        <f t="shared" si="1"/>
        <v>0.0%</v>
      </c>
    </row>
    <row r="1164">
      <c r="A1164" s="40" t="s">
        <v>2888</v>
      </c>
      <c r="B1164" s="40" t="s">
        <v>9022</v>
      </c>
      <c r="C1164" s="41">
        <v>0.0</v>
      </c>
      <c r="D1164" s="41">
        <v>2.0</v>
      </c>
      <c r="E1164" s="42" t="str">
        <f t="shared" si="1"/>
        <v>0.0%</v>
      </c>
    </row>
    <row r="1165">
      <c r="A1165" s="40" t="s">
        <v>2888</v>
      </c>
      <c r="B1165" s="40" t="s">
        <v>8640</v>
      </c>
      <c r="C1165" s="41">
        <v>0.0</v>
      </c>
      <c r="D1165" s="41">
        <v>3.0</v>
      </c>
      <c r="E1165" s="42" t="str">
        <f t="shared" si="1"/>
        <v>0.0%</v>
      </c>
    </row>
    <row r="1166">
      <c r="A1166" s="40" t="s">
        <v>2888</v>
      </c>
      <c r="B1166" s="40" t="s">
        <v>8709</v>
      </c>
      <c r="C1166" s="41">
        <v>0.0</v>
      </c>
      <c r="D1166" s="41">
        <v>3.0</v>
      </c>
      <c r="E1166" s="42" t="str">
        <f t="shared" si="1"/>
        <v>0.0%</v>
      </c>
    </row>
    <row r="1167">
      <c r="A1167" s="40" t="s">
        <v>2888</v>
      </c>
      <c r="B1167" s="40" t="s">
        <v>8947</v>
      </c>
      <c r="C1167" s="41">
        <v>0.0</v>
      </c>
      <c r="D1167" s="41">
        <v>3.0</v>
      </c>
      <c r="E1167" s="42" t="str">
        <f t="shared" si="1"/>
        <v>0.0%</v>
      </c>
    </row>
    <row r="1168">
      <c r="A1168" s="40" t="s">
        <v>2888</v>
      </c>
      <c r="B1168" s="40" t="s">
        <v>9023</v>
      </c>
      <c r="C1168" s="41">
        <v>0.0</v>
      </c>
      <c r="D1168" s="41">
        <v>3.0</v>
      </c>
      <c r="E1168" s="42" t="str">
        <f t="shared" si="1"/>
        <v>0.0%</v>
      </c>
    </row>
    <row r="1169">
      <c r="A1169" s="40" t="s">
        <v>2888</v>
      </c>
      <c r="B1169" s="40" t="s">
        <v>9024</v>
      </c>
      <c r="C1169" s="41">
        <v>0.0</v>
      </c>
      <c r="D1169" s="41">
        <v>4.0</v>
      </c>
      <c r="E1169" s="42" t="str">
        <f t="shared" si="1"/>
        <v>0.0%</v>
      </c>
    </row>
    <row r="1170">
      <c r="A1170" s="40" t="s">
        <v>2888</v>
      </c>
      <c r="B1170" s="40" t="s">
        <v>8656</v>
      </c>
      <c r="C1170" s="41">
        <v>0.0</v>
      </c>
      <c r="D1170" s="41">
        <v>6.0</v>
      </c>
      <c r="E1170" s="42" t="str">
        <f t="shared" si="1"/>
        <v>0.0%</v>
      </c>
    </row>
    <row r="1171">
      <c r="A1171" s="40" t="s">
        <v>2888</v>
      </c>
      <c r="B1171" s="40" t="s">
        <v>8550</v>
      </c>
      <c r="C1171" s="41">
        <v>0.0</v>
      </c>
      <c r="D1171" s="41">
        <v>8.0</v>
      </c>
      <c r="E1171" s="42" t="str">
        <f t="shared" si="1"/>
        <v>0.0%</v>
      </c>
    </row>
    <row r="1172">
      <c r="A1172" s="40" t="s">
        <v>3405</v>
      </c>
      <c r="B1172" s="40" t="s">
        <v>8588</v>
      </c>
      <c r="C1172" s="41">
        <v>36.0</v>
      </c>
      <c r="D1172" s="41">
        <v>27.0</v>
      </c>
      <c r="E1172" s="42" t="str">
        <f t="shared" si="1"/>
        <v>57.1%</v>
      </c>
    </row>
    <row r="1173">
      <c r="A1173" s="40" t="s">
        <v>3405</v>
      </c>
      <c r="B1173" s="40" t="s">
        <v>8484</v>
      </c>
      <c r="C1173" s="41">
        <v>34.0</v>
      </c>
      <c r="D1173" s="41">
        <v>16.0</v>
      </c>
      <c r="E1173" s="42" t="str">
        <f t="shared" si="1"/>
        <v>68.0%</v>
      </c>
    </row>
    <row r="1174">
      <c r="A1174" s="40" t="s">
        <v>3405</v>
      </c>
      <c r="B1174" s="40" t="s">
        <v>8561</v>
      </c>
      <c r="C1174" s="41">
        <v>29.0</v>
      </c>
      <c r="D1174" s="41">
        <v>11.0</v>
      </c>
      <c r="E1174" s="42" t="str">
        <f t="shared" si="1"/>
        <v>72.5%</v>
      </c>
    </row>
    <row r="1175">
      <c r="A1175" s="40" t="s">
        <v>3405</v>
      </c>
      <c r="B1175" s="40" t="s">
        <v>8491</v>
      </c>
      <c r="C1175" s="41">
        <v>26.0</v>
      </c>
      <c r="D1175" s="41">
        <v>27.0</v>
      </c>
      <c r="E1175" s="42" t="str">
        <f t="shared" si="1"/>
        <v>49.1%</v>
      </c>
    </row>
    <row r="1176">
      <c r="A1176" s="40" t="s">
        <v>3405</v>
      </c>
      <c r="B1176" s="40" t="s">
        <v>8712</v>
      </c>
      <c r="C1176" s="41">
        <v>25.0</v>
      </c>
      <c r="D1176" s="41">
        <v>31.0</v>
      </c>
      <c r="E1176" s="42" t="str">
        <f t="shared" si="1"/>
        <v>44.6%</v>
      </c>
    </row>
    <row r="1177">
      <c r="A1177" s="40" t="s">
        <v>3405</v>
      </c>
      <c r="B1177" s="40" t="s">
        <v>8497</v>
      </c>
      <c r="C1177" s="41">
        <v>24.0</v>
      </c>
      <c r="D1177" s="41">
        <v>8.0</v>
      </c>
      <c r="E1177" s="42" t="str">
        <f t="shared" si="1"/>
        <v>75.0%</v>
      </c>
    </row>
    <row r="1178">
      <c r="A1178" s="40" t="s">
        <v>3405</v>
      </c>
      <c r="B1178" s="40" t="s">
        <v>8518</v>
      </c>
      <c r="C1178" s="41">
        <v>23.0</v>
      </c>
      <c r="D1178" s="41">
        <v>12.0</v>
      </c>
      <c r="E1178" s="42" t="str">
        <f t="shared" si="1"/>
        <v>65.7%</v>
      </c>
    </row>
    <row r="1179">
      <c r="A1179" s="40" t="s">
        <v>3405</v>
      </c>
      <c r="B1179" s="40" t="s">
        <v>8483</v>
      </c>
      <c r="C1179" s="41">
        <v>22.0</v>
      </c>
      <c r="D1179" s="41">
        <v>9.0</v>
      </c>
      <c r="E1179" s="42" t="str">
        <f t="shared" si="1"/>
        <v>71.0%</v>
      </c>
    </row>
    <row r="1180">
      <c r="A1180" s="40" t="s">
        <v>3405</v>
      </c>
      <c r="B1180" s="40" t="s">
        <v>8767</v>
      </c>
      <c r="C1180" s="41">
        <v>22.0</v>
      </c>
      <c r="D1180" s="41">
        <v>20.0</v>
      </c>
      <c r="E1180" s="42" t="str">
        <f t="shared" si="1"/>
        <v>52.4%</v>
      </c>
    </row>
    <row r="1181">
      <c r="A1181" s="40" t="s">
        <v>3405</v>
      </c>
      <c r="B1181" s="40" t="s">
        <v>8487</v>
      </c>
      <c r="C1181" s="41">
        <v>21.0</v>
      </c>
      <c r="D1181" s="41">
        <v>16.0</v>
      </c>
      <c r="E1181" s="42" t="str">
        <f t="shared" si="1"/>
        <v>56.8%</v>
      </c>
    </row>
    <row r="1182">
      <c r="A1182" s="40" t="s">
        <v>3405</v>
      </c>
      <c r="B1182" s="40" t="s">
        <v>8556</v>
      </c>
      <c r="C1182" s="41">
        <v>20.0</v>
      </c>
      <c r="D1182" s="41">
        <v>12.0</v>
      </c>
      <c r="E1182" s="42" t="str">
        <f t="shared" si="1"/>
        <v>62.5%</v>
      </c>
    </row>
    <row r="1183">
      <c r="A1183" s="40" t="s">
        <v>3405</v>
      </c>
      <c r="B1183" s="40" t="s">
        <v>8763</v>
      </c>
      <c r="C1183" s="41">
        <v>20.0</v>
      </c>
      <c r="D1183" s="41">
        <v>16.0</v>
      </c>
      <c r="E1183" s="42" t="str">
        <f t="shared" si="1"/>
        <v>55.6%</v>
      </c>
    </row>
    <row r="1184">
      <c r="A1184" s="40" t="s">
        <v>3405</v>
      </c>
      <c r="B1184" s="40" t="s">
        <v>8962</v>
      </c>
      <c r="C1184" s="41">
        <v>19.0</v>
      </c>
      <c r="D1184" s="41">
        <v>5.0</v>
      </c>
      <c r="E1184" s="42" t="str">
        <f t="shared" si="1"/>
        <v>79.2%</v>
      </c>
    </row>
    <row r="1185">
      <c r="A1185" s="40" t="s">
        <v>3405</v>
      </c>
      <c r="B1185" s="40" t="s">
        <v>8581</v>
      </c>
      <c r="C1185" s="41">
        <v>19.0</v>
      </c>
      <c r="D1185" s="41">
        <v>15.0</v>
      </c>
      <c r="E1185" s="42" t="str">
        <f t="shared" si="1"/>
        <v>55.9%</v>
      </c>
    </row>
    <row r="1186">
      <c r="A1186" s="40" t="s">
        <v>3405</v>
      </c>
      <c r="B1186" s="40" t="s">
        <v>8496</v>
      </c>
      <c r="C1186" s="41">
        <v>18.0</v>
      </c>
      <c r="D1186" s="41">
        <v>30.0</v>
      </c>
      <c r="E1186" s="42" t="str">
        <f t="shared" si="1"/>
        <v>37.5%</v>
      </c>
    </row>
    <row r="1187">
      <c r="A1187" s="40" t="s">
        <v>3405</v>
      </c>
      <c r="B1187" s="40" t="s">
        <v>8528</v>
      </c>
      <c r="C1187" s="41">
        <v>17.0</v>
      </c>
      <c r="D1187" s="41">
        <v>3.0</v>
      </c>
      <c r="E1187" s="42" t="str">
        <f t="shared" si="1"/>
        <v>85.0%</v>
      </c>
    </row>
    <row r="1188">
      <c r="A1188" s="40" t="s">
        <v>3405</v>
      </c>
      <c r="B1188" s="40" t="s">
        <v>8973</v>
      </c>
      <c r="C1188" s="41">
        <v>17.0</v>
      </c>
      <c r="D1188" s="41">
        <v>14.0</v>
      </c>
      <c r="E1188" s="42" t="str">
        <f t="shared" si="1"/>
        <v>54.8%</v>
      </c>
    </row>
    <row r="1189">
      <c r="A1189" s="40" t="s">
        <v>3405</v>
      </c>
      <c r="B1189" s="40" t="s">
        <v>8641</v>
      </c>
      <c r="C1189" s="41">
        <v>17.0</v>
      </c>
      <c r="D1189" s="41">
        <v>21.0</v>
      </c>
      <c r="E1189" s="42" t="str">
        <f t="shared" si="1"/>
        <v>44.7%</v>
      </c>
    </row>
    <row r="1190">
      <c r="A1190" s="40" t="s">
        <v>3405</v>
      </c>
      <c r="B1190" s="40" t="s">
        <v>8790</v>
      </c>
      <c r="C1190" s="41">
        <v>16.0</v>
      </c>
      <c r="D1190" s="41">
        <v>5.0</v>
      </c>
      <c r="E1190" s="42" t="str">
        <f t="shared" si="1"/>
        <v>76.2%</v>
      </c>
    </row>
    <row r="1191">
      <c r="A1191" s="40" t="s">
        <v>3405</v>
      </c>
      <c r="B1191" s="40" t="s">
        <v>8530</v>
      </c>
      <c r="C1191" s="41">
        <v>16.0</v>
      </c>
      <c r="D1191" s="41">
        <v>9.0</v>
      </c>
      <c r="E1191" s="42" t="str">
        <f t="shared" si="1"/>
        <v>64.0%</v>
      </c>
    </row>
    <row r="1192">
      <c r="A1192" s="40" t="s">
        <v>3405</v>
      </c>
      <c r="B1192" s="40" t="s">
        <v>8490</v>
      </c>
      <c r="C1192" s="41">
        <v>15.0</v>
      </c>
      <c r="D1192" s="41">
        <v>31.0</v>
      </c>
      <c r="E1192" s="42" t="str">
        <f t="shared" si="1"/>
        <v>32.6%</v>
      </c>
    </row>
    <row r="1193">
      <c r="A1193" s="40" t="s">
        <v>3405</v>
      </c>
      <c r="B1193" s="40" t="s">
        <v>8508</v>
      </c>
      <c r="C1193" s="41">
        <v>14.0</v>
      </c>
      <c r="D1193" s="41">
        <v>3.0</v>
      </c>
      <c r="E1193" s="42" t="str">
        <f t="shared" si="1"/>
        <v>82.4%</v>
      </c>
    </row>
    <row r="1194">
      <c r="A1194" s="40" t="s">
        <v>3405</v>
      </c>
      <c r="B1194" s="40" t="s">
        <v>8838</v>
      </c>
      <c r="C1194" s="41">
        <v>14.0</v>
      </c>
      <c r="D1194" s="41">
        <v>4.0</v>
      </c>
      <c r="E1194" s="42" t="str">
        <f t="shared" si="1"/>
        <v>77.8%</v>
      </c>
    </row>
    <row r="1195">
      <c r="A1195" s="40" t="s">
        <v>3405</v>
      </c>
      <c r="B1195" s="40" t="s">
        <v>8534</v>
      </c>
      <c r="C1195" s="41">
        <v>14.0</v>
      </c>
      <c r="D1195" s="41">
        <v>7.0</v>
      </c>
      <c r="E1195" s="42" t="str">
        <f t="shared" si="1"/>
        <v>66.7%</v>
      </c>
    </row>
    <row r="1196">
      <c r="A1196" s="40" t="s">
        <v>3405</v>
      </c>
      <c r="B1196" s="40" t="s">
        <v>8502</v>
      </c>
      <c r="C1196" s="41">
        <v>14.0</v>
      </c>
      <c r="D1196" s="41">
        <v>11.0</v>
      </c>
      <c r="E1196" s="42" t="str">
        <f t="shared" si="1"/>
        <v>56.0%</v>
      </c>
    </row>
    <row r="1197">
      <c r="A1197" s="40" t="s">
        <v>3405</v>
      </c>
      <c r="B1197" s="40" t="s">
        <v>8674</v>
      </c>
      <c r="C1197" s="41">
        <v>14.0</v>
      </c>
      <c r="D1197" s="41">
        <v>21.0</v>
      </c>
      <c r="E1197" s="42" t="str">
        <f t="shared" si="1"/>
        <v>40.0%</v>
      </c>
    </row>
    <row r="1198">
      <c r="A1198" s="40" t="s">
        <v>3405</v>
      </c>
      <c r="B1198" s="40" t="s">
        <v>8515</v>
      </c>
      <c r="C1198" s="41">
        <v>13.0</v>
      </c>
      <c r="D1198" s="41">
        <v>5.0</v>
      </c>
      <c r="E1198" s="42" t="str">
        <f t="shared" si="1"/>
        <v>72.2%</v>
      </c>
    </row>
    <row r="1199">
      <c r="A1199" s="40" t="s">
        <v>3405</v>
      </c>
      <c r="B1199" s="40" t="s">
        <v>8698</v>
      </c>
      <c r="C1199" s="41">
        <v>13.0</v>
      </c>
      <c r="D1199" s="41">
        <v>7.0</v>
      </c>
      <c r="E1199" s="42" t="str">
        <f t="shared" si="1"/>
        <v>65.0%</v>
      </c>
    </row>
    <row r="1200">
      <c r="A1200" s="40" t="s">
        <v>3405</v>
      </c>
      <c r="B1200" s="40" t="s">
        <v>8972</v>
      </c>
      <c r="C1200" s="41">
        <v>13.0</v>
      </c>
      <c r="D1200" s="41">
        <v>8.0</v>
      </c>
      <c r="E1200" s="42" t="str">
        <f t="shared" si="1"/>
        <v>61.9%</v>
      </c>
    </row>
    <row r="1201">
      <c r="A1201" s="40" t="s">
        <v>3405</v>
      </c>
      <c r="B1201" s="40" t="s">
        <v>9025</v>
      </c>
      <c r="C1201" s="41">
        <v>13.0</v>
      </c>
      <c r="D1201" s="41">
        <v>10.0</v>
      </c>
      <c r="E1201" s="42" t="str">
        <f t="shared" si="1"/>
        <v>56.5%</v>
      </c>
    </row>
    <row r="1202">
      <c r="A1202" s="40" t="s">
        <v>3405</v>
      </c>
      <c r="B1202" s="40" t="s">
        <v>8501</v>
      </c>
      <c r="C1202" s="41">
        <v>13.0</v>
      </c>
      <c r="D1202" s="41">
        <v>15.0</v>
      </c>
      <c r="E1202" s="42" t="str">
        <f t="shared" si="1"/>
        <v>46.4%</v>
      </c>
    </row>
    <row r="1203">
      <c r="A1203" s="40" t="s">
        <v>3405</v>
      </c>
      <c r="B1203" s="40" t="s">
        <v>8660</v>
      </c>
      <c r="C1203" s="41">
        <v>12.0</v>
      </c>
      <c r="D1203" s="41">
        <v>7.0</v>
      </c>
      <c r="E1203" s="42" t="str">
        <f t="shared" si="1"/>
        <v>63.2%</v>
      </c>
    </row>
    <row r="1204">
      <c r="A1204" s="40" t="s">
        <v>3405</v>
      </c>
      <c r="B1204" s="40" t="s">
        <v>9009</v>
      </c>
      <c r="C1204" s="41">
        <v>12.0</v>
      </c>
      <c r="D1204" s="41">
        <v>10.0</v>
      </c>
      <c r="E1204" s="42" t="str">
        <f t="shared" si="1"/>
        <v>54.5%</v>
      </c>
    </row>
    <row r="1205">
      <c r="A1205" s="40" t="s">
        <v>3405</v>
      </c>
      <c r="B1205" s="40" t="s">
        <v>8731</v>
      </c>
      <c r="C1205" s="41">
        <v>11.0</v>
      </c>
      <c r="D1205" s="41">
        <v>5.0</v>
      </c>
      <c r="E1205" s="42" t="str">
        <f t="shared" si="1"/>
        <v>68.8%</v>
      </c>
    </row>
    <row r="1206">
      <c r="A1206" s="40" t="s">
        <v>3405</v>
      </c>
      <c r="B1206" s="40" t="s">
        <v>8769</v>
      </c>
      <c r="C1206" s="41">
        <v>11.0</v>
      </c>
      <c r="D1206" s="41">
        <v>14.0</v>
      </c>
      <c r="E1206" s="42" t="str">
        <f t="shared" si="1"/>
        <v>44.0%</v>
      </c>
    </row>
    <row r="1207">
      <c r="A1207" s="40" t="s">
        <v>3405</v>
      </c>
      <c r="B1207" s="40" t="s">
        <v>8715</v>
      </c>
      <c r="C1207" s="41">
        <v>10.0</v>
      </c>
      <c r="D1207" s="41">
        <v>3.0</v>
      </c>
      <c r="E1207" s="42" t="str">
        <f t="shared" si="1"/>
        <v>76.9%</v>
      </c>
    </row>
    <row r="1208">
      <c r="A1208" s="40" t="s">
        <v>3405</v>
      </c>
      <c r="B1208" s="40" t="s">
        <v>8975</v>
      </c>
      <c r="C1208" s="41">
        <v>10.0</v>
      </c>
      <c r="D1208" s="41">
        <v>4.0</v>
      </c>
      <c r="E1208" s="42" t="str">
        <f t="shared" si="1"/>
        <v>71.4%</v>
      </c>
    </row>
    <row r="1209">
      <c r="A1209" s="40" t="s">
        <v>3405</v>
      </c>
      <c r="B1209" s="40" t="s">
        <v>8532</v>
      </c>
      <c r="C1209" s="41">
        <v>10.0</v>
      </c>
      <c r="D1209" s="41">
        <v>5.0</v>
      </c>
      <c r="E1209" s="42" t="str">
        <f t="shared" si="1"/>
        <v>66.7%</v>
      </c>
    </row>
    <row r="1210">
      <c r="A1210" s="40" t="s">
        <v>3405</v>
      </c>
      <c r="B1210" s="40" t="s">
        <v>8834</v>
      </c>
      <c r="C1210" s="41">
        <v>10.0</v>
      </c>
      <c r="D1210" s="41">
        <v>6.0</v>
      </c>
      <c r="E1210" s="42" t="str">
        <f t="shared" si="1"/>
        <v>62.5%</v>
      </c>
    </row>
    <row r="1211">
      <c r="A1211" s="40" t="s">
        <v>3405</v>
      </c>
      <c r="B1211" s="40" t="s">
        <v>8980</v>
      </c>
      <c r="C1211" s="41">
        <v>10.0</v>
      </c>
      <c r="D1211" s="41">
        <v>23.0</v>
      </c>
      <c r="E1211" s="42" t="str">
        <f t="shared" si="1"/>
        <v>30.3%</v>
      </c>
    </row>
    <row r="1212">
      <c r="A1212" s="40" t="s">
        <v>3405</v>
      </c>
      <c r="B1212" s="40" t="s">
        <v>8489</v>
      </c>
      <c r="C1212" s="41">
        <v>9.0</v>
      </c>
      <c r="D1212" s="41">
        <v>1.0</v>
      </c>
      <c r="E1212" s="42" t="str">
        <f t="shared" si="1"/>
        <v>90.0%</v>
      </c>
    </row>
    <row r="1213">
      <c r="A1213" s="40" t="s">
        <v>3405</v>
      </c>
      <c r="B1213" s="40" t="s">
        <v>8965</v>
      </c>
      <c r="C1213" s="41">
        <v>9.0</v>
      </c>
      <c r="D1213" s="41">
        <v>1.0</v>
      </c>
      <c r="E1213" s="42" t="str">
        <f t="shared" si="1"/>
        <v>90.0%</v>
      </c>
    </row>
    <row r="1214">
      <c r="A1214" s="40" t="s">
        <v>3405</v>
      </c>
      <c r="B1214" s="40" t="s">
        <v>8488</v>
      </c>
      <c r="C1214" s="41">
        <v>9.0</v>
      </c>
      <c r="D1214" s="41">
        <v>4.0</v>
      </c>
      <c r="E1214" s="42" t="str">
        <f t="shared" si="1"/>
        <v>69.2%</v>
      </c>
    </row>
    <row r="1215">
      <c r="A1215" s="40" t="s">
        <v>3405</v>
      </c>
      <c r="B1215" s="40" t="s">
        <v>8568</v>
      </c>
      <c r="C1215" s="41">
        <v>9.0</v>
      </c>
      <c r="D1215" s="41">
        <v>4.0</v>
      </c>
      <c r="E1215" s="42" t="str">
        <f t="shared" si="1"/>
        <v>69.2%</v>
      </c>
    </row>
    <row r="1216">
      <c r="A1216" s="40" t="s">
        <v>3405</v>
      </c>
      <c r="B1216" s="40" t="s">
        <v>8642</v>
      </c>
      <c r="C1216" s="41">
        <v>9.0</v>
      </c>
      <c r="D1216" s="41">
        <v>4.0</v>
      </c>
      <c r="E1216" s="42" t="str">
        <f t="shared" si="1"/>
        <v>69.2%</v>
      </c>
    </row>
    <row r="1217">
      <c r="A1217" s="40" t="s">
        <v>3405</v>
      </c>
      <c r="B1217" s="40" t="s">
        <v>8523</v>
      </c>
      <c r="C1217" s="41">
        <v>9.0</v>
      </c>
      <c r="D1217" s="41">
        <v>5.0</v>
      </c>
      <c r="E1217" s="42" t="str">
        <f t="shared" si="1"/>
        <v>64.3%</v>
      </c>
    </row>
    <row r="1218">
      <c r="A1218" s="40" t="s">
        <v>3405</v>
      </c>
      <c r="B1218" s="40" t="s">
        <v>8569</v>
      </c>
      <c r="C1218" s="41">
        <v>9.0</v>
      </c>
      <c r="D1218" s="41">
        <v>5.0</v>
      </c>
      <c r="E1218" s="42" t="str">
        <f t="shared" si="1"/>
        <v>64.3%</v>
      </c>
    </row>
    <row r="1219">
      <c r="A1219" s="40" t="s">
        <v>3405</v>
      </c>
      <c r="B1219" s="40" t="s">
        <v>8818</v>
      </c>
      <c r="C1219" s="41">
        <v>9.0</v>
      </c>
      <c r="D1219" s="41">
        <v>5.0</v>
      </c>
      <c r="E1219" s="42" t="str">
        <f t="shared" si="1"/>
        <v>64.3%</v>
      </c>
    </row>
    <row r="1220">
      <c r="A1220" s="40" t="s">
        <v>3405</v>
      </c>
      <c r="B1220" s="40" t="s">
        <v>8738</v>
      </c>
      <c r="C1220" s="41">
        <v>9.0</v>
      </c>
      <c r="D1220" s="41">
        <v>8.0</v>
      </c>
      <c r="E1220" s="42" t="str">
        <f t="shared" si="1"/>
        <v>52.9%</v>
      </c>
    </row>
    <row r="1221">
      <c r="A1221" s="40" t="s">
        <v>3405</v>
      </c>
      <c r="B1221" s="40" t="s">
        <v>8841</v>
      </c>
      <c r="C1221" s="41">
        <v>9.0</v>
      </c>
      <c r="D1221" s="41">
        <v>8.0</v>
      </c>
      <c r="E1221" s="42" t="str">
        <f t="shared" si="1"/>
        <v>52.9%</v>
      </c>
    </row>
    <row r="1222">
      <c r="A1222" s="40" t="s">
        <v>3405</v>
      </c>
      <c r="B1222" s="40" t="s">
        <v>8988</v>
      </c>
      <c r="C1222" s="41">
        <v>9.0</v>
      </c>
      <c r="D1222" s="41">
        <v>10.0</v>
      </c>
      <c r="E1222" s="42" t="str">
        <f t="shared" si="1"/>
        <v>47.4%</v>
      </c>
    </row>
    <row r="1223">
      <c r="A1223" s="40" t="s">
        <v>3405</v>
      </c>
      <c r="B1223" s="40" t="s">
        <v>8720</v>
      </c>
      <c r="C1223" s="41">
        <v>9.0</v>
      </c>
      <c r="D1223" s="41">
        <v>14.0</v>
      </c>
      <c r="E1223" s="42" t="str">
        <f t="shared" si="1"/>
        <v>39.1%</v>
      </c>
    </row>
    <row r="1224">
      <c r="A1224" s="40" t="s">
        <v>3405</v>
      </c>
      <c r="B1224" s="40" t="s">
        <v>8828</v>
      </c>
      <c r="C1224" s="41">
        <v>9.0</v>
      </c>
      <c r="D1224" s="41">
        <v>21.0</v>
      </c>
      <c r="E1224" s="42" t="str">
        <f t="shared" si="1"/>
        <v>30.0%</v>
      </c>
    </row>
    <row r="1225">
      <c r="A1225" s="40" t="s">
        <v>3405</v>
      </c>
      <c r="B1225" s="40" t="s">
        <v>8707</v>
      </c>
      <c r="C1225" s="41">
        <v>8.0</v>
      </c>
      <c r="D1225" s="41">
        <v>2.0</v>
      </c>
      <c r="E1225" s="42" t="str">
        <f t="shared" si="1"/>
        <v>80.0%</v>
      </c>
    </row>
    <row r="1226">
      <c r="A1226" s="40" t="s">
        <v>3405</v>
      </c>
      <c r="B1226" s="40" t="s">
        <v>9021</v>
      </c>
      <c r="C1226" s="41">
        <v>8.0</v>
      </c>
      <c r="D1226" s="41">
        <v>3.0</v>
      </c>
      <c r="E1226" s="42" t="str">
        <f t="shared" si="1"/>
        <v>72.7%</v>
      </c>
    </row>
    <row r="1227">
      <c r="A1227" s="40" t="s">
        <v>3405</v>
      </c>
      <c r="B1227" s="40" t="s">
        <v>8821</v>
      </c>
      <c r="C1227" s="41">
        <v>8.0</v>
      </c>
      <c r="D1227" s="41">
        <v>4.0</v>
      </c>
      <c r="E1227" s="42" t="str">
        <f t="shared" si="1"/>
        <v>66.7%</v>
      </c>
    </row>
    <row r="1228">
      <c r="A1228" s="40" t="s">
        <v>3405</v>
      </c>
      <c r="B1228" s="40" t="s">
        <v>8839</v>
      </c>
      <c r="C1228" s="41">
        <v>8.0</v>
      </c>
      <c r="D1228" s="41">
        <v>6.0</v>
      </c>
      <c r="E1228" s="42" t="str">
        <f t="shared" si="1"/>
        <v>57.1%</v>
      </c>
    </row>
    <row r="1229">
      <c r="A1229" s="40" t="s">
        <v>3405</v>
      </c>
      <c r="B1229" s="40" t="s">
        <v>8606</v>
      </c>
      <c r="C1229" s="41">
        <v>8.0</v>
      </c>
      <c r="D1229" s="41">
        <v>7.0</v>
      </c>
      <c r="E1229" s="42" t="str">
        <f t="shared" si="1"/>
        <v>53.3%</v>
      </c>
    </row>
    <row r="1230">
      <c r="A1230" s="40" t="s">
        <v>3405</v>
      </c>
      <c r="B1230" s="40" t="s">
        <v>8794</v>
      </c>
      <c r="C1230" s="41">
        <v>8.0</v>
      </c>
      <c r="D1230" s="41">
        <v>10.0</v>
      </c>
      <c r="E1230" s="42" t="str">
        <f t="shared" si="1"/>
        <v>44.4%</v>
      </c>
    </row>
    <row r="1231">
      <c r="A1231" s="40" t="s">
        <v>3405</v>
      </c>
      <c r="B1231" s="40" t="s">
        <v>8485</v>
      </c>
      <c r="C1231" s="41">
        <v>7.0</v>
      </c>
      <c r="D1231" s="41">
        <v>0.0</v>
      </c>
      <c r="E1231" s="42" t="str">
        <f t="shared" si="1"/>
        <v>100.0%</v>
      </c>
    </row>
    <row r="1232">
      <c r="A1232" s="40" t="s">
        <v>3405</v>
      </c>
      <c r="B1232" s="40" t="s">
        <v>8533</v>
      </c>
      <c r="C1232" s="41">
        <v>7.0</v>
      </c>
      <c r="D1232" s="41">
        <v>1.0</v>
      </c>
      <c r="E1232" s="42" t="str">
        <f t="shared" si="1"/>
        <v>87.5%</v>
      </c>
    </row>
    <row r="1233">
      <c r="A1233" s="40" t="s">
        <v>3405</v>
      </c>
      <c r="B1233" s="40" t="s">
        <v>8567</v>
      </c>
      <c r="C1233" s="41">
        <v>7.0</v>
      </c>
      <c r="D1233" s="41">
        <v>3.0</v>
      </c>
      <c r="E1233" s="42" t="str">
        <f t="shared" si="1"/>
        <v>70.0%</v>
      </c>
    </row>
    <row r="1234">
      <c r="A1234" s="40" t="s">
        <v>3405</v>
      </c>
      <c r="B1234" s="40" t="s">
        <v>8621</v>
      </c>
      <c r="C1234" s="41">
        <v>7.0</v>
      </c>
      <c r="D1234" s="41">
        <v>3.0</v>
      </c>
      <c r="E1234" s="42" t="str">
        <f t="shared" si="1"/>
        <v>70.0%</v>
      </c>
    </row>
    <row r="1235">
      <c r="A1235" s="40" t="s">
        <v>3405</v>
      </c>
      <c r="B1235" s="40" t="s">
        <v>9026</v>
      </c>
      <c r="C1235" s="41">
        <v>7.0</v>
      </c>
      <c r="D1235" s="41">
        <v>3.0</v>
      </c>
      <c r="E1235" s="42" t="str">
        <f t="shared" si="1"/>
        <v>70.0%</v>
      </c>
    </row>
    <row r="1236">
      <c r="A1236" s="40" t="s">
        <v>3405</v>
      </c>
      <c r="B1236" s="40" t="s">
        <v>8589</v>
      </c>
      <c r="C1236" s="41">
        <v>7.0</v>
      </c>
      <c r="D1236" s="41">
        <v>4.0</v>
      </c>
      <c r="E1236" s="42" t="str">
        <f t="shared" si="1"/>
        <v>63.6%</v>
      </c>
    </row>
    <row r="1237">
      <c r="A1237" s="40" t="s">
        <v>3405</v>
      </c>
      <c r="B1237" s="40" t="s">
        <v>9008</v>
      </c>
      <c r="C1237" s="41">
        <v>7.0</v>
      </c>
      <c r="D1237" s="41">
        <v>6.0</v>
      </c>
      <c r="E1237" s="42" t="str">
        <f t="shared" si="1"/>
        <v>53.8%</v>
      </c>
    </row>
    <row r="1238">
      <c r="A1238" s="40" t="s">
        <v>3405</v>
      </c>
      <c r="B1238" s="40" t="s">
        <v>8635</v>
      </c>
      <c r="C1238" s="41">
        <v>7.0</v>
      </c>
      <c r="D1238" s="41">
        <v>7.0</v>
      </c>
      <c r="E1238" s="42" t="str">
        <f t="shared" si="1"/>
        <v>50.0%</v>
      </c>
    </row>
    <row r="1239">
      <c r="A1239" s="40" t="s">
        <v>3405</v>
      </c>
      <c r="B1239" s="40" t="s">
        <v>8675</v>
      </c>
      <c r="C1239" s="41">
        <v>7.0</v>
      </c>
      <c r="D1239" s="41">
        <v>8.0</v>
      </c>
      <c r="E1239" s="42" t="str">
        <f t="shared" si="1"/>
        <v>46.7%</v>
      </c>
    </row>
    <row r="1240">
      <c r="A1240" s="40" t="s">
        <v>3405</v>
      </c>
      <c r="B1240" s="40" t="s">
        <v>8964</v>
      </c>
      <c r="C1240" s="41">
        <v>7.0</v>
      </c>
      <c r="D1240" s="41">
        <v>9.0</v>
      </c>
      <c r="E1240" s="42" t="str">
        <f t="shared" si="1"/>
        <v>43.8%</v>
      </c>
    </row>
    <row r="1241">
      <c r="A1241" s="40" t="s">
        <v>3405</v>
      </c>
      <c r="B1241" s="40" t="s">
        <v>9002</v>
      </c>
      <c r="C1241" s="41">
        <v>7.0</v>
      </c>
      <c r="D1241" s="41">
        <v>9.0</v>
      </c>
      <c r="E1241" s="42" t="str">
        <f t="shared" si="1"/>
        <v>43.8%</v>
      </c>
    </row>
    <row r="1242">
      <c r="A1242" s="40" t="s">
        <v>3405</v>
      </c>
      <c r="B1242" s="40" t="s">
        <v>8773</v>
      </c>
      <c r="C1242" s="41">
        <v>7.0</v>
      </c>
      <c r="D1242" s="41">
        <v>19.0</v>
      </c>
      <c r="E1242" s="42" t="str">
        <f t="shared" si="1"/>
        <v>26.9%</v>
      </c>
    </row>
    <row r="1243">
      <c r="A1243" s="40" t="s">
        <v>3405</v>
      </c>
      <c r="B1243" s="40" t="s">
        <v>8682</v>
      </c>
      <c r="C1243" s="41">
        <v>7.0</v>
      </c>
      <c r="D1243" s="41">
        <v>21.0</v>
      </c>
      <c r="E1243" s="42" t="str">
        <f t="shared" si="1"/>
        <v>25.0%</v>
      </c>
    </row>
    <row r="1244">
      <c r="A1244" s="40" t="s">
        <v>3405</v>
      </c>
      <c r="B1244" s="40" t="s">
        <v>8545</v>
      </c>
      <c r="C1244" s="41">
        <v>6.0</v>
      </c>
      <c r="D1244" s="41">
        <v>2.0</v>
      </c>
      <c r="E1244" s="42" t="str">
        <f t="shared" si="1"/>
        <v>75.0%</v>
      </c>
    </row>
    <row r="1245">
      <c r="A1245" s="40" t="s">
        <v>3405</v>
      </c>
      <c r="B1245" s="40" t="s">
        <v>8968</v>
      </c>
      <c r="C1245" s="41">
        <v>6.0</v>
      </c>
      <c r="D1245" s="41">
        <v>2.0</v>
      </c>
      <c r="E1245" s="42" t="str">
        <f t="shared" si="1"/>
        <v>75.0%</v>
      </c>
    </row>
    <row r="1246">
      <c r="A1246" s="40" t="s">
        <v>3405</v>
      </c>
      <c r="B1246" s="40" t="s">
        <v>8520</v>
      </c>
      <c r="C1246" s="41">
        <v>6.0</v>
      </c>
      <c r="D1246" s="41">
        <v>4.0</v>
      </c>
      <c r="E1246" s="42" t="str">
        <f t="shared" si="1"/>
        <v>60.0%</v>
      </c>
    </row>
    <row r="1247">
      <c r="A1247" s="40" t="s">
        <v>3405</v>
      </c>
      <c r="B1247" s="40" t="s">
        <v>8503</v>
      </c>
      <c r="C1247" s="41">
        <v>6.0</v>
      </c>
      <c r="D1247" s="41">
        <v>6.0</v>
      </c>
      <c r="E1247" s="42" t="str">
        <f t="shared" si="1"/>
        <v>50.0%</v>
      </c>
    </row>
    <row r="1248">
      <c r="A1248" s="40" t="s">
        <v>3405</v>
      </c>
      <c r="B1248" s="40" t="s">
        <v>8967</v>
      </c>
      <c r="C1248" s="41">
        <v>6.0</v>
      </c>
      <c r="D1248" s="41">
        <v>6.0</v>
      </c>
      <c r="E1248" s="42" t="str">
        <f t="shared" si="1"/>
        <v>50.0%</v>
      </c>
    </row>
    <row r="1249">
      <c r="A1249" s="40" t="s">
        <v>3405</v>
      </c>
      <c r="B1249" s="40" t="s">
        <v>8521</v>
      </c>
      <c r="C1249" s="41">
        <v>6.0</v>
      </c>
      <c r="D1249" s="41">
        <v>7.0</v>
      </c>
      <c r="E1249" s="42" t="str">
        <f t="shared" si="1"/>
        <v>46.2%</v>
      </c>
    </row>
    <row r="1250">
      <c r="A1250" s="40" t="s">
        <v>3405</v>
      </c>
      <c r="B1250" s="40" t="s">
        <v>8510</v>
      </c>
      <c r="C1250" s="41">
        <v>6.0</v>
      </c>
      <c r="D1250" s="41">
        <v>7.0</v>
      </c>
      <c r="E1250" s="42" t="str">
        <f t="shared" si="1"/>
        <v>46.2%</v>
      </c>
    </row>
    <row r="1251">
      <c r="A1251" s="40" t="s">
        <v>3405</v>
      </c>
      <c r="B1251" s="40" t="s">
        <v>8590</v>
      </c>
      <c r="C1251" s="41">
        <v>6.0</v>
      </c>
      <c r="D1251" s="41">
        <v>7.0</v>
      </c>
      <c r="E1251" s="42" t="str">
        <f t="shared" si="1"/>
        <v>46.2%</v>
      </c>
    </row>
    <row r="1252">
      <c r="A1252" s="40" t="s">
        <v>3405</v>
      </c>
      <c r="B1252" s="40" t="s">
        <v>8500</v>
      </c>
      <c r="C1252" s="41">
        <v>6.0</v>
      </c>
      <c r="D1252" s="41">
        <v>8.0</v>
      </c>
      <c r="E1252" s="42" t="str">
        <f t="shared" si="1"/>
        <v>42.9%</v>
      </c>
    </row>
    <row r="1253">
      <c r="A1253" s="40" t="s">
        <v>3405</v>
      </c>
      <c r="B1253" s="40" t="s">
        <v>8505</v>
      </c>
      <c r="C1253" s="41">
        <v>6.0</v>
      </c>
      <c r="D1253" s="41">
        <v>8.0</v>
      </c>
      <c r="E1253" s="42" t="str">
        <f t="shared" si="1"/>
        <v>42.9%</v>
      </c>
    </row>
    <row r="1254">
      <c r="A1254" s="40" t="s">
        <v>3405</v>
      </c>
      <c r="B1254" s="40" t="s">
        <v>9027</v>
      </c>
      <c r="C1254" s="41">
        <v>6.0</v>
      </c>
      <c r="D1254" s="41">
        <v>9.0</v>
      </c>
      <c r="E1254" s="42" t="str">
        <f t="shared" si="1"/>
        <v>40.0%</v>
      </c>
    </row>
    <row r="1255">
      <c r="A1255" s="40" t="s">
        <v>3405</v>
      </c>
      <c r="B1255" s="40" t="s">
        <v>8793</v>
      </c>
      <c r="C1255" s="41">
        <v>6.0</v>
      </c>
      <c r="D1255" s="41">
        <v>26.0</v>
      </c>
      <c r="E1255" s="42" t="str">
        <f t="shared" si="1"/>
        <v>18.8%</v>
      </c>
    </row>
    <row r="1256">
      <c r="A1256" s="40" t="s">
        <v>3405</v>
      </c>
      <c r="B1256" s="40" t="s">
        <v>8791</v>
      </c>
      <c r="C1256" s="41">
        <v>5.0</v>
      </c>
      <c r="D1256" s="41">
        <v>1.0</v>
      </c>
      <c r="E1256" s="42" t="str">
        <f t="shared" si="1"/>
        <v>83.3%</v>
      </c>
    </row>
    <row r="1257">
      <c r="A1257" s="40" t="s">
        <v>3405</v>
      </c>
      <c r="B1257" s="40" t="s">
        <v>8599</v>
      </c>
      <c r="C1257" s="41">
        <v>5.0</v>
      </c>
      <c r="D1257" s="41">
        <v>2.0</v>
      </c>
      <c r="E1257" s="42" t="str">
        <f t="shared" si="1"/>
        <v>71.4%</v>
      </c>
    </row>
    <row r="1258">
      <c r="A1258" s="40" t="s">
        <v>3405</v>
      </c>
      <c r="B1258" s="40" t="s">
        <v>8555</v>
      </c>
      <c r="C1258" s="41">
        <v>5.0</v>
      </c>
      <c r="D1258" s="41">
        <v>3.0</v>
      </c>
      <c r="E1258" s="42" t="str">
        <f t="shared" si="1"/>
        <v>62.5%</v>
      </c>
    </row>
    <row r="1259">
      <c r="A1259" s="40" t="s">
        <v>3405</v>
      </c>
      <c r="B1259" s="40" t="s">
        <v>8553</v>
      </c>
      <c r="C1259" s="41">
        <v>5.0</v>
      </c>
      <c r="D1259" s="41">
        <v>3.0</v>
      </c>
      <c r="E1259" s="42" t="str">
        <f t="shared" si="1"/>
        <v>62.5%</v>
      </c>
    </row>
    <row r="1260">
      <c r="A1260" s="40" t="s">
        <v>3405</v>
      </c>
      <c r="B1260" s="40" t="s">
        <v>9028</v>
      </c>
      <c r="C1260" s="41">
        <v>5.0</v>
      </c>
      <c r="D1260" s="41">
        <v>3.0</v>
      </c>
      <c r="E1260" s="42" t="str">
        <f t="shared" si="1"/>
        <v>62.5%</v>
      </c>
    </row>
    <row r="1261">
      <c r="A1261" s="40" t="s">
        <v>3405</v>
      </c>
      <c r="B1261" s="40" t="s">
        <v>9029</v>
      </c>
      <c r="C1261" s="41">
        <v>5.0</v>
      </c>
      <c r="D1261" s="41">
        <v>3.0</v>
      </c>
      <c r="E1261" s="42" t="str">
        <f t="shared" si="1"/>
        <v>62.5%</v>
      </c>
    </row>
    <row r="1262">
      <c r="A1262" s="40" t="s">
        <v>3405</v>
      </c>
      <c r="B1262" s="40" t="s">
        <v>8999</v>
      </c>
      <c r="C1262" s="41">
        <v>5.0</v>
      </c>
      <c r="D1262" s="41">
        <v>3.0</v>
      </c>
      <c r="E1262" s="42" t="str">
        <f t="shared" si="1"/>
        <v>62.5%</v>
      </c>
    </row>
    <row r="1263">
      <c r="A1263" s="40" t="s">
        <v>3405</v>
      </c>
      <c r="B1263" s="40" t="s">
        <v>8585</v>
      </c>
      <c r="C1263" s="41">
        <v>5.0</v>
      </c>
      <c r="D1263" s="41">
        <v>5.0</v>
      </c>
      <c r="E1263" s="42" t="str">
        <f t="shared" si="1"/>
        <v>50.0%</v>
      </c>
    </row>
    <row r="1264">
      <c r="A1264" s="40" t="s">
        <v>3405</v>
      </c>
      <c r="B1264" s="40" t="s">
        <v>8824</v>
      </c>
      <c r="C1264" s="41">
        <v>5.0</v>
      </c>
      <c r="D1264" s="41">
        <v>5.0</v>
      </c>
      <c r="E1264" s="42" t="str">
        <f t="shared" si="1"/>
        <v>50.0%</v>
      </c>
    </row>
    <row r="1265">
      <c r="A1265" s="40" t="s">
        <v>3405</v>
      </c>
      <c r="B1265" s="40" t="s">
        <v>8969</v>
      </c>
      <c r="C1265" s="41">
        <v>5.0</v>
      </c>
      <c r="D1265" s="41">
        <v>5.0</v>
      </c>
      <c r="E1265" s="42" t="str">
        <f t="shared" si="1"/>
        <v>50.0%</v>
      </c>
    </row>
    <row r="1266">
      <c r="A1266" s="40" t="s">
        <v>3405</v>
      </c>
      <c r="B1266" s="40" t="s">
        <v>8826</v>
      </c>
      <c r="C1266" s="41">
        <v>5.0</v>
      </c>
      <c r="D1266" s="41">
        <v>6.0</v>
      </c>
      <c r="E1266" s="42" t="str">
        <f t="shared" si="1"/>
        <v>45.5%</v>
      </c>
    </row>
    <row r="1267">
      <c r="A1267" s="40" t="s">
        <v>3405</v>
      </c>
      <c r="B1267" s="40" t="s">
        <v>9000</v>
      </c>
      <c r="C1267" s="41">
        <v>5.0</v>
      </c>
      <c r="D1267" s="41">
        <v>6.0</v>
      </c>
      <c r="E1267" s="42" t="str">
        <f t="shared" si="1"/>
        <v>45.5%</v>
      </c>
    </row>
    <row r="1268">
      <c r="A1268" s="40" t="s">
        <v>3405</v>
      </c>
      <c r="B1268" s="40" t="s">
        <v>8950</v>
      </c>
      <c r="C1268" s="41">
        <v>5.0</v>
      </c>
      <c r="D1268" s="41">
        <v>7.0</v>
      </c>
      <c r="E1268" s="42" t="str">
        <f t="shared" si="1"/>
        <v>41.7%</v>
      </c>
    </row>
    <row r="1269">
      <c r="A1269" s="40" t="s">
        <v>3405</v>
      </c>
      <c r="B1269" s="40" t="s">
        <v>8977</v>
      </c>
      <c r="C1269" s="41">
        <v>5.0</v>
      </c>
      <c r="D1269" s="41">
        <v>7.0</v>
      </c>
      <c r="E1269" s="42" t="str">
        <f t="shared" si="1"/>
        <v>41.7%</v>
      </c>
    </row>
    <row r="1270">
      <c r="A1270" s="40" t="s">
        <v>3405</v>
      </c>
      <c r="B1270" s="40" t="s">
        <v>9030</v>
      </c>
      <c r="C1270" s="41">
        <v>5.0</v>
      </c>
      <c r="D1270" s="41">
        <v>9.0</v>
      </c>
      <c r="E1270" s="42" t="str">
        <f t="shared" si="1"/>
        <v>35.7%</v>
      </c>
    </row>
    <row r="1271">
      <c r="A1271" s="40" t="s">
        <v>3405</v>
      </c>
      <c r="B1271" s="40" t="s">
        <v>8976</v>
      </c>
      <c r="C1271" s="41">
        <v>5.0</v>
      </c>
      <c r="D1271" s="41">
        <v>15.0</v>
      </c>
      <c r="E1271" s="42" t="str">
        <f t="shared" si="1"/>
        <v>25.0%</v>
      </c>
    </row>
    <row r="1272">
      <c r="A1272" s="40" t="s">
        <v>3405</v>
      </c>
      <c r="B1272" s="40" t="s">
        <v>8974</v>
      </c>
      <c r="C1272" s="41">
        <v>4.0</v>
      </c>
      <c r="D1272" s="41">
        <v>1.0</v>
      </c>
      <c r="E1272" s="42" t="str">
        <f t="shared" si="1"/>
        <v>80.0%</v>
      </c>
    </row>
    <row r="1273">
      <c r="A1273" s="40" t="s">
        <v>3405</v>
      </c>
      <c r="B1273" s="40" t="s">
        <v>8683</v>
      </c>
      <c r="C1273" s="41">
        <v>4.0</v>
      </c>
      <c r="D1273" s="41">
        <v>2.0</v>
      </c>
      <c r="E1273" s="42" t="str">
        <f t="shared" si="1"/>
        <v>66.7%</v>
      </c>
    </row>
    <row r="1274">
      <c r="A1274" s="40" t="s">
        <v>3405</v>
      </c>
      <c r="B1274" s="40" t="s">
        <v>9031</v>
      </c>
      <c r="C1274" s="41">
        <v>4.0</v>
      </c>
      <c r="D1274" s="41">
        <v>2.0</v>
      </c>
      <c r="E1274" s="42" t="str">
        <f t="shared" si="1"/>
        <v>66.7%</v>
      </c>
    </row>
    <row r="1275">
      <c r="A1275" s="40" t="s">
        <v>3405</v>
      </c>
      <c r="B1275" s="40" t="s">
        <v>8949</v>
      </c>
      <c r="C1275" s="41">
        <v>4.0</v>
      </c>
      <c r="D1275" s="41">
        <v>3.0</v>
      </c>
      <c r="E1275" s="42" t="str">
        <f t="shared" si="1"/>
        <v>57.1%</v>
      </c>
    </row>
    <row r="1276">
      <c r="A1276" s="40" t="s">
        <v>3405</v>
      </c>
      <c r="B1276" s="40" t="s">
        <v>9032</v>
      </c>
      <c r="C1276" s="41">
        <v>4.0</v>
      </c>
      <c r="D1276" s="41">
        <v>3.0</v>
      </c>
      <c r="E1276" s="42" t="str">
        <f t="shared" si="1"/>
        <v>57.1%</v>
      </c>
    </row>
    <row r="1277">
      <c r="A1277" s="40" t="s">
        <v>3405</v>
      </c>
      <c r="B1277" s="40" t="s">
        <v>8638</v>
      </c>
      <c r="C1277" s="41">
        <v>4.0</v>
      </c>
      <c r="D1277" s="41">
        <v>4.0</v>
      </c>
      <c r="E1277" s="42" t="str">
        <f t="shared" si="1"/>
        <v>50.0%</v>
      </c>
    </row>
    <row r="1278">
      <c r="A1278" s="40" t="s">
        <v>3405</v>
      </c>
      <c r="B1278" s="40" t="s">
        <v>8564</v>
      </c>
      <c r="C1278" s="41">
        <v>4.0</v>
      </c>
      <c r="D1278" s="41">
        <v>5.0</v>
      </c>
      <c r="E1278" s="42" t="str">
        <f t="shared" si="1"/>
        <v>44.4%</v>
      </c>
    </row>
    <row r="1279">
      <c r="A1279" s="40" t="s">
        <v>3405</v>
      </c>
      <c r="B1279" s="40" t="s">
        <v>8687</v>
      </c>
      <c r="C1279" s="41">
        <v>4.0</v>
      </c>
      <c r="D1279" s="41">
        <v>5.0</v>
      </c>
      <c r="E1279" s="42" t="str">
        <f t="shared" si="1"/>
        <v>44.4%</v>
      </c>
    </row>
    <row r="1280">
      <c r="A1280" s="40" t="s">
        <v>3405</v>
      </c>
      <c r="B1280" s="40" t="s">
        <v>8946</v>
      </c>
      <c r="C1280" s="41">
        <v>4.0</v>
      </c>
      <c r="D1280" s="41">
        <v>5.0</v>
      </c>
      <c r="E1280" s="42" t="str">
        <f t="shared" si="1"/>
        <v>44.4%</v>
      </c>
    </row>
    <row r="1281">
      <c r="A1281" s="40" t="s">
        <v>3405</v>
      </c>
      <c r="B1281" s="40" t="s">
        <v>9033</v>
      </c>
      <c r="C1281" s="41">
        <v>4.0</v>
      </c>
      <c r="D1281" s="41">
        <v>5.0</v>
      </c>
      <c r="E1281" s="42" t="str">
        <f t="shared" si="1"/>
        <v>44.4%</v>
      </c>
    </row>
    <row r="1282">
      <c r="A1282" s="40" t="s">
        <v>3405</v>
      </c>
      <c r="B1282" s="40" t="s">
        <v>8876</v>
      </c>
      <c r="C1282" s="41">
        <v>4.0</v>
      </c>
      <c r="D1282" s="41">
        <v>6.0</v>
      </c>
      <c r="E1282" s="42" t="str">
        <f t="shared" si="1"/>
        <v>40.0%</v>
      </c>
    </row>
    <row r="1283">
      <c r="A1283" s="40" t="s">
        <v>3405</v>
      </c>
      <c r="B1283" s="40" t="s">
        <v>8652</v>
      </c>
      <c r="C1283" s="41">
        <v>4.0</v>
      </c>
      <c r="D1283" s="41">
        <v>7.0</v>
      </c>
      <c r="E1283" s="42" t="str">
        <f t="shared" si="1"/>
        <v>36.4%</v>
      </c>
    </row>
    <row r="1284">
      <c r="A1284" s="40" t="s">
        <v>3405</v>
      </c>
      <c r="B1284" s="40" t="s">
        <v>8507</v>
      </c>
      <c r="C1284" s="41">
        <v>4.0</v>
      </c>
      <c r="D1284" s="41">
        <v>7.0</v>
      </c>
      <c r="E1284" s="42" t="str">
        <f t="shared" si="1"/>
        <v>36.4%</v>
      </c>
    </row>
    <row r="1285">
      <c r="A1285" s="40" t="s">
        <v>3405</v>
      </c>
      <c r="B1285" s="40" t="s">
        <v>8961</v>
      </c>
      <c r="C1285" s="41">
        <v>4.0</v>
      </c>
      <c r="D1285" s="41">
        <v>7.0</v>
      </c>
      <c r="E1285" s="42" t="str">
        <f t="shared" si="1"/>
        <v>36.4%</v>
      </c>
    </row>
    <row r="1286">
      <c r="A1286" s="40" t="s">
        <v>3405</v>
      </c>
      <c r="B1286" s="40" t="s">
        <v>9017</v>
      </c>
      <c r="C1286" s="41">
        <v>4.0</v>
      </c>
      <c r="D1286" s="41">
        <v>14.0</v>
      </c>
      <c r="E1286" s="42" t="str">
        <f t="shared" si="1"/>
        <v>22.2%</v>
      </c>
    </row>
    <row r="1287">
      <c r="A1287" s="40" t="s">
        <v>3405</v>
      </c>
      <c r="B1287" s="40" t="s">
        <v>8595</v>
      </c>
      <c r="C1287" s="41">
        <v>3.0</v>
      </c>
      <c r="D1287" s="41">
        <v>1.0</v>
      </c>
      <c r="E1287" s="42" t="str">
        <f t="shared" si="1"/>
        <v>75.0%</v>
      </c>
    </row>
    <row r="1288">
      <c r="A1288" s="40" t="s">
        <v>3405</v>
      </c>
      <c r="B1288" s="40" t="s">
        <v>8894</v>
      </c>
      <c r="C1288" s="41">
        <v>3.0</v>
      </c>
      <c r="D1288" s="41">
        <v>1.0</v>
      </c>
      <c r="E1288" s="42" t="str">
        <f t="shared" si="1"/>
        <v>75.0%</v>
      </c>
    </row>
    <row r="1289">
      <c r="A1289" s="40" t="s">
        <v>3405</v>
      </c>
      <c r="B1289" s="40" t="s">
        <v>9034</v>
      </c>
      <c r="C1289" s="41">
        <v>3.0</v>
      </c>
      <c r="D1289" s="41">
        <v>1.0</v>
      </c>
      <c r="E1289" s="42" t="str">
        <f t="shared" si="1"/>
        <v>75.0%</v>
      </c>
    </row>
    <row r="1290">
      <c r="A1290" s="40" t="s">
        <v>3405</v>
      </c>
      <c r="B1290" s="40" t="s">
        <v>8673</v>
      </c>
      <c r="C1290" s="41">
        <v>3.0</v>
      </c>
      <c r="D1290" s="41">
        <v>2.0</v>
      </c>
      <c r="E1290" s="42" t="str">
        <f t="shared" si="1"/>
        <v>60.0%</v>
      </c>
    </row>
    <row r="1291">
      <c r="A1291" s="40" t="s">
        <v>3405</v>
      </c>
      <c r="B1291" s="40" t="s">
        <v>9035</v>
      </c>
      <c r="C1291" s="41">
        <v>3.0</v>
      </c>
      <c r="D1291" s="41">
        <v>2.0</v>
      </c>
      <c r="E1291" s="42" t="str">
        <f t="shared" si="1"/>
        <v>60.0%</v>
      </c>
    </row>
    <row r="1292">
      <c r="A1292" s="40" t="s">
        <v>3405</v>
      </c>
      <c r="B1292" s="40" t="s">
        <v>9020</v>
      </c>
      <c r="C1292" s="41">
        <v>3.0</v>
      </c>
      <c r="D1292" s="41">
        <v>4.0</v>
      </c>
      <c r="E1292" s="42" t="str">
        <f t="shared" si="1"/>
        <v>42.9%</v>
      </c>
    </row>
    <row r="1293">
      <c r="A1293" s="40" t="s">
        <v>3405</v>
      </c>
      <c r="B1293" s="40" t="s">
        <v>9036</v>
      </c>
      <c r="C1293" s="41">
        <v>3.0</v>
      </c>
      <c r="D1293" s="41">
        <v>5.0</v>
      </c>
      <c r="E1293" s="42" t="str">
        <f t="shared" si="1"/>
        <v>37.5%</v>
      </c>
    </row>
    <row r="1294">
      <c r="A1294" s="40" t="s">
        <v>3405</v>
      </c>
      <c r="B1294" s="40" t="s">
        <v>9037</v>
      </c>
      <c r="C1294" s="41">
        <v>3.0</v>
      </c>
      <c r="D1294" s="41">
        <v>5.0</v>
      </c>
      <c r="E1294" s="42" t="str">
        <f t="shared" si="1"/>
        <v>37.5%</v>
      </c>
    </row>
    <row r="1295">
      <c r="A1295" s="40" t="s">
        <v>3405</v>
      </c>
      <c r="B1295" s="40" t="s">
        <v>8978</v>
      </c>
      <c r="C1295" s="41">
        <v>3.0</v>
      </c>
      <c r="D1295" s="41">
        <v>5.0</v>
      </c>
      <c r="E1295" s="42" t="str">
        <f t="shared" si="1"/>
        <v>37.5%</v>
      </c>
    </row>
    <row r="1296">
      <c r="A1296" s="40" t="s">
        <v>3405</v>
      </c>
      <c r="B1296" s="40" t="s">
        <v>8948</v>
      </c>
      <c r="C1296" s="41">
        <v>3.0</v>
      </c>
      <c r="D1296" s="41">
        <v>6.0</v>
      </c>
      <c r="E1296" s="42" t="str">
        <f t="shared" si="1"/>
        <v>33.3%</v>
      </c>
    </row>
    <row r="1297">
      <c r="A1297" s="40" t="s">
        <v>3405</v>
      </c>
      <c r="B1297" s="40" t="s">
        <v>9038</v>
      </c>
      <c r="C1297" s="41">
        <v>3.0</v>
      </c>
      <c r="D1297" s="41">
        <v>10.0</v>
      </c>
      <c r="E1297" s="42" t="str">
        <f t="shared" si="1"/>
        <v>23.1%</v>
      </c>
    </row>
    <row r="1298">
      <c r="A1298" s="40" t="s">
        <v>3405</v>
      </c>
      <c r="B1298" s="40" t="s">
        <v>8722</v>
      </c>
      <c r="C1298" s="41">
        <v>3.0</v>
      </c>
      <c r="D1298" s="41">
        <v>16.0</v>
      </c>
      <c r="E1298" s="42" t="str">
        <f t="shared" si="1"/>
        <v>15.8%</v>
      </c>
    </row>
    <row r="1299">
      <c r="A1299" s="40" t="s">
        <v>3405</v>
      </c>
      <c r="B1299" s="40" t="s">
        <v>9039</v>
      </c>
      <c r="C1299" s="41">
        <v>3.0</v>
      </c>
      <c r="D1299" s="41">
        <v>19.0</v>
      </c>
      <c r="E1299" s="42" t="str">
        <f t="shared" si="1"/>
        <v>13.6%</v>
      </c>
    </row>
    <row r="1300">
      <c r="A1300" s="40" t="s">
        <v>3405</v>
      </c>
      <c r="B1300" s="40" t="s">
        <v>8609</v>
      </c>
      <c r="C1300" s="41">
        <v>2.0</v>
      </c>
      <c r="D1300" s="41">
        <v>0.0</v>
      </c>
      <c r="E1300" s="42" t="str">
        <f t="shared" si="1"/>
        <v>100.0%</v>
      </c>
    </row>
    <row r="1301">
      <c r="A1301" s="40" t="s">
        <v>3405</v>
      </c>
      <c r="B1301" s="40" t="s">
        <v>8544</v>
      </c>
      <c r="C1301" s="41">
        <v>2.0</v>
      </c>
      <c r="D1301" s="41">
        <v>0.0</v>
      </c>
      <c r="E1301" s="42" t="str">
        <f t="shared" si="1"/>
        <v>100.0%</v>
      </c>
    </row>
    <row r="1302">
      <c r="A1302" s="40" t="s">
        <v>3405</v>
      </c>
      <c r="B1302" s="40" t="s">
        <v>8716</v>
      </c>
      <c r="C1302" s="41">
        <v>2.0</v>
      </c>
      <c r="D1302" s="41">
        <v>0.0</v>
      </c>
      <c r="E1302" s="42" t="str">
        <f t="shared" si="1"/>
        <v>100.0%</v>
      </c>
    </row>
    <row r="1303">
      <c r="A1303" s="40" t="s">
        <v>3405</v>
      </c>
      <c r="B1303" s="40" t="s">
        <v>9040</v>
      </c>
      <c r="C1303" s="41">
        <v>2.0</v>
      </c>
      <c r="D1303" s="41">
        <v>0.0</v>
      </c>
      <c r="E1303" s="42" t="str">
        <f t="shared" si="1"/>
        <v>100.0%</v>
      </c>
    </row>
    <row r="1304">
      <c r="A1304" s="40" t="s">
        <v>3405</v>
      </c>
      <c r="B1304" s="40" t="s">
        <v>8605</v>
      </c>
      <c r="C1304" s="41">
        <v>2.0</v>
      </c>
      <c r="D1304" s="41">
        <v>1.0</v>
      </c>
      <c r="E1304" s="42" t="str">
        <f t="shared" si="1"/>
        <v>66.7%</v>
      </c>
    </row>
    <row r="1305">
      <c r="A1305" s="40" t="s">
        <v>3405</v>
      </c>
      <c r="B1305" s="40" t="s">
        <v>8681</v>
      </c>
      <c r="C1305" s="41">
        <v>2.0</v>
      </c>
      <c r="D1305" s="41">
        <v>1.0</v>
      </c>
      <c r="E1305" s="42" t="str">
        <f t="shared" si="1"/>
        <v>66.7%</v>
      </c>
    </row>
    <row r="1306">
      <c r="A1306" s="40" t="s">
        <v>3405</v>
      </c>
      <c r="B1306" s="40" t="s">
        <v>8504</v>
      </c>
      <c r="C1306" s="41">
        <v>2.0</v>
      </c>
      <c r="D1306" s="41">
        <v>1.0</v>
      </c>
      <c r="E1306" s="42" t="str">
        <f t="shared" si="1"/>
        <v>66.7%</v>
      </c>
    </row>
    <row r="1307">
      <c r="A1307" s="40" t="s">
        <v>3405</v>
      </c>
      <c r="B1307" s="40" t="s">
        <v>8805</v>
      </c>
      <c r="C1307" s="41">
        <v>2.0</v>
      </c>
      <c r="D1307" s="41">
        <v>1.0</v>
      </c>
      <c r="E1307" s="42" t="str">
        <f t="shared" si="1"/>
        <v>66.7%</v>
      </c>
    </row>
    <row r="1308">
      <c r="A1308" s="40" t="s">
        <v>3405</v>
      </c>
      <c r="B1308" s="40" t="s">
        <v>8858</v>
      </c>
      <c r="C1308" s="41">
        <v>2.0</v>
      </c>
      <c r="D1308" s="41">
        <v>1.0</v>
      </c>
      <c r="E1308" s="42" t="str">
        <f t="shared" si="1"/>
        <v>66.7%</v>
      </c>
    </row>
    <row r="1309">
      <c r="A1309" s="40" t="s">
        <v>3405</v>
      </c>
      <c r="B1309" s="40" t="s">
        <v>8836</v>
      </c>
      <c r="C1309" s="41">
        <v>2.0</v>
      </c>
      <c r="D1309" s="41">
        <v>1.0</v>
      </c>
      <c r="E1309" s="42" t="str">
        <f t="shared" si="1"/>
        <v>66.7%</v>
      </c>
    </row>
    <row r="1310">
      <c r="A1310" s="40" t="s">
        <v>3405</v>
      </c>
      <c r="B1310" s="40" t="s">
        <v>8990</v>
      </c>
      <c r="C1310" s="41">
        <v>2.0</v>
      </c>
      <c r="D1310" s="41">
        <v>1.0</v>
      </c>
      <c r="E1310" s="42" t="str">
        <f t="shared" si="1"/>
        <v>66.7%</v>
      </c>
    </row>
    <row r="1311">
      <c r="A1311" s="40" t="s">
        <v>3405</v>
      </c>
      <c r="B1311" s="40" t="s">
        <v>8970</v>
      </c>
      <c r="C1311" s="41">
        <v>2.0</v>
      </c>
      <c r="D1311" s="41">
        <v>1.0</v>
      </c>
      <c r="E1311" s="42" t="str">
        <f t="shared" si="1"/>
        <v>66.7%</v>
      </c>
    </row>
    <row r="1312">
      <c r="A1312" s="40" t="s">
        <v>3405</v>
      </c>
      <c r="B1312" s="40" t="s">
        <v>8986</v>
      </c>
      <c r="C1312" s="41">
        <v>2.0</v>
      </c>
      <c r="D1312" s="41">
        <v>1.0</v>
      </c>
      <c r="E1312" s="42" t="str">
        <f t="shared" si="1"/>
        <v>66.7%</v>
      </c>
    </row>
    <row r="1313">
      <c r="A1313" s="40" t="s">
        <v>3405</v>
      </c>
      <c r="B1313" s="40" t="s">
        <v>9041</v>
      </c>
      <c r="C1313" s="41">
        <v>2.0</v>
      </c>
      <c r="D1313" s="41">
        <v>1.0</v>
      </c>
      <c r="E1313" s="42" t="str">
        <f t="shared" si="1"/>
        <v>66.7%</v>
      </c>
    </row>
    <row r="1314">
      <c r="A1314" s="40" t="s">
        <v>3405</v>
      </c>
      <c r="B1314" s="40" t="s">
        <v>9042</v>
      </c>
      <c r="C1314" s="41">
        <v>2.0</v>
      </c>
      <c r="D1314" s="41">
        <v>1.0</v>
      </c>
      <c r="E1314" s="42" t="str">
        <f t="shared" si="1"/>
        <v>66.7%</v>
      </c>
    </row>
    <row r="1315">
      <c r="A1315" s="40" t="s">
        <v>3405</v>
      </c>
      <c r="B1315" s="40" t="s">
        <v>8514</v>
      </c>
      <c r="C1315" s="41">
        <v>2.0</v>
      </c>
      <c r="D1315" s="41">
        <v>2.0</v>
      </c>
      <c r="E1315" s="42" t="str">
        <f t="shared" si="1"/>
        <v>50.0%</v>
      </c>
    </row>
    <row r="1316">
      <c r="A1316" s="40" t="s">
        <v>3405</v>
      </c>
      <c r="B1316" s="40" t="s">
        <v>8726</v>
      </c>
      <c r="C1316" s="41">
        <v>2.0</v>
      </c>
      <c r="D1316" s="41">
        <v>2.0</v>
      </c>
      <c r="E1316" s="42" t="str">
        <f t="shared" si="1"/>
        <v>50.0%</v>
      </c>
    </row>
    <row r="1317">
      <c r="A1317" s="40" t="s">
        <v>3405</v>
      </c>
      <c r="B1317" s="40" t="s">
        <v>8495</v>
      </c>
      <c r="C1317" s="41">
        <v>2.0</v>
      </c>
      <c r="D1317" s="41">
        <v>3.0</v>
      </c>
      <c r="E1317" s="42" t="str">
        <f t="shared" si="1"/>
        <v>40.0%</v>
      </c>
    </row>
    <row r="1318">
      <c r="A1318" s="40" t="s">
        <v>3405</v>
      </c>
      <c r="B1318" s="40" t="s">
        <v>8951</v>
      </c>
      <c r="C1318" s="41">
        <v>2.0</v>
      </c>
      <c r="D1318" s="41">
        <v>3.0</v>
      </c>
      <c r="E1318" s="42" t="str">
        <f t="shared" si="1"/>
        <v>40.0%</v>
      </c>
    </row>
    <row r="1319">
      <c r="A1319" s="40" t="s">
        <v>3405</v>
      </c>
      <c r="B1319" s="40" t="s">
        <v>9043</v>
      </c>
      <c r="C1319" s="41">
        <v>2.0</v>
      </c>
      <c r="D1319" s="41">
        <v>4.0</v>
      </c>
      <c r="E1319" s="42" t="str">
        <f t="shared" si="1"/>
        <v>33.3%</v>
      </c>
    </row>
    <row r="1320">
      <c r="A1320" s="40" t="s">
        <v>3405</v>
      </c>
      <c r="B1320" s="40" t="s">
        <v>8729</v>
      </c>
      <c r="C1320" s="41">
        <v>2.0</v>
      </c>
      <c r="D1320" s="41">
        <v>5.0</v>
      </c>
      <c r="E1320" s="42" t="str">
        <f t="shared" si="1"/>
        <v>28.6%</v>
      </c>
    </row>
    <row r="1321">
      <c r="A1321" s="40" t="s">
        <v>3405</v>
      </c>
      <c r="B1321" s="40" t="s">
        <v>8993</v>
      </c>
      <c r="C1321" s="41">
        <v>2.0</v>
      </c>
      <c r="D1321" s="41">
        <v>6.0</v>
      </c>
      <c r="E1321" s="42" t="str">
        <f t="shared" si="1"/>
        <v>25.0%</v>
      </c>
    </row>
    <row r="1322">
      <c r="A1322" s="40" t="s">
        <v>3405</v>
      </c>
      <c r="B1322" s="40" t="s">
        <v>9044</v>
      </c>
      <c r="C1322" s="41">
        <v>2.0</v>
      </c>
      <c r="D1322" s="41">
        <v>8.0</v>
      </c>
      <c r="E1322" s="42" t="str">
        <f t="shared" si="1"/>
        <v>20.0%</v>
      </c>
    </row>
    <row r="1323">
      <c r="A1323" s="40" t="s">
        <v>3405</v>
      </c>
      <c r="B1323" s="40" t="s">
        <v>9045</v>
      </c>
      <c r="C1323" s="41">
        <v>2.0</v>
      </c>
      <c r="D1323" s="41">
        <v>15.0</v>
      </c>
      <c r="E1323" s="42" t="str">
        <f t="shared" si="1"/>
        <v>11.8%</v>
      </c>
    </row>
    <row r="1324">
      <c r="A1324" s="40" t="s">
        <v>3405</v>
      </c>
      <c r="B1324" s="40" t="s">
        <v>8979</v>
      </c>
      <c r="C1324" s="41">
        <v>2.0</v>
      </c>
      <c r="D1324" s="41">
        <v>22.0</v>
      </c>
      <c r="E1324" s="42" t="str">
        <f t="shared" si="1"/>
        <v>8.3%</v>
      </c>
    </row>
    <row r="1325">
      <c r="A1325" s="40" t="s">
        <v>3405</v>
      </c>
      <c r="B1325" s="40" t="s">
        <v>8668</v>
      </c>
      <c r="C1325" s="41">
        <v>1.0</v>
      </c>
      <c r="D1325" s="41">
        <v>0.0</v>
      </c>
      <c r="E1325" s="42" t="str">
        <f t="shared" si="1"/>
        <v>100.0%</v>
      </c>
    </row>
    <row r="1326">
      <c r="A1326" s="40" t="s">
        <v>3405</v>
      </c>
      <c r="B1326" s="40" t="s">
        <v>8650</v>
      </c>
      <c r="C1326" s="41">
        <v>1.0</v>
      </c>
      <c r="D1326" s="41">
        <v>0.0</v>
      </c>
      <c r="E1326" s="42" t="str">
        <f t="shared" si="1"/>
        <v>100.0%</v>
      </c>
    </row>
    <row r="1327">
      <c r="A1327" s="40" t="s">
        <v>3405</v>
      </c>
      <c r="B1327" s="40" t="s">
        <v>8658</v>
      </c>
      <c r="C1327" s="41">
        <v>1.0</v>
      </c>
      <c r="D1327" s="41">
        <v>0.0</v>
      </c>
      <c r="E1327" s="42" t="str">
        <f t="shared" si="1"/>
        <v>100.0%</v>
      </c>
    </row>
    <row r="1328">
      <c r="A1328" s="40" t="s">
        <v>3405</v>
      </c>
      <c r="B1328" s="40" t="s">
        <v>8776</v>
      </c>
      <c r="C1328" s="41">
        <v>1.0</v>
      </c>
      <c r="D1328" s="41">
        <v>0.0</v>
      </c>
      <c r="E1328" s="42" t="str">
        <f t="shared" si="1"/>
        <v>100.0%</v>
      </c>
    </row>
    <row r="1329">
      <c r="A1329" s="40" t="s">
        <v>3405</v>
      </c>
      <c r="B1329" s="40" t="s">
        <v>8840</v>
      </c>
      <c r="C1329" s="41">
        <v>1.0</v>
      </c>
      <c r="D1329" s="41">
        <v>0.0</v>
      </c>
      <c r="E1329" s="42" t="str">
        <f t="shared" si="1"/>
        <v>100.0%</v>
      </c>
    </row>
    <row r="1330">
      <c r="A1330" s="40" t="s">
        <v>3405</v>
      </c>
      <c r="B1330" s="40" t="s">
        <v>8885</v>
      </c>
      <c r="C1330" s="41">
        <v>1.0</v>
      </c>
      <c r="D1330" s="41">
        <v>0.0</v>
      </c>
      <c r="E1330" s="42" t="str">
        <f t="shared" si="1"/>
        <v>100.0%</v>
      </c>
    </row>
    <row r="1331">
      <c r="A1331" s="40" t="s">
        <v>3405</v>
      </c>
      <c r="B1331" s="40" t="s">
        <v>9046</v>
      </c>
      <c r="C1331" s="41">
        <v>1.0</v>
      </c>
      <c r="D1331" s="41">
        <v>0.0</v>
      </c>
      <c r="E1331" s="42" t="str">
        <f t="shared" si="1"/>
        <v>100.0%</v>
      </c>
    </row>
    <row r="1332">
      <c r="A1332" s="40" t="s">
        <v>3405</v>
      </c>
      <c r="B1332" s="40" t="s">
        <v>8987</v>
      </c>
      <c r="C1332" s="41">
        <v>1.0</v>
      </c>
      <c r="D1332" s="41">
        <v>0.0</v>
      </c>
      <c r="E1332" s="42" t="str">
        <f t="shared" si="1"/>
        <v>100.0%</v>
      </c>
    </row>
    <row r="1333">
      <c r="A1333" s="40" t="s">
        <v>3405</v>
      </c>
      <c r="B1333" s="40" t="s">
        <v>9047</v>
      </c>
      <c r="C1333" s="41">
        <v>1.0</v>
      </c>
      <c r="D1333" s="41">
        <v>0.0</v>
      </c>
      <c r="E1333" s="42" t="str">
        <f t="shared" si="1"/>
        <v>100.0%</v>
      </c>
    </row>
    <row r="1334">
      <c r="A1334" s="40" t="s">
        <v>3405</v>
      </c>
      <c r="B1334" s="40" t="s">
        <v>8614</v>
      </c>
      <c r="C1334" s="41">
        <v>1.0</v>
      </c>
      <c r="D1334" s="41">
        <v>1.0</v>
      </c>
      <c r="E1334" s="42" t="str">
        <f t="shared" si="1"/>
        <v>50.0%</v>
      </c>
    </row>
    <row r="1335">
      <c r="A1335" s="40" t="s">
        <v>3405</v>
      </c>
      <c r="B1335" s="40" t="s">
        <v>8659</v>
      </c>
      <c r="C1335" s="41">
        <v>1.0</v>
      </c>
      <c r="D1335" s="41">
        <v>1.0</v>
      </c>
      <c r="E1335" s="42" t="str">
        <f t="shared" si="1"/>
        <v>50.0%</v>
      </c>
    </row>
    <row r="1336">
      <c r="A1336" s="40" t="s">
        <v>3405</v>
      </c>
      <c r="B1336" s="40" t="s">
        <v>8711</v>
      </c>
      <c r="C1336" s="41">
        <v>1.0</v>
      </c>
      <c r="D1336" s="41">
        <v>1.0</v>
      </c>
      <c r="E1336" s="42" t="str">
        <f t="shared" si="1"/>
        <v>50.0%</v>
      </c>
    </row>
    <row r="1337">
      <c r="A1337" s="40" t="s">
        <v>3405</v>
      </c>
      <c r="B1337" s="40" t="s">
        <v>8777</v>
      </c>
      <c r="C1337" s="41">
        <v>1.0</v>
      </c>
      <c r="D1337" s="41">
        <v>1.0</v>
      </c>
      <c r="E1337" s="42" t="str">
        <f t="shared" si="1"/>
        <v>50.0%</v>
      </c>
    </row>
    <row r="1338">
      <c r="A1338" s="40" t="s">
        <v>3405</v>
      </c>
      <c r="B1338" s="40" t="s">
        <v>8939</v>
      </c>
      <c r="C1338" s="41">
        <v>1.0</v>
      </c>
      <c r="D1338" s="41">
        <v>1.0</v>
      </c>
      <c r="E1338" s="42" t="str">
        <f t="shared" si="1"/>
        <v>50.0%</v>
      </c>
    </row>
    <row r="1339">
      <c r="A1339" s="40" t="s">
        <v>3405</v>
      </c>
      <c r="B1339" s="40" t="s">
        <v>9048</v>
      </c>
      <c r="C1339" s="41">
        <v>1.0</v>
      </c>
      <c r="D1339" s="41">
        <v>1.0</v>
      </c>
      <c r="E1339" s="42" t="str">
        <f t="shared" si="1"/>
        <v>50.0%</v>
      </c>
    </row>
    <row r="1340">
      <c r="A1340" s="40" t="s">
        <v>3405</v>
      </c>
      <c r="B1340" s="40" t="s">
        <v>9049</v>
      </c>
      <c r="C1340" s="41">
        <v>1.0</v>
      </c>
      <c r="D1340" s="41">
        <v>1.0</v>
      </c>
      <c r="E1340" s="42" t="str">
        <f t="shared" si="1"/>
        <v>50.0%</v>
      </c>
    </row>
    <row r="1341">
      <c r="A1341" s="40" t="s">
        <v>3405</v>
      </c>
      <c r="B1341" s="40" t="s">
        <v>8600</v>
      </c>
      <c r="C1341" s="41">
        <v>1.0</v>
      </c>
      <c r="D1341" s="41">
        <v>2.0</v>
      </c>
      <c r="E1341" s="42" t="str">
        <f t="shared" si="1"/>
        <v>33.3%</v>
      </c>
    </row>
    <row r="1342">
      <c r="A1342" s="40" t="s">
        <v>3405</v>
      </c>
      <c r="B1342" s="40" t="s">
        <v>8809</v>
      </c>
      <c r="C1342" s="41">
        <v>1.0</v>
      </c>
      <c r="D1342" s="41">
        <v>2.0</v>
      </c>
      <c r="E1342" s="42" t="str">
        <f t="shared" si="1"/>
        <v>33.3%</v>
      </c>
    </row>
    <row r="1343">
      <c r="A1343" s="40" t="s">
        <v>3405</v>
      </c>
      <c r="B1343" s="40" t="s">
        <v>8648</v>
      </c>
      <c r="C1343" s="41">
        <v>1.0</v>
      </c>
      <c r="D1343" s="41">
        <v>2.0</v>
      </c>
      <c r="E1343" s="42" t="str">
        <f t="shared" si="1"/>
        <v>33.3%</v>
      </c>
    </row>
    <row r="1344">
      <c r="A1344" s="40" t="s">
        <v>3405</v>
      </c>
      <c r="B1344" s="40" t="s">
        <v>8552</v>
      </c>
      <c r="C1344" s="41">
        <v>1.0</v>
      </c>
      <c r="D1344" s="41">
        <v>2.0</v>
      </c>
      <c r="E1344" s="42" t="str">
        <f t="shared" si="1"/>
        <v>33.3%</v>
      </c>
    </row>
    <row r="1345">
      <c r="A1345" s="40" t="s">
        <v>3405</v>
      </c>
      <c r="B1345" s="40" t="s">
        <v>8766</v>
      </c>
      <c r="C1345" s="41">
        <v>1.0</v>
      </c>
      <c r="D1345" s="41">
        <v>2.0</v>
      </c>
      <c r="E1345" s="42" t="str">
        <f t="shared" si="1"/>
        <v>33.3%</v>
      </c>
    </row>
    <row r="1346">
      <c r="A1346" s="40" t="s">
        <v>3405</v>
      </c>
      <c r="B1346" s="40" t="s">
        <v>8848</v>
      </c>
      <c r="C1346" s="41">
        <v>1.0</v>
      </c>
      <c r="D1346" s="41">
        <v>2.0</v>
      </c>
      <c r="E1346" s="42" t="str">
        <f t="shared" si="1"/>
        <v>33.3%</v>
      </c>
    </row>
    <row r="1347">
      <c r="A1347" s="40" t="s">
        <v>3405</v>
      </c>
      <c r="B1347" s="40" t="s">
        <v>9050</v>
      </c>
      <c r="C1347" s="41">
        <v>1.0</v>
      </c>
      <c r="D1347" s="41">
        <v>2.0</v>
      </c>
      <c r="E1347" s="42" t="str">
        <f t="shared" si="1"/>
        <v>33.3%</v>
      </c>
    </row>
    <row r="1348">
      <c r="A1348" s="40" t="s">
        <v>3405</v>
      </c>
      <c r="B1348" s="40" t="s">
        <v>8966</v>
      </c>
      <c r="C1348" s="41">
        <v>1.0</v>
      </c>
      <c r="D1348" s="41">
        <v>2.0</v>
      </c>
      <c r="E1348" s="42" t="str">
        <f t="shared" si="1"/>
        <v>33.3%</v>
      </c>
    </row>
    <row r="1349">
      <c r="A1349" s="40" t="s">
        <v>3405</v>
      </c>
      <c r="B1349" s="40" t="s">
        <v>8664</v>
      </c>
      <c r="C1349" s="41">
        <v>1.0</v>
      </c>
      <c r="D1349" s="41">
        <v>3.0</v>
      </c>
      <c r="E1349" s="42" t="str">
        <f t="shared" si="1"/>
        <v>25.0%</v>
      </c>
    </row>
    <row r="1350">
      <c r="A1350" s="40" t="s">
        <v>3405</v>
      </c>
      <c r="B1350" s="40" t="s">
        <v>8522</v>
      </c>
      <c r="C1350" s="41">
        <v>1.0</v>
      </c>
      <c r="D1350" s="41">
        <v>3.0</v>
      </c>
      <c r="E1350" s="42" t="str">
        <f t="shared" si="1"/>
        <v>25.0%</v>
      </c>
    </row>
    <row r="1351">
      <c r="A1351" s="40" t="s">
        <v>3405</v>
      </c>
      <c r="B1351" s="40" t="s">
        <v>8547</v>
      </c>
      <c r="C1351" s="41">
        <v>1.0</v>
      </c>
      <c r="D1351" s="41">
        <v>4.0</v>
      </c>
      <c r="E1351" s="42" t="str">
        <f t="shared" si="1"/>
        <v>20.0%</v>
      </c>
    </row>
    <row r="1352">
      <c r="A1352" s="40" t="s">
        <v>3405</v>
      </c>
      <c r="B1352" s="40" t="s">
        <v>9051</v>
      </c>
      <c r="C1352" s="41">
        <v>1.0</v>
      </c>
      <c r="D1352" s="41">
        <v>4.0</v>
      </c>
      <c r="E1352" s="42" t="str">
        <f t="shared" si="1"/>
        <v>20.0%</v>
      </c>
    </row>
    <row r="1353">
      <c r="A1353" s="40" t="s">
        <v>3405</v>
      </c>
      <c r="B1353" s="40" t="s">
        <v>8565</v>
      </c>
      <c r="C1353" s="41">
        <v>1.0</v>
      </c>
      <c r="D1353" s="41">
        <v>5.0</v>
      </c>
      <c r="E1353" s="42" t="str">
        <f t="shared" si="1"/>
        <v>16.7%</v>
      </c>
    </row>
    <row r="1354">
      <c r="A1354" s="40" t="s">
        <v>3405</v>
      </c>
      <c r="B1354" s="40" t="s">
        <v>8498</v>
      </c>
      <c r="C1354" s="41">
        <v>1.0</v>
      </c>
      <c r="D1354" s="41">
        <v>6.0</v>
      </c>
      <c r="E1354" s="42" t="str">
        <f t="shared" si="1"/>
        <v>14.3%</v>
      </c>
    </row>
    <row r="1355">
      <c r="A1355" s="40" t="s">
        <v>3405</v>
      </c>
      <c r="B1355" s="40" t="s">
        <v>9052</v>
      </c>
      <c r="C1355" s="41">
        <v>1.0</v>
      </c>
      <c r="D1355" s="41">
        <v>6.0</v>
      </c>
      <c r="E1355" s="42" t="str">
        <f t="shared" si="1"/>
        <v>14.3%</v>
      </c>
    </row>
    <row r="1356">
      <c r="A1356" s="40" t="s">
        <v>3405</v>
      </c>
      <c r="B1356" s="40" t="s">
        <v>9053</v>
      </c>
      <c r="C1356" s="41">
        <v>1.0</v>
      </c>
      <c r="D1356" s="41">
        <v>6.0</v>
      </c>
      <c r="E1356" s="42" t="str">
        <f t="shared" si="1"/>
        <v>14.3%</v>
      </c>
    </row>
    <row r="1357">
      <c r="A1357" s="40" t="s">
        <v>3405</v>
      </c>
      <c r="B1357" s="40" t="s">
        <v>8709</v>
      </c>
      <c r="C1357" s="41">
        <v>1.0</v>
      </c>
      <c r="D1357" s="41">
        <v>9.0</v>
      </c>
      <c r="E1357" s="42" t="str">
        <f t="shared" si="1"/>
        <v>10.0%</v>
      </c>
    </row>
    <row r="1358">
      <c r="A1358" s="40" t="s">
        <v>3405</v>
      </c>
      <c r="B1358" s="40" t="s">
        <v>8881</v>
      </c>
      <c r="C1358" s="41">
        <v>1.0</v>
      </c>
      <c r="D1358" s="41">
        <v>18.0</v>
      </c>
      <c r="E1358" s="42" t="str">
        <f t="shared" si="1"/>
        <v>5.3%</v>
      </c>
    </row>
    <row r="1359">
      <c r="A1359" s="40" t="s">
        <v>3405</v>
      </c>
      <c r="B1359" s="40" t="s">
        <v>8539</v>
      </c>
      <c r="C1359" s="41">
        <v>0.0</v>
      </c>
      <c r="D1359" s="41">
        <v>1.0</v>
      </c>
      <c r="E1359" s="42" t="str">
        <f t="shared" si="1"/>
        <v>0.0%</v>
      </c>
    </row>
    <row r="1360">
      <c r="A1360" s="40" t="s">
        <v>3405</v>
      </c>
      <c r="B1360" s="40" t="s">
        <v>8702</v>
      </c>
      <c r="C1360" s="41">
        <v>0.0</v>
      </c>
      <c r="D1360" s="41">
        <v>1.0</v>
      </c>
      <c r="E1360" s="42" t="str">
        <f t="shared" si="1"/>
        <v>0.0%</v>
      </c>
    </row>
    <row r="1361">
      <c r="A1361" s="40" t="s">
        <v>3405</v>
      </c>
      <c r="B1361" s="40" t="s">
        <v>8705</v>
      </c>
      <c r="C1361" s="41">
        <v>0.0</v>
      </c>
      <c r="D1361" s="41">
        <v>1.0</v>
      </c>
      <c r="E1361" s="42" t="str">
        <f t="shared" si="1"/>
        <v>0.0%</v>
      </c>
    </row>
    <row r="1362">
      <c r="A1362" s="40" t="s">
        <v>3405</v>
      </c>
      <c r="B1362" s="40" t="s">
        <v>8574</v>
      </c>
      <c r="C1362" s="41">
        <v>0.0</v>
      </c>
      <c r="D1362" s="41">
        <v>1.0</v>
      </c>
      <c r="E1362" s="42" t="str">
        <f t="shared" si="1"/>
        <v>0.0%</v>
      </c>
    </row>
    <row r="1363">
      <c r="A1363" s="40" t="s">
        <v>3405</v>
      </c>
      <c r="B1363" s="40" t="s">
        <v>8549</v>
      </c>
      <c r="C1363" s="41">
        <v>0.0</v>
      </c>
      <c r="D1363" s="41">
        <v>1.0</v>
      </c>
      <c r="E1363" s="42" t="str">
        <f t="shared" si="1"/>
        <v>0.0%</v>
      </c>
    </row>
    <row r="1364">
      <c r="A1364" s="40" t="s">
        <v>3405</v>
      </c>
      <c r="B1364" s="40" t="s">
        <v>8506</v>
      </c>
      <c r="C1364" s="41">
        <v>0.0</v>
      </c>
      <c r="D1364" s="41">
        <v>1.0</v>
      </c>
      <c r="E1364" s="42" t="str">
        <f t="shared" si="1"/>
        <v>0.0%</v>
      </c>
    </row>
    <row r="1365">
      <c r="A1365" s="40" t="s">
        <v>3405</v>
      </c>
      <c r="B1365" s="40" t="s">
        <v>8591</v>
      </c>
      <c r="C1365" s="41">
        <v>0.0</v>
      </c>
      <c r="D1365" s="41">
        <v>1.0</v>
      </c>
      <c r="E1365" s="42" t="str">
        <f t="shared" si="1"/>
        <v>0.0%</v>
      </c>
    </row>
    <row r="1366">
      <c r="A1366" s="40" t="s">
        <v>3405</v>
      </c>
      <c r="B1366" s="40" t="s">
        <v>8708</v>
      </c>
      <c r="C1366" s="41">
        <v>0.0</v>
      </c>
      <c r="D1366" s="41">
        <v>1.0</v>
      </c>
      <c r="E1366" s="42" t="str">
        <f t="shared" si="1"/>
        <v>0.0%</v>
      </c>
    </row>
    <row r="1367">
      <c r="A1367" s="40" t="s">
        <v>3405</v>
      </c>
      <c r="B1367" s="40" t="s">
        <v>8778</v>
      </c>
      <c r="C1367" s="41">
        <v>0.0</v>
      </c>
      <c r="D1367" s="41">
        <v>1.0</v>
      </c>
      <c r="E1367" s="42" t="str">
        <f t="shared" si="1"/>
        <v>0.0%</v>
      </c>
    </row>
    <row r="1368">
      <c r="A1368" s="40" t="s">
        <v>3405</v>
      </c>
      <c r="B1368" s="40" t="s">
        <v>8932</v>
      </c>
      <c r="C1368" s="41">
        <v>0.0</v>
      </c>
      <c r="D1368" s="41">
        <v>1.0</v>
      </c>
      <c r="E1368" s="42" t="str">
        <f t="shared" si="1"/>
        <v>0.0%</v>
      </c>
    </row>
    <row r="1369">
      <c r="A1369" s="40" t="s">
        <v>3405</v>
      </c>
      <c r="B1369" s="40" t="s">
        <v>8934</v>
      </c>
      <c r="C1369" s="41">
        <v>0.0</v>
      </c>
      <c r="D1369" s="41">
        <v>1.0</v>
      </c>
      <c r="E1369" s="42" t="str">
        <f t="shared" si="1"/>
        <v>0.0%</v>
      </c>
    </row>
    <row r="1370">
      <c r="A1370" s="40" t="s">
        <v>3405</v>
      </c>
      <c r="B1370" s="40" t="s">
        <v>9006</v>
      </c>
      <c r="C1370" s="41">
        <v>0.0</v>
      </c>
      <c r="D1370" s="41">
        <v>1.0</v>
      </c>
      <c r="E1370" s="42" t="str">
        <f t="shared" si="1"/>
        <v>0.0%</v>
      </c>
    </row>
    <row r="1371">
      <c r="A1371" s="40" t="s">
        <v>3405</v>
      </c>
      <c r="B1371" s="40" t="s">
        <v>8998</v>
      </c>
      <c r="C1371" s="41">
        <v>0.0</v>
      </c>
      <c r="D1371" s="41">
        <v>1.0</v>
      </c>
      <c r="E1371" s="42" t="str">
        <f t="shared" si="1"/>
        <v>0.0%</v>
      </c>
    </row>
    <row r="1372">
      <c r="A1372" s="40" t="s">
        <v>3405</v>
      </c>
      <c r="B1372" s="40" t="s">
        <v>9011</v>
      </c>
      <c r="C1372" s="41">
        <v>0.0</v>
      </c>
      <c r="D1372" s="41">
        <v>1.0</v>
      </c>
      <c r="E1372" s="42" t="str">
        <f t="shared" si="1"/>
        <v>0.0%</v>
      </c>
    </row>
    <row r="1373">
      <c r="A1373" s="40" t="s">
        <v>3405</v>
      </c>
      <c r="B1373" s="40" t="s">
        <v>8996</v>
      </c>
      <c r="C1373" s="41">
        <v>0.0</v>
      </c>
      <c r="D1373" s="41">
        <v>1.0</v>
      </c>
      <c r="E1373" s="42" t="str">
        <f t="shared" si="1"/>
        <v>0.0%</v>
      </c>
    </row>
    <row r="1374">
      <c r="A1374" s="40" t="s">
        <v>3405</v>
      </c>
      <c r="B1374" s="40" t="s">
        <v>9013</v>
      </c>
      <c r="C1374" s="41">
        <v>0.0</v>
      </c>
      <c r="D1374" s="41">
        <v>1.0</v>
      </c>
      <c r="E1374" s="42" t="str">
        <f t="shared" si="1"/>
        <v>0.0%</v>
      </c>
    </row>
    <row r="1375">
      <c r="A1375" s="40" t="s">
        <v>3405</v>
      </c>
      <c r="B1375" s="40" t="s">
        <v>8989</v>
      </c>
      <c r="C1375" s="41">
        <v>0.0</v>
      </c>
      <c r="D1375" s="41">
        <v>1.0</v>
      </c>
      <c r="E1375" s="42" t="str">
        <f t="shared" si="1"/>
        <v>0.0%</v>
      </c>
    </row>
    <row r="1376">
      <c r="A1376" s="40" t="s">
        <v>3405</v>
      </c>
      <c r="B1376" s="40" t="s">
        <v>9054</v>
      </c>
      <c r="C1376" s="41">
        <v>0.0</v>
      </c>
      <c r="D1376" s="41">
        <v>1.0</v>
      </c>
      <c r="E1376" s="42" t="str">
        <f t="shared" si="1"/>
        <v>0.0%</v>
      </c>
    </row>
    <row r="1377">
      <c r="A1377" s="40" t="s">
        <v>3405</v>
      </c>
      <c r="B1377" s="40" t="s">
        <v>9055</v>
      </c>
      <c r="C1377" s="41">
        <v>0.0</v>
      </c>
      <c r="D1377" s="41">
        <v>1.0</v>
      </c>
      <c r="E1377" s="42" t="str">
        <f t="shared" si="1"/>
        <v>0.0%</v>
      </c>
    </row>
    <row r="1378">
      <c r="A1378" s="40" t="s">
        <v>3405</v>
      </c>
      <c r="B1378" s="40" t="s">
        <v>9056</v>
      </c>
      <c r="C1378" s="41">
        <v>0.0</v>
      </c>
      <c r="D1378" s="41">
        <v>1.0</v>
      </c>
      <c r="E1378" s="42" t="str">
        <f t="shared" si="1"/>
        <v>0.0%</v>
      </c>
    </row>
    <row r="1379">
      <c r="A1379" s="40" t="s">
        <v>3405</v>
      </c>
      <c r="B1379" s="40" t="s">
        <v>9057</v>
      </c>
      <c r="C1379" s="41">
        <v>0.0</v>
      </c>
      <c r="D1379" s="41">
        <v>1.0</v>
      </c>
      <c r="E1379" s="42" t="str">
        <f t="shared" si="1"/>
        <v>0.0%</v>
      </c>
    </row>
    <row r="1380">
      <c r="A1380" s="40" t="s">
        <v>3405</v>
      </c>
      <c r="B1380" s="40" t="s">
        <v>9058</v>
      </c>
      <c r="C1380" s="41">
        <v>0.0</v>
      </c>
      <c r="D1380" s="41">
        <v>1.0</v>
      </c>
      <c r="E1380" s="42" t="str">
        <f t="shared" si="1"/>
        <v>0.0%</v>
      </c>
    </row>
    <row r="1381">
      <c r="A1381" s="40" t="s">
        <v>3405</v>
      </c>
      <c r="B1381" s="40" t="s">
        <v>9059</v>
      </c>
      <c r="C1381" s="41">
        <v>0.0</v>
      </c>
      <c r="D1381" s="41">
        <v>1.0</v>
      </c>
      <c r="E1381" s="42" t="str">
        <f t="shared" si="1"/>
        <v>0.0%</v>
      </c>
    </row>
    <row r="1382">
      <c r="A1382" s="40" t="s">
        <v>3405</v>
      </c>
      <c r="B1382" s="40" t="s">
        <v>9060</v>
      </c>
      <c r="C1382" s="41">
        <v>0.0</v>
      </c>
      <c r="D1382" s="41">
        <v>1.0</v>
      </c>
      <c r="E1382" s="42" t="str">
        <f t="shared" si="1"/>
        <v>0.0%</v>
      </c>
    </row>
    <row r="1383">
      <c r="A1383" s="40" t="s">
        <v>3405</v>
      </c>
      <c r="B1383" s="40" t="s">
        <v>9061</v>
      </c>
      <c r="C1383" s="41">
        <v>0.0</v>
      </c>
      <c r="D1383" s="41">
        <v>1.0</v>
      </c>
      <c r="E1383" s="42" t="str">
        <f t="shared" si="1"/>
        <v>0.0%</v>
      </c>
    </row>
    <row r="1384">
      <c r="A1384" s="40" t="s">
        <v>3405</v>
      </c>
      <c r="B1384" s="40" t="s">
        <v>9062</v>
      </c>
      <c r="C1384" s="41">
        <v>0.0</v>
      </c>
      <c r="D1384" s="41">
        <v>1.0</v>
      </c>
      <c r="E1384" s="42" t="str">
        <f t="shared" si="1"/>
        <v>0.0%</v>
      </c>
    </row>
    <row r="1385">
      <c r="A1385" s="40" t="s">
        <v>3405</v>
      </c>
      <c r="B1385" s="40" t="s">
        <v>9063</v>
      </c>
      <c r="C1385" s="41">
        <v>0.0</v>
      </c>
      <c r="D1385" s="41">
        <v>1.0</v>
      </c>
      <c r="E1385" s="42" t="str">
        <f t="shared" si="1"/>
        <v>0.0%</v>
      </c>
    </row>
    <row r="1386">
      <c r="A1386" s="40" t="s">
        <v>3405</v>
      </c>
      <c r="B1386" s="40" t="s">
        <v>9064</v>
      </c>
      <c r="C1386" s="41">
        <v>0.0</v>
      </c>
      <c r="D1386" s="41">
        <v>1.0</v>
      </c>
      <c r="E1386" s="42" t="str">
        <f t="shared" si="1"/>
        <v>0.0%</v>
      </c>
    </row>
    <row r="1387">
      <c r="A1387" s="40" t="s">
        <v>3405</v>
      </c>
      <c r="B1387" s="40" t="s">
        <v>9065</v>
      </c>
      <c r="C1387" s="41">
        <v>0.0</v>
      </c>
      <c r="D1387" s="41">
        <v>1.0</v>
      </c>
      <c r="E1387" s="42" t="str">
        <f t="shared" si="1"/>
        <v>0.0%</v>
      </c>
    </row>
    <row r="1388">
      <c r="A1388" s="40" t="s">
        <v>3405</v>
      </c>
      <c r="B1388" s="40" t="s">
        <v>8603</v>
      </c>
      <c r="C1388" s="41">
        <v>0.0</v>
      </c>
      <c r="D1388" s="41">
        <v>2.0</v>
      </c>
      <c r="E1388" s="42" t="str">
        <f t="shared" si="1"/>
        <v>0.0%</v>
      </c>
    </row>
    <row r="1389">
      <c r="A1389" s="40" t="s">
        <v>3405</v>
      </c>
      <c r="B1389" s="40" t="s">
        <v>8835</v>
      </c>
      <c r="C1389" s="41">
        <v>0.0</v>
      </c>
      <c r="D1389" s="41">
        <v>2.0</v>
      </c>
      <c r="E1389" s="42" t="str">
        <f t="shared" si="1"/>
        <v>0.0%</v>
      </c>
    </row>
    <row r="1390">
      <c r="A1390" s="40" t="s">
        <v>3405</v>
      </c>
      <c r="B1390" s="40" t="s">
        <v>9023</v>
      </c>
      <c r="C1390" s="41">
        <v>0.0</v>
      </c>
      <c r="D1390" s="41">
        <v>2.0</v>
      </c>
      <c r="E1390" s="42" t="str">
        <f t="shared" si="1"/>
        <v>0.0%</v>
      </c>
    </row>
    <row r="1391">
      <c r="A1391" s="40" t="s">
        <v>3405</v>
      </c>
      <c r="B1391" s="40" t="s">
        <v>9066</v>
      </c>
      <c r="C1391" s="41">
        <v>0.0</v>
      </c>
      <c r="D1391" s="41">
        <v>2.0</v>
      </c>
      <c r="E1391" s="42" t="str">
        <f t="shared" si="1"/>
        <v>0.0%</v>
      </c>
    </row>
    <row r="1392">
      <c r="A1392" s="40" t="s">
        <v>3405</v>
      </c>
      <c r="B1392" s="40" t="s">
        <v>9067</v>
      </c>
      <c r="C1392" s="41">
        <v>0.0</v>
      </c>
      <c r="D1392" s="41">
        <v>2.0</v>
      </c>
      <c r="E1392" s="42" t="str">
        <f t="shared" si="1"/>
        <v>0.0%</v>
      </c>
    </row>
    <row r="1393">
      <c r="A1393" s="40" t="s">
        <v>3405</v>
      </c>
      <c r="B1393" s="40" t="s">
        <v>9068</v>
      </c>
      <c r="C1393" s="41">
        <v>0.0</v>
      </c>
      <c r="D1393" s="41">
        <v>2.0</v>
      </c>
      <c r="E1393" s="42" t="str">
        <f t="shared" si="1"/>
        <v>0.0%</v>
      </c>
    </row>
    <row r="1394">
      <c r="A1394" s="40" t="s">
        <v>3405</v>
      </c>
      <c r="B1394" s="40" t="s">
        <v>8626</v>
      </c>
      <c r="C1394" s="41">
        <v>0.0</v>
      </c>
      <c r="D1394" s="41">
        <v>3.0</v>
      </c>
      <c r="E1394" s="42" t="str">
        <f t="shared" si="1"/>
        <v>0.0%</v>
      </c>
    </row>
    <row r="1395">
      <c r="A1395" s="40" t="s">
        <v>3405</v>
      </c>
      <c r="B1395" s="40" t="s">
        <v>8854</v>
      </c>
      <c r="C1395" s="41">
        <v>0.0</v>
      </c>
      <c r="D1395" s="41">
        <v>3.0</v>
      </c>
      <c r="E1395" s="42" t="str">
        <f t="shared" si="1"/>
        <v>0.0%</v>
      </c>
    </row>
    <row r="1396">
      <c r="A1396" s="40" t="s">
        <v>3405</v>
      </c>
      <c r="B1396" s="40" t="s">
        <v>8941</v>
      </c>
      <c r="C1396" s="41">
        <v>0.0</v>
      </c>
      <c r="D1396" s="41">
        <v>3.0</v>
      </c>
      <c r="E1396" s="42" t="str">
        <f t="shared" si="1"/>
        <v>0.0%</v>
      </c>
    </row>
    <row r="1397">
      <c r="A1397" s="40" t="s">
        <v>3405</v>
      </c>
      <c r="B1397" s="40" t="s">
        <v>9004</v>
      </c>
      <c r="C1397" s="41">
        <v>0.0</v>
      </c>
      <c r="D1397" s="41">
        <v>3.0</v>
      </c>
      <c r="E1397" s="42" t="str">
        <f t="shared" si="1"/>
        <v>0.0%</v>
      </c>
    </row>
    <row r="1398">
      <c r="A1398" s="40" t="s">
        <v>3405</v>
      </c>
      <c r="B1398" s="40" t="s">
        <v>8925</v>
      </c>
      <c r="C1398" s="41">
        <v>0.0</v>
      </c>
      <c r="D1398" s="41">
        <v>4.0</v>
      </c>
      <c r="E1398" s="42" t="str">
        <f t="shared" si="1"/>
        <v>0.0%</v>
      </c>
    </row>
    <row r="1399">
      <c r="A1399" s="40" t="s">
        <v>3405</v>
      </c>
      <c r="B1399" s="40" t="s">
        <v>8944</v>
      </c>
      <c r="C1399" s="41">
        <v>0.0</v>
      </c>
      <c r="D1399" s="41">
        <v>4.0</v>
      </c>
      <c r="E1399" s="42" t="str">
        <f t="shared" si="1"/>
        <v>0.0%</v>
      </c>
    </row>
    <row r="1400">
      <c r="A1400" s="40" t="s">
        <v>4257</v>
      </c>
      <c r="B1400" s="40" t="s">
        <v>8483</v>
      </c>
      <c r="C1400" s="41">
        <v>22.0</v>
      </c>
      <c r="D1400" s="41">
        <v>21.0</v>
      </c>
      <c r="E1400" s="42" t="str">
        <f t="shared" si="1"/>
        <v>51.2%</v>
      </c>
    </row>
    <row r="1401">
      <c r="A1401" s="40" t="s">
        <v>4257</v>
      </c>
      <c r="B1401" s="40" t="s">
        <v>8484</v>
      </c>
      <c r="C1401" s="41">
        <v>20.0</v>
      </c>
      <c r="D1401" s="41">
        <v>17.0</v>
      </c>
      <c r="E1401" s="42" t="str">
        <f t="shared" si="1"/>
        <v>54.1%</v>
      </c>
    </row>
    <row r="1402">
      <c r="A1402" s="40" t="s">
        <v>4257</v>
      </c>
      <c r="B1402" s="40" t="s">
        <v>8491</v>
      </c>
      <c r="C1402" s="41">
        <v>19.0</v>
      </c>
      <c r="D1402" s="41">
        <v>24.0</v>
      </c>
      <c r="E1402" s="42" t="str">
        <f t="shared" si="1"/>
        <v>44.2%</v>
      </c>
    </row>
    <row r="1403">
      <c r="A1403" s="40" t="s">
        <v>4257</v>
      </c>
      <c r="B1403" s="40" t="s">
        <v>8497</v>
      </c>
      <c r="C1403" s="41">
        <v>18.0</v>
      </c>
      <c r="D1403" s="41">
        <v>7.0</v>
      </c>
      <c r="E1403" s="42" t="str">
        <f t="shared" si="1"/>
        <v>72.0%</v>
      </c>
    </row>
    <row r="1404">
      <c r="A1404" s="40" t="s">
        <v>4257</v>
      </c>
      <c r="B1404" s="40" t="s">
        <v>8500</v>
      </c>
      <c r="C1404" s="41">
        <v>18.0</v>
      </c>
      <c r="D1404" s="41">
        <v>9.0</v>
      </c>
      <c r="E1404" s="42" t="str">
        <f t="shared" si="1"/>
        <v>66.7%</v>
      </c>
    </row>
    <row r="1405">
      <c r="A1405" s="40" t="s">
        <v>4257</v>
      </c>
      <c r="B1405" s="40" t="s">
        <v>8520</v>
      </c>
      <c r="C1405" s="41">
        <v>18.0</v>
      </c>
      <c r="D1405" s="41">
        <v>11.0</v>
      </c>
      <c r="E1405" s="42" t="str">
        <f t="shared" si="1"/>
        <v>62.1%</v>
      </c>
    </row>
    <row r="1406">
      <c r="A1406" s="40" t="s">
        <v>4257</v>
      </c>
      <c r="B1406" s="40" t="s">
        <v>8485</v>
      </c>
      <c r="C1406" s="41">
        <v>17.0</v>
      </c>
      <c r="D1406" s="41">
        <v>4.0</v>
      </c>
      <c r="E1406" s="42" t="str">
        <f t="shared" si="1"/>
        <v>81.0%</v>
      </c>
    </row>
    <row r="1407">
      <c r="A1407" s="40" t="s">
        <v>4257</v>
      </c>
      <c r="B1407" s="40" t="s">
        <v>8488</v>
      </c>
      <c r="C1407" s="41">
        <v>16.0</v>
      </c>
      <c r="D1407" s="41">
        <v>6.0</v>
      </c>
      <c r="E1407" s="42" t="str">
        <f t="shared" si="1"/>
        <v>72.7%</v>
      </c>
    </row>
    <row r="1408">
      <c r="A1408" s="40" t="s">
        <v>4257</v>
      </c>
      <c r="B1408" s="40" t="s">
        <v>8522</v>
      </c>
      <c r="C1408" s="41">
        <v>15.0</v>
      </c>
      <c r="D1408" s="41">
        <v>5.0</v>
      </c>
      <c r="E1408" s="42" t="str">
        <f t="shared" si="1"/>
        <v>75.0%</v>
      </c>
    </row>
    <row r="1409">
      <c r="A1409" s="40" t="s">
        <v>4257</v>
      </c>
      <c r="B1409" s="40" t="s">
        <v>8763</v>
      </c>
      <c r="C1409" s="41">
        <v>15.0</v>
      </c>
      <c r="D1409" s="41">
        <v>10.0</v>
      </c>
      <c r="E1409" s="42" t="str">
        <f t="shared" si="1"/>
        <v>60.0%</v>
      </c>
    </row>
    <row r="1410">
      <c r="A1410" s="40" t="s">
        <v>4257</v>
      </c>
      <c r="B1410" s="40" t="s">
        <v>8712</v>
      </c>
      <c r="C1410" s="41">
        <v>14.0</v>
      </c>
      <c r="D1410" s="41">
        <v>8.0</v>
      </c>
      <c r="E1410" s="42" t="str">
        <f t="shared" si="1"/>
        <v>63.6%</v>
      </c>
    </row>
    <row r="1411">
      <c r="A1411" s="40" t="s">
        <v>4257</v>
      </c>
      <c r="B1411" s="40" t="s">
        <v>8660</v>
      </c>
      <c r="C1411" s="41">
        <v>14.0</v>
      </c>
      <c r="D1411" s="41">
        <v>10.0</v>
      </c>
      <c r="E1411" s="42" t="str">
        <f t="shared" si="1"/>
        <v>58.3%</v>
      </c>
    </row>
    <row r="1412">
      <c r="A1412" s="40" t="s">
        <v>4257</v>
      </c>
      <c r="B1412" s="40" t="s">
        <v>9025</v>
      </c>
      <c r="C1412" s="41">
        <v>13.0</v>
      </c>
      <c r="D1412" s="41">
        <v>3.0</v>
      </c>
      <c r="E1412" s="42" t="str">
        <f t="shared" si="1"/>
        <v>81.3%</v>
      </c>
    </row>
    <row r="1413">
      <c r="A1413" s="40" t="s">
        <v>4257</v>
      </c>
      <c r="B1413" s="40" t="s">
        <v>8518</v>
      </c>
      <c r="C1413" s="41">
        <v>13.0</v>
      </c>
      <c r="D1413" s="41">
        <v>6.0</v>
      </c>
      <c r="E1413" s="42" t="str">
        <f t="shared" si="1"/>
        <v>68.4%</v>
      </c>
    </row>
    <row r="1414">
      <c r="A1414" s="40" t="s">
        <v>4257</v>
      </c>
      <c r="B1414" s="40" t="s">
        <v>8805</v>
      </c>
      <c r="C1414" s="41">
        <v>13.0</v>
      </c>
      <c r="D1414" s="41">
        <v>6.0</v>
      </c>
      <c r="E1414" s="42" t="str">
        <f t="shared" si="1"/>
        <v>68.4%</v>
      </c>
    </row>
    <row r="1415">
      <c r="A1415" s="40" t="s">
        <v>4257</v>
      </c>
      <c r="B1415" s="40" t="s">
        <v>8642</v>
      </c>
      <c r="C1415" s="41">
        <v>13.0</v>
      </c>
      <c r="D1415" s="41">
        <v>8.0</v>
      </c>
      <c r="E1415" s="42" t="str">
        <f t="shared" si="1"/>
        <v>61.9%</v>
      </c>
    </row>
    <row r="1416">
      <c r="A1416" s="40" t="s">
        <v>4257</v>
      </c>
      <c r="B1416" s="40" t="s">
        <v>8530</v>
      </c>
      <c r="C1416" s="41">
        <v>13.0</v>
      </c>
      <c r="D1416" s="41">
        <v>10.0</v>
      </c>
      <c r="E1416" s="42" t="str">
        <f t="shared" si="1"/>
        <v>56.5%</v>
      </c>
    </row>
    <row r="1417">
      <c r="A1417" s="40" t="s">
        <v>4257</v>
      </c>
      <c r="B1417" s="40" t="s">
        <v>8790</v>
      </c>
      <c r="C1417" s="41">
        <v>13.0</v>
      </c>
      <c r="D1417" s="41">
        <v>10.0</v>
      </c>
      <c r="E1417" s="42" t="str">
        <f t="shared" si="1"/>
        <v>56.5%</v>
      </c>
    </row>
    <row r="1418">
      <c r="A1418" s="40" t="s">
        <v>4257</v>
      </c>
      <c r="B1418" s="40" t="s">
        <v>8561</v>
      </c>
      <c r="C1418" s="41">
        <v>13.0</v>
      </c>
      <c r="D1418" s="41">
        <v>14.0</v>
      </c>
      <c r="E1418" s="42" t="str">
        <f t="shared" si="1"/>
        <v>48.1%</v>
      </c>
    </row>
    <row r="1419">
      <c r="A1419" s="40" t="s">
        <v>4257</v>
      </c>
      <c r="B1419" s="40" t="s">
        <v>8556</v>
      </c>
      <c r="C1419" s="41">
        <v>12.0</v>
      </c>
      <c r="D1419" s="41">
        <v>19.0</v>
      </c>
      <c r="E1419" s="42" t="str">
        <f t="shared" si="1"/>
        <v>38.7%</v>
      </c>
    </row>
    <row r="1420">
      <c r="A1420" s="40" t="s">
        <v>4257</v>
      </c>
      <c r="B1420" s="40" t="s">
        <v>8568</v>
      </c>
      <c r="C1420" s="41">
        <v>11.0</v>
      </c>
      <c r="D1420" s="41">
        <v>8.0</v>
      </c>
      <c r="E1420" s="42" t="str">
        <f t="shared" si="1"/>
        <v>57.9%</v>
      </c>
    </row>
    <row r="1421">
      <c r="A1421" s="40" t="s">
        <v>4257</v>
      </c>
      <c r="B1421" s="40" t="s">
        <v>8766</v>
      </c>
      <c r="C1421" s="41">
        <v>11.0</v>
      </c>
      <c r="D1421" s="41">
        <v>8.0</v>
      </c>
      <c r="E1421" s="42" t="str">
        <f t="shared" si="1"/>
        <v>57.9%</v>
      </c>
    </row>
    <row r="1422">
      <c r="A1422" s="40" t="s">
        <v>4257</v>
      </c>
      <c r="B1422" s="40" t="s">
        <v>8514</v>
      </c>
      <c r="C1422" s="41">
        <v>10.0</v>
      </c>
      <c r="D1422" s="41">
        <v>2.0</v>
      </c>
      <c r="E1422" s="42" t="str">
        <f t="shared" si="1"/>
        <v>83.3%</v>
      </c>
    </row>
    <row r="1423">
      <c r="A1423" s="40" t="s">
        <v>4257</v>
      </c>
      <c r="B1423" s="40" t="s">
        <v>8707</v>
      </c>
      <c r="C1423" s="41">
        <v>10.0</v>
      </c>
      <c r="D1423" s="41">
        <v>3.0</v>
      </c>
      <c r="E1423" s="42" t="str">
        <f t="shared" si="1"/>
        <v>76.9%</v>
      </c>
    </row>
    <row r="1424">
      <c r="A1424" s="40" t="s">
        <v>4257</v>
      </c>
      <c r="B1424" s="40" t="s">
        <v>8738</v>
      </c>
      <c r="C1424" s="41">
        <v>10.0</v>
      </c>
      <c r="D1424" s="41">
        <v>3.0</v>
      </c>
      <c r="E1424" s="42" t="str">
        <f t="shared" si="1"/>
        <v>76.9%</v>
      </c>
    </row>
    <row r="1425">
      <c r="A1425" s="40" t="s">
        <v>4257</v>
      </c>
      <c r="B1425" s="40" t="s">
        <v>8508</v>
      </c>
      <c r="C1425" s="41">
        <v>10.0</v>
      </c>
      <c r="D1425" s="41">
        <v>5.0</v>
      </c>
      <c r="E1425" s="42" t="str">
        <f t="shared" si="1"/>
        <v>66.7%</v>
      </c>
    </row>
    <row r="1426">
      <c r="A1426" s="40" t="s">
        <v>4257</v>
      </c>
      <c r="B1426" s="40" t="s">
        <v>8767</v>
      </c>
      <c r="C1426" s="41">
        <v>10.0</v>
      </c>
      <c r="D1426" s="41">
        <v>8.0</v>
      </c>
      <c r="E1426" s="42" t="str">
        <f t="shared" si="1"/>
        <v>55.6%</v>
      </c>
    </row>
    <row r="1427">
      <c r="A1427" s="40" t="s">
        <v>4257</v>
      </c>
      <c r="B1427" s="40" t="s">
        <v>8501</v>
      </c>
      <c r="C1427" s="41">
        <v>10.0</v>
      </c>
      <c r="D1427" s="41">
        <v>11.0</v>
      </c>
      <c r="E1427" s="42" t="str">
        <f t="shared" si="1"/>
        <v>47.6%</v>
      </c>
    </row>
    <row r="1428">
      <c r="A1428" s="40" t="s">
        <v>4257</v>
      </c>
      <c r="B1428" s="40" t="s">
        <v>8698</v>
      </c>
      <c r="C1428" s="41">
        <v>10.0</v>
      </c>
      <c r="D1428" s="41">
        <v>12.0</v>
      </c>
      <c r="E1428" s="42" t="str">
        <f t="shared" si="1"/>
        <v>45.5%</v>
      </c>
    </row>
    <row r="1429">
      <c r="A1429" s="40" t="s">
        <v>4257</v>
      </c>
      <c r="B1429" s="40" t="s">
        <v>8588</v>
      </c>
      <c r="C1429" s="41">
        <v>10.0</v>
      </c>
      <c r="D1429" s="41">
        <v>23.0</v>
      </c>
      <c r="E1429" s="42" t="str">
        <f t="shared" si="1"/>
        <v>30.3%</v>
      </c>
    </row>
    <row r="1430">
      <c r="A1430" s="40" t="s">
        <v>4257</v>
      </c>
      <c r="B1430" s="40" t="s">
        <v>8545</v>
      </c>
      <c r="C1430" s="41">
        <v>9.0</v>
      </c>
      <c r="D1430" s="41">
        <v>3.0</v>
      </c>
      <c r="E1430" s="42" t="str">
        <f t="shared" si="1"/>
        <v>75.0%</v>
      </c>
    </row>
    <row r="1431">
      <c r="A1431" s="40" t="s">
        <v>4257</v>
      </c>
      <c r="B1431" s="40" t="s">
        <v>8818</v>
      </c>
      <c r="C1431" s="41">
        <v>9.0</v>
      </c>
      <c r="D1431" s="41">
        <v>3.0</v>
      </c>
      <c r="E1431" s="42" t="str">
        <f t="shared" si="1"/>
        <v>75.0%</v>
      </c>
    </row>
    <row r="1432">
      <c r="A1432" s="40" t="s">
        <v>4257</v>
      </c>
      <c r="B1432" s="40" t="s">
        <v>9027</v>
      </c>
      <c r="C1432" s="41">
        <v>9.0</v>
      </c>
      <c r="D1432" s="41">
        <v>3.0</v>
      </c>
      <c r="E1432" s="42" t="str">
        <f t="shared" si="1"/>
        <v>75.0%</v>
      </c>
    </row>
    <row r="1433">
      <c r="A1433" s="40" t="s">
        <v>4257</v>
      </c>
      <c r="B1433" s="40" t="s">
        <v>8966</v>
      </c>
      <c r="C1433" s="41">
        <v>8.0</v>
      </c>
      <c r="D1433" s="41">
        <v>3.0</v>
      </c>
      <c r="E1433" s="42" t="str">
        <f t="shared" si="1"/>
        <v>72.7%</v>
      </c>
    </row>
    <row r="1434">
      <c r="A1434" s="40" t="s">
        <v>4257</v>
      </c>
      <c r="B1434" s="40" t="s">
        <v>8975</v>
      </c>
      <c r="C1434" s="41">
        <v>8.0</v>
      </c>
      <c r="D1434" s="41">
        <v>3.0</v>
      </c>
      <c r="E1434" s="42" t="str">
        <f t="shared" si="1"/>
        <v>72.7%</v>
      </c>
    </row>
    <row r="1435">
      <c r="A1435" s="40" t="s">
        <v>4257</v>
      </c>
      <c r="B1435" s="40" t="s">
        <v>8722</v>
      </c>
      <c r="C1435" s="41">
        <v>8.0</v>
      </c>
      <c r="D1435" s="41">
        <v>6.0</v>
      </c>
      <c r="E1435" s="42" t="str">
        <f t="shared" si="1"/>
        <v>57.1%</v>
      </c>
    </row>
    <row r="1436">
      <c r="A1436" s="40" t="s">
        <v>4257</v>
      </c>
      <c r="B1436" s="40" t="s">
        <v>8521</v>
      </c>
      <c r="C1436" s="41">
        <v>8.0</v>
      </c>
      <c r="D1436" s="41">
        <v>10.0</v>
      </c>
      <c r="E1436" s="42" t="str">
        <f t="shared" si="1"/>
        <v>44.4%</v>
      </c>
    </row>
    <row r="1437">
      <c r="A1437" s="40" t="s">
        <v>4257</v>
      </c>
      <c r="B1437" s="40" t="s">
        <v>8523</v>
      </c>
      <c r="C1437" s="41">
        <v>7.0</v>
      </c>
      <c r="D1437" s="41">
        <v>1.0</v>
      </c>
      <c r="E1437" s="42" t="str">
        <f t="shared" si="1"/>
        <v>87.5%</v>
      </c>
    </row>
    <row r="1438">
      <c r="A1438" s="40" t="s">
        <v>4257</v>
      </c>
      <c r="B1438" s="40" t="s">
        <v>9021</v>
      </c>
      <c r="C1438" s="41">
        <v>7.0</v>
      </c>
      <c r="D1438" s="41">
        <v>1.0</v>
      </c>
      <c r="E1438" s="42" t="str">
        <f t="shared" si="1"/>
        <v>87.5%</v>
      </c>
    </row>
    <row r="1439">
      <c r="A1439" s="40" t="s">
        <v>4257</v>
      </c>
      <c r="B1439" s="40" t="s">
        <v>8824</v>
      </c>
      <c r="C1439" s="41">
        <v>7.0</v>
      </c>
      <c r="D1439" s="41">
        <v>4.0</v>
      </c>
      <c r="E1439" s="42" t="str">
        <f t="shared" si="1"/>
        <v>63.6%</v>
      </c>
    </row>
    <row r="1440">
      <c r="A1440" s="40" t="s">
        <v>4257</v>
      </c>
      <c r="B1440" s="40" t="s">
        <v>8674</v>
      </c>
      <c r="C1440" s="41">
        <v>7.0</v>
      </c>
      <c r="D1440" s="41">
        <v>11.0</v>
      </c>
      <c r="E1440" s="42" t="str">
        <f t="shared" si="1"/>
        <v>38.9%</v>
      </c>
    </row>
    <row r="1441">
      <c r="A1441" s="40" t="s">
        <v>4257</v>
      </c>
      <c r="B1441" s="40" t="s">
        <v>9017</v>
      </c>
      <c r="C1441" s="41">
        <v>6.0</v>
      </c>
      <c r="D1441" s="41">
        <v>2.0</v>
      </c>
      <c r="E1441" s="42" t="str">
        <f t="shared" si="1"/>
        <v>75.0%</v>
      </c>
    </row>
    <row r="1442">
      <c r="A1442" s="40" t="s">
        <v>4257</v>
      </c>
      <c r="B1442" s="40" t="s">
        <v>8552</v>
      </c>
      <c r="C1442" s="41">
        <v>6.0</v>
      </c>
      <c r="D1442" s="41">
        <v>5.0</v>
      </c>
      <c r="E1442" s="42" t="str">
        <f t="shared" si="1"/>
        <v>54.5%</v>
      </c>
    </row>
    <row r="1443">
      <c r="A1443" s="40" t="s">
        <v>4257</v>
      </c>
      <c r="B1443" s="40" t="s">
        <v>8502</v>
      </c>
      <c r="C1443" s="41">
        <v>6.0</v>
      </c>
      <c r="D1443" s="41">
        <v>10.0</v>
      </c>
      <c r="E1443" s="42" t="str">
        <f t="shared" si="1"/>
        <v>37.5%</v>
      </c>
    </row>
    <row r="1444">
      <c r="A1444" s="40" t="s">
        <v>4257</v>
      </c>
      <c r="B1444" s="40" t="s">
        <v>8773</v>
      </c>
      <c r="C1444" s="41">
        <v>6.0</v>
      </c>
      <c r="D1444" s="41">
        <v>12.0</v>
      </c>
      <c r="E1444" s="42" t="str">
        <f t="shared" si="1"/>
        <v>33.3%</v>
      </c>
    </row>
    <row r="1445">
      <c r="A1445" s="40" t="s">
        <v>4257</v>
      </c>
      <c r="B1445" s="40" t="s">
        <v>8967</v>
      </c>
      <c r="C1445" s="41">
        <v>6.0</v>
      </c>
      <c r="D1445" s="41">
        <v>12.0</v>
      </c>
      <c r="E1445" s="42" t="str">
        <f t="shared" si="1"/>
        <v>33.3%</v>
      </c>
    </row>
    <row r="1446">
      <c r="A1446" s="40" t="s">
        <v>4257</v>
      </c>
      <c r="B1446" s="40" t="s">
        <v>9034</v>
      </c>
      <c r="C1446" s="41">
        <v>5.0</v>
      </c>
      <c r="D1446" s="41">
        <v>5.0</v>
      </c>
      <c r="E1446" s="42" t="str">
        <f t="shared" si="1"/>
        <v>50.0%</v>
      </c>
    </row>
    <row r="1447">
      <c r="A1447" s="40" t="s">
        <v>4257</v>
      </c>
      <c r="B1447" s="40" t="s">
        <v>8581</v>
      </c>
      <c r="C1447" s="41">
        <v>5.0</v>
      </c>
      <c r="D1447" s="41">
        <v>6.0</v>
      </c>
      <c r="E1447" s="42" t="str">
        <f t="shared" si="1"/>
        <v>45.5%</v>
      </c>
    </row>
    <row r="1448">
      <c r="A1448" s="40" t="s">
        <v>4257</v>
      </c>
      <c r="B1448" s="40" t="s">
        <v>8828</v>
      </c>
      <c r="C1448" s="41">
        <v>5.0</v>
      </c>
      <c r="D1448" s="41">
        <v>7.0</v>
      </c>
      <c r="E1448" s="42" t="str">
        <f t="shared" si="1"/>
        <v>41.7%</v>
      </c>
    </row>
    <row r="1449">
      <c r="A1449" s="40" t="s">
        <v>4257</v>
      </c>
      <c r="B1449" s="40" t="s">
        <v>8606</v>
      </c>
      <c r="C1449" s="41">
        <v>5.0</v>
      </c>
      <c r="D1449" s="41">
        <v>8.0</v>
      </c>
      <c r="E1449" s="42" t="str">
        <f t="shared" si="1"/>
        <v>38.5%</v>
      </c>
    </row>
    <row r="1450">
      <c r="A1450" s="40" t="s">
        <v>4257</v>
      </c>
      <c r="B1450" s="40" t="s">
        <v>8839</v>
      </c>
      <c r="C1450" s="41">
        <v>5.0</v>
      </c>
      <c r="D1450" s="41">
        <v>9.0</v>
      </c>
      <c r="E1450" s="42" t="str">
        <f t="shared" si="1"/>
        <v>35.7%</v>
      </c>
    </row>
    <row r="1451">
      <c r="A1451" s="40" t="s">
        <v>4257</v>
      </c>
      <c r="B1451" s="40" t="s">
        <v>8885</v>
      </c>
      <c r="C1451" s="41">
        <v>4.0</v>
      </c>
      <c r="D1451" s="41">
        <v>2.0</v>
      </c>
      <c r="E1451" s="42" t="str">
        <f t="shared" si="1"/>
        <v>66.7%</v>
      </c>
    </row>
    <row r="1452">
      <c r="A1452" s="40" t="s">
        <v>4257</v>
      </c>
      <c r="B1452" s="40" t="s">
        <v>8965</v>
      </c>
      <c r="C1452" s="41">
        <v>4.0</v>
      </c>
      <c r="D1452" s="41">
        <v>2.0</v>
      </c>
      <c r="E1452" s="42" t="str">
        <f t="shared" si="1"/>
        <v>66.7%</v>
      </c>
    </row>
    <row r="1453">
      <c r="A1453" s="40" t="s">
        <v>4257</v>
      </c>
      <c r="B1453" s="40" t="s">
        <v>8533</v>
      </c>
      <c r="C1453" s="41">
        <v>4.0</v>
      </c>
      <c r="D1453" s="41">
        <v>3.0</v>
      </c>
      <c r="E1453" s="42" t="str">
        <f t="shared" si="1"/>
        <v>57.1%</v>
      </c>
    </row>
    <row r="1454">
      <c r="A1454" s="40" t="s">
        <v>4257</v>
      </c>
      <c r="B1454" s="40" t="s">
        <v>8682</v>
      </c>
      <c r="C1454" s="41">
        <v>4.0</v>
      </c>
      <c r="D1454" s="41">
        <v>4.0</v>
      </c>
      <c r="E1454" s="42" t="str">
        <f t="shared" si="1"/>
        <v>50.0%</v>
      </c>
    </row>
    <row r="1455">
      <c r="A1455" s="40" t="s">
        <v>4257</v>
      </c>
      <c r="B1455" s="40" t="s">
        <v>9031</v>
      </c>
      <c r="C1455" s="41">
        <v>4.0</v>
      </c>
      <c r="D1455" s="41">
        <v>4.0</v>
      </c>
      <c r="E1455" s="42" t="str">
        <f t="shared" si="1"/>
        <v>50.0%</v>
      </c>
    </row>
    <row r="1456">
      <c r="A1456" s="40" t="s">
        <v>4257</v>
      </c>
      <c r="B1456" s="40" t="s">
        <v>8503</v>
      </c>
      <c r="C1456" s="41">
        <v>4.0</v>
      </c>
      <c r="D1456" s="41">
        <v>5.0</v>
      </c>
      <c r="E1456" s="42" t="str">
        <f t="shared" si="1"/>
        <v>44.4%</v>
      </c>
    </row>
    <row r="1457">
      <c r="A1457" s="40" t="s">
        <v>4257</v>
      </c>
      <c r="B1457" s="40" t="s">
        <v>8993</v>
      </c>
      <c r="C1457" s="41">
        <v>4.0</v>
      </c>
      <c r="D1457" s="41">
        <v>5.0</v>
      </c>
      <c r="E1457" s="42" t="str">
        <f t="shared" si="1"/>
        <v>44.4%</v>
      </c>
    </row>
    <row r="1458">
      <c r="A1458" s="40" t="s">
        <v>4257</v>
      </c>
      <c r="B1458" s="40" t="s">
        <v>9042</v>
      </c>
      <c r="C1458" s="41">
        <v>4.0</v>
      </c>
      <c r="D1458" s="41">
        <v>7.0</v>
      </c>
      <c r="E1458" s="42" t="str">
        <f t="shared" si="1"/>
        <v>36.4%</v>
      </c>
    </row>
    <row r="1459">
      <c r="A1459" s="40" t="s">
        <v>4257</v>
      </c>
      <c r="B1459" s="40" t="s">
        <v>8838</v>
      </c>
      <c r="C1459" s="41">
        <v>4.0</v>
      </c>
      <c r="D1459" s="41">
        <v>8.0</v>
      </c>
      <c r="E1459" s="42" t="str">
        <f t="shared" si="1"/>
        <v>33.3%</v>
      </c>
    </row>
    <row r="1460">
      <c r="A1460" s="40" t="s">
        <v>4257</v>
      </c>
      <c r="B1460" s="40" t="s">
        <v>8962</v>
      </c>
      <c r="C1460" s="41">
        <v>4.0</v>
      </c>
      <c r="D1460" s="41">
        <v>8.0</v>
      </c>
      <c r="E1460" s="42" t="str">
        <f t="shared" si="1"/>
        <v>33.3%</v>
      </c>
    </row>
    <row r="1461">
      <c r="A1461" s="40" t="s">
        <v>4257</v>
      </c>
      <c r="B1461" s="40" t="s">
        <v>8969</v>
      </c>
      <c r="C1461" s="41">
        <v>4.0</v>
      </c>
      <c r="D1461" s="41">
        <v>8.0</v>
      </c>
      <c r="E1461" s="42" t="str">
        <f t="shared" si="1"/>
        <v>33.3%</v>
      </c>
    </row>
    <row r="1462">
      <c r="A1462" s="40" t="s">
        <v>4257</v>
      </c>
      <c r="B1462" s="40" t="s">
        <v>8834</v>
      </c>
      <c r="C1462" s="41">
        <v>4.0</v>
      </c>
      <c r="D1462" s="41">
        <v>12.0</v>
      </c>
      <c r="E1462" s="42" t="str">
        <f t="shared" si="1"/>
        <v>25.0%</v>
      </c>
    </row>
    <row r="1463">
      <c r="A1463" s="40" t="s">
        <v>4257</v>
      </c>
      <c r="B1463" s="40" t="s">
        <v>8539</v>
      </c>
      <c r="C1463" s="41">
        <v>3.0</v>
      </c>
      <c r="D1463" s="41">
        <v>0.0</v>
      </c>
      <c r="E1463" s="42" t="str">
        <f t="shared" si="1"/>
        <v>100.0%</v>
      </c>
    </row>
    <row r="1464">
      <c r="A1464" s="40" t="s">
        <v>4257</v>
      </c>
      <c r="B1464" s="40" t="s">
        <v>8973</v>
      </c>
      <c r="C1464" s="41">
        <v>3.0</v>
      </c>
      <c r="D1464" s="41">
        <v>0.0</v>
      </c>
      <c r="E1464" s="42" t="str">
        <f t="shared" si="1"/>
        <v>100.0%</v>
      </c>
    </row>
    <row r="1465">
      <c r="A1465" s="40" t="s">
        <v>4257</v>
      </c>
      <c r="B1465" s="40" t="s">
        <v>9060</v>
      </c>
      <c r="C1465" s="41">
        <v>3.0</v>
      </c>
      <c r="D1465" s="41">
        <v>1.0</v>
      </c>
      <c r="E1465" s="42" t="str">
        <f t="shared" si="1"/>
        <v>75.0%</v>
      </c>
    </row>
    <row r="1466">
      <c r="A1466" s="40" t="s">
        <v>4257</v>
      </c>
      <c r="B1466" s="40" t="s">
        <v>9052</v>
      </c>
      <c r="C1466" s="41">
        <v>3.0</v>
      </c>
      <c r="D1466" s="41">
        <v>2.0</v>
      </c>
      <c r="E1466" s="42" t="str">
        <f t="shared" si="1"/>
        <v>60.0%</v>
      </c>
    </row>
    <row r="1467">
      <c r="A1467" s="40" t="s">
        <v>4257</v>
      </c>
      <c r="B1467" s="40" t="s">
        <v>9033</v>
      </c>
      <c r="C1467" s="41">
        <v>3.0</v>
      </c>
      <c r="D1467" s="41">
        <v>3.0</v>
      </c>
      <c r="E1467" s="42" t="str">
        <f t="shared" si="1"/>
        <v>50.0%</v>
      </c>
    </row>
    <row r="1468">
      <c r="A1468" s="40" t="s">
        <v>4257</v>
      </c>
      <c r="B1468" s="40" t="s">
        <v>8652</v>
      </c>
      <c r="C1468" s="41">
        <v>3.0</v>
      </c>
      <c r="D1468" s="41">
        <v>4.0</v>
      </c>
      <c r="E1468" s="42" t="str">
        <f t="shared" si="1"/>
        <v>42.9%</v>
      </c>
    </row>
    <row r="1469">
      <c r="A1469" s="40" t="s">
        <v>4257</v>
      </c>
      <c r="B1469" s="40" t="s">
        <v>8495</v>
      </c>
      <c r="C1469" s="41">
        <v>3.0</v>
      </c>
      <c r="D1469" s="41">
        <v>7.0</v>
      </c>
      <c r="E1469" s="42" t="str">
        <f t="shared" si="1"/>
        <v>30.0%</v>
      </c>
    </row>
    <row r="1470">
      <c r="A1470" s="40" t="s">
        <v>4257</v>
      </c>
      <c r="B1470" s="40" t="s">
        <v>9026</v>
      </c>
      <c r="C1470" s="41">
        <v>3.0</v>
      </c>
      <c r="D1470" s="41">
        <v>7.0</v>
      </c>
      <c r="E1470" s="42" t="str">
        <f t="shared" si="1"/>
        <v>30.0%</v>
      </c>
    </row>
    <row r="1471">
      <c r="A1471" s="40" t="s">
        <v>4257</v>
      </c>
      <c r="B1471" s="40" t="s">
        <v>8496</v>
      </c>
      <c r="C1471" s="41">
        <v>3.0</v>
      </c>
      <c r="D1471" s="41">
        <v>8.0</v>
      </c>
      <c r="E1471" s="42" t="str">
        <f t="shared" si="1"/>
        <v>27.3%</v>
      </c>
    </row>
    <row r="1472">
      <c r="A1472" s="40" t="s">
        <v>4257</v>
      </c>
      <c r="B1472" s="40" t="s">
        <v>8731</v>
      </c>
      <c r="C1472" s="41">
        <v>3.0</v>
      </c>
      <c r="D1472" s="41">
        <v>11.0</v>
      </c>
      <c r="E1472" s="42" t="str">
        <f t="shared" si="1"/>
        <v>21.4%</v>
      </c>
    </row>
    <row r="1473">
      <c r="A1473" s="40" t="s">
        <v>4257</v>
      </c>
      <c r="B1473" s="40" t="s">
        <v>8972</v>
      </c>
      <c r="C1473" s="41">
        <v>3.0</v>
      </c>
      <c r="D1473" s="41">
        <v>13.0</v>
      </c>
      <c r="E1473" s="42" t="str">
        <f t="shared" si="1"/>
        <v>18.8%</v>
      </c>
    </row>
    <row r="1474">
      <c r="A1474" s="40" t="s">
        <v>4257</v>
      </c>
      <c r="B1474" s="40" t="s">
        <v>8490</v>
      </c>
      <c r="C1474" s="41">
        <v>3.0</v>
      </c>
      <c r="D1474" s="41">
        <v>14.0</v>
      </c>
      <c r="E1474" s="42" t="str">
        <f t="shared" si="1"/>
        <v>17.6%</v>
      </c>
    </row>
    <row r="1475">
      <c r="A1475" s="40" t="s">
        <v>4257</v>
      </c>
      <c r="B1475" s="40" t="s">
        <v>8922</v>
      </c>
      <c r="C1475" s="41">
        <v>2.0</v>
      </c>
      <c r="D1475" s="41">
        <v>0.0</v>
      </c>
      <c r="E1475" s="42" t="str">
        <f t="shared" si="1"/>
        <v>100.0%</v>
      </c>
    </row>
    <row r="1476">
      <c r="A1476" s="40" t="s">
        <v>4257</v>
      </c>
      <c r="B1476" s="40" t="s">
        <v>9069</v>
      </c>
      <c r="C1476" s="41">
        <v>2.0</v>
      </c>
      <c r="D1476" s="41">
        <v>0.0</v>
      </c>
      <c r="E1476" s="42" t="str">
        <f t="shared" si="1"/>
        <v>100.0%</v>
      </c>
    </row>
    <row r="1477">
      <c r="A1477" s="40" t="s">
        <v>4257</v>
      </c>
      <c r="B1477" s="40" t="s">
        <v>8894</v>
      </c>
      <c r="C1477" s="41">
        <v>2.0</v>
      </c>
      <c r="D1477" s="41">
        <v>1.0</v>
      </c>
      <c r="E1477" s="42" t="str">
        <f t="shared" si="1"/>
        <v>66.7%</v>
      </c>
    </row>
    <row r="1478">
      <c r="A1478" s="40" t="s">
        <v>4257</v>
      </c>
      <c r="B1478" s="40" t="s">
        <v>8918</v>
      </c>
      <c r="C1478" s="41">
        <v>2.0</v>
      </c>
      <c r="D1478" s="41">
        <v>1.0</v>
      </c>
      <c r="E1478" s="42" t="str">
        <f t="shared" si="1"/>
        <v>66.7%</v>
      </c>
    </row>
    <row r="1479">
      <c r="A1479" s="40" t="s">
        <v>4257</v>
      </c>
      <c r="B1479" s="40" t="s">
        <v>9070</v>
      </c>
      <c r="C1479" s="41">
        <v>2.0</v>
      </c>
      <c r="D1479" s="41">
        <v>1.0</v>
      </c>
      <c r="E1479" s="42" t="str">
        <f t="shared" si="1"/>
        <v>66.7%</v>
      </c>
    </row>
    <row r="1480">
      <c r="A1480" s="40" t="s">
        <v>4257</v>
      </c>
      <c r="B1480" s="40" t="s">
        <v>9030</v>
      </c>
      <c r="C1480" s="41">
        <v>2.0</v>
      </c>
      <c r="D1480" s="41">
        <v>2.0</v>
      </c>
      <c r="E1480" s="42" t="str">
        <f t="shared" si="1"/>
        <v>50.0%</v>
      </c>
    </row>
    <row r="1481">
      <c r="A1481" s="40" t="s">
        <v>4257</v>
      </c>
      <c r="B1481" s="40" t="s">
        <v>9053</v>
      </c>
      <c r="C1481" s="41">
        <v>2.0</v>
      </c>
      <c r="D1481" s="41">
        <v>2.0</v>
      </c>
      <c r="E1481" s="42" t="str">
        <f t="shared" si="1"/>
        <v>50.0%</v>
      </c>
    </row>
    <row r="1482">
      <c r="A1482" s="40" t="s">
        <v>4257</v>
      </c>
      <c r="B1482" s="40" t="s">
        <v>8821</v>
      </c>
      <c r="C1482" s="41">
        <v>2.0</v>
      </c>
      <c r="D1482" s="41">
        <v>3.0</v>
      </c>
      <c r="E1482" s="42" t="str">
        <f t="shared" si="1"/>
        <v>40.0%</v>
      </c>
    </row>
    <row r="1483">
      <c r="A1483" s="40" t="s">
        <v>4257</v>
      </c>
      <c r="B1483" s="40" t="s">
        <v>9028</v>
      </c>
      <c r="C1483" s="41">
        <v>2.0</v>
      </c>
      <c r="D1483" s="41">
        <v>3.0</v>
      </c>
      <c r="E1483" s="42" t="str">
        <f t="shared" si="1"/>
        <v>40.0%</v>
      </c>
    </row>
    <row r="1484">
      <c r="A1484" s="40" t="s">
        <v>4257</v>
      </c>
      <c r="B1484" s="40" t="s">
        <v>9002</v>
      </c>
      <c r="C1484" s="41">
        <v>2.0</v>
      </c>
      <c r="D1484" s="41">
        <v>3.0</v>
      </c>
      <c r="E1484" s="42" t="str">
        <f t="shared" si="1"/>
        <v>40.0%</v>
      </c>
    </row>
    <row r="1485">
      <c r="A1485" s="40" t="s">
        <v>4257</v>
      </c>
      <c r="B1485" s="40" t="s">
        <v>8794</v>
      </c>
      <c r="C1485" s="41">
        <v>2.0</v>
      </c>
      <c r="D1485" s="41">
        <v>5.0</v>
      </c>
      <c r="E1485" s="42" t="str">
        <f t="shared" si="1"/>
        <v>28.6%</v>
      </c>
    </row>
    <row r="1486">
      <c r="A1486" s="40" t="s">
        <v>4257</v>
      </c>
      <c r="B1486" s="40" t="s">
        <v>8793</v>
      </c>
      <c r="C1486" s="41">
        <v>2.0</v>
      </c>
      <c r="D1486" s="41">
        <v>6.0</v>
      </c>
      <c r="E1486" s="42" t="str">
        <f t="shared" si="1"/>
        <v>25.0%</v>
      </c>
    </row>
    <row r="1487">
      <c r="A1487" s="40" t="s">
        <v>4257</v>
      </c>
      <c r="B1487" s="40" t="s">
        <v>8720</v>
      </c>
      <c r="C1487" s="41">
        <v>2.0</v>
      </c>
      <c r="D1487" s="41">
        <v>7.0</v>
      </c>
      <c r="E1487" s="42" t="str">
        <f t="shared" si="1"/>
        <v>22.2%</v>
      </c>
    </row>
    <row r="1488">
      <c r="A1488" s="40" t="s">
        <v>4257</v>
      </c>
      <c r="B1488" s="40" t="s">
        <v>8487</v>
      </c>
      <c r="C1488" s="41">
        <v>2.0</v>
      </c>
      <c r="D1488" s="41">
        <v>8.0</v>
      </c>
      <c r="E1488" s="42" t="str">
        <f t="shared" si="1"/>
        <v>20.0%</v>
      </c>
    </row>
    <row r="1489">
      <c r="A1489" s="40" t="s">
        <v>4257</v>
      </c>
      <c r="B1489" s="40" t="s">
        <v>8641</v>
      </c>
      <c r="C1489" s="41">
        <v>2.0</v>
      </c>
      <c r="D1489" s="41">
        <v>10.0</v>
      </c>
      <c r="E1489" s="42" t="str">
        <f t="shared" si="1"/>
        <v>16.7%</v>
      </c>
    </row>
    <row r="1490">
      <c r="A1490" s="40" t="s">
        <v>4257</v>
      </c>
      <c r="B1490" s="40" t="s">
        <v>8515</v>
      </c>
      <c r="C1490" s="41">
        <v>1.0</v>
      </c>
      <c r="D1490" s="41">
        <v>0.0</v>
      </c>
      <c r="E1490" s="42" t="str">
        <f t="shared" si="1"/>
        <v>100.0%</v>
      </c>
    </row>
    <row r="1491">
      <c r="A1491" s="40" t="s">
        <v>4257</v>
      </c>
      <c r="B1491" s="40" t="s">
        <v>8696</v>
      </c>
      <c r="C1491" s="41">
        <v>1.0</v>
      </c>
      <c r="D1491" s="41">
        <v>0.0</v>
      </c>
      <c r="E1491" s="42" t="str">
        <f t="shared" si="1"/>
        <v>100.0%</v>
      </c>
    </row>
    <row r="1492">
      <c r="A1492" s="40" t="s">
        <v>4257</v>
      </c>
      <c r="B1492" s="40" t="s">
        <v>8572</v>
      </c>
      <c r="C1492" s="41">
        <v>1.0</v>
      </c>
      <c r="D1492" s="41">
        <v>0.0</v>
      </c>
      <c r="E1492" s="42" t="str">
        <f t="shared" si="1"/>
        <v>100.0%</v>
      </c>
    </row>
    <row r="1493">
      <c r="A1493" s="40" t="s">
        <v>4257</v>
      </c>
      <c r="B1493" s="40" t="s">
        <v>8498</v>
      </c>
      <c r="C1493" s="41">
        <v>1.0</v>
      </c>
      <c r="D1493" s="41">
        <v>0.0</v>
      </c>
      <c r="E1493" s="42" t="str">
        <f t="shared" si="1"/>
        <v>100.0%</v>
      </c>
    </row>
    <row r="1494">
      <c r="A1494" s="40" t="s">
        <v>4257</v>
      </c>
      <c r="B1494" s="40" t="s">
        <v>8519</v>
      </c>
      <c r="C1494" s="41">
        <v>1.0</v>
      </c>
      <c r="D1494" s="41">
        <v>0.0</v>
      </c>
      <c r="E1494" s="42" t="str">
        <f t="shared" si="1"/>
        <v>100.0%</v>
      </c>
    </row>
    <row r="1495">
      <c r="A1495" s="40" t="s">
        <v>4257</v>
      </c>
      <c r="B1495" s="40" t="s">
        <v>8633</v>
      </c>
      <c r="C1495" s="41">
        <v>1.0</v>
      </c>
      <c r="D1495" s="41">
        <v>0.0</v>
      </c>
      <c r="E1495" s="42" t="str">
        <f t="shared" si="1"/>
        <v>100.0%</v>
      </c>
    </row>
    <row r="1496">
      <c r="A1496" s="40" t="s">
        <v>4257</v>
      </c>
      <c r="B1496" s="40" t="s">
        <v>8582</v>
      </c>
      <c r="C1496" s="41">
        <v>1.0</v>
      </c>
      <c r="D1496" s="41">
        <v>0.0</v>
      </c>
      <c r="E1496" s="42" t="str">
        <f t="shared" si="1"/>
        <v>100.0%</v>
      </c>
    </row>
    <row r="1497">
      <c r="A1497" s="40" t="s">
        <v>4257</v>
      </c>
      <c r="B1497" s="40" t="s">
        <v>8683</v>
      </c>
      <c r="C1497" s="41">
        <v>1.0</v>
      </c>
      <c r="D1497" s="41">
        <v>0.0</v>
      </c>
      <c r="E1497" s="42" t="str">
        <f t="shared" si="1"/>
        <v>100.0%</v>
      </c>
    </row>
    <row r="1498">
      <c r="A1498" s="40" t="s">
        <v>4257</v>
      </c>
      <c r="B1498" s="40" t="s">
        <v>8909</v>
      </c>
      <c r="C1498" s="41">
        <v>1.0</v>
      </c>
      <c r="D1498" s="41">
        <v>0.0</v>
      </c>
      <c r="E1498" s="42" t="str">
        <f t="shared" si="1"/>
        <v>100.0%</v>
      </c>
    </row>
    <row r="1499">
      <c r="A1499" s="40" t="s">
        <v>4257</v>
      </c>
      <c r="B1499" s="40" t="s">
        <v>8880</v>
      </c>
      <c r="C1499" s="41">
        <v>1.0</v>
      </c>
      <c r="D1499" s="41">
        <v>0.0</v>
      </c>
      <c r="E1499" s="42" t="str">
        <f t="shared" si="1"/>
        <v>100.0%</v>
      </c>
    </row>
    <row r="1500">
      <c r="A1500" s="40" t="s">
        <v>4257</v>
      </c>
      <c r="B1500" s="40" t="s">
        <v>8917</v>
      </c>
      <c r="C1500" s="41">
        <v>1.0</v>
      </c>
      <c r="D1500" s="41">
        <v>0.0</v>
      </c>
      <c r="E1500" s="42" t="str">
        <f t="shared" si="1"/>
        <v>100.0%</v>
      </c>
    </row>
    <row r="1501">
      <c r="A1501" s="40" t="s">
        <v>4257</v>
      </c>
      <c r="B1501" s="40" t="s">
        <v>8916</v>
      </c>
      <c r="C1501" s="41">
        <v>1.0</v>
      </c>
      <c r="D1501" s="41">
        <v>0.0</v>
      </c>
      <c r="E1501" s="42" t="str">
        <f t="shared" si="1"/>
        <v>100.0%</v>
      </c>
    </row>
    <row r="1502">
      <c r="A1502" s="40" t="s">
        <v>4257</v>
      </c>
      <c r="B1502" s="40" t="s">
        <v>8957</v>
      </c>
      <c r="C1502" s="41">
        <v>1.0</v>
      </c>
      <c r="D1502" s="41">
        <v>0.0</v>
      </c>
      <c r="E1502" s="42" t="str">
        <f t="shared" si="1"/>
        <v>100.0%</v>
      </c>
    </row>
    <row r="1503">
      <c r="A1503" s="40" t="s">
        <v>4257</v>
      </c>
      <c r="B1503" s="40" t="s">
        <v>9047</v>
      </c>
      <c r="C1503" s="41">
        <v>1.0</v>
      </c>
      <c r="D1503" s="41">
        <v>0.0</v>
      </c>
      <c r="E1503" s="42" t="str">
        <f t="shared" si="1"/>
        <v>100.0%</v>
      </c>
    </row>
    <row r="1504">
      <c r="A1504" s="40" t="s">
        <v>4257</v>
      </c>
      <c r="B1504" s="40" t="s">
        <v>9071</v>
      </c>
      <c r="C1504" s="41">
        <v>1.0</v>
      </c>
      <c r="D1504" s="41">
        <v>0.0</v>
      </c>
      <c r="E1504" s="42" t="str">
        <f t="shared" si="1"/>
        <v>100.0%</v>
      </c>
    </row>
    <row r="1505">
      <c r="A1505" s="40" t="s">
        <v>4257</v>
      </c>
      <c r="B1505" s="40" t="s">
        <v>9072</v>
      </c>
      <c r="C1505" s="41">
        <v>1.0</v>
      </c>
      <c r="D1505" s="41">
        <v>0.0</v>
      </c>
      <c r="E1505" s="42" t="str">
        <f t="shared" si="1"/>
        <v>100.0%</v>
      </c>
    </row>
    <row r="1506">
      <c r="A1506" s="40" t="s">
        <v>4257</v>
      </c>
      <c r="B1506" s="40" t="s">
        <v>9073</v>
      </c>
      <c r="C1506" s="41">
        <v>1.0</v>
      </c>
      <c r="D1506" s="41">
        <v>0.0</v>
      </c>
      <c r="E1506" s="42" t="str">
        <f t="shared" si="1"/>
        <v>100.0%</v>
      </c>
    </row>
    <row r="1507">
      <c r="A1507" s="40" t="s">
        <v>4257</v>
      </c>
      <c r="B1507" s="40" t="s">
        <v>9074</v>
      </c>
      <c r="C1507" s="41">
        <v>1.0</v>
      </c>
      <c r="D1507" s="41">
        <v>0.0</v>
      </c>
      <c r="E1507" s="42" t="str">
        <f t="shared" si="1"/>
        <v>100.0%</v>
      </c>
    </row>
    <row r="1508">
      <c r="A1508" s="40" t="s">
        <v>4257</v>
      </c>
      <c r="B1508" s="40" t="s">
        <v>9075</v>
      </c>
      <c r="C1508" s="41">
        <v>1.0</v>
      </c>
      <c r="D1508" s="41">
        <v>0.0</v>
      </c>
      <c r="E1508" s="42" t="str">
        <f t="shared" si="1"/>
        <v>100.0%</v>
      </c>
    </row>
    <row r="1509">
      <c r="A1509" s="40" t="s">
        <v>4257</v>
      </c>
      <c r="B1509" s="40" t="s">
        <v>9076</v>
      </c>
      <c r="C1509" s="41">
        <v>1.0</v>
      </c>
      <c r="D1509" s="41">
        <v>0.0</v>
      </c>
      <c r="E1509" s="42" t="str">
        <f t="shared" si="1"/>
        <v>100.0%</v>
      </c>
    </row>
    <row r="1510">
      <c r="A1510" s="40" t="s">
        <v>4257</v>
      </c>
      <c r="B1510" s="40" t="s">
        <v>9077</v>
      </c>
      <c r="C1510" s="41">
        <v>1.0</v>
      </c>
      <c r="D1510" s="41">
        <v>0.0</v>
      </c>
      <c r="E1510" s="42" t="str">
        <f t="shared" si="1"/>
        <v>100.0%</v>
      </c>
    </row>
    <row r="1511">
      <c r="A1511" s="40" t="s">
        <v>4257</v>
      </c>
      <c r="B1511" s="40" t="s">
        <v>9078</v>
      </c>
      <c r="C1511" s="41">
        <v>1.0</v>
      </c>
      <c r="D1511" s="41">
        <v>0.0</v>
      </c>
      <c r="E1511" s="42" t="str">
        <f t="shared" si="1"/>
        <v>100.0%</v>
      </c>
    </row>
    <row r="1512">
      <c r="A1512" s="40" t="s">
        <v>4257</v>
      </c>
      <c r="B1512" s="40" t="s">
        <v>9079</v>
      </c>
      <c r="C1512" s="41">
        <v>1.0</v>
      </c>
      <c r="D1512" s="41">
        <v>0.0</v>
      </c>
      <c r="E1512" s="42" t="str">
        <f t="shared" si="1"/>
        <v>100.0%</v>
      </c>
    </row>
    <row r="1513">
      <c r="A1513" s="40" t="s">
        <v>4257</v>
      </c>
      <c r="B1513" s="40" t="s">
        <v>9080</v>
      </c>
      <c r="C1513" s="41">
        <v>1.0</v>
      </c>
      <c r="D1513" s="41">
        <v>0.0</v>
      </c>
      <c r="E1513" s="42" t="str">
        <f t="shared" si="1"/>
        <v>100.0%</v>
      </c>
    </row>
    <row r="1514">
      <c r="A1514" s="40" t="s">
        <v>4257</v>
      </c>
      <c r="B1514" s="40" t="s">
        <v>9081</v>
      </c>
      <c r="C1514" s="41">
        <v>1.0</v>
      </c>
      <c r="D1514" s="41">
        <v>0.0</v>
      </c>
      <c r="E1514" s="42" t="str">
        <f t="shared" si="1"/>
        <v>100.0%</v>
      </c>
    </row>
    <row r="1515">
      <c r="A1515" s="40" t="s">
        <v>4257</v>
      </c>
      <c r="B1515" s="40" t="s">
        <v>8570</v>
      </c>
      <c r="C1515" s="41">
        <v>1.0</v>
      </c>
      <c r="D1515" s="41">
        <v>1.0</v>
      </c>
      <c r="E1515" s="42" t="str">
        <f t="shared" si="1"/>
        <v>50.0%</v>
      </c>
    </row>
    <row r="1516">
      <c r="A1516" s="40" t="s">
        <v>4257</v>
      </c>
      <c r="B1516" s="40" t="s">
        <v>8580</v>
      </c>
      <c r="C1516" s="41">
        <v>1.0</v>
      </c>
      <c r="D1516" s="41">
        <v>1.0</v>
      </c>
      <c r="E1516" s="42" t="str">
        <f t="shared" si="1"/>
        <v>50.0%</v>
      </c>
    </row>
    <row r="1517">
      <c r="A1517" s="40" t="s">
        <v>4257</v>
      </c>
      <c r="B1517" s="40" t="s">
        <v>8775</v>
      </c>
      <c r="C1517" s="41">
        <v>1.0</v>
      </c>
      <c r="D1517" s="41">
        <v>1.0</v>
      </c>
      <c r="E1517" s="42" t="str">
        <f t="shared" si="1"/>
        <v>50.0%</v>
      </c>
    </row>
    <row r="1518">
      <c r="A1518" s="40" t="s">
        <v>4257</v>
      </c>
      <c r="B1518" s="40" t="s">
        <v>8777</v>
      </c>
      <c r="C1518" s="41">
        <v>1.0</v>
      </c>
      <c r="D1518" s="41">
        <v>1.0</v>
      </c>
      <c r="E1518" s="42" t="str">
        <f t="shared" si="1"/>
        <v>50.0%</v>
      </c>
    </row>
    <row r="1519">
      <c r="A1519" s="40" t="s">
        <v>4257</v>
      </c>
      <c r="B1519" s="40" t="s">
        <v>8826</v>
      </c>
      <c r="C1519" s="41">
        <v>1.0</v>
      </c>
      <c r="D1519" s="41">
        <v>1.0</v>
      </c>
      <c r="E1519" s="42" t="str">
        <f t="shared" si="1"/>
        <v>50.0%</v>
      </c>
    </row>
    <row r="1520">
      <c r="A1520" s="40" t="s">
        <v>4257</v>
      </c>
      <c r="B1520" s="40" t="s">
        <v>8844</v>
      </c>
      <c r="C1520" s="41">
        <v>1.0</v>
      </c>
      <c r="D1520" s="41">
        <v>1.0</v>
      </c>
      <c r="E1520" s="42" t="str">
        <f t="shared" si="1"/>
        <v>50.0%</v>
      </c>
    </row>
    <row r="1521">
      <c r="A1521" s="40" t="s">
        <v>4257</v>
      </c>
      <c r="B1521" s="40" t="s">
        <v>8930</v>
      </c>
      <c r="C1521" s="41">
        <v>1.0</v>
      </c>
      <c r="D1521" s="41">
        <v>1.0</v>
      </c>
      <c r="E1521" s="42" t="str">
        <f t="shared" si="1"/>
        <v>50.0%</v>
      </c>
    </row>
    <row r="1522">
      <c r="A1522" s="40" t="s">
        <v>4257</v>
      </c>
      <c r="B1522" s="40" t="s">
        <v>8959</v>
      </c>
      <c r="C1522" s="41">
        <v>1.0</v>
      </c>
      <c r="D1522" s="41">
        <v>1.0</v>
      </c>
      <c r="E1522" s="42" t="str">
        <f t="shared" si="1"/>
        <v>50.0%</v>
      </c>
    </row>
    <row r="1523">
      <c r="A1523" s="40" t="s">
        <v>4257</v>
      </c>
      <c r="B1523" s="40" t="s">
        <v>8961</v>
      </c>
      <c r="C1523" s="41">
        <v>1.0</v>
      </c>
      <c r="D1523" s="41">
        <v>1.0</v>
      </c>
      <c r="E1523" s="42" t="str">
        <f t="shared" si="1"/>
        <v>50.0%</v>
      </c>
    </row>
    <row r="1524">
      <c r="A1524" s="40" t="s">
        <v>4257</v>
      </c>
      <c r="B1524" s="40" t="s">
        <v>9082</v>
      </c>
      <c r="C1524" s="41">
        <v>1.0</v>
      </c>
      <c r="D1524" s="41">
        <v>1.0</v>
      </c>
      <c r="E1524" s="42" t="str">
        <f t="shared" si="1"/>
        <v>50.0%</v>
      </c>
    </row>
    <row r="1525">
      <c r="A1525" s="40" t="s">
        <v>4257</v>
      </c>
      <c r="B1525" s="40" t="s">
        <v>9083</v>
      </c>
      <c r="C1525" s="41">
        <v>1.0</v>
      </c>
      <c r="D1525" s="41">
        <v>1.0</v>
      </c>
      <c r="E1525" s="42" t="str">
        <f t="shared" si="1"/>
        <v>50.0%</v>
      </c>
    </row>
    <row r="1526">
      <c r="A1526" s="40" t="s">
        <v>4257</v>
      </c>
      <c r="B1526" s="40" t="s">
        <v>9084</v>
      </c>
      <c r="C1526" s="41">
        <v>1.0</v>
      </c>
      <c r="D1526" s="41">
        <v>1.0</v>
      </c>
      <c r="E1526" s="42" t="str">
        <f t="shared" si="1"/>
        <v>50.0%</v>
      </c>
    </row>
    <row r="1527">
      <c r="A1527" s="40" t="s">
        <v>4257</v>
      </c>
      <c r="B1527" s="40" t="s">
        <v>9085</v>
      </c>
      <c r="C1527" s="41">
        <v>1.0</v>
      </c>
      <c r="D1527" s="41">
        <v>1.0</v>
      </c>
      <c r="E1527" s="42" t="str">
        <f t="shared" si="1"/>
        <v>50.0%</v>
      </c>
    </row>
    <row r="1528">
      <c r="A1528" s="40" t="s">
        <v>4257</v>
      </c>
      <c r="B1528" s="40" t="s">
        <v>9086</v>
      </c>
      <c r="C1528" s="41">
        <v>1.0</v>
      </c>
      <c r="D1528" s="41">
        <v>1.0</v>
      </c>
      <c r="E1528" s="42" t="str">
        <f t="shared" si="1"/>
        <v>50.0%</v>
      </c>
    </row>
    <row r="1529">
      <c r="A1529" s="40" t="s">
        <v>4257</v>
      </c>
      <c r="B1529" s="40" t="s">
        <v>8537</v>
      </c>
      <c r="C1529" s="41">
        <v>1.0</v>
      </c>
      <c r="D1529" s="41">
        <v>2.0</v>
      </c>
      <c r="E1529" s="42" t="str">
        <f t="shared" si="1"/>
        <v>33.3%</v>
      </c>
    </row>
    <row r="1530">
      <c r="A1530" s="40" t="s">
        <v>4257</v>
      </c>
      <c r="B1530" s="40" t="s">
        <v>8507</v>
      </c>
      <c r="C1530" s="41">
        <v>1.0</v>
      </c>
      <c r="D1530" s="41">
        <v>2.0</v>
      </c>
      <c r="E1530" s="42" t="str">
        <f t="shared" si="1"/>
        <v>33.3%</v>
      </c>
    </row>
    <row r="1531">
      <c r="A1531" s="40" t="s">
        <v>4257</v>
      </c>
      <c r="B1531" s="40" t="s">
        <v>8964</v>
      </c>
      <c r="C1531" s="41">
        <v>1.0</v>
      </c>
      <c r="D1531" s="41">
        <v>2.0</v>
      </c>
      <c r="E1531" s="42" t="str">
        <f t="shared" si="1"/>
        <v>33.3%</v>
      </c>
    </row>
    <row r="1532">
      <c r="A1532" s="40" t="s">
        <v>4257</v>
      </c>
      <c r="B1532" s="40" t="s">
        <v>8980</v>
      </c>
      <c r="C1532" s="41">
        <v>1.0</v>
      </c>
      <c r="D1532" s="41">
        <v>2.0</v>
      </c>
      <c r="E1532" s="42" t="str">
        <f t="shared" si="1"/>
        <v>33.3%</v>
      </c>
    </row>
    <row r="1533">
      <c r="A1533" s="40" t="s">
        <v>4257</v>
      </c>
      <c r="B1533" s="40" t="s">
        <v>9045</v>
      </c>
      <c r="C1533" s="41">
        <v>1.0</v>
      </c>
      <c r="D1533" s="41">
        <v>2.0</v>
      </c>
      <c r="E1533" s="42" t="str">
        <f t="shared" si="1"/>
        <v>33.3%</v>
      </c>
    </row>
    <row r="1534">
      <c r="A1534" s="40" t="s">
        <v>4257</v>
      </c>
      <c r="B1534" s="40" t="s">
        <v>9040</v>
      </c>
      <c r="C1534" s="41">
        <v>1.0</v>
      </c>
      <c r="D1534" s="41">
        <v>2.0</v>
      </c>
      <c r="E1534" s="42" t="str">
        <f t="shared" si="1"/>
        <v>33.3%</v>
      </c>
    </row>
    <row r="1535">
      <c r="A1535" s="40" t="s">
        <v>4257</v>
      </c>
      <c r="B1535" s="40" t="s">
        <v>8778</v>
      </c>
      <c r="C1535" s="41">
        <v>1.0</v>
      </c>
      <c r="D1535" s="41">
        <v>3.0</v>
      </c>
      <c r="E1535" s="42" t="str">
        <f t="shared" si="1"/>
        <v>25.0%</v>
      </c>
    </row>
    <row r="1536">
      <c r="A1536" s="40" t="s">
        <v>4257</v>
      </c>
      <c r="B1536" s="40" t="s">
        <v>8876</v>
      </c>
      <c r="C1536" s="41">
        <v>1.0</v>
      </c>
      <c r="D1536" s="41">
        <v>3.0</v>
      </c>
      <c r="E1536" s="42" t="str">
        <f t="shared" si="1"/>
        <v>25.0%</v>
      </c>
    </row>
    <row r="1537">
      <c r="A1537" s="40" t="s">
        <v>4257</v>
      </c>
      <c r="B1537" s="40" t="s">
        <v>8946</v>
      </c>
      <c r="C1537" s="41">
        <v>1.0</v>
      </c>
      <c r="D1537" s="41">
        <v>3.0</v>
      </c>
      <c r="E1537" s="42" t="str">
        <f t="shared" si="1"/>
        <v>25.0%</v>
      </c>
    </row>
    <row r="1538">
      <c r="A1538" s="40" t="s">
        <v>4257</v>
      </c>
      <c r="B1538" s="40" t="s">
        <v>8948</v>
      </c>
      <c r="C1538" s="41">
        <v>1.0</v>
      </c>
      <c r="D1538" s="41">
        <v>3.0</v>
      </c>
      <c r="E1538" s="42" t="str">
        <f t="shared" si="1"/>
        <v>25.0%</v>
      </c>
    </row>
    <row r="1539">
      <c r="A1539" s="40" t="s">
        <v>4257</v>
      </c>
      <c r="B1539" s="40" t="s">
        <v>9035</v>
      </c>
      <c r="C1539" s="41">
        <v>1.0</v>
      </c>
      <c r="D1539" s="41">
        <v>3.0</v>
      </c>
      <c r="E1539" s="42" t="str">
        <f t="shared" si="1"/>
        <v>25.0%</v>
      </c>
    </row>
    <row r="1540">
      <c r="A1540" s="40" t="s">
        <v>4257</v>
      </c>
      <c r="B1540" s="40" t="s">
        <v>9087</v>
      </c>
      <c r="C1540" s="41">
        <v>1.0</v>
      </c>
      <c r="D1540" s="41">
        <v>3.0</v>
      </c>
      <c r="E1540" s="42" t="str">
        <f t="shared" si="1"/>
        <v>25.0%</v>
      </c>
    </row>
    <row r="1541">
      <c r="A1541" s="40" t="s">
        <v>4257</v>
      </c>
      <c r="B1541" s="40" t="s">
        <v>8988</v>
      </c>
      <c r="C1541" s="41">
        <v>1.0</v>
      </c>
      <c r="D1541" s="41">
        <v>4.0</v>
      </c>
      <c r="E1541" s="42" t="str">
        <f t="shared" si="1"/>
        <v>20.0%</v>
      </c>
    </row>
    <row r="1542">
      <c r="A1542" s="40" t="s">
        <v>4257</v>
      </c>
      <c r="B1542" s="40" t="s">
        <v>9088</v>
      </c>
      <c r="C1542" s="41">
        <v>1.0</v>
      </c>
      <c r="D1542" s="41">
        <v>4.0</v>
      </c>
      <c r="E1542" s="42" t="str">
        <f t="shared" si="1"/>
        <v>20.0%</v>
      </c>
    </row>
    <row r="1543">
      <c r="A1543" s="40" t="s">
        <v>4257</v>
      </c>
      <c r="B1543" s="40" t="s">
        <v>8541</v>
      </c>
      <c r="C1543" s="41">
        <v>0.0</v>
      </c>
      <c r="D1543" s="41">
        <v>1.0</v>
      </c>
      <c r="E1543" s="42" t="str">
        <f t="shared" si="1"/>
        <v>0.0%</v>
      </c>
    </row>
    <row r="1544">
      <c r="A1544" s="40" t="s">
        <v>4257</v>
      </c>
      <c r="B1544" s="40" t="s">
        <v>8637</v>
      </c>
      <c r="C1544" s="41">
        <v>0.0</v>
      </c>
      <c r="D1544" s="41">
        <v>1.0</v>
      </c>
      <c r="E1544" s="42" t="str">
        <f t="shared" si="1"/>
        <v>0.0%</v>
      </c>
    </row>
    <row r="1545">
      <c r="A1545" s="40" t="s">
        <v>4257</v>
      </c>
      <c r="B1545" s="40" t="s">
        <v>8620</v>
      </c>
      <c r="C1545" s="41">
        <v>0.0</v>
      </c>
      <c r="D1545" s="41">
        <v>1.0</v>
      </c>
      <c r="E1545" s="42" t="str">
        <f t="shared" si="1"/>
        <v>0.0%</v>
      </c>
    </row>
    <row r="1546">
      <c r="A1546" s="40" t="s">
        <v>4257</v>
      </c>
      <c r="B1546" s="40" t="s">
        <v>8808</v>
      </c>
      <c r="C1546" s="41">
        <v>0.0</v>
      </c>
      <c r="D1546" s="41">
        <v>1.0</v>
      </c>
      <c r="E1546" s="42" t="str">
        <f t="shared" si="1"/>
        <v>0.0%</v>
      </c>
    </row>
    <row r="1547">
      <c r="A1547" s="40" t="s">
        <v>4257</v>
      </c>
      <c r="B1547" s="40" t="s">
        <v>8888</v>
      </c>
      <c r="C1547" s="41">
        <v>0.0</v>
      </c>
      <c r="D1547" s="41">
        <v>1.0</v>
      </c>
      <c r="E1547" s="42" t="str">
        <f t="shared" si="1"/>
        <v>0.0%</v>
      </c>
    </row>
    <row r="1548">
      <c r="A1548" s="40" t="s">
        <v>4257</v>
      </c>
      <c r="B1548" s="40" t="s">
        <v>8833</v>
      </c>
      <c r="C1548" s="41">
        <v>0.0</v>
      </c>
      <c r="D1548" s="41">
        <v>1.0</v>
      </c>
      <c r="E1548" s="42" t="str">
        <f t="shared" si="1"/>
        <v>0.0%</v>
      </c>
    </row>
    <row r="1549">
      <c r="A1549" s="40" t="s">
        <v>4257</v>
      </c>
      <c r="B1549" s="40" t="s">
        <v>8908</v>
      </c>
      <c r="C1549" s="41">
        <v>0.0</v>
      </c>
      <c r="D1549" s="41">
        <v>1.0</v>
      </c>
      <c r="E1549" s="42" t="str">
        <f t="shared" si="1"/>
        <v>0.0%</v>
      </c>
    </row>
    <row r="1550">
      <c r="A1550" s="40" t="s">
        <v>4257</v>
      </c>
      <c r="B1550" s="40" t="s">
        <v>8914</v>
      </c>
      <c r="C1550" s="41">
        <v>0.0</v>
      </c>
      <c r="D1550" s="41">
        <v>1.0</v>
      </c>
      <c r="E1550" s="42" t="str">
        <f t="shared" si="1"/>
        <v>0.0%</v>
      </c>
    </row>
    <row r="1551">
      <c r="A1551" s="40" t="s">
        <v>4257</v>
      </c>
      <c r="B1551" s="40" t="s">
        <v>9036</v>
      </c>
      <c r="C1551" s="41">
        <v>0.0</v>
      </c>
      <c r="D1551" s="41">
        <v>1.0</v>
      </c>
      <c r="E1551" s="42" t="str">
        <f t="shared" si="1"/>
        <v>0.0%</v>
      </c>
    </row>
    <row r="1552">
      <c r="A1552" s="40" t="s">
        <v>4257</v>
      </c>
      <c r="B1552" s="40" t="s">
        <v>8919</v>
      </c>
      <c r="C1552" s="41">
        <v>0.0</v>
      </c>
      <c r="D1552" s="41">
        <v>1.0</v>
      </c>
      <c r="E1552" s="42" t="str">
        <f t="shared" si="1"/>
        <v>0.0%</v>
      </c>
    </row>
    <row r="1553">
      <c r="A1553" s="40" t="s">
        <v>4257</v>
      </c>
      <c r="B1553" s="40" t="s">
        <v>8950</v>
      </c>
      <c r="C1553" s="41">
        <v>0.0</v>
      </c>
      <c r="D1553" s="41">
        <v>1.0</v>
      </c>
      <c r="E1553" s="42" t="str">
        <f t="shared" si="1"/>
        <v>0.0%</v>
      </c>
    </row>
    <row r="1554">
      <c r="A1554" s="40" t="s">
        <v>4257</v>
      </c>
      <c r="B1554" s="40" t="s">
        <v>8951</v>
      </c>
      <c r="C1554" s="41">
        <v>0.0</v>
      </c>
      <c r="D1554" s="41">
        <v>1.0</v>
      </c>
      <c r="E1554" s="42" t="str">
        <f t="shared" si="1"/>
        <v>0.0%</v>
      </c>
    </row>
    <row r="1555">
      <c r="A1555" s="40" t="s">
        <v>4257</v>
      </c>
      <c r="B1555" s="40" t="s">
        <v>8963</v>
      </c>
      <c r="C1555" s="41">
        <v>0.0</v>
      </c>
      <c r="D1555" s="41">
        <v>1.0</v>
      </c>
      <c r="E1555" s="42" t="str">
        <f t="shared" si="1"/>
        <v>0.0%</v>
      </c>
    </row>
    <row r="1556">
      <c r="A1556" s="40" t="s">
        <v>4257</v>
      </c>
      <c r="B1556" s="40" t="s">
        <v>9054</v>
      </c>
      <c r="C1556" s="41">
        <v>0.0</v>
      </c>
      <c r="D1556" s="41">
        <v>1.0</v>
      </c>
      <c r="E1556" s="42" t="str">
        <f t="shared" si="1"/>
        <v>0.0%</v>
      </c>
    </row>
    <row r="1557">
      <c r="A1557" s="40" t="s">
        <v>4257</v>
      </c>
      <c r="B1557" s="40" t="s">
        <v>9049</v>
      </c>
      <c r="C1557" s="41">
        <v>0.0</v>
      </c>
      <c r="D1557" s="41">
        <v>1.0</v>
      </c>
      <c r="E1557" s="42" t="str">
        <f t="shared" si="1"/>
        <v>0.0%</v>
      </c>
    </row>
    <row r="1558">
      <c r="A1558" s="40" t="s">
        <v>4257</v>
      </c>
      <c r="B1558" s="40" t="s">
        <v>9068</v>
      </c>
      <c r="C1558" s="41">
        <v>0.0</v>
      </c>
      <c r="D1558" s="41">
        <v>1.0</v>
      </c>
      <c r="E1558" s="42" t="str">
        <f t="shared" si="1"/>
        <v>0.0%</v>
      </c>
    </row>
    <row r="1559">
      <c r="A1559" s="40" t="s">
        <v>4257</v>
      </c>
      <c r="B1559" s="40" t="s">
        <v>9064</v>
      </c>
      <c r="C1559" s="41">
        <v>0.0</v>
      </c>
      <c r="D1559" s="41">
        <v>1.0</v>
      </c>
      <c r="E1559" s="42" t="str">
        <f t="shared" si="1"/>
        <v>0.0%</v>
      </c>
    </row>
    <row r="1560">
      <c r="A1560" s="40" t="s">
        <v>4257</v>
      </c>
      <c r="B1560" s="40" t="s">
        <v>9089</v>
      </c>
      <c r="C1560" s="41">
        <v>0.0</v>
      </c>
      <c r="D1560" s="41">
        <v>1.0</v>
      </c>
      <c r="E1560" s="42" t="str">
        <f t="shared" si="1"/>
        <v>0.0%</v>
      </c>
    </row>
    <row r="1561">
      <c r="A1561" s="40" t="s">
        <v>4257</v>
      </c>
      <c r="B1561" s="40" t="s">
        <v>9090</v>
      </c>
      <c r="C1561" s="41">
        <v>0.0</v>
      </c>
      <c r="D1561" s="41">
        <v>1.0</v>
      </c>
      <c r="E1561" s="42" t="str">
        <f t="shared" si="1"/>
        <v>0.0%</v>
      </c>
    </row>
    <row r="1562">
      <c r="A1562" s="40" t="s">
        <v>4257</v>
      </c>
      <c r="B1562" s="40" t="s">
        <v>9091</v>
      </c>
      <c r="C1562" s="41">
        <v>0.0</v>
      </c>
      <c r="D1562" s="41">
        <v>1.0</v>
      </c>
      <c r="E1562" s="42" t="str">
        <f t="shared" si="1"/>
        <v>0.0%</v>
      </c>
    </row>
    <row r="1563">
      <c r="A1563" s="40" t="s">
        <v>4257</v>
      </c>
      <c r="B1563" s="40" t="s">
        <v>9092</v>
      </c>
      <c r="C1563" s="41">
        <v>0.0</v>
      </c>
      <c r="D1563" s="41">
        <v>1.0</v>
      </c>
      <c r="E1563" s="42" t="str">
        <f t="shared" si="1"/>
        <v>0.0%</v>
      </c>
    </row>
    <row r="1564">
      <c r="A1564" s="40" t="s">
        <v>4257</v>
      </c>
      <c r="B1564" s="40" t="s">
        <v>9093</v>
      </c>
      <c r="C1564" s="41">
        <v>0.0</v>
      </c>
      <c r="D1564" s="41">
        <v>1.0</v>
      </c>
      <c r="E1564" s="42" t="str">
        <f t="shared" si="1"/>
        <v>0.0%</v>
      </c>
    </row>
    <row r="1565">
      <c r="A1565" s="40" t="s">
        <v>4257</v>
      </c>
      <c r="B1565" s="40" t="s">
        <v>9094</v>
      </c>
      <c r="C1565" s="41">
        <v>0.0</v>
      </c>
      <c r="D1565" s="41">
        <v>1.0</v>
      </c>
      <c r="E1565" s="42" t="str">
        <f t="shared" si="1"/>
        <v>0.0%</v>
      </c>
    </row>
    <row r="1566">
      <c r="A1566" s="40" t="s">
        <v>4257</v>
      </c>
      <c r="B1566" s="40" t="s">
        <v>9095</v>
      </c>
      <c r="C1566" s="41">
        <v>0.0</v>
      </c>
      <c r="D1566" s="41">
        <v>1.0</v>
      </c>
      <c r="E1566" s="42" t="str">
        <f t="shared" si="1"/>
        <v>0.0%</v>
      </c>
    </row>
    <row r="1567">
      <c r="A1567" s="40" t="s">
        <v>4257</v>
      </c>
      <c r="B1567" s="40" t="s">
        <v>9096</v>
      </c>
      <c r="C1567" s="41">
        <v>0.0</v>
      </c>
      <c r="D1567" s="41">
        <v>1.0</v>
      </c>
      <c r="E1567" s="42" t="str">
        <f t="shared" si="1"/>
        <v>0.0%</v>
      </c>
    </row>
    <row r="1568">
      <c r="A1568" s="40" t="s">
        <v>4257</v>
      </c>
      <c r="B1568" s="40" t="s">
        <v>9097</v>
      </c>
      <c r="C1568" s="41">
        <v>0.0</v>
      </c>
      <c r="D1568" s="41">
        <v>1.0</v>
      </c>
      <c r="E1568" s="42" t="str">
        <f t="shared" si="1"/>
        <v>0.0%</v>
      </c>
    </row>
    <row r="1569">
      <c r="A1569" s="40" t="s">
        <v>4257</v>
      </c>
      <c r="B1569" s="40" t="s">
        <v>9098</v>
      </c>
      <c r="C1569" s="41">
        <v>0.0</v>
      </c>
      <c r="D1569" s="41">
        <v>1.0</v>
      </c>
      <c r="E1569" s="42" t="str">
        <f t="shared" si="1"/>
        <v>0.0%</v>
      </c>
    </row>
    <row r="1570">
      <c r="A1570" s="40" t="s">
        <v>4257</v>
      </c>
      <c r="B1570" s="40" t="s">
        <v>9099</v>
      </c>
      <c r="C1570" s="41">
        <v>0.0</v>
      </c>
      <c r="D1570" s="41">
        <v>1.0</v>
      </c>
      <c r="E1570" s="42" t="str">
        <f t="shared" si="1"/>
        <v>0.0%</v>
      </c>
    </row>
    <row r="1571">
      <c r="A1571" s="40" t="s">
        <v>4257</v>
      </c>
      <c r="B1571" s="40" t="s">
        <v>9100</v>
      </c>
      <c r="C1571" s="41">
        <v>0.0</v>
      </c>
      <c r="D1571" s="41">
        <v>1.0</v>
      </c>
      <c r="E1571" s="42" t="str">
        <f t="shared" si="1"/>
        <v>0.0%</v>
      </c>
    </row>
    <row r="1572">
      <c r="A1572" s="40" t="s">
        <v>4257</v>
      </c>
      <c r="B1572" s="40" t="s">
        <v>9101</v>
      </c>
      <c r="C1572" s="41">
        <v>0.0</v>
      </c>
      <c r="D1572" s="41">
        <v>1.0</v>
      </c>
      <c r="E1572" s="42" t="str">
        <f t="shared" si="1"/>
        <v>0.0%</v>
      </c>
    </row>
    <row r="1573">
      <c r="A1573" s="40" t="s">
        <v>4257</v>
      </c>
      <c r="B1573" s="40" t="s">
        <v>8734</v>
      </c>
      <c r="C1573" s="41">
        <v>0.0</v>
      </c>
      <c r="D1573" s="41">
        <v>2.0</v>
      </c>
      <c r="E1573" s="42" t="str">
        <f t="shared" si="1"/>
        <v>0.0%</v>
      </c>
    </row>
    <row r="1574">
      <c r="A1574" s="40" t="s">
        <v>4257</v>
      </c>
      <c r="B1574" s="40" t="s">
        <v>8881</v>
      </c>
      <c r="C1574" s="41">
        <v>0.0</v>
      </c>
      <c r="D1574" s="41">
        <v>2.0</v>
      </c>
      <c r="E1574" s="42" t="str">
        <f t="shared" si="1"/>
        <v>0.0%</v>
      </c>
    </row>
    <row r="1575">
      <c r="A1575" s="40" t="s">
        <v>4257</v>
      </c>
      <c r="B1575" s="40" t="s">
        <v>9039</v>
      </c>
      <c r="C1575" s="41">
        <v>0.0</v>
      </c>
      <c r="D1575" s="41">
        <v>2.0</v>
      </c>
      <c r="E1575" s="42" t="str">
        <f t="shared" si="1"/>
        <v>0.0%</v>
      </c>
    </row>
    <row r="1576">
      <c r="A1576" s="40" t="s">
        <v>4257</v>
      </c>
      <c r="B1576" s="40" t="s">
        <v>9044</v>
      </c>
      <c r="C1576" s="41">
        <v>0.0</v>
      </c>
      <c r="D1576" s="41">
        <v>2.0</v>
      </c>
      <c r="E1576" s="42" t="str">
        <f t="shared" si="1"/>
        <v>0.0%</v>
      </c>
    </row>
    <row r="1577">
      <c r="A1577" s="40" t="s">
        <v>4257</v>
      </c>
      <c r="B1577" s="40" t="s">
        <v>9032</v>
      </c>
      <c r="C1577" s="41">
        <v>0.0</v>
      </c>
      <c r="D1577" s="41">
        <v>2.0</v>
      </c>
      <c r="E1577" s="42" t="str">
        <f t="shared" si="1"/>
        <v>0.0%</v>
      </c>
    </row>
    <row r="1578">
      <c r="A1578" s="40" t="s">
        <v>4257</v>
      </c>
      <c r="B1578" s="40" t="s">
        <v>9061</v>
      </c>
      <c r="C1578" s="41">
        <v>0.0</v>
      </c>
      <c r="D1578" s="41">
        <v>2.0</v>
      </c>
      <c r="E1578" s="42" t="str">
        <f t="shared" si="1"/>
        <v>0.0%</v>
      </c>
    </row>
    <row r="1579">
      <c r="A1579" s="40" t="s">
        <v>4257</v>
      </c>
      <c r="B1579" s="40" t="s">
        <v>9102</v>
      </c>
      <c r="C1579" s="41">
        <v>0.0</v>
      </c>
      <c r="D1579" s="41">
        <v>2.0</v>
      </c>
      <c r="E1579" s="42" t="str">
        <f t="shared" si="1"/>
        <v>0.0%</v>
      </c>
    </row>
    <row r="1580">
      <c r="A1580" s="40" t="s">
        <v>4257</v>
      </c>
      <c r="B1580" s="40" t="s">
        <v>9103</v>
      </c>
      <c r="C1580" s="41">
        <v>0.0</v>
      </c>
      <c r="D1580" s="41">
        <v>2.0</v>
      </c>
      <c r="E1580" s="42" t="str">
        <f t="shared" si="1"/>
        <v>0.0%</v>
      </c>
    </row>
    <row r="1581">
      <c r="A1581" s="40" t="s">
        <v>4257</v>
      </c>
      <c r="B1581" s="40" t="s">
        <v>8841</v>
      </c>
      <c r="C1581" s="41">
        <v>0.0</v>
      </c>
      <c r="D1581" s="41">
        <v>3.0</v>
      </c>
      <c r="E1581" s="42" t="str">
        <f t="shared" si="1"/>
        <v>0.0%</v>
      </c>
    </row>
    <row r="1582">
      <c r="A1582" s="40" t="s">
        <v>4257</v>
      </c>
      <c r="B1582" s="40" t="s">
        <v>9104</v>
      </c>
      <c r="C1582" s="41">
        <v>0.0</v>
      </c>
      <c r="D1582" s="41">
        <v>3.0</v>
      </c>
      <c r="E1582" s="42" t="str">
        <f t="shared" si="1"/>
        <v>0.0%</v>
      </c>
    </row>
    <row r="1583">
      <c r="A1583" s="40" t="s">
        <v>4257</v>
      </c>
      <c r="B1583" s="40" t="s">
        <v>9105</v>
      </c>
      <c r="C1583" s="41">
        <v>0.0</v>
      </c>
      <c r="D1583" s="41">
        <v>3.0</v>
      </c>
      <c r="E1583" s="42" t="str">
        <f t="shared" si="1"/>
        <v>0.0%</v>
      </c>
    </row>
    <row r="1584">
      <c r="A1584" s="40" t="s">
        <v>4257</v>
      </c>
      <c r="B1584" s="40" t="s">
        <v>9106</v>
      </c>
      <c r="C1584" s="41">
        <v>0.0</v>
      </c>
      <c r="D1584" s="41">
        <v>4.0</v>
      </c>
      <c r="E1584" s="42" t="str">
        <f t="shared" si="1"/>
        <v>0.0%</v>
      </c>
    </row>
    <row r="1585">
      <c r="A1585" s="40" t="s">
        <v>4257</v>
      </c>
      <c r="B1585" s="40" t="s">
        <v>9107</v>
      </c>
      <c r="C1585" s="41">
        <v>0.0</v>
      </c>
      <c r="D1585" s="41">
        <v>4.0</v>
      </c>
      <c r="E1585" s="42" t="str">
        <f t="shared" si="1"/>
        <v>0.0%</v>
      </c>
    </row>
    <row r="1586">
      <c r="A1586" s="40" t="s">
        <v>4737</v>
      </c>
      <c r="B1586" s="40" t="s">
        <v>8500</v>
      </c>
      <c r="C1586" s="41">
        <v>31.0</v>
      </c>
      <c r="D1586" s="41">
        <v>14.0</v>
      </c>
      <c r="E1586" s="42" t="str">
        <f t="shared" si="1"/>
        <v>68.9%</v>
      </c>
    </row>
    <row r="1587">
      <c r="A1587" s="40" t="s">
        <v>4737</v>
      </c>
      <c r="B1587" s="40" t="s">
        <v>8491</v>
      </c>
      <c r="C1587" s="41">
        <v>31.0</v>
      </c>
      <c r="D1587" s="41">
        <v>29.0</v>
      </c>
      <c r="E1587" s="42" t="str">
        <f t="shared" si="1"/>
        <v>51.7%</v>
      </c>
    </row>
    <row r="1588">
      <c r="A1588" s="40" t="s">
        <v>4737</v>
      </c>
      <c r="B1588" s="40" t="s">
        <v>8588</v>
      </c>
      <c r="C1588" s="41">
        <v>28.0</v>
      </c>
      <c r="D1588" s="41">
        <v>20.0</v>
      </c>
      <c r="E1588" s="42" t="str">
        <f t="shared" si="1"/>
        <v>58.3%</v>
      </c>
    </row>
    <row r="1589">
      <c r="A1589" s="40" t="s">
        <v>4737</v>
      </c>
      <c r="B1589" s="40" t="s">
        <v>8484</v>
      </c>
      <c r="C1589" s="41">
        <v>27.0</v>
      </c>
      <c r="D1589" s="41">
        <v>11.0</v>
      </c>
      <c r="E1589" s="42" t="str">
        <f t="shared" si="1"/>
        <v>71.1%</v>
      </c>
    </row>
    <row r="1590">
      <c r="A1590" s="40" t="s">
        <v>4737</v>
      </c>
      <c r="B1590" s="40" t="s">
        <v>8520</v>
      </c>
      <c r="C1590" s="41">
        <v>27.0</v>
      </c>
      <c r="D1590" s="41">
        <v>19.0</v>
      </c>
      <c r="E1590" s="42" t="str">
        <f t="shared" si="1"/>
        <v>58.7%</v>
      </c>
    </row>
    <row r="1591">
      <c r="A1591" s="40" t="s">
        <v>4737</v>
      </c>
      <c r="B1591" s="40" t="s">
        <v>8642</v>
      </c>
      <c r="C1591" s="41">
        <v>26.0</v>
      </c>
      <c r="D1591" s="41">
        <v>13.0</v>
      </c>
      <c r="E1591" s="42" t="str">
        <f t="shared" si="1"/>
        <v>66.7%</v>
      </c>
    </row>
    <row r="1592">
      <c r="A1592" s="40" t="s">
        <v>4737</v>
      </c>
      <c r="B1592" s="40" t="s">
        <v>8483</v>
      </c>
      <c r="C1592" s="41">
        <v>25.0</v>
      </c>
      <c r="D1592" s="41">
        <v>16.0</v>
      </c>
      <c r="E1592" s="42" t="str">
        <f t="shared" si="1"/>
        <v>61.0%</v>
      </c>
    </row>
    <row r="1593">
      <c r="A1593" s="40" t="s">
        <v>4737</v>
      </c>
      <c r="B1593" s="40" t="s">
        <v>8556</v>
      </c>
      <c r="C1593" s="41">
        <v>24.0</v>
      </c>
      <c r="D1593" s="41">
        <v>26.0</v>
      </c>
      <c r="E1593" s="42" t="str">
        <f t="shared" si="1"/>
        <v>48.0%</v>
      </c>
    </row>
    <row r="1594">
      <c r="A1594" s="40" t="s">
        <v>4737</v>
      </c>
      <c r="B1594" s="40" t="s">
        <v>8698</v>
      </c>
      <c r="C1594" s="41">
        <v>22.0</v>
      </c>
      <c r="D1594" s="41">
        <v>17.0</v>
      </c>
      <c r="E1594" s="42" t="str">
        <f t="shared" si="1"/>
        <v>56.4%</v>
      </c>
    </row>
    <row r="1595">
      <c r="A1595" s="40" t="s">
        <v>4737</v>
      </c>
      <c r="B1595" s="40" t="s">
        <v>8495</v>
      </c>
      <c r="C1595" s="41">
        <v>22.0</v>
      </c>
      <c r="D1595" s="41">
        <v>28.0</v>
      </c>
      <c r="E1595" s="42" t="str">
        <f t="shared" si="1"/>
        <v>44.0%</v>
      </c>
    </row>
    <row r="1596">
      <c r="A1596" s="40" t="s">
        <v>4737</v>
      </c>
      <c r="B1596" s="40" t="s">
        <v>8561</v>
      </c>
      <c r="C1596" s="41">
        <v>21.0</v>
      </c>
      <c r="D1596" s="41">
        <v>11.0</v>
      </c>
      <c r="E1596" s="42" t="str">
        <f t="shared" si="1"/>
        <v>65.6%</v>
      </c>
    </row>
    <row r="1597">
      <c r="A1597" s="40" t="s">
        <v>4737</v>
      </c>
      <c r="B1597" s="40" t="s">
        <v>8660</v>
      </c>
      <c r="C1597" s="41">
        <v>21.0</v>
      </c>
      <c r="D1597" s="41">
        <v>22.0</v>
      </c>
      <c r="E1597" s="42" t="str">
        <f t="shared" si="1"/>
        <v>48.8%</v>
      </c>
    </row>
    <row r="1598">
      <c r="A1598" s="40" t="s">
        <v>4737</v>
      </c>
      <c r="B1598" s="40" t="s">
        <v>8763</v>
      </c>
      <c r="C1598" s="41">
        <v>19.0</v>
      </c>
      <c r="D1598" s="41">
        <v>15.0</v>
      </c>
      <c r="E1598" s="42" t="str">
        <f t="shared" si="1"/>
        <v>55.9%</v>
      </c>
    </row>
    <row r="1599">
      <c r="A1599" s="40" t="s">
        <v>4737</v>
      </c>
      <c r="B1599" s="40" t="s">
        <v>8501</v>
      </c>
      <c r="C1599" s="41">
        <v>18.0</v>
      </c>
      <c r="D1599" s="41">
        <v>19.0</v>
      </c>
      <c r="E1599" s="42" t="str">
        <f t="shared" si="1"/>
        <v>48.6%</v>
      </c>
    </row>
    <row r="1600">
      <c r="A1600" s="40" t="s">
        <v>4737</v>
      </c>
      <c r="B1600" s="40" t="s">
        <v>8522</v>
      </c>
      <c r="C1600" s="41">
        <v>17.0</v>
      </c>
      <c r="D1600" s="41">
        <v>2.0</v>
      </c>
      <c r="E1600" s="42" t="str">
        <f t="shared" si="1"/>
        <v>89.5%</v>
      </c>
    </row>
    <row r="1601">
      <c r="A1601" s="40" t="s">
        <v>4737</v>
      </c>
      <c r="B1601" s="40" t="s">
        <v>8518</v>
      </c>
      <c r="C1601" s="41">
        <v>17.0</v>
      </c>
      <c r="D1601" s="41">
        <v>5.0</v>
      </c>
      <c r="E1601" s="42" t="str">
        <f t="shared" si="1"/>
        <v>77.3%</v>
      </c>
    </row>
    <row r="1602">
      <c r="A1602" s="40" t="s">
        <v>4737</v>
      </c>
      <c r="B1602" s="40" t="s">
        <v>8485</v>
      </c>
      <c r="C1602" s="41">
        <v>17.0</v>
      </c>
      <c r="D1602" s="41">
        <v>8.0</v>
      </c>
      <c r="E1602" s="42" t="str">
        <f t="shared" si="1"/>
        <v>68.0%</v>
      </c>
    </row>
    <row r="1603">
      <c r="A1603" s="40" t="s">
        <v>4737</v>
      </c>
      <c r="B1603" s="40" t="s">
        <v>8805</v>
      </c>
      <c r="C1603" s="41">
        <v>16.0</v>
      </c>
      <c r="D1603" s="41">
        <v>9.0</v>
      </c>
      <c r="E1603" s="42" t="str">
        <f t="shared" si="1"/>
        <v>64.0%</v>
      </c>
    </row>
    <row r="1604">
      <c r="A1604" s="40" t="s">
        <v>4737</v>
      </c>
      <c r="B1604" s="40" t="s">
        <v>8766</v>
      </c>
      <c r="C1604" s="41">
        <v>15.0</v>
      </c>
      <c r="D1604" s="41">
        <v>6.0</v>
      </c>
      <c r="E1604" s="42" t="str">
        <f t="shared" si="1"/>
        <v>71.4%</v>
      </c>
    </row>
    <row r="1605">
      <c r="A1605" s="40" t="s">
        <v>4737</v>
      </c>
      <c r="B1605" s="40" t="s">
        <v>8545</v>
      </c>
      <c r="C1605" s="41">
        <v>15.0</v>
      </c>
      <c r="D1605" s="41">
        <v>10.0</v>
      </c>
      <c r="E1605" s="42" t="str">
        <f t="shared" si="1"/>
        <v>60.0%</v>
      </c>
    </row>
    <row r="1606">
      <c r="A1606" s="40" t="s">
        <v>4737</v>
      </c>
      <c r="B1606" s="40" t="s">
        <v>8641</v>
      </c>
      <c r="C1606" s="41">
        <v>15.0</v>
      </c>
      <c r="D1606" s="41">
        <v>33.0</v>
      </c>
      <c r="E1606" s="42" t="str">
        <f t="shared" si="1"/>
        <v>31.3%</v>
      </c>
    </row>
    <row r="1607">
      <c r="A1607" s="40" t="s">
        <v>4737</v>
      </c>
      <c r="B1607" s="40" t="s">
        <v>8488</v>
      </c>
      <c r="C1607" s="41">
        <v>14.0</v>
      </c>
      <c r="D1607" s="41">
        <v>2.0</v>
      </c>
      <c r="E1607" s="42" t="str">
        <f t="shared" si="1"/>
        <v>87.5%</v>
      </c>
    </row>
    <row r="1608">
      <c r="A1608" s="40" t="s">
        <v>4737</v>
      </c>
      <c r="B1608" s="40" t="s">
        <v>8552</v>
      </c>
      <c r="C1608" s="41">
        <v>14.0</v>
      </c>
      <c r="D1608" s="41">
        <v>9.0</v>
      </c>
      <c r="E1608" s="42" t="str">
        <f t="shared" si="1"/>
        <v>60.9%</v>
      </c>
    </row>
    <row r="1609">
      <c r="A1609" s="40" t="s">
        <v>4737</v>
      </c>
      <c r="B1609" s="40" t="s">
        <v>8530</v>
      </c>
      <c r="C1609" s="41">
        <v>14.0</v>
      </c>
      <c r="D1609" s="41">
        <v>10.0</v>
      </c>
      <c r="E1609" s="42" t="str">
        <f t="shared" si="1"/>
        <v>58.3%</v>
      </c>
    </row>
    <row r="1610">
      <c r="A1610" s="40" t="s">
        <v>4737</v>
      </c>
      <c r="B1610" s="40" t="s">
        <v>8496</v>
      </c>
      <c r="C1610" s="41">
        <v>14.0</v>
      </c>
      <c r="D1610" s="41">
        <v>40.0</v>
      </c>
      <c r="E1610" s="42" t="str">
        <f t="shared" si="1"/>
        <v>25.9%</v>
      </c>
    </row>
    <row r="1611">
      <c r="A1611" s="40" t="s">
        <v>4737</v>
      </c>
      <c r="B1611" s="40" t="s">
        <v>8712</v>
      </c>
      <c r="C1611" s="41">
        <v>13.0</v>
      </c>
      <c r="D1611" s="41">
        <v>9.0</v>
      </c>
      <c r="E1611" s="42" t="str">
        <f t="shared" si="1"/>
        <v>59.1%</v>
      </c>
    </row>
    <row r="1612">
      <c r="A1612" s="40" t="s">
        <v>4737</v>
      </c>
      <c r="B1612" s="40" t="s">
        <v>8790</v>
      </c>
      <c r="C1612" s="41">
        <v>13.0</v>
      </c>
      <c r="D1612" s="41">
        <v>12.0</v>
      </c>
      <c r="E1612" s="42" t="str">
        <f t="shared" si="1"/>
        <v>52.0%</v>
      </c>
    </row>
    <row r="1613">
      <c r="A1613" s="40" t="s">
        <v>4737</v>
      </c>
      <c r="B1613" s="40" t="s">
        <v>8816</v>
      </c>
      <c r="C1613" s="41">
        <v>13.0</v>
      </c>
      <c r="D1613" s="41">
        <v>12.0</v>
      </c>
      <c r="E1613" s="42" t="str">
        <f t="shared" si="1"/>
        <v>52.0%</v>
      </c>
    </row>
    <row r="1614">
      <c r="A1614" s="40" t="s">
        <v>4737</v>
      </c>
      <c r="B1614" s="40" t="s">
        <v>9014</v>
      </c>
      <c r="C1614" s="41">
        <v>13.0</v>
      </c>
      <c r="D1614" s="41">
        <v>14.0</v>
      </c>
      <c r="E1614" s="42" t="str">
        <f t="shared" si="1"/>
        <v>48.1%</v>
      </c>
    </row>
    <row r="1615">
      <c r="A1615" s="40" t="s">
        <v>4737</v>
      </c>
      <c r="B1615" s="40" t="s">
        <v>8497</v>
      </c>
      <c r="C1615" s="41">
        <v>12.0</v>
      </c>
      <c r="D1615" s="41">
        <v>2.0</v>
      </c>
      <c r="E1615" s="42" t="str">
        <f t="shared" si="1"/>
        <v>85.7%</v>
      </c>
    </row>
    <row r="1616">
      <c r="A1616" s="40" t="s">
        <v>4737</v>
      </c>
      <c r="B1616" s="40" t="s">
        <v>8508</v>
      </c>
      <c r="C1616" s="41">
        <v>12.0</v>
      </c>
      <c r="D1616" s="41">
        <v>3.0</v>
      </c>
      <c r="E1616" s="42" t="str">
        <f t="shared" si="1"/>
        <v>80.0%</v>
      </c>
    </row>
    <row r="1617">
      <c r="A1617" s="40" t="s">
        <v>4737</v>
      </c>
      <c r="B1617" s="40" t="s">
        <v>8819</v>
      </c>
      <c r="C1617" s="41">
        <v>12.0</v>
      </c>
      <c r="D1617" s="41">
        <v>12.0</v>
      </c>
      <c r="E1617" s="42" t="str">
        <f t="shared" si="1"/>
        <v>50.0%</v>
      </c>
    </row>
    <row r="1618">
      <c r="A1618" s="40" t="s">
        <v>4737</v>
      </c>
      <c r="B1618" s="40" t="s">
        <v>8487</v>
      </c>
      <c r="C1618" s="41">
        <v>12.0</v>
      </c>
      <c r="D1618" s="41">
        <v>19.0</v>
      </c>
      <c r="E1618" s="42" t="str">
        <f t="shared" si="1"/>
        <v>38.7%</v>
      </c>
    </row>
    <row r="1619">
      <c r="A1619" s="40" t="s">
        <v>4737</v>
      </c>
      <c r="B1619" s="40" t="s">
        <v>8682</v>
      </c>
      <c r="C1619" s="41">
        <v>12.0</v>
      </c>
      <c r="D1619" s="41">
        <v>24.0</v>
      </c>
      <c r="E1619" s="42" t="str">
        <f t="shared" si="1"/>
        <v>33.3%</v>
      </c>
    </row>
    <row r="1620">
      <c r="A1620" s="40" t="s">
        <v>4737</v>
      </c>
      <c r="B1620" s="40" t="s">
        <v>8523</v>
      </c>
      <c r="C1620" s="41">
        <v>11.0</v>
      </c>
      <c r="D1620" s="41">
        <v>4.0</v>
      </c>
      <c r="E1620" s="42" t="str">
        <f t="shared" si="1"/>
        <v>73.3%</v>
      </c>
    </row>
    <row r="1621">
      <c r="A1621" s="40" t="s">
        <v>4737</v>
      </c>
      <c r="B1621" s="40" t="s">
        <v>8773</v>
      </c>
      <c r="C1621" s="41">
        <v>11.0</v>
      </c>
      <c r="D1621" s="41">
        <v>11.0</v>
      </c>
      <c r="E1621" s="42" t="str">
        <f t="shared" si="1"/>
        <v>50.0%</v>
      </c>
    </row>
    <row r="1622">
      <c r="A1622" s="40" t="s">
        <v>4737</v>
      </c>
      <c r="B1622" s="40" t="s">
        <v>8852</v>
      </c>
      <c r="C1622" s="41">
        <v>11.0</v>
      </c>
      <c r="D1622" s="41">
        <v>13.0</v>
      </c>
      <c r="E1622" s="42" t="str">
        <f t="shared" si="1"/>
        <v>45.8%</v>
      </c>
    </row>
    <row r="1623">
      <c r="A1623" s="40" t="s">
        <v>4737</v>
      </c>
      <c r="B1623" s="40" t="s">
        <v>8581</v>
      </c>
      <c r="C1623" s="41">
        <v>11.0</v>
      </c>
      <c r="D1623" s="41">
        <v>14.0</v>
      </c>
      <c r="E1623" s="42" t="str">
        <f t="shared" si="1"/>
        <v>44.0%</v>
      </c>
    </row>
    <row r="1624">
      <c r="A1624" s="40" t="s">
        <v>4737</v>
      </c>
      <c r="B1624" s="40" t="s">
        <v>8490</v>
      </c>
      <c r="C1624" s="41">
        <v>11.0</v>
      </c>
      <c r="D1624" s="41">
        <v>35.0</v>
      </c>
      <c r="E1624" s="42" t="str">
        <f t="shared" si="1"/>
        <v>23.9%</v>
      </c>
    </row>
    <row r="1625">
      <c r="A1625" s="40" t="s">
        <v>4737</v>
      </c>
      <c r="B1625" s="40" t="s">
        <v>8884</v>
      </c>
      <c r="C1625" s="41">
        <v>10.0</v>
      </c>
      <c r="D1625" s="41">
        <v>6.0</v>
      </c>
      <c r="E1625" s="42" t="str">
        <f t="shared" si="1"/>
        <v>62.5%</v>
      </c>
    </row>
    <row r="1626">
      <c r="A1626" s="40" t="s">
        <v>4737</v>
      </c>
      <c r="B1626" s="40" t="s">
        <v>8820</v>
      </c>
      <c r="C1626" s="41">
        <v>10.0</v>
      </c>
      <c r="D1626" s="41">
        <v>8.0</v>
      </c>
      <c r="E1626" s="42" t="str">
        <f t="shared" si="1"/>
        <v>55.6%</v>
      </c>
    </row>
    <row r="1627">
      <c r="A1627" s="40" t="s">
        <v>4737</v>
      </c>
      <c r="B1627" s="40" t="s">
        <v>8521</v>
      </c>
      <c r="C1627" s="41">
        <v>10.0</v>
      </c>
      <c r="D1627" s="41">
        <v>10.0</v>
      </c>
      <c r="E1627" s="42" t="str">
        <f t="shared" si="1"/>
        <v>50.0%</v>
      </c>
    </row>
    <row r="1628">
      <c r="A1628" s="40" t="s">
        <v>4737</v>
      </c>
      <c r="B1628" s="40" t="s">
        <v>8674</v>
      </c>
      <c r="C1628" s="41">
        <v>10.0</v>
      </c>
      <c r="D1628" s="41">
        <v>11.0</v>
      </c>
      <c r="E1628" s="42" t="str">
        <f t="shared" si="1"/>
        <v>47.6%</v>
      </c>
    </row>
    <row r="1629">
      <c r="A1629" s="40" t="s">
        <v>4737</v>
      </c>
      <c r="B1629" s="40" t="s">
        <v>8731</v>
      </c>
      <c r="C1629" s="41">
        <v>10.0</v>
      </c>
      <c r="D1629" s="41">
        <v>13.0</v>
      </c>
      <c r="E1629" s="42" t="str">
        <f t="shared" si="1"/>
        <v>43.5%</v>
      </c>
    </row>
    <row r="1630">
      <c r="A1630" s="40" t="s">
        <v>4737</v>
      </c>
      <c r="B1630" s="40" t="s">
        <v>9108</v>
      </c>
      <c r="C1630" s="41">
        <v>10.0</v>
      </c>
      <c r="D1630" s="41">
        <v>14.0</v>
      </c>
      <c r="E1630" s="42" t="str">
        <f t="shared" si="1"/>
        <v>41.7%</v>
      </c>
    </row>
    <row r="1631">
      <c r="A1631" s="40" t="s">
        <v>4737</v>
      </c>
      <c r="B1631" s="40" t="s">
        <v>9025</v>
      </c>
      <c r="C1631" s="41">
        <v>9.0</v>
      </c>
      <c r="D1631" s="41">
        <v>2.0</v>
      </c>
      <c r="E1631" s="42" t="str">
        <f t="shared" si="1"/>
        <v>81.8%</v>
      </c>
    </row>
    <row r="1632">
      <c r="A1632" s="40" t="s">
        <v>4737</v>
      </c>
      <c r="B1632" s="40" t="s">
        <v>9027</v>
      </c>
      <c r="C1632" s="41">
        <v>9.0</v>
      </c>
      <c r="D1632" s="41">
        <v>5.0</v>
      </c>
      <c r="E1632" s="42" t="str">
        <f t="shared" si="1"/>
        <v>64.3%</v>
      </c>
    </row>
    <row r="1633">
      <c r="A1633" s="40" t="s">
        <v>4737</v>
      </c>
      <c r="B1633" s="40" t="s">
        <v>8568</v>
      </c>
      <c r="C1633" s="41">
        <v>9.0</v>
      </c>
      <c r="D1633" s="41">
        <v>6.0</v>
      </c>
      <c r="E1633" s="42" t="str">
        <f t="shared" si="1"/>
        <v>60.0%</v>
      </c>
    </row>
    <row r="1634">
      <c r="A1634" s="40" t="s">
        <v>4737</v>
      </c>
      <c r="B1634" s="40" t="s">
        <v>8687</v>
      </c>
      <c r="C1634" s="41">
        <v>9.0</v>
      </c>
      <c r="D1634" s="41">
        <v>10.0</v>
      </c>
      <c r="E1634" s="42" t="str">
        <f t="shared" si="1"/>
        <v>47.4%</v>
      </c>
    </row>
    <row r="1635">
      <c r="A1635" s="40" t="s">
        <v>4737</v>
      </c>
      <c r="B1635" s="40" t="s">
        <v>8502</v>
      </c>
      <c r="C1635" s="41">
        <v>9.0</v>
      </c>
      <c r="D1635" s="41">
        <v>15.0</v>
      </c>
      <c r="E1635" s="42" t="str">
        <f t="shared" si="1"/>
        <v>37.5%</v>
      </c>
    </row>
    <row r="1636">
      <c r="A1636" s="40" t="s">
        <v>4737</v>
      </c>
      <c r="B1636" s="40" t="s">
        <v>8507</v>
      </c>
      <c r="C1636" s="41">
        <v>9.0</v>
      </c>
      <c r="D1636" s="41">
        <v>18.0</v>
      </c>
      <c r="E1636" s="42" t="str">
        <f t="shared" si="1"/>
        <v>33.3%</v>
      </c>
    </row>
    <row r="1637">
      <c r="A1637" s="40" t="s">
        <v>4737</v>
      </c>
      <c r="B1637" s="40" t="s">
        <v>8503</v>
      </c>
      <c r="C1637" s="41">
        <v>8.0</v>
      </c>
      <c r="D1637" s="41">
        <v>5.0</v>
      </c>
      <c r="E1637" s="42" t="str">
        <f t="shared" si="1"/>
        <v>61.5%</v>
      </c>
    </row>
    <row r="1638">
      <c r="A1638" s="40" t="s">
        <v>4737</v>
      </c>
      <c r="B1638" s="40" t="s">
        <v>8767</v>
      </c>
      <c r="C1638" s="41">
        <v>8.0</v>
      </c>
      <c r="D1638" s="41">
        <v>5.0</v>
      </c>
      <c r="E1638" s="42" t="str">
        <f t="shared" si="1"/>
        <v>61.5%</v>
      </c>
    </row>
    <row r="1639">
      <c r="A1639" s="40" t="s">
        <v>4737</v>
      </c>
      <c r="B1639" s="40" t="s">
        <v>8839</v>
      </c>
      <c r="C1639" s="41">
        <v>8.0</v>
      </c>
      <c r="D1639" s="41">
        <v>7.0</v>
      </c>
      <c r="E1639" s="42" t="str">
        <f t="shared" si="1"/>
        <v>53.3%</v>
      </c>
    </row>
    <row r="1640">
      <c r="A1640" s="40" t="s">
        <v>4737</v>
      </c>
      <c r="B1640" s="40" t="s">
        <v>8832</v>
      </c>
      <c r="C1640" s="41">
        <v>8.0</v>
      </c>
      <c r="D1640" s="41">
        <v>9.0</v>
      </c>
      <c r="E1640" s="42" t="str">
        <f t="shared" si="1"/>
        <v>47.1%</v>
      </c>
    </row>
    <row r="1641">
      <c r="A1641" s="40" t="s">
        <v>4737</v>
      </c>
      <c r="B1641" s="40" t="s">
        <v>8652</v>
      </c>
      <c r="C1641" s="41">
        <v>8.0</v>
      </c>
      <c r="D1641" s="41">
        <v>10.0</v>
      </c>
      <c r="E1641" s="42" t="str">
        <f t="shared" si="1"/>
        <v>44.4%</v>
      </c>
    </row>
    <row r="1642">
      <c r="A1642" s="40" t="s">
        <v>4737</v>
      </c>
      <c r="B1642" s="40" t="s">
        <v>8828</v>
      </c>
      <c r="C1642" s="41">
        <v>8.0</v>
      </c>
      <c r="D1642" s="41">
        <v>13.0</v>
      </c>
      <c r="E1642" s="42" t="str">
        <f t="shared" si="1"/>
        <v>38.1%</v>
      </c>
    </row>
    <row r="1643">
      <c r="A1643" s="40" t="s">
        <v>4737</v>
      </c>
      <c r="B1643" s="40" t="s">
        <v>9017</v>
      </c>
      <c r="C1643" s="41">
        <v>7.0</v>
      </c>
      <c r="D1643" s="41">
        <v>1.0</v>
      </c>
      <c r="E1643" s="42" t="str">
        <f t="shared" si="1"/>
        <v>87.5%</v>
      </c>
    </row>
    <row r="1644">
      <c r="A1644" s="40" t="s">
        <v>4737</v>
      </c>
      <c r="B1644" s="40" t="s">
        <v>8533</v>
      </c>
      <c r="C1644" s="41">
        <v>7.0</v>
      </c>
      <c r="D1644" s="41">
        <v>5.0</v>
      </c>
      <c r="E1644" s="42" t="str">
        <f t="shared" si="1"/>
        <v>58.3%</v>
      </c>
    </row>
    <row r="1645">
      <c r="A1645" s="40" t="s">
        <v>4737</v>
      </c>
      <c r="B1645" s="40" t="s">
        <v>8834</v>
      </c>
      <c r="C1645" s="41">
        <v>7.0</v>
      </c>
      <c r="D1645" s="41">
        <v>5.0</v>
      </c>
      <c r="E1645" s="42" t="str">
        <f t="shared" si="1"/>
        <v>58.3%</v>
      </c>
    </row>
    <row r="1646">
      <c r="A1646" s="40" t="s">
        <v>4737</v>
      </c>
      <c r="B1646" s="40" t="s">
        <v>8595</v>
      </c>
      <c r="C1646" s="41">
        <v>7.0</v>
      </c>
      <c r="D1646" s="41">
        <v>6.0</v>
      </c>
      <c r="E1646" s="42" t="str">
        <f t="shared" si="1"/>
        <v>53.8%</v>
      </c>
    </row>
    <row r="1647">
      <c r="A1647" s="40" t="s">
        <v>4737</v>
      </c>
      <c r="B1647" s="40" t="s">
        <v>8609</v>
      </c>
      <c r="C1647" s="41">
        <v>7.0</v>
      </c>
      <c r="D1647" s="41">
        <v>6.0</v>
      </c>
      <c r="E1647" s="42" t="str">
        <f t="shared" si="1"/>
        <v>53.8%</v>
      </c>
    </row>
    <row r="1648">
      <c r="A1648" s="40" t="s">
        <v>4737</v>
      </c>
      <c r="B1648" s="40" t="s">
        <v>9016</v>
      </c>
      <c r="C1648" s="41">
        <v>7.0</v>
      </c>
      <c r="D1648" s="41">
        <v>8.0</v>
      </c>
      <c r="E1648" s="42" t="str">
        <f t="shared" si="1"/>
        <v>46.7%</v>
      </c>
    </row>
    <row r="1649">
      <c r="A1649" s="40" t="s">
        <v>4737</v>
      </c>
      <c r="B1649" s="40" t="s">
        <v>8845</v>
      </c>
      <c r="C1649" s="41">
        <v>7.0</v>
      </c>
      <c r="D1649" s="41">
        <v>10.0</v>
      </c>
      <c r="E1649" s="42" t="str">
        <f t="shared" si="1"/>
        <v>41.2%</v>
      </c>
    </row>
    <row r="1650">
      <c r="A1650" s="40" t="s">
        <v>4737</v>
      </c>
      <c r="B1650" s="40" t="s">
        <v>8606</v>
      </c>
      <c r="C1650" s="41">
        <v>7.0</v>
      </c>
      <c r="D1650" s="41">
        <v>12.0</v>
      </c>
      <c r="E1650" s="42" t="str">
        <f t="shared" si="1"/>
        <v>36.8%</v>
      </c>
    </row>
    <row r="1651">
      <c r="A1651" s="40" t="s">
        <v>4737</v>
      </c>
      <c r="B1651" s="40" t="s">
        <v>8720</v>
      </c>
      <c r="C1651" s="41">
        <v>7.0</v>
      </c>
      <c r="D1651" s="41">
        <v>16.0</v>
      </c>
      <c r="E1651" s="42" t="str">
        <f t="shared" si="1"/>
        <v>30.4%</v>
      </c>
    </row>
    <row r="1652">
      <c r="A1652" s="40" t="s">
        <v>4737</v>
      </c>
      <c r="B1652" s="40" t="s">
        <v>9015</v>
      </c>
      <c r="C1652" s="41">
        <v>6.0</v>
      </c>
      <c r="D1652" s="41">
        <v>2.0</v>
      </c>
      <c r="E1652" s="42" t="str">
        <f t="shared" si="1"/>
        <v>75.0%</v>
      </c>
    </row>
    <row r="1653">
      <c r="A1653" s="40" t="s">
        <v>4737</v>
      </c>
      <c r="B1653" s="40" t="s">
        <v>8826</v>
      </c>
      <c r="C1653" s="41">
        <v>6.0</v>
      </c>
      <c r="D1653" s="41">
        <v>4.0</v>
      </c>
      <c r="E1653" s="42" t="str">
        <f t="shared" si="1"/>
        <v>60.0%</v>
      </c>
    </row>
    <row r="1654">
      <c r="A1654" s="40" t="s">
        <v>4737</v>
      </c>
      <c r="B1654" s="40" t="s">
        <v>8738</v>
      </c>
      <c r="C1654" s="41">
        <v>6.0</v>
      </c>
      <c r="D1654" s="41">
        <v>7.0</v>
      </c>
      <c r="E1654" s="42" t="str">
        <f t="shared" si="1"/>
        <v>46.2%</v>
      </c>
    </row>
    <row r="1655">
      <c r="A1655" s="40" t="s">
        <v>4737</v>
      </c>
      <c r="B1655" s="40" t="s">
        <v>9109</v>
      </c>
      <c r="C1655" s="41">
        <v>6.0</v>
      </c>
      <c r="D1655" s="41">
        <v>8.0</v>
      </c>
      <c r="E1655" s="42" t="str">
        <f t="shared" si="1"/>
        <v>42.9%</v>
      </c>
    </row>
    <row r="1656">
      <c r="A1656" s="40" t="s">
        <v>4737</v>
      </c>
      <c r="B1656" s="40" t="s">
        <v>8793</v>
      </c>
      <c r="C1656" s="41">
        <v>6.0</v>
      </c>
      <c r="D1656" s="41">
        <v>17.0</v>
      </c>
      <c r="E1656" s="42" t="str">
        <f t="shared" si="1"/>
        <v>26.1%</v>
      </c>
    </row>
    <row r="1657">
      <c r="A1657" s="40" t="s">
        <v>4737</v>
      </c>
      <c r="B1657" s="40" t="s">
        <v>8534</v>
      </c>
      <c r="C1657" s="41">
        <v>5.0</v>
      </c>
      <c r="D1657" s="41">
        <v>1.0</v>
      </c>
      <c r="E1657" s="42" t="str">
        <f t="shared" si="1"/>
        <v>83.3%</v>
      </c>
    </row>
    <row r="1658">
      <c r="A1658" s="40" t="s">
        <v>4737</v>
      </c>
      <c r="B1658" s="40" t="s">
        <v>8715</v>
      </c>
      <c r="C1658" s="41">
        <v>5.0</v>
      </c>
      <c r="D1658" s="41">
        <v>1.0</v>
      </c>
      <c r="E1658" s="42" t="str">
        <f t="shared" si="1"/>
        <v>83.3%</v>
      </c>
    </row>
    <row r="1659">
      <c r="A1659" s="40" t="s">
        <v>4737</v>
      </c>
      <c r="B1659" s="40" t="s">
        <v>9026</v>
      </c>
      <c r="C1659" s="41">
        <v>5.0</v>
      </c>
      <c r="D1659" s="41">
        <v>3.0</v>
      </c>
      <c r="E1659" s="42" t="str">
        <f t="shared" si="1"/>
        <v>62.5%</v>
      </c>
    </row>
    <row r="1660">
      <c r="A1660" s="40" t="s">
        <v>4737</v>
      </c>
      <c r="B1660" s="40" t="s">
        <v>8822</v>
      </c>
      <c r="C1660" s="41">
        <v>5.0</v>
      </c>
      <c r="D1660" s="41">
        <v>4.0</v>
      </c>
      <c r="E1660" s="42" t="str">
        <f t="shared" si="1"/>
        <v>55.6%</v>
      </c>
    </row>
    <row r="1661">
      <c r="A1661" s="40" t="s">
        <v>4737</v>
      </c>
      <c r="B1661" s="40" t="s">
        <v>9110</v>
      </c>
      <c r="C1661" s="41">
        <v>5.0</v>
      </c>
      <c r="D1661" s="41">
        <v>5.0</v>
      </c>
      <c r="E1661" s="42" t="str">
        <f t="shared" si="1"/>
        <v>50.0%</v>
      </c>
    </row>
    <row r="1662">
      <c r="A1662" s="40" t="s">
        <v>4737</v>
      </c>
      <c r="B1662" s="40" t="s">
        <v>8876</v>
      </c>
      <c r="C1662" s="41">
        <v>5.0</v>
      </c>
      <c r="D1662" s="41">
        <v>6.0</v>
      </c>
      <c r="E1662" s="42" t="str">
        <f t="shared" si="1"/>
        <v>45.5%</v>
      </c>
    </row>
    <row r="1663">
      <c r="A1663" s="40" t="s">
        <v>4737</v>
      </c>
      <c r="B1663" s="40" t="s">
        <v>8993</v>
      </c>
      <c r="C1663" s="41">
        <v>5.0</v>
      </c>
      <c r="D1663" s="41">
        <v>6.0</v>
      </c>
      <c r="E1663" s="42" t="str">
        <f t="shared" si="1"/>
        <v>45.5%</v>
      </c>
    </row>
    <row r="1664">
      <c r="A1664" s="40" t="s">
        <v>4737</v>
      </c>
      <c r="B1664" s="40" t="s">
        <v>9052</v>
      </c>
      <c r="C1664" s="41">
        <v>5.0</v>
      </c>
      <c r="D1664" s="41">
        <v>6.0</v>
      </c>
      <c r="E1664" s="42" t="str">
        <f t="shared" si="1"/>
        <v>45.5%</v>
      </c>
    </row>
    <row r="1665">
      <c r="A1665" s="40" t="s">
        <v>4737</v>
      </c>
      <c r="B1665" s="40" t="s">
        <v>9111</v>
      </c>
      <c r="C1665" s="41">
        <v>5.0</v>
      </c>
      <c r="D1665" s="41">
        <v>12.0</v>
      </c>
      <c r="E1665" s="42" t="str">
        <f t="shared" si="1"/>
        <v>29.4%</v>
      </c>
    </row>
    <row r="1666">
      <c r="A1666" s="40" t="s">
        <v>4737</v>
      </c>
      <c r="B1666" s="40" t="s">
        <v>8621</v>
      </c>
      <c r="C1666" s="41">
        <v>4.0</v>
      </c>
      <c r="D1666" s="41">
        <v>0.0</v>
      </c>
      <c r="E1666" s="42" t="str">
        <f t="shared" si="1"/>
        <v>100.0%</v>
      </c>
    </row>
    <row r="1667">
      <c r="A1667" s="40" t="s">
        <v>4737</v>
      </c>
      <c r="B1667" s="40" t="s">
        <v>9021</v>
      </c>
      <c r="C1667" s="41">
        <v>4.0</v>
      </c>
      <c r="D1667" s="41">
        <v>0.0</v>
      </c>
      <c r="E1667" s="42" t="str">
        <f t="shared" si="1"/>
        <v>100.0%</v>
      </c>
    </row>
    <row r="1668">
      <c r="A1668" s="40" t="s">
        <v>4737</v>
      </c>
      <c r="B1668" s="40" t="s">
        <v>9053</v>
      </c>
      <c r="C1668" s="41">
        <v>4.0</v>
      </c>
      <c r="D1668" s="41">
        <v>0.0</v>
      </c>
      <c r="E1668" s="42" t="str">
        <f t="shared" si="1"/>
        <v>100.0%</v>
      </c>
    </row>
    <row r="1669">
      <c r="A1669" s="40" t="s">
        <v>4737</v>
      </c>
      <c r="B1669" s="40" t="s">
        <v>8532</v>
      </c>
      <c r="C1669" s="41">
        <v>4.0</v>
      </c>
      <c r="D1669" s="41">
        <v>1.0</v>
      </c>
      <c r="E1669" s="42" t="str">
        <f t="shared" si="1"/>
        <v>80.0%</v>
      </c>
    </row>
    <row r="1670">
      <c r="A1670" s="40" t="s">
        <v>4737</v>
      </c>
      <c r="B1670" s="40" t="s">
        <v>8791</v>
      </c>
      <c r="C1670" s="41">
        <v>4.0</v>
      </c>
      <c r="D1670" s="41">
        <v>1.0</v>
      </c>
      <c r="E1670" s="42" t="str">
        <f t="shared" si="1"/>
        <v>80.0%</v>
      </c>
    </row>
    <row r="1671">
      <c r="A1671" s="40" t="s">
        <v>4737</v>
      </c>
      <c r="B1671" s="40" t="s">
        <v>8818</v>
      </c>
      <c r="C1671" s="41">
        <v>4.0</v>
      </c>
      <c r="D1671" s="41">
        <v>1.0</v>
      </c>
      <c r="E1671" s="42" t="str">
        <f t="shared" si="1"/>
        <v>80.0%</v>
      </c>
    </row>
    <row r="1672">
      <c r="A1672" s="40" t="s">
        <v>4737</v>
      </c>
      <c r="B1672" s="40" t="s">
        <v>8514</v>
      </c>
      <c r="C1672" s="41">
        <v>4.0</v>
      </c>
      <c r="D1672" s="41">
        <v>2.0</v>
      </c>
      <c r="E1672" s="42" t="str">
        <f t="shared" si="1"/>
        <v>66.7%</v>
      </c>
    </row>
    <row r="1673">
      <c r="A1673" s="40" t="s">
        <v>4737</v>
      </c>
      <c r="B1673" s="40" t="s">
        <v>8673</v>
      </c>
      <c r="C1673" s="41">
        <v>4.0</v>
      </c>
      <c r="D1673" s="41">
        <v>2.0</v>
      </c>
      <c r="E1673" s="42" t="str">
        <f t="shared" si="1"/>
        <v>66.7%</v>
      </c>
    </row>
    <row r="1674">
      <c r="A1674" s="40" t="s">
        <v>4737</v>
      </c>
      <c r="B1674" s="40" t="s">
        <v>8824</v>
      </c>
      <c r="C1674" s="41">
        <v>4.0</v>
      </c>
      <c r="D1674" s="41">
        <v>2.0</v>
      </c>
      <c r="E1674" s="42" t="str">
        <f t="shared" si="1"/>
        <v>66.7%</v>
      </c>
    </row>
    <row r="1675">
      <c r="A1675" s="40" t="s">
        <v>4737</v>
      </c>
      <c r="B1675" s="40" t="s">
        <v>9112</v>
      </c>
      <c r="C1675" s="41">
        <v>4.0</v>
      </c>
      <c r="D1675" s="41">
        <v>3.0</v>
      </c>
      <c r="E1675" s="42" t="str">
        <f t="shared" si="1"/>
        <v>57.1%</v>
      </c>
    </row>
    <row r="1676">
      <c r="A1676" s="40" t="s">
        <v>4737</v>
      </c>
      <c r="B1676" s="40" t="s">
        <v>8848</v>
      </c>
      <c r="C1676" s="41">
        <v>4.0</v>
      </c>
      <c r="D1676" s="41">
        <v>4.0</v>
      </c>
      <c r="E1676" s="42" t="str">
        <f t="shared" si="1"/>
        <v>50.0%</v>
      </c>
    </row>
    <row r="1677">
      <c r="A1677" s="40" t="s">
        <v>4737</v>
      </c>
      <c r="B1677" s="40" t="s">
        <v>8838</v>
      </c>
      <c r="C1677" s="41">
        <v>4.0</v>
      </c>
      <c r="D1677" s="41">
        <v>4.0</v>
      </c>
      <c r="E1677" s="42" t="str">
        <f t="shared" si="1"/>
        <v>50.0%</v>
      </c>
    </row>
    <row r="1678">
      <c r="A1678" s="40" t="s">
        <v>4737</v>
      </c>
      <c r="B1678" s="40" t="s">
        <v>9042</v>
      </c>
      <c r="C1678" s="41">
        <v>4.0</v>
      </c>
      <c r="D1678" s="41">
        <v>4.0</v>
      </c>
      <c r="E1678" s="42" t="str">
        <f t="shared" si="1"/>
        <v>50.0%</v>
      </c>
    </row>
    <row r="1679">
      <c r="A1679" s="40" t="s">
        <v>4737</v>
      </c>
      <c r="B1679" s="40" t="s">
        <v>8569</v>
      </c>
      <c r="C1679" s="41">
        <v>4.0</v>
      </c>
      <c r="D1679" s="41">
        <v>5.0</v>
      </c>
      <c r="E1679" s="42" t="str">
        <f t="shared" si="1"/>
        <v>44.4%</v>
      </c>
    </row>
    <row r="1680">
      <c r="A1680" s="40" t="s">
        <v>4737</v>
      </c>
      <c r="B1680" s="40" t="s">
        <v>8675</v>
      </c>
      <c r="C1680" s="41">
        <v>4.0</v>
      </c>
      <c r="D1680" s="41">
        <v>6.0</v>
      </c>
      <c r="E1680" s="42" t="str">
        <f t="shared" si="1"/>
        <v>40.0%</v>
      </c>
    </row>
    <row r="1681">
      <c r="A1681" s="40" t="s">
        <v>4737</v>
      </c>
      <c r="B1681" s="40" t="s">
        <v>8722</v>
      </c>
      <c r="C1681" s="41">
        <v>4.0</v>
      </c>
      <c r="D1681" s="41">
        <v>8.0</v>
      </c>
      <c r="E1681" s="42" t="str">
        <f t="shared" si="1"/>
        <v>33.3%</v>
      </c>
    </row>
    <row r="1682">
      <c r="A1682" s="40" t="s">
        <v>4737</v>
      </c>
      <c r="B1682" s="40" t="s">
        <v>8885</v>
      </c>
      <c r="C1682" s="41">
        <v>4.0</v>
      </c>
      <c r="D1682" s="41">
        <v>8.0</v>
      </c>
      <c r="E1682" s="42" t="str">
        <f t="shared" si="1"/>
        <v>33.3%</v>
      </c>
    </row>
    <row r="1683">
      <c r="A1683" s="40" t="s">
        <v>4737</v>
      </c>
      <c r="B1683" s="40" t="s">
        <v>9113</v>
      </c>
      <c r="C1683" s="41">
        <v>4.0</v>
      </c>
      <c r="D1683" s="41">
        <v>11.0</v>
      </c>
      <c r="E1683" s="42" t="str">
        <f t="shared" si="1"/>
        <v>26.7%</v>
      </c>
    </row>
    <row r="1684">
      <c r="A1684" s="40" t="s">
        <v>4737</v>
      </c>
      <c r="B1684" s="40" t="s">
        <v>8705</v>
      </c>
      <c r="C1684" s="41">
        <v>3.0</v>
      </c>
      <c r="D1684" s="41">
        <v>0.0</v>
      </c>
      <c r="E1684" s="42" t="str">
        <f t="shared" si="1"/>
        <v>100.0%</v>
      </c>
    </row>
    <row r="1685">
      <c r="A1685" s="40" t="s">
        <v>4737</v>
      </c>
      <c r="B1685" s="40" t="s">
        <v>8565</v>
      </c>
      <c r="C1685" s="41">
        <v>3.0</v>
      </c>
      <c r="D1685" s="41">
        <v>1.0</v>
      </c>
      <c r="E1685" s="42" t="str">
        <f t="shared" si="1"/>
        <v>75.0%</v>
      </c>
    </row>
    <row r="1686">
      <c r="A1686" s="40" t="s">
        <v>4737</v>
      </c>
      <c r="B1686" s="40" t="s">
        <v>8866</v>
      </c>
      <c r="C1686" s="41">
        <v>3.0</v>
      </c>
      <c r="D1686" s="41">
        <v>1.0</v>
      </c>
      <c r="E1686" s="42" t="str">
        <f t="shared" si="1"/>
        <v>75.0%</v>
      </c>
    </row>
    <row r="1687">
      <c r="A1687" s="40" t="s">
        <v>4737</v>
      </c>
      <c r="B1687" s="40" t="s">
        <v>9114</v>
      </c>
      <c r="C1687" s="41">
        <v>3.0</v>
      </c>
      <c r="D1687" s="41">
        <v>1.0</v>
      </c>
      <c r="E1687" s="42" t="str">
        <f t="shared" si="1"/>
        <v>75.0%</v>
      </c>
    </row>
    <row r="1688">
      <c r="A1688" s="40" t="s">
        <v>4737</v>
      </c>
      <c r="B1688" s="40" t="s">
        <v>8504</v>
      </c>
      <c r="C1688" s="41">
        <v>3.0</v>
      </c>
      <c r="D1688" s="41">
        <v>2.0</v>
      </c>
      <c r="E1688" s="42" t="str">
        <f t="shared" si="1"/>
        <v>60.0%</v>
      </c>
    </row>
    <row r="1689">
      <c r="A1689" s="40" t="s">
        <v>4737</v>
      </c>
      <c r="B1689" s="40" t="s">
        <v>8707</v>
      </c>
      <c r="C1689" s="41">
        <v>3.0</v>
      </c>
      <c r="D1689" s="41">
        <v>2.0</v>
      </c>
      <c r="E1689" s="42" t="str">
        <f t="shared" si="1"/>
        <v>60.0%</v>
      </c>
    </row>
    <row r="1690">
      <c r="A1690" s="40" t="s">
        <v>4737</v>
      </c>
      <c r="B1690" s="40" t="s">
        <v>9115</v>
      </c>
      <c r="C1690" s="41">
        <v>3.0</v>
      </c>
      <c r="D1690" s="41">
        <v>3.0</v>
      </c>
      <c r="E1690" s="42" t="str">
        <f t="shared" si="1"/>
        <v>50.0%</v>
      </c>
    </row>
    <row r="1691">
      <c r="A1691" s="40" t="s">
        <v>4737</v>
      </c>
      <c r="B1691" s="40" t="s">
        <v>8794</v>
      </c>
      <c r="C1691" s="41">
        <v>3.0</v>
      </c>
      <c r="D1691" s="41">
        <v>5.0</v>
      </c>
      <c r="E1691" s="42" t="str">
        <f t="shared" si="1"/>
        <v>37.5%</v>
      </c>
    </row>
    <row r="1692">
      <c r="A1692" s="40" t="s">
        <v>4737</v>
      </c>
      <c r="B1692" s="40" t="s">
        <v>8564</v>
      </c>
      <c r="C1692" s="41">
        <v>3.0</v>
      </c>
      <c r="D1692" s="41">
        <v>8.0</v>
      </c>
      <c r="E1692" s="42" t="str">
        <f t="shared" si="1"/>
        <v>27.3%</v>
      </c>
    </row>
    <row r="1693">
      <c r="A1693" s="40" t="s">
        <v>4737</v>
      </c>
      <c r="B1693" s="40" t="s">
        <v>8837</v>
      </c>
      <c r="C1693" s="41">
        <v>3.0</v>
      </c>
      <c r="D1693" s="41">
        <v>8.0</v>
      </c>
      <c r="E1693" s="42" t="str">
        <f t="shared" si="1"/>
        <v>27.3%</v>
      </c>
    </row>
    <row r="1694">
      <c r="A1694" s="40" t="s">
        <v>4737</v>
      </c>
      <c r="B1694" s="40" t="s">
        <v>8881</v>
      </c>
      <c r="C1694" s="41">
        <v>3.0</v>
      </c>
      <c r="D1694" s="41">
        <v>14.0</v>
      </c>
      <c r="E1694" s="42" t="str">
        <f t="shared" si="1"/>
        <v>17.6%</v>
      </c>
    </row>
    <row r="1695">
      <c r="A1695" s="40" t="s">
        <v>4737</v>
      </c>
      <c r="B1695" s="40" t="s">
        <v>8655</v>
      </c>
      <c r="C1695" s="41">
        <v>2.0</v>
      </c>
      <c r="D1695" s="41">
        <v>0.0</v>
      </c>
      <c r="E1695" s="42" t="str">
        <f t="shared" si="1"/>
        <v>100.0%</v>
      </c>
    </row>
    <row r="1696">
      <c r="A1696" s="40" t="s">
        <v>4737</v>
      </c>
      <c r="B1696" s="40" t="s">
        <v>8854</v>
      </c>
      <c r="C1696" s="41">
        <v>2.0</v>
      </c>
      <c r="D1696" s="41">
        <v>0.0</v>
      </c>
      <c r="E1696" s="42" t="str">
        <f t="shared" si="1"/>
        <v>100.0%</v>
      </c>
    </row>
    <row r="1697">
      <c r="A1697" s="40" t="s">
        <v>4737</v>
      </c>
      <c r="B1697" s="40" t="s">
        <v>8949</v>
      </c>
      <c r="C1697" s="41">
        <v>2.0</v>
      </c>
      <c r="D1697" s="41">
        <v>0.0</v>
      </c>
      <c r="E1697" s="42" t="str">
        <f t="shared" si="1"/>
        <v>100.0%</v>
      </c>
    </row>
    <row r="1698">
      <c r="A1698" s="40" t="s">
        <v>4737</v>
      </c>
      <c r="B1698" s="40" t="s">
        <v>9049</v>
      </c>
      <c r="C1698" s="41">
        <v>2.0</v>
      </c>
      <c r="D1698" s="41">
        <v>0.0</v>
      </c>
      <c r="E1698" s="42" t="str">
        <f t="shared" si="1"/>
        <v>100.0%</v>
      </c>
    </row>
    <row r="1699">
      <c r="A1699" s="40" t="s">
        <v>4737</v>
      </c>
      <c r="B1699" s="40" t="s">
        <v>9116</v>
      </c>
      <c r="C1699" s="41">
        <v>2.0</v>
      </c>
      <c r="D1699" s="41">
        <v>0.0</v>
      </c>
      <c r="E1699" s="42" t="str">
        <f t="shared" si="1"/>
        <v>100.0%</v>
      </c>
    </row>
    <row r="1700">
      <c r="A1700" s="40" t="s">
        <v>4737</v>
      </c>
      <c r="B1700" s="40" t="s">
        <v>9117</v>
      </c>
      <c r="C1700" s="41">
        <v>2.0</v>
      </c>
      <c r="D1700" s="41">
        <v>0.0</v>
      </c>
      <c r="E1700" s="42" t="str">
        <f t="shared" si="1"/>
        <v>100.0%</v>
      </c>
    </row>
    <row r="1701">
      <c r="A1701" s="40" t="s">
        <v>4737</v>
      </c>
      <c r="B1701" s="40" t="s">
        <v>9118</v>
      </c>
      <c r="C1701" s="41">
        <v>2.0</v>
      </c>
      <c r="D1701" s="41">
        <v>0.0</v>
      </c>
      <c r="E1701" s="42" t="str">
        <f t="shared" si="1"/>
        <v>100.0%</v>
      </c>
    </row>
    <row r="1702">
      <c r="A1702" s="40" t="s">
        <v>4737</v>
      </c>
      <c r="B1702" s="40" t="s">
        <v>8672</v>
      </c>
      <c r="C1702" s="41">
        <v>2.0</v>
      </c>
      <c r="D1702" s="41">
        <v>1.0</v>
      </c>
      <c r="E1702" s="42" t="str">
        <f t="shared" si="1"/>
        <v>66.7%</v>
      </c>
    </row>
    <row r="1703">
      <c r="A1703" s="40" t="s">
        <v>4737</v>
      </c>
      <c r="B1703" s="40" t="s">
        <v>9056</v>
      </c>
      <c r="C1703" s="41">
        <v>2.0</v>
      </c>
      <c r="D1703" s="41">
        <v>1.0</v>
      </c>
      <c r="E1703" s="42" t="str">
        <f t="shared" si="1"/>
        <v>66.7%</v>
      </c>
    </row>
    <row r="1704">
      <c r="A1704" s="40" t="s">
        <v>4737</v>
      </c>
      <c r="B1704" s="40" t="s">
        <v>9119</v>
      </c>
      <c r="C1704" s="41">
        <v>2.0</v>
      </c>
      <c r="D1704" s="41">
        <v>1.0</v>
      </c>
      <c r="E1704" s="42" t="str">
        <f t="shared" si="1"/>
        <v>66.7%</v>
      </c>
    </row>
    <row r="1705">
      <c r="A1705" s="40" t="s">
        <v>4737</v>
      </c>
      <c r="B1705" s="40" t="s">
        <v>9120</v>
      </c>
      <c r="C1705" s="41">
        <v>2.0</v>
      </c>
      <c r="D1705" s="41">
        <v>1.0</v>
      </c>
      <c r="E1705" s="42" t="str">
        <f t="shared" si="1"/>
        <v>66.7%</v>
      </c>
    </row>
    <row r="1706">
      <c r="A1706" s="40" t="s">
        <v>4737</v>
      </c>
      <c r="B1706" s="40" t="s">
        <v>8950</v>
      </c>
      <c r="C1706" s="41">
        <v>2.0</v>
      </c>
      <c r="D1706" s="41">
        <v>2.0</v>
      </c>
      <c r="E1706" s="42" t="str">
        <f t="shared" si="1"/>
        <v>50.0%</v>
      </c>
    </row>
    <row r="1707">
      <c r="A1707" s="40" t="s">
        <v>4737</v>
      </c>
      <c r="B1707" s="40" t="s">
        <v>9033</v>
      </c>
      <c r="C1707" s="41">
        <v>2.0</v>
      </c>
      <c r="D1707" s="41">
        <v>2.0</v>
      </c>
      <c r="E1707" s="42" t="str">
        <f t="shared" si="1"/>
        <v>50.0%</v>
      </c>
    </row>
    <row r="1708">
      <c r="A1708" s="40" t="s">
        <v>4737</v>
      </c>
      <c r="B1708" s="40" t="s">
        <v>8709</v>
      </c>
      <c r="C1708" s="41">
        <v>2.0</v>
      </c>
      <c r="D1708" s="41">
        <v>3.0</v>
      </c>
      <c r="E1708" s="42" t="str">
        <f t="shared" si="1"/>
        <v>40.0%</v>
      </c>
    </row>
    <row r="1709">
      <c r="A1709" s="40" t="s">
        <v>4737</v>
      </c>
      <c r="B1709" s="40" t="s">
        <v>8808</v>
      </c>
      <c r="C1709" s="41">
        <v>2.0</v>
      </c>
      <c r="D1709" s="41">
        <v>3.0</v>
      </c>
      <c r="E1709" s="42" t="str">
        <f t="shared" si="1"/>
        <v>40.0%</v>
      </c>
    </row>
    <row r="1710">
      <c r="A1710" s="40" t="s">
        <v>4737</v>
      </c>
      <c r="B1710" s="40" t="s">
        <v>9121</v>
      </c>
      <c r="C1710" s="41">
        <v>2.0</v>
      </c>
      <c r="D1710" s="41">
        <v>3.0</v>
      </c>
      <c r="E1710" s="42" t="str">
        <f t="shared" si="1"/>
        <v>40.0%</v>
      </c>
    </row>
    <row r="1711">
      <c r="A1711" s="40" t="s">
        <v>4737</v>
      </c>
      <c r="B1711" s="40" t="s">
        <v>9122</v>
      </c>
      <c r="C1711" s="41">
        <v>2.0</v>
      </c>
      <c r="D1711" s="41">
        <v>4.0</v>
      </c>
      <c r="E1711" s="42" t="str">
        <f t="shared" si="1"/>
        <v>33.3%</v>
      </c>
    </row>
    <row r="1712">
      <c r="A1712" s="40" t="s">
        <v>4737</v>
      </c>
      <c r="B1712" s="40" t="s">
        <v>8853</v>
      </c>
      <c r="C1712" s="41">
        <v>2.0</v>
      </c>
      <c r="D1712" s="41">
        <v>5.0</v>
      </c>
      <c r="E1712" s="42" t="str">
        <f t="shared" si="1"/>
        <v>28.6%</v>
      </c>
    </row>
    <row r="1713">
      <c r="A1713" s="40" t="s">
        <v>4737</v>
      </c>
      <c r="B1713" s="40" t="s">
        <v>8821</v>
      </c>
      <c r="C1713" s="41">
        <v>2.0</v>
      </c>
      <c r="D1713" s="41">
        <v>5.0</v>
      </c>
      <c r="E1713" s="42" t="str">
        <f t="shared" si="1"/>
        <v>28.6%</v>
      </c>
    </row>
    <row r="1714">
      <c r="A1714" s="40" t="s">
        <v>4737</v>
      </c>
      <c r="B1714" s="40" t="s">
        <v>9123</v>
      </c>
      <c r="C1714" s="41">
        <v>2.0</v>
      </c>
      <c r="D1714" s="41">
        <v>14.0</v>
      </c>
      <c r="E1714" s="42" t="str">
        <f t="shared" si="1"/>
        <v>12.5%</v>
      </c>
    </row>
    <row r="1715">
      <c r="A1715" s="40" t="s">
        <v>4737</v>
      </c>
      <c r="B1715" s="40" t="s">
        <v>8650</v>
      </c>
      <c r="C1715" s="41">
        <v>1.0</v>
      </c>
      <c r="D1715" s="41">
        <v>0.0</v>
      </c>
      <c r="E1715" s="42" t="str">
        <f t="shared" si="1"/>
        <v>100.0%</v>
      </c>
    </row>
    <row r="1716">
      <c r="A1716" s="40" t="s">
        <v>4737</v>
      </c>
      <c r="B1716" s="40" t="s">
        <v>8528</v>
      </c>
      <c r="C1716" s="41">
        <v>1.0</v>
      </c>
      <c r="D1716" s="41">
        <v>0.0</v>
      </c>
      <c r="E1716" s="42" t="str">
        <f t="shared" si="1"/>
        <v>100.0%</v>
      </c>
    </row>
    <row r="1717">
      <c r="A1717" s="40" t="s">
        <v>4737</v>
      </c>
      <c r="B1717" s="40" t="s">
        <v>8635</v>
      </c>
      <c r="C1717" s="41">
        <v>1.0</v>
      </c>
      <c r="D1717" s="41">
        <v>0.0</v>
      </c>
      <c r="E1717" s="42" t="str">
        <f t="shared" si="1"/>
        <v>100.0%</v>
      </c>
    </row>
    <row r="1718">
      <c r="A1718" s="40" t="s">
        <v>4737</v>
      </c>
      <c r="B1718" s="40" t="s">
        <v>8510</v>
      </c>
      <c r="C1718" s="41">
        <v>1.0</v>
      </c>
      <c r="D1718" s="41">
        <v>0.0</v>
      </c>
      <c r="E1718" s="42" t="str">
        <f t="shared" si="1"/>
        <v>100.0%</v>
      </c>
    </row>
    <row r="1719">
      <c r="A1719" s="40" t="s">
        <v>4737</v>
      </c>
      <c r="B1719" s="40" t="s">
        <v>8663</v>
      </c>
      <c r="C1719" s="41">
        <v>1.0</v>
      </c>
      <c r="D1719" s="41">
        <v>0.0</v>
      </c>
      <c r="E1719" s="42" t="str">
        <f t="shared" si="1"/>
        <v>100.0%</v>
      </c>
    </row>
    <row r="1720">
      <c r="A1720" s="40" t="s">
        <v>4737</v>
      </c>
      <c r="B1720" s="40" t="s">
        <v>8671</v>
      </c>
      <c r="C1720" s="41">
        <v>1.0</v>
      </c>
      <c r="D1720" s="41">
        <v>0.0</v>
      </c>
      <c r="E1720" s="42" t="str">
        <f t="shared" si="1"/>
        <v>100.0%</v>
      </c>
    </row>
    <row r="1721">
      <c r="A1721" s="40" t="s">
        <v>4737</v>
      </c>
      <c r="B1721" s="40" t="s">
        <v>8778</v>
      </c>
      <c r="C1721" s="41">
        <v>1.0</v>
      </c>
      <c r="D1721" s="41">
        <v>0.0</v>
      </c>
      <c r="E1721" s="42" t="str">
        <f t="shared" si="1"/>
        <v>100.0%</v>
      </c>
    </row>
    <row r="1722">
      <c r="A1722" s="40" t="s">
        <v>4737</v>
      </c>
      <c r="B1722" s="40" t="s">
        <v>8886</v>
      </c>
      <c r="C1722" s="41">
        <v>1.0</v>
      </c>
      <c r="D1722" s="41">
        <v>0.0</v>
      </c>
      <c r="E1722" s="42" t="str">
        <f t="shared" si="1"/>
        <v>100.0%</v>
      </c>
    </row>
    <row r="1723">
      <c r="A1723" s="40" t="s">
        <v>4737</v>
      </c>
      <c r="B1723" s="40" t="s">
        <v>8999</v>
      </c>
      <c r="C1723" s="41">
        <v>1.0</v>
      </c>
      <c r="D1723" s="41">
        <v>0.0</v>
      </c>
      <c r="E1723" s="42" t="str">
        <f t="shared" si="1"/>
        <v>100.0%</v>
      </c>
    </row>
    <row r="1724">
      <c r="A1724" s="40" t="s">
        <v>4737</v>
      </c>
      <c r="B1724" s="40" t="s">
        <v>9022</v>
      </c>
      <c r="C1724" s="41">
        <v>1.0</v>
      </c>
      <c r="D1724" s="41">
        <v>0.0</v>
      </c>
      <c r="E1724" s="42" t="str">
        <f t="shared" si="1"/>
        <v>100.0%</v>
      </c>
    </row>
    <row r="1725">
      <c r="A1725" s="40" t="s">
        <v>4737</v>
      </c>
      <c r="B1725" s="40" t="s">
        <v>9040</v>
      </c>
      <c r="C1725" s="41">
        <v>1.0</v>
      </c>
      <c r="D1725" s="41">
        <v>0.0</v>
      </c>
      <c r="E1725" s="42" t="str">
        <f t="shared" si="1"/>
        <v>100.0%</v>
      </c>
    </row>
    <row r="1726">
      <c r="A1726" s="40" t="s">
        <v>4737</v>
      </c>
      <c r="B1726" s="40" t="s">
        <v>9103</v>
      </c>
      <c r="C1726" s="41">
        <v>1.0</v>
      </c>
      <c r="D1726" s="41">
        <v>0.0</v>
      </c>
      <c r="E1726" s="42" t="str">
        <f t="shared" si="1"/>
        <v>100.0%</v>
      </c>
    </row>
    <row r="1727">
      <c r="A1727" s="40" t="s">
        <v>4737</v>
      </c>
      <c r="B1727" s="40" t="s">
        <v>9124</v>
      </c>
      <c r="C1727" s="41">
        <v>1.0</v>
      </c>
      <c r="D1727" s="41">
        <v>0.0</v>
      </c>
      <c r="E1727" s="42" t="str">
        <f t="shared" si="1"/>
        <v>100.0%</v>
      </c>
    </row>
    <row r="1728">
      <c r="A1728" s="40" t="s">
        <v>4737</v>
      </c>
      <c r="B1728" s="40" t="s">
        <v>9125</v>
      </c>
      <c r="C1728" s="41">
        <v>1.0</v>
      </c>
      <c r="D1728" s="41">
        <v>0.0</v>
      </c>
      <c r="E1728" s="42" t="str">
        <f t="shared" si="1"/>
        <v>100.0%</v>
      </c>
    </row>
    <row r="1729">
      <c r="A1729" s="40" t="s">
        <v>4737</v>
      </c>
      <c r="B1729" s="40" t="s">
        <v>9126</v>
      </c>
      <c r="C1729" s="41">
        <v>1.0</v>
      </c>
      <c r="D1729" s="41">
        <v>0.0</v>
      </c>
      <c r="E1729" s="42" t="str">
        <f t="shared" si="1"/>
        <v>100.0%</v>
      </c>
    </row>
    <row r="1730">
      <c r="A1730" s="40" t="s">
        <v>4737</v>
      </c>
      <c r="B1730" s="40" t="s">
        <v>9127</v>
      </c>
      <c r="C1730" s="41">
        <v>1.0</v>
      </c>
      <c r="D1730" s="41">
        <v>0.0</v>
      </c>
      <c r="E1730" s="42" t="str">
        <f t="shared" si="1"/>
        <v>100.0%</v>
      </c>
    </row>
    <row r="1731">
      <c r="A1731" s="40" t="s">
        <v>4737</v>
      </c>
      <c r="B1731" s="40" t="s">
        <v>9128</v>
      </c>
      <c r="C1731" s="41">
        <v>1.0</v>
      </c>
      <c r="D1731" s="41">
        <v>0.0</v>
      </c>
      <c r="E1731" s="42" t="str">
        <f t="shared" si="1"/>
        <v>100.0%</v>
      </c>
    </row>
    <row r="1732">
      <c r="A1732" s="40" t="s">
        <v>4737</v>
      </c>
      <c r="B1732" s="40" t="s">
        <v>9129</v>
      </c>
      <c r="C1732" s="41">
        <v>1.0</v>
      </c>
      <c r="D1732" s="41">
        <v>0.0</v>
      </c>
      <c r="E1732" s="42" t="str">
        <f t="shared" si="1"/>
        <v>100.0%</v>
      </c>
    </row>
    <row r="1733">
      <c r="A1733" s="40" t="s">
        <v>4737</v>
      </c>
      <c r="B1733" s="40" t="s">
        <v>9130</v>
      </c>
      <c r="C1733" s="41">
        <v>1.0</v>
      </c>
      <c r="D1733" s="41">
        <v>0.0</v>
      </c>
      <c r="E1733" s="42" t="str">
        <f t="shared" si="1"/>
        <v>100.0%</v>
      </c>
    </row>
    <row r="1734">
      <c r="A1734" s="40" t="s">
        <v>4737</v>
      </c>
      <c r="B1734" s="40" t="s">
        <v>9131</v>
      </c>
      <c r="C1734" s="41">
        <v>1.0</v>
      </c>
      <c r="D1734" s="41">
        <v>0.0</v>
      </c>
      <c r="E1734" s="42" t="str">
        <f t="shared" si="1"/>
        <v>100.0%</v>
      </c>
    </row>
    <row r="1735">
      <c r="A1735" s="40" t="s">
        <v>4737</v>
      </c>
      <c r="B1735" s="40" t="s">
        <v>9132</v>
      </c>
      <c r="C1735" s="41">
        <v>1.0</v>
      </c>
      <c r="D1735" s="41">
        <v>0.0</v>
      </c>
      <c r="E1735" s="42" t="str">
        <f t="shared" si="1"/>
        <v>100.0%</v>
      </c>
    </row>
    <row r="1736">
      <c r="A1736" s="40" t="s">
        <v>4737</v>
      </c>
      <c r="B1736" s="40" t="s">
        <v>9133</v>
      </c>
      <c r="C1736" s="41">
        <v>1.0</v>
      </c>
      <c r="D1736" s="41">
        <v>0.0</v>
      </c>
      <c r="E1736" s="42" t="str">
        <f t="shared" si="1"/>
        <v>100.0%</v>
      </c>
    </row>
    <row r="1737">
      <c r="A1737" s="40" t="s">
        <v>4737</v>
      </c>
      <c r="B1737" s="40" t="s">
        <v>9134</v>
      </c>
      <c r="C1737" s="41">
        <v>1.0</v>
      </c>
      <c r="D1737" s="41">
        <v>0.0</v>
      </c>
      <c r="E1737" s="42" t="str">
        <f t="shared" si="1"/>
        <v>100.0%</v>
      </c>
    </row>
    <row r="1738">
      <c r="A1738" s="40" t="s">
        <v>4737</v>
      </c>
      <c r="B1738" s="40" t="s">
        <v>9135</v>
      </c>
      <c r="C1738" s="41">
        <v>1.0</v>
      </c>
      <c r="D1738" s="41">
        <v>0.0</v>
      </c>
      <c r="E1738" s="42" t="str">
        <f t="shared" si="1"/>
        <v>100.0%</v>
      </c>
    </row>
    <row r="1739">
      <c r="A1739" s="40" t="s">
        <v>4737</v>
      </c>
      <c r="B1739" s="40" t="s">
        <v>9136</v>
      </c>
      <c r="C1739" s="41">
        <v>1.0</v>
      </c>
      <c r="D1739" s="41">
        <v>0.0</v>
      </c>
      <c r="E1739" s="42" t="str">
        <f t="shared" si="1"/>
        <v>100.0%</v>
      </c>
    </row>
    <row r="1740">
      <c r="A1740" s="40" t="s">
        <v>4737</v>
      </c>
      <c r="B1740" s="40" t="s">
        <v>9137</v>
      </c>
      <c r="C1740" s="41">
        <v>1.0</v>
      </c>
      <c r="D1740" s="41">
        <v>0.0</v>
      </c>
      <c r="E1740" s="42" t="str">
        <f t="shared" si="1"/>
        <v>100.0%</v>
      </c>
    </row>
    <row r="1741">
      <c r="A1741" s="40" t="s">
        <v>4737</v>
      </c>
      <c r="B1741" s="40" t="s">
        <v>9138</v>
      </c>
      <c r="C1741" s="41">
        <v>1.0</v>
      </c>
      <c r="D1741" s="41">
        <v>0.0</v>
      </c>
      <c r="E1741" s="42" t="str">
        <f t="shared" si="1"/>
        <v>100.0%</v>
      </c>
    </row>
    <row r="1742">
      <c r="A1742" s="40" t="s">
        <v>4737</v>
      </c>
      <c r="B1742" s="40" t="s">
        <v>9139</v>
      </c>
      <c r="C1742" s="41">
        <v>1.0</v>
      </c>
      <c r="D1742" s="41">
        <v>0.0</v>
      </c>
      <c r="E1742" s="42" t="str">
        <f t="shared" si="1"/>
        <v>100.0%</v>
      </c>
    </row>
    <row r="1743">
      <c r="A1743" s="40" t="s">
        <v>4737</v>
      </c>
      <c r="B1743" s="40" t="s">
        <v>9140</v>
      </c>
      <c r="C1743" s="41">
        <v>1.0</v>
      </c>
      <c r="D1743" s="41">
        <v>0.0</v>
      </c>
      <c r="E1743" s="42" t="str">
        <f t="shared" si="1"/>
        <v>100.0%</v>
      </c>
    </row>
    <row r="1744">
      <c r="A1744" s="40" t="s">
        <v>4737</v>
      </c>
      <c r="B1744" s="40" t="s">
        <v>8576</v>
      </c>
      <c r="C1744" s="41">
        <v>1.0</v>
      </c>
      <c r="D1744" s="41">
        <v>1.0</v>
      </c>
      <c r="E1744" s="42" t="str">
        <f t="shared" si="1"/>
        <v>50.0%</v>
      </c>
    </row>
    <row r="1745">
      <c r="A1745" s="40" t="s">
        <v>4737</v>
      </c>
      <c r="B1745" s="40" t="s">
        <v>8726</v>
      </c>
      <c r="C1745" s="41">
        <v>1.0</v>
      </c>
      <c r="D1745" s="41">
        <v>1.0</v>
      </c>
      <c r="E1745" s="42" t="str">
        <f t="shared" si="1"/>
        <v>50.0%</v>
      </c>
    </row>
    <row r="1746">
      <c r="A1746" s="40" t="s">
        <v>4737</v>
      </c>
      <c r="B1746" s="40" t="s">
        <v>8734</v>
      </c>
      <c r="C1746" s="41">
        <v>1.0</v>
      </c>
      <c r="D1746" s="41">
        <v>1.0</v>
      </c>
      <c r="E1746" s="42" t="str">
        <f t="shared" si="1"/>
        <v>50.0%</v>
      </c>
    </row>
    <row r="1747">
      <c r="A1747" s="40" t="s">
        <v>4737</v>
      </c>
      <c r="B1747" s="40" t="s">
        <v>9029</v>
      </c>
      <c r="C1747" s="41">
        <v>1.0</v>
      </c>
      <c r="D1747" s="41">
        <v>1.0</v>
      </c>
      <c r="E1747" s="42" t="str">
        <f t="shared" si="1"/>
        <v>50.0%</v>
      </c>
    </row>
    <row r="1748">
      <c r="A1748" s="40" t="s">
        <v>4737</v>
      </c>
      <c r="B1748" s="40" t="s">
        <v>8951</v>
      </c>
      <c r="C1748" s="41">
        <v>1.0</v>
      </c>
      <c r="D1748" s="41">
        <v>1.0</v>
      </c>
      <c r="E1748" s="42" t="str">
        <f t="shared" si="1"/>
        <v>50.0%</v>
      </c>
    </row>
    <row r="1749">
      <c r="A1749" s="40" t="s">
        <v>4737</v>
      </c>
      <c r="B1749" s="40" t="s">
        <v>9085</v>
      </c>
      <c r="C1749" s="41">
        <v>1.0</v>
      </c>
      <c r="D1749" s="41">
        <v>1.0</v>
      </c>
      <c r="E1749" s="42" t="str">
        <f t="shared" si="1"/>
        <v>50.0%</v>
      </c>
    </row>
    <row r="1750">
      <c r="A1750" s="40" t="s">
        <v>4737</v>
      </c>
      <c r="B1750" s="40" t="s">
        <v>9141</v>
      </c>
      <c r="C1750" s="41">
        <v>1.0</v>
      </c>
      <c r="D1750" s="41">
        <v>1.0</v>
      </c>
      <c r="E1750" s="42" t="str">
        <f t="shared" si="1"/>
        <v>50.0%</v>
      </c>
    </row>
    <row r="1751">
      <c r="A1751" s="40" t="s">
        <v>4737</v>
      </c>
      <c r="B1751" s="40" t="s">
        <v>9142</v>
      </c>
      <c r="C1751" s="41">
        <v>1.0</v>
      </c>
      <c r="D1751" s="41">
        <v>1.0</v>
      </c>
      <c r="E1751" s="42" t="str">
        <f t="shared" si="1"/>
        <v>50.0%</v>
      </c>
    </row>
    <row r="1752">
      <c r="A1752" s="40" t="s">
        <v>4737</v>
      </c>
      <c r="B1752" s="40" t="s">
        <v>9143</v>
      </c>
      <c r="C1752" s="41">
        <v>1.0</v>
      </c>
      <c r="D1752" s="41">
        <v>1.0</v>
      </c>
      <c r="E1752" s="42" t="str">
        <f t="shared" si="1"/>
        <v>50.0%</v>
      </c>
    </row>
    <row r="1753">
      <c r="A1753" s="40" t="s">
        <v>4737</v>
      </c>
      <c r="B1753" s="40" t="s">
        <v>9144</v>
      </c>
      <c r="C1753" s="41">
        <v>1.0</v>
      </c>
      <c r="D1753" s="41">
        <v>1.0</v>
      </c>
      <c r="E1753" s="42" t="str">
        <f t="shared" si="1"/>
        <v>50.0%</v>
      </c>
    </row>
    <row r="1754">
      <c r="A1754" s="40" t="s">
        <v>4737</v>
      </c>
      <c r="B1754" s="40" t="s">
        <v>9145</v>
      </c>
      <c r="C1754" s="41">
        <v>1.0</v>
      </c>
      <c r="D1754" s="41">
        <v>1.0</v>
      </c>
      <c r="E1754" s="42" t="str">
        <f t="shared" si="1"/>
        <v>50.0%</v>
      </c>
    </row>
    <row r="1755">
      <c r="A1755" s="40" t="s">
        <v>4737</v>
      </c>
      <c r="B1755" s="40" t="s">
        <v>9146</v>
      </c>
      <c r="C1755" s="41">
        <v>1.0</v>
      </c>
      <c r="D1755" s="41">
        <v>1.0</v>
      </c>
      <c r="E1755" s="42" t="str">
        <f t="shared" si="1"/>
        <v>50.0%</v>
      </c>
    </row>
    <row r="1756">
      <c r="A1756" s="40" t="s">
        <v>4737</v>
      </c>
      <c r="B1756" s="40" t="s">
        <v>9147</v>
      </c>
      <c r="C1756" s="41">
        <v>1.0</v>
      </c>
      <c r="D1756" s="41">
        <v>1.0</v>
      </c>
      <c r="E1756" s="42" t="str">
        <f t="shared" si="1"/>
        <v>50.0%</v>
      </c>
    </row>
    <row r="1757">
      <c r="A1757" s="40" t="s">
        <v>4737</v>
      </c>
      <c r="B1757" s="40" t="s">
        <v>9148</v>
      </c>
      <c r="C1757" s="41">
        <v>1.0</v>
      </c>
      <c r="D1757" s="41">
        <v>1.0</v>
      </c>
      <c r="E1757" s="42" t="str">
        <f t="shared" si="1"/>
        <v>50.0%</v>
      </c>
    </row>
    <row r="1758">
      <c r="A1758" s="40" t="s">
        <v>4737</v>
      </c>
      <c r="B1758" s="40" t="s">
        <v>8702</v>
      </c>
      <c r="C1758" s="41">
        <v>1.0</v>
      </c>
      <c r="D1758" s="41">
        <v>2.0</v>
      </c>
      <c r="E1758" s="42" t="str">
        <f t="shared" si="1"/>
        <v>33.3%</v>
      </c>
    </row>
    <row r="1759">
      <c r="A1759" s="40" t="s">
        <v>4737</v>
      </c>
      <c r="B1759" s="40" t="s">
        <v>8658</v>
      </c>
      <c r="C1759" s="41">
        <v>1.0</v>
      </c>
      <c r="D1759" s="41">
        <v>2.0</v>
      </c>
      <c r="E1759" s="42" t="str">
        <f t="shared" si="1"/>
        <v>33.3%</v>
      </c>
    </row>
    <row r="1760">
      <c r="A1760" s="40" t="s">
        <v>4737</v>
      </c>
      <c r="B1760" s="40" t="s">
        <v>8548</v>
      </c>
      <c r="C1760" s="41">
        <v>1.0</v>
      </c>
      <c r="D1760" s="41">
        <v>2.0</v>
      </c>
      <c r="E1760" s="42" t="str">
        <f t="shared" si="1"/>
        <v>33.3%</v>
      </c>
    </row>
    <row r="1761">
      <c r="A1761" s="40" t="s">
        <v>4737</v>
      </c>
      <c r="B1761" s="40" t="s">
        <v>8622</v>
      </c>
      <c r="C1761" s="41">
        <v>1.0</v>
      </c>
      <c r="D1761" s="41">
        <v>2.0</v>
      </c>
      <c r="E1761" s="42" t="str">
        <f t="shared" si="1"/>
        <v>33.3%</v>
      </c>
    </row>
    <row r="1762">
      <c r="A1762" s="40" t="s">
        <v>4737</v>
      </c>
      <c r="B1762" s="40" t="s">
        <v>8580</v>
      </c>
      <c r="C1762" s="41">
        <v>1.0</v>
      </c>
      <c r="D1762" s="41">
        <v>2.0</v>
      </c>
      <c r="E1762" s="42" t="str">
        <f t="shared" si="1"/>
        <v>33.3%</v>
      </c>
    </row>
    <row r="1763">
      <c r="A1763" s="40" t="s">
        <v>4737</v>
      </c>
      <c r="B1763" s="40" t="s">
        <v>8769</v>
      </c>
      <c r="C1763" s="41">
        <v>1.0</v>
      </c>
      <c r="D1763" s="41">
        <v>2.0</v>
      </c>
      <c r="E1763" s="42" t="str">
        <f t="shared" si="1"/>
        <v>33.3%</v>
      </c>
    </row>
    <row r="1764">
      <c r="A1764" s="40" t="s">
        <v>4737</v>
      </c>
      <c r="B1764" s="40" t="s">
        <v>8865</v>
      </c>
      <c r="C1764" s="41">
        <v>1.0</v>
      </c>
      <c r="D1764" s="41">
        <v>2.0</v>
      </c>
      <c r="E1764" s="42" t="str">
        <f t="shared" si="1"/>
        <v>33.3%</v>
      </c>
    </row>
    <row r="1765">
      <c r="A1765" s="40" t="s">
        <v>4737</v>
      </c>
      <c r="B1765" s="40" t="s">
        <v>9028</v>
      </c>
      <c r="C1765" s="41">
        <v>1.0</v>
      </c>
      <c r="D1765" s="41">
        <v>2.0</v>
      </c>
      <c r="E1765" s="42" t="str">
        <f t="shared" si="1"/>
        <v>33.3%</v>
      </c>
    </row>
    <row r="1766">
      <c r="A1766" s="40" t="s">
        <v>4737</v>
      </c>
      <c r="B1766" s="40" t="s">
        <v>8948</v>
      </c>
      <c r="C1766" s="41">
        <v>1.0</v>
      </c>
      <c r="D1766" s="41">
        <v>2.0</v>
      </c>
      <c r="E1766" s="42" t="str">
        <f t="shared" si="1"/>
        <v>33.3%</v>
      </c>
    </row>
    <row r="1767">
      <c r="A1767" s="40" t="s">
        <v>4737</v>
      </c>
      <c r="B1767" s="40" t="s">
        <v>9100</v>
      </c>
      <c r="C1767" s="41">
        <v>1.0</v>
      </c>
      <c r="D1767" s="41">
        <v>2.0</v>
      </c>
      <c r="E1767" s="42" t="str">
        <f t="shared" si="1"/>
        <v>33.3%</v>
      </c>
    </row>
    <row r="1768">
      <c r="A1768" s="40" t="s">
        <v>4737</v>
      </c>
      <c r="B1768" s="40" t="s">
        <v>9149</v>
      </c>
      <c r="C1768" s="41">
        <v>1.0</v>
      </c>
      <c r="D1768" s="41">
        <v>2.0</v>
      </c>
      <c r="E1768" s="42" t="str">
        <f t="shared" si="1"/>
        <v>33.3%</v>
      </c>
    </row>
    <row r="1769">
      <c r="A1769" s="40" t="s">
        <v>4737</v>
      </c>
      <c r="B1769" s="40" t="s">
        <v>9150</v>
      </c>
      <c r="C1769" s="41">
        <v>1.0</v>
      </c>
      <c r="D1769" s="41">
        <v>2.0</v>
      </c>
      <c r="E1769" s="42" t="str">
        <f t="shared" si="1"/>
        <v>33.3%</v>
      </c>
    </row>
    <row r="1770">
      <c r="A1770" s="40" t="s">
        <v>4737</v>
      </c>
      <c r="B1770" s="40" t="s">
        <v>8946</v>
      </c>
      <c r="C1770" s="41">
        <v>1.0</v>
      </c>
      <c r="D1770" s="41">
        <v>3.0</v>
      </c>
      <c r="E1770" s="42" t="str">
        <f t="shared" si="1"/>
        <v>25.0%</v>
      </c>
    </row>
    <row r="1771">
      <c r="A1771" s="40" t="s">
        <v>4737</v>
      </c>
      <c r="B1771" s="40" t="s">
        <v>9094</v>
      </c>
      <c r="C1771" s="41">
        <v>1.0</v>
      </c>
      <c r="D1771" s="41">
        <v>3.0</v>
      </c>
      <c r="E1771" s="42" t="str">
        <f t="shared" si="1"/>
        <v>25.0%</v>
      </c>
    </row>
    <row r="1772">
      <c r="A1772" s="40" t="s">
        <v>4737</v>
      </c>
      <c r="B1772" s="40" t="s">
        <v>9151</v>
      </c>
      <c r="C1772" s="41">
        <v>1.0</v>
      </c>
      <c r="D1772" s="41">
        <v>3.0</v>
      </c>
      <c r="E1772" s="42" t="str">
        <f t="shared" si="1"/>
        <v>25.0%</v>
      </c>
    </row>
    <row r="1773">
      <c r="A1773" s="40" t="s">
        <v>4737</v>
      </c>
      <c r="B1773" s="40" t="s">
        <v>9035</v>
      </c>
      <c r="C1773" s="41">
        <v>1.0</v>
      </c>
      <c r="D1773" s="41">
        <v>5.0</v>
      </c>
      <c r="E1773" s="42" t="str">
        <f t="shared" si="1"/>
        <v>16.7%</v>
      </c>
    </row>
    <row r="1774">
      <c r="A1774" s="40" t="s">
        <v>4737</v>
      </c>
      <c r="B1774" s="40" t="s">
        <v>9152</v>
      </c>
      <c r="C1774" s="41">
        <v>1.0</v>
      </c>
      <c r="D1774" s="41">
        <v>5.0</v>
      </c>
      <c r="E1774" s="42" t="str">
        <f t="shared" si="1"/>
        <v>16.7%</v>
      </c>
    </row>
    <row r="1775">
      <c r="A1775" s="40" t="s">
        <v>4737</v>
      </c>
      <c r="B1775" s="40" t="s">
        <v>8639</v>
      </c>
      <c r="C1775" s="41">
        <v>0.0</v>
      </c>
      <c r="D1775" s="41">
        <v>1.0</v>
      </c>
      <c r="E1775" s="42" t="str">
        <f t="shared" si="1"/>
        <v>0.0%</v>
      </c>
    </row>
    <row r="1776">
      <c r="A1776" s="40" t="s">
        <v>4737</v>
      </c>
      <c r="B1776" s="40" t="s">
        <v>8604</v>
      </c>
      <c r="C1776" s="41">
        <v>0.0</v>
      </c>
      <c r="D1776" s="41">
        <v>1.0</v>
      </c>
      <c r="E1776" s="42" t="str">
        <f t="shared" si="1"/>
        <v>0.0%</v>
      </c>
    </row>
    <row r="1777">
      <c r="A1777" s="40" t="s">
        <v>4737</v>
      </c>
      <c r="B1777" s="40" t="s">
        <v>8519</v>
      </c>
      <c r="C1777" s="41">
        <v>0.0</v>
      </c>
      <c r="D1777" s="41">
        <v>1.0</v>
      </c>
      <c r="E1777" s="42" t="str">
        <f t="shared" si="1"/>
        <v>0.0%</v>
      </c>
    </row>
    <row r="1778">
      <c r="A1778" s="40" t="s">
        <v>4737</v>
      </c>
      <c r="B1778" s="40" t="s">
        <v>8593</v>
      </c>
      <c r="C1778" s="41">
        <v>0.0</v>
      </c>
      <c r="D1778" s="41">
        <v>1.0</v>
      </c>
      <c r="E1778" s="42" t="str">
        <f t="shared" si="1"/>
        <v>0.0%</v>
      </c>
    </row>
    <row r="1779">
      <c r="A1779" s="40" t="s">
        <v>4737</v>
      </c>
      <c r="B1779" s="40" t="s">
        <v>8625</v>
      </c>
      <c r="C1779" s="41">
        <v>0.0</v>
      </c>
      <c r="D1779" s="41">
        <v>1.0</v>
      </c>
      <c r="E1779" s="42" t="str">
        <f t="shared" si="1"/>
        <v>0.0%</v>
      </c>
    </row>
    <row r="1780">
      <c r="A1780" s="40" t="s">
        <v>4737</v>
      </c>
      <c r="B1780" s="40" t="s">
        <v>8701</v>
      </c>
      <c r="C1780" s="41">
        <v>0.0</v>
      </c>
      <c r="D1780" s="41">
        <v>1.0</v>
      </c>
      <c r="E1780" s="42" t="str">
        <f t="shared" si="1"/>
        <v>0.0%</v>
      </c>
    </row>
    <row r="1781">
      <c r="A1781" s="40" t="s">
        <v>4737</v>
      </c>
      <c r="B1781" s="40" t="s">
        <v>8811</v>
      </c>
      <c r="C1781" s="41">
        <v>0.0</v>
      </c>
      <c r="D1781" s="41">
        <v>1.0</v>
      </c>
      <c r="E1781" s="42" t="str">
        <f t="shared" si="1"/>
        <v>0.0%</v>
      </c>
    </row>
    <row r="1782">
      <c r="A1782" s="40" t="s">
        <v>4737</v>
      </c>
      <c r="B1782" s="40" t="s">
        <v>8749</v>
      </c>
      <c r="C1782" s="41">
        <v>0.0</v>
      </c>
      <c r="D1782" s="41">
        <v>1.0</v>
      </c>
      <c r="E1782" s="42" t="str">
        <f t="shared" si="1"/>
        <v>0.0%</v>
      </c>
    </row>
    <row r="1783">
      <c r="A1783" s="40" t="s">
        <v>4737</v>
      </c>
      <c r="B1783" s="40" t="s">
        <v>8723</v>
      </c>
      <c r="C1783" s="41">
        <v>0.0</v>
      </c>
      <c r="D1783" s="41">
        <v>1.0</v>
      </c>
      <c r="E1783" s="42" t="str">
        <f t="shared" si="1"/>
        <v>0.0%</v>
      </c>
    </row>
    <row r="1784">
      <c r="A1784" s="40" t="s">
        <v>4737</v>
      </c>
      <c r="B1784" s="40" t="s">
        <v>8841</v>
      </c>
      <c r="C1784" s="41">
        <v>0.0</v>
      </c>
      <c r="D1784" s="41">
        <v>1.0</v>
      </c>
      <c r="E1784" s="42" t="str">
        <f t="shared" si="1"/>
        <v>0.0%</v>
      </c>
    </row>
    <row r="1785">
      <c r="A1785" s="40" t="s">
        <v>4737</v>
      </c>
      <c r="B1785" s="40" t="s">
        <v>8880</v>
      </c>
      <c r="C1785" s="41">
        <v>0.0</v>
      </c>
      <c r="D1785" s="41">
        <v>1.0</v>
      </c>
      <c r="E1785" s="42" t="str">
        <f t="shared" si="1"/>
        <v>0.0%</v>
      </c>
    </row>
    <row r="1786">
      <c r="A1786" s="40" t="s">
        <v>4737</v>
      </c>
      <c r="B1786" s="40" t="s">
        <v>8833</v>
      </c>
      <c r="C1786" s="41">
        <v>0.0</v>
      </c>
      <c r="D1786" s="41">
        <v>1.0</v>
      </c>
      <c r="E1786" s="42" t="str">
        <f t="shared" si="1"/>
        <v>0.0%</v>
      </c>
    </row>
    <row r="1787">
      <c r="A1787" s="40" t="s">
        <v>4737</v>
      </c>
      <c r="B1787" s="40" t="s">
        <v>8844</v>
      </c>
      <c r="C1787" s="41">
        <v>0.0</v>
      </c>
      <c r="D1787" s="41">
        <v>1.0</v>
      </c>
      <c r="E1787" s="42" t="str">
        <f t="shared" si="1"/>
        <v>0.0%</v>
      </c>
    </row>
    <row r="1788">
      <c r="A1788" s="40" t="s">
        <v>4737</v>
      </c>
      <c r="B1788" s="40" t="s">
        <v>9037</v>
      </c>
      <c r="C1788" s="41">
        <v>0.0</v>
      </c>
      <c r="D1788" s="41">
        <v>1.0</v>
      </c>
      <c r="E1788" s="42" t="str">
        <f t="shared" si="1"/>
        <v>0.0%</v>
      </c>
    </row>
    <row r="1789">
      <c r="A1789" s="40" t="s">
        <v>4737</v>
      </c>
      <c r="B1789" s="40" t="s">
        <v>8921</v>
      </c>
      <c r="C1789" s="41">
        <v>0.0</v>
      </c>
      <c r="D1789" s="41">
        <v>1.0</v>
      </c>
      <c r="E1789" s="42" t="str">
        <f t="shared" si="1"/>
        <v>0.0%</v>
      </c>
    </row>
    <row r="1790">
      <c r="A1790" s="40" t="s">
        <v>4737</v>
      </c>
      <c r="B1790" s="40" t="s">
        <v>8930</v>
      </c>
      <c r="C1790" s="41">
        <v>0.0</v>
      </c>
      <c r="D1790" s="41">
        <v>1.0</v>
      </c>
      <c r="E1790" s="42" t="str">
        <f t="shared" si="1"/>
        <v>0.0%</v>
      </c>
    </row>
    <row r="1791">
      <c r="A1791" s="40" t="s">
        <v>4737</v>
      </c>
      <c r="B1791" s="40" t="s">
        <v>9067</v>
      </c>
      <c r="C1791" s="41">
        <v>0.0</v>
      </c>
      <c r="D1791" s="41">
        <v>1.0</v>
      </c>
      <c r="E1791" s="42" t="str">
        <f t="shared" si="1"/>
        <v>0.0%</v>
      </c>
    </row>
    <row r="1792">
      <c r="A1792" s="40" t="s">
        <v>4737</v>
      </c>
      <c r="B1792" s="40" t="s">
        <v>9084</v>
      </c>
      <c r="C1792" s="41">
        <v>0.0</v>
      </c>
      <c r="D1792" s="41">
        <v>1.0</v>
      </c>
      <c r="E1792" s="42" t="str">
        <f t="shared" si="1"/>
        <v>0.0%</v>
      </c>
    </row>
    <row r="1793">
      <c r="A1793" s="40" t="s">
        <v>4737</v>
      </c>
      <c r="B1793" s="40" t="s">
        <v>9153</v>
      </c>
      <c r="C1793" s="41">
        <v>0.0</v>
      </c>
      <c r="D1793" s="41">
        <v>1.0</v>
      </c>
      <c r="E1793" s="42" t="str">
        <f t="shared" si="1"/>
        <v>0.0%</v>
      </c>
    </row>
    <row r="1794">
      <c r="A1794" s="40" t="s">
        <v>4737</v>
      </c>
      <c r="B1794" s="40" t="s">
        <v>9154</v>
      </c>
      <c r="C1794" s="41">
        <v>0.0</v>
      </c>
      <c r="D1794" s="41">
        <v>1.0</v>
      </c>
      <c r="E1794" s="42" t="str">
        <f t="shared" si="1"/>
        <v>0.0%</v>
      </c>
    </row>
    <row r="1795">
      <c r="A1795" s="40" t="s">
        <v>4737</v>
      </c>
      <c r="B1795" s="40" t="s">
        <v>9155</v>
      </c>
      <c r="C1795" s="41">
        <v>0.0</v>
      </c>
      <c r="D1795" s="41">
        <v>1.0</v>
      </c>
      <c r="E1795" s="42" t="str">
        <f t="shared" si="1"/>
        <v>0.0%</v>
      </c>
    </row>
    <row r="1796">
      <c r="A1796" s="40" t="s">
        <v>4737</v>
      </c>
      <c r="B1796" s="40" t="s">
        <v>9156</v>
      </c>
      <c r="C1796" s="41">
        <v>0.0</v>
      </c>
      <c r="D1796" s="41">
        <v>1.0</v>
      </c>
      <c r="E1796" s="42" t="str">
        <f t="shared" si="1"/>
        <v>0.0%</v>
      </c>
    </row>
    <row r="1797">
      <c r="A1797" s="40" t="s">
        <v>4737</v>
      </c>
      <c r="B1797" s="40" t="s">
        <v>9157</v>
      </c>
      <c r="C1797" s="41">
        <v>0.0</v>
      </c>
      <c r="D1797" s="41">
        <v>1.0</v>
      </c>
      <c r="E1797" s="42" t="str">
        <f t="shared" si="1"/>
        <v>0.0%</v>
      </c>
    </row>
    <row r="1798">
      <c r="A1798" s="40" t="s">
        <v>4737</v>
      </c>
      <c r="B1798" s="40" t="s">
        <v>9158</v>
      </c>
      <c r="C1798" s="41">
        <v>0.0</v>
      </c>
      <c r="D1798" s="41">
        <v>1.0</v>
      </c>
      <c r="E1798" s="42" t="str">
        <f t="shared" si="1"/>
        <v>0.0%</v>
      </c>
    </row>
    <row r="1799">
      <c r="A1799" s="40" t="s">
        <v>4737</v>
      </c>
      <c r="B1799" s="40" t="s">
        <v>9159</v>
      </c>
      <c r="C1799" s="41">
        <v>0.0</v>
      </c>
      <c r="D1799" s="41">
        <v>1.0</v>
      </c>
      <c r="E1799" s="42" t="str">
        <f t="shared" si="1"/>
        <v>0.0%</v>
      </c>
    </row>
    <row r="1800">
      <c r="A1800" s="40" t="s">
        <v>4737</v>
      </c>
      <c r="B1800" s="40" t="s">
        <v>9160</v>
      </c>
      <c r="C1800" s="41">
        <v>0.0</v>
      </c>
      <c r="D1800" s="41">
        <v>1.0</v>
      </c>
      <c r="E1800" s="42" t="str">
        <f t="shared" si="1"/>
        <v>0.0%</v>
      </c>
    </row>
    <row r="1801">
      <c r="A1801" s="40" t="s">
        <v>4737</v>
      </c>
      <c r="B1801" s="40" t="s">
        <v>9161</v>
      </c>
      <c r="C1801" s="41">
        <v>0.0</v>
      </c>
      <c r="D1801" s="41">
        <v>1.0</v>
      </c>
      <c r="E1801" s="42" t="str">
        <f t="shared" si="1"/>
        <v>0.0%</v>
      </c>
    </row>
    <row r="1802">
      <c r="A1802" s="40" t="s">
        <v>4737</v>
      </c>
      <c r="B1802" s="40" t="s">
        <v>9162</v>
      </c>
      <c r="C1802" s="41">
        <v>0.0</v>
      </c>
      <c r="D1802" s="41">
        <v>1.0</v>
      </c>
      <c r="E1802" s="42" t="str">
        <f t="shared" si="1"/>
        <v>0.0%</v>
      </c>
    </row>
    <row r="1803">
      <c r="A1803" s="40" t="s">
        <v>4737</v>
      </c>
      <c r="B1803" s="40" t="s">
        <v>9163</v>
      </c>
      <c r="C1803" s="41">
        <v>0.0</v>
      </c>
      <c r="D1803" s="41">
        <v>1.0</v>
      </c>
      <c r="E1803" s="42" t="str">
        <f t="shared" si="1"/>
        <v>0.0%</v>
      </c>
    </row>
    <row r="1804">
      <c r="A1804" s="40" t="s">
        <v>4737</v>
      </c>
      <c r="B1804" s="40" t="s">
        <v>9164</v>
      </c>
      <c r="C1804" s="41">
        <v>0.0</v>
      </c>
      <c r="D1804" s="41">
        <v>1.0</v>
      </c>
      <c r="E1804" s="42" t="str">
        <f t="shared" si="1"/>
        <v>0.0%</v>
      </c>
    </row>
    <row r="1805">
      <c r="A1805" s="40" t="s">
        <v>4737</v>
      </c>
      <c r="B1805" s="40" t="s">
        <v>9165</v>
      </c>
      <c r="C1805" s="41">
        <v>0.0</v>
      </c>
      <c r="D1805" s="41">
        <v>1.0</v>
      </c>
      <c r="E1805" s="42" t="str">
        <f t="shared" si="1"/>
        <v>0.0%</v>
      </c>
    </row>
    <row r="1806">
      <c r="A1806" s="40" t="s">
        <v>4737</v>
      </c>
      <c r="B1806" s="40" t="s">
        <v>9166</v>
      </c>
      <c r="C1806" s="41">
        <v>0.0</v>
      </c>
      <c r="D1806" s="41">
        <v>1.0</v>
      </c>
      <c r="E1806" s="42" t="str">
        <f t="shared" si="1"/>
        <v>0.0%</v>
      </c>
    </row>
    <row r="1807">
      <c r="A1807" s="40" t="s">
        <v>4737</v>
      </c>
      <c r="B1807" s="40" t="s">
        <v>9167</v>
      </c>
      <c r="C1807" s="41">
        <v>0.0</v>
      </c>
      <c r="D1807" s="41">
        <v>1.0</v>
      </c>
      <c r="E1807" s="42" t="str">
        <f t="shared" si="1"/>
        <v>0.0%</v>
      </c>
    </row>
    <row r="1808">
      <c r="A1808" s="40" t="s">
        <v>4737</v>
      </c>
      <c r="B1808" s="40" t="s">
        <v>9168</v>
      </c>
      <c r="C1808" s="41">
        <v>0.0</v>
      </c>
      <c r="D1808" s="41">
        <v>1.0</v>
      </c>
      <c r="E1808" s="42" t="str">
        <f t="shared" si="1"/>
        <v>0.0%</v>
      </c>
    </row>
    <row r="1809">
      <c r="A1809" s="40" t="s">
        <v>4737</v>
      </c>
      <c r="B1809" s="40" t="s">
        <v>9169</v>
      </c>
      <c r="C1809" s="41">
        <v>0.0</v>
      </c>
      <c r="D1809" s="41">
        <v>1.0</v>
      </c>
      <c r="E1809" s="42" t="str">
        <f t="shared" si="1"/>
        <v>0.0%</v>
      </c>
    </row>
    <row r="1810">
      <c r="A1810" s="40" t="s">
        <v>4737</v>
      </c>
      <c r="B1810" s="40" t="s">
        <v>9170</v>
      </c>
      <c r="C1810" s="41">
        <v>0.0</v>
      </c>
      <c r="D1810" s="41">
        <v>1.0</v>
      </c>
      <c r="E1810" s="42" t="str">
        <f t="shared" si="1"/>
        <v>0.0%</v>
      </c>
    </row>
    <row r="1811">
      <c r="A1811" s="40" t="s">
        <v>4737</v>
      </c>
      <c r="B1811" s="40" t="s">
        <v>9171</v>
      </c>
      <c r="C1811" s="41">
        <v>0.0</v>
      </c>
      <c r="D1811" s="41">
        <v>1.0</v>
      </c>
      <c r="E1811" s="42" t="str">
        <f t="shared" si="1"/>
        <v>0.0%</v>
      </c>
    </row>
    <row r="1812">
      <c r="A1812" s="40" t="s">
        <v>4737</v>
      </c>
      <c r="B1812" s="40" t="s">
        <v>9172</v>
      </c>
      <c r="C1812" s="41">
        <v>0.0</v>
      </c>
      <c r="D1812" s="41">
        <v>1.0</v>
      </c>
      <c r="E1812" s="42" t="str">
        <f t="shared" si="1"/>
        <v>0.0%</v>
      </c>
    </row>
    <row r="1813">
      <c r="A1813" s="40" t="s">
        <v>4737</v>
      </c>
      <c r="B1813" s="40" t="s">
        <v>9173</v>
      </c>
      <c r="C1813" s="41">
        <v>0.0</v>
      </c>
      <c r="D1813" s="41">
        <v>1.0</v>
      </c>
      <c r="E1813" s="42" t="str">
        <f t="shared" si="1"/>
        <v>0.0%</v>
      </c>
    </row>
    <row r="1814">
      <c r="A1814" s="40" t="s">
        <v>4737</v>
      </c>
      <c r="B1814" s="40" t="s">
        <v>9174</v>
      </c>
      <c r="C1814" s="41">
        <v>0.0</v>
      </c>
      <c r="D1814" s="41">
        <v>1.0</v>
      </c>
      <c r="E1814" s="42" t="str">
        <f t="shared" si="1"/>
        <v>0.0%</v>
      </c>
    </row>
    <row r="1815">
      <c r="A1815" s="40" t="s">
        <v>4737</v>
      </c>
      <c r="B1815" s="40" t="s">
        <v>9175</v>
      </c>
      <c r="C1815" s="41">
        <v>0.0</v>
      </c>
      <c r="D1815" s="41">
        <v>1.0</v>
      </c>
      <c r="E1815" s="42" t="str">
        <f t="shared" si="1"/>
        <v>0.0%</v>
      </c>
    </row>
    <row r="1816">
      <c r="A1816" s="40" t="s">
        <v>4737</v>
      </c>
      <c r="B1816" s="40" t="s">
        <v>9176</v>
      </c>
      <c r="C1816" s="41">
        <v>0.0</v>
      </c>
      <c r="D1816" s="41">
        <v>1.0</v>
      </c>
      <c r="E1816" s="42" t="str">
        <f t="shared" si="1"/>
        <v>0.0%</v>
      </c>
    </row>
    <row r="1817">
      <c r="A1817" s="40" t="s">
        <v>4737</v>
      </c>
      <c r="B1817" s="40" t="s">
        <v>9177</v>
      </c>
      <c r="C1817" s="41">
        <v>0.0</v>
      </c>
      <c r="D1817" s="41">
        <v>1.0</v>
      </c>
      <c r="E1817" s="42" t="str">
        <f t="shared" si="1"/>
        <v>0.0%</v>
      </c>
    </row>
    <row r="1818">
      <c r="A1818" s="40" t="s">
        <v>4737</v>
      </c>
      <c r="B1818" s="40" t="s">
        <v>9178</v>
      </c>
      <c r="C1818" s="41">
        <v>0.0</v>
      </c>
      <c r="D1818" s="41">
        <v>1.0</v>
      </c>
      <c r="E1818" s="42" t="str">
        <f t="shared" si="1"/>
        <v>0.0%</v>
      </c>
    </row>
    <row r="1819">
      <c r="A1819" s="40" t="s">
        <v>4737</v>
      </c>
      <c r="B1819" s="40" t="s">
        <v>9179</v>
      </c>
      <c r="C1819" s="41">
        <v>0.0</v>
      </c>
      <c r="D1819" s="41">
        <v>1.0</v>
      </c>
      <c r="E1819" s="42" t="str">
        <f t="shared" si="1"/>
        <v>0.0%</v>
      </c>
    </row>
    <row r="1820">
      <c r="A1820" s="40" t="s">
        <v>4737</v>
      </c>
      <c r="B1820" s="40" t="s">
        <v>8637</v>
      </c>
      <c r="C1820" s="41">
        <v>0.0</v>
      </c>
      <c r="D1820" s="41">
        <v>2.0</v>
      </c>
      <c r="E1820" s="42" t="str">
        <f t="shared" si="1"/>
        <v>0.0%</v>
      </c>
    </row>
    <row r="1821">
      <c r="A1821" s="40" t="s">
        <v>4737</v>
      </c>
      <c r="B1821" s="40" t="s">
        <v>8710</v>
      </c>
      <c r="C1821" s="41">
        <v>0.0</v>
      </c>
      <c r="D1821" s="41">
        <v>2.0</v>
      </c>
      <c r="E1821" s="42" t="str">
        <f t="shared" si="1"/>
        <v>0.0%</v>
      </c>
    </row>
    <row r="1822">
      <c r="A1822" s="40" t="s">
        <v>4737</v>
      </c>
      <c r="B1822" s="40" t="s">
        <v>8872</v>
      </c>
      <c r="C1822" s="41">
        <v>0.0</v>
      </c>
      <c r="D1822" s="41">
        <v>2.0</v>
      </c>
      <c r="E1822" s="42" t="str">
        <f t="shared" si="1"/>
        <v>0.0%</v>
      </c>
    </row>
    <row r="1823">
      <c r="A1823" s="40" t="s">
        <v>4737</v>
      </c>
      <c r="B1823" s="40" t="s">
        <v>8910</v>
      </c>
      <c r="C1823" s="41">
        <v>0.0</v>
      </c>
      <c r="D1823" s="41">
        <v>2.0</v>
      </c>
      <c r="E1823" s="42" t="str">
        <f t="shared" si="1"/>
        <v>0.0%</v>
      </c>
    </row>
    <row r="1824">
      <c r="A1824" s="40" t="s">
        <v>4737</v>
      </c>
      <c r="B1824" s="40" t="s">
        <v>8916</v>
      </c>
      <c r="C1824" s="41">
        <v>0.0</v>
      </c>
      <c r="D1824" s="41">
        <v>2.0</v>
      </c>
      <c r="E1824" s="42" t="str">
        <f t="shared" si="1"/>
        <v>0.0%</v>
      </c>
    </row>
    <row r="1825">
      <c r="A1825" s="40" t="s">
        <v>4737</v>
      </c>
      <c r="B1825" s="40" t="s">
        <v>9180</v>
      </c>
      <c r="C1825" s="41">
        <v>0.0</v>
      </c>
      <c r="D1825" s="41">
        <v>2.0</v>
      </c>
      <c r="E1825" s="42" t="str">
        <f t="shared" si="1"/>
        <v>0.0%</v>
      </c>
    </row>
    <row r="1826">
      <c r="A1826" s="40" t="s">
        <v>4737</v>
      </c>
      <c r="B1826" s="40" t="s">
        <v>9181</v>
      </c>
      <c r="C1826" s="41">
        <v>0.0</v>
      </c>
      <c r="D1826" s="41">
        <v>2.0</v>
      </c>
      <c r="E1826" s="42" t="str">
        <f t="shared" si="1"/>
        <v>0.0%</v>
      </c>
    </row>
    <row r="1827">
      <c r="A1827" s="40" t="s">
        <v>4737</v>
      </c>
      <c r="B1827" s="40" t="s">
        <v>9182</v>
      </c>
      <c r="C1827" s="41">
        <v>0.0</v>
      </c>
      <c r="D1827" s="41">
        <v>2.0</v>
      </c>
      <c r="E1827" s="42" t="str">
        <f t="shared" si="1"/>
        <v>0.0%</v>
      </c>
    </row>
    <row r="1828">
      <c r="A1828" s="40" t="s">
        <v>4737</v>
      </c>
      <c r="B1828" s="40" t="s">
        <v>9183</v>
      </c>
      <c r="C1828" s="41">
        <v>0.0</v>
      </c>
      <c r="D1828" s="41">
        <v>2.0</v>
      </c>
      <c r="E1828" s="42" t="str">
        <f t="shared" si="1"/>
        <v>0.0%</v>
      </c>
    </row>
    <row r="1829">
      <c r="A1829" s="40" t="s">
        <v>4737</v>
      </c>
      <c r="B1829" s="40" t="s">
        <v>9184</v>
      </c>
      <c r="C1829" s="41">
        <v>0.0</v>
      </c>
      <c r="D1829" s="41">
        <v>2.0</v>
      </c>
      <c r="E1829" s="42" t="str">
        <f t="shared" si="1"/>
        <v>0.0%</v>
      </c>
    </row>
    <row r="1830">
      <c r="A1830" s="40" t="s">
        <v>4737</v>
      </c>
      <c r="B1830" s="40" t="s">
        <v>9101</v>
      </c>
      <c r="C1830" s="41">
        <v>0.0</v>
      </c>
      <c r="D1830" s="41">
        <v>3.0</v>
      </c>
      <c r="E1830" s="42" t="str">
        <f t="shared" si="1"/>
        <v>0.0%</v>
      </c>
    </row>
    <row r="1831">
      <c r="A1831" s="40" t="s">
        <v>4737</v>
      </c>
      <c r="B1831" s="40" t="s">
        <v>9185</v>
      </c>
      <c r="C1831" s="41">
        <v>0.0</v>
      </c>
      <c r="D1831" s="41">
        <v>4.0</v>
      </c>
      <c r="E1831" s="42" t="str">
        <f t="shared" si="1"/>
        <v>0.0%</v>
      </c>
    </row>
    <row r="1832">
      <c r="A1832" s="40" t="s">
        <v>4737</v>
      </c>
      <c r="B1832" s="40" t="s">
        <v>9186</v>
      </c>
      <c r="C1832" s="41">
        <v>0.0</v>
      </c>
      <c r="D1832" s="41">
        <v>5.0</v>
      </c>
      <c r="E1832" s="42" t="str">
        <f t="shared" si="1"/>
        <v>0.0%</v>
      </c>
    </row>
    <row r="1833">
      <c r="A1833" s="40" t="s">
        <v>5526</v>
      </c>
      <c r="B1833" s="40" t="s">
        <v>8491</v>
      </c>
      <c r="C1833" s="41">
        <v>31.0</v>
      </c>
      <c r="D1833" s="41">
        <v>16.0</v>
      </c>
      <c r="E1833" s="42" t="str">
        <f t="shared" si="1"/>
        <v>66.0%</v>
      </c>
    </row>
    <row r="1834">
      <c r="A1834" s="40" t="s">
        <v>5526</v>
      </c>
      <c r="B1834" s="40" t="s">
        <v>8588</v>
      </c>
      <c r="C1834" s="41">
        <v>27.0</v>
      </c>
      <c r="D1834" s="41">
        <v>12.0</v>
      </c>
      <c r="E1834" s="42" t="str">
        <f t="shared" si="1"/>
        <v>69.2%</v>
      </c>
    </row>
    <row r="1835">
      <c r="A1835" s="40" t="s">
        <v>5526</v>
      </c>
      <c r="B1835" s="40" t="s">
        <v>8484</v>
      </c>
      <c r="C1835" s="41">
        <v>27.0</v>
      </c>
      <c r="D1835" s="41">
        <v>13.0</v>
      </c>
      <c r="E1835" s="42" t="str">
        <f t="shared" si="1"/>
        <v>67.5%</v>
      </c>
    </row>
    <row r="1836">
      <c r="A1836" s="40" t="s">
        <v>5526</v>
      </c>
      <c r="B1836" s="40" t="s">
        <v>8496</v>
      </c>
      <c r="C1836" s="41">
        <v>27.0</v>
      </c>
      <c r="D1836" s="41">
        <v>28.0</v>
      </c>
      <c r="E1836" s="42" t="str">
        <f t="shared" si="1"/>
        <v>49.1%</v>
      </c>
    </row>
    <row r="1837">
      <c r="A1837" s="40" t="s">
        <v>5526</v>
      </c>
      <c r="B1837" s="40" t="s">
        <v>8530</v>
      </c>
      <c r="C1837" s="41">
        <v>25.0</v>
      </c>
      <c r="D1837" s="41">
        <v>20.0</v>
      </c>
      <c r="E1837" s="42" t="str">
        <f t="shared" si="1"/>
        <v>55.6%</v>
      </c>
    </row>
    <row r="1838">
      <c r="A1838" s="40" t="s">
        <v>5526</v>
      </c>
      <c r="B1838" s="40" t="s">
        <v>8518</v>
      </c>
      <c r="C1838" s="41">
        <v>23.0</v>
      </c>
      <c r="D1838" s="41">
        <v>8.0</v>
      </c>
      <c r="E1838" s="42" t="str">
        <f t="shared" si="1"/>
        <v>74.2%</v>
      </c>
    </row>
    <row r="1839">
      <c r="A1839" s="40" t="s">
        <v>5526</v>
      </c>
      <c r="B1839" s="40" t="s">
        <v>8483</v>
      </c>
      <c r="C1839" s="41">
        <v>22.0</v>
      </c>
      <c r="D1839" s="41">
        <v>8.0</v>
      </c>
      <c r="E1839" s="42" t="str">
        <f t="shared" si="1"/>
        <v>73.3%</v>
      </c>
    </row>
    <row r="1840">
      <c r="A1840" s="40" t="s">
        <v>5526</v>
      </c>
      <c r="B1840" s="40" t="s">
        <v>8520</v>
      </c>
      <c r="C1840" s="41">
        <v>22.0</v>
      </c>
      <c r="D1840" s="41">
        <v>11.0</v>
      </c>
      <c r="E1840" s="42" t="str">
        <f t="shared" si="1"/>
        <v>66.7%</v>
      </c>
    </row>
    <row r="1841">
      <c r="A1841" s="40" t="s">
        <v>5526</v>
      </c>
      <c r="B1841" s="40" t="s">
        <v>8487</v>
      </c>
      <c r="C1841" s="41">
        <v>22.0</v>
      </c>
      <c r="D1841" s="41">
        <v>14.0</v>
      </c>
      <c r="E1841" s="42" t="str">
        <f t="shared" si="1"/>
        <v>61.1%</v>
      </c>
    </row>
    <row r="1842">
      <c r="A1842" s="40" t="s">
        <v>5526</v>
      </c>
      <c r="B1842" s="40" t="s">
        <v>8561</v>
      </c>
      <c r="C1842" s="41">
        <v>19.0</v>
      </c>
      <c r="D1842" s="41">
        <v>8.0</v>
      </c>
      <c r="E1842" s="42" t="str">
        <f t="shared" si="1"/>
        <v>70.4%</v>
      </c>
    </row>
    <row r="1843">
      <c r="A1843" s="40" t="s">
        <v>5526</v>
      </c>
      <c r="B1843" s="40" t="s">
        <v>8500</v>
      </c>
      <c r="C1843" s="41">
        <v>19.0</v>
      </c>
      <c r="D1843" s="41">
        <v>10.0</v>
      </c>
      <c r="E1843" s="42" t="str">
        <f t="shared" si="1"/>
        <v>65.5%</v>
      </c>
    </row>
    <row r="1844">
      <c r="A1844" s="40" t="s">
        <v>5526</v>
      </c>
      <c r="B1844" s="40" t="s">
        <v>8641</v>
      </c>
      <c r="C1844" s="41">
        <v>19.0</v>
      </c>
      <c r="D1844" s="41">
        <v>15.0</v>
      </c>
      <c r="E1844" s="42" t="str">
        <f t="shared" si="1"/>
        <v>55.9%</v>
      </c>
    </row>
    <row r="1845">
      <c r="A1845" s="40" t="s">
        <v>5526</v>
      </c>
      <c r="B1845" s="40" t="s">
        <v>8501</v>
      </c>
      <c r="C1845" s="41">
        <v>19.0</v>
      </c>
      <c r="D1845" s="41">
        <v>19.0</v>
      </c>
      <c r="E1845" s="42" t="str">
        <f t="shared" si="1"/>
        <v>50.0%</v>
      </c>
    </row>
    <row r="1846">
      <c r="A1846" s="40" t="s">
        <v>5526</v>
      </c>
      <c r="B1846" s="40" t="s">
        <v>8490</v>
      </c>
      <c r="C1846" s="41">
        <v>19.0</v>
      </c>
      <c r="D1846" s="41">
        <v>27.0</v>
      </c>
      <c r="E1846" s="42" t="str">
        <f t="shared" si="1"/>
        <v>41.3%</v>
      </c>
    </row>
    <row r="1847">
      <c r="A1847" s="40" t="s">
        <v>5526</v>
      </c>
      <c r="B1847" s="40" t="s">
        <v>8682</v>
      </c>
      <c r="C1847" s="41">
        <v>17.0</v>
      </c>
      <c r="D1847" s="41">
        <v>26.0</v>
      </c>
      <c r="E1847" s="42" t="str">
        <f t="shared" si="1"/>
        <v>39.5%</v>
      </c>
    </row>
    <row r="1848">
      <c r="A1848" s="40" t="s">
        <v>5526</v>
      </c>
      <c r="B1848" s="40" t="s">
        <v>8828</v>
      </c>
      <c r="C1848" s="41">
        <v>16.0</v>
      </c>
      <c r="D1848" s="41">
        <v>16.0</v>
      </c>
      <c r="E1848" s="42" t="str">
        <f t="shared" si="1"/>
        <v>50.0%</v>
      </c>
    </row>
    <row r="1849">
      <c r="A1849" s="40" t="s">
        <v>5526</v>
      </c>
      <c r="B1849" s="40" t="s">
        <v>8773</v>
      </c>
      <c r="C1849" s="41">
        <v>16.0</v>
      </c>
      <c r="D1849" s="41">
        <v>23.0</v>
      </c>
      <c r="E1849" s="42" t="str">
        <f t="shared" si="1"/>
        <v>41.0%</v>
      </c>
    </row>
    <row r="1850">
      <c r="A1850" s="40" t="s">
        <v>5526</v>
      </c>
      <c r="B1850" s="40" t="s">
        <v>8581</v>
      </c>
      <c r="C1850" s="41">
        <v>15.0</v>
      </c>
      <c r="D1850" s="41">
        <v>13.0</v>
      </c>
      <c r="E1850" s="42" t="str">
        <f t="shared" si="1"/>
        <v>53.6%</v>
      </c>
    </row>
    <row r="1851">
      <c r="A1851" s="40" t="s">
        <v>5526</v>
      </c>
      <c r="B1851" s="40" t="s">
        <v>8556</v>
      </c>
      <c r="C1851" s="41">
        <v>14.0</v>
      </c>
      <c r="D1851" s="41">
        <v>9.0</v>
      </c>
      <c r="E1851" s="42" t="str">
        <f t="shared" si="1"/>
        <v>60.9%</v>
      </c>
    </row>
    <row r="1852">
      <c r="A1852" s="40" t="s">
        <v>5526</v>
      </c>
      <c r="B1852" s="40" t="s">
        <v>8698</v>
      </c>
      <c r="C1852" s="41">
        <v>14.0</v>
      </c>
      <c r="D1852" s="41">
        <v>11.0</v>
      </c>
      <c r="E1852" s="42" t="str">
        <f t="shared" si="1"/>
        <v>56.0%</v>
      </c>
    </row>
    <row r="1853">
      <c r="A1853" s="40" t="s">
        <v>5526</v>
      </c>
      <c r="B1853" s="40" t="s">
        <v>8946</v>
      </c>
      <c r="C1853" s="41">
        <v>13.0</v>
      </c>
      <c r="D1853" s="41">
        <v>9.0</v>
      </c>
      <c r="E1853" s="42" t="str">
        <f t="shared" si="1"/>
        <v>59.1%</v>
      </c>
    </row>
    <row r="1854">
      <c r="A1854" s="40" t="s">
        <v>5526</v>
      </c>
      <c r="B1854" s="40" t="s">
        <v>8738</v>
      </c>
      <c r="C1854" s="41">
        <v>13.0</v>
      </c>
      <c r="D1854" s="41">
        <v>16.0</v>
      </c>
      <c r="E1854" s="42" t="str">
        <f t="shared" si="1"/>
        <v>44.8%</v>
      </c>
    </row>
    <row r="1855">
      <c r="A1855" s="40" t="s">
        <v>5526</v>
      </c>
      <c r="B1855" s="40" t="s">
        <v>9112</v>
      </c>
      <c r="C1855" s="41">
        <v>13.0</v>
      </c>
      <c r="D1855" s="41">
        <v>20.0</v>
      </c>
      <c r="E1855" s="42" t="str">
        <f t="shared" si="1"/>
        <v>39.4%</v>
      </c>
    </row>
    <row r="1856">
      <c r="A1856" s="40" t="s">
        <v>5526</v>
      </c>
      <c r="B1856" s="40" t="s">
        <v>9044</v>
      </c>
      <c r="C1856" s="41">
        <v>13.0</v>
      </c>
      <c r="D1856" s="41">
        <v>23.0</v>
      </c>
      <c r="E1856" s="42" t="str">
        <f t="shared" si="1"/>
        <v>36.1%</v>
      </c>
    </row>
    <row r="1857">
      <c r="A1857" s="40" t="s">
        <v>5526</v>
      </c>
      <c r="B1857" s="40" t="s">
        <v>8485</v>
      </c>
      <c r="C1857" s="41">
        <v>12.0</v>
      </c>
      <c r="D1857" s="41">
        <v>2.0</v>
      </c>
      <c r="E1857" s="42" t="str">
        <f t="shared" si="1"/>
        <v>85.7%</v>
      </c>
    </row>
    <row r="1858">
      <c r="A1858" s="40" t="s">
        <v>5526</v>
      </c>
      <c r="B1858" s="40" t="s">
        <v>8642</v>
      </c>
      <c r="C1858" s="41">
        <v>12.0</v>
      </c>
      <c r="D1858" s="41">
        <v>5.0</v>
      </c>
      <c r="E1858" s="42" t="str">
        <f t="shared" si="1"/>
        <v>70.6%</v>
      </c>
    </row>
    <row r="1859">
      <c r="A1859" s="40" t="s">
        <v>5526</v>
      </c>
      <c r="B1859" s="40" t="s">
        <v>8790</v>
      </c>
      <c r="C1859" s="41">
        <v>12.0</v>
      </c>
      <c r="D1859" s="41">
        <v>5.0</v>
      </c>
      <c r="E1859" s="42" t="str">
        <f t="shared" si="1"/>
        <v>70.6%</v>
      </c>
    </row>
    <row r="1860">
      <c r="A1860" s="40" t="s">
        <v>5526</v>
      </c>
      <c r="B1860" s="40" t="s">
        <v>9029</v>
      </c>
      <c r="C1860" s="41">
        <v>12.0</v>
      </c>
      <c r="D1860" s="41">
        <v>5.0</v>
      </c>
      <c r="E1860" s="42" t="str">
        <f t="shared" si="1"/>
        <v>70.6%</v>
      </c>
    </row>
    <row r="1861">
      <c r="A1861" s="40" t="s">
        <v>5526</v>
      </c>
      <c r="B1861" s="40" t="s">
        <v>8495</v>
      </c>
      <c r="C1861" s="41">
        <v>12.0</v>
      </c>
      <c r="D1861" s="41">
        <v>10.0</v>
      </c>
      <c r="E1861" s="42" t="str">
        <f t="shared" si="1"/>
        <v>54.5%</v>
      </c>
    </row>
    <row r="1862">
      <c r="A1862" s="40" t="s">
        <v>5526</v>
      </c>
      <c r="B1862" s="40" t="s">
        <v>9129</v>
      </c>
      <c r="C1862" s="41">
        <v>12.0</v>
      </c>
      <c r="D1862" s="41">
        <v>12.0</v>
      </c>
      <c r="E1862" s="42" t="str">
        <f t="shared" si="1"/>
        <v>50.0%</v>
      </c>
    </row>
    <row r="1863">
      <c r="A1863" s="40" t="s">
        <v>5526</v>
      </c>
      <c r="B1863" s="40" t="s">
        <v>9187</v>
      </c>
      <c r="C1863" s="41">
        <v>12.0</v>
      </c>
      <c r="D1863" s="41">
        <v>12.0</v>
      </c>
      <c r="E1863" s="42" t="str">
        <f t="shared" si="1"/>
        <v>50.0%</v>
      </c>
    </row>
    <row r="1864">
      <c r="A1864" s="40" t="s">
        <v>5526</v>
      </c>
      <c r="B1864" s="40" t="s">
        <v>8950</v>
      </c>
      <c r="C1864" s="41">
        <v>12.0</v>
      </c>
      <c r="D1864" s="41">
        <v>14.0</v>
      </c>
      <c r="E1864" s="42" t="str">
        <f t="shared" si="1"/>
        <v>46.2%</v>
      </c>
    </row>
    <row r="1865">
      <c r="A1865" s="40" t="s">
        <v>5526</v>
      </c>
      <c r="B1865" s="40" t="s">
        <v>9114</v>
      </c>
      <c r="C1865" s="41">
        <v>11.0</v>
      </c>
      <c r="D1865" s="41">
        <v>5.0</v>
      </c>
      <c r="E1865" s="42" t="str">
        <f t="shared" si="1"/>
        <v>68.8%</v>
      </c>
    </row>
    <row r="1866">
      <c r="A1866" s="40" t="s">
        <v>5526</v>
      </c>
      <c r="B1866" s="40" t="s">
        <v>8824</v>
      </c>
      <c r="C1866" s="41">
        <v>11.0</v>
      </c>
      <c r="D1866" s="41">
        <v>8.0</v>
      </c>
      <c r="E1866" s="42" t="str">
        <f t="shared" si="1"/>
        <v>57.9%</v>
      </c>
    </row>
    <row r="1867">
      <c r="A1867" s="40" t="s">
        <v>5526</v>
      </c>
      <c r="B1867" s="40" t="s">
        <v>9115</v>
      </c>
      <c r="C1867" s="41">
        <v>11.0</v>
      </c>
      <c r="D1867" s="41">
        <v>10.0</v>
      </c>
      <c r="E1867" s="42" t="str">
        <f t="shared" si="1"/>
        <v>52.4%</v>
      </c>
    </row>
    <row r="1868">
      <c r="A1868" s="40" t="s">
        <v>5526</v>
      </c>
      <c r="B1868" s="40" t="s">
        <v>8951</v>
      </c>
      <c r="C1868" s="41">
        <v>11.0</v>
      </c>
      <c r="D1868" s="41">
        <v>14.0</v>
      </c>
      <c r="E1868" s="42" t="str">
        <f t="shared" si="1"/>
        <v>44.0%</v>
      </c>
    </row>
    <row r="1869">
      <c r="A1869" s="40" t="s">
        <v>5526</v>
      </c>
      <c r="B1869" s="40" t="s">
        <v>8720</v>
      </c>
      <c r="C1869" s="41">
        <v>11.0</v>
      </c>
      <c r="D1869" s="41">
        <v>15.0</v>
      </c>
      <c r="E1869" s="42" t="str">
        <f t="shared" si="1"/>
        <v>42.3%</v>
      </c>
    </row>
    <row r="1870">
      <c r="A1870" s="40" t="s">
        <v>5526</v>
      </c>
      <c r="B1870" s="40" t="s">
        <v>8948</v>
      </c>
      <c r="C1870" s="41">
        <v>11.0</v>
      </c>
      <c r="D1870" s="41">
        <v>15.0</v>
      </c>
      <c r="E1870" s="42" t="str">
        <f t="shared" si="1"/>
        <v>42.3%</v>
      </c>
    </row>
    <row r="1871">
      <c r="A1871" s="40" t="s">
        <v>5526</v>
      </c>
      <c r="B1871" s="40" t="s">
        <v>8808</v>
      </c>
      <c r="C1871" s="41">
        <v>10.0</v>
      </c>
      <c r="D1871" s="41">
        <v>2.0</v>
      </c>
      <c r="E1871" s="42" t="str">
        <f t="shared" si="1"/>
        <v>83.3%</v>
      </c>
    </row>
    <row r="1872">
      <c r="A1872" s="40" t="s">
        <v>5526</v>
      </c>
      <c r="B1872" s="40" t="s">
        <v>9049</v>
      </c>
      <c r="C1872" s="41">
        <v>10.0</v>
      </c>
      <c r="D1872" s="41">
        <v>7.0</v>
      </c>
      <c r="E1872" s="42" t="str">
        <f t="shared" si="1"/>
        <v>58.8%</v>
      </c>
    </row>
    <row r="1873">
      <c r="A1873" s="40" t="s">
        <v>5526</v>
      </c>
      <c r="B1873" s="40" t="s">
        <v>9108</v>
      </c>
      <c r="C1873" s="41">
        <v>10.0</v>
      </c>
      <c r="D1873" s="41">
        <v>9.0</v>
      </c>
      <c r="E1873" s="42" t="str">
        <f t="shared" si="1"/>
        <v>52.6%</v>
      </c>
    </row>
    <row r="1874">
      <c r="A1874" s="40" t="s">
        <v>5526</v>
      </c>
      <c r="B1874" s="40" t="s">
        <v>8660</v>
      </c>
      <c r="C1874" s="41">
        <v>10.0</v>
      </c>
      <c r="D1874" s="41">
        <v>20.0</v>
      </c>
      <c r="E1874" s="42" t="str">
        <f t="shared" si="1"/>
        <v>33.3%</v>
      </c>
    </row>
    <row r="1875">
      <c r="A1875" s="40" t="s">
        <v>5526</v>
      </c>
      <c r="B1875" s="40" t="s">
        <v>8731</v>
      </c>
      <c r="C1875" s="41">
        <v>9.0</v>
      </c>
      <c r="D1875" s="41">
        <v>3.0</v>
      </c>
      <c r="E1875" s="42" t="str">
        <f t="shared" si="1"/>
        <v>75.0%</v>
      </c>
    </row>
    <row r="1876">
      <c r="A1876" s="40" t="s">
        <v>5526</v>
      </c>
      <c r="B1876" s="40" t="s">
        <v>8819</v>
      </c>
      <c r="C1876" s="41">
        <v>9.0</v>
      </c>
      <c r="D1876" s="41">
        <v>6.0</v>
      </c>
      <c r="E1876" s="42" t="str">
        <f t="shared" si="1"/>
        <v>60.0%</v>
      </c>
    </row>
    <row r="1877">
      <c r="A1877" s="40" t="s">
        <v>5526</v>
      </c>
      <c r="B1877" s="40" t="s">
        <v>8545</v>
      </c>
      <c r="C1877" s="41">
        <v>9.0</v>
      </c>
      <c r="D1877" s="41">
        <v>8.0</v>
      </c>
      <c r="E1877" s="42" t="str">
        <f t="shared" si="1"/>
        <v>52.9%</v>
      </c>
    </row>
    <row r="1878">
      <c r="A1878" s="40" t="s">
        <v>5526</v>
      </c>
      <c r="B1878" s="40" t="s">
        <v>8794</v>
      </c>
      <c r="C1878" s="41">
        <v>9.0</v>
      </c>
      <c r="D1878" s="41">
        <v>12.0</v>
      </c>
      <c r="E1878" s="42" t="str">
        <f t="shared" si="1"/>
        <v>42.9%</v>
      </c>
    </row>
    <row r="1879">
      <c r="A1879" s="40" t="s">
        <v>5526</v>
      </c>
      <c r="B1879" s="40" t="s">
        <v>8826</v>
      </c>
      <c r="C1879" s="41">
        <v>9.0</v>
      </c>
      <c r="D1879" s="41">
        <v>21.0</v>
      </c>
      <c r="E1879" s="42" t="str">
        <f t="shared" si="1"/>
        <v>30.0%</v>
      </c>
    </row>
    <row r="1880">
      <c r="A1880" s="40" t="s">
        <v>5526</v>
      </c>
      <c r="B1880" s="40" t="s">
        <v>8822</v>
      </c>
      <c r="C1880" s="41">
        <v>8.0</v>
      </c>
      <c r="D1880" s="41">
        <v>1.0</v>
      </c>
      <c r="E1880" s="42" t="str">
        <f t="shared" si="1"/>
        <v>88.9%</v>
      </c>
    </row>
    <row r="1881">
      <c r="A1881" s="40" t="s">
        <v>5526</v>
      </c>
      <c r="B1881" s="40" t="s">
        <v>9188</v>
      </c>
      <c r="C1881" s="41">
        <v>8.0</v>
      </c>
      <c r="D1881" s="41">
        <v>5.0</v>
      </c>
      <c r="E1881" s="42" t="str">
        <f t="shared" si="1"/>
        <v>61.5%</v>
      </c>
    </row>
    <row r="1882">
      <c r="A1882" s="40" t="s">
        <v>5526</v>
      </c>
      <c r="B1882" s="40" t="s">
        <v>9016</v>
      </c>
      <c r="C1882" s="41">
        <v>8.0</v>
      </c>
      <c r="D1882" s="41">
        <v>5.0</v>
      </c>
      <c r="E1882" s="42" t="str">
        <f t="shared" si="1"/>
        <v>61.5%</v>
      </c>
    </row>
    <row r="1883">
      <c r="A1883" s="40" t="s">
        <v>5526</v>
      </c>
      <c r="B1883" s="40" t="s">
        <v>9028</v>
      </c>
      <c r="C1883" s="41">
        <v>8.0</v>
      </c>
      <c r="D1883" s="41">
        <v>10.0</v>
      </c>
      <c r="E1883" s="42" t="str">
        <f t="shared" si="1"/>
        <v>44.4%</v>
      </c>
    </row>
    <row r="1884">
      <c r="A1884" s="40" t="s">
        <v>5526</v>
      </c>
      <c r="B1884" s="40" t="s">
        <v>9119</v>
      </c>
      <c r="C1884" s="41">
        <v>8.0</v>
      </c>
      <c r="D1884" s="41">
        <v>12.0</v>
      </c>
      <c r="E1884" s="42" t="str">
        <f t="shared" si="1"/>
        <v>40.0%</v>
      </c>
    </row>
    <row r="1885">
      <c r="A1885" s="40" t="s">
        <v>5526</v>
      </c>
      <c r="B1885" s="40" t="s">
        <v>9185</v>
      </c>
      <c r="C1885" s="41">
        <v>8.0</v>
      </c>
      <c r="D1885" s="41">
        <v>20.0</v>
      </c>
      <c r="E1885" s="42" t="str">
        <f t="shared" si="1"/>
        <v>28.6%</v>
      </c>
    </row>
    <row r="1886">
      <c r="A1886" s="40" t="s">
        <v>5526</v>
      </c>
      <c r="B1886" s="40" t="s">
        <v>8881</v>
      </c>
      <c r="C1886" s="41">
        <v>8.0</v>
      </c>
      <c r="D1886" s="41">
        <v>23.0</v>
      </c>
      <c r="E1886" s="42" t="str">
        <f t="shared" si="1"/>
        <v>25.8%</v>
      </c>
    </row>
    <row r="1887">
      <c r="A1887" s="40" t="s">
        <v>5526</v>
      </c>
      <c r="B1887" s="40" t="s">
        <v>8816</v>
      </c>
      <c r="C1887" s="41">
        <v>7.0</v>
      </c>
      <c r="D1887" s="41">
        <v>2.0</v>
      </c>
      <c r="E1887" s="42" t="str">
        <f t="shared" si="1"/>
        <v>77.8%</v>
      </c>
    </row>
    <row r="1888">
      <c r="A1888" s="40" t="s">
        <v>5526</v>
      </c>
      <c r="B1888" s="40" t="s">
        <v>8832</v>
      </c>
      <c r="C1888" s="41">
        <v>7.0</v>
      </c>
      <c r="D1888" s="41">
        <v>2.0</v>
      </c>
      <c r="E1888" s="42" t="str">
        <f t="shared" si="1"/>
        <v>77.8%</v>
      </c>
    </row>
    <row r="1889">
      <c r="A1889" s="40" t="s">
        <v>5526</v>
      </c>
      <c r="B1889" s="40" t="s">
        <v>9176</v>
      </c>
      <c r="C1889" s="41">
        <v>7.0</v>
      </c>
      <c r="D1889" s="41">
        <v>3.0</v>
      </c>
      <c r="E1889" s="42" t="str">
        <f t="shared" si="1"/>
        <v>70.0%</v>
      </c>
    </row>
    <row r="1890">
      <c r="A1890" s="40" t="s">
        <v>5526</v>
      </c>
      <c r="B1890" s="40" t="s">
        <v>8852</v>
      </c>
      <c r="C1890" s="41">
        <v>7.0</v>
      </c>
      <c r="D1890" s="41">
        <v>5.0</v>
      </c>
      <c r="E1890" s="42" t="str">
        <f t="shared" si="1"/>
        <v>58.3%</v>
      </c>
    </row>
    <row r="1891">
      <c r="A1891" s="40" t="s">
        <v>5526</v>
      </c>
      <c r="B1891" s="40" t="s">
        <v>8876</v>
      </c>
      <c r="C1891" s="41">
        <v>7.0</v>
      </c>
      <c r="D1891" s="41">
        <v>11.0</v>
      </c>
      <c r="E1891" s="42" t="str">
        <f t="shared" si="1"/>
        <v>38.9%</v>
      </c>
    </row>
    <row r="1892">
      <c r="A1892" s="40" t="s">
        <v>5526</v>
      </c>
      <c r="B1892" s="40" t="s">
        <v>9142</v>
      </c>
      <c r="C1892" s="41">
        <v>7.0</v>
      </c>
      <c r="D1892" s="41">
        <v>14.0</v>
      </c>
      <c r="E1892" s="42" t="str">
        <f t="shared" si="1"/>
        <v>33.3%</v>
      </c>
    </row>
    <row r="1893">
      <c r="A1893" s="40" t="s">
        <v>5526</v>
      </c>
      <c r="B1893" s="40" t="s">
        <v>9100</v>
      </c>
      <c r="C1893" s="41">
        <v>6.0</v>
      </c>
      <c r="D1893" s="41">
        <v>2.0</v>
      </c>
      <c r="E1893" s="42" t="str">
        <f t="shared" si="1"/>
        <v>75.0%</v>
      </c>
    </row>
    <row r="1894">
      <c r="A1894" s="40" t="s">
        <v>5526</v>
      </c>
      <c r="B1894" s="40" t="s">
        <v>9189</v>
      </c>
      <c r="C1894" s="41">
        <v>6.0</v>
      </c>
      <c r="D1894" s="41">
        <v>2.0</v>
      </c>
      <c r="E1894" s="42" t="str">
        <f t="shared" si="1"/>
        <v>75.0%</v>
      </c>
    </row>
    <row r="1895">
      <c r="A1895" s="40" t="s">
        <v>5526</v>
      </c>
      <c r="B1895" s="40" t="s">
        <v>8805</v>
      </c>
      <c r="C1895" s="41">
        <v>6.0</v>
      </c>
      <c r="D1895" s="41">
        <v>3.0</v>
      </c>
      <c r="E1895" s="42" t="str">
        <f t="shared" si="1"/>
        <v>66.7%</v>
      </c>
    </row>
    <row r="1896">
      <c r="A1896" s="40" t="s">
        <v>5526</v>
      </c>
      <c r="B1896" s="40" t="s">
        <v>9101</v>
      </c>
      <c r="C1896" s="41">
        <v>6.0</v>
      </c>
      <c r="D1896" s="41">
        <v>3.0</v>
      </c>
      <c r="E1896" s="42" t="str">
        <f t="shared" si="1"/>
        <v>66.7%</v>
      </c>
    </row>
    <row r="1897">
      <c r="A1897" s="40" t="s">
        <v>5526</v>
      </c>
      <c r="B1897" s="40" t="s">
        <v>9190</v>
      </c>
      <c r="C1897" s="41">
        <v>6.0</v>
      </c>
      <c r="D1897" s="41">
        <v>4.0</v>
      </c>
      <c r="E1897" s="42" t="str">
        <f t="shared" si="1"/>
        <v>60.0%</v>
      </c>
    </row>
    <row r="1898">
      <c r="A1898" s="40" t="s">
        <v>5526</v>
      </c>
      <c r="B1898" s="40" t="s">
        <v>9104</v>
      </c>
      <c r="C1898" s="41">
        <v>6.0</v>
      </c>
      <c r="D1898" s="41">
        <v>6.0</v>
      </c>
      <c r="E1898" s="42" t="str">
        <f t="shared" si="1"/>
        <v>50.0%</v>
      </c>
    </row>
    <row r="1899">
      <c r="A1899" s="40" t="s">
        <v>5526</v>
      </c>
      <c r="B1899" s="40" t="s">
        <v>9111</v>
      </c>
      <c r="C1899" s="41">
        <v>6.0</v>
      </c>
      <c r="D1899" s="41">
        <v>6.0</v>
      </c>
      <c r="E1899" s="42" t="str">
        <f t="shared" si="1"/>
        <v>50.0%</v>
      </c>
    </row>
    <row r="1900">
      <c r="A1900" s="40" t="s">
        <v>5526</v>
      </c>
      <c r="B1900" s="40" t="s">
        <v>9014</v>
      </c>
      <c r="C1900" s="41">
        <v>6.0</v>
      </c>
      <c r="D1900" s="41">
        <v>7.0</v>
      </c>
      <c r="E1900" s="42" t="str">
        <f t="shared" si="1"/>
        <v>46.2%</v>
      </c>
    </row>
    <row r="1901">
      <c r="A1901" s="40" t="s">
        <v>5526</v>
      </c>
      <c r="B1901" s="40" t="s">
        <v>8853</v>
      </c>
      <c r="C1901" s="41">
        <v>6.0</v>
      </c>
      <c r="D1901" s="41">
        <v>8.0</v>
      </c>
      <c r="E1901" s="42" t="str">
        <f t="shared" si="1"/>
        <v>42.9%</v>
      </c>
    </row>
    <row r="1902">
      <c r="A1902" s="40" t="s">
        <v>5526</v>
      </c>
      <c r="B1902" s="40" t="s">
        <v>9191</v>
      </c>
      <c r="C1902" s="41">
        <v>6.0</v>
      </c>
      <c r="D1902" s="41">
        <v>9.0</v>
      </c>
      <c r="E1902" s="42" t="str">
        <f t="shared" si="1"/>
        <v>40.0%</v>
      </c>
    </row>
    <row r="1903">
      <c r="A1903" s="40" t="s">
        <v>5526</v>
      </c>
      <c r="B1903" s="40" t="s">
        <v>8993</v>
      </c>
      <c r="C1903" s="41">
        <v>6.0</v>
      </c>
      <c r="D1903" s="41">
        <v>11.0</v>
      </c>
      <c r="E1903" s="42" t="str">
        <f t="shared" si="1"/>
        <v>35.3%</v>
      </c>
    </row>
    <row r="1904">
      <c r="A1904" s="40" t="s">
        <v>5526</v>
      </c>
      <c r="B1904" s="40" t="s">
        <v>9131</v>
      </c>
      <c r="C1904" s="41">
        <v>6.0</v>
      </c>
      <c r="D1904" s="41">
        <v>13.0</v>
      </c>
      <c r="E1904" s="42" t="str">
        <f t="shared" si="1"/>
        <v>31.6%</v>
      </c>
    </row>
    <row r="1905">
      <c r="A1905" s="40" t="s">
        <v>5526</v>
      </c>
      <c r="B1905" s="40" t="s">
        <v>9037</v>
      </c>
      <c r="C1905" s="41">
        <v>6.0</v>
      </c>
      <c r="D1905" s="41">
        <v>16.0</v>
      </c>
      <c r="E1905" s="42" t="str">
        <f t="shared" si="1"/>
        <v>27.3%</v>
      </c>
    </row>
    <row r="1906">
      <c r="A1906" s="40" t="s">
        <v>5526</v>
      </c>
      <c r="B1906" s="40" t="s">
        <v>9192</v>
      </c>
      <c r="C1906" s="41">
        <v>5.0</v>
      </c>
      <c r="D1906" s="41">
        <v>2.0</v>
      </c>
      <c r="E1906" s="42" t="str">
        <f t="shared" si="1"/>
        <v>71.4%</v>
      </c>
    </row>
    <row r="1907">
      <c r="A1907" s="40" t="s">
        <v>5526</v>
      </c>
      <c r="B1907" s="40" t="s">
        <v>9184</v>
      </c>
      <c r="C1907" s="41">
        <v>5.0</v>
      </c>
      <c r="D1907" s="41">
        <v>4.0</v>
      </c>
      <c r="E1907" s="42" t="str">
        <f t="shared" si="1"/>
        <v>55.6%</v>
      </c>
    </row>
    <row r="1908">
      <c r="A1908" s="40" t="s">
        <v>5526</v>
      </c>
      <c r="B1908" s="40" t="s">
        <v>9193</v>
      </c>
      <c r="C1908" s="41">
        <v>4.0</v>
      </c>
      <c r="D1908" s="41">
        <v>0.0</v>
      </c>
      <c r="E1908" s="42" t="str">
        <f t="shared" si="1"/>
        <v>100.0%</v>
      </c>
    </row>
    <row r="1909">
      <c r="A1909" s="40" t="s">
        <v>5526</v>
      </c>
      <c r="B1909" s="40" t="s">
        <v>8930</v>
      </c>
      <c r="C1909" s="41">
        <v>4.0</v>
      </c>
      <c r="D1909" s="41">
        <v>1.0</v>
      </c>
      <c r="E1909" s="42" t="str">
        <f t="shared" si="1"/>
        <v>80.0%</v>
      </c>
    </row>
    <row r="1910">
      <c r="A1910" s="40" t="s">
        <v>5526</v>
      </c>
      <c r="B1910" s="40" t="s">
        <v>9147</v>
      </c>
      <c r="C1910" s="41">
        <v>4.0</v>
      </c>
      <c r="D1910" s="41">
        <v>2.0</v>
      </c>
      <c r="E1910" s="42" t="str">
        <f t="shared" si="1"/>
        <v>66.7%</v>
      </c>
    </row>
    <row r="1911">
      <c r="A1911" s="40" t="s">
        <v>5526</v>
      </c>
      <c r="B1911" s="40" t="s">
        <v>9071</v>
      </c>
      <c r="C1911" s="41">
        <v>4.0</v>
      </c>
      <c r="D1911" s="41">
        <v>3.0</v>
      </c>
      <c r="E1911" s="42" t="str">
        <f t="shared" si="1"/>
        <v>57.1%</v>
      </c>
    </row>
    <row r="1912">
      <c r="A1912" s="40" t="s">
        <v>5526</v>
      </c>
      <c r="B1912" s="40" t="s">
        <v>9109</v>
      </c>
      <c r="C1912" s="41">
        <v>4.0</v>
      </c>
      <c r="D1912" s="41">
        <v>3.0</v>
      </c>
      <c r="E1912" s="42" t="str">
        <f t="shared" si="1"/>
        <v>57.1%</v>
      </c>
    </row>
    <row r="1913">
      <c r="A1913" s="40" t="s">
        <v>5526</v>
      </c>
      <c r="B1913" s="40" t="s">
        <v>9160</v>
      </c>
      <c r="C1913" s="41">
        <v>4.0</v>
      </c>
      <c r="D1913" s="41">
        <v>3.0</v>
      </c>
      <c r="E1913" s="42" t="str">
        <f t="shared" si="1"/>
        <v>57.1%</v>
      </c>
    </row>
    <row r="1914">
      <c r="A1914" s="40" t="s">
        <v>5526</v>
      </c>
      <c r="B1914" s="40" t="s">
        <v>9194</v>
      </c>
      <c r="C1914" s="41">
        <v>4.0</v>
      </c>
      <c r="D1914" s="41">
        <v>3.0</v>
      </c>
      <c r="E1914" s="42" t="str">
        <f t="shared" si="1"/>
        <v>57.1%</v>
      </c>
    </row>
    <row r="1915">
      <c r="A1915" s="40" t="s">
        <v>5526</v>
      </c>
      <c r="B1915" s="40" t="s">
        <v>9195</v>
      </c>
      <c r="C1915" s="41">
        <v>4.0</v>
      </c>
      <c r="D1915" s="41">
        <v>3.0</v>
      </c>
      <c r="E1915" s="42" t="str">
        <f t="shared" si="1"/>
        <v>57.1%</v>
      </c>
    </row>
    <row r="1916">
      <c r="A1916" s="40" t="s">
        <v>5526</v>
      </c>
      <c r="B1916" s="40" t="s">
        <v>8907</v>
      </c>
      <c r="C1916" s="41">
        <v>4.0</v>
      </c>
      <c r="D1916" s="41">
        <v>4.0</v>
      </c>
      <c r="E1916" s="42" t="str">
        <f t="shared" si="1"/>
        <v>50.0%</v>
      </c>
    </row>
    <row r="1917">
      <c r="A1917" s="40" t="s">
        <v>5526</v>
      </c>
      <c r="B1917" s="40" t="s">
        <v>8963</v>
      </c>
      <c r="C1917" s="41">
        <v>4.0</v>
      </c>
      <c r="D1917" s="41">
        <v>4.0</v>
      </c>
      <c r="E1917" s="42" t="str">
        <f t="shared" si="1"/>
        <v>50.0%</v>
      </c>
    </row>
    <row r="1918">
      <c r="A1918" s="40" t="s">
        <v>5526</v>
      </c>
      <c r="B1918" s="40" t="s">
        <v>8872</v>
      </c>
      <c r="C1918" s="41">
        <v>4.0</v>
      </c>
      <c r="D1918" s="41">
        <v>5.0</v>
      </c>
      <c r="E1918" s="42" t="str">
        <f t="shared" si="1"/>
        <v>44.4%</v>
      </c>
    </row>
    <row r="1919">
      <c r="A1919" s="40" t="s">
        <v>5526</v>
      </c>
      <c r="B1919" s="40" t="s">
        <v>9196</v>
      </c>
      <c r="C1919" s="41">
        <v>4.0</v>
      </c>
      <c r="D1919" s="41">
        <v>5.0</v>
      </c>
      <c r="E1919" s="42" t="str">
        <f t="shared" si="1"/>
        <v>44.4%</v>
      </c>
    </row>
    <row r="1920">
      <c r="A1920" s="40" t="s">
        <v>5526</v>
      </c>
      <c r="B1920" s="40" t="s">
        <v>8845</v>
      </c>
      <c r="C1920" s="41">
        <v>4.0</v>
      </c>
      <c r="D1920" s="41">
        <v>6.0</v>
      </c>
      <c r="E1920" s="42" t="str">
        <f t="shared" si="1"/>
        <v>40.0%</v>
      </c>
    </row>
    <row r="1921">
      <c r="A1921" s="40" t="s">
        <v>5526</v>
      </c>
      <c r="B1921" s="40" t="s">
        <v>9122</v>
      </c>
      <c r="C1921" s="41">
        <v>4.0</v>
      </c>
      <c r="D1921" s="41">
        <v>11.0</v>
      </c>
      <c r="E1921" s="42" t="str">
        <f t="shared" si="1"/>
        <v>26.7%</v>
      </c>
    </row>
    <row r="1922">
      <c r="A1922" s="40" t="s">
        <v>5526</v>
      </c>
      <c r="B1922" s="40" t="s">
        <v>9123</v>
      </c>
      <c r="C1922" s="41">
        <v>4.0</v>
      </c>
      <c r="D1922" s="41">
        <v>14.0</v>
      </c>
      <c r="E1922" s="42" t="str">
        <f t="shared" si="1"/>
        <v>22.2%</v>
      </c>
    </row>
    <row r="1923">
      <c r="A1923" s="40" t="s">
        <v>5526</v>
      </c>
      <c r="B1923" s="40" t="s">
        <v>8497</v>
      </c>
      <c r="C1923" s="41">
        <v>3.0</v>
      </c>
      <c r="D1923" s="41">
        <v>0.0</v>
      </c>
      <c r="E1923" s="42" t="str">
        <f t="shared" si="1"/>
        <v>100.0%</v>
      </c>
    </row>
    <row r="1924">
      <c r="A1924" s="40" t="s">
        <v>5526</v>
      </c>
      <c r="B1924" s="40" t="s">
        <v>8898</v>
      </c>
      <c r="C1924" s="41">
        <v>3.0</v>
      </c>
      <c r="D1924" s="41">
        <v>0.0</v>
      </c>
      <c r="E1924" s="42" t="str">
        <f t="shared" si="1"/>
        <v>100.0%</v>
      </c>
    </row>
    <row r="1925">
      <c r="A1925" s="40" t="s">
        <v>5526</v>
      </c>
      <c r="B1925" s="40" t="s">
        <v>9197</v>
      </c>
      <c r="C1925" s="41">
        <v>3.0</v>
      </c>
      <c r="D1925" s="41">
        <v>0.0</v>
      </c>
      <c r="E1925" s="42" t="str">
        <f t="shared" si="1"/>
        <v>100.0%</v>
      </c>
    </row>
    <row r="1926">
      <c r="A1926" s="40" t="s">
        <v>5526</v>
      </c>
      <c r="B1926" s="40" t="s">
        <v>9198</v>
      </c>
      <c r="C1926" s="41">
        <v>3.0</v>
      </c>
      <c r="D1926" s="41">
        <v>1.0</v>
      </c>
      <c r="E1926" s="42" t="str">
        <f t="shared" si="1"/>
        <v>75.0%</v>
      </c>
    </row>
    <row r="1927">
      <c r="A1927" s="40" t="s">
        <v>5526</v>
      </c>
      <c r="B1927" s="40" t="s">
        <v>9175</v>
      </c>
      <c r="C1927" s="41">
        <v>3.0</v>
      </c>
      <c r="D1927" s="41">
        <v>1.0</v>
      </c>
      <c r="E1927" s="42" t="str">
        <f t="shared" si="1"/>
        <v>75.0%</v>
      </c>
    </row>
    <row r="1928">
      <c r="A1928" s="40" t="s">
        <v>5526</v>
      </c>
      <c r="B1928" s="40" t="s">
        <v>8909</v>
      </c>
      <c r="C1928" s="41">
        <v>3.0</v>
      </c>
      <c r="D1928" s="41">
        <v>2.0</v>
      </c>
      <c r="E1928" s="42" t="str">
        <f t="shared" si="1"/>
        <v>60.0%</v>
      </c>
    </row>
    <row r="1929">
      <c r="A1929" s="40" t="s">
        <v>5526</v>
      </c>
      <c r="B1929" s="40" t="s">
        <v>9088</v>
      </c>
      <c r="C1929" s="41">
        <v>3.0</v>
      </c>
      <c r="D1929" s="41">
        <v>2.0</v>
      </c>
      <c r="E1929" s="42" t="str">
        <f t="shared" si="1"/>
        <v>60.0%</v>
      </c>
    </row>
    <row r="1930">
      <c r="A1930" s="40" t="s">
        <v>5526</v>
      </c>
      <c r="B1930" s="40" t="s">
        <v>9143</v>
      </c>
      <c r="C1930" s="41">
        <v>3.0</v>
      </c>
      <c r="D1930" s="41">
        <v>2.0</v>
      </c>
      <c r="E1930" s="42" t="str">
        <f t="shared" si="1"/>
        <v>60.0%</v>
      </c>
    </row>
    <row r="1931">
      <c r="A1931" s="40" t="s">
        <v>5526</v>
      </c>
      <c r="B1931" s="40" t="s">
        <v>9199</v>
      </c>
      <c r="C1931" s="41">
        <v>3.0</v>
      </c>
      <c r="D1931" s="41">
        <v>3.0</v>
      </c>
      <c r="E1931" s="42" t="str">
        <f t="shared" si="1"/>
        <v>50.0%</v>
      </c>
    </row>
    <row r="1932">
      <c r="A1932" s="40" t="s">
        <v>5526</v>
      </c>
      <c r="B1932" s="40" t="s">
        <v>9094</v>
      </c>
      <c r="C1932" s="41">
        <v>3.0</v>
      </c>
      <c r="D1932" s="41">
        <v>3.0</v>
      </c>
      <c r="E1932" s="42" t="str">
        <f t="shared" si="1"/>
        <v>50.0%</v>
      </c>
    </row>
    <row r="1933">
      <c r="A1933" s="40" t="s">
        <v>5526</v>
      </c>
      <c r="B1933" s="40" t="s">
        <v>9148</v>
      </c>
      <c r="C1933" s="41">
        <v>3.0</v>
      </c>
      <c r="D1933" s="41">
        <v>3.0</v>
      </c>
      <c r="E1933" s="42" t="str">
        <f t="shared" si="1"/>
        <v>50.0%</v>
      </c>
    </row>
    <row r="1934">
      <c r="A1934" s="40" t="s">
        <v>5526</v>
      </c>
      <c r="B1934" s="40" t="s">
        <v>9200</v>
      </c>
      <c r="C1934" s="41">
        <v>3.0</v>
      </c>
      <c r="D1934" s="41">
        <v>5.0</v>
      </c>
      <c r="E1934" s="42" t="str">
        <f t="shared" si="1"/>
        <v>37.5%</v>
      </c>
    </row>
    <row r="1935">
      <c r="A1935" s="40" t="s">
        <v>5526</v>
      </c>
      <c r="B1935" s="40" t="s">
        <v>9201</v>
      </c>
      <c r="C1935" s="41">
        <v>3.0</v>
      </c>
      <c r="D1935" s="41">
        <v>6.0</v>
      </c>
      <c r="E1935" s="42" t="str">
        <f t="shared" si="1"/>
        <v>33.3%</v>
      </c>
    </row>
    <row r="1936">
      <c r="A1936" s="40" t="s">
        <v>5526</v>
      </c>
      <c r="B1936" s="40" t="s">
        <v>9202</v>
      </c>
      <c r="C1936" s="41">
        <v>3.0</v>
      </c>
      <c r="D1936" s="41">
        <v>6.0</v>
      </c>
      <c r="E1936" s="42" t="str">
        <f t="shared" si="1"/>
        <v>33.3%</v>
      </c>
    </row>
    <row r="1937">
      <c r="A1937" s="40" t="s">
        <v>5526</v>
      </c>
      <c r="B1937" s="40" t="s">
        <v>9173</v>
      </c>
      <c r="C1937" s="41">
        <v>3.0</v>
      </c>
      <c r="D1937" s="41">
        <v>8.0</v>
      </c>
      <c r="E1937" s="42" t="str">
        <f t="shared" si="1"/>
        <v>27.3%</v>
      </c>
    </row>
    <row r="1938">
      <c r="A1938" s="40" t="s">
        <v>5526</v>
      </c>
      <c r="B1938" s="40" t="s">
        <v>9149</v>
      </c>
      <c r="C1938" s="41">
        <v>3.0</v>
      </c>
      <c r="D1938" s="41">
        <v>12.0</v>
      </c>
      <c r="E1938" s="42" t="str">
        <f t="shared" si="1"/>
        <v>20.0%</v>
      </c>
    </row>
    <row r="1939">
      <c r="A1939" s="40" t="s">
        <v>5526</v>
      </c>
      <c r="B1939" s="40" t="s">
        <v>8650</v>
      </c>
      <c r="C1939" s="41">
        <v>2.0</v>
      </c>
      <c r="D1939" s="41">
        <v>0.0</v>
      </c>
      <c r="E1939" s="42" t="str">
        <f t="shared" si="1"/>
        <v>100.0%</v>
      </c>
    </row>
    <row r="1940">
      <c r="A1940" s="40" t="s">
        <v>5526</v>
      </c>
      <c r="B1940" s="40" t="s">
        <v>8522</v>
      </c>
      <c r="C1940" s="41">
        <v>2.0</v>
      </c>
      <c r="D1940" s="41">
        <v>0.0</v>
      </c>
      <c r="E1940" s="42" t="str">
        <f t="shared" si="1"/>
        <v>100.0%</v>
      </c>
    </row>
    <row r="1941">
      <c r="A1941" s="40" t="s">
        <v>5526</v>
      </c>
      <c r="B1941" s="40" t="s">
        <v>9151</v>
      </c>
      <c r="C1941" s="41">
        <v>2.0</v>
      </c>
      <c r="D1941" s="41">
        <v>0.0</v>
      </c>
      <c r="E1941" s="42" t="str">
        <f t="shared" si="1"/>
        <v>100.0%</v>
      </c>
    </row>
    <row r="1942">
      <c r="A1942" s="40" t="s">
        <v>5526</v>
      </c>
      <c r="B1942" s="40" t="s">
        <v>9152</v>
      </c>
      <c r="C1942" s="41">
        <v>2.0</v>
      </c>
      <c r="D1942" s="41">
        <v>0.0</v>
      </c>
      <c r="E1942" s="42" t="str">
        <f t="shared" si="1"/>
        <v>100.0%</v>
      </c>
    </row>
    <row r="1943">
      <c r="A1943" s="40" t="s">
        <v>5526</v>
      </c>
      <c r="B1943" s="40" t="s">
        <v>9177</v>
      </c>
      <c r="C1943" s="41">
        <v>2.0</v>
      </c>
      <c r="D1943" s="41">
        <v>0.0</v>
      </c>
      <c r="E1943" s="42" t="str">
        <f t="shared" si="1"/>
        <v>100.0%</v>
      </c>
    </row>
    <row r="1944">
      <c r="A1944" s="40" t="s">
        <v>5526</v>
      </c>
      <c r="B1944" s="40" t="s">
        <v>9203</v>
      </c>
      <c r="C1944" s="41">
        <v>2.0</v>
      </c>
      <c r="D1944" s="41">
        <v>0.0</v>
      </c>
      <c r="E1944" s="42" t="str">
        <f t="shared" si="1"/>
        <v>100.0%</v>
      </c>
    </row>
    <row r="1945">
      <c r="A1945" s="40" t="s">
        <v>5526</v>
      </c>
      <c r="B1945" s="40" t="s">
        <v>9204</v>
      </c>
      <c r="C1945" s="41">
        <v>2.0</v>
      </c>
      <c r="D1945" s="41">
        <v>0.0</v>
      </c>
      <c r="E1945" s="42" t="str">
        <f t="shared" si="1"/>
        <v>100.0%</v>
      </c>
    </row>
    <row r="1946">
      <c r="A1946" s="40" t="s">
        <v>5526</v>
      </c>
      <c r="B1946" s="40" t="s">
        <v>9205</v>
      </c>
      <c r="C1946" s="41">
        <v>2.0</v>
      </c>
      <c r="D1946" s="41">
        <v>0.0</v>
      </c>
      <c r="E1946" s="42" t="str">
        <f t="shared" si="1"/>
        <v>100.0%</v>
      </c>
    </row>
    <row r="1947">
      <c r="A1947" s="40" t="s">
        <v>5526</v>
      </c>
      <c r="B1947" s="40" t="s">
        <v>8508</v>
      </c>
      <c r="C1947" s="41">
        <v>2.0</v>
      </c>
      <c r="D1947" s="41">
        <v>1.0</v>
      </c>
      <c r="E1947" s="42" t="str">
        <f t="shared" si="1"/>
        <v>66.7%</v>
      </c>
    </row>
    <row r="1948">
      <c r="A1948" s="40" t="s">
        <v>5526</v>
      </c>
      <c r="B1948" s="40" t="s">
        <v>8687</v>
      </c>
      <c r="C1948" s="41">
        <v>2.0</v>
      </c>
      <c r="D1948" s="41">
        <v>1.0</v>
      </c>
      <c r="E1948" s="42" t="str">
        <f t="shared" si="1"/>
        <v>66.7%</v>
      </c>
    </row>
    <row r="1949">
      <c r="A1949" s="40" t="s">
        <v>5526</v>
      </c>
      <c r="B1949" s="40" t="s">
        <v>8888</v>
      </c>
      <c r="C1949" s="41">
        <v>2.0</v>
      </c>
      <c r="D1949" s="41">
        <v>1.0</v>
      </c>
      <c r="E1949" s="42" t="str">
        <f t="shared" si="1"/>
        <v>66.7%</v>
      </c>
    </row>
    <row r="1950">
      <c r="A1950" s="40" t="s">
        <v>5526</v>
      </c>
      <c r="B1950" s="40" t="s">
        <v>9206</v>
      </c>
      <c r="C1950" s="41">
        <v>2.0</v>
      </c>
      <c r="D1950" s="41">
        <v>1.0</v>
      </c>
      <c r="E1950" s="42" t="str">
        <f t="shared" si="1"/>
        <v>66.7%</v>
      </c>
    </row>
    <row r="1951">
      <c r="A1951" s="40" t="s">
        <v>5526</v>
      </c>
      <c r="B1951" s="40" t="s">
        <v>9074</v>
      </c>
      <c r="C1951" s="41">
        <v>2.0</v>
      </c>
      <c r="D1951" s="41">
        <v>1.0</v>
      </c>
      <c r="E1951" s="42" t="str">
        <f t="shared" si="1"/>
        <v>66.7%</v>
      </c>
    </row>
    <row r="1952">
      <c r="A1952" s="40" t="s">
        <v>5526</v>
      </c>
      <c r="B1952" s="40" t="s">
        <v>9207</v>
      </c>
      <c r="C1952" s="41">
        <v>2.0</v>
      </c>
      <c r="D1952" s="41">
        <v>1.0</v>
      </c>
      <c r="E1952" s="42" t="str">
        <f t="shared" si="1"/>
        <v>66.7%</v>
      </c>
    </row>
    <row r="1953">
      <c r="A1953" s="40" t="s">
        <v>5526</v>
      </c>
      <c r="B1953" s="40" t="s">
        <v>8488</v>
      </c>
      <c r="C1953" s="41">
        <v>2.0</v>
      </c>
      <c r="D1953" s="41">
        <v>2.0</v>
      </c>
      <c r="E1953" s="42" t="str">
        <f t="shared" si="1"/>
        <v>50.0%</v>
      </c>
    </row>
    <row r="1954">
      <c r="A1954" s="40" t="s">
        <v>5526</v>
      </c>
      <c r="B1954" s="40" t="s">
        <v>8921</v>
      </c>
      <c r="C1954" s="41">
        <v>2.0</v>
      </c>
      <c r="D1954" s="41">
        <v>2.0</v>
      </c>
      <c r="E1954" s="42" t="str">
        <f t="shared" si="1"/>
        <v>50.0%</v>
      </c>
    </row>
    <row r="1955">
      <c r="A1955" s="40" t="s">
        <v>5526</v>
      </c>
      <c r="B1955" s="40" t="s">
        <v>9208</v>
      </c>
      <c r="C1955" s="41">
        <v>2.0</v>
      </c>
      <c r="D1955" s="41">
        <v>2.0</v>
      </c>
      <c r="E1955" s="42" t="str">
        <f t="shared" si="1"/>
        <v>50.0%</v>
      </c>
    </row>
    <row r="1956">
      <c r="A1956" s="40" t="s">
        <v>5526</v>
      </c>
      <c r="B1956" s="40" t="s">
        <v>9172</v>
      </c>
      <c r="C1956" s="41">
        <v>2.0</v>
      </c>
      <c r="D1956" s="41">
        <v>2.0</v>
      </c>
      <c r="E1956" s="42" t="str">
        <f t="shared" si="1"/>
        <v>50.0%</v>
      </c>
    </row>
    <row r="1957">
      <c r="A1957" s="40" t="s">
        <v>5526</v>
      </c>
      <c r="B1957" s="40" t="s">
        <v>8533</v>
      </c>
      <c r="C1957" s="41">
        <v>2.0</v>
      </c>
      <c r="D1957" s="41">
        <v>3.0</v>
      </c>
      <c r="E1957" s="42" t="str">
        <f t="shared" si="1"/>
        <v>40.0%</v>
      </c>
    </row>
    <row r="1958">
      <c r="A1958" s="40" t="s">
        <v>5526</v>
      </c>
      <c r="B1958" s="40" t="s">
        <v>8884</v>
      </c>
      <c r="C1958" s="41">
        <v>2.0</v>
      </c>
      <c r="D1958" s="41">
        <v>3.0</v>
      </c>
      <c r="E1958" s="42" t="str">
        <f t="shared" si="1"/>
        <v>40.0%</v>
      </c>
    </row>
    <row r="1959">
      <c r="A1959" s="40" t="s">
        <v>5526</v>
      </c>
      <c r="B1959" s="40" t="s">
        <v>8899</v>
      </c>
      <c r="C1959" s="41">
        <v>2.0</v>
      </c>
      <c r="D1959" s="41">
        <v>3.0</v>
      </c>
      <c r="E1959" s="42" t="str">
        <f t="shared" si="1"/>
        <v>40.0%</v>
      </c>
    </row>
    <row r="1960">
      <c r="A1960" s="40" t="s">
        <v>5526</v>
      </c>
      <c r="B1960" s="40" t="s">
        <v>9209</v>
      </c>
      <c r="C1960" s="41">
        <v>2.0</v>
      </c>
      <c r="D1960" s="41">
        <v>3.0</v>
      </c>
      <c r="E1960" s="42" t="str">
        <f t="shared" si="1"/>
        <v>40.0%</v>
      </c>
    </row>
    <row r="1961">
      <c r="A1961" s="40" t="s">
        <v>5526</v>
      </c>
      <c r="B1961" s="40" t="s">
        <v>8734</v>
      </c>
      <c r="C1961" s="41">
        <v>2.0</v>
      </c>
      <c r="D1961" s="41">
        <v>4.0</v>
      </c>
      <c r="E1961" s="42" t="str">
        <f t="shared" si="1"/>
        <v>33.3%</v>
      </c>
    </row>
    <row r="1962">
      <c r="A1962" s="40" t="s">
        <v>5526</v>
      </c>
      <c r="B1962" s="40" t="s">
        <v>8957</v>
      </c>
      <c r="C1962" s="41">
        <v>2.0</v>
      </c>
      <c r="D1962" s="41">
        <v>4.0</v>
      </c>
      <c r="E1962" s="42" t="str">
        <f t="shared" si="1"/>
        <v>33.3%</v>
      </c>
    </row>
    <row r="1963">
      <c r="A1963" s="40" t="s">
        <v>5526</v>
      </c>
      <c r="B1963" s="40" t="s">
        <v>9105</v>
      </c>
      <c r="C1963" s="41">
        <v>2.0</v>
      </c>
      <c r="D1963" s="41">
        <v>4.0</v>
      </c>
      <c r="E1963" s="42" t="str">
        <f t="shared" si="1"/>
        <v>33.3%</v>
      </c>
    </row>
    <row r="1964">
      <c r="A1964" s="40" t="s">
        <v>5526</v>
      </c>
      <c r="B1964" s="40" t="s">
        <v>9210</v>
      </c>
      <c r="C1964" s="41">
        <v>2.0</v>
      </c>
      <c r="D1964" s="41">
        <v>4.0</v>
      </c>
      <c r="E1964" s="42" t="str">
        <f t="shared" si="1"/>
        <v>33.3%</v>
      </c>
    </row>
    <row r="1965">
      <c r="A1965" s="40" t="s">
        <v>5526</v>
      </c>
      <c r="B1965" s="40" t="s">
        <v>8820</v>
      </c>
      <c r="C1965" s="41">
        <v>2.0</v>
      </c>
      <c r="D1965" s="41">
        <v>5.0</v>
      </c>
      <c r="E1965" s="42" t="str">
        <f t="shared" si="1"/>
        <v>28.6%</v>
      </c>
    </row>
    <row r="1966">
      <c r="A1966" s="40" t="s">
        <v>5526</v>
      </c>
      <c r="B1966" s="40" t="s">
        <v>9211</v>
      </c>
      <c r="C1966" s="41">
        <v>2.0</v>
      </c>
      <c r="D1966" s="41">
        <v>5.0</v>
      </c>
      <c r="E1966" s="42" t="str">
        <f t="shared" si="1"/>
        <v>28.6%</v>
      </c>
    </row>
    <row r="1967">
      <c r="A1967" s="40" t="s">
        <v>5526</v>
      </c>
      <c r="B1967" s="40" t="s">
        <v>9212</v>
      </c>
      <c r="C1967" s="41">
        <v>2.0</v>
      </c>
      <c r="D1967" s="41">
        <v>6.0</v>
      </c>
      <c r="E1967" s="42" t="str">
        <f t="shared" si="1"/>
        <v>25.0%</v>
      </c>
    </row>
    <row r="1968">
      <c r="A1968" s="40" t="s">
        <v>5526</v>
      </c>
      <c r="B1968" s="40" t="s">
        <v>9178</v>
      </c>
      <c r="C1968" s="41">
        <v>2.0</v>
      </c>
      <c r="D1968" s="41">
        <v>6.0</v>
      </c>
      <c r="E1968" s="42" t="str">
        <f t="shared" si="1"/>
        <v>25.0%</v>
      </c>
    </row>
    <row r="1969">
      <c r="A1969" s="40" t="s">
        <v>5526</v>
      </c>
      <c r="B1969" s="40" t="s">
        <v>8595</v>
      </c>
      <c r="C1969" s="41">
        <v>1.0</v>
      </c>
      <c r="D1969" s="41">
        <v>0.0</v>
      </c>
      <c r="E1969" s="42" t="str">
        <f t="shared" si="1"/>
        <v>100.0%</v>
      </c>
    </row>
    <row r="1970">
      <c r="A1970" s="40" t="s">
        <v>5526</v>
      </c>
      <c r="B1970" s="40" t="s">
        <v>8609</v>
      </c>
      <c r="C1970" s="41">
        <v>1.0</v>
      </c>
      <c r="D1970" s="41">
        <v>0.0</v>
      </c>
      <c r="E1970" s="42" t="str">
        <f t="shared" si="1"/>
        <v>100.0%</v>
      </c>
    </row>
    <row r="1971">
      <c r="A1971" s="40" t="s">
        <v>5526</v>
      </c>
      <c r="B1971" s="40" t="s">
        <v>8644</v>
      </c>
      <c r="C1971" s="41">
        <v>1.0</v>
      </c>
      <c r="D1971" s="41">
        <v>0.0</v>
      </c>
      <c r="E1971" s="42" t="str">
        <f t="shared" si="1"/>
        <v>100.0%</v>
      </c>
    </row>
    <row r="1972">
      <c r="A1972" s="40" t="s">
        <v>5526</v>
      </c>
      <c r="B1972" s="40" t="s">
        <v>8715</v>
      </c>
      <c r="C1972" s="41">
        <v>1.0</v>
      </c>
      <c r="D1972" s="41">
        <v>0.0</v>
      </c>
      <c r="E1972" s="42" t="str">
        <f t="shared" si="1"/>
        <v>100.0%</v>
      </c>
    </row>
    <row r="1973">
      <c r="A1973" s="40" t="s">
        <v>5526</v>
      </c>
      <c r="B1973" s="40" t="s">
        <v>8733</v>
      </c>
      <c r="C1973" s="41">
        <v>1.0</v>
      </c>
      <c r="D1973" s="41">
        <v>0.0</v>
      </c>
      <c r="E1973" s="42" t="str">
        <f t="shared" si="1"/>
        <v>100.0%</v>
      </c>
    </row>
    <row r="1974">
      <c r="A1974" s="40" t="s">
        <v>5526</v>
      </c>
      <c r="B1974" s="40" t="s">
        <v>8895</v>
      </c>
      <c r="C1974" s="41">
        <v>1.0</v>
      </c>
      <c r="D1974" s="41">
        <v>0.0</v>
      </c>
      <c r="E1974" s="42" t="str">
        <f t="shared" si="1"/>
        <v>100.0%</v>
      </c>
    </row>
    <row r="1975">
      <c r="A1975" s="40" t="s">
        <v>5526</v>
      </c>
      <c r="B1975" s="40" t="s">
        <v>8944</v>
      </c>
      <c r="C1975" s="41">
        <v>1.0</v>
      </c>
      <c r="D1975" s="41">
        <v>0.0</v>
      </c>
      <c r="E1975" s="42" t="str">
        <f t="shared" si="1"/>
        <v>100.0%</v>
      </c>
    </row>
    <row r="1976">
      <c r="A1976" s="40" t="s">
        <v>5526</v>
      </c>
      <c r="B1976" s="40" t="s">
        <v>8945</v>
      </c>
      <c r="C1976" s="41">
        <v>1.0</v>
      </c>
      <c r="D1976" s="41">
        <v>0.0</v>
      </c>
      <c r="E1976" s="42" t="str">
        <f t="shared" si="1"/>
        <v>100.0%</v>
      </c>
    </row>
    <row r="1977">
      <c r="A1977" s="40" t="s">
        <v>5526</v>
      </c>
      <c r="B1977" s="40" t="s">
        <v>9213</v>
      </c>
      <c r="C1977" s="41">
        <v>1.0</v>
      </c>
      <c r="D1977" s="41">
        <v>0.0</v>
      </c>
      <c r="E1977" s="42" t="str">
        <f t="shared" si="1"/>
        <v>100.0%</v>
      </c>
    </row>
    <row r="1978">
      <c r="A1978" s="40" t="s">
        <v>5526</v>
      </c>
      <c r="B1978" s="40" t="s">
        <v>9055</v>
      </c>
      <c r="C1978" s="41">
        <v>1.0</v>
      </c>
      <c r="D1978" s="41">
        <v>0.0</v>
      </c>
      <c r="E1978" s="42" t="str">
        <f t="shared" si="1"/>
        <v>100.0%</v>
      </c>
    </row>
    <row r="1979">
      <c r="A1979" s="40" t="s">
        <v>5526</v>
      </c>
      <c r="B1979" s="40" t="s">
        <v>9153</v>
      </c>
      <c r="C1979" s="41">
        <v>1.0</v>
      </c>
      <c r="D1979" s="41">
        <v>0.0</v>
      </c>
      <c r="E1979" s="42" t="str">
        <f t="shared" si="1"/>
        <v>100.0%</v>
      </c>
    </row>
    <row r="1980">
      <c r="A1980" s="40" t="s">
        <v>5526</v>
      </c>
      <c r="B1980" s="40" t="s">
        <v>9214</v>
      </c>
      <c r="C1980" s="41">
        <v>1.0</v>
      </c>
      <c r="D1980" s="41">
        <v>0.0</v>
      </c>
      <c r="E1980" s="42" t="str">
        <f t="shared" si="1"/>
        <v>100.0%</v>
      </c>
    </row>
    <row r="1981">
      <c r="A1981" s="40" t="s">
        <v>5526</v>
      </c>
      <c r="B1981" s="40" t="s">
        <v>9215</v>
      </c>
      <c r="C1981" s="41">
        <v>1.0</v>
      </c>
      <c r="D1981" s="41">
        <v>0.0</v>
      </c>
      <c r="E1981" s="42" t="str">
        <f t="shared" si="1"/>
        <v>100.0%</v>
      </c>
    </row>
    <row r="1982">
      <c r="A1982" s="40" t="s">
        <v>5526</v>
      </c>
      <c r="B1982" s="40" t="s">
        <v>9216</v>
      </c>
      <c r="C1982" s="41">
        <v>1.0</v>
      </c>
      <c r="D1982" s="41">
        <v>0.0</v>
      </c>
      <c r="E1982" s="42" t="str">
        <f t="shared" si="1"/>
        <v>100.0%</v>
      </c>
    </row>
    <row r="1983">
      <c r="A1983" s="40" t="s">
        <v>5526</v>
      </c>
      <c r="B1983" s="40" t="s">
        <v>9217</v>
      </c>
      <c r="C1983" s="41">
        <v>1.0</v>
      </c>
      <c r="D1983" s="41">
        <v>0.0</v>
      </c>
      <c r="E1983" s="42" t="str">
        <f t="shared" si="1"/>
        <v>100.0%</v>
      </c>
    </row>
    <row r="1984">
      <c r="A1984" s="40" t="s">
        <v>5526</v>
      </c>
      <c r="B1984" s="40" t="s">
        <v>9218</v>
      </c>
      <c r="C1984" s="41">
        <v>1.0</v>
      </c>
      <c r="D1984" s="41">
        <v>0.0</v>
      </c>
      <c r="E1984" s="42" t="str">
        <f t="shared" si="1"/>
        <v>100.0%</v>
      </c>
    </row>
    <row r="1985">
      <c r="A1985" s="40" t="s">
        <v>5526</v>
      </c>
      <c r="B1985" s="40" t="s">
        <v>9219</v>
      </c>
      <c r="C1985" s="41">
        <v>1.0</v>
      </c>
      <c r="D1985" s="41">
        <v>0.0</v>
      </c>
      <c r="E1985" s="42" t="str">
        <f t="shared" si="1"/>
        <v>100.0%</v>
      </c>
    </row>
    <row r="1986">
      <c r="A1986" s="40" t="s">
        <v>5526</v>
      </c>
      <c r="B1986" s="40" t="s">
        <v>9220</v>
      </c>
      <c r="C1986" s="41">
        <v>1.0</v>
      </c>
      <c r="D1986" s="41">
        <v>0.0</v>
      </c>
      <c r="E1986" s="42" t="str">
        <f t="shared" si="1"/>
        <v>100.0%</v>
      </c>
    </row>
    <row r="1987">
      <c r="A1987" s="40" t="s">
        <v>5526</v>
      </c>
      <c r="B1987" s="40" t="s">
        <v>9221</v>
      </c>
      <c r="C1987" s="41">
        <v>1.0</v>
      </c>
      <c r="D1987" s="41">
        <v>0.0</v>
      </c>
      <c r="E1987" s="42" t="str">
        <f t="shared" si="1"/>
        <v>100.0%</v>
      </c>
    </row>
    <row r="1988">
      <c r="A1988" s="40" t="s">
        <v>5526</v>
      </c>
      <c r="B1988" s="40" t="s">
        <v>9222</v>
      </c>
      <c r="C1988" s="41">
        <v>1.0</v>
      </c>
      <c r="D1988" s="41">
        <v>0.0</v>
      </c>
      <c r="E1988" s="42" t="str">
        <f t="shared" si="1"/>
        <v>100.0%</v>
      </c>
    </row>
    <row r="1989">
      <c r="A1989" s="40" t="s">
        <v>5526</v>
      </c>
      <c r="B1989" s="40" t="s">
        <v>9223</v>
      </c>
      <c r="C1989" s="41">
        <v>1.0</v>
      </c>
      <c r="D1989" s="41">
        <v>0.0</v>
      </c>
      <c r="E1989" s="42" t="str">
        <f t="shared" si="1"/>
        <v>100.0%</v>
      </c>
    </row>
    <row r="1990">
      <c r="A1990" s="40" t="s">
        <v>5526</v>
      </c>
      <c r="B1990" s="40" t="s">
        <v>9224</v>
      </c>
      <c r="C1990" s="41">
        <v>1.0</v>
      </c>
      <c r="D1990" s="41">
        <v>0.0</v>
      </c>
      <c r="E1990" s="42" t="str">
        <f t="shared" si="1"/>
        <v>100.0%</v>
      </c>
    </row>
    <row r="1991">
      <c r="A1991" s="40" t="s">
        <v>5526</v>
      </c>
      <c r="B1991" s="40" t="s">
        <v>9225</v>
      </c>
      <c r="C1991" s="41">
        <v>1.0</v>
      </c>
      <c r="D1991" s="41">
        <v>0.0</v>
      </c>
      <c r="E1991" s="42" t="str">
        <f t="shared" si="1"/>
        <v>100.0%</v>
      </c>
    </row>
    <row r="1992">
      <c r="A1992" s="40" t="s">
        <v>5526</v>
      </c>
      <c r="B1992" s="40" t="s">
        <v>9226</v>
      </c>
      <c r="C1992" s="41">
        <v>1.0</v>
      </c>
      <c r="D1992" s="41">
        <v>0.0</v>
      </c>
      <c r="E1992" s="42" t="str">
        <f t="shared" si="1"/>
        <v>100.0%</v>
      </c>
    </row>
    <row r="1993">
      <c r="A1993" s="40" t="s">
        <v>5526</v>
      </c>
      <c r="B1993" s="40" t="s">
        <v>9227</v>
      </c>
      <c r="C1993" s="41">
        <v>1.0</v>
      </c>
      <c r="D1993" s="41">
        <v>0.0</v>
      </c>
      <c r="E1993" s="42" t="str">
        <f t="shared" si="1"/>
        <v>100.0%</v>
      </c>
    </row>
    <row r="1994">
      <c r="A1994" s="40" t="s">
        <v>5526</v>
      </c>
      <c r="B1994" s="40" t="s">
        <v>9228</v>
      </c>
      <c r="C1994" s="41">
        <v>1.0</v>
      </c>
      <c r="D1994" s="41">
        <v>0.0</v>
      </c>
      <c r="E1994" s="42" t="str">
        <f t="shared" si="1"/>
        <v>100.0%</v>
      </c>
    </row>
    <row r="1995">
      <c r="A1995" s="40" t="s">
        <v>5526</v>
      </c>
      <c r="B1995" s="40" t="s">
        <v>9229</v>
      </c>
      <c r="C1995" s="41">
        <v>1.0</v>
      </c>
      <c r="D1995" s="41">
        <v>0.0</v>
      </c>
      <c r="E1995" s="42" t="str">
        <f t="shared" si="1"/>
        <v>100.0%</v>
      </c>
    </row>
    <row r="1996">
      <c r="A1996" s="40" t="s">
        <v>5526</v>
      </c>
      <c r="B1996" s="40" t="s">
        <v>8675</v>
      </c>
      <c r="C1996" s="41">
        <v>1.0</v>
      </c>
      <c r="D1996" s="41">
        <v>1.0</v>
      </c>
      <c r="E1996" s="42" t="str">
        <f t="shared" si="1"/>
        <v>50.0%</v>
      </c>
    </row>
    <row r="1997">
      <c r="A1997" s="40" t="s">
        <v>5526</v>
      </c>
      <c r="B1997" s="40" t="s">
        <v>8655</v>
      </c>
      <c r="C1997" s="41">
        <v>1.0</v>
      </c>
      <c r="D1997" s="41">
        <v>1.0</v>
      </c>
      <c r="E1997" s="42" t="str">
        <f t="shared" si="1"/>
        <v>50.0%</v>
      </c>
    </row>
    <row r="1998">
      <c r="A1998" s="40" t="s">
        <v>5526</v>
      </c>
      <c r="B1998" s="40" t="s">
        <v>8658</v>
      </c>
      <c r="C1998" s="41">
        <v>1.0</v>
      </c>
      <c r="D1998" s="41">
        <v>1.0</v>
      </c>
      <c r="E1998" s="42" t="str">
        <f t="shared" si="1"/>
        <v>50.0%</v>
      </c>
    </row>
    <row r="1999">
      <c r="A1999" s="40" t="s">
        <v>5526</v>
      </c>
      <c r="B1999" s="40" t="s">
        <v>8673</v>
      </c>
      <c r="C1999" s="41">
        <v>1.0</v>
      </c>
      <c r="D1999" s="41">
        <v>1.0</v>
      </c>
      <c r="E1999" s="42" t="str">
        <f t="shared" si="1"/>
        <v>50.0%</v>
      </c>
    </row>
    <row r="2000">
      <c r="A2000" s="40" t="s">
        <v>5526</v>
      </c>
      <c r="B2000" s="40" t="s">
        <v>9230</v>
      </c>
      <c r="C2000" s="41">
        <v>1.0</v>
      </c>
      <c r="D2000" s="41">
        <v>1.0</v>
      </c>
      <c r="E2000" s="42" t="str">
        <f t="shared" si="1"/>
        <v>50.0%</v>
      </c>
    </row>
    <row r="2001">
      <c r="A2001" s="40" t="s">
        <v>5526</v>
      </c>
      <c r="B2001" s="40" t="s">
        <v>9231</v>
      </c>
      <c r="C2001" s="41">
        <v>1.0</v>
      </c>
      <c r="D2001" s="41">
        <v>1.0</v>
      </c>
      <c r="E2001" s="42" t="str">
        <f t="shared" si="1"/>
        <v>50.0%</v>
      </c>
    </row>
    <row r="2002">
      <c r="A2002" s="40" t="s">
        <v>5526</v>
      </c>
      <c r="B2002" s="40" t="s">
        <v>9232</v>
      </c>
      <c r="C2002" s="41">
        <v>1.0</v>
      </c>
      <c r="D2002" s="41">
        <v>1.0</v>
      </c>
      <c r="E2002" s="42" t="str">
        <f t="shared" si="1"/>
        <v>50.0%</v>
      </c>
    </row>
    <row r="2003">
      <c r="A2003" s="40" t="s">
        <v>5526</v>
      </c>
      <c r="B2003" s="40" t="s">
        <v>9233</v>
      </c>
      <c r="C2003" s="41">
        <v>1.0</v>
      </c>
      <c r="D2003" s="41">
        <v>1.0</v>
      </c>
      <c r="E2003" s="42" t="str">
        <f t="shared" si="1"/>
        <v>50.0%</v>
      </c>
    </row>
    <row r="2004">
      <c r="A2004" s="40" t="s">
        <v>5526</v>
      </c>
      <c r="B2004" s="40" t="s">
        <v>9053</v>
      </c>
      <c r="C2004" s="41">
        <v>1.0</v>
      </c>
      <c r="D2004" s="41">
        <v>1.0</v>
      </c>
      <c r="E2004" s="42" t="str">
        <f t="shared" si="1"/>
        <v>50.0%</v>
      </c>
    </row>
    <row r="2005">
      <c r="A2005" s="40" t="s">
        <v>5526</v>
      </c>
      <c r="B2005" s="40" t="s">
        <v>9136</v>
      </c>
      <c r="C2005" s="41">
        <v>1.0</v>
      </c>
      <c r="D2005" s="41">
        <v>1.0</v>
      </c>
      <c r="E2005" s="42" t="str">
        <f t="shared" si="1"/>
        <v>50.0%</v>
      </c>
    </row>
    <row r="2006">
      <c r="A2006" s="40" t="s">
        <v>5526</v>
      </c>
      <c r="B2006" s="40" t="s">
        <v>9234</v>
      </c>
      <c r="C2006" s="41">
        <v>1.0</v>
      </c>
      <c r="D2006" s="41">
        <v>1.0</v>
      </c>
      <c r="E2006" s="42" t="str">
        <f t="shared" si="1"/>
        <v>50.0%</v>
      </c>
    </row>
    <row r="2007">
      <c r="A2007" s="40" t="s">
        <v>5526</v>
      </c>
      <c r="B2007" s="40" t="s">
        <v>9235</v>
      </c>
      <c r="C2007" s="41">
        <v>1.0</v>
      </c>
      <c r="D2007" s="41">
        <v>1.0</v>
      </c>
      <c r="E2007" s="42" t="str">
        <f t="shared" si="1"/>
        <v>50.0%</v>
      </c>
    </row>
    <row r="2008">
      <c r="A2008" s="40" t="s">
        <v>5526</v>
      </c>
      <c r="B2008" s="40" t="s">
        <v>9236</v>
      </c>
      <c r="C2008" s="41">
        <v>1.0</v>
      </c>
      <c r="D2008" s="41">
        <v>1.0</v>
      </c>
      <c r="E2008" s="42" t="str">
        <f t="shared" si="1"/>
        <v>50.0%</v>
      </c>
    </row>
    <row r="2009">
      <c r="A2009" s="40" t="s">
        <v>5526</v>
      </c>
      <c r="B2009" s="40" t="s">
        <v>9237</v>
      </c>
      <c r="C2009" s="41">
        <v>1.0</v>
      </c>
      <c r="D2009" s="41">
        <v>1.0</v>
      </c>
      <c r="E2009" s="42" t="str">
        <f t="shared" si="1"/>
        <v>50.0%</v>
      </c>
    </row>
    <row r="2010">
      <c r="A2010" s="40" t="s">
        <v>5526</v>
      </c>
      <c r="B2010" s="40" t="s">
        <v>9238</v>
      </c>
      <c r="C2010" s="41">
        <v>1.0</v>
      </c>
      <c r="D2010" s="41">
        <v>1.0</v>
      </c>
      <c r="E2010" s="42" t="str">
        <f t="shared" si="1"/>
        <v>50.0%</v>
      </c>
    </row>
    <row r="2011">
      <c r="A2011" s="40" t="s">
        <v>5526</v>
      </c>
      <c r="B2011" s="40" t="s">
        <v>9239</v>
      </c>
      <c r="C2011" s="41">
        <v>1.0</v>
      </c>
      <c r="D2011" s="41">
        <v>1.0</v>
      </c>
      <c r="E2011" s="42" t="str">
        <f t="shared" si="1"/>
        <v>50.0%</v>
      </c>
    </row>
    <row r="2012">
      <c r="A2012" s="40" t="s">
        <v>5526</v>
      </c>
      <c r="B2012" s="40" t="s">
        <v>9240</v>
      </c>
      <c r="C2012" s="41">
        <v>1.0</v>
      </c>
      <c r="D2012" s="41">
        <v>1.0</v>
      </c>
      <c r="E2012" s="42" t="str">
        <f t="shared" si="1"/>
        <v>50.0%</v>
      </c>
    </row>
    <row r="2013">
      <c r="A2013" s="40" t="s">
        <v>5526</v>
      </c>
      <c r="B2013" s="40" t="s">
        <v>9241</v>
      </c>
      <c r="C2013" s="41">
        <v>1.0</v>
      </c>
      <c r="D2013" s="41">
        <v>1.0</v>
      </c>
      <c r="E2013" s="42" t="str">
        <f t="shared" si="1"/>
        <v>50.0%</v>
      </c>
    </row>
    <row r="2014">
      <c r="A2014" s="40" t="s">
        <v>5526</v>
      </c>
      <c r="B2014" s="40" t="s">
        <v>9242</v>
      </c>
      <c r="C2014" s="41">
        <v>1.0</v>
      </c>
      <c r="D2014" s="41">
        <v>1.0</v>
      </c>
      <c r="E2014" s="42" t="str">
        <f t="shared" si="1"/>
        <v>50.0%</v>
      </c>
    </row>
    <row r="2015">
      <c r="A2015" s="40" t="s">
        <v>5526</v>
      </c>
      <c r="B2015" s="40" t="s">
        <v>9243</v>
      </c>
      <c r="C2015" s="41">
        <v>1.0</v>
      </c>
      <c r="D2015" s="41">
        <v>1.0</v>
      </c>
      <c r="E2015" s="42" t="str">
        <f t="shared" si="1"/>
        <v>50.0%</v>
      </c>
    </row>
    <row r="2016">
      <c r="A2016" s="40" t="s">
        <v>5526</v>
      </c>
      <c r="B2016" s="40" t="s">
        <v>9244</v>
      </c>
      <c r="C2016" s="41">
        <v>1.0</v>
      </c>
      <c r="D2016" s="41">
        <v>1.0</v>
      </c>
      <c r="E2016" s="42" t="str">
        <f t="shared" si="1"/>
        <v>50.0%</v>
      </c>
    </row>
    <row r="2017">
      <c r="A2017" s="40" t="s">
        <v>5526</v>
      </c>
      <c r="B2017" s="40" t="s">
        <v>9245</v>
      </c>
      <c r="C2017" s="41">
        <v>1.0</v>
      </c>
      <c r="D2017" s="41">
        <v>1.0</v>
      </c>
      <c r="E2017" s="42" t="str">
        <f t="shared" si="1"/>
        <v>50.0%</v>
      </c>
    </row>
    <row r="2018">
      <c r="A2018" s="40" t="s">
        <v>5526</v>
      </c>
      <c r="B2018" s="40" t="s">
        <v>9246</v>
      </c>
      <c r="C2018" s="41">
        <v>1.0</v>
      </c>
      <c r="D2018" s="41">
        <v>1.0</v>
      </c>
      <c r="E2018" s="42" t="str">
        <f t="shared" si="1"/>
        <v>50.0%</v>
      </c>
    </row>
    <row r="2019">
      <c r="A2019" s="40" t="s">
        <v>5526</v>
      </c>
      <c r="B2019" s="40" t="s">
        <v>8732</v>
      </c>
      <c r="C2019" s="41">
        <v>1.0</v>
      </c>
      <c r="D2019" s="41">
        <v>2.0</v>
      </c>
      <c r="E2019" s="42" t="str">
        <f t="shared" si="1"/>
        <v>33.3%</v>
      </c>
    </row>
    <row r="2020">
      <c r="A2020" s="40" t="s">
        <v>5526</v>
      </c>
      <c r="B2020" s="40" t="s">
        <v>8916</v>
      </c>
      <c r="C2020" s="41">
        <v>1.0</v>
      </c>
      <c r="D2020" s="41">
        <v>2.0</v>
      </c>
      <c r="E2020" s="42" t="str">
        <f t="shared" si="1"/>
        <v>33.3%</v>
      </c>
    </row>
    <row r="2021">
      <c r="A2021" s="40" t="s">
        <v>5526</v>
      </c>
      <c r="B2021" s="40" t="s">
        <v>8923</v>
      </c>
      <c r="C2021" s="41">
        <v>1.0</v>
      </c>
      <c r="D2021" s="41">
        <v>2.0</v>
      </c>
      <c r="E2021" s="42" t="str">
        <f t="shared" si="1"/>
        <v>33.3%</v>
      </c>
    </row>
    <row r="2022">
      <c r="A2022" s="40" t="s">
        <v>5526</v>
      </c>
      <c r="B2022" s="40" t="s">
        <v>8956</v>
      </c>
      <c r="C2022" s="41">
        <v>1.0</v>
      </c>
      <c r="D2022" s="41">
        <v>2.0</v>
      </c>
      <c r="E2022" s="42" t="str">
        <f t="shared" si="1"/>
        <v>33.3%</v>
      </c>
    </row>
    <row r="2023">
      <c r="A2023" s="40" t="s">
        <v>5526</v>
      </c>
      <c r="B2023" s="40" t="s">
        <v>8959</v>
      </c>
      <c r="C2023" s="41">
        <v>1.0</v>
      </c>
      <c r="D2023" s="41">
        <v>2.0</v>
      </c>
      <c r="E2023" s="42" t="str">
        <f t="shared" si="1"/>
        <v>33.3%</v>
      </c>
    </row>
    <row r="2024">
      <c r="A2024" s="40" t="s">
        <v>5526</v>
      </c>
      <c r="B2024" s="40" t="s">
        <v>9113</v>
      </c>
      <c r="C2024" s="41">
        <v>1.0</v>
      </c>
      <c r="D2024" s="41">
        <v>2.0</v>
      </c>
      <c r="E2024" s="42" t="str">
        <f t="shared" si="1"/>
        <v>33.3%</v>
      </c>
    </row>
    <row r="2025">
      <c r="A2025" s="40" t="s">
        <v>5526</v>
      </c>
      <c r="B2025" s="40" t="s">
        <v>9179</v>
      </c>
      <c r="C2025" s="41">
        <v>1.0</v>
      </c>
      <c r="D2025" s="41">
        <v>2.0</v>
      </c>
      <c r="E2025" s="42" t="str">
        <f t="shared" si="1"/>
        <v>33.3%</v>
      </c>
    </row>
    <row r="2026">
      <c r="A2026" s="40" t="s">
        <v>5526</v>
      </c>
      <c r="B2026" s="40" t="s">
        <v>9247</v>
      </c>
      <c r="C2026" s="41">
        <v>1.0</v>
      </c>
      <c r="D2026" s="41">
        <v>2.0</v>
      </c>
      <c r="E2026" s="42" t="str">
        <f t="shared" si="1"/>
        <v>33.3%</v>
      </c>
    </row>
    <row r="2027">
      <c r="A2027" s="40" t="s">
        <v>5526</v>
      </c>
      <c r="B2027" s="40" t="s">
        <v>9248</v>
      </c>
      <c r="C2027" s="41">
        <v>1.0</v>
      </c>
      <c r="D2027" s="41">
        <v>2.0</v>
      </c>
      <c r="E2027" s="42" t="str">
        <f t="shared" si="1"/>
        <v>33.3%</v>
      </c>
    </row>
    <row r="2028">
      <c r="A2028" s="40" t="s">
        <v>5526</v>
      </c>
      <c r="B2028" s="40" t="s">
        <v>9249</v>
      </c>
      <c r="C2028" s="41">
        <v>1.0</v>
      </c>
      <c r="D2028" s="41">
        <v>2.0</v>
      </c>
      <c r="E2028" s="42" t="str">
        <f t="shared" si="1"/>
        <v>33.3%</v>
      </c>
    </row>
    <row r="2029">
      <c r="A2029" s="40" t="s">
        <v>5526</v>
      </c>
      <c r="B2029" s="40" t="s">
        <v>9250</v>
      </c>
      <c r="C2029" s="41">
        <v>1.0</v>
      </c>
      <c r="D2029" s="41">
        <v>2.0</v>
      </c>
      <c r="E2029" s="42" t="str">
        <f t="shared" si="1"/>
        <v>33.3%</v>
      </c>
    </row>
    <row r="2030">
      <c r="A2030" s="40" t="s">
        <v>5526</v>
      </c>
      <c r="B2030" s="40" t="s">
        <v>9251</v>
      </c>
      <c r="C2030" s="41">
        <v>1.0</v>
      </c>
      <c r="D2030" s="41">
        <v>2.0</v>
      </c>
      <c r="E2030" s="42" t="str">
        <f t="shared" si="1"/>
        <v>33.3%</v>
      </c>
    </row>
    <row r="2031">
      <c r="A2031" s="40" t="s">
        <v>5526</v>
      </c>
      <c r="B2031" s="40" t="s">
        <v>9252</v>
      </c>
      <c r="C2031" s="41">
        <v>1.0</v>
      </c>
      <c r="D2031" s="41">
        <v>3.0</v>
      </c>
      <c r="E2031" s="42" t="str">
        <f t="shared" si="1"/>
        <v>25.0%</v>
      </c>
    </row>
    <row r="2032">
      <c r="A2032" s="40" t="s">
        <v>5526</v>
      </c>
      <c r="B2032" s="40" t="s">
        <v>9253</v>
      </c>
      <c r="C2032" s="41">
        <v>1.0</v>
      </c>
      <c r="D2032" s="41">
        <v>4.0</v>
      </c>
      <c r="E2032" s="42" t="str">
        <f t="shared" si="1"/>
        <v>20.0%</v>
      </c>
    </row>
    <row r="2033">
      <c r="A2033" s="40" t="s">
        <v>5526</v>
      </c>
      <c r="B2033" s="40" t="s">
        <v>9254</v>
      </c>
      <c r="C2033" s="41">
        <v>1.0</v>
      </c>
      <c r="D2033" s="41">
        <v>5.0</v>
      </c>
      <c r="E2033" s="42" t="str">
        <f t="shared" si="1"/>
        <v>16.7%</v>
      </c>
    </row>
    <row r="2034">
      <c r="A2034" s="40" t="s">
        <v>5526</v>
      </c>
      <c r="B2034" s="40" t="s">
        <v>9255</v>
      </c>
      <c r="C2034" s="41">
        <v>1.0</v>
      </c>
      <c r="D2034" s="41">
        <v>5.0</v>
      </c>
      <c r="E2034" s="42" t="str">
        <f t="shared" si="1"/>
        <v>16.7%</v>
      </c>
    </row>
    <row r="2035">
      <c r="A2035" s="40" t="s">
        <v>5526</v>
      </c>
      <c r="B2035" s="40" t="s">
        <v>8929</v>
      </c>
      <c r="C2035" s="41">
        <v>1.0</v>
      </c>
      <c r="D2035" s="41">
        <v>6.0</v>
      </c>
      <c r="E2035" s="42" t="str">
        <f t="shared" si="1"/>
        <v>14.3%</v>
      </c>
    </row>
    <row r="2036">
      <c r="A2036" s="40" t="s">
        <v>5526</v>
      </c>
      <c r="B2036" s="40" t="s">
        <v>9256</v>
      </c>
      <c r="C2036" s="41">
        <v>1.0</v>
      </c>
      <c r="D2036" s="41">
        <v>8.0</v>
      </c>
      <c r="E2036" s="42" t="str">
        <f t="shared" si="1"/>
        <v>11.1%</v>
      </c>
    </row>
    <row r="2037">
      <c r="A2037" s="40" t="s">
        <v>5526</v>
      </c>
      <c r="B2037" s="40" t="s">
        <v>8705</v>
      </c>
      <c r="C2037" s="41">
        <v>0.0</v>
      </c>
      <c r="D2037" s="41">
        <v>1.0</v>
      </c>
      <c r="E2037" s="42" t="str">
        <f t="shared" si="1"/>
        <v>0.0%</v>
      </c>
    </row>
    <row r="2038">
      <c r="A2038" s="40" t="s">
        <v>5526</v>
      </c>
      <c r="B2038" s="40" t="s">
        <v>8514</v>
      </c>
      <c r="C2038" s="41">
        <v>0.0</v>
      </c>
      <c r="D2038" s="41">
        <v>1.0</v>
      </c>
      <c r="E2038" s="42" t="str">
        <f t="shared" si="1"/>
        <v>0.0%</v>
      </c>
    </row>
    <row r="2039">
      <c r="A2039" s="40" t="s">
        <v>5526</v>
      </c>
      <c r="B2039" s="40" t="s">
        <v>8568</v>
      </c>
      <c r="C2039" s="41">
        <v>0.0</v>
      </c>
      <c r="D2039" s="41">
        <v>1.0</v>
      </c>
      <c r="E2039" s="42" t="str">
        <f t="shared" si="1"/>
        <v>0.0%</v>
      </c>
    </row>
    <row r="2040">
      <c r="A2040" s="40" t="s">
        <v>5526</v>
      </c>
      <c r="B2040" s="40" t="s">
        <v>8866</v>
      </c>
      <c r="C2040" s="41">
        <v>0.0</v>
      </c>
      <c r="D2040" s="41">
        <v>1.0</v>
      </c>
      <c r="E2040" s="42" t="str">
        <f t="shared" si="1"/>
        <v>0.0%</v>
      </c>
    </row>
    <row r="2041">
      <c r="A2041" s="40" t="s">
        <v>5526</v>
      </c>
      <c r="B2041" s="40" t="s">
        <v>9257</v>
      </c>
      <c r="C2041" s="41">
        <v>0.0</v>
      </c>
      <c r="D2041" s="41">
        <v>1.0</v>
      </c>
      <c r="E2041" s="42" t="str">
        <f t="shared" si="1"/>
        <v>0.0%</v>
      </c>
    </row>
    <row r="2042">
      <c r="A2042" s="40" t="s">
        <v>5526</v>
      </c>
      <c r="B2042" s="40" t="s">
        <v>9258</v>
      </c>
      <c r="C2042" s="41">
        <v>0.0</v>
      </c>
      <c r="D2042" s="41">
        <v>1.0</v>
      </c>
      <c r="E2042" s="42" t="str">
        <f t="shared" si="1"/>
        <v>0.0%</v>
      </c>
    </row>
    <row r="2043">
      <c r="A2043" s="40" t="s">
        <v>5526</v>
      </c>
      <c r="B2043" s="40" t="s">
        <v>9259</v>
      </c>
      <c r="C2043" s="41">
        <v>0.0</v>
      </c>
      <c r="D2043" s="41">
        <v>1.0</v>
      </c>
      <c r="E2043" s="42" t="str">
        <f t="shared" si="1"/>
        <v>0.0%</v>
      </c>
    </row>
    <row r="2044">
      <c r="A2044" s="40" t="s">
        <v>5526</v>
      </c>
      <c r="B2044" s="40" t="s">
        <v>9260</v>
      </c>
      <c r="C2044" s="41">
        <v>0.0</v>
      </c>
      <c r="D2044" s="41">
        <v>1.0</v>
      </c>
      <c r="E2044" s="42" t="str">
        <f t="shared" si="1"/>
        <v>0.0%</v>
      </c>
    </row>
    <row r="2045">
      <c r="A2045" s="40" t="s">
        <v>5526</v>
      </c>
      <c r="B2045" s="40" t="s">
        <v>9261</v>
      </c>
      <c r="C2045" s="41">
        <v>0.0</v>
      </c>
      <c r="D2045" s="41">
        <v>1.0</v>
      </c>
      <c r="E2045" s="42" t="str">
        <f t="shared" si="1"/>
        <v>0.0%</v>
      </c>
    </row>
    <row r="2046">
      <c r="A2046" s="40" t="s">
        <v>5526</v>
      </c>
      <c r="B2046" s="40" t="s">
        <v>9262</v>
      </c>
      <c r="C2046" s="41">
        <v>0.0</v>
      </c>
      <c r="D2046" s="41">
        <v>1.0</v>
      </c>
      <c r="E2046" s="42" t="str">
        <f t="shared" si="1"/>
        <v>0.0%</v>
      </c>
    </row>
    <row r="2047">
      <c r="A2047" s="40" t="s">
        <v>5526</v>
      </c>
      <c r="B2047" s="40" t="s">
        <v>9263</v>
      </c>
      <c r="C2047" s="41">
        <v>0.0</v>
      </c>
      <c r="D2047" s="41">
        <v>1.0</v>
      </c>
      <c r="E2047" s="42" t="str">
        <f t="shared" si="1"/>
        <v>0.0%</v>
      </c>
    </row>
    <row r="2048">
      <c r="A2048" s="40" t="s">
        <v>5526</v>
      </c>
      <c r="B2048" s="40" t="s">
        <v>9264</v>
      </c>
      <c r="C2048" s="41">
        <v>0.0</v>
      </c>
      <c r="D2048" s="41">
        <v>1.0</v>
      </c>
      <c r="E2048" s="42" t="str">
        <f t="shared" si="1"/>
        <v>0.0%</v>
      </c>
    </row>
    <row r="2049">
      <c r="A2049" s="40" t="s">
        <v>5526</v>
      </c>
      <c r="B2049" s="40" t="s">
        <v>9265</v>
      </c>
      <c r="C2049" s="41">
        <v>0.0</v>
      </c>
      <c r="D2049" s="41">
        <v>1.0</v>
      </c>
      <c r="E2049" s="42" t="str">
        <f t="shared" si="1"/>
        <v>0.0%</v>
      </c>
    </row>
    <row r="2050">
      <c r="A2050" s="40" t="s">
        <v>5526</v>
      </c>
      <c r="B2050" s="40" t="s">
        <v>9266</v>
      </c>
      <c r="C2050" s="41">
        <v>0.0</v>
      </c>
      <c r="D2050" s="41">
        <v>1.0</v>
      </c>
      <c r="E2050" s="42" t="str">
        <f t="shared" si="1"/>
        <v>0.0%</v>
      </c>
    </row>
    <row r="2051">
      <c r="A2051" s="40" t="s">
        <v>5526</v>
      </c>
      <c r="B2051" s="40" t="s">
        <v>9267</v>
      </c>
      <c r="C2051" s="41">
        <v>0.0</v>
      </c>
      <c r="D2051" s="41">
        <v>1.0</v>
      </c>
      <c r="E2051" s="42" t="str">
        <f t="shared" si="1"/>
        <v>0.0%</v>
      </c>
    </row>
    <row r="2052">
      <c r="A2052" s="40" t="s">
        <v>5526</v>
      </c>
      <c r="B2052" s="40" t="s">
        <v>9268</v>
      </c>
      <c r="C2052" s="41">
        <v>0.0</v>
      </c>
      <c r="D2052" s="41">
        <v>1.0</v>
      </c>
      <c r="E2052" s="42" t="str">
        <f t="shared" si="1"/>
        <v>0.0%</v>
      </c>
    </row>
    <row r="2053">
      <c r="A2053" s="40" t="s">
        <v>5526</v>
      </c>
      <c r="B2053" s="40" t="s">
        <v>9269</v>
      </c>
      <c r="C2053" s="41">
        <v>0.0</v>
      </c>
      <c r="D2053" s="41">
        <v>1.0</v>
      </c>
      <c r="E2053" s="42" t="str">
        <f t="shared" si="1"/>
        <v>0.0%</v>
      </c>
    </row>
    <row r="2054">
      <c r="A2054" s="40" t="s">
        <v>5526</v>
      </c>
      <c r="B2054" s="40" t="s">
        <v>9270</v>
      </c>
      <c r="C2054" s="41">
        <v>0.0</v>
      </c>
      <c r="D2054" s="41">
        <v>1.0</v>
      </c>
      <c r="E2054" s="42" t="str">
        <f t="shared" si="1"/>
        <v>0.0%</v>
      </c>
    </row>
    <row r="2055">
      <c r="A2055" s="40" t="s">
        <v>5526</v>
      </c>
      <c r="B2055" s="40" t="s">
        <v>9271</v>
      </c>
      <c r="C2055" s="41">
        <v>0.0</v>
      </c>
      <c r="D2055" s="41">
        <v>1.0</v>
      </c>
      <c r="E2055" s="42" t="str">
        <f t="shared" si="1"/>
        <v>0.0%</v>
      </c>
    </row>
    <row r="2056">
      <c r="A2056" s="40" t="s">
        <v>5526</v>
      </c>
      <c r="B2056" s="40" t="s">
        <v>9272</v>
      </c>
      <c r="C2056" s="41">
        <v>0.0</v>
      </c>
      <c r="D2056" s="41">
        <v>1.0</v>
      </c>
      <c r="E2056" s="42" t="str">
        <f t="shared" si="1"/>
        <v>0.0%</v>
      </c>
    </row>
    <row r="2057">
      <c r="A2057" s="40" t="s">
        <v>5526</v>
      </c>
      <c r="B2057" s="40" t="s">
        <v>9273</v>
      </c>
      <c r="C2057" s="41">
        <v>0.0</v>
      </c>
      <c r="D2057" s="41">
        <v>1.0</v>
      </c>
      <c r="E2057" s="42" t="str">
        <f t="shared" si="1"/>
        <v>0.0%</v>
      </c>
    </row>
    <row r="2058">
      <c r="A2058" s="40" t="s">
        <v>5526</v>
      </c>
      <c r="B2058" s="40" t="s">
        <v>9274</v>
      </c>
      <c r="C2058" s="41">
        <v>0.0</v>
      </c>
      <c r="D2058" s="41">
        <v>1.0</v>
      </c>
      <c r="E2058" s="42" t="str">
        <f t="shared" si="1"/>
        <v>0.0%</v>
      </c>
    </row>
    <row r="2059">
      <c r="A2059" s="40" t="s">
        <v>5526</v>
      </c>
      <c r="B2059" s="40" t="s">
        <v>9275</v>
      </c>
      <c r="C2059" s="41">
        <v>0.0</v>
      </c>
      <c r="D2059" s="41">
        <v>1.0</v>
      </c>
      <c r="E2059" s="42" t="str">
        <f t="shared" si="1"/>
        <v>0.0%</v>
      </c>
    </row>
    <row r="2060">
      <c r="A2060" s="40" t="s">
        <v>5526</v>
      </c>
      <c r="B2060" s="40" t="s">
        <v>9276</v>
      </c>
      <c r="C2060" s="41">
        <v>0.0</v>
      </c>
      <c r="D2060" s="41">
        <v>1.0</v>
      </c>
      <c r="E2060" s="42" t="str">
        <f t="shared" si="1"/>
        <v>0.0%</v>
      </c>
    </row>
    <row r="2061">
      <c r="A2061" s="40" t="s">
        <v>5526</v>
      </c>
      <c r="B2061" s="40" t="s">
        <v>9277</v>
      </c>
      <c r="C2061" s="41">
        <v>0.0</v>
      </c>
      <c r="D2061" s="41">
        <v>1.0</v>
      </c>
      <c r="E2061" s="42" t="str">
        <f t="shared" si="1"/>
        <v>0.0%</v>
      </c>
    </row>
    <row r="2062">
      <c r="A2062" s="40" t="s">
        <v>5526</v>
      </c>
      <c r="B2062" s="40" t="s">
        <v>9278</v>
      </c>
      <c r="C2062" s="41">
        <v>0.0</v>
      </c>
      <c r="D2062" s="41">
        <v>1.0</v>
      </c>
      <c r="E2062" s="42" t="str">
        <f t="shared" si="1"/>
        <v>0.0%</v>
      </c>
    </row>
    <row r="2063">
      <c r="A2063" s="40" t="s">
        <v>5526</v>
      </c>
      <c r="B2063" s="40" t="s">
        <v>9279</v>
      </c>
      <c r="C2063" s="41">
        <v>0.0</v>
      </c>
      <c r="D2063" s="41">
        <v>1.0</v>
      </c>
      <c r="E2063" s="42" t="str">
        <f t="shared" si="1"/>
        <v>0.0%</v>
      </c>
    </row>
    <row r="2064">
      <c r="A2064" s="40" t="s">
        <v>5526</v>
      </c>
      <c r="B2064" s="40" t="s">
        <v>9280</v>
      </c>
      <c r="C2064" s="41">
        <v>0.0</v>
      </c>
      <c r="D2064" s="41">
        <v>1.0</v>
      </c>
      <c r="E2064" s="42" t="str">
        <f t="shared" si="1"/>
        <v>0.0%</v>
      </c>
    </row>
    <row r="2065">
      <c r="A2065" s="40" t="s">
        <v>5526</v>
      </c>
      <c r="B2065" s="40" t="s">
        <v>9281</v>
      </c>
      <c r="C2065" s="41">
        <v>0.0</v>
      </c>
      <c r="D2065" s="41">
        <v>2.0</v>
      </c>
      <c r="E2065" s="42" t="str">
        <f t="shared" si="1"/>
        <v>0.0%</v>
      </c>
    </row>
    <row r="2066">
      <c r="A2066" s="40" t="s">
        <v>5526</v>
      </c>
      <c r="B2066" s="40" t="s">
        <v>9056</v>
      </c>
      <c r="C2066" s="41">
        <v>0.0</v>
      </c>
      <c r="D2066" s="41">
        <v>2.0</v>
      </c>
      <c r="E2066" s="42" t="str">
        <f t="shared" si="1"/>
        <v>0.0%</v>
      </c>
    </row>
    <row r="2067">
      <c r="A2067" s="40" t="s">
        <v>5526</v>
      </c>
      <c r="B2067" s="40" t="s">
        <v>9171</v>
      </c>
      <c r="C2067" s="41">
        <v>0.0</v>
      </c>
      <c r="D2067" s="41">
        <v>2.0</v>
      </c>
      <c r="E2067" s="42" t="str">
        <f t="shared" si="1"/>
        <v>0.0%</v>
      </c>
    </row>
    <row r="2068">
      <c r="A2068" s="40" t="s">
        <v>5526</v>
      </c>
      <c r="B2068" s="40" t="s">
        <v>9282</v>
      </c>
      <c r="C2068" s="41">
        <v>0.0</v>
      </c>
      <c r="D2068" s="41">
        <v>2.0</v>
      </c>
      <c r="E2068" s="42" t="str">
        <f t="shared" si="1"/>
        <v>0.0%</v>
      </c>
    </row>
    <row r="2069">
      <c r="A2069" s="40" t="s">
        <v>5526</v>
      </c>
      <c r="B2069" s="40" t="s">
        <v>9283</v>
      </c>
      <c r="C2069" s="41">
        <v>0.0</v>
      </c>
      <c r="D2069" s="41">
        <v>2.0</v>
      </c>
      <c r="E2069" s="42" t="str">
        <f t="shared" si="1"/>
        <v>0.0%</v>
      </c>
    </row>
    <row r="2070">
      <c r="A2070" s="40" t="s">
        <v>5526</v>
      </c>
      <c r="B2070" s="40" t="s">
        <v>9284</v>
      </c>
      <c r="C2070" s="41">
        <v>0.0</v>
      </c>
      <c r="D2070" s="41">
        <v>2.0</v>
      </c>
      <c r="E2070" s="42" t="str">
        <f t="shared" si="1"/>
        <v>0.0%</v>
      </c>
    </row>
    <row r="2071">
      <c r="A2071" s="40" t="s">
        <v>5526</v>
      </c>
      <c r="B2071" s="40" t="s">
        <v>9285</v>
      </c>
      <c r="C2071" s="41">
        <v>0.0</v>
      </c>
      <c r="D2071" s="41">
        <v>2.0</v>
      </c>
      <c r="E2071" s="42" t="str">
        <f t="shared" si="1"/>
        <v>0.0%</v>
      </c>
    </row>
    <row r="2072">
      <c r="A2072" s="40" t="s">
        <v>5526</v>
      </c>
      <c r="B2072" s="40" t="s">
        <v>8920</v>
      </c>
      <c r="C2072" s="41">
        <v>0.0</v>
      </c>
      <c r="D2072" s="41">
        <v>3.0</v>
      </c>
      <c r="E2072" s="42" t="str">
        <f t="shared" si="1"/>
        <v>0.0%</v>
      </c>
    </row>
    <row r="2073">
      <c r="A2073" s="40" t="s">
        <v>5526</v>
      </c>
      <c r="B2073" s="40" t="s">
        <v>9150</v>
      </c>
      <c r="C2073" s="41">
        <v>0.0</v>
      </c>
      <c r="D2073" s="41">
        <v>3.0</v>
      </c>
      <c r="E2073" s="42" t="str">
        <f t="shared" si="1"/>
        <v>0.0%</v>
      </c>
    </row>
    <row r="2074">
      <c r="A2074" s="40" t="s">
        <v>5526</v>
      </c>
      <c r="B2074" s="40" t="s">
        <v>9286</v>
      </c>
      <c r="C2074" s="41">
        <v>0.0</v>
      </c>
      <c r="D2074" s="41">
        <v>3.0</v>
      </c>
      <c r="E2074" s="42" t="str">
        <f t="shared" si="1"/>
        <v>0.0%</v>
      </c>
    </row>
    <row r="2075">
      <c r="A2075" s="40" t="s">
        <v>5526</v>
      </c>
      <c r="B2075" s="40" t="s">
        <v>9287</v>
      </c>
      <c r="C2075" s="41">
        <v>0.0</v>
      </c>
      <c r="D2075" s="41">
        <v>3.0</v>
      </c>
      <c r="E2075" s="42" t="str">
        <f t="shared" si="1"/>
        <v>0.0%</v>
      </c>
    </row>
    <row r="2076">
      <c r="A2076" s="40" t="s">
        <v>5526</v>
      </c>
      <c r="B2076" s="40" t="s">
        <v>9288</v>
      </c>
      <c r="C2076" s="41">
        <v>0.0</v>
      </c>
      <c r="D2076" s="41">
        <v>3.0</v>
      </c>
      <c r="E2076" s="42" t="str">
        <f t="shared" si="1"/>
        <v>0.0%</v>
      </c>
    </row>
    <row r="2077">
      <c r="A2077" s="40" t="s">
        <v>5526</v>
      </c>
      <c r="B2077" s="40" t="s">
        <v>9289</v>
      </c>
      <c r="C2077" s="41">
        <v>0.0</v>
      </c>
      <c r="D2077" s="41">
        <v>5.0</v>
      </c>
      <c r="E2077" s="42" t="str">
        <f t="shared" si="1"/>
        <v>0.0%</v>
      </c>
    </row>
    <row r="2078">
      <c r="A2078" s="40" t="s">
        <v>5526</v>
      </c>
      <c r="B2078" s="40" t="s">
        <v>9290</v>
      </c>
      <c r="C2078" s="41">
        <v>0.0</v>
      </c>
      <c r="D2078" s="41">
        <v>5.0</v>
      </c>
      <c r="E2078" s="42" t="str">
        <f t="shared" si="1"/>
        <v>0.0%</v>
      </c>
    </row>
    <row r="2079">
      <c r="A2079" s="40" t="s">
        <v>6279</v>
      </c>
      <c r="B2079" s="40" t="s">
        <v>8496</v>
      </c>
      <c r="C2079" s="41">
        <v>20.0</v>
      </c>
      <c r="D2079" s="41">
        <v>9.0</v>
      </c>
      <c r="E2079" s="42" t="str">
        <f t="shared" si="1"/>
        <v>69.0%</v>
      </c>
    </row>
    <row r="2080">
      <c r="A2080" s="40" t="s">
        <v>6279</v>
      </c>
      <c r="B2080" s="40" t="s">
        <v>8682</v>
      </c>
      <c r="C2080" s="41">
        <v>16.0</v>
      </c>
      <c r="D2080" s="41">
        <v>11.0</v>
      </c>
      <c r="E2080" s="42" t="str">
        <f t="shared" si="1"/>
        <v>59.3%</v>
      </c>
    </row>
    <row r="2081">
      <c r="A2081" s="40" t="s">
        <v>6279</v>
      </c>
      <c r="B2081" s="40" t="s">
        <v>8530</v>
      </c>
      <c r="C2081" s="41">
        <v>15.0</v>
      </c>
      <c r="D2081" s="41">
        <v>2.0</v>
      </c>
      <c r="E2081" s="42" t="str">
        <f t="shared" si="1"/>
        <v>88.2%</v>
      </c>
    </row>
    <row r="2082">
      <c r="A2082" s="40" t="s">
        <v>6279</v>
      </c>
      <c r="B2082" s="40" t="s">
        <v>8773</v>
      </c>
      <c r="C2082" s="41">
        <v>13.0</v>
      </c>
      <c r="D2082" s="41">
        <v>8.0</v>
      </c>
      <c r="E2082" s="42" t="str">
        <f t="shared" si="1"/>
        <v>61.9%</v>
      </c>
    </row>
    <row r="2083">
      <c r="A2083" s="40" t="s">
        <v>6279</v>
      </c>
      <c r="B2083" s="40" t="s">
        <v>9144</v>
      </c>
      <c r="C2083" s="41">
        <v>12.0</v>
      </c>
      <c r="D2083" s="41">
        <v>7.0</v>
      </c>
      <c r="E2083" s="42" t="str">
        <f t="shared" si="1"/>
        <v>63.2%</v>
      </c>
    </row>
    <row r="2084">
      <c r="A2084" s="40" t="s">
        <v>6279</v>
      </c>
      <c r="B2084" s="40" t="s">
        <v>8698</v>
      </c>
      <c r="C2084" s="41">
        <v>10.0</v>
      </c>
      <c r="D2084" s="41">
        <v>3.0</v>
      </c>
      <c r="E2084" s="42" t="str">
        <f t="shared" si="1"/>
        <v>76.9%</v>
      </c>
    </row>
    <row r="2085">
      <c r="A2085" s="40" t="s">
        <v>6279</v>
      </c>
      <c r="B2085" s="40" t="s">
        <v>9291</v>
      </c>
      <c r="C2085" s="41">
        <v>10.0</v>
      </c>
      <c r="D2085" s="41">
        <v>7.0</v>
      </c>
      <c r="E2085" s="42" t="str">
        <f t="shared" si="1"/>
        <v>58.8%</v>
      </c>
    </row>
    <row r="2086">
      <c r="A2086" s="40" t="s">
        <v>6279</v>
      </c>
      <c r="B2086" s="40" t="s">
        <v>9145</v>
      </c>
      <c r="C2086" s="41">
        <v>10.0</v>
      </c>
      <c r="D2086" s="41">
        <v>12.0</v>
      </c>
      <c r="E2086" s="42" t="str">
        <f t="shared" si="1"/>
        <v>45.5%</v>
      </c>
    </row>
    <row r="2087">
      <c r="A2087" s="40" t="s">
        <v>6279</v>
      </c>
      <c r="B2087" s="40" t="s">
        <v>8950</v>
      </c>
      <c r="C2087" s="41">
        <v>9.0</v>
      </c>
      <c r="D2087" s="41">
        <v>8.0</v>
      </c>
      <c r="E2087" s="42" t="str">
        <f t="shared" si="1"/>
        <v>52.9%</v>
      </c>
    </row>
    <row r="2088">
      <c r="A2088" s="40" t="s">
        <v>6279</v>
      </c>
      <c r="B2088" s="40" t="s">
        <v>9205</v>
      </c>
      <c r="C2088" s="41">
        <v>8.0</v>
      </c>
      <c r="D2088" s="41">
        <v>2.0</v>
      </c>
      <c r="E2088" s="42" t="str">
        <f t="shared" si="1"/>
        <v>80.0%</v>
      </c>
    </row>
    <row r="2089">
      <c r="A2089" s="40" t="s">
        <v>6279</v>
      </c>
      <c r="B2089" s="40" t="s">
        <v>9161</v>
      </c>
      <c r="C2089" s="41">
        <v>8.0</v>
      </c>
      <c r="D2089" s="41">
        <v>5.0</v>
      </c>
      <c r="E2089" s="42" t="str">
        <f t="shared" si="1"/>
        <v>61.5%</v>
      </c>
    </row>
    <row r="2090">
      <c r="A2090" s="40" t="s">
        <v>6279</v>
      </c>
      <c r="B2090" s="40" t="s">
        <v>8808</v>
      </c>
      <c r="C2090" s="41">
        <v>8.0</v>
      </c>
      <c r="D2090" s="41">
        <v>6.0</v>
      </c>
      <c r="E2090" s="42" t="str">
        <f t="shared" si="1"/>
        <v>57.1%</v>
      </c>
    </row>
    <row r="2091">
      <c r="A2091" s="40" t="s">
        <v>6279</v>
      </c>
      <c r="B2091" s="40" t="s">
        <v>9250</v>
      </c>
      <c r="C2091" s="41">
        <v>8.0</v>
      </c>
      <c r="D2091" s="41">
        <v>9.0</v>
      </c>
      <c r="E2091" s="42" t="str">
        <f t="shared" si="1"/>
        <v>47.1%</v>
      </c>
    </row>
    <row r="2092">
      <c r="A2092" s="40" t="s">
        <v>6279</v>
      </c>
      <c r="B2092" s="40" t="s">
        <v>8774</v>
      </c>
      <c r="C2092" s="41">
        <v>7.0</v>
      </c>
      <c r="D2092" s="41">
        <v>1.0</v>
      </c>
      <c r="E2092" s="42" t="str">
        <f t="shared" si="1"/>
        <v>87.5%</v>
      </c>
    </row>
    <row r="2093">
      <c r="A2093" s="40" t="s">
        <v>6279</v>
      </c>
      <c r="B2093" s="40" t="s">
        <v>9284</v>
      </c>
      <c r="C2093" s="41">
        <v>7.0</v>
      </c>
      <c r="D2093" s="41">
        <v>2.0</v>
      </c>
      <c r="E2093" s="42" t="str">
        <f t="shared" si="1"/>
        <v>77.8%</v>
      </c>
    </row>
    <row r="2094">
      <c r="A2094" s="40" t="s">
        <v>6279</v>
      </c>
      <c r="B2094" s="40" t="s">
        <v>9251</v>
      </c>
      <c r="C2094" s="41">
        <v>7.0</v>
      </c>
      <c r="D2094" s="41">
        <v>5.0</v>
      </c>
      <c r="E2094" s="42" t="str">
        <f t="shared" si="1"/>
        <v>58.3%</v>
      </c>
    </row>
    <row r="2095">
      <c r="A2095" s="40" t="s">
        <v>6279</v>
      </c>
      <c r="B2095" s="40" t="s">
        <v>9104</v>
      </c>
      <c r="C2095" s="41">
        <v>7.0</v>
      </c>
      <c r="D2095" s="41">
        <v>7.0</v>
      </c>
      <c r="E2095" s="42" t="str">
        <f t="shared" si="1"/>
        <v>50.0%</v>
      </c>
    </row>
    <row r="2096">
      <c r="A2096" s="40" t="s">
        <v>6279</v>
      </c>
      <c r="B2096" s="40" t="s">
        <v>9292</v>
      </c>
      <c r="C2096" s="41">
        <v>7.0</v>
      </c>
      <c r="D2096" s="41">
        <v>9.0</v>
      </c>
      <c r="E2096" s="42" t="str">
        <f t="shared" si="1"/>
        <v>43.8%</v>
      </c>
    </row>
    <row r="2097">
      <c r="A2097" s="40" t="s">
        <v>6279</v>
      </c>
      <c r="B2097" s="40" t="s">
        <v>8826</v>
      </c>
      <c r="C2097" s="41">
        <v>7.0</v>
      </c>
      <c r="D2097" s="41">
        <v>10.0</v>
      </c>
      <c r="E2097" s="42" t="str">
        <f t="shared" si="1"/>
        <v>41.2%</v>
      </c>
    </row>
    <row r="2098">
      <c r="A2098" s="40" t="s">
        <v>6279</v>
      </c>
      <c r="B2098" s="40" t="s">
        <v>8881</v>
      </c>
      <c r="C2098" s="41">
        <v>7.0</v>
      </c>
      <c r="D2098" s="41">
        <v>10.0</v>
      </c>
      <c r="E2098" s="42" t="str">
        <f t="shared" si="1"/>
        <v>41.2%</v>
      </c>
    </row>
    <row r="2099">
      <c r="A2099" s="40" t="s">
        <v>6279</v>
      </c>
      <c r="B2099" s="40" t="s">
        <v>8876</v>
      </c>
      <c r="C2099" s="41">
        <v>7.0</v>
      </c>
      <c r="D2099" s="41">
        <v>11.0</v>
      </c>
      <c r="E2099" s="42" t="str">
        <f t="shared" si="1"/>
        <v>38.9%</v>
      </c>
    </row>
    <row r="2100">
      <c r="A2100" s="40" t="s">
        <v>6279</v>
      </c>
      <c r="B2100" s="40" t="s">
        <v>8639</v>
      </c>
      <c r="C2100" s="41">
        <v>6.0</v>
      </c>
      <c r="D2100" s="41">
        <v>3.0</v>
      </c>
      <c r="E2100" s="42" t="str">
        <f t="shared" si="1"/>
        <v>66.7%</v>
      </c>
    </row>
    <row r="2101">
      <c r="A2101" s="40" t="s">
        <v>6279</v>
      </c>
      <c r="B2101" s="40" t="s">
        <v>9037</v>
      </c>
      <c r="C2101" s="41">
        <v>6.0</v>
      </c>
      <c r="D2101" s="41">
        <v>4.0</v>
      </c>
      <c r="E2101" s="42" t="str">
        <f t="shared" si="1"/>
        <v>60.0%</v>
      </c>
    </row>
    <row r="2102">
      <c r="A2102" s="40" t="s">
        <v>6279</v>
      </c>
      <c r="B2102" s="40" t="s">
        <v>9123</v>
      </c>
      <c r="C2102" s="41">
        <v>6.0</v>
      </c>
      <c r="D2102" s="41">
        <v>4.0</v>
      </c>
      <c r="E2102" s="42" t="str">
        <f t="shared" si="1"/>
        <v>60.0%</v>
      </c>
    </row>
    <row r="2103">
      <c r="A2103" s="40" t="s">
        <v>6279</v>
      </c>
      <c r="B2103" s="40" t="s">
        <v>8907</v>
      </c>
      <c r="C2103" s="41">
        <v>6.0</v>
      </c>
      <c r="D2103" s="41">
        <v>5.0</v>
      </c>
      <c r="E2103" s="42" t="str">
        <f t="shared" si="1"/>
        <v>54.5%</v>
      </c>
    </row>
    <row r="2104">
      <c r="A2104" s="40" t="s">
        <v>6279</v>
      </c>
      <c r="B2104" s="40" t="s">
        <v>8738</v>
      </c>
      <c r="C2104" s="41">
        <v>6.0</v>
      </c>
      <c r="D2104" s="41">
        <v>6.0</v>
      </c>
      <c r="E2104" s="42" t="str">
        <f t="shared" si="1"/>
        <v>50.0%</v>
      </c>
    </row>
    <row r="2105">
      <c r="A2105" s="40" t="s">
        <v>6279</v>
      </c>
      <c r="B2105" s="40" t="s">
        <v>9146</v>
      </c>
      <c r="C2105" s="41">
        <v>6.0</v>
      </c>
      <c r="D2105" s="41">
        <v>11.0</v>
      </c>
      <c r="E2105" s="42" t="str">
        <f t="shared" si="1"/>
        <v>35.3%</v>
      </c>
    </row>
    <row r="2106">
      <c r="A2106" s="40" t="s">
        <v>6279</v>
      </c>
      <c r="B2106" s="40" t="s">
        <v>9152</v>
      </c>
      <c r="C2106" s="41">
        <v>5.0</v>
      </c>
      <c r="D2106" s="41">
        <v>2.0</v>
      </c>
      <c r="E2106" s="42" t="str">
        <f t="shared" si="1"/>
        <v>71.4%</v>
      </c>
    </row>
    <row r="2107">
      <c r="A2107" s="40" t="s">
        <v>6279</v>
      </c>
      <c r="B2107" s="40" t="s">
        <v>9293</v>
      </c>
      <c r="C2107" s="41">
        <v>5.0</v>
      </c>
      <c r="D2107" s="41">
        <v>2.0</v>
      </c>
      <c r="E2107" s="42" t="str">
        <f t="shared" si="1"/>
        <v>71.4%</v>
      </c>
    </row>
    <row r="2108">
      <c r="A2108" s="40" t="s">
        <v>6279</v>
      </c>
      <c r="B2108" s="40" t="s">
        <v>8644</v>
      </c>
      <c r="C2108" s="41">
        <v>5.0</v>
      </c>
      <c r="D2108" s="41">
        <v>3.0</v>
      </c>
      <c r="E2108" s="42" t="str">
        <f t="shared" si="1"/>
        <v>62.5%</v>
      </c>
    </row>
    <row r="2109">
      <c r="A2109" s="40" t="s">
        <v>6279</v>
      </c>
      <c r="B2109" s="40" t="s">
        <v>8985</v>
      </c>
      <c r="C2109" s="41">
        <v>5.0</v>
      </c>
      <c r="D2109" s="41">
        <v>3.0</v>
      </c>
      <c r="E2109" s="42" t="str">
        <f t="shared" si="1"/>
        <v>62.5%</v>
      </c>
    </row>
    <row r="2110">
      <c r="A2110" s="40" t="s">
        <v>6279</v>
      </c>
      <c r="B2110" s="40" t="s">
        <v>9223</v>
      </c>
      <c r="C2110" s="41">
        <v>5.0</v>
      </c>
      <c r="D2110" s="41">
        <v>4.0</v>
      </c>
      <c r="E2110" s="42" t="str">
        <f t="shared" si="1"/>
        <v>55.6%</v>
      </c>
    </row>
    <row r="2111">
      <c r="A2111" s="40" t="s">
        <v>6279</v>
      </c>
      <c r="B2111" s="40" t="s">
        <v>9028</v>
      </c>
      <c r="C2111" s="41">
        <v>5.0</v>
      </c>
      <c r="D2111" s="41">
        <v>9.0</v>
      </c>
      <c r="E2111" s="42" t="str">
        <f t="shared" si="1"/>
        <v>35.7%</v>
      </c>
    </row>
    <row r="2112">
      <c r="A2112" s="40" t="s">
        <v>6279</v>
      </c>
      <c r="B2112" s="40" t="s">
        <v>9094</v>
      </c>
      <c r="C2112" s="41">
        <v>5.0</v>
      </c>
      <c r="D2112" s="41">
        <v>9.0</v>
      </c>
      <c r="E2112" s="42" t="str">
        <f t="shared" si="1"/>
        <v>35.7%</v>
      </c>
    </row>
    <row r="2113">
      <c r="A2113" s="40" t="s">
        <v>6279</v>
      </c>
      <c r="B2113" s="40" t="s">
        <v>8748</v>
      </c>
      <c r="C2113" s="41">
        <v>4.0</v>
      </c>
      <c r="D2113" s="41">
        <v>2.0</v>
      </c>
      <c r="E2113" s="42" t="str">
        <f t="shared" si="1"/>
        <v>66.7%</v>
      </c>
    </row>
    <row r="2114">
      <c r="A2114" s="40" t="s">
        <v>6279</v>
      </c>
      <c r="B2114" s="40" t="s">
        <v>8765</v>
      </c>
      <c r="C2114" s="41">
        <v>4.0</v>
      </c>
      <c r="D2114" s="41">
        <v>2.0</v>
      </c>
      <c r="E2114" s="42" t="str">
        <f t="shared" si="1"/>
        <v>66.7%</v>
      </c>
    </row>
    <row r="2115">
      <c r="A2115" s="40" t="s">
        <v>6279</v>
      </c>
      <c r="B2115" s="40" t="s">
        <v>9222</v>
      </c>
      <c r="C2115" s="41">
        <v>4.0</v>
      </c>
      <c r="D2115" s="41">
        <v>2.0</v>
      </c>
      <c r="E2115" s="42" t="str">
        <f t="shared" si="1"/>
        <v>66.7%</v>
      </c>
    </row>
    <row r="2116">
      <c r="A2116" s="40" t="s">
        <v>6279</v>
      </c>
      <c r="B2116" s="40" t="s">
        <v>9294</v>
      </c>
      <c r="C2116" s="41">
        <v>4.0</v>
      </c>
      <c r="D2116" s="41">
        <v>2.0</v>
      </c>
      <c r="E2116" s="42" t="str">
        <f t="shared" si="1"/>
        <v>66.7%</v>
      </c>
    </row>
    <row r="2117">
      <c r="A2117" s="40" t="s">
        <v>6279</v>
      </c>
      <c r="B2117" s="40" t="s">
        <v>9295</v>
      </c>
      <c r="C2117" s="41">
        <v>4.0</v>
      </c>
      <c r="D2117" s="41">
        <v>2.0</v>
      </c>
      <c r="E2117" s="42" t="str">
        <f t="shared" si="1"/>
        <v>66.7%</v>
      </c>
    </row>
    <row r="2118">
      <c r="A2118" s="40" t="s">
        <v>6279</v>
      </c>
      <c r="B2118" s="40" t="s">
        <v>9296</v>
      </c>
      <c r="C2118" s="41">
        <v>4.0</v>
      </c>
      <c r="D2118" s="41">
        <v>2.0</v>
      </c>
      <c r="E2118" s="42" t="str">
        <f t="shared" si="1"/>
        <v>66.7%</v>
      </c>
    </row>
    <row r="2119">
      <c r="A2119" s="40" t="s">
        <v>6279</v>
      </c>
      <c r="B2119" s="40" t="s">
        <v>9088</v>
      </c>
      <c r="C2119" s="41">
        <v>4.0</v>
      </c>
      <c r="D2119" s="41">
        <v>3.0</v>
      </c>
      <c r="E2119" s="42" t="str">
        <f t="shared" si="1"/>
        <v>57.1%</v>
      </c>
    </row>
    <row r="2120">
      <c r="A2120" s="40" t="s">
        <v>6279</v>
      </c>
      <c r="B2120" s="40" t="s">
        <v>9122</v>
      </c>
      <c r="C2120" s="41">
        <v>4.0</v>
      </c>
      <c r="D2120" s="41">
        <v>3.0</v>
      </c>
      <c r="E2120" s="42" t="str">
        <f t="shared" si="1"/>
        <v>57.1%</v>
      </c>
    </row>
    <row r="2121">
      <c r="A2121" s="40" t="s">
        <v>6279</v>
      </c>
      <c r="B2121" s="40" t="s">
        <v>9239</v>
      </c>
      <c r="C2121" s="41">
        <v>4.0</v>
      </c>
      <c r="D2121" s="41">
        <v>4.0</v>
      </c>
      <c r="E2121" s="42" t="str">
        <f t="shared" si="1"/>
        <v>50.0%</v>
      </c>
    </row>
    <row r="2122">
      <c r="A2122" s="40" t="s">
        <v>6279</v>
      </c>
      <c r="B2122" s="40" t="s">
        <v>9297</v>
      </c>
      <c r="C2122" s="41">
        <v>4.0</v>
      </c>
      <c r="D2122" s="41">
        <v>7.0</v>
      </c>
      <c r="E2122" s="42" t="str">
        <f t="shared" si="1"/>
        <v>36.4%</v>
      </c>
    </row>
    <row r="2123">
      <c r="A2123" s="40" t="s">
        <v>6279</v>
      </c>
      <c r="B2123" s="40" t="s">
        <v>8720</v>
      </c>
      <c r="C2123" s="41">
        <v>4.0</v>
      </c>
      <c r="D2123" s="41">
        <v>8.0</v>
      </c>
      <c r="E2123" s="42" t="str">
        <f t="shared" si="1"/>
        <v>33.3%</v>
      </c>
    </row>
    <row r="2124">
      <c r="A2124" s="40" t="s">
        <v>6279</v>
      </c>
      <c r="B2124" s="40" t="s">
        <v>8491</v>
      </c>
      <c r="C2124" s="41">
        <v>3.0</v>
      </c>
      <c r="D2124" s="41">
        <v>0.0</v>
      </c>
      <c r="E2124" s="42" t="str">
        <f t="shared" si="1"/>
        <v>100.0%</v>
      </c>
    </row>
    <row r="2125">
      <c r="A2125" s="40" t="s">
        <v>6279</v>
      </c>
      <c r="B2125" s="40" t="s">
        <v>9100</v>
      </c>
      <c r="C2125" s="41">
        <v>3.0</v>
      </c>
      <c r="D2125" s="41">
        <v>0.0</v>
      </c>
      <c r="E2125" s="42" t="str">
        <f t="shared" si="1"/>
        <v>100.0%</v>
      </c>
    </row>
    <row r="2126">
      <c r="A2126" s="40" t="s">
        <v>6279</v>
      </c>
      <c r="B2126" s="40" t="s">
        <v>9298</v>
      </c>
      <c r="C2126" s="41">
        <v>3.0</v>
      </c>
      <c r="D2126" s="41">
        <v>0.0</v>
      </c>
      <c r="E2126" s="42" t="str">
        <f t="shared" si="1"/>
        <v>100.0%</v>
      </c>
    </row>
    <row r="2127">
      <c r="A2127" s="40" t="s">
        <v>6279</v>
      </c>
      <c r="B2127" s="40" t="s">
        <v>9178</v>
      </c>
      <c r="C2127" s="41">
        <v>3.0</v>
      </c>
      <c r="D2127" s="41">
        <v>1.0</v>
      </c>
      <c r="E2127" s="42" t="str">
        <f t="shared" si="1"/>
        <v>75.0%</v>
      </c>
    </row>
    <row r="2128">
      <c r="A2128" s="40" t="s">
        <v>6279</v>
      </c>
      <c r="B2128" s="40" t="s">
        <v>9202</v>
      </c>
      <c r="C2128" s="41">
        <v>3.0</v>
      </c>
      <c r="D2128" s="41">
        <v>1.0</v>
      </c>
      <c r="E2128" s="42" t="str">
        <f t="shared" si="1"/>
        <v>75.0%</v>
      </c>
    </row>
    <row r="2129">
      <c r="A2129" s="40" t="s">
        <v>6279</v>
      </c>
      <c r="B2129" s="40" t="s">
        <v>9252</v>
      </c>
      <c r="C2129" s="41">
        <v>3.0</v>
      </c>
      <c r="D2129" s="41">
        <v>1.0</v>
      </c>
      <c r="E2129" s="42" t="str">
        <f t="shared" si="1"/>
        <v>75.0%</v>
      </c>
    </row>
    <row r="2130">
      <c r="A2130" s="40" t="s">
        <v>6279</v>
      </c>
      <c r="B2130" s="40" t="s">
        <v>9299</v>
      </c>
      <c r="C2130" s="41">
        <v>3.0</v>
      </c>
      <c r="D2130" s="41">
        <v>1.0</v>
      </c>
      <c r="E2130" s="42" t="str">
        <f t="shared" si="1"/>
        <v>75.0%</v>
      </c>
    </row>
    <row r="2131">
      <c r="A2131" s="40" t="s">
        <v>6279</v>
      </c>
      <c r="B2131" s="40" t="s">
        <v>9300</v>
      </c>
      <c r="C2131" s="41">
        <v>3.0</v>
      </c>
      <c r="D2131" s="41">
        <v>1.0</v>
      </c>
      <c r="E2131" s="42" t="str">
        <f t="shared" si="1"/>
        <v>75.0%</v>
      </c>
    </row>
    <row r="2132">
      <c r="A2132" s="40" t="s">
        <v>6279</v>
      </c>
      <c r="B2132" s="40" t="s">
        <v>9301</v>
      </c>
      <c r="C2132" s="41">
        <v>3.0</v>
      </c>
      <c r="D2132" s="41">
        <v>1.0</v>
      </c>
      <c r="E2132" s="42" t="str">
        <f t="shared" si="1"/>
        <v>75.0%</v>
      </c>
    </row>
    <row r="2133">
      <c r="A2133" s="40" t="s">
        <v>6279</v>
      </c>
      <c r="B2133" s="40" t="s">
        <v>9143</v>
      </c>
      <c r="C2133" s="41">
        <v>3.0</v>
      </c>
      <c r="D2133" s="41">
        <v>2.0</v>
      </c>
      <c r="E2133" s="42" t="str">
        <f t="shared" si="1"/>
        <v>60.0%</v>
      </c>
    </row>
    <row r="2134">
      <c r="A2134" s="40" t="s">
        <v>6279</v>
      </c>
      <c r="B2134" s="40" t="s">
        <v>9210</v>
      </c>
      <c r="C2134" s="41">
        <v>3.0</v>
      </c>
      <c r="D2134" s="41">
        <v>2.0</v>
      </c>
      <c r="E2134" s="42" t="str">
        <f t="shared" si="1"/>
        <v>60.0%</v>
      </c>
    </row>
    <row r="2135">
      <c r="A2135" s="40" t="s">
        <v>6279</v>
      </c>
      <c r="B2135" s="40" t="s">
        <v>9302</v>
      </c>
      <c r="C2135" s="41">
        <v>3.0</v>
      </c>
      <c r="D2135" s="41">
        <v>2.0</v>
      </c>
      <c r="E2135" s="42" t="str">
        <f t="shared" si="1"/>
        <v>60.0%</v>
      </c>
    </row>
    <row r="2136">
      <c r="A2136" s="40" t="s">
        <v>6279</v>
      </c>
      <c r="B2136" s="40" t="s">
        <v>8951</v>
      </c>
      <c r="C2136" s="41">
        <v>3.0</v>
      </c>
      <c r="D2136" s="41">
        <v>4.0</v>
      </c>
      <c r="E2136" s="42" t="str">
        <f t="shared" si="1"/>
        <v>42.9%</v>
      </c>
    </row>
    <row r="2137">
      <c r="A2137" s="40" t="s">
        <v>6279</v>
      </c>
      <c r="B2137" s="40" t="s">
        <v>9303</v>
      </c>
      <c r="C2137" s="41">
        <v>3.0</v>
      </c>
      <c r="D2137" s="41">
        <v>4.0</v>
      </c>
      <c r="E2137" s="42" t="str">
        <f t="shared" si="1"/>
        <v>42.9%</v>
      </c>
    </row>
    <row r="2138">
      <c r="A2138" s="40" t="s">
        <v>6279</v>
      </c>
      <c r="B2138" s="40" t="s">
        <v>9044</v>
      </c>
      <c r="C2138" s="41">
        <v>3.0</v>
      </c>
      <c r="D2138" s="41">
        <v>5.0</v>
      </c>
      <c r="E2138" s="42" t="str">
        <f t="shared" si="1"/>
        <v>37.5%</v>
      </c>
    </row>
    <row r="2139">
      <c r="A2139" s="40" t="s">
        <v>6279</v>
      </c>
      <c r="B2139" s="40" t="s">
        <v>8963</v>
      </c>
      <c r="C2139" s="41">
        <v>3.0</v>
      </c>
      <c r="D2139" s="41">
        <v>5.0</v>
      </c>
      <c r="E2139" s="42" t="str">
        <f t="shared" si="1"/>
        <v>37.5%</v>
      </c>
    </row>
    <row r="2140">
      <c r="A2140" s="40" t="s">
        <v>6279</v>
      </c>
      <c r="B2140" s="40" t="s">
        <v>9274</v>
      </c>
      <c r="C2140" s="41">
        <v>3.0</v>
      </c>
      <c r="D2140" s="41">
        <v>6.0</v>
      </c>
      <c r="E2140" s="42" t="str">
        <f t="shared" si="1"/>
        <v>33.3%</v>
      </c>
    </row>
    <row r="2141">
      <c r="A2141" s="40" t="s">
        <v>6279</v>
      </c>
      <c r="B2141" s="40" t="s">
        <v>9304</v>
      </c>
      <c r="C2141" s="41">
        <v>3.0</v>
      </c>
      <c r="D2141" s="41">
        <v>7.0</v>
      </c>
      <c r="E2141" s="42" t="str">
        <f t="shared" si="1"/>
        <v>30.0%</v>
      </c>
    </row>
    <row r="2142">
      <c r="A2142" s="40" t="s">
        <v>6279</v>
      </c>
      <c r="B2142" s="40" t="s">
        <v>8487</v>
      </c>
      <c r="C2142" s="41">
        <v>2.0</v>
      </c>
      <c r="D2142" s="41">
        <v>0.0</v>
      </c>
      <c r="E2142" s="42" t="str">
        <f t="shared" si="1"/>
        <v>100.0%</v>
      </c>
    </row>
    <row r="2143">
      <c r="A2143" s="40" t="s">
        <v>6279</v>
      </c>
      <c r="B2143" s="40" t="s">
        <v>9253</v>
      </c>
      <c r="C2143" s="41">
        <v>2.0</v>
      </c>
      <c r="D2143" s="41">
        <v>0.0</v>
      </c>
      <c r="E2143" s="42" t="str">
        <f t="shared" si="1"/>
        <v>100.0%</v>
      </c>
    </row>
    <row r="2144">
      <c r="A2144" s="40" t="s">
        <v>6279</v>
      </c>
      <c r="B2144" s="40" t="s">
        <v>9108</v>
      </c>
      <c r="C2144" s="41">
        <v>2.0</v>
      </c>
      <c r="D2144" s="41">
        <v>0.0</v>
      </c>
      <c r="E2144" s="42" t="str">
        <f t="shared" si="1"/>
        <v>100.0%</v>
      </c>
    </row>
    <row r="2145">
      <c r="A2145" s="40" t="s">
        <v>6279</v>
      </c>
      <c r="B2145" s="40" t="s">
        <v>9288</v>
      </c>
      <c r="C2145" s="41">
        <v>2.0</v>
      </c>
      <c r="D2145" s="41">
        <v>0.0</v>
      </c>
      <c r="E2145" s="42" t="str">
        <f t="shared" si="1"/>
        <v>100.0%</v>
      </c>
    </row>
    <row r="2146">
      <c r="A2146" s="40" t="s">
        <v>6279</v>
      </c>
      <c r="B2146" s="40" t="s">
        <v>9225</v>
      </c>
      <c r="C2146" s="41">
        <v>2.0</v>
      </c>
      <c r="D2146" s="41">
        <v>0.0</v>
      </c>
      <c r="E2146" s="42" t="str">
        <f t="shared" si="1"/>
        <v>100.0%</v>
      </c>
    </row>
    <row r="2147">
      <c r="A2147" s="40" t="s">
        <v>6279</v>
      </c>
      <c r="B2147" s="40" t="s">
        <v>9305</v>
      </c>
      <c r="C2147" s="41">
        <v>2.0</v>
      </c>
      <c r="D2147" s="41">
        <v>0.0</v>
      </c>
      <c r="E2147" s="42" t="str">
        <f t="shared" si="1"/>
        <v>100.0%</v>
      </c>
    </row>
    <row r="2148">
      <c r="A2148" s="40" t="s">
        <v>6279</v>
      </c>
      <c r="B2148" s="40" t="s">
        <v>9306</v>
      </c>
      <c r="C2148" s="41">
        <v>2.0</v>
      </c>
      <c r="D2148" s="41">
        <v>0.0</v>
      </c>
      <c r="E2148" s="42" t="str">
        <f t="shared" si="1"/>
        <v>100.0%</v>
      </c>
    </row>
    <row r="2149">
      <c r="A2149" s="40" t="s">
        <v>6279</v>
      </c>
      <c r="B2149" s="40" t="s">
        <v>9307</v>
      </c>
      <c r="C2149" s="41">
        <v>2.0</v>
      </c>
      <c r="D2149" s="41">
        <v>0.0</v>
      </c>
      <c r="E2149" s="42" t="str">
        <f t="shared" si="1"/>
        <v>100.0%</v>
      </c>
    </row>
    <row r="2150">
      <c r="A2150" s="40" t="s">
        <v>6279</v>
      </c>
      <c r="B2150" s="40" t="s">
        <v>9308</v>
      </c>
      <c r="C2150" s="41">
        <v>2.0</v>
      </c>
      <c r="D2150" s="41">
        <v>0.0</v>
      </c>
      <c r="E2150" s="42" t="str">
        <f t="shared" si="1"/>
        <v>100.0%</v>
      </c>
    </row>
    <row r="2151">
      <c r="A2151" s="40" t="s">
        <v>6279</v>
      </c>
      <c r="B2151" s="40" t="s">
        <v>9309</v>
      </c>
      <c r="C2151" s="41">
        <v>2.0</v>
      </c>
      <c r="D2151" s="41">
        <v>0.0</v>
      </c>
      <c r="E2151" s="42" t="str">
        <f t="shared" si="1"/>
        <v>100.0%</v>
      </c>
    </row>
    <row r="2152">
      <c r="A2152" s="40" t="s">
        <v>6279</v>
      </c>
      <c r="B2152" s="40" t="s">
        <v>9310</v>
      </c>
      <c r="C2152" s="41">
        <v>2.0</v>
      </c>
      <c r="D2152" s="41">
        <v>0.0</v>
      </c>
      <c r="E2152" s="42" t="str">
        <f t="shared" si="1"/>
        <v>100.0%</v>
      </c>
    </row>
    <row r="2153">
      <c r="A2153" s="40" t="s">
        <v>6279</v>
      </c>
      <c r="B2153" s="40" t="s">
        <v>8520</v>
      </c>
      <c r="C2153" s="41">
        <v>2.0</v>
      </c>
      <c r="D2153" s="41">
        <v>1.0</v>
      </c>
      <c r="E2153" s="42" t="str">
        <f t="shared" si="1"/>
        <v>66.7%</v>
      </c>
    </row>
    <row r="2154">
      <c r="A2154" s="40" t="s">
        <v>6279</v>
      </c>
      <c r="B2154" s="40" t="s">
        <v>8545</v>
      </c>
      <c r="C2154" s="41">
        <v>2.0</v>
      </c>
      <c r="D2154" s="41">
        <v>1.0</v>
      </c>
      <c r="E2154" s="42" t="str">
        <f t="shared" si="1"/>
        <v>66.7%</v>
      </c>
    </row>
    <row r="2155">
      <c r="A2155" s="40" t="s">
        <v>6279</v>
      </c>
      <c r="B2155" s="40" t="s">
        <v>8824</v>
      </c>
      <c r="C2155" s="41">
        <v>2.0</v>
      </c>
      <c r="D2155" s="41">
        <v>1.0</v>
      </c>
      <c r="E2155" s="42" t="str">
        <f t="shared" si="1"/>
        <v>66.7%</v>
      </c>
    </row>
    <row r="2156">
      <c r="A2156" s="40" t="s">
        <v>6279</v>
      </c>
      <c r="B2156" s="40" t="s">
        <v>8853</v>
      </c>
      <c r="C2156" s="41">
        <v>2.0</v>
      </c>
      <c r="D2156" s="41">
        <v>1.0</v>
      </c>
      <c r="E2156" s="42" t="str">
        <f t="shared" si="1"/>
        <v>66.7%</v>
      </c>
    </row>
    <row r="2157">
      <c r="A2157" s="40" t="s">
        <v>6279</v>
      </c>
      <c r="B2157" s="40" t="s">
        <v>8946</v>
      </c>
      <c r="C2157" s="41">
        <v>2.0</v>
      </c>
      <c r="D2157" s="41">
        <v>1.0</v>
      </c>
      <c r="E2157" s="42" t="str">
        <f t="shared" si="1"/>
        <v>66.7%</v>
      </c>
    </row>
    <row r="2158">
      <c r="A2158" s="40" t="s">
        <v>6279</v>
      </c>
      <c r="B2158" s="40" t="s">
        <v>9227</v>
      </c>
      <c r="C2158" s="41">
        <v>2.0</v>
      </c>
      <c r="D2158" s="41">
        <v>1.0</v>
      </c>
      <c r="E2158" s="42" t="str">
        <f t="shared" si="1"/>
        <v>66.7%</v>
      </c>
    </row>
    <row r="2159">
      <c r="A2159" s="40" t="s">
        <v>6279</v>
      </c>
      <c r="B2159" s="40" t="s">
        <v>9311</v>
      </c>
      <c r="C2159" s="41">
        <v>2.0</v>
      </c>
      <c r="D2159" s="41">
        <v>1.0</v>
      </c>
      <c r="E2159" s="42" t="str">
        <f t="shared" si="1"/>
        <v>66.7%</v>
      </c>
    </row>
    <row r="2160">
      <c r="A2160" s="40" t="s">
        <v>6279</v>
      </c>
      <c r="B2160" s="40" t="s">
        <v>9312</v>
      </c>
      <c r="C2160" s="41">
        <v>2.0</v>
      </c>
      <c r="D2160" s="41">
        <v>1.0</v>
      </c>
      <c r="E2160" s="42" t="str">
        <f t="shared" si="1"/>
        <v>66.7%</v>
      </c>
    </row>
    <row r="2161">
      <c r="A2161" s="40" t="s">
        <v>6279</v>
      </c>
      <c r="B2161" s="40" t="s">
        <v>9313</v>
      </c>
      <c r="C2161" s="41">
        <v>2.0</v>
      </c>
      <c r="D2161" s="41">
        <v>1.0</v>
      </c>
      <c r="E2161" s="42" t="str">
        <f t="shared" si="1"/>
        <v>66.7%</v>
      </c>
    </row>
    <row r="2162">
      <c r="A2162" s="40" t="s">
        <v>6279</v>
      </c>
      <c r="B2162" s="40" t="s">
        <v>9314</v>
      </c>
      <c r="C2162" s="41">
        <v>2.0</v>
      </c>
      <c r="D2162" s="41">
        <v>1.0</v>
      </c>
      <c r="E2162" s="42" t="str">
        <f t="shared" si="1"/>
        <v>66.7%</v>
      </c>
    </row>
    <row r="2163">
      <c r="A2163" s="40" t="s">
        <v>6279</v>
      </c>
      <c r="B2163" s="40" t="s">
        <v>9315</v>
      </c>
      <c r="C2163" s="41">
        <v>2.0</v>
      </c>
      <c r="D2163" s="41">
        <v>1.0</v>
      </c>
      <c r="E2163" s="42" t="str">
        <f t="shared" si="1"/>
        <v>66.7%</v>
      </c>
    </row>
    <row r="2164">
      <c r="A2164" s="40" t="s">
        <v>6279</v>
      </c>
      <c r="B2164" s="40" t="s">
        <v>9156</v>
      </c>
      <c r="C2164" s="41">
        <v>2.0</v>
      </c>
      <c r="D2164" s="41">
        <v>2.0</v>
      </c>
      <c r="E2164" s="42" t="str">
        <f t="shared" si="1"/>
        <v>50.0%</v>
      </c>
    </row>
    <row r="2165">
      <c r="A2165" s="40" t="s">
        <v>6279</v>
      </c>
      <c r="B2165" s="40" t="s">
        <v>9218</v>
      </c>
      <c r="C2165" s="41">
        <v>2.0</v>
      </c>
      <c r="D2165" s="41">
        <v>2.0</v>
      </c>
      <c r="E2165" s="42" t="str">
        <f t="shared" si="1"/>
        <v>50.0%</v>
      </c>
    </row>
    <row r="2166">
      <c r="A2166" s="40" t="s">
        <v>6279</v>
      </c>
      <c r="B2166" s="40" t="s">
        <v>9316</v>
      </c>
      <c r="C2166" s="41">
        <v>2.0</v>
      </c>
      <c r="D2166" s="41">
        <v>2.0</v>
      </c>
      <c r="E2166" s="42" t="str">
        <f t="shared" si="1"/>
        <v>50.0%</v>
      </c>
    </row>
    <row r="2167">
      <c r="A2167" s="40" t="s">
        <v>6279</v>
      </c>
      <c r="B2167" s="40" t="s">
        <v>9317</v>
      </c>
      <c r="C2167" s="41">
        <v>2.0</v>
      </c>
      <c r="D2167" s="41">
        <v>2.0</v>
      </c>
      <c r="E2167" s="42" t="str">
        <f t="shared" si="1"/>
        <v>50.0%</v>
      </c>
    </row>
    <row r="2168">
      <c r="A2168" s="40" t="s">
        <v>6279</v>
      </c>
      <c r="B2168" s="40" t="s">
        <v>8888</v>
      </c>
      <c r="C2168" s="41">
        <v>2.0</v>
      </c>
      <c r="D2168" s="41">
        <v>3.0</v>
      </c>
      <c r="E2168" s="42" t="str">
        <f t="shared" si="1"/>
        <v>40.0%</v>
      </c>
    </row>
    <row r="2169">
      <c r="A2169" s="40" t="s">
        <v>6279</v>
      </c>
      <c r="B2169" s="40" t="s">
        <v>9318</v>
      </c>
      <c r="C2169" s="41">
        <v>2.0</v>
      </c>
      <c r="D2169" s="41">
        <v>3.0</v>
      </c>
      <c r="E2169" s="42" t="str">
        <f t="shared" si="1"/>
        <v>40.0%</v>
      </c>
    </row>
    <row r="2170">
      <c r="A2170" s="40" t="s">
        <v>6279</v>
      </c>
      <c r="B2170" s="40" t="s">
        <v>9319</v>
      </c>
      <c r="C2170" s="41">
        <v>2.0</v>
      </c>
      <c r="D2170" s="41">
        <v>3.0</v>
      </c>
      <c r="E2170" s="42" t="str">
        <f t="shared" si="1"/>
        <v>40.0%</v>
      </c>
    </row>
    <row r="2171">
      <c r="A2171" s="40" t="s">
        <v>6279</v>
      </c>
      <c r="B2171" s="40" t="s">
        <v>9212</v>
      </c>
      <c r="C2171" s="41">
        <v>2.0</v>
      </c>
      <c r="D2171" s="41">
        <v>4.0</v>
      </c>
      <c r="E2171" s="42" t="str">
        <f t="shared" si="1"/>
        <v>33.3%</v>
      </c>
    </row>
    <row r="2172">
      <c r="A2172" s="40" t="s">
        <v>6279</v>
      </c>
      <c r="B2172" s="40" t="s">
        <v>9320</v>
      </c>
      <c r="C2172" s="41">
        <v>2.0</v>
      </c>
      <c r="D2172" s="41">
        <v>4.0</v>
      </c>
      <c r="E2172" s="42" t="str">
        <f t="shared" si="1"/>
        <v>33.3%</v>
      </c>
    </row>
    <row r="2173">
      <c r="A2173" s="40" t="s">
        <v>6279</v>
      </c>
      <c r="B2173" s="40" t="s">
        <v>9321</v>
      </c>
      <c r="C2173" s="41">
        <v>2.0</v>
      </c>
      <c r="D2173" s="41">
        <v>4.0</v>
      </c>
      <c r="E2173" s="42" t="str">
        <f t="shared" si="1"/>
        <v>33.3%</v>
      </c>
    </row>
    <row r="2174">
      <c r="A2174" s="40" t="s">
        <v>6279</v>
      </c>
      <c r="B2174" s="40" t="s">
        <v>9322</v>
      </c>
      <c r="C2174" s="41">
        <v>2.0</v>
      </c>
      <c r="D2174" s="41">
        <v>5.0</v>
      </c>
      <c r="E2174" s="42" t="str">
        <f t="shared" si="1"/>
        <v>28.6%</v>
      </c>
    </row>
    <row r="2175">
      <c r="A2175" s="40" t="s">
        <v>6279</v>
      </c>
      <c r="B2175" s="40" t="s">
        <v>9323</v>
      </c>
      <c r="C2175" s="41">
        <v>2.0</v>
      </c>
      <c r="D2175" s="41">
        <v>5.0</v>
      </c>
      <c r="E2175" s="42" t="str">
        <f t="shared" si="1"/>
        <v>28.6%</v>
      </c>
    </row>
    <row r="2176">
      <c r="A2176" s="40" t="s">
        <v>6279</v>
      </c>
      <c r="B2176" s="40" t="s">
        <v>9324</v>
      </c>
      <c r="C2176" s="41">
        <v>2.0</v>
      </c>
      <c r="D2176" s="41">
        <v>7.0</v>
      </c>
      <c r="E2176" s="42" t="str">
        <f t="shared" si="1"/>
        <v>22.2%</v>
      </c>
    </row>
    <row r="2177">
      <c r="A2177" s="40" t="s">
        <v>6279</v>
      </c>
      <c r="B2177" s="40" t="s">
        <v>8501</v>
      </c>
      <c r="C2177" s="41">
        <v>1.0</v>
      </c>
      <c r="D2177" s="41">
        <v>0.0</v>
      </c>
      <c r="E2177" s="42" t="str">
        <f t="shared" si="1"/>
        <v>100.0%</v>
      </c>
    </row>
    <row r="2178">
      <c r="A2178" s="40" t="s">
        <v>6279</v>
      </c>
      <c r="B2178" s="40" t="s">
        <v>8660</v>
      </c>
      <c r="C2178" s="41">
        <v>1.0</v>
      </c>
      <c r="D2178" s="41">
        <v>0.0</v>
      </c>
      <c r="E2178" s="42" t="str">
        <f t="shared" si="1"/>
        <v>100.0%</v>
      </c>
    </row>
    <row r="2179">
      <c r="A2179" s="40" t="s">
        <v>6279</v>
      </c>
      <c r="B2179" s="40" t="s">
        <v>8500</v>
      </c>
      <c r="C2179" s="41">
        <v>1.0</v>
      </c>
      <c r="D2179" s="41">
        <v>0.0</v>
      </c>
      <c r="E2179" s="42" t="str">
        <f t="shared" si="1"/>
        <v>100.0%</v>
      </c>
    </row>
    <row r="2180">
      <c r="A2180" s="40" t="s">
        <v>6279</v>
      </c>
      <c r="B2180" s="40" t="s">
        <v>8485</v>
      </c>
      <c r="C2180" s="41">
        <v>1.0</v>
      </c>
      <c r="D2180" s="41">
        <v>0.0</v>
      </c>
      <c r="E2180" s="42" t="str">
        <f t="shared" si="1"/>
        <v>100.0%</v>
      </c>
    </row>
    <row r="2181">
      <c r="A2181" s="40" t="s">
        <v>6279</v>
      </c>
      <c r="B2181" s="40" t="s">
        <v>8484</v>
      </c>
      <c r="C2181" s="41">
        <v>1.0</v>
      </c>
      <c r="D2181" s="41">
        <v>0.0</v>
      </c>
      <c r="E2181" s="42" t="str">
        <f t="shared" si="1"/>
        <v>100.0%</v>
      </c>
    </row>
    <row r="2182">
      <c r="A2182" s="40" t="s">
        <v>6279</v>
      </c>
      <c r="B2182" s="40" t="s">
        <v>8614</v>
      </c>
      <c r="C2182" s="41">
        <v>1.0</v>
      </c>
      <c r="D2182" s="41">
        <v>0.0</v>
      </c>
      <c r="E2182" s="42" t="str">
        <f t="shared" si="1"/>
        <v>100.0%</v>
      </c>
    </row>
    <row r="2183">
      <c r="A2183" s="40" t="s">
        <v>6279</v>
      </c>
      <c r="B2183" s="40" t="s">
        <v>8837</v>
      </c>
      <c r="C2183" s="41">
        <v>1.0</v>
      </c>
      <c r="D2183" s="41">
        <v>0.0</v>
      </c>
      <c r="E2183" s="42" t="str">
        <f t="shared" si="1"/>
        <v>100.0%</v>
      </c>
    </row>
    <row r="2184">
      <c r="A2184" s="40" t="s">
        <v>6279</v>
      </c>
      <c r="B2184" s="40" t="s">
        <v>8819</v>
      </c>
      <c r="C2184" s="41">
        <v>1.0</v>
      </c>
      <c r="D2184" s="41">
        <v>0.0</v>
      </c>
      <c r="E2184" s="42" t="str">
        <f t="shared" si="1"/>
        <v>100.0%</v>
      </c>
    </row>
    <row r="2185">
      <c r="A2185" s="40" t="s">
        <v>6279</v>
      </c>
      <c r="B2185" s="40" t="s">
        <v>8948</v>
      </c>
      <c r="C2185" s="41">
        <v>1.0</v>
      </c>
      <c r="D2185" s="41">
        <v>0.0</v>
      </c>
      <c r="E2185" s="42" t="str">
        <f t="shared" si="1"/>
        <v>100.0%</v>
      </c>
    </row>
    <row r="2186">
      <c r="A2186" s="40" t="s">
        <v>6279</v>
      </c>
      <c r="B2186" s="40" t="s">
        <v>9055</v>
      </c>
      <c r="C2186" s="41">
        <v>1.0</v>
      </c>
      <c r="D2186" s="41">
        <v>0.0</v>
      </c>
      <c r="E2186" s="42" t="str">
        <f t="shared" si="1"/>
        <v>100.0%</v>
      </c>
    </row>
    <row r="2187">
      <c r="A2187" s="40" t="s">
        <v>6279</v>
      </c>
      <c r="B2187" s="40" t="s">
        <v>9083</v>
      </c>
      <c r="C2187" s="41">
        <v>1.0</v>
      </c>
      <c r="D2187" s="41">
        <v>0.0</v>
      </c>
      <c r="E2187" s="42" t="str">
        <f t="shared" si="1"/>
        <v>100.0%</v>
      </c>
    </row>
    <row r="2188">
      <c r="A2188" s="40" t="s">
        <v>6279</v>
      </c>
      <c r="B2188" s="40" t="s">
        <v>9148</v>
      </c>
      <c r="C2188" s="41">
        <v>1.0</v>
      </c>
      <c r="D2188" s="41">
        <v>0.0</v>
      </c>
      <c r="E2188" s="42" t="str">
        <f t="shared" si="1"/>
        <v>100.0%</v>
      </c>
    </row>
    <row r="2189">
      <c r="A2189" s="40" t="s">
        <v>6279</v>
      </c>
      <c r="B2189" s="40" t="s">
        <v>9215</v>
      </c>
      <c r="C2189" s="41">
        <v>1.0</v>
      </c>
      <c r="D2189" s="41">
        <v>0.0</v>
      </c>
      <c r="E2189" s="42" t="str">
        <f t="shared" si="1"/>
        <v>100.0%</v>
      </c>
    </row>
    <row r="2190">
      <c r="A2190" s="40" t="s">
        <v>6279</v>
      </c>
      <c r="B2190" s="40" t="s">
        <v>9325</v>
      </c>
      <c r="C2190" s="41">
        <v>1.0</v>
      </c>
      <c r="D2190" s="41">
        <v>0.0</v>
      </c>
      <c r="E2190" s="42" t="str">
        <f t="shared" si="1"/>
        <v>100.0%</v>
      </c>
    </row>
    <row r="2191">
      <c r="A2191" s="40" t="s">
        <v>6279</v>
      </c>
      <c r="B2191" s="40" t="s">
        <v>9326</v>
      </c>
      <c r="C2191" s="41">
        <v>1.0</v>
      </c>
      <c r="D2191" s="41">
        <v>0.0</v>
      </c>
      <c r="E2191" s="42" t="str">
        <f t="shared" si="1"/>
        <v>100.0%</v>
      </c>
    </row>
    <row r="2192">
      <c r="A2192" s="40" t="s">
        <v>6279</v>
      </c>
      <c r="B2192" s="40" t="s">
        <v>9327</v>
      </c>
      <c r="C2192" s="41">
        <v>1.0</v>
      </c>
      <c r="D2192" s="41">
        <v>0.0</v>
      </c>
      <c r="E2192" s="42" t="str">
        <f t="shared" si="1"/>
        <v>100.0%</v>
      </c>
    </row>
    <row r="2193">
      <c r="A2193" s="40" t="s">
        <v>6279</v>
      </c>
      <c r="B2193" s="40" t="s">
        <v>9328</v>
      </c>
      <c r="C2193" s="41">
        <v>1.0</v>
      </c>
      <c r="D2193" s="41">
        <v>0.0</v>
      </c>
      <c r="E2193" s="42" t="str">
        <f t="shared" si="1"/>
        <v>100.0%</v>
      </c>
    </row>
    <row r="2194">
      <c r="A2194" s="40" t="s">
        <v>6279</v>
      </c>
      <c r="B2194" s="40" t="s">
        <v>9329</v>
      </c>
      <c r="C2194" s="41">
        <v>1.0</v>
      </c>
      <c r="D2194" s="41">
        <v>0.0</v>
      </c>
      <c r="E2194" s="42" t="str">
        <f t="shared" si="1"/>
        <v>100.0%</v>
      </c>
    </row>
    <row r="2195">
      <c r="A2195" s="40" t="s">
        <v>6279</v>
      </c>
      <c r="B2195" s="40" t="s">
        <v>9330</v>
      </c>
      <c r="C2195" s="41">
        <v>1.0</v>
      </c>
      <c r="D2195" s="41">
        <v>0.0</v>
      </c>
      <c r="E2195" s="42" t="str">
        <f t="shared" si="1"/>
        <v>100.0%</v>
      </c>
    </row>
    <row r="2196">
      <c r="A2196" s="40" t="s">
        <v>6279</v>
      </c>
      <c r="B2196" s="40" t="s">
        <v>9331</v>
      </c>
      <c r="C2196" s="41">
        <v>1.0</v>
      </c>
      <c r="D2196" s="41">
        <v>0.0</v>
      </c>
      <c r="E2196" s="42" t="str">
        <f t="shared" si="1"/>
        <v>100.0%</v>
      </c>
    </row>
    <row r="2197">
      <c r="A2197" s="40" t="s">
        <v>6279</v>
      </c>
      <c r="B2197" s="40" t="s">
        <v>9332</v>
      </c>
      <c r="C2197" s="41">
        <v>1.0</v>
      </c>
      <c r="D2197" s="41">
        <v>0.0</v>
      </c>
      <c r="E2197" s="42" t="str">
        <f t="shared" si="1"/>
        <v>100.0%</v>
      </c>
    </row>
    <row r="2198">
      <c r="A2198" s="40" t="s">
        <v>6279</v>
      </c>
      <c r="B2198" s="40" t="s">
        <v>9333</v>
      </c>
      <c r="C2198" s="41">
        <v>1.0</v>
      </c>
      <c r="D2198" s="41">
        <v>0.0</v>
      </c>
      <c r="E2198" s="42" t="str">
        <f t="shared" si="1"/>
        <v>100.0%</v>
      </c>
    </row>
    <row r="2199">
      <c r="A2199" s="40" t="s">
        <v>6279</v>
      </c>
      <c r="B2199" s="40" t="s">
        <v>8518</v>
      </c>
      <c r="C2199" s="41">
        <v>1.0</v>
      </c>
      <c r="D2199" s="41">
        <v>1.0</v>
      </c>
      <c r="E2199" s="42" t="str">
        <f t="shared" si="1"/>
        <v>50.0%</v>
      </c>
    </row>
    <row r="2200">
      <c r="A2200" s="40" t="s">
        <v>6279</v>
      </c>
      <c r="B2200" s="40" t="s">
        <v>8805</v>
      </c>
      <c r="C2200" s="41">
        <v>1.0</v>
      </c>
      <c r="D2200" s="41">
        <v>1.0</v>
      </c>
      <c r="E2200" s="42" t="str">
        <f t="shared" si="1"/>
        <v>50.0%</v>
      </c>
    </row>
    <row r="2201">
      <c r="A2201" s="40" t="s">
        <v>6279</v>
      </c>
      <c r="B2201" s="40" t="s">
        <v>8790</v>
      </c>
      <c r="C2201" s="41">
        <v>1.0</v>
      </c>
      <c r="D2201" s="41">
        <v>1.0</v>
      </c>
      <c r="E2201" s="42" t="str">
        <f t="shared" si="1"/>
        <v>50.0%</v>
      </c>
    </row>
    <row r="2202">
      <c r="A2202" s="40" t="s">
        <v>6279</v>
      </c>
      <c r="B2202" s="40" t="s">
        <v>8845</v>
      </c>
      <c r="C2202" s="41">
        <v>1.0</v>
      </c>
      <c r="D2202" s="41">
        <v>1.0</v>
      </c>
      <c r="E2202" s="42" t="str">
        <f t="shared" si="1"/>
        <v>50.0%</v>
      </c>
    </row>
    <row r="2203">
      <c r="A2203" s="40" t="s">
        <v>6279</v>
      </c>
      <c r="B2203" s="40" t="s">
        <v>8900</v>
      </c>
      <c r="C2203" s="41">
        <v>1.0</v>
      </c>
      <c r="D2203" s="41">
        <v>1.0</v>
      </c>
      <c r="E2203" s="42" t="str">
        <f t="shared" si="1"/>
        <v>50.0%</v>
      </c>
    </row>
    <row r="2204">
      <c r="A2204" s="40" t="s">
        <v>6279</v>
      </c>
      <c r="B2204" s="40" t="s">
        <v>8944</v>
      </c>
      <c r="C2204" s="41">
        <v>1.0</v>
      </c>
      <c r="D2204" s="41">
        <v>1.0</v>
      </c>
      <c r="E2204" s="42" t="str">
        <f t="shared" si="1"/>
        <v>50.0%</v>
      </c>
    </row>
    <row r="2205">
      <c r="A2205" s="40" t="s">
        <v>6279</v>
      </c>
      <c r="B2205" s="40" t="s">
        <v>8993</v>
      </c>
      <c r="C2205" s="41">
        <v>1.0</v>
      </c>
      <c r="D2205" s="41">
        <v>1.0</v>
      </c>
      <c r="E2205" s="42" t="str">
        <f t="shared" si="1"/>
        <v>50.0%</v>
      </c>
    </row>
    <row r="2206">
      <c r="A2206" s="40" t="s">
        <v>6279</v>
      </c>
      <c r="B2206" s="40" t="s">
        <v>9011</v>
      </c>
      <c r="C2206" s="41">
        <v>1.0</v>
      </c>
      <c r="D2206" s="41">
        <v>1.0</v>
      </c>
      <c r="E2206" s="42" t="str">
        <f t="shared" si="1"/>
        <v>50.0%</v>
      </c>
    </row>
    <row r="2207">
      <c r="A2207" s="40" t="s">
        <v>6279</v>
      </c>
      <c r="B2207" s="40" t="s">
        <v>9071</v>
      </c>
      <c r="C2207" s="41">
        <v>1.0</v>
      </c>
      <c r="D2207" s="41">
        <v>1.0</v>
      </c>
      <c r="E2207" s="42" t="str">
        <f t="shared" si="1"/>
        <v>50.0%</v>
      </c>
    </row>
    <row r="2208">
      <c r="A2208" s="40" t="s">
        <v>6279</v>
      </c>
      <c r="B2208" s="40" t="s">
        <v>9101</v>
      </c>
      <c r="C2208" s="41">
        <v>1.0</v>
      </c>
      <c r="D2208" s="41">
        <v>1.0</v>
      </c>
      <c r="E2208" s="42" t="str">
        <f t="shared" si="1"/>
        <v>50.0%</v>
      </c>
    </row>
    <row r="2209">
      <c r="A2209" s="40" t="s">
        <v>6279</v>
      </c>
      <c r="B2209" s="40" t="s">
        <v>9187</v>
      </c>
      <c r="C2209" s="41">
        <v>1.0</v>
      </c>
      <c r="D2209" s="41">
        <v>1.0</v>
      </c>
      <c r="E2209" s="42" t="str">
        <f t="shared" si="1"/>
        <v>50.0%</v>
      </c>
    </row>
    <row r="2210">
      <c r="A2210" s="40" t="s">
        <v>6279</v>
      </c>
      <c r="B2210" s="40" t="s">
        <v>9189</v>
      </c>
      <c r="C2210" s="41">
        <v>1.0</v>
      </c>
      <c r="D2210" s="41">
        <v>1.0</v>
      </c>
      <c r="E2210" s="42" t="str">
        <f t="shared" si="1"/>
        <v>50.0%</v>
      </c>
    </row>
    <row r="2211">
      <c r="A2211" s="40" t="s">
        <v>6279</v>
      </c>
      <c r="B2211" s="40" t="s">
        <v>9334</v>
      </c>
      <c r="C2211" s="41">
        <v>1.0</v>
      </c>
      <c r="D2211" s="41">
        <v>1.0</v>
      </c>
      <c r="E2211" s="42" t="str">
        <f t="shared" si="1"/>
        <v>50.0%</v>
      </c>
    </row>
    <row r="2212">
      <c r="A2212" s="40" t="s">
        <v>6279</v>
      </c>
      <c r="B2212" s="40" t="s">
        <v>9335</v>
      </c>
      <c r="C2212" s="41">
        <v>1.0</v>
      </c>
      <c r="D2212" s="41">
        <v>1.0</v>
      </c>
      <c r="E2212" s="42" t="str">
        <f t="shared" si="1"/>
        <v>50.0%</v>
      </c>
    </row>
    <row r="2213">
      <c r="A2213" s="40" t="s">
        <v>6279</v>
      </c>
      <c r="B2213" s="40" t="s">
        <v>9336</v>
      </c>
      <c r="C2213" s="41">
        <v>1.0</v>
      </c>
      <c r="D2213" s="41">
        <v>1.0</v>
      </c>
      <c r="E2213" s="42" t="str">
        <f t="shared" si="1"/>
        <v>50.0%</v>
      </c>
    </row>
    <row r="2214">
      <c r="A2214" s="40" t="s">
        <v>6279</v>
      </c>
      <c r="B2214" s="40" t="s">
        <v>9337</v>
      </c>
      <c r="C2214" s="41">
        <v>1.0</v>
      </c>
      <c r="D2214" s="41">
        <v>1.0</v>
      </c>
      <c r="E2214" s="42" t="str">
        <f t="shared" si="1"/>
        <v>50.0%</v>
      </c>
    </row>
    <row r="2215">
      <c r="A2215" s="40" t="s">
        <v>6279</v>
      </c>
      <c r="B2215" s="40" t="s">
        <v>9338</v>
      </c>
      <c r="C2215" s="41">
        <v>1.0</v>
      </c>
      <c r="D2215" s="41">
        <v>1.0</v>
      </c>
      <c r="E2215" s="42" t="str">
        <f t="shared" si="1"/>
        <v>50.0%</v>
      </c>
    </row>
    <row r="2216">
      <c r="A2216" s="40" t="s">
        <v>6279</v>
      </c>
      <c r="B2216" s="40" t="s">
        <v>9339</v>
      </c>
      <c r="C2216" s="41">
        <v>1.0</v>
      </c>
      <c r="D2216" s="41">
        <v>1.0</v>
      </c>
      <c r="E2216" s="42" t="str">
        <f t="shared" si="1"/>
        <v>50.0%</v>
      </c>
    </row>
    <row r="2217">
      <c r="A2217" s="40" t="s">
        <v>6279</v>
      </c>
      <c r="B2217" s="40" t="s">
        <v>9340</v>
      </c>
      <c r="C2217" s="41">
        <v>1.0</v>
      </c>
      <c r="D2217" s="41">
        <v>1.0</v>
      </c>
      <c r="E2217" s="42" t="str">
        <f t="shared" si="1"/>
        <v>50.0%</v>
      </c>
    </row>
    <row r="2218">
      <c r="A2218" s="40" t="s">
        <v>6279</v>
      </c>
      <c r="B2218" s="40" t="s">
        <v>9341</v>
      </c>
      <c r="C2218" s="41">
        <v>1.0</v>
      </c>
      <c r="D2218" s="41">
        <v>1.0</v>
      </c>
      <c r="E2218" s="42" t="str">
        <f t="shared" si="1"/>
        <v>50.0%</v>
      </c>
    </row>
    <row r="2219">
      <c r="A2219" s="40" t="s">
        <v>6279</v>
      </c>
      <c r="B2219" s="40" t="s">
        <v>9342</v>
      </c>
      <c r="C2219" s="41">
        <v>1.0</v>
      </c>
      <c r="D2219" s="41">
        <v>1.0</v>
      </c>
      <c r="E2219" s="42" t="str">
        <f t="shared" si="1"/>
        <v>50.0%</v>
      </c>
    </row>
    <row r="2220">
      <c r="A2220" s="40" t="s">
        <v>6279</v>
      </c>
      <c r="B2220" s="40" t="s">
        <v>9343</v>
      </c>
      <c r="C2220" s="41">
        <v>1.0</v>
      </c>
      <c r="D2220" s="41">
        <v>1.0</v>
      </c>
      <c r="E2220" s="42" t="str">
        <f t="shared" si="1"/>
        <v>50.0%</v>
      </c>
    </row>
    <row r="2221">
      <c r="A2221" s="40" t="s">
        <v>6279</v>
      </c>
      <c r="B2221" s="40" t="s">
        <v>9344</v>
      </c>
      <c r="C2221" s="41">
        <v>1.0</v>
      </c>
      <c r="D2221" s="41">
        <v>1.0</v>
      </c>
      <c r="E2221" s="42" t="str">
        <f t="shared" si="1"/>
        <v>50.0%</v>
      </c>
    </row>
    <row r="2222">
      <c r="A2222" s="40" t="s">
        <v>6279</v>
      </c>
      <c r="B2222" s="40" t="s">
        <v>9345</v>
      </c>
      <c r="C2222" s="41">
        <v>1.0</v>
      </c>
      <c r="D2222" s="41">
        <v>1.0</v>
      </c>
      <c r="E2222" s="42" t="str">
        <f t="shared" si="1"/>
        <v>50.0%</v>
      </c>
    </row>
    <row r="2223">
      <c r="A2223" s="40" t="s">
        <v>6279</v>
      </c>
      <c r="B2223" s="40" t="s">
        <v>8490</v>
      </c>
      <c r="C2223" s="41">
        <v>1.0</v>
      </c>
      <c r="D2223" s="41">
        <v>2.0</v>
      </c>
      <c r="E2223" s="42" t="str">
        <f t="shared" si="1"/>
        <v>33.3%</v>
      </c>
    </row>
    <row r="2224">
      <c r="A2224" s="40" t="s">
        <v>6279</v>
      </c>
      <c r="B2224" s="40" t="s">
        <v>8495</v>
      </c>
      <c r="C2224" s="41">
        <v>1.0</v>
      </c>
      <c r="D2224" s="41">
        <v>2.0</v>
      </c>
      <c r="E2224" s="42" t="str">
        <f t="shared" si="1"/>
        <v>33.3%</v>
      </c>
    </row>
    <row r="2225">
      <c r="A2225" s="40" t="s">
        <v>6279</v>
      </c>
      <c r="B2225" s="40" t="s">
        <v>9158</v>
      </c>
      <c r="C2225" s="41">
        <v>1.0</v>
      </c>
      <c r="D2225" s="41">
        <v>2.0</v>
      </c>
      <c r="E2225" s="42" t="str">
        <f t="shared" si="1"/>
        <v>33.3%</v>
      </c>
    </row>
    <row r="2226">
      <c r="A2226" s="40" t="s">
        <v>6279</v>
      </c>
      <c r="B2226" s="40" t="s">
        <v>9285</v>
      </c>
      <c r="C2226" s="41">
        <v>1.0</v>
      </c>
      <c r="D2226" s="41">
        <v>2.0</v>
      </c>
      <c r="E2226" s="42" t="str">
        <f t="shared" si="1"/>
        <v>33.3%</v>
      </c>
    </row>
    <row r="2227">
      <c r="A2227" s="40" t="s">
        <v>6279</v>
      </c>
      <c r="B2227" s="40" t="s">
        <v>9346</v>
      </c>
      <c r="C2227" s="41">
        <v>1.0</v>
      </c>
      <c r="D2227" s="41">
        <v>2.0</v>
      </c>
      <c r="E2227" s="42" t="str">
        <f t="shared" si="1"/>
        <v>33.3%</v>
      </c>
    </row>
    <row r="2228">
      <c r="A2228" s="40" t="s">
        <v>6279</v>
      </c>
      <c r="B2228" s="40" t="s">
        <v>9347</v>
      </c>
      <c r="C2228" s="41">
        <v>1.0</v>
      </c>
      <c r="D2228" s="41">
        <v>2.0</v>
      </c>
      <c r="E2228" s="42" t="str">
        <f t="shared" si="1"/>
        <v>33.3%</v>
      </c>
    </row>
    <row r="2229">
      <c r="A2229" s="40" t="s">
        <v>6279</v>
      </c>
      <c r="B2229" s="40" t="s">
        <v>9348</v>
      </c>
      <c r="C2229" s="41">
        <v>1.0</v>
      </c>
      <c r="D2229" s="41">
        <v>2.0</v>
      </c>
      <c r="E2229" s="42" t="str">
        <f t="shared" si="1"/>
        <v>33.3%</v>
      </c>
    </row>
    <row r="2230">
      <c r="A2230" s="40" t="s">
        <v>6279</v>
      </c>
      <c r="B2230" s="40" t="s">
        <v>9349</v>
      </c>
      <c r="C2230" s="41">
        <v>1.0</v>
      </c>
      <c r="D2230" s="41">
        <v>2.0</v>
      </c>
      <c r="E2230" s="42" t="str">
        <f t="shared" si="1"/>
        <v>33.3%</v>
      </c>
    </row>
    <row r="2231">
      <c r="A2231" s="40" t="s">
        <v>6279</v>
      </c>
      <c r="B2231" s="40" t="s">
        <v>9350</v>
      </c>
      <c r="C2231" s="41">
        <v>1.0</v>
      </c>
      <c r="D2231" s="41">
        <v>2.0</v>
      </c>
      <c r="E2231" s="42" t="str">
        <f t="shared" si="1"/>
        <v>33.3%</v>
      </c>
    </row>
    <row r="2232">
      <c r="A2232" s="40" t="s">
        <v>6279</v>
      </c>
      <c r="B2232" s="40" t="s">
        <v>9351</v>
      </c>
      <c r="C2232" s="41">
        <v>1.0</v>
      </c>
      <c r="D2232" s="41">
        <v>2.0</v>
      </c>
      <c r="E2232" s="42" t="str">
        <f t="shared" si="1"/>
        <v>33.3%</v>
      </c>
    </row>
    <row r="2233">
      <c r="A2233" s="40" t="s">
        <v>6279</v>
      </c>
      <c r="B2233" s="40" t="s">
        <v>9352</v>
      </c>
      <c r="C2233" s="41">
        <v>1.0</v>
      </c>
      <c r="D2233" s="41">
        <v>2.0</v>
      </c>
      <c r="E2233" s="42" t="str">
        <f t="shared" si="1"/>
        <v>33.3%</v>
      </c>
    </row>
    <row r="2234">
      <c r="A2234" s="40" t="s">
        <v>6279</v>
      </c>
      <c r="B2234" s="40" t="s">
        <v>9353</v>
      </c>
      <c r="C2234" s="41">
        <v>1.0</v>
      </c>
      <c r="D2234" s="41">
        <v>2.0</v>
      </c>
      <c r="E2234" s="42" t="str">
        <f t="shared" si="1"/>
        <v>33.3%</v>
      </c>
    </row>
    <row r="2235">
      <c r="A2235" s="40" t="s">
        <v>6279</v>
      </c>
      <c r="B2235" s="40" t="s">
        <v>9105</v>
      </c>
      <c r="C2235" s="41">
        <v>1.0</v>
      </c>
      <c r="D2235" s="41">
        <v>3.0</v>
      </c>
      <c r="E2235" s="42" t="str">
        <f t="shared" si="1"/>
        <v>25.0%</v>
      </c>
    </row>
    <row r="2236">
      <c r="A2236" s="40" t="s">
        <v>6279</v>
      </c>
      <c r="B2236" s="40" t="s">
        <v>9201</v>
      </c>
      <c r="C2236" s="41">
        <v>1.0</v>
      </c>
      <c r="D2236" s="41">
        <v>3.0</v>
      </c>
      <c r="E2236" s="42" t="str">
        <f t="shared" si="1"/>
        <v>25.0%</v>
      </c>
    </row>
    <row r="2237">
      <c r="A2237" s="40" t="s">
        <v>6279</v>
      </c>
      <c r="B2237" s="40" t="s">
        <v>9242</v>
      </c>
      <c r="C2237" s="41">
        <v>1.0</v>
      </c>
      <c r="D2237" s="41">
        <v>3.0</v>
      </c>
      <c r="E2237" s="42" t="str">
        <f t="shared" si="1"/>
        <v>25.0%</v>
      </c>
    </row>
    <row r="2238">
      <c r="A2238" s="40" t="s">
        <v>6279</v>
      </c>
      <c r="B2238" s="40" t="s">
        <v>9354</v>
      </c>
      <c r="C2238" s="41">
        <v>1.0</v>
      </c>
      <c r="D2238" s="41">
        <v>3.0</v>
      </c>
      <c r="E2238" s="42" t="str">
        <f t="shared" si="1"/>
        <v>25.0%</v>
      </c>
    </row>
    <row r="2239">
      <c r="A2239" s="40" t="s">
        <v>6279</v>
      </c>
      <c r="B2239" s="40" t="s">
        <v>9355</v>
      </c>
      <c r="C2239" s="41">
        <v>1.0</v>
      </c>
      <c r="D2239" s="41">
        <v>3.0</v>
      </c>
      <c r="E2239" s="42" t="str">
        <f t="shared" si="1"/>
        <v>25.0%</v>
      </c>
    </row>
    <row r="2240">
      <c r="A2240" s="40" t="s">
        <v>6279</v>
      </c>
      <c r="B2240" s="40" t="s">
        <v>9356</v>
      </c>
      <c r="C2240" s="41">
        <v>1.0</v>
      </c>
      <c r="D2240" s="41">
        <v>3.0</v>
      </c>
      <c r="E2240" s="42" t="str">
        <f t="shared" si="1"/>
        <v>25.0%</v>
      </c>
    </row>
    <row r="2241">
      <c r="A2241" s="40" t="s">
        <v>6279</v>
      </c>
      <c r="B2241" s="40" t="s">
        <v>9357</v>
      </c>
      <c r="C2241" s="41">
        <v>1.0</v>
      </c>
      <c r="D2241" s="41">
        <v>3.0</v>
      </c>
      <c r="E2241" s="42" t="str">
        <f t="shared" si="1"/>
        <v>25.0%</v>
      </c>
    </row>
    <row r="2242">
      <c r="A2242" s="40" t="s">
        <v>6279</v>
      </c>
      <c r="B2242" s="40" t="s">
        <v>9358</v>
      </c>
      <c r="C2242" s="41">
        <v>1.0</v>
      </c>
      <c r="D2242" s="41">
        <v>3.0</v>
      </c>
      <c r="E2242" s="42" t="str">
        <f t="shared" si="1"/>
        <v>25.0%</v>
      </c>
    </row>
    <row r="2243">
      <c r="A2243" s="40" t="s">
        <v>6279</v>
      </c>
      <c r="B2243" s="40" t="s">
        <v>9159</v>
      </c>
      <c r="C2243" s="41">
        <v>1.0</v>
      </c>
      <c r="D2243" s="41">
        <v>5.0</v>
      </c>
      <c r="E2243" s="42" t="str">
        <f t="shared" si="1"/>
        <v>16.7%</v>
      </c>
    </row>
    <row r="2244">
      <c r="A2244" s="40" t="s">
        <v>6279</v>
      </c>
      <c r="B2244" s="40" t="s">
        <v>9359</v>
      </c>
      <c r="C2244" s="41">
        <v>1.0</v>
      </c>
      <c r="D2244" s="41">
        <v>8.0</v>
      </c>
      <c r="E2244" s="42" t="str">
        <f t="shared" si="1"/>
        <v>11.1%</v>
      </c>
    </row>
    <row r="2245">
      <c r="A2245" s="40" t="s">
        <v>6279</v>
      </c>
      <c r="B2245" s="40" t="s">
        <v>8556</v>
      </c>
      <c r="C2245" s="41">
        <v>0.0</v>
      </c>
      <c r="D2245" s="41">
        <v>1.0</v>
      </c>
      <c r="E2245" s="42" t="str">
        <f t="shared" si="1"/>
        <v>0.0%</v>
      </c>
    </row>
    <row r="2246">
      <c r="A2246" s="40" t="s">
        <v>6279</v>
      </c>
      <c r="B2246" s="40" t="s">
        <v>8581</v>
      </c>
      <c r="C2246" s="41">
        <v>0.0</v>
      </c>
      <c r="D2246" s="41">
        <v>1.0</v>
      </c>
      <c r="E2246" s="42" t="str">
        <f t="shared" si="1"/>
        <v>0.0%</v>
      </c>
    </row>
    <row r="2247">
      <c r="A2247" s="40" t="s">
        <v>6279</v>
      </c>
      <c r="B2247" s="40" t="s">
        <v>8734</v>
      </c>
      <c r="C2247" s="41">
        <v>0.0</v>
      </c>
      <c r="D2247" s="41">
        <v>1.0</v>
      </c>
      <c r="E2247" s="42" t="str">
        <f t="shared" si="1"/>
        <v>0.0%</v>
      </c>
    </row>
    <row r="2248">
      <c r="A2248" s="40" t="s">
        <v>6279</v>
      </c>
      <c r="B2248" s="40" t="s">
        <v>9113</v>
      </c>
      <c r="C2248" s="41">
        <v>0.0</v>
      </c>
      <c r="D2248" s="41">
        <v>1.0</v>
      </c>
      <c r="E2248" s="42" t="str">
        <f t="shared" si="1"/>
        <v>0.0%</v>
      </c>
    </row>
    <row r="2249">
      <c r="A2249" s="40" t="s">
        <v>6279</v>
      </c>
      <c r="B2249" s="40" t="s">
        <v>9136</v>
      </c>
      <c r="C2249" s="41">
        <v>0.0</v>
      </c>
      <c r="D2249" s="41">
        <v>1.0</v>
      </c>
      <c r="E2249" s="42" t="str">
        <f t="shared" si="1"/>
        <v>0.0%</v>
      </c>
    </row>
    <row r="2250">
      <c r="A2250" s="40" t="s">
        <v>6279</v>
      </c>
      <c r="B2250" s="40" t="s">
        <v>9289</v>
      </c>
      <c r="C2250" s="41">
        <v>0.0</v>
      </c>
      <c r="D2250" s="41">
        <v>1.0</v>
      </c>
      <c r="E2250" s="42" t="str">
        <f t="shared" si="1"/>
        <v>0.0%</v>
      </c>
    </row>
    <row r="2251">
      <c r="A2251" s="40" t="s">
        <v>6279</v>
      </c>
      <c r="B2251" s="40" t="s">
        <v>9281</v>
      </c>
      <c r="C2251" s="41">
        <v>0.0</v>
      </c>
      <c r="D2251" s="41">
        <v>1.0</v>
      </c>
      <c r="E2251" s="42" t="str">
        <f t="shared" si="1"/>
        <v>0.0%</v>
      </c>
    </row>
    <row r="2252">
      <c r="A2252" s="40" t="s">
        <v>6279</v>
      </c>
      <c r="B2252" s="40" t="s">
        <v>9213</v>
      </c>
      <c r="C2252" s="41">
        <v>0.0</v>
      </c>
      <c r="D2252" s="41">
        <v>1.0</v>
      </c>
      <c r="E2252" s="42" t="str">
        <f t="shared" si="1"/>
        <v>0.0%</v>
      </c>
    </row>
    <row r="2253">
      <c r="A2253" s="40" t="s">
        <v>6279</v>
      </c>
      <c r="B2253" s="40" t="s">
        <v>9238</v>
      </c>
      <c r="C2253" s="41">
        <v>0.0</v>
      </c>
      <c r="D2253" s="41">
        <v>1.0</v>
      </c>
      <c r="E2253" s="42" t="str">
        <f t="shared" si="1"/>
        <v>0.0%</v>
      </c>
    </row>
    <row r="2254">
      <c r="A2254" s="40" t="s">
        <v>6279</v>
      </c>
      <c r="B2254" s="40" t="s">
        <v>9224</v>
      </c>
      <c r="C2254" s="41">
        <v>0.0</v>
      </c>
      <c r="D2254" s="41">
        <v>1.0</v>
      </c>
      <c r="E2254" s="42" t="str">
        <f t="shared" si="1"/>
        <v>0.0%</v>
      </c>
    </row>
    <row r="2255">
      <c r="A2255" s="40" t="s">
        <v>6279</v>
      </c>
      <c r="B2255" s="40" t="s">
        <v>9276</v>
      </c>
      <c r="C2255" s="41">
        <v>0.0</v>
      </c>
      <c r="D2255" s="41">
        <v>1.0</v>
      </c>
      <c r="E2255" s="42" t="str">
        <f t="shared" si="1"/>
        <v>0.0%</v>
      </c>
    </row>
    <row r="2256">
      <c r="A2256" s="40" t="s">
        <v>6279</v>
      </c>
      <c r="B2256" s="40" t="s">
        <v>9278</v>
      </c>
      <c r="C2256" s="41">
        <v>0.0</v>
      </c>
      <c r="D2256" s="41">
        <v>1.0</v>
      </c>
      <c r="E2256" s="42" t="str">
        <f t="shared" si="1"/>
        <v>0.0%</v>
      </c>
    </row>
    <row r="2257">
      <c r="A2257" s="40" t="s">
        <v>6279</v>
      </c>
      <c r="B2257" s="40" t="s">
        <v>9229</v>
      </c>
      <c r="C2257" s="41">
        <v>0.0</v>
      </c>
      <c r="D2257" s="41">
        <v>1.0</v>
      </c>
      <c r="E2257" s="42" t="str">
        <f t="shared" si="1"/>
        <v>0.0%</v>
      </c>
    </row>
    <row r="2258">
      <c r="A2258" s="40" t="s">
        <v>6279</v>
      </c>
      <c r="B2258" s="40" t="s">
        <v>9360</v>
      </c>
      <c r="C2258" s="41">
        <v>0.0</v>
      </c>
      <c r="D2258" s="41">
        <v>1.0</v>
      </c>
      <c r="E2258" s="42" t="str">
        <f t="shared" si="1"/>
        <v>0.0%</v>
      </c>
    </row>
    <row r="2259">
      <c r="A2259" s="40" t="s">
        <v>6279</v>
      </c>
      <c r="B2259" s="40" t="s">
        <v>9361</v>
      </c>
      <c r="C2259" s="41">
        <v>0.0</v>
      </c>
      <c r="D2259" s="41">
        <v>1.0</v>
      </c>
      <c r="E2259" s="42" t="str">
        <f t="shared" si="1"/>
        <v>0.0%</v>
      </c>
    </row>
    <row r="2260">
      <c r="A2260" s="40" t="s">
        <v>6279</v>
      </c>
      <c r="B2260" s="40" t="s">
        <v>9362</v>
      </c>
      <c r="C2260" s="41">
        <v>0.0</v>
      </c>
      <c r="D2260" s="41">
        <v>1.0</v>
      </c>
      <c r="E2260" s="42" t="str">
        <f t="shared" si="1"/>
        <v>0.0%</v>
      </c>
    </row>
    <row r="2261">
      <c r="A2261" s="40" t="s">
        <v>6279</v>
      </c>
      <c r="B2261" s="40" t="s">
        <v>9363</v>
      </c>
      <c r="C2261" s="41">
        <v>0.0</v>
      </c>
      <c r="D2261" s="41">
        <v>1.0</v>
      </c>
      <c r="E2261" s="42" t="str">
        <f t="shared" si="1"/>
        <v>0.0%</v>
      </c>
    </row>
    <row r="2262">
      <c r="A2262" s="40" t="s">
        <v>6279</v>
      </c>
      <c r="B2262" s="40" t="s">
        <v>9364</v>
      </c>
      <c r="C2262" s="41">
        <v>0.0</v>
      </c>
      <c r="D2262" s="41">
        <v>1.0</v>
      </c>
      <c r="E2262" s="42" t="str">
        <f t="shared" si="1"/>
        <v>0.0%</v>
      </c>
    </row>
    <row r="2263">
      <c r="A2263" s="40" t="s">
        <v>6279</v>
      </c>
      <c r="B2263" s="40" t="s">
        <v>9365</v>
      </c>
      <c r="C2263" s="41">
        <v>0.0</v>
      </c>
      <c r="D2263" s="41">
        <v>1.0</v>
      </c>
      <c r="E2263" s="42" t="str">
        <f t="shared" si="1"/>
        <v>0.0%</v>
      </c>
    </row>
    <row r="2264">
      <c r="A2264" s="40" t="s">
        <v>6279</v>
      </c>
      <c r="B2264" s="40" t="s">
        <v>9366</v>
      </c>
      <c r="C2264" s="41">
        <v>0.0</v>
      </c>
      <c r="D2264" s="41">
        <v>1.0</v>
      </c>
      <c r="E2264" s="42" t="str">
        <f t="shared" si="1"/>
        <v>0.0%</v>
      </c>
    </row>
    <row r="2265">
      <c r="A2265" s="40" t="s">
        <v>6279</v>
      </c>
      <c r="B2265" s="40" t="s">
        <v>9367</v>
      </c>
      <c r="C2265" s="41">
        <v>0.0</v>
      </c>
      <c r="D2265" s="41">
        <v>1.0</v>
      </c>
      <c r="E2265" s="42" t="str">
        <f t="shared" si="1"/>
        <v>0.0%</v>
      </c>
    </row>
    <row r="2266">
      <c r="A2266" s="40" t="s">
        <v>6279</v>
      </c>
      <c r="B2266" s="40" t="s">
        <v>9368</v>
      </c>
      <c r="C2266" s="41">
        <v>0.0</v>
      </c>
      <c r="D2266" s="41">
        <v>1.0</v>
      </c>
      <c r="E2266" s="42" t="str">
        <f t="shared" si="1"/>
        <v>0.0%</v>
      </c>
    </row>
    <row r="2267">
      <c r="A2267" s="40" t="s">
        <v>6279</v>
      </c>
      <c r="B2267" s="40" t="s">
        <v>9369</v>
      </c>
      <c r="C2267" s="41">
        <v>0.0</v>
      </c>
      <c r="D2267" s="41">
        <v>1.0</v>
      </c>
      <c r="E2267" s="42" t="str">
        <f t="shared" si="1"/>
        <v>0.0%</v>
      </c>
    </row>
    <row r="2268">
      <c r="A2268" s="40" t="s">
        <v>6279</v>
      </c>
      <c r="B2268" s="40" t="s">
        <v>9370</v>
      </c>
      <c r="C2268" s="41">
        <v>0.0</v>
      </c>
      <c r="D2268" s="41">
        <v>1.0</v>
      </c>
      <c r="E2268" s="42" t="str">
        <f t="shared" si="1"/>
        <v>0.0%</v>
      </c>
    </row>
    <row r="2269">
      <c r="A2269" s="40" t="s">
        <v>6279</v>
      </c>
      <c r="B2269" s="40" t="s">
        <v>9371</v>
      </c>
      <c r="C2269" s="41">
        <v>0.0</v>
      </c>
      <c r="D2269" s="41">
        <v>1.0</v>
      </c>
      <c r="E2269" s="42" t="str">
        <f t="shared" si="1"/>
        <v>0.0%</v>
      </c>
    </row>
    <row r="2270">
      <c r="A2270" s="40" t="s">
        <v>6279</v>
      </c>
      <c r="B2270" s="40" t="s">
        <v>9372</v>
      </c>
      <c r="C2270" s="41">
        <v>0.0</v>
      </c>
      <c r="D2270" s="41">
        <v>1.0</v>
      </c>
      <c r="E2270" s="42" t="str">
        <f t="shared" si="1"/>
        <v>0.0%</v>
      </c>
    </row>
    <row r="2271">
      <c r="A2271" s="40" t="s">
        <v>6279</v>
      </c>
      <c r="B2271" s="40" t="s">
        <v>8641</v>
      </c>
      <c r="C2271" s="41">
        <v>0.0</v>
      </c>
      <c r="D2271" s="41">
        <v>2.0</v>
      </c>
      <c r="E2271" s="42" t="str">
        <f t="shared" si="1"/>
        <v>0.0%</v>
      </c>
    </row>
    <row r="2272">
      <c r="A2272" s="40" t="s">
        <v>6279</v>
      </c>
      <c r="B2272" s="40" t="s">
        <v>8828</v>
      </c>
      <c r="C2272" s="41">
        <v>0.0</v>
      </c>
      <c r="D2272" s="41">
        <v>2.0</v>
      </c>
      <c r="E2272" s="42" t="str">
        <f t="shared" si="1"/>
        <v>0.0%</v>
      </c>
    </row>
    <row r="2273">
      <c r="A2273" s="40" t="s">
        <v>6279</v>
      </c>
      <c r="B2273" s="40" t="s">
        <v>9265</v>
      </c>
      <c r="C2273" s="41">
        <v>0.0</v>
      </c>
      <c r="D2273" s="41">
        <v>2.0</v>
      </c>
      <c r="E2273" s="42" t="str">
        <f t="shared" si="1"/>
        <v>0.0%</v>
      </c>
    </row>
    <row r="2274">
      <c r="A2274" s="40" t="s">
        <v>6279</v>
      </c>
      <c r="B2274" s="40" t="s">
        <v>9373</v>
      </c>
      <c r="C2274" s="41">
        <v>0.0</v>
      </c>
      <c r="D2274" s="41">
        <v>2.0</v>
      </c>
      <c r="E2274" s="42" t="str">
        <f t="shared" si="1"/>
        <v>0.0%</v>
      </c>
    </row>
    <row r="2275">
      <c r="A2275" s="40" t="s">
        <v>6279</v>
      </c>
      <c r="B2275" s="40" t="s">
        <v>9374</v>
      </c>
      <c r="C2275" s="41">
        <v>0.0</v>
      </c>
      <c r="D2275" s="41">
        <v>2.0</v>
      </c>
      <c r="E2275" s="42" t="str">
        <f t="shared" si="1"/>
        <v>0.0%</v>
      </c>
    </row>
    <row r="2276">
      <c r="A2276" s="40" t="s">
        <v>6279</v>
      </c>
      <c r="B2276" s="40" t="s">
        <v>9375</v>
      </c>
      <c r="C2276" s="41">
        <v>0.0</v>
      </c>
      <c r="D2276" s="41">
        <v>2.0</v>
      </c>
      <c r="E2276" s="42" t="str">
        <f t="shared" si="1"/>
        <v>0.0%</v>
      </c>
    </row>
    <row r="2277">
      <c r="A2277" s="40" t="s">
        <v>6279</v>
      </c>
      <c r="B2277" s="40" t="s">
        <v>9376</v>
      </c>
      <c r="C2277" s="41">
        <v>0.0</v>
      </c>
      <c r="D2277" s="41">
        <v>2.0</v>
      </c>
      <c r="E2277" s="42" t="str">
        <f t="shared" si="1"/>
        <v>0.0%</v>
      </c>
    </row>
    <row r="2278">
      <c r="A2278" s="40" t="s">
        <v>6279</v>
      </c>
      <c r="B2278" s="40" t="s">
        <v>9377</v>
      </c>
      <c r="C2278" s="41">
        <v>0.0</v>
      </c>
      <c r="D2278" s="41">
        <v>2.0</v>
      </c>
      <c r="E2278" s="42" t="str">
        <f t="shared" si="1"/>
        <v>0.0%</v>
      </c>
    </row>
    <row r="2279">
      <c r="A2279" s="40" t="s">
        <v>6279</v>
      </c>
      <c r="B2279" s="40" t="s">
        <v>8899</v>
      </c>
      <c r="C2279" s="41">
        <v>0.0</v>
      </c>
      <c r="D2279" s="41">
        <v>3.0</v>
      </c>
      <c r="E2279" s="42" t="str">
        <f t="shared" si="1"/>
        <v>0.0%</v>
      </c>
    </row>
    <row r="2280">
      <c r="A2280" s="40" t="s">
        <v>6279</v>
      </c>
      <c r="B2280" s="40" t="s">
        <v>8933</v>
      </c>
      <c r="C2280" s="41">
        <v>0.0</v>
      </c>
      <c r="D2280" s="41">
        <v>3.0</v>
      </c>
      <c r="E2280" s="42" t="str">
        <f t="shared" si="1"/>
        <v>0.0%</v>
      </c>
    </row>
    <row r="2281">
      <c r="A2281" s="40" t="s">
        <v>6279</v>
      </c>
      <c r="B2281" s="40" t="s">
        <v>9277</v>
      </c>
      <c r="C2281" s="41">
        <v>0.0</v>
      </c>
      <c r="D2281" s="41">
        <v>3.0</v>
      </c>
      <c r="E2281" s="42" t="str">
        <f t="shared" si="1"/>
        <v>0.0%</v>
      </c>
    </row>
    <row r="2282">
      <c r="A2282" s="40" t="s">
        <v>6279</v>
      </c>
      <c r="B2282" s="40" t="s">
        <v>9378</v>
      </c>
      <c r="C2282" s="41">
        <v>0.0</v>
      </c>
      <c r="D2282" s="41">
        <v>3.0</v>
      </c>
      <c r="E2282" s="42" t="str">
        <f t="shared" si="1"/>
        <v>0.0%</v>
      </c>
    </row>
    <row r="2283">
      <c r="A2283" s="40" t="s">
        <v>6279</v>
      </c>
      <c r="B2283" s="40" t="s">
        <v>9379</v>
      </c>
      <c r="C2283" s="41">
        <v>0.0</v>
      </c>
      <c r="D2283" s="41">
        <v>3.0</v>
      </c>
      <c r="E2283" s="42" t="str">
        <f t="shared" si="1"/>
        <v>0.0%</v>
      </c>
    </row>
    <row r="2284">
      <c r="A2284" s="40" t="s">
        <v>6279</v>
      </c>
      <c r="B2284" s="40" t="s">
        <v>9380</v>
      </c>
      <c r="C2284" s="41">
        <v>0.0</v>
      </c>
      <c r="D2284" s="41">
        <v>3.0</v>
      </c>
      <c r="E2284" s="42" t="str">
        <f t="shared" si="1"/>
        <v>0.0%</v>
      </c>
    </row>
    <row r="2285">
      <c r="A2285" s="40" t="s">
        <v>6279</v>
      </c>
      <c r="B2285" s="40" t="s">
        <v>9381</v>
      </c>
      <c r="C2285" s="41">
        <v>0.0</v>
      </c>
      <c r="D2285" s="41">
        <v>4.0</v>
      </c>
      <c r="E2285" s="42" t="str">
        <f t="shared" si="1"/>
        <v>0.0%</v>
      </c>
    </row>
    <row r="2286">
      <c r="A2286" s="40" t="s">
        <v>6279</v>
      </c>
      <c r="B2286" s="40" t="s">
        <v>9382</v>
      </c>
      <c r="C2286" s="41">
        <v>0.0</v>
      </c>
      <c r="D2286" s="41">
        <v>4.0</v>
      </c>
      <c r="E2286" s="42" t="str">
        <f t="shared" si="1"/>
        <v>0.0%</v>
      </c>
    </row>
    <row r="2287">
      <c r="A2287" s="40" t="s">
        <v>6279</v>
      </c>
      <c r="B2287" s="40" t="s">
        <v>9383</v>
      </c>
      <c r="C2287" s="41">
        <v>0.0</v>
      </c>
      <c r="D2287" s="41">
        <v>5.0</v>
      </c>
      <c r="E2287" s="42" t="str">
        <f t="shared" si="1"/>
        <v>0.0%</v>
      </c>
    </row>
    <row r="2288">
      <c r="A2288" s="40" t="s">
        <v>6279</v>
      </c>
      <c r="B2288" s="40" t="s">
        <v>9384</v>
      </c>
      <c r="C2288" s="41">
        <v>0.0</v>
      </c>
      <c r="D2288" s="41">
        <v>6.0</v>
      </c>
      <c r="E2288" s="42" t="str">
        <f t="shared" si="1"/>
        <v>0.0%</v>
      </c>
    </row>
    <row r="2289">
      <c r="A2289" s="40" t="s">
        <v>6619</v>
      </c>
      <c r="B2289" s="40" t="s">
        <v>8530</v>
      </c>
      <c r="C2289" s="41">
        <v>16.0</v>
      </c>
      <c r="D2289" s="41">
        <v>6.0</v>
      </c>
      <c r="E2289" s="42" t="str">
        <f t="shared" si="1"/>
        <v>72.7%</v>
      </c>
    </row>
    <row r="2290">
      <c r="A2290" s="40" t="s">
        <v>6619</v>
      </c>
      <c r="B2290" s="40" t="s">
        <v>8496</v>
      </c>
      <c r="C2290" s="41">
        <v>14.0</v>
      </c>
      <c r="D2290" s="41">
        <v>10.0</v>
      </c>
      <c r="E2290" s="42" t="str">
        <f t="shared" si="1"/>
        <v>58.3%</v>
      </c>
    </row>
    <row r="2291">
      <c r="A2291" s="40" t="s">
        <v>6619</v>
      </c>
      <c r="B2291" s="40" t="s">
        <v>8808</v>
      </c>
      <c r="C2291" s="41">
        <v>11.0</v>
      </c>
      <c r="D2291" s="41">
        <v>4.0</v>
      </c>
      <c r="E2291" s="42" t="str">
        <f t="shared" si="1"/>
        <v>73.3%</v>
      </c>
    </row>
    <row r="2292">
      <c r="A2292" s="40" t="s">
        <v>6619</v>
      </c>
      <c r="B2292" s="40" t="s">
        <v>9350</v>
      </c>
      <c r="C2292" s="41">
        <v>10.0</v>
      </c>
      <c r="D2292" s="41">
        <v>6.0</v>
      </c>
      <c r="E2292" s="42" t="str">
        <f t="shared" si="1"/>
        <v>62.5%</v>
      </c>
    </row>
    <row r="2293">
      <c r="A2293" s="40" t="s">
        <v>6619</v>
      </c>
      <c r="B2293" s="40" t="s">
        <v>8682</v>
      </c>
      <c r="C2293" s="41">
        <v>10.0</v>
      </c>
      <c r="D2293" s="41">
        <v>10.0</v>
      </c>
      <c r="E2293" s="42" t="str">
        <f t="shared" si="1"/>
        <v>50.0%</v>
      </c>
    </row>
    <row r="2294">
      <c r="A2294" s="40" t="s">
        <v>6619</v>
      </c>
      <c r="B2294" s="40" t="s">
        <v>9144</v>
      </c>
      <c r="C2294" s="41">
        <v>9.0</v>
      </c>
      <c r="D2294" s="41">
        <v>3.0</v>
      </c>
      <c r="E2294" s="42" t="str">
        <f t="shared" si="1"/>
        <v>75.0%</v>
      </c>
    </row>
    <row r="2295">
      <c r="A2295" s="40" t="s">
        <v>6619</v>
      </c>
      <c r="B2295" s="40" t="s">
        <v>8491</v>
      </c>
      <c r="C2295" s="41">
        <v>9.0</v>
      </c>
      <c r="D2295" s="41">
        <v>5.0</v>
      </c>
      <c r="E2295" s="42" t="str">
        <f t="shared" si="1"/>
        <v>64.3%</v>
      </c>
    </row>
    <row r="2296">
      <c r="A2296" s="40" t="s">
        <v>6619</v>
      </c>
      <c r="B2296" s="40" t="s">
        <v>9152</v>
      </c>
      <c r="C2296" s="41">
        <v>9.0</v>
      </c>
      <c r="D2296" s="41">
        <v>5.0</v>
      </c>
      <c r="E2296" s="42" t="str">
        <f t="shared" si="1"/>
        <v>64.3%</v>
      </c>
    </row>
    <row r="2297">
      <c r="A2297" s="40" t="s">
        <v>6619</v>
      </c>
      <c r="B2297" s="40" t="s">
        <v>8773</v>
      </c>
      <c r="C2297" s="41">
        <v>9.0</v>
      </c>
      <c r="D2297" s="41">
        <v>10.0</v>
      </c>
      <c r="E2297" s="42" t="str">
        <f t="shared" si="1"/>
        <v>47.4%</v>
      </c>
    </row>
    <row r="2298">
      <c r="A2298" s="40" t="s">
        <v>6619</v>
      </c>
      <c r="B2298" s="40" t="s">
        <v>8826</v>
      </c>
      <c r="C2298" s="41">
        <v>8.0</v>
      </c>
      <c r="D2298" s="41">
        <v>9.0</v>
      </c>
      <c r="E2298" s="42" t="str">
        <f t="shared" si="1"/>
        <v>47.1%</v>
      </c>
    </row>
    <row r="2299">
      <c r="A2299" s="40" t="s">
        <v>6619</v>
      </c>
      <c r="B2299" s="40" t="s">
        <v>8490</v>
      </c>
      <c r="C2299" s="41">
        <v>8.0</v>
      </c>
      <c r="D2299" s="41">
        <v>12.0</v>
      </c>
      <c r="E2299" s="42" t="str">
        <f t="shared" si="1"/>
        <v>40.0%</v>
      </c>
    </row>
    <row r="2300">
      <c r="A2300" s="40" t="s">
        <v>6619</v>
      </c>
      <c r="B2300" s="40" t="s">
        <v>8545</v>
      </c>
      <c r="C2300" s="41">
        <v>7.0</v>
      </c>
      <c r="D2300" s="41">
        <v>1.0</v>
      </c>
      <c r="E2300" s="42" t="str">
        <f t="shared" si="1"/>
        <v>87.5%</v>
      </c>
    </row>
    <row r="2301">
      <c r="A2301" s="40" t="s">
        <v>6619</v>
      </c>
      <c r="B2301" s="40" t="s">
        <v>8495</v>
      </c>
      <c r="C2301" s="41">
        <v>7.0</v>
      </c>
      <c r="D2301" s="41">
        <v>4.0</v>
      </c>
      <c r="E2301" s="42" t="str">
        <f t="shared" si="1"/>
        <v>63.6%</v>
      </c>
    </row>
    <row r="2302">
      <c r="A2302" s="40" t="s">
        <v>6619</v>
      </c>
      <c r="B2302" s="40" t="s">
        <v>9101</v>
      </c>
      <c r="C2302" s="41">
        <v>7.0</v>
      </c>
      <c r="D2302" s="41">
        <v>4.0</v>
      </c>
      <c r="E2302" s="42" t="str">
        <f t="shared" si="1"/>
        <v>63.6%</v>
      </c>
    </row>
    <row r="2303">
      <c r="A2303" s="40" t="s">
        <v>6619</v>
      </c>
      <c r="B2303" s="40" t="s">
        <v>9094</v>
      </c>
      <c r="C2303" s="41">
        <v>7.0</v>
      </c>
      <c r="D2303" s="41">
        <v>6.0</v>
      </c>
      <c r="E2303" s="42" t="str">
        <f t="shared" si="1"/>
        <v>53.8%</v>
      </c>
    </row>
    <row r="2304">
      <c r="A2304" s="40" t="s">
        <v>6619</v>
      </c>
      <c r="B2304" s="40" t="s">
        <v>9385</v>
      </c>
      <c r="C2304" s="41">
        <v>6.0</v>
      </c>
      <c r="D2304" s="41">
        <v>2.0</v>
      </c>
      <c r="E2304" s="42" t="str">
        <f t="shared" si="1"/>
        <v>75.0%</v>
      </c>
    </row>
    <row r="2305">
      <c r="A2305" s="40" t="s">
        <v>6619</v>
      </c>
      <c r="B2305" s="40" t="s">
        <v>9315</v>
      </c>
      <c r="C2305" s="41">
        <v>6.0</v>
      </c>
      <c r="D2305" s="41">
        <v>6.0</v>
      </c>
      <c r="E2305" s="42" t="str">
        <f t="shared" si="1"/>
        <v>50.0%</v>
      </c>
    </row>
    <row r="2306">
      <c r="A2306" s="40" t="s">
        <v>6619</v>
      </c>
      <c r="B2306" s="40" t="s">
        <v>9161</v>
      </c>
      <c r="C2306" s="41">
        <v>6.0</v>
      </c>
      <c r="D2306" s="41">
        <v>9.0</v>
      </c>
      <c r="E2306" s="42" t="str">
        <f t="shared" si="1"/>
        <v>40.0%</v>
      </c>
    </row>
    <row r="2307">
      <c r="A2307" s="40" t="s">
        <v>6619</v>
      </c>
      <c r="B2307" s="40" t="s">
        <v>9320</v>
      </c>
      <c r="C2307" s="41">
        <v>6.0</v>
      </c>
      <c r="D2307" s="41">
        <v>10.0</v>
      </c>
      <c r="E2307" s="42" t="str">
        <f t="shared" si="1"/>
        <v>37.5%</v>
      </c>
    </row>
    <row r="2308">
      <c r="A2308" s="40" t="s">
        <v>6619</v>
      </c>
      <c r="B2308" s="40" t="s">
        <v>8907</v>
      </c>
      <c r="C2308" s="41">
        <v>5.0</v>
      </c>
      <c r="D2308" s="41">
        <v>0.0</v>
      </c>
      <c r="E2308" s="42" t="str">
        <f t="shared" si="1"/>
        <v>100.0%</v>
      </c>
    </row>
    <row r="2309">
      <c r="A2309" s="40" t="s">
        <v>6619</v>
      </c>
      <c r="B2309" s="40" t="s">
        <v>8698</v>
      </c>
      <c r="C2309" s="41">
        <v>5.0</v>
      </c>
      <c r="D2309" s="41">
        <v>1.0</v>
      </c>
      <c r="E2309" s="42" t="str">
        <f t="shared" si="1"/>
        <v>83.3%</v>
      </c>
    </row>
    <row r="2310">
      <c r="A2310" s="40" t="s">
        <v>6619</v>
      </c>
      <c r="B2310" s="40" t="s">
        <v>8899</v>
      </c>
      <c r="C2310" s="41">
        <v>5.0</v>
      </c>
      <c r="D2310" s="41">
        <v>2.0</v>
      </c>
      <c r="E2310" s="42" t="str">
        <f t="shared" si="1"/>
        <v>71.4%</v>
      </c>
    </row>
    <row r="2311">
      <c r="A2311" s="40" t="s">
        <v>6619</v>
      </c>
      <c r="B2311" s="40" t="s">
        <v>9344</v>
      </c>
      <c r="C2311" s="41">
        <v>5.0</v>
      </c>
      <c r="D2311" s="41">
        <v>2.0</v>
      </c>
      <c r="E2311" s="42" t="str">
        <f t="shared" si="1"/>
        <v>71.4%</v>
      </c>
    </row>
    <row r="2312">
      <c r="A2312" s="40" t="s">
        <v>6619</v>
      </c>
      <c r="B2312" s="40" t="s">
        <v>9296</v>
      </c>
      <c r="C2312" s="41">
        <v>5.0</v>
      </c>
      <c r="D2312" s="41">
        <v>3.0</v>
      </c>
      <c r="E2312" s="42" t="str">
        <f t="shared" si="1"/>
        <v>62.5%</v>
      </c>
    </row>
    <row r="2313">
      <c r="A2313" s="40" t="s">
        <v>6619</v>
      </c>
      <c r="B2313" s="40" t="s">
        <v>8993</v>
      </c>
      <c r="C2313" s="41">
        <v>5.0</v>
      </c>
      <c r="D2313" s="41">
        <v>4.0</v>
      </c>
      <c r="E2313" s="42" t="str">
        <f t="shared" si="1"/>
        <v>55.6%</v>
      </c>
    </row>
    <row r="2314">
      <c r="A2314" s="40" t="s">
        <v>6619</v>
      </c>
      <c r="B2314" s="40" t="s">
        <v>9345</v>
      </c>
      <c r="C2314" s="41">
        <v>5.0</v>
      </c>
      <c r="D2314" s="41">
        <v>4.0</v>
      </c>
      <c r="E2314" s="42" t="str">
        <f t="shared" si="1"/>
        <v>55.6%</v>
      </c>
    </row>
    <row r="2315">
      <c r="A2315" s="40" t="s">
        <v>6619</v>
      </c>
      <c r="B2315" s="40" t="s">
        <v>9250</v>
      </c>
      <c r="C2315" s="41">
        <v>5.0</v>
      </c>
      <c r="D2315" s="41">
        <v>12.0</v>
      </c>
      <c r="E2315" s="42" t="str">
        <f t="shared" si="1"/>
        <v>29.4%</v>
      </c>
    </row>
    <row r="2316">
      <c r="A2316" s="40" t="s">
        <v>6619</v>
      </c>
      <c r="B2316" s="40" t="s">
        <v>8881</v>
      </c>
      <c r="C2316" s="41">
        <v>5.0</v>
      </c>
      <c r="D2316" s="41">
        <v>15.0</v>
      </c>
      <c r="E2316" s="42" t="str">
        <f t="shared" si="1"/>
        <v>25.0%</v>
      </c>
    </row>
    <row r="2317">
      <c r="A2317" s="40" t="s">
        <v>6619</v>
      </c>
      <c r="B2317" s="40" t="s">
        <v>9306</v>
      </c>
      <c r="C2317" s="41">
        <v>4.0</v>
      </c>
      <c r="D2317" s="41">
        <v>0.0</v>
      </c>
      <c r="E2317" s="42" t="str">
        <f t="shared" si="1"/>
        <v>100.0%</v>
      </c>
    </row>
    <row r="2318">
      <c r="A2318" s="40" t="s">
        <v>6619</v>
      </c>
      <c r="B2318" s="40" t="s">
        <v>9386</v>
      </c>
      <c r="C2318" s="41">
        <v>4.0</v>
      </c>
      <c r="D2318" s="41">
        <v>0.0</v>
      </c>
      <c r="E2318" s="42" t="str">
        <f t="shared" si="1"/>
        <v>100.0%</v>
      </c>
    </row>
    <row r="2319">
      <c r="A2319" s="40" t="s">
        <v>6619</v>
      </c>
      <c r="B2319" s="40" t="s">
        <v>9387</v>
      </c>
      <c r="C2319" s="41">
        <v>4.0</v>
      </c>
      <c r="D2319" s="41">
        <v>0.0</v>
      </c>
      <c r="E2319" s="42" t="str">
        <f t="shared" si="1"/>
        <v>100.0%</v>
      </c>
    </row>
    <row r="2320">
      <c r="A2320" s="40" t="s">
        <v>6619</v>
      </c>
      <c r="B2320" s="40" t="s">
        <v>8520</v>
      </c>
      <c r="C2320" s="41">
        <v>4.0</v>
      </c>
      <c r="D2320" s="41">
        <v>1.0</v>
      </c>
      <c r="E2320" s="42" t="str">
        <f t="shared" si="1"/>
        <v>80.0%</v>
      </c>
    </row>
    <row r="2321">
      <c r="A2321" s="40" t="s">
        <v>6619</v>
      </c>
      <c r="B2321" s="40" t="s">
        <v>8853</v>
      </c>
      <c r="C2321" s="41">
        <v>4.0</v>
      </c>
      <c r="D2321" s="41">
        <v>1.0</v>
      </c>
      <c r="E2321" s="42" t="str">
        <f t="shared" si="1"/>
        <v>80.0%</v>
      </c>
    </row>
    <row r="2322">
      <c r="A2322" s="40" t="s">
        <v>6619</v>
      </c>
      <c r="B2322" s="40" t="s">
        <v>8888</v>
      </c>
      <c r="C2322" s="41">
        <v>4.0</v>
      </c>
      <c r="D2322" s="41">
        <v>1.0</v>
      </c>
      <c r="E2322" s="42" t="str">
        <f t="shared" si="1"/>
        <v>80.0%</v>
      </c>
    </row>
    <row r="2323">
      <c r="A2323" s="40" t="s">
        <v>6619</v>
      </c>
      <c r="B2323" s="40" t="s">
        <v>9108</v>
      </c>
      <c r="C2323" s="41">
        <v>4.0</v>
      </c>
      <c r="D2323" s="41">
        <v>1.0</v>
      </c>
      <c r="E2323" s="42" t="str">
        <f t="shared" si="1"/>
        <v>80.0%</v>
      </c>
    </row>
    <row r="2324">
      <c r="A2324" s="40" t="s">
        <v>6619</v>
      </c>
      <c r="B2324" s="40" t="s">
        <v>9368</v>
      </c>
      <c r="C2324" s="41">
        <v>4.0</v>
      </c>
      <c r="D2324" s="41">
        <v>1.0</v>
      </c>
      <c r="E2324" s="42" t="str">
        <f t="shared" si="1"/>
        <v>80.0%</v>
      </c>
    </row>
    <row r="2325">
      <c r="A2325" s="40" t="s">
        <v>6619</v>
      </c>
      <c r="B2325" s="40" t="s">
        <v>9388</v>
      </c>
      <c r="C2325" s="41">
        <v>4.0</v>
      </c>
      <c r="D2325" s="41">
        <v>1.0</v>
      </c>
      <c r="E2325" s="42" t="str">
        <f t="shared" si="1"/>
        <v>80.0%</v>
      </c>
    </row>
    <row r="2326">
      <c r="A2326" s="40" t="s">
        <v>6619</v>
      </c>
      <c r="B2326" s="40" t="s">
        <v>9389</v>
      </c>
      <c r="C2326" s="41">
        <v>4.0</v>
      </c>
      <c r="D2326" s="41">
        <v>1.0</v>
      </c>
      <c r="E2326" s="42" t="str">
        <f t="shared" si="1"/>
        <v>80.0%</v>
      </c>
    </row>
    <row r="2327">
      <c r="A2327" s="40" t="s">
        <v>6619</v>
      </c>
      <c r="B2327" s="40" t="s">
        <v>9251</v>
      </c>
      <c r="C2327" s="41">
        <v>4.0</v>
      </c>
      <c r="D2327" s="41">
        <v>2.0</v>
      </c>
      <c r="E2327" s="42" t="str">
        <f t="shared" si="1"/>
        <v>66.7%</v>
      </c>
    </row>
    <row r="2328">
      <c r="A2328" s="40" t="s">
        <v>6619</v>
      </c>
      <c r="B2328" s="40" t="s">
        <v>9384</v>
      </c>
      <c r="C2328" s="41">
        <v>4.0</v>
      </c>
      <c r="D2328" s="41">
        <v>2.0</v>
      </c>
      <c r="E2328" s="42" t="str">
        <f t="shared" si="1"/>
        <v>66.7%</v>
      </c>
    </row>
    <row r="2329">
      <c r="A2329" s="40" t="s">
        <v>6619</v>
      </c>
      <c r="B2329" s="40" t="s">
        <v>9390</v>
      </c>
      <c r="C2329" s="41">
        <v>4.0</v>
      </c>
      <c r="D2329" s="41">
        <v>2.0</v>
      </c>
      <c r="E2329" s="42" t="str">
        <f t="shared" si="1"/>
        <v>66.7%</v>
      </c>
    </row>
    <row r="2330">
      <c r="A2330" s="40" t="s">
        <v>6619</v>
      </c>
      <c r="B2330" s="40" t="s">
        <v>9284</v>
      </c>
      <c r="C2330" s="41">
        <v>4.0</v>
      </c>
      <c r="D2330" s="41">
        <v>3.0</v>
      </c>
      <c r="E2330" s="42" t="str">
        <f t="shared" si="1"/>
        <v>57.1%</v>
      </c>
    </row>
    <row r="2331">
      <c r="A2331" s="40" t="s">
        <v>6619</v>
      </c>
      <c r="B2331" s="40" t="s">
        <v>9352</v>
      </c>
      <c r="C2331" s="41">
        <v>4.0</v>
      </c>
      <c r="D2331" s="41">
        <v>3.0</v>
      </c>
      <c r="E2331" s="42" t="str">
        <f t="shared" si="1"/>
        <v>57.1%</v>
      </c>
    </row>
    <row r="2332">
      <c r="A2332" s="40" t="s">
        <v>6619</v>
      </c>
      <c r="B2332" s="40" t="s">
        <v>9145</v>
      </c>
      <c r="C2332" s="41">
        <v>4.0</v>
      </c>
      <c r="D2332" s="41">
        <v>5.0</v>
      </c>
      <c r="E2332" s="42" t="str">
        <f t="shared" si="1"/>
        <v>44.4%</v>
      </c>
    </row>
    <row r="2333">
      <c r="A2333" s="40" t="s">
        <v>6619</v>
      </c>
      <c r="B2333" s="40" t="s">
        <v>9357</v>
      </c>
      <c r="C2333" s="41">
        <v>4.0</v>
      </c>
      <c r="D2333" s="41">
        <v>11.0</v>
      </c>
      <c r="E2333" s="42" t="str">
        <f t="shared" si="1"/>
        <v>26.7%</v>
      </c>
    </row>
    <row r="2334">
      <c r="A2334" s="40" t="s">
        <v>6619</v>
      </c>
      <c r="B2334" s="40" t="s">
        <v>9391</v>
      </c>
      <c r="C2334" s="41">
        <v>3.0</v>
      </c>
      <c r="D2334" s="41">
        <v>0.0</v>
      </c>
      <c r="E2334" s="42" t="str">
        <f t="shared" si="1"/>
        <v>100.0%</v>
      </c>
    </row>
    <row r="2335">
      <c r="A2335" s="40" t="s">
        <v>6619</v>
      </c>
      <c r="B2335" s="40" t="s">
        <v>9392</v>
      </c>
      <c r="C2335" s="41">
        <v>3.0</v>
      </c>
      <c r="D2335" s="41">
        <v>0.0</v>
      </c>
      <c r="E2335" s="42" t="str">
        <f t="shared" si="1"/>
        <v>100.0%</v>
      </c>
    </row>
    <row r="2336">
      <c r="A2336" s="40" t="s">
        <v>6619</v>
      </c>
      <c r="B2336" s="40" t="s">
        <v>9393</v>
      </c>
      <c r="C2336" s="41">
        <v>3.0</v>
      </c>
      <c r="D2336" s="41">
        <v>0.0</v>
      </c>
      <c r="E2336" s="42" t="str">
        <f t="shared" si="1"/>
        <v>100.0%</v>
      </c>
    </row>
    <row r="2337">
      <c r="A2337" s="40" t="s">
        <v>6619</v>
      </c>
      <c r="B2337" s="40" t="s">
        <v>8500</v>
      </c>
      <c r="C2337" s="41">
        <v>3.0</v>
      </c>
      <c r="D2337" s="41">
        <v>1.0</v>
      </c>
      <c r="E2337" s="42" t="str">
        <f t="shared" si="1"/>
        <v>75.0%</v>
      </c>
    </row>
    <row r="2338">
      <c r="A2338" s="40" t="s">
        <v>6619</v>
      </c>
      <c r="B2338" s="40" t="s">
        <v>8820</v>
      </c>
      <c r="C2338" s="41">
        <v>3.0</v>
      </c>
      <c r="D2338" s="41">
        <v>1.0</v>
      </c>
      <c r="E2338" s="42" t="str">
        <f t="shared" si="1"/>
        <v>75.0%</v>
      </c>
    </row>
    <row r="2339">
      <c r="A2339" s="40" t="s">
        <v>6619</v>
      </c>
      <c r="B2339" s="40" t="s">
        <v>9394</v>
      </c>
      <c r="C2339" s="41">
        <v>3.0</v>
      </c>
      <c r="D2339" s="41">
        <v>1.0</v>
      </c>
      <c r="E2339" s="42" t="str">
        <f t="shared" si="1"/>
        <v>75.0%</v>
      </c>
    </row>
    <row r="2340">
      <c r="A2340" s="40" t="s">
        <v>6619</v>
      </c>
      <c r="B2340" s="40" t="s">
        <v>8720</v>
      </c>
      <c r="C2340" s="41">
        <v>3.0</v>
      </c>
      <c r="D2340" s="41">
        <v>2.0</v>
      </c>
      <c r="E2340" s="42" t="str">
        <f t="shared" si="1"/>
        <v>60.0%</v>
      </c>
    </row>
    <row r="2341">
      <c r="A2341" s="40" t="s">
        <v>6619</v>
      </c>
      <c r="B2341" s="40" t="s">
        <v>8518</v>
      </c>
      <c r="C2341" s="41">
        <v>3.0</v>
      </c>
      <c r="D2341" s="41">
        <v>2.0</v>
      </c>
      <c r="E2341" s="42" t="str">
        <f t="shared" si="1"/>
        <v>60.0%</v>
      </c>
    </row>
    <row r="2342">
      <c r="A2342" s="40" t="s">
        <v>6619</v>
      </c>
      <c r="B2342" s="40" t="s">
        <v>8876</v>
      </c>
      <c r="C2342" s="41">
        <v>3.0</v>
      </c>
      <c r="D2342" s="41">
        <v>2.0</v>
      </c>
      <c r="E2342" s="42" t="str">
        <f t="shared" si="1"/>
        <v>60.0%</v>
      </c>
    </row>
    <row r="2343">
      <c r="A2343" s="40" t="s">
        <v>6619</v>
      </c>
      <c r="B2343" s="40" t="s">
        <v>8852</v>
      </c>
      <c r="C2343" s="41">
        <v>3.0</v>
      </c>
      <c r="D2343" s="41">
        <v>2.0</v>
      </c>
      <c r="E2343" s="42" t="str">
        <f t="shared" si="1"/>
        <v>60.0%</v>
      </c>
    </row>
    <row r="2344">
      <c r="A2344" s="40" t="s">
        <v>6619</v>
      </c>
      <c r="B2344" s="40" t="s">
        <v>9177</v>
      </c>
      <c r="C2344" s="41">
        <v>3.0</v>
      </c>
      <c r="D2344" s="41">
        <v>3.0</v>
      </c>
      <c r="E2344" s="42" t="str">
        <f t="shared" si="1"/>
        <v>50.0%</v>
      </c>
    </row>
    <row r="2345">
      <c r="A2345" s="40" t="s">
        <v>6619</v>
      </c>
      <c r="B2345" s="40" t="s">
        <v>9120</v>
      </c>
      <c r="C2345" s="41">
        <v>3.0</v>
      </c>
      <c r="D2345" s="41">
        <v>4.0</v>
      </c>
      <c r="E2345" s="42" t="str">
        <f t="shared" si="1"/>
        <v>42.9%</v>
      </c>
    </row>
    <row r="2346">
      <c r="A2346" s="40" t="s">
        <v>6619</v>
      </c>
      <c r="B2346" s="40" t="s">
        <v>9304</v>
      </c>
      <c r="C2346" s="41">
        <v>3.0</v>
      </c>
      <c r="D2346" s="41">
        <v>5.0</v>
      </c>
      <c r="E2346" s="42" t="str">
        <f t="shared" si="1"/>
        <v>37.5%</v>
      </c>
    </row>
    <row r="2347">
      <c r="A2347" s="40" t="s">
        <v>6619</v>
      </c>
      <c r="B2347" s="40" t="s">
        <v>9205</v>
      </c>
      <c r="C2347" s="41">
        <v>3.0</v>
      </c>
      <c r="D2347" s="41">
        <v>7.0</v>
      </c>
      <c r="E2347" s="42" t="str">
        <f t="shared" si="1"/>
        <v>30.0%</v>
      </c>
    </row>
    <row r="2348">
      <c r="A2348" s="40" t="s">
        <v>6619</v>
      </c>
      <c r="B2348" s="40" t="s">
        <v>8485</v>
      </c>
      <c r="C2348" s="41">
        <v>2.0</v>
      </c>
      <c r="D2348" s="41">
        <v>0.0</v>
      </c>
      <c r="E2348" s="42" t="str">
        <f t="shared" si="1"/>
        <v>100.0%</v>
      </c>
    </row>
    <row r="2349">
      <c r="A2349" s="40" t="s">
        <v>6619</v>
      </c>
      <c r="B2349" s="40" t="s">
        <v>8642</v>
      </c>
      <c r="C2349" s="41">
        <v>2.0</v>
      </c>
      <c r="D2349" s="41">
        <v>0.0</v>
      </c>
      <c r="E2349" s="42" t="str">
        <f t="shared" si="1"/>
        <v>100.0%</v>
      </c>
    </row>
    <row r="2350">
      <c r="A2350" s="40" t="s">
        <v>6619</v>
      </c>
      <c r="B2350" s="40" t="s">
        <v>8950</v>
      </c>
      <c r="C2350" s="41">
        <v>2.0</v>
      </c>
      <c r="D2350" s="41">
        <v>0.0</v>
      </c>
      <c r="E2350" s="42" t="str">
        <f t="shared" si="1"/>
        <v>100.0%</v>
      </c>
    </row>
    <row r="2351">
      <c r="A2351" s="40" t="s">
        <v>6619</v>
      </c>
      <c r="B2351" s="40" t="s">
        <v>9146</v>
      </c>
      <c r="C2351" s="41">
        <v>2.0</v>
      </c>
      <c r="D2351" s="41">
        <v>0.0</v>
      </c>
      <c r="E2351" s="42" t="str">
        <f t="shared" si="1"/>
        <v>100.0%</v>
      </c>
    </row>
    <row r="2352">
      <c r="A2352" s="40" t="s">
        <v>6619</v>
      </c>
      <c r="B2352" s="40" t="s">
        <v>9395</v>
      </c>
      <c r="C2352" s="41">
        <v>2.0</v>
      </c>
      <c r="D2352" s="41">
        <v>0.0</v>
      </c>
      <c r="E2352" s="42" t="str">
        <f t="shared" si="1"/>
        <v>100.0%</v>
      </c>
    </row>
    <row r="2353">
      <c r="A2353" s="40" t="s">
        <v>6619</v>
      </c>
      <c r="B2353" s="40" t="s">
        <v>9396</v>
      </c>
      <c r="C2353" s="41">
        <v>2.0</v>
      </c>
      <c r="D2353" s="41">
        <v>0.0</v>
      </c>
      <c r="E2353" s="42" t="str">
        <f t="shared" si="1"/>
        <v>100.0%</v>
      </c>
    </row>
    <row r="2354">
      <c r="A2354" s="40" t="s">
        <v>6619</v>
      </c>
      <c r="B2354" s="40" t="s">
        <v>9397</v>
      </c>
      <c r="C2354" s="41">
        <v>2.0</v>
      </c>
      <c r="D2354" s="41">
        <v>0.0</v>
      </c>
      <c r="E2354" s="42" t="str">
        <f t="shared" si="1"/>
        <v>100.0%</v>
      </c>
    </row>
    <row r="2355">
      <c r="A2355" s="40" t="s">
        <v>6619</v>
      </c>
      <c r="B2355" s="40" t="s">
        <v>8805</v>
      </c>
      <c r="C2355" s="41">
        <v>2.0</v>
      </c>
      <c r="D2355" s="41">
        <v>1.0</v>
      </c>
      <c r="E2355" s="42" t="str">
        <f t="shared" si="1"/>
        <v>66.7%</v>
      </c>
    </row>
    <row r="2356">
      <c r="A2356" s="40" t="s">
        <v>6619</v>
      </c>
      <c r="B2356" s="40" t="s">
        <v>8824</v>
      </c>
      <c r="C2356" s="41">
        <v>2.0</v>
      </c>
      <c r="D2356" s="41">
        <v>1.0</v>
      </c>
      <c r="E2356" s="42" t="str">
        <f t="shared" si="1"/>
        <v>66.7%</v>
      </c>
    </row>
    <row r="2357">
      <c r="A2357" s="40" t="s">
        <v>6619</v>
      </c>
      <c r="B2357" s="40" t="s">
        <v>8900</v>
      </c>
      <c r="C2357" s="41">
        <v>2.0</v>
      </c>
      <c r="D2357" s="41">
        <v>1.0</v>
      </c>
      <c r="E2357" s="42" t="str">
        <f t="shared" si="1"/>
        <v>66.7%</v>
      </c>
    </row>
    <row r="2358">
      <c r="A2358" s="40" t="s">
        <v>6619</v>
      </c>
      <c r="B2358" s="40" t="s">
        <v>9189</v>
      </c>
      <c r="C2358" s="41">
        <v>2.0</v>
      </c>
      <c r="D2358" s="41">
        <v>1.0</v>
      </c>
      <c r="E2358" s="42" t="str">
        <f t="shared" si="1"/>
        <v>66.7%</v>
      </c>
    </row>
    <row r="2359">
      <c r="A2359" s="40" t="s">
        <v>6619</v>
      </c>
      <c r="B2359" s="40" t="s">
        <v>9222</v>
      </c>
      <c r="C2359" s="41">
        <v>2.0</v>
      </c>
      <c r="D2359" s="41">
        <v>1.0</v>
      </c>
      <c r="E2359" s="42" t="str">
        <f t="shared" si="1"/>
        <v>66.7%</v>
      </c>
    </row>
    <row r="2360">
      <c r="A2360" s="40" t="s">
        <v>6619</v>
      </c>
      <c r="B2360" s="40" t="s">
        <v>9347</v>
      </c>
      <c r="C2360" s="41">
        <v>2.0</v>
      </c>
      <c r="D2360" s="41">
        <v>1.0</v>
      </c>
      <c r="E2360" s="42" t="str">
        <f t="shared" si="1"/>
        <v>66.7%</v>
      </c>
    </row>
    <row r="2361">
      <c r="A2361" s="40" t="s">
        <v>6619</v>
      </c>
      <c r="B2361" s="40" t="s">
        <v>8909</v>
      </c>
      <c r="C2361" s="41">
        <v>2.0</v>
      </c>
      <c r="D2361" s="41">
        <v>2.0</v>
      </c>
      <c r="E2361" s="42" t="str">
        <f t="shared" si="1"/>
        <v>50.0%</v>
      </c>
    </row>
    <row r="2362">
      <c r="A2362" s="40" t="s">
        <v>6619</v>
      </c>
      <c r="B2362" s="40" t="s">
        <v>9037</v>
      </c>
      <c r="C2362" s="41">
        <v>2.0</v>
      </c>
      <c r="D2362" s="41">
        <v>2.0</v>
      </c>
      <c r="E2362" s="42" t="str">
        <f t="shared" si="1"/>
        <v>50.0%</v>
      </c>
    </row>
    <row r="2363">
      <c r="A2363" s="40" t="s">
        <v>6619</v>
      </c>
      <c r="B2363" s="40" t="s">
        <v>9158</v>
      </c>
      <c r="C2363" s="41">
        <v>2.0</v>
      </c>
      <c r="D2363" s="41">
        <v>2.0</v>
      </c>
      <c r="E2363" s="42" t="str">
        <f t="shared" si="1"/>
        <v>50.0%</v>
      </c>
    </row>
    <row r="2364">
      <c r="A2364" s="40" t="s">
        <v>6619</v>
      </c>
      <c r="B2364" s="40" t="s">
        <v>9303</v>
      </c>
      <c r="C2364" s="41">
        <v>2.0</v>
      </c>
      <c r="D2364" s="41">
        <v>2.0</v>
      </c>
      <c r="E2364" s="42" t="str">
        <f t="shared" si="1"/>
        <v>50.0%</v>
      </c>
    </row>
    <row r="2365">
      <c r="A2365" s="40" t="s">
        <v>6619</v>
      </c>
      <c r="B2365" s="40" t="s">
        <v>9337</v>
      </c>
      <c r="C2365" s="41">
        <v>2.0</v>
      </c>
      <c r="D2365" s="41">
        <v>2.0</v>
      </c>
      <c r="E2365" s="42" t="str">
        <f t="shared" si="1"/>
        <v>50.0%</v>
      </c>
    </row>
    <row r="2366">
      <c r="A2366" s="40" t="s">
        <v>6619</v>
      </c>
      <c r="B2366" s="40" t="s">
        <v>9398</v>
      </c>
      <c r="C2366" s="41">
        <v>2.0</v>
      </c>
      <c r="D2366" s="41">
        <v>2.0</v>
      </c>
      <c r="E2366" s="42" t="str">
        <f t="shared" si="1"/>
        <v>50.0%</v>
      </c>
    </row>
    <row r="2367">
      <c r="A2367" s="40" t="s">
        <v>6619</v>
      </c>
      <c r="B2367" s="40" t="s">
        <v>9399</v>
      </c>
      <c r="C2367" s="41">
        <v>2.0</v>
      </c>
      <c r="D2367" s="41">
        <v>2.0</v>
      </c>
      <c r="E2367" s="42" t="str">
        <f t="shared" si="1"/>
        <v>50.0%</v>
      </c>
    </row>
    <row r="2368">
      <c r="A2368" s="40" t="s">
        <v>6619</v>
      </c>
      <c r="B2368" s="40" t="s">
        <v>9400</v>
      </c>
      <c r="C2368" s="41">
        <v>2.0</v>
      </c>
      <c r="D2368" s="41">
        <v>2.0</v>
      </c>
      <c r="E2368" s="42" t="str">
        <f t="shared" si="1"/>
        <v>50.0%</v>
      </c>
    </row>
    <row r="2369">
      <c r="A2369" s="40" t="s">
        <v>6619</v>
      </c>
      <c r="B2369" s="40" t="s">
        <v>9159</v>
      </c>
      <c r="C2369" s="41">
        <v>2.0</v>
      </c>
      <c r="D2369" s="41">
        <v>3.0</v>
      </c>
      <c r="E2369" s="42" t="str">
        <f t="shared" si="1"/>
        <v>40.0%</v>
      </c>
    </row>
    <row r="2370">
      <c r="A2370" s="40" t="s">
        <v>6619</v>
      </c>
      <c r="B2370" s="40" t="s">
        <v>9242</v>
      </c>
      <c r="C2370" s="41">
        <v>2.0</v>
      </c>
      <c r="D2370" s="41">
        <v>3.0</v>
      </c>
      <c r="E2370" s="42" t="str">
        <f t="shared" si="1"/>
        <v>40.0%</v>
      </c>
    </row>
    <row r="2371">
      <c r="A2371" s="40" t="s">
        <v>6619</v>
      </c>
      <c r="B2371" s="40" t="s">
        <v>9401</v>
      </c>
      <c r="C2371" s="41">
        <v>2.0</v>
      </c>
      <c r="D2371" s="41">
        <v>3.0</v>
      </c>
      <c r="E2371" s="42" t="str">
        <f t="shared" si="1"/>
        <v>40.0%</v>
      </c>
    </row>
    <row r="2372">
      <c r="A2372" s="40" t="s">
        <v>6619</v>
      </c>
      <c r="B2372" s="40" t="s">
        <v>9122</v>
      </c>
      <c r="C2372" s="41">
        <v>2.0</v>
      </c>
      <c r="D2372" s="41">
        <v>4.0</v>
      </c>
      <c r="E2372" s="42" t="str">
        <f t="shared" si="1"/>
        <v>33.3%</v>
      </c>
    </row>
    <row r="2373">
      <c r="A2373" s="40" t="s">
        <v>6619</v>
      </c>
      <c r="B2373" s="40" t="s">
        <v>8828</v>
      </c>
      <c r="C2373" s="41">
        <v>2.0</v>
      </c>
      <c r="D2373" s="41">
        <v>6.0</v>
      </c>
      <c r="E2373" s="42" t="str">
        <f t="shared" si="1"/>
        <v>25.0%</v>
      </c>
    </row>
    <row r="2374">
      <c r="A2374" s="40" t="s">
        <v>6619</v>
      </c>
      <c r="B2374" s="40" t="s">
        <v>9292</v>
      </c>
      <c r="C2374" s="41">
        <v>2.0</v>
      </c>
      <c r="D2374" s="41">
        <v>8.0</v>
      </c>
      <c r="E2374" s="42" t="str">
        <f t="shared" si="1"/>
        <v>20.0%</v>
      </c>
    </row>
    <row r="2375">
      <c r="A2375" s="40" t="s">
        <v>6619</v>
      </c>
      <c r="B2375" s="40" t="s">
        <v>8675</v>
      </c>
      <c r="C2375" s="41">
        <v>1.0</v>
      </c>
      <c r="D2375" s="41">
        <v>0.0</v>
      </c>
      <c r="E2375" s="42" t="str">
        <f t="shared" si="1"/>
        <v>100.0%</v>
      </c>
    </row>
    <row r="2376">
      <c r="A2376" s="40" t="s">
        <v>6619</v>
      </c>
      <c r="B2376" s="40" t="s">
        <v>8696</v>
      </c>
      <c r="C2376" s="41">
        <v>1.0</v>
      </c>
      <c r="D2376" s="41">
        <v>0.0</v>
      </c>
      <c r="E2376" s="42" t="str">
        <f t="shared" si="1"/>
        <v>100.0%</v>
      </c>
    </row>
    <row r="2377">
      <c r="A2377" s="40" t="s">
        <v>6619</v>
      </c>
      <c r="B2377" s="40" t="s">
        <v>8637</v>
      </c>
      <c r="C2377" s="41">
        <v>1.0</v>
      </c>
      <c r="D2377" s="41">
        <v>0.0</v>
      </c>
      <c r="E2377" s="42" t="str">
        <f t="shared" si="1"/>
        <v>100.0%</v>
      </c>
    </row>
    <row r="2378">
      <c r="A2378" s="40" t="s">
        <v>6619</v>
      </c>
      <c r="B2378" s="40" t="s">
        <v>8580</v>
      </c>
      <c r="C2378" s="41">
        <v>1.0</v>
      </c>
      <c r="D2378" s="41">
        <v>0.0</v>
      </c>
      <c r="E2378" s="42" t="str">
        <f t="shared" si="1"/>
        <v>100.0%</v>
      </c>
    </row>
    <row r="2379">
      <c r="A2379" s="40" t="s">
        <v>6619</v>
      </c>
      <c r="B2379" s="40" t="s">
        <v>8581</v>
      </c>
      <c r="C2379" s="41">
        <v>1.0</v>
      </c>
      <c r="D2379" s="41">
        <v>0.0</v>
      </c>
      <c r="E2379" s="42" t="str">
        <f t="shared" si="1"/>
        <v>100.0%</v>
      </c>
    </row>
    <row r="2380">
      <c r="A2380" s="40" t="s">
        <v>6619</v>
      </c>
      <c r="B2380" s="40" t="s">
        <v>8749</v>
      </c>
      <c r="C2380" s="41">
        <v>1.0</v>
      </c>
      <c r="D2380" s="41">
        <v>0.0</v>
      </c>
      <c r="E2380" s="42" t="str">
        <f t="shared" si="1"/>
        <v>100.0%</v>
      </c>
    </row>
    <row r="2381">
      <c r="A2381" s="40" t="s">
        <v>6619</v>
      </c>
      <c r="B2381" s="40" t="s">
        <v>8790</v>
      </c>
      <c r="C2381" s="41">
        <v>1.0</v>
      </c>
      <c r="D2381" s="41">
        <v>0.0</v>
      </c>
      <c r="E2381" s="42" t="str">
        <f t="shared" si="1"/>
        <v>100.0%</v>
      </c>
    </row>
    <row r="2382">
      <c r="A2382" s="40" t="s">
        <v>6619</v>
      </c>
      <c r="B2382" s="40" t="s">
        <v>8738</v>
      </c>
      <c r="C2382" s="41">
        <v>1.0</v>
      </c>
      <c r="D2382" s="41">
        <v>0.0</v>
      </c>
      <c r="E2382" s="42" t="str">
        <f t="shared" si="1"/>
        <v>100.0%</v>
      </c>
    </row>
    <row r="2383">
      <c r="A2383" s="40" t="s">
        <v>6619</v>
      </c>
      <c r="B2383" s="40" t="s">
        <v>8819</v>
      </c>
      <c r="C2383" s="41">
        <v>1.0</v>
      </c>
      <c r="D2383" s="41">
        <v>0.0</v>
      </c>
      <c r="E2383" s="42" t="str">
        <f t="shared" si="1"/>
        <v>100.0%</v>
      </c>
    </row>
    <row r="2384">
      <c r="A2384" s="40" t="s">
        <v>6619</v>
      </c>
      <c r="B2384" s="40" t="s">
        <v>8931</v>
      </c>
      <c r="C2384" s="41">
        <v>1.0</v>
      </c>
      <c r="D2384" s="41">
        <v>0.0</v>
      </c>
      <c r="E2384" s="42" t="str">
        <f t="shared" si="1"/>
        <v>100.0%</v>
      </c>
    </row>
    <row r="2385">
      <c r="A2385" s="40" t="s">
        <v>6619</v>
      </c>
      <c r="B2385" s="40" t="s">
        <v>8959</v>
      </c>
      <c r="C2385" s="41">
        <v>1.0</v>
      </c>
      <c r="D2385" s="41">
        <v>0.0</v>
      </c>
      <c r="E2385" s="42" t="str">
        <f t="shared" si="1"/>
        <v>100.0%</v>
      </c>
    </row>
    <row r="2386">
      <c r="A2386" s="40" t="s">
        <v>6619</v>
      </c>
      <c r="B2386" s="40" t="s">
        <v>9100</v>
      </c>
      <c r="C2386" s="41">
        <v>1.0</v>
      </c>
      <c r="D2386" s="41">
        <v>0.0</v>
      </c>
      <c r="E2386" s="42" t="str">
        <f t="shared" si="1"/>
        <v>100.0%</v>
      </c>
    </row>
    <row r="2387">
      <c r="A2387" s="40" t="s">
        <v>6619</v>
      </c>
      <c r="B2387" s="40" t="s">
        <v>9111</v>
      </c>
      <c r="C2387" s="41">
        <v>1.0</v>
      </c>
      <c r="D2387" s="41">
        <v>0.0</v>
      </c>
      <c r="E2387" s="42" t="str">
        <f t="shared" si="1"/>
        <v>100.0%</v>
      </c>
    </row>
    <row r="2388">
      <c r="A2388" s="40" t="s">
        <v>6619</v>
      </c>
      <c r="B2388" s="40" t="s">
        <v>9201</v>
      </c>
      <c r="C2388" s="41">
        <v>1.0</v>
      </c>
      <c r="D2388" s="41">
        <v>0.0</v>
      </c>
      <c r="E2388" s="42" t="str">
        <f t="shared" si="1"/>
        <v>100.0%</v>
      </c>
    </row>
    <row r="2389">
      <c r="A2389" s="40" t="s">
        <v>6619</v>
      </c>
      <c r="B2389" s="40" t="s">
        <v>9216</v>
      </c>
      <c r="C2389" s="41">
        <v>1.0</v>
      </c>
      <c r="D2389" s="41">
        <v>0.0</v>
      </c>
      <c r="E2389" s="42" t="str">
        <f t="shared" si="1"/>
        <v>100.0%</v>
      </c>
    </row>
    <row r="2390">
      <c r="A2390" s="40" t="s">
        <v>6619</v>
      </c>
      <c r="B2390" s="40" t="s">
        <v>9187</v>
      </c>
      <c r="C2390" s="41">
        <v>1.0</v>
      </c>
      <c r="D2390" s="41">
        <v>0.0</v>
      </c>
      <c r="E2390" s="42" t="str">
        <f t="shared" si="1"/>
        <v>100.0%</v>
      </c>
    </row>
    <row r="2391">
      <c r="A2391" s="40" t="s">
        <v>6619</v>
      </c>
      <c r="B2391" s="40" t="s">
        <v>9299</v>
      </c>
      <c r="C2391" s="41">
        <v>1.0</v>
      </c>
      <c r="D2391" s="41">
        <v>0.0</v>
      </c>
      <c r="E2391" s="42" t="str">
        <f t="shared" si="1"/>
        <v>100.0%</v>
      </c>
    </row>
    <row r="2392">
      <c r="A2392" s="40" t="s">
        <v>6619</v>
      </c>
      <c r="B2392" s="40" t="s">
        <v>9311</v>
      </c>
      <c r="C2392" s="41">
        <v>1.0</v>
      </c>
      <c r="D2392" s="41">
        <v>0.0</v>
      </c>
      <c r="E2392" s="42" t="str">
        <f t="shared" si="1"/>
        <v>100.0%</v>
      </c>
    </row>
    <row r="2393">
      <c r="A2393" s="40" t="s">
        <v>6619</v>
      </c>
      <c r="B2393" s="40" t="s">
        <v>9331</v>
      </c>
      <c r="C2393" s="41">
        <v>1.0</v>
      </c>
      <c r="D2393" s="41">
        <v>0.0</v>
      </c>
      <c r="E2393" s="42" t="str">
        <f t="shared" si="1"/>
        <v>100.0%</v>
      </c>
    </row>
    <row r="2394">
      <c r="A2394" s="40" t="s">
        <v>6619</v>
      </c>
      <c r="B2394" s="40" t="s">
        <v>9353</v>
      </c>
      <c r="C2394" s="41">
        <v>1.0</v>
      </c>
      <c r="D2394" s="41">
        <v>0.0</v>
      </c>
      <c r="E2394" s="42" t="str">
        <f t="shared" si="1"/>
        <v>100.0%</v>
      </c>
    </row>
    <row r="2395">
      <c r="A2395" s="40" t="s">
        <v>6619</v>
      </c>
      <c r="B2395" s="40" t="s">
        <v>9402</v>
      </c>
      <c r="C2395" s="41">
        <v>1.0</v>
      </c>
      <c r="D2395" s="41">
        <v>0.0</v>
      </c>
      <c r="E2395" s="42" t="str">
        <f t="shared" si="1"/>
        <v>100.0%</v>
      </c>
    </row>
    <row r="2396">
      <c r="A2396" s="40" t="s">
        <v>6619</v>
      </c>
      <c r="B2396" s="40" t="s">
        <v>9403</v>
      </c>
      <c r="C2396" s="41">
        <v>1.0</v>
      </c>
      <c r="D2396" s="41">
        <v>0.0</v>
      </c>
      <c r="E2396" s="42" t="str">
        <f t="shared" si="1"/>
        <v>100.0%</v>
      </c>
    </row>
    <row r="2397">
      <c r="A2397" s="40" t="s">
        <v>6619</v>
      </c>
      <c r="B2397" s="40" t="s">
        <v>9404</v>
      </c>
      <c r="C2397" s="41">
        <v>1.0</v>
      </c>
      <c r="D2397" s="41">
        <v>0.0</v>
      </c>
      <c r="E2397" s="42" t="str">
        <f t="shared" si="1"/>
        <v>100.0%</v>
      </c>
    </row>
    <row r="2398">
      <c r="A2398" s="40" t="s">
        <v>6619</v>
      </c>
      <c r="B2398" s="40" t="s">
        <v>9405</v>
      </c>
      <c r="C2398" s="41">
        <v>1.0</v>
      </c>
      <c r="D2398" s="41">
        <v>0.0</v>
      </c>
      <c r="E2398" s="42" t="str">
        <f t="shared" si="1"/>
        <v>100.0%</v>
      </c>
    </row>
    <row r="2399">
      <c r="A2399" s="40" t="s">
        <v>6619</v>
      </c>
      <c r="B2399" s="40" t="s">
        <v>8672</v>
      </c>
      <c r="C2399" s="41">
        <v>1.0</v>
      </c>
      <c r="D2399" s="41">
        <v>1.0</v>
      </c>
      <c r="E2399" s="42" t="str">
        <f t="shared" si="1"/>
        <v>50.0%</v>
      </c>
    </row>
    <row r="2400">
      <c r="A2400" s="40" t="s">
        <v>6619</v>
      </c>
      <c r="B2400" s="40" t="s">
        <v>8487</v>
      </c>
      <c r="C2400" s="41">
        <v>1.0</v>
      </c>
      <c r="D2400" s="41">
        <v>1.0</v>
      </c>
      <c r="E2400" s="42" t="str">
        <f t="shared" si="1"/>
        <v>50.0%</v>
      </c>
    </row>
    <row r="2401">
      <c r="A2401" s="40" t="s">
        <v>6619</v>
      </c>
      <c r="B2401" s="40" t="s">
        <v>8484</v>
      </c>
      <c r="C2401" s="41">
        <v>1.0</v>
      </c>
      <c r="D2401" s="41">
        <v>1.0</v>
      </c>
      <c r="E2401" s="42" t="str">
        <f t="shared" si="1"/>
        <v>50.0%</v>
      </c>
    </row>
    <row r="2402">
      <c r="A2402" s="40" t="s">
        <v>6619</v>
      </c>
      <c r="B2402" s="40" t="s">
        <v>8673</v>
      </c>
      <c r="C2402" s="41">
        <v>1.0</v>
      </c>
      <c r="D2402" s="41">
        <v>1.0</v>
      </c>
      <c r="E2402" s="42" t="str">
        <f t="shared" si="1"/>
        <v>50.0%</v>
      </c>
    </row>
    <row r="2403">
      <c r="A2403" s="40" t="s">
        <v>6619</v>
      </c>
      <c r="B2403" s="40" t="s">
        <v>8872</v>
      </c>
      <c r="C2403" s="41">
        <v>1.0</v>
      </c>
      <c r="D2403" s="41">
        <v>1.0</v>
      </c>
      <c r="E2403" s="42" t="str">
        <f t="shared" si="1"/>
        <v>50.0%</v>
      </c>
    </row>
    <row r="2404">
      <c r="A2404" s="40" t="s">
        <v>6619</v>
      </c>
      <c r="B2404" s="40" t="s">
        <v>9109</v>
      </c>
      <c r="C2404" s="41">
        <v>1.0</v>
      </c>
      <c r="D2404" s="41">
        <v>1.0</v>
      </c>
      <c r="E2404" s="42" t="str">
        <f t="shared" si="1"/>
        <v>50.0%</v>
      </c>
    </row>
    <row r="2405">
      <c r="A2405" s="40" t="s">
        <v>6619</v>
      </c>
      <c r="B2405" s="40" t="s">
        <v>9156</v>
      </c>
      <c r="C2405" s="41">
        <v>1.0</v>
      </c>
      <c r="D2405" s="41">
        <v>1.0</v>
      </c>
      <c r="E2405" s="42" t="str">
        <f t="shared" si="1"/>
        <v>50.0%</v>
      </c>
    </row>
    <row r="2406">
      <c r="A2406" s="40" t="s">
        <v>6619</v>
      </c>
      <c r="B2406" s="40" t="s">
        <v>9363</v>
      </c>
      <c r="C2406" s="41">
        <v>1.0</v>
      </c>
      <c r="D2406" s="41">
        <v>1.0</v>
      </c>
      <c r="E2406" s="42" t="str">
        <f t="shared" si="1"/>
        <v>50.0%</v>
      </c>
    </row>
    <row r="2407">
      <c r="A2407" s="40" t="s">
        <v>6619</v>
      </c>
      <c r="B2407" s="40" t="s">
        <v>9356</v>
      </c>
      <c r="C2407" s="41">
        <v>1.0</v>
      </c>
      <c r="D2407" s="41">
        <v>1.0</v>
      </c>
      <c r="E2407" s="42" t="str">
        <f t="shared" si="1"/>
        <v>50.0%</v>
      </c>
    </row>
    <row r="2408">
      <c r="A2408" s="40" t="s">
        <v>6619</v>
      </c>
      <c r="B2408" s="40" t="s">
        <v>9406</v>
      </c>
      <c r="C2408" s="41">
        <v>1.0</v>
      </c>
      <c r="D2408" s="41">
        <v>1.0</v>
      </c>
      <c r="E2408" s="42" t="str">
        <f t="shared" si="1"/>
        <v>50.0%</v>
      </c>
    </row>
    <row r="2409">
      <c r="A2409" s="40" t="s">
        <v>6619</v>
      </c>
      <c r="B2409" s="40" t="s">
        <v>9407</v>
      </c>
      <c r="C2409" s="41">
        <v>1.0</v>
      </c>
      <c r="D2409" s="41">
        <v>1.0</v>
      </c>
      <c r="E2409" s="42" t="str">
        <f t="shared" si="1"/>
        <v>50.0%</v>
      </c>
    </row>
    <row r="2410">
      <c r="A2410" s="40" t="s">
        <v>6619</v>
      </c>
      <c r="B2410" s="40" t="s">
        <v>9408</v>
      </c>
      <c r="C2410" s="41">
        <v>1.0</v>
      </c>
      <c r="D2410" s="41">
        <v>1.0</v>
      </c>
      <c r="E2410" s="42" t="str">
        <f t="shared" si="1"/>
        <v>50.0%</v>
      </c>
    </row>
    <row r="2411">
      <c r="A2411" s="40" t="s">
        <v>6619</v>
      </c>
      <c r="B2411" s="40" t="s">
        <v>9409</v>
      </c>
      <c r="C2411" s="41">
        <v>1.0</v>
      </c>
      <c r="D2411" s="41">
        <v>1.0</v>
      </c>
      <c r="E2411" s="42" t="str">
        <f t="shared" si="1"/>
        <v>50.0%</v>
      </c>
    </row>
    <row r="2412">
      <c r="A2412" s="40" t="s">
        <v>6619</v>
      </c>
      <c r="B2412" s="40" t="s">
        <v>8641</v>
      </c>
      <c r="C2412" s="41">
        <v>1.0</v>
      </c>
      <c r="D2412" s="41">
        <v>2.0</v>
      </c>
      <c r="E2412" s="42" t="str">
        <f t="shared" si="1"/>
        <v>33.3%</v>
      </c>
    </row>
    <row r="2413">
      <c r="A2413" s="40" t="s">
        <v>6619</v>
      </c>
      <c r="B2413" s="40" t="s">
        <v>8816</v>
      </c>
      <c r="C2413" s="41">
        <v>1.0</v>
      </c>
      <c r="D2413" s="41">
        <v>2.0</v>
      </c>
      <c r="E2413" s="42" t="str">
        <f t="shared" si="1"/>
        <v>33.3%</v>
      </c>
    </row>
    <row r="2414">
      <c r="A2414" s="40" t="s">
        <v>6619</v>
      </c>
      <c r="B2414" s="40" t="s">
        <v>8963</v>
      </c>
      <c r="C2414" s="41">
        <v>1.0</v>
      </c>
      <c r="D2414" s="41">
        <v>2.0</v>
      </c>
      <c r="E2414" s="42" t="str">
        <f t="shared" si="1"/>
        <v>33.3%</v>
      </c>
    </row>
    <row r="2415">
      <c r="A2415" s="40" t="s">
        <v>6619</v>
      </c>
      <c r="B2415" s="40" t="s">
        <v>9372</v>
      </c>
      <c r="C2415" s="41">
        <v>1.0</v>
      </c>
      <c r="D2415" s="41">
        <v>2.0</v>
      </c>
      <c r="E2415" s="42" t="str">
        <f t="shared" si="1"/>
        <v>33.3%</v>
      </c>
    </row>
    <row r="2416">
      <c r="A2416" s="40" t="s">
        <v>6619</v>
      </c>
      <c r="B2416" s="40" t="s">
        <v>9410</v>
      </c>
      <c r="C2416" s="41">
        <v>1.0</v>
      </c>
      <c r="D2416" s="41">
        <v>2.0</v>
      </c>
      <c r="E2416" s="42" t="str">
        <f t="shared" si="1"/>
        <v>33.3%</v>
      </c>
    </row>
    <row r="2417">
      <c r="A2417" s="40" t="s">
        <v>6619</v>
      </c>
      <c r="B2417" s="40" t="s">
        <v>9411</v>
      </c>
      <c r="C2417" s="41">
        <v>1.0</v>
      </c>
      <c r="D2417" s="41">
        <v>2.0</v>
      </c>
      <c r="E2417" s="42" t="str">
        <f t="shared" si="1"/>
        <v>33.3%</v>
      </c>
    </row>
    <row r="2418">
      <c r="A2418" s="40" t="s">
        <v>6619</v>
      </c>
      <c r="B2418" s="40" t="s">
        <v>9359</v>
      </c>
      <c r="C2418" s="41">
        <v>1.0</v>
      </c>
      <c r="D2418" s="41">
        <v>3.0</v>
      </c>
      <c r="E2418" s="42" t="str">
        <f t="shared" si="1"/>
        <v>25.0%</v>
      </c>
    </row>
    <row r="2419">
      <c r="A2419" s="40" t="s">
        <v>6619</v>
      </c>
      <c r="B2419" s="40" t="s">
        <v>9297</v>
      </c>
      <c r="C2419" s="41">
        <v>1.0</v>
      </c>
      <c r="D2419" s="41">
        <v>3.0</v>
      </c>
      <c r="E2419" s="42" t="str">
        <f t="shared" si="1"/>
        <v>25.0%</v>
      </c>
    </row>
    <row r="2420">
      <c r="A2420" s="40" t="s">
        <v>6619</v>
      </c>
      <c r="B2420" s="40" t="s">
        <v>8501</v>
      </c>
      <c r="C2420" s="41">
        <v>1.0</v>
      </c>
      <c r="D2420" s="41">
        <v>4.0</v>
      </c>
      <c r="E2420" s="42" t="str">
        <f t="shared" si="1"/>
        <v>20.0%</v>
      </c>
    </row>
    <row r="2421">
      <c r="A2421" s="40" t="s">
        <v>6619</v>
      </c>
      <c r="B2421" s="40" t="s">
        <v>9044</v>
      </c>
      <c r="C2421" s="41">
        <v>1.0</v>
      </c>
      <c r="D2421" s="41">
        <v>4.0</v>
      </c>
      <c r="E2421" s="42" t="str">
        <f t="shared" si="1"/>
        <v>20.0%</v>
      </c>
    </row>
    <row r="2422">
      <c r="A2422" s="40" t="s">
        <v>6619</v>
      </c>
      <c r="B2422" s="40" t="s">
        <v>9123</v>
      </c>
      <c r="C2422" s="41">
        <v>1.0</v>
      </c>
      <c r="D2422" s="41">
        <v>4.0</v>
      </c>
      <c r="E2422" s="42" t="str">
        <f t="shared" si="1"/>
        <v>20.0%</v>
      </c>
    </row>
    <row r="2423">
      <c r="A2423" s="40" t="s">
        <v>6619</v>
      </c>
      <c r="B2423" s="40" t="s">
        <v>9329</v>
      </c>
      <c r="C2423" s="41">
        <v>1.0</v>
      </c>
      <c r="D2423" s="41">
        <v>4.0</v>
      </c>
      <c r="E2423" s="42" t="str">
        <f t="shared" si="1"/>
        <v>20.0%</v>
      </c>
    </row>
    <row r="2424">
      <c r="A2424" s="40" t="s">
        <v>6619</v>
      </c>
      <c r="B2424" s="40" t="s">
        <v>9412</v>
      </c>
      <c r="C2424" s="41">
        <v>1.0</v>
      </c>
      <c r="D2424" s="41">
        <v>4.0</v>
      </c>
      <c r="E2424" s="42" t="str">
        <f t="shared" si="1"/>
        <v>20.0%</v>
      </c>
    </row>
    <row r="2425">
      <c r="A2425" s="40" t="s">
        <v>6619</v>
      </c>
      <c r="B2425" s="40" t="s">
        <v>9291</v>
      </c>
      <c r="C2425" s="41">
        <v>1.0</v>
      </c>
      <c r="D2425" s="41">
        <v>7.0</v>
      </c>
      <c r="E2425" s="42" t="str">
        <f t="shared" si="1"/>
        <v>12.5%</v>
      </c>
    </row>
    <row r="2426">
      <c r="A2426" s="40" t="s">
        <v>6619</v>
      </c>
      <c r="B2426" s="40" t="s">
        <v>9243</v>
      </c>
      <c r="C2426" s="41">
        <v>1.0</v>
      </c>
      <c r="D2426" s="41">
        <v>9.0</v>
      </c>
      <c r="E2426" s="42" t="str">
        <f t="shared" si="1"/>
        <v>10.0%</v>
      </c>
    </row>
    <row r="2427">
      <c r="A2427" s="40" t="s">
        <v>6619</v>
      </c>
      <c r="B2427" s="40" t="s">
        <v>8734</v>
      </c>
      <c r="C2427" s="41">
        <v>0.0</v>
      </c>
      <c r="D2427" s="41">
        <v>1.0</v>
      </c>
      <c r="E2427" s="42" t="str">
        <f t="shared" si="1"/>
        <v>0.0%</v>
      </c>
    </row>
    <row r="2428">
      <c r="A2428" s="40" t="s">
        <v>6619</v>
      </c>
      <c r="B2428" s="40" t="s">
        <v>8845</v>
      </c>
      <c r="C2428" s="41">
        <v>0.0</v>
      </c>
      <c r="D2428" s="41">
        <v>1.0</v>
      </c>
      <c r="E2428" s="42" t="str">
        <f t="shared" si="1"/>
        <v>0.0%</v>
      </c>
    </row>
    <row r="2429">
      <c r="A2429" s="40" t="s">
        <v>6619</v>
      </c>
      <c r="B2429" s="40" t="s">
        <v>8948</v>
      </c>
      <c r="C2429" s="41">
        <v>0.0</v>
      </c>
      <c r="D2429" s="41">
        <v>1.0</v>
      </c>
      <c r="E2429" s="42" t="str">
        <f t="shared" si="1"/>
        <v>0.0%</v>
      </c>
    </row>
    <row r="2430">
      <c r="A2430" s="40" t="s">
        <v>6619</v>
      </c>
      <c r="B2430" s="40" t="s">
        <v>9014</v>
      </c>
      <c r="C2430" s="41">
        <v>0.0</v>
      </c>
      <c r="D2430" s="41">
        <v>1.0</v>
      </c>
      <c r="E2430" s="42" t="str">
        <f t="shared" si="1"/>
        <v>0.0%</v>
      </c>
    </row>
    <row r="2431">
      <c r="A2431" s="40" t="s">
        <v>6619</v>
      </c>
      <c r="B2431" s="40" t="s">
        <v>9147</v>
      </c>
      <c r="C2431" s="41">
        <v>0.0</v>
      </c>
      <c r="D2431" s="41">
        <v>1.0</v>
      </c>
      <c r="E2431" s="42" t="str">
        <f t="shared" si="1"/>
        <v>0.0%</v>
      </c>
    </row>
    <row r="2432">
      <c r="A2432" s="40" t="s">
        <v>6619</v>
      </c>
      <c r="B2432" s="40" t="s">
        <v>9178</v>
      </c>
      <c r="C2432" s="41">
        <v>0.0</v>
      </c>
      <c r="D2432" s="41">
        <v>1.0</v>
      </c>
      <c r="E2432" s="42" t="str">
        <f t="shared" si="1"/>
        <v>0.0%</v>
      </c>
    </row>
    <row r="2433">
      <c r="A2433" s="40" t="s">
        <v>6619</v>
      </c>
      <c r="B2433" s="40" t="s">
        <v>9179</v>
      </c>
      <c r="C2433" s="41">
        <v>0.0</v>
      </c>
      <c r="D2433" s="41">
        <v>1.0</v>
      </c>
      <c r="E2433" s="42" t="str">
        <f t="shared" si="1"/>
        <v>0.0%</v>
      </c>
    </row>
    <row r="2434">
      <c r="A2434" s="40" t="s">
        <v>6619</v>
      </c>
      <c r="B2434" s="40" t="s">
        <v>9253</v>
      </c>
      <c r="C2434" s="41">
        <v>0.0</v>
      </c>
      <c r="D2434" s="41">
        <v>1.0</v>
      </c>
      <c r="E2434" s="42" t="str">
        <f t="shared" si="1"/>
        <v>0.0%</v>
      </c>
    </row>
    <row r="2435">
      <c r="A2435" s="40" t="s">
        <v>6619</v>
      </c>
      <c r="B2435" s="40" t="s">
        <v>9238</v>
      </c>
      <c r="C2435" s="41">
        <v>0.0</v>
      </c>
      <c r="D2435" s="41">
        <v>1.0</v>
      </c>
      <c r="E2435" s="42" t="str">
        <f t="shared" si="1"/>
        <v>0.0%</v>
      </c>
    </row>
    <row r="2436">
      <c r="A2436" s="40" t="s">
        <v>6619</v>
      </c>
      <c r="B2436" s="40" t="s">
        <v>9239</v>
      </c>
      <c r="C2436" s="41">
        <v>0.0</v>
      </c>
      <c r="D2436" s="41">
        <v>1.0</v>
      </c>
      <c r="E2436" s="42" t="str">
        <f t="shared" si="1"/>
        <v>0.0%</v>
      </c>
    </row>
    <row r="2437">
      <c r="A2437" s="40" t="s">
        <v>6619</v>
      </c>
      <c r="B2437" s="40" t="s">
        <v>9367</v>
      </c>
      <c r="C2437" s="41">
        <v>0.0</v>
      </c>
      <c r="D2437" s="41">
        <v>1.0</v>
      </c>
      <c r="E2437" s="42" t="str">
        <f t="shared" si="1"/>
        <v>0.0%</v>
      </c>
    </row>
    <row r="2438">
      <c r="A2438" s="40" t="s">
        <v>6619</v>
      </c>
      <c r="B2438" s="40" t="s">
        <v>9310</v>
      </c>
      <c r="C2438" s="41">
        <v>0.0</v>
      </c>
      <c r="D2438" s="41">
        <v>1.0</v>
      </c>
      <c r="E2438" s="42" t="str">
        <f t="shared" si="1"/>
        <v>0.0%</v>
      </c>
    </row>
    <row r="2439">
      <c r="A2439" s="40" t="s">
        <v>6619</v>
      </c>
      <c r="B2439" s="40" t="s">
        <v>9370</v>
      </c>
      <c r="C2439" s="41">
        <v>0.0</v>
      </c>
      <c r="D2439" s="41">
        <v>1.0</v>
      </c>
      <c r="E2439" s="42" t="str">
        <f t="shared" si="1"/>
        <v>0.0%</v>
      </c>
    </row>
    <row r="2440">
      <c r="A2440" s="40" t="s">
        <v>6619</v>
      </c>
      <c r="B2440" s="40" t="s">
        <v>9413</v>
      </c>
      <c r="C2440" s="41">
        <v>0.0</v>
      </c>
      <c r="D2440" s="41">
        <v>1.0</v>
      </c>
      <c r="E2440" s="42" t="str">
        <f t="shared" si="1"/>
        <v>0.0%</v>
      </c>
    </row>
    <row r="2441">
      <c r="A2441" s="40" t="s">
        <v>6619</v>
      </c>
      <c r="B2441" s="40" t="s">
        <v>9414</v>
      </c>
      <c r="C2441" s="41">
        <v>0.0</v>
      </c>
      <c r="D2441" s="41">
        <v>1.0</v>
      </c>
      <c r="E2441" s="42" t="str">
        <f t="shared" si="1"/>
        <v>0.0%</v>
      </c>
    </row>
    <row r="2442">
      <c r="A2442" s="40" t="s">
        <v>6619</v>
      </c>
      <c r="B2442" s="40" t="s">
        <v>9415</v>
      </c>
      <c r="C2442" s="41">
        <v>0.0</v>
      </c>
      <c r="D2442" s="41">
        <v>1.0</v>
      </c>
      <c r="E2442" s="42" t="str">
        <f t="shared" si="1"/>
        <v>0.0%</v>
      </c>
    </row>
    <row r="2443">
      <c r="A2443" s="40" t="s">
        <v>6619</v>
      </c>
      <c r="B2443" s="40" t="s">
        <v>9416</v>
      </c>
      <c r="C2443" s="41">
        <v>0.0</v>
      </c>
      <c r="D2443" s="41">
        <v>1.0</v>
      </c>
      <c r="E2443" s="42" t="str">
        <f t="shared" si="1"/>
        <v>0.0%</v>
      </c>
    </row>
    <row r="2444">
      <c r="A2444" s="40" t="s">
        <v>6619</v>
      </c>
      <c r="B2444" s="40" t="s">
        <v>9417</v>
      </c>
      <c r="C2444" s="41">
        <v>0.0</v>
      </c>
      <c r="D2444" s="41">
        <v>1.0</v>
      </c>
      <c r="E2444" s="42" t="str">
        <f t="shared" si="1"/>
        <v>0.0%</v>
      </c>
    </row>
    <row r="2445">
      <c r="A2445" s="40" t="s">
        <v>6619</v>
      </c>
      <c r="B2445" s="40" t="s">
        <v>9418</v>
      </c>
      <c r="C2445" s="41">
        <v>0.0</v>
      </c>
      <c r="D2445" s="41">
        <v>1.0</v>
      </c>
      <c r="E2445" s="42" t="str">
        <f t="shared" si="1"/>
        <v>0.0%</v>
      </c>
    </row>
    <row r="2446">
      <c r="A2446" s="40" t="s">
        <v>6619</v>
      </c>
      <c r="B2446" s="40" t="s">
        <v>9419</v>
      </c>
      <c r="C2446" s="41">
        <v>0.0</v>
      </c>
      <c r="D2446" s="41">
        <v>1.0</v>
      </c>
      <c r="E2446" s="42" t="str">
        <f t="shared" si="1"/>
        <v>0.0%</v>
      </c>
    </row>
    <row r="2447">
      <c r="A2447" s="40" t="s">
        <v>6619</v>
      </c>
      <c r="B2447" s="40" t="s">
        <v>9420</v>
      </c>
      <c r="C2447" s="41">
        <v>0.0</v>
      </c>
      <c r="D2447" s="41">
        <v>1.0</v>
      </c>
      <c r="E2447" s="42" t="str">
        <f t="shared" si="1"/>
        <v>0.0%</v>
      </c>
    </row>
    <row r="2448">
      <c r="A2448" s="40" t="s">
        <v>6619</v>
      </c>
      <c r="B2448" s="40" t="s">
        <v>9421</v>
      </c>
      <c r="C2448" s="41">
        <v>0.0</v>
      </c>
      <c r="D2448" s="41">
        <v>1.0</v>
      </c>
      <c r="E2448" s="42" t="str">
        <f t="shared" si="1"/>
        <v>0.0%</v>
      </c>
    </row>
    <row r="2449">
      <c r="A2449" s="40" t="s">
        <v>6619</v>
      </c>
      <c r="B2449" s="40" t="s">
        <v>9422</v>
      </c>
      <c r="C2449" s="41">
        <v>0.0</v>
      </c>
      <c r="D2449" s="41">
        <v>1.0</v>
      </c>
      <c r="E2449" s="42" t="str">
        <f t="shared" si="1"/>
        <v>0.0%</v>
      </c>
    </row>
    <row r="2450">
      <c r="A2450" s="40" t="s">
        <v>6619</v>
      </c>
      <c r="B2450" s="40" t="s">
        <v>9423</v>
      </c>
      <c r="C2450" s="41">
        <v>0.0</v>
      </c>
      <c r="D2450" s="41">
        <v>1.0</v>
      </c>
      <c r="E2450" s="42" t="str">
        <f t="shared" si="1"/>
        <v>0.0%</v>
      </c>
    </row>
    <row r="2451">
      <c r="A2451" s="40" t="s">
        <v>6619</v>
      </c>
      <c r="B2451" s="40" t="s">
        <v>9424</v>
      </c>
      <c r="C2451" s="41">
        <v>0.0</v>
      </c>
      <c r="D2451" s="41">
        <v>1.0</v>
      </c>
      <c r="E2451" s="42" t="str">
        <f t="shared" si="1"/>
        <v>0.0%</v>
      </c>
    </row>
    <row r="2452">
      <c r="A2452" s="40" t="s">
        <v>6619</v>
      </c>
      <c r="B2452" s="40" t="s">
        <v>9425</v>
      </c>
      <c r="C2452" s="41">
        <v>0.0</v>
      </c>
      <c r="D2452" s="41">
        <v>1.0</v>
      </c>
      <c r="E2452" s="42" t="str">
        <f t="shared" si="1"/>
        <v>0.0%</v>
      </c>
    </row>
    <row r="2453">
      <c r="A2453" s="40" t="s">
        <v>6619</v>
      </c>
      <c r="B2453" s="40" t="s">
        <v>8556</v>
      </c>
      <c r="C2453" s="41">
        <v>0.0</v>
      </c>
      <c r="D2453" s="41">
        <v>2.0</v>
      </c>
      <c r="E2453" s="42" t="str">
        <f t="shared" si="1"/>
        <v>0.0%</v>
      </c>
    </row>
    <row r="2454">
      <c r="A2454" s="40" t="s">
        <v>6619</v>
      </c>
      <c r="B2454" s="40" t="s">
        <v>8588</v>
      </c>
      <c r="C2454" s="41">
        <v>0.0</v>
      </c>
      <c r="D2454" s="41">
        <v>2.0</v>
      </c>
      <c r="E2454" s="42" t="str">
        <f t="shared" si="1"/>
        <v>0.0%</v>
      </c>
    </row>
    <row r="2455">
      <c r="A2455" s="40" t="s">
        <v>6619</v>
      </c>
      <c r="B2455" s="40" t="s">
        <v>8861</v>
      </c>
      <c r="C2455" s="41">
        <v>0.0</v>
      </c>
      <c r="D2455" s="41">
        <v>2.0</v>
      </c>
      <c r="E2455" s="42" t="str">
        <f t="shared" si="1"/>
        <v>0.0%</v>
      </c>
    </row>
    <row r="2456">
      <c r="A2456" s="40" t="s">
        <v>6619</v>
      </c>
      <c r="B2456" s="40" t="s">
        <v>9240</v>
      </c>
      <c r="C2456" s="41">
        <v>0.0</v>
      </c>
      <c r="D2456" s="41">
        <v>2.0</v>
      </c>
      <c r="E2456" s="42" t="str">
        <f t="shared" si="1"/>
        <v>0.0%</v>
      </c>
    </row>
    <row r="2457">
      <c r="A2457" s="40" t="s">
        <v>6619</v>
      </c>
      <c r="B2457" s="40" t="s">
        <v>9317</v>
      </c>
      <c r="C2457" s="41">
        <v>0.0</v>
      </c>
      <c r="D2457" s="41">
        <v>2.0</v>
      </c>
      <c r="E2457" s="42" t="str">
        <f t="shared" si="1"/>
        <v>0.0%</v>
      </c>
    </row>
    <row r="2458">
      <c r="A2458" s="40" t="s">
        <v>6619</v>
      </c>
      <c r="B2458" s="40" t="s">
        <v>9308</v>
      </c>
      <c r="C2458" s="41">
        <v>0.0</v>
      </c>
      <c r="D2458" s="41">
        <v>2.0</v>
      </c>
      <c r="E2458" s="42" t="str">
        <f t="shared" si="1"/>
        <v>0.0%</v>
      </c>
    </row>
    <row r="2459">
      <c r="A2459" s="40" t="s">
        <v>6619</v>
      </c>
      <c r="B2459" s="40" t="s">
        <v>9377</v>
      </c>
      <c r="C2459" s="41">
        <v>0.0</v>
      </c>
      <c r="D2459" s="41">
        <v>2.0</v>
      </c>
      <c r="E2459" s="42" t="str">
        <f t="shared" si="1"/>
        <v>0.0%</v>
      </c>
    </row>
    <row r="2460">
      <c r="A2460" s="40" t="s">
        <v>6619</v>
      </c>
      <c r="B2460" s="40" t="s">
        <v>9426</v>
      </c>
      <c r="C2460" s="41">
        <v>0.0</v>
      </c>
      <c r="D2460" s="41">
        <v>2.0</v>
      </c>
      <c r="E2460" s="42" t="str">
        <f t="shared" si="1"/>
        <v>0.0%</v>
      </c>
    </row>
    <row r="2461">
      <c r="A2461" s="40" t="s">
        <v>6619</v>
      </c>
      <c r="B2461" s="40" t="s">
        <v>9427</v>
      </c>
      <c r="C2461" s="41">
        <v>0.0</v>
      </c>
      <c r="D2461" s="41">
        <v>2.0</v>
      </c>
      <c r="E2461" s="42" t="str">
        <f t="shared" si="1"/>
        <v>0.0%</v>
      </c>
    </row>
    <row r="2462">
      <c r="A2462" s="40" t="s">
        <v>6619</v>
      </c>
      <c r="B2462" s="40" t="s">
        <v>9428</v>
      </c>
      <c r="C2462" s="41">
        <v>0.0</v>
      </c>
      <c r="D2462" s="41">
        <v>2.0</v>
      </c>
      <c r="E2462" s="42" t="str">
        <f t="shared" si="1"/>
        <v>0.0%</v>
      </c>
    </row>
    <row r="2463">
      <c r="A2463" s="40" t="s">
        <v>6619</v>
      </c>
      <c r="B2463" s="40" t="s">
        <v>9429</v>
      </c>
      <c r="C2463" s="41">
        <v>0.0</v>
      </c>
      <c r="D2463" s="41">
        <v>2.0</v>
      </c>
      <c r="E2463" s="42" t="str">
        <f t="shared" si="1"/>
        <v>0.0%</v>
      </c>
    </row>
    <row r="2464">
      <c r="A2464" s="40" t="s">
        <v>6619</v>
      </c>
      <c r="B2464" s="40" t="s">
        <v>8794</v>
      </c>
      <c r="C2464" s="41">
        <v>0.0</v>
      </c>
      <c r="D2464" s="41">
        <v>3.0</v>
      </c>
      <c r="E2464" s="42" t="str">
        <f t="shared" si="1"/>
        <v>0.0%</v>
      </c>
    </row>
    <row r="2465">
      <c r="A2465" s="40" t="s">
        <v>6619</v>
      </c>
      <c r="B2465" s="40" t="s">
        <v>9265</v>
      </c>
      <c r="C2465" s="41">
        <v>0.0</v>
      </c>
      <c r="D2465" s="41">
        <v>3.0</v>
      </c>
      <c r="E2465" s="42" t="str">
        <f t="shared" si="1"/>
        <v>0.0%</v>
      </c>
    </row>
    <row r="2466">
      <c r="A2466" s="40" t="s">
        <v>6619</v>
      </c>
      <c r="B2466" s="40" t="s">
        <v>9313</v>
      </c>
      <c r="C2466" s="41">
        <v>0.0</v>
      </c>
      <c r="D2466" s="41">
        <v>3.0</v>
      </c>
      <c r="E2466" s="42" t="str">
        <f t="shared" si="1"/>
        <v>0.0%</v>
      </c>
    </row>
    <row r="2467">
      <c r="A2467" s="40" t="s">
        <v>6619</v>
      </c>
      <c r="B2467" s="40" t="s">
        <v>9314</v>
      </c>
      <c r="C2467" s="41">
        <v>0.0</v>
      </c>
      <c r="D2467" s="41">
        <v>3.0</v>
      </c>
      <c r="E2467" s="42" t="str">
        <f t="shared" si="1"/>
        <v>0.0%</v>
      </c>
    </row>
    <row r="2468">
      <c r="A2468" s="40" t="s">
        <v>6619</v>
      </c>
      <c r="B2468" s="40" t="s">
        <v>9430</v>
      </c>
      <c r="C2468" s="41">
        <v>0.0</v>
      </c>
      <c r="D2468" s="41">
        <v>3.0</v>
      </c>
      <c r="E2468" s="42" t="str">
        <f t="shared" si="1"/>
        <v>0.0%</v>
      </c>
    </row>
    <row r="2469">
      <c r="A2469" s="40" t="s">
        <v>6619</v>
      </c>
      <c r="B2469" s="40" t="s">
        <v>8951</v>
      </c>
      <c r="C2469" s="41">
        <v>0.0</v>
      </c>
      <c r="D2469" s="41">
        <v>4.0</v>
      </c>
      <c r="E2469" s="42" t="str">
        <f t="shared" si="1"/>
        <v>0.0%</v>
      </c>
    </row>
    <row r="2470">
      <c r="A2470" s="40" t="s">
        <v>6619</v>
      </c>
      <c r="B2470" s="40" t="s">
        <v>9218</v>
      </c>
      <c r="C2470" s="41">
        <v>0.0</v>
      </c>
      <c r="D2470" s="41">
        <v>4.0</v>
      </c>
      <c r="E2470" s="42" t="str">
        <f t="shared" si="1"/>
        <v>0.0%</v>
      </c>
    </row>
    <row r="2471">
      <c r="A2471" s="40" t="s">
        <v>6619</v>
      </c>
      <c r="B2471" s="40" t="s">
        <v>9369</v>
      </c>
      <c r="C2471" s="41">
        <v>0.0</v>
      </c>
      <c r="D2471" s="41">
        <v>4.0</v>
      </c>
      <c r="E2471" s="42" t="str">
        <f t="shared" si="1"/>
        <v>0.0%</v>
      </c>
    </row>
    <row r="2472">
      <c r="A2472" s="40" t="s">
        <v>6619</v>
      </c>
      <c r="B2472" s="40" t="s">
        <v>9431</v>
      </c>
      <c r="C2472" s="41">
        <v>0.0</v>
      </c>
      <c r="D2472" s="41">
        <v>5.0</v>
      </c>
      <c r="E2472" s="42" t="str">
        <f t="shared" si="1"/>
        <v>0.0%</v>
      </c>
    </row>
    <row r="2473">
      <c r="A2473" s="40" t="s">
        <v>6904</v>
      </c>
      <c r="B2473" s="40" t="s">
        <v>8530</v>
      </c>
      <c r="C2473" s="41">
        <v>16.0</v>
      </c>
      <c r="D2473" s="41">
        <v>7.0</v>
      </c>
      <c r="E2473" s="42" t="str">
        <f t="shared" si="1"/>
        <v>69.6%</v>
      </c>
    </row>
    <row r="2474">
      <c r="A2474" s="40" t="s">
        <v>6904</v>
      </c>
      <c r="B2474" s="40" t="s">
        <v>8773</v>
      </c>
      <c r="C2474" s="41">
        <v>16.0</v>
      </c>
      <c r="D2474" s="41">
        <v>10.0</v>
      </c>
      <c r="E2474" s="42" t="str">
        <f t="shared" si="1"/>
        <v>61.5%</v>
      </c>
    </row>
    <row r="2475">
      <c r="A2475" s="40" t="s">
        <v>6904</v>
      </c>
      <c r="B2475" s="40" t="s">
        <v>8845</v>
      </c>
      <c r="C2475" s="41">
        <v>16.0</v>
      </c>
      <c r="D2475" s="41">
        <v>11.0</v>
      </c>
      <c r="E2475" s="42" t="str">
        <f t="shared" si="1"/>
        <v>59.3%</v>
      </c>
    </row>
    <row r="2476">
      <c r="A2476" s="40" t="s">
        <v>6904</v>
      </c>
      <c r="B2476" s="40" t="s">
        <v>8876</v>
      </c>
      <c r="C2476" s="41">
        <v>12.0</v>
      </c>
      <c r="D2476" s="41">
        <v>6.0</v>
      </c>
      <c r="E2476" s="42" t="str">
        <f t="shared" si="1"/>
        <v>66.7%</v>
      </c>
    </row>
    <row r="2477">
      <c r="A2477" s="40" t="s">
        <v>6904</v>
      </c>
      <c r="B2477" s="40" t="s">
        <v>8828</v>
      </c>
      <c r="C2477" s="41">
        <v>12.0</v>
      </c>
      <c r="D2477" s="41">
        <v>9.0</v>
      </c>
      <c r="E2477" s="42" t="str">
        <f t="shared" si="1"/>
        <v>57.1%</v>
      </c>
    </row>
    <row r="2478">
      <c r="A2478" s="40" t="s">
        <v>6904</v>
      </c>
      <c r="B2478" s="40" t="s">
        <v>8496</v>
      </c>
      <c r="C2478" s="41">
        <v>12.0</v>
      </c>
      <c r="D2478" s="41">
        <v>12.0</v>
      </c>
      <c r="E2478" s="42" t="str">
        <f t="shared" si="1"/>
        <v>50.0%</v>
      </c>
    </row>
    <row r="2479">
      <c r="A2479" s="40" t="s">
        <v>6904</v>
      </c>
      <c r="B2479" s="40" t="s">
        <v>8682</v>
      </c>
      <c r="C2479" s="41">
        <v>12.0</v>
      </c>
      <c r="D2479" s="41">
        <v>14.0</v>
      </c>
      <c r="E2479" s="42" t="str">
        <f t="shared" si="1"/>
        <v>46.2%</v>
      </c>
    </row>
    <row r="2480">
      <c r="A2480" s="40" t="s">
        <v>6904</v>
      </c>
      <c r="B2480" s="40" t="s">
        <v>8660</v>
      </c>
      <c r="C2480" s="41">
        <v>11.0</v>
      </c>
      <c r="D2480" s="41">
        <v>5.0</v>
      </c>
      <c r="E2480" s="42" t="str">
        <f t="shared" si="1"/>
        <v>68.8%</v>
      </c>
    </row>
    <row r="2481">
      <c r="A2481" s="40" t="s">
        <v>6904</v>
      </c>
      <c r="B2481" s="40" t="s">
        <v>8738</v>
      </c>
      <c r="C2481" s="41">
        <v>11.0</v>
      </c>
      <c r="D2481" s="41">
        <v>5.0</v>
      </c>
      <c r="E2481" s="42" t="str">
        <f t="shared" si="1"/>
        <v>68.8%</v>
      </c>
    </row>
    <row r="2482">
      <c r="A2482" s="40" t="s">
        <v>6904</v>
      </c>
      <c r="B2482" s="40" t="s">
        <v>8872</v>
      </c>
      <c r="C2482" s="41">
        <v>11.0</v>
      </c>
      <c r="D2482" s="41">
        <v>6.0</v>
      </c>
      <c r="E2482" s="42" t="str">
        <f t="shared" si="1"/>
        <v>64.7%</v>
      </c>
    </row>
    <row r="2483">
      <c r="A2483" s="40" t="s">
        <v>6904</v>
      </c>
      <c r="B2483" s="40" t="s">
        <v>8720</v>
      </c>
      <c r="C2483" s="41">
        <v>11.0</v>
      </c>
      <c r="D2483" s="41">
        <v>8.0</v>
      </c>
      <c r="E2483" s="42" t="str">
        <f t="shared" si="1"/>
        <v>57.9%</v>
      </c>
    </row>
    <row r="2484">
      <c r="A2484" s="40" t="s">
        <v>6904</v>
      </c>
      <c r="B2484" s="40" t="s">
        <v>8950</v>
      </c>
      <c r="C2484" s="41">
        <v>10.0</v>
      </c>
      <c r="D2484" s="41">
        <v>4.0</v>
      </c>
      <c r="E2484" s="42" t="str">
        <f t="shared" si="1"/>
        <v>71.4%</v>
      </c>
    </row>
    <row r="2485">
      <c r="A2485" s="40" t="s">
        <v>6904</v>
      </c>
      <c r="B2485" s="40" t="s">
        <v>8951</v>
      </c>
      <c r="C2485" s="41">
        <v>10.0</v>
      </c>
      <c r="D2485" s="41">
        <v>7.0</v>
      </c>
      <c r="E2485" s="42" t="str">
        <f t="shared" si="1"/>
        <v>58.8%</v>
      </c>
    </row>
    <row r="2486">
      <c r="A2486" s="40" t="s">
        <v>6904</v>
      </c>
      <c r="B2486" s="40" t="s">
        <v>8826</v>
      </c>
      <c r="C2486" s="41">
        <v>10.0</v>
      </c>
      <c r="D2486" s="41">
        <v>9.0</v>
      </c>
      <c r="E2486" s="42" t="str">
        <f t="shared" si="1"/>
        <v>52.6%</v>
      </c>
    </row>
    <row r="2487">
      <c r="A2487" s="40" t="s">
        <v>6904</v>
      </c>
      <c r="B2487" s="40" t="s">
        <v>8491</v>
      </c>
      <c r="C2487" s="41">
        <v>10.0</v>
      </c>
      <c r="D2487" s="41">
        <v>14.0</v>
      </c>
      <c r="E2487" s="42" t="str">
        <f t="shared" si="1"/>
        <v>41.7%</v>
      </c>
    </row>
    <row r="2488">
      <c r="A2488" s="40" t="s">
        <v>6904</v>
      </c>
      <c r="B2488" s="40" t="s">
        <v>8837</v>
      </c>
      <c r="C2488" s="41">
        <v>9.0</v>
      </c>
      <c r="D2488" s="41">
        <v>2.0</v>
      </c>
      <c r="E2488" s="42" t="str">
        <f t="shared" si="1"/>
        <v>81.8%</v>
      </c>
    </row>
    <row r="2489">
      <c r="A2489" s="40" t="s">
        <v>6904</v>
      </c>
      <c r="B2489" s="40" t="s">
        <v>8884</v>
      </c>
      <c r="C2489" s="41">
        <v>8.0</v>
      </c>
      <c r="D2489" s="41">
        <v>4.0</v>
      </c>
      <c r="E2489" s="42" t="str">
        <f t="shared" si="1"/>
        <v>66.7%</v>
      </c>
    </row>
    <row r="2490">
      <c r="A2490" s="40" t="s">
        <v>6904</v>
      </c>
      <c r="B2490" s="40" t="s">
        <v>8993</v>
      </c>
      <c r="C2490" s="41">
        <v>8.0</v>
      </c>
      <c r="D2490" s="41">
        <v>8.0</v>
      </c>
      <c r="E2490" s="42" t="str">
        <f t="shared" si="1"/>
        <v>50.0%</v>
      </c>
    </row>
    <row r="2491">
      <c r="A2491" s="40" t="s">
        <v>6904</v>
      </c>
      <c r="B2491" s="40" t="s">
        <v>8490</v>
      </c>
      <c r="C2491" s="41">
        <v>8.0</v>
      </c>
      <c r="D2491" s="41">
        <v>13.0</v>
      </c>
      <c r="E2491" s="42" t="str">
        <f t="shared" si="1"/>
        <v>38.1%</v>
      </c>
    </row>
    <row r="2492">
      <c r="A2492" s="40" t="s">
        <v>6904</v>
      </c>
      <c r="B2492" s="40" t="s">
        <v>8907</v>
      </c>
      <c r="C2492" s="41">
        <v>7.0</v>
      </c>
      <c r="D2492" s="41">
        <v>0.0</v>
      </c>
      <c r="E2492" s="42" t="str">
        <f t="shared" si="1"/>
        <v>100.0%</v>
      </c>
    </row>
    <row r="2493">
      <c r="A2493" s="40" t="s">
        <v>6904</v>
      </c>
      <c r="B2493" s="40" t="s">
        <v>8520</v>
      </c>
      <c r="C2493" s="41">
        <v>7.0</v>
      </c>
      <c r="D2493" s="41">
        <v>2.0</v>
      </c>
      <c r="E2493" s="42" t="str">
        <f t="shared" si="1"/>
        <v>77.8%</v>
      </c>
    </row>
    <row r="2494">
      <c r="A2494" s="40" t="s">
        <v>6904</v>
      </c>
      <c r="B2494" s="40" t="s">
        <v>9146</v>
      </c>
      <c r="C2494" s="41">
        <v>7.0</v>
      </c>
      <c r="D2494" s="41">
        <v>2.0</v>
      </c>
      <c r="E2494" s="42" t="str">
        <f t="shared" si="1"/>
        <v>77.8%</v>
      </c>
    </row>
    <row r="2495">
      <c r="A2495" s="40" t="s">
        <v>6904</v>
      </c>
      <c r="B2495" s="40" t="s">
        <v>8545</v>
      </c>
      <c r="C2495" s="41">
        <v>7.0</v>
      </c>
      <c r="D2495" s="41">
        <v>4.0</v>
      </c>
      <c r="E2495" s="42" t="str">
        <f t="shared" si="1"/>
        <v>63.6%</v>
      </c>
    </row>
    <row r="2496">
      <c r="A2496" s="40" t="s">
        <v>6904</v>
      </c>
      <c r="B2496" s="40" t="s">
        <v>8820</v>
      </c>
      <c r="C2496" s="41">
        <v>7.0</v>
      </c>
      <c r="D2496" s="41">
        <v>4.0</v>
      </c>
      <c r="E2496" s="42" t="str">
        <f t="shared" si="1"/>
        <v>63.6%</v>
      </c>
    </row>
    <row r="2497">
      <c r="A2497" s="40" t="s">
        <v>6904</v>
      </c>
      <c r="B2497" s="40" t="s">
        <v>9292</v>
      </c>
      <c r="C2497" s="41">
        <v>7.0</v>
      </c>
      <c r="D2497" s="41">
        <v>4.0</v>
      </c>
      <c r="E2497" s="42" t="str">
        <f t="shared" si="1"/>
        <v>63.6%</v>
      </c>
    </row>
    <row r="2498">
      <c r="A2498" s="40" t="s">
        <v>6904</v>
      </c>
      <c r="B2498" s="40" t="s">
        <v>9144</v>
      </c>
      <c r="C2498" s="41">
        <v>7.0</v>
      </c>
      <c r="D2498" s="41">
        <v>6.0</v>
      </c>
      <c r="E2498" s="42" t="str">
        <f t="shared" si="1"/>
        <v>53.8%</v>
      </c>
    </row>
    <row r="2499">
      <c r="A2499" s="40" t="s">
        <v>6904</v>
      </c>
      <c r="B2499" s="40" t="s">
        <v>8495</v>
      </c>
      <c r="C2499" s="41">
        <v>7.0</v>
      </c>
      <c r="D2499" s="41">
        <v>8.0</v>
      </c>
      <c r="E2499" s="42" t="str">
        <f t="shared" si="1"/>
        <v>46.7%</v>
      </c>
    </row>
    <row r="2500">
      <c r="A2500" s="40" t="s">
        <v>6904</v>
      </c>
      <c r="B2500" s="40" t="s">
        <v>8881</v>
      </c>
      <c r="C2500" s="41">
        <v>7.0</v>
      </c>
      <c r="D2500" s="41">
        <v>13.0</v>
      </c>
      <c r="E2500" s="42" t="str">
        <f t="shared" si="1"/>
        <v>35.0%</v>
      </c>
    </row>
    <row r="2501">
      <c r="A2501" s="40" t="s">
        <v>6904</v>
      </c>
      <c r="B2501" s="40" t="s">
        <v>9143</v>
      </c>
      <c r="C2501" s="41">
        <v>6.0</v>
      </c>
      <c r="D2501" s="41">
        <v>2.0</v>
      </c>
      <c r="E2501" s="42" t="str">
        <f t="shared" si="1"/>
        <v>75.0%</v>
      </c>
    </row>
    <row r="2502">
      <c r="A2502" s="40" t="s">
        <v>6904</v>
      </c>
      <c r="B2502" s="40" t="s">
        <v>8819</v>
      </c>
      <c r="C2502" s="41">
        <v>6.0</v>
      </c>
      <c r="D2502" s="41">
        <v>5.0</v>
      </c>
      <c r="E2502" s="42" t="str">
        <f t="shared" si="1"/>
        <v>54.5%</v>
      </c>
    </row>
    <row r="2503">
      <c r="A2503" s="40" t="s">
        <v>6904</v>
      </c>
      <c r="B2503" s="40" t="s">
        <v>9205</v>
      </c>
      <c r="C2503" s="41">
        <v>6.0</v>
      </c>
      <c r="D2503" s="41">
        <v>5.0</v>
      </c>
      <c r="E2503" s="42" t="str">
        <f t="shared" si="1"/>
        <v>54.5%</v>
      </c>
    </row>
    <row r="2504">
      <c r="A2504" s="40" t="s">
        <v>6904</v>
      </c>
      <c r="B2504" s="40" t="s">
        <v>8698</v>
      </c>
      <c r="C2504" s="41">
        <v>6.0</v>
      </c>
      <c r="D2504" s="41">
        <v>6.0</v>
      </c>
      <c r="E2504" s="42" t="str">
        <f t="shared" si="1"/>
        <v>50.0%</v>
      </c>
    </row>
    <row r="2505">
      <c r="A2505" s="40" t="s">
        <v>6904</v>
      </c>
      <c r="B2505" s="40" t="s">
        <v>8948</v>
      </c>
      <c r="C2505" s="41">
        <v>6.0</v>
      </c>
      <c r="D2505" s="41">
        <v>6.0</v>
      </c>
      <c r="E2505" s="42" t="str">
        <f t="shared" si="1"/>
        <v>50.0%</v>
      </c>
    </row>
    <row r="2506">
      <c r="A2506" s="40" t="s">
        <v>6904</v>
      </c>
      <c r="B2506" s="40" t="s">
        <v>9284</v>
      </c>
      <c r="C2506" s="41">
        <v>6.0</v>
      </c>
      <c r="D2506" s="41">
        <v>6.0</v>
      </c>
      <c r="E2506" s="42" t="str">
        <f t="shared" si="1"/>
        <v>50.0%</v>
      </c>
    </row>
    <row r="2507">
      <c r="A2507" s="40" t="s">
        <v>6904</v>
      </c>
      <c r="B2507" s="40" t="s">
        <v>9432</v>
      </c>
      <c r="C2507" s="41">
        <v>6.0</v>
      </c>
      <c r="D2507" s="41">
        <v>6.0</v>
      </c>
      <c r="E2507" s="42" t="str">
        <f t="shared" si="1"/>
        <v>50.0%</v>
      </c>
    </row>
    <row r="2508">
      <c r="A2508" s="40" t="s">
        <v>6904</v>
      </c>
      <c r="B2508" s="40" t="s">
        <v>9120</v>
      </c>
      <c r="C2508" s="41">
        <v>6.0</v>
      </c>
      <c r="D2508" s="41">
        <v>12.0</v>
      </c>
      <c r="E2508" s="42" t="str">
        <f t="shared" si="1"/>
        <v>33.3%</v>
      </c>
    </row>
    <row r="2509">
      <c r="A2509" s="40" t="s">
        <v>6904</v>
      </c>
      <c r="B2509" s="40" t="s">
        <v>8816</v>
      </c>
      <c r="C2509" s="41">
        <v>5.0</v>
      </c>
      <c r="D2509" s="41">
        <v>3.0</v>
      </c>
      <c r="E2509" s="42" t="str">
        <f t="shared" si="1"/>
        <v>62.5%</v>
      </c>
    </row>
    <row r="2510">
      <c r="A2510" s="40" t="s">
        <v>6904</v>
      </c>
      <c r="B2510" s="40" t="s">
        <v>9037</v>
      </c>
      <c r="C2510" s="41">
        <v>5.0</v>
      </c>
      <c r="D2510" s="41">
        <v>5.0</v>
      </c>
      <c r="E2510" s="42" t="str">
        <f t="shared" si="1"/>
        <v>50.0%</v>
      </c>
    </row>
    <row r="2511">
      <c r="A2511" s="40" t="s">
        <v>6904</v>
      </c>
      <c r="B2511" s="40" t="s">
        <v>9433</v>
      </c>
      <c r="C2511" s="41">
        <v>5.0</v>
      </c>
      <c r="D2511" s="41">
        <v>7.0</v>
      </c>
      <c r="E2511" s="42" t="str">
        <f t="shared" si="1"/>
        <v>41.7%</v>
      </c>
    </row>
    <row r="2512">
      <c r="A2512" s="40" t="s">
        <v>6904</v>
      </c>
      <c r="B2512" s="40" t="s">
        <v>8501</v>
      </c>
      <c r="C2512" s="41">
        <v>5.0</v>
      </c>
      <c r="D2512" s="41">
        <v>9.0</v>
      </c>
      <c r="E2512" s="42" t="str">
        <f t="shared" si="1"/>
        <v>35.7%</v>
      </c>
    </row>
    <row r="2513">
      <c r="A2513" s="40" t="s">
        <v>6904</v>
      </c>
      <c r="B2513" s="40" t="s">
        <v>9044</v>
      </c>
      <c r="C2513" s="41">
        <v>5.0</v>
      </c>
      <c r="D2513" s="41">
        <v>12.0</v>
      </c>
      <c r="E2513" s="42" t="str">
        <f t="shared" si="1"/>
        <v>29.4%</v>
      </c>
    </row>
    <row r="2514">
      <c r="A2514" s="40" t="s">
        <v>6904</v>
      </c>
      <c r="B2514" s="40" t="s">
        <v>9423</v>
      </c>
      <c r="C2514" s="41">
        <v>4.0</v>
      </c>
      <c r="D2514" s="41">
        <v>0.0</v>
      </c>
      <c r="E2514" s="42" t="str">
        <f t="shared" si="1"/>
        <v>100.0%</v>
      </c>
    </row>
    <row r="2515">
      <c r="A2515" s="40" t="s">
        <v>6904</v>
      </c>
      <c r="B2515" s="40" t="s">
        <v>8564</v>
      </c>
      <c r="C2515" s="41">
        <v>4.0</v>
      </c>
      <c r="D2515" s="41">
        <v>1.0</v>
      </c>
      <c r="E2515" s="42" t="str">
        <f t="shared" si="1"/>
        <v>80.0%</v>
      </c>
    </row>
    <row r="2516">
      <c r="A2516" s="40" t="s">
        <v>6904</v>
      </c>
      <c r="B2516" s="40" t="s">
        <v>8929</v>
      </c>
      <c r="C2516" s="41">
        <v>4.0</v>
      </c>
      <c r="D2516" s="41">
        <v>1.0</v>
      </c>
      <c r="E2516" s="42" t="str">
        <f t="shared" si="1"/>
        <v>80.0%</v>
      </c>
    </row>
    <row r="2517">
      <c r="A2517" s="40" t="s">
        <v>6904</v>
      </c>
      <c r="B2517" s="40" t="s">
        <v>9109</v>
      </c>
      <c r="C2517" s="41">
        <v>4.0</v>
      </c>
      <c r="D2517" s="41">
        <v>1.0</v>
      </c>
      <c r="E2517" s="42" t="str">
        <f t="shared" si="1"/>
        <v>80.0%</v>
      </c>
    </row>
    <row r="2518">
      <c r="A2518" s="40" t="s">
        <v>6904</v>
      </c>
      <c r="B2518" s="40" t="s">
        <v>9251</v>
      </c>
      <c r="C2518" s="41">
        <v>4.0</v>
      </c>
      <c r="D2518" s="41">
        <v>1.0</v>
      </c>
      <c r="E2518" s="42" t="str">
        <f t="shared" si="1"/>
        <v>80.0%</v>
      </c>
    </row>
    <row r="2519">
      <c r="A2519" s="40" t="s">
        <v>6904</v>
      </c>
      <c r="B2519" s="40" t="s">
        <v>9434</v>
      </c>
      <c r="C2519" s="41">
        <v>4.0</v>
      </c>
      <c r="D2519" s="41">
        <v>1.0</v>
      </c>
      <c r="E2519" s="42" t="str">
        <f t="shared" si="1"/>
        <v>80.0%</v>
      </c>
    </row>
    <row r="2520">
      <c r="A2520" s="40" t="s">
        <v>6904</v>
      </c>
      <c r="B2520" s="40" t="s">
        <v>9123</v>
      </c>
      <c r="C2520" s="41">
        <v>4.0</v>
      </c>
      <c r="D2520" s="41">
        <v>2.0</v>
      </c>
      <c r="E2520" s="42" t="str">
        <f t="shared" si="1"/>
        <v>66.7%</v>
      </c>
    </row>
    <row r="2521">
      <c r="A2521" s="40" t="s">
        <v>6904</v>
      </c>
      <c r="B2521" s="40" t="s">
        <v>9152</v>
      </c>
      <c r="C2521" s="41">
        <v>4.0</v>
      </c>
      <c r="D2521" s="41">
        <v>2.0</v>
      </c>
      <c r="E2521" s="42" t="str">
        <f t="shared" si="1"/>
        <v>66.7%</v>
      </c>
    </row>
    <row r="2522">
      <c r="A2522" s="40" t="s">
        <v>6904</v>
      </c>
      <c r="B2522" s="40" t="s">
        <v>9223</v>
      </c>
      <c r="C2522" s="41">
        <v>4.0</v>
      </c>
      <c r="D2522" s="41">
        <v>2.0</v>
      </c>
      <c r="E2522" s="42" t="str">
        <f t="shared" si="1"/>
        <v>66.7%</v>
      </c>
    </row>
    <row r="2523">
      <c r="A2523" s="40" t="s">
        <v>6904</v>
      </c>
      <c r="B2523" s="40" t="s">
        <v>9028</v>
      </c>
      <c r="C2523" s="41">
        <v>4.0</v>
      </c>
      <c r="D2523" s="41">
        <v>3.0</v>
      </c>
      <c r="E2523" s="42" t="str">
        <f t="shared" si="1"/>
        <v>57.1%</v>
      </c>
    </row>
    <row r="2524">
      <c r="A2524" s="40" t="s">
        <v>6904</v>
      </c>
      <c r="B2524" s="40" t="s">
        <v>8909</v>
      </c>
      <c r="C2524" s="41">
        <v>4.0</v>
      </c>
      <c r="D2524" s="41">
        <v>4.0</v>
      </c>
      <c r="E2524" s="42" t="str">
        <f t="shared" si="1"/>
        <v>50.0%</v>
      </c>
    </row>
    <row r="2525">
      <c r="A2525" s="40" t="s">
        <v>6904</v>
      </c>
      <c r="B2525" s="40" t="s">
        <v>8500</v>
      </c>
      <c r="C2525" s="41">
        <v>4.0</v>
      </c>
      <c r="D2525" s="41">
        <v>7.0</v>
      </c>
      <c r="E2525" s="42" t="str">
        <f t="shared" si="1"/>
        <v>36.4%</v>
      </c>
    </row>
    <row r="2526">
      <c r="A2526" s="40" t="s">
        <v>6904</v>
      </c>
      <c r="B2526" s="40" t="s">
        <v>9368</v>
      </c>
      <c r="C2526" s="41">
        <v>3.0</v>
      </c>
      <c r="D2526" s="41">
        <v>0.0</v>
      </c>
      <c r="E2526" s="42" t="str">
        <f t="shared" si="1"/>
        <v>100.0%</v>
      </c>
    </row>
    <row r="2527">
      <c r="A2527" s="40" t="s">
        <v>6904</v>
      </c>
      <c r="B2527" s="40" t="s">
        <v>9083</v>
      </c>
      <c r="C2527" s="41">
        <v>3.0</v>
      </c>
      <c r="D2527" s="41">
        <v>1.0</v>
      </c>
      <c r="E2527" s="42" t="str">
        <f t="shared" si="1"/>
        <v>75.0%</v>
      </c>
    </row>
    <row r="2528">
      <c r="A2528" s="40" t="s">
        <v>6904</v>
      </c>
      <c r="B2528" s="40" t="s">
        <v>9177</v>
      </c>
      <c r="C2528" s="41">
        <v>3.0</v>
      </c>
      <c r="D2528" s="41">
        <v>1.0</v>
      </c>
      <c r="E2528" s="42" t="str">
        <f t="shared" si="1"/>
        <v>75.0%</v>
      </c>
    </row>
    <row r="2529">
      <c r="A2529" s="40" t="s">
        <v>6904</v>
      </c>
      <c r="B2529" s="40" t="s">
        <v>9243</v>
      </c>
      <c r="C2529" s="41">
        <v>3.0</v>
      </c>
      <c r="D2529" s="41">
        <v>1.0</v>
      </c>
      <c r="E2529" s="42" t="str">
        <f t="shared" si="1"/>
        <v>75.0%</v>
      </c>
    </row>
    <row r="2530">
      <c r="A2530" s="40" t="s">
        <v>6904</v>
      </c>
      <c r="B2530" s="40" t="s">
        <v>9426</v>
      </c>
      <c r="C2530" s="41">
        <v>3.0</v>
      </c>
      <c r="D2530" s="41">
        <v>1.0</v>
      </c>
      <c r="E2530" s="42" t="str">
        <f t="shared" si="1"/>
        <v>75.0%</v>
      </c>
    </row>
    <row r="2531">
      <c r="A2531" s="40" t="s">
        <v>6904</v>
      </c>
      <c r="B2531" s="40" t="s">
        <v>9435</v>
      </c>
      <c r="C2531" s="41">
        <v>3.0</v>
      </c>
      <c r="D2531" s="41">
        <v>1.0</v>
      </c>
      <c r="E2531" s="42" t="str">
        <f t="shared" si="1"/>
        <v>75.0%</v>
      </c>
    </row>
    <row r="2532">
      <c r="A2532" s="40" t="s">
        <v>6904</v>
      </c>
      <c r="B2532" s="40" t="s">
        <v>9108</v>
      </c>
      <c r="C2532" s="41">
        <v>3.0</v>
      </c>
      <c r="D2532" s="41">
        <v>2.0</v>
      </c>
      <c r="E2532" s="42" t="str">
        <f t="shared" si="1"/>
        <v>60.0%</v>
      </c>
    </row>
    <row r="2533">
      <c r="A2533" s="40" t="s">
        <v>6904</v>
      </c>
      <c r="B2533" s="40" t="s">
        <v>9270</v>
      </c>
      <c r="C2533" s="41">
        <v>3.0</v>
      </c>
      <c r="D2533" s="41">
        <v>2.0</v>
      </c>
      <c r="E2533" s="42" t="str">
        <f t="shared" si="1"/>
        <v>60.0%</v>
      </c>
    </row>
    <row r="2534">
      <c r="A2534" s="40" t="s">
        <v>6904</v>
      </c>
      <c r="B2534" s="40" t="s">
        <v>9272</v>
      </c>
      <c r="C2534" s="41">
        <v>3.0</v>
      </c>
      <c r="D2534" s="41">
        <v>2.0</v>
      </c>
      <c r="E2534" s="42" t="str">
        <f t="shared" si="1"/>
        <v>60.0%</v>
      </c>
    </row>
    <row r="2535">
      <c r="A2535" s="40" t="s">
        <v>6904</v>
      </c>
      <c r="B2535" s="40" t="s">
        <v>9304</v>
      </c>
      <c r="C2535" s="41">
        <v>3.0</v>
      </c>
      <c r="D2535" s="41">
        <v>2.0</v>
      </c>
      <c r="E2535" s="42" t="str">
        <f t="shared" si="1"/>
        <v>60.0%</v>
      </c>
    </row>
    <row r="2536">
      <c r="A2536" s="40" t="s">
        <v>6904</v>
      </c>
      <c r="B2536" s="40" t="s">
        <v>8808</v>
      </c>
      <c r="C2536" s="41">
        <v>3.0</v>
      </c>
      <c r="D2536" s="41">
        <v>3.0</v>
      </c>
      <c r="E2536" s="42" t="str">
        <f t="shared" si="1"/>
        <v>50.0%</v>
      </c>
    </row>
    <row r="2537">
      <c r="A2537" s="40" t="s">
        <v>6904</v>
      </c>
      <c r="B2537" s="40" t="s">
        <v>8824</v>
      </c>
      <c r="C2537" s="41">
        <v>3.0</v>
      </c>
      <c r="D2537" s="41">
        <v>3.0</v>
      </c>
      <c r="E2537" s="42" t="str">
        <f t="shared" si="1"/>
        <v>50.0%</v>
      </c>
    </row>
    <row r="2538">
      <c r="A2538" s="40" t="s">
        <v>6904</v>
      </c>
      <c r="B2538" s="40" t="s">
        <v>9436</v>
      </c>
      <c r="C2538" s="41">
        <v>3.0</v>
      </c>
      <c r="D2538" s="41">
        <v>3.0</v>
      </c>
      <c r="E2538" s="42" t="str">
        <f t="shared" si="1"/>
        <v>50.0%</v>
      </c>
    </row>
    <row r="2539">
      <c r="A2539" s="40" t="s">
        <v>6904</v>
      </c>
      <c r="B2539" s="40" t="s">
        <v>9437</v>
      </c>
      <c r="C2539" s="41">
        <v>3.0</v>
      </c>
      <c r="D2539" s="41">
        <v>3.0</v>
      </c>
      <c r="E2539" s="42" t="str">
        <f t="shared" si="1"/>
        <v>50.0%</v>
      </c>
    </row>
    <row r="2540">
      <c r="A2540" s="40" t="s">
        <v>6904</v>
      </c>
      <c r="B2540" s="40" t="s">
        <v>8899</v>
      </c>
      <c r="C2540" s="41">
        <v>3.0</v>
      </c>
      <c r="D2540" s="41">
        <v>5.0</v>
      </c>
      <c r="E2540" s="42" t="str">
        <f t="shared" si="1"/>
        <v>37.5%</v>
      </c>
    </row>
    <row r="2541">
      <c r="A2541" s="40" t="s">
        <v>6904</v>
      </c>
      <c r="B2541" s="40" t="s">
        <v>9101</v>
      </c>
      <c r="C2541" s="41">
        <v>3.0</v>
      </c>
      <c r="D2541" s="41">
        <v>5.0</v>
      </c>
      <c r="E2541" s="42" t="str">
        <f t="shared" si="1"/>
        <v>37.5%</v>
      </c>
    </row>
    <row r="2542">
      <c r="A2542" s="40" t="s">
        <v>6904</v>
      </c>
      <c r="B2542" s="40" t="s">
        <v>9161</v>
      </c>
      <c r="C2542" s="41">
        <v>3.0</v>
      </c>
      <c r="D2542" s="41">
        <v>6.0</v>
      </c>
      <c r="E2542" s="42" t="str">
        <f t="shared" si="1"/>
        <v>33.3%</v>
      </c>
    </row>
    <row r="2543">
      <c r="A2543" s="40" t="s">
        <v>6904</v>
      </c>
      <c r="B2543" s="40" t="s">
        <v>9438</v>
      </c>
      <c r="C2543" s="41">
        <v>3.0</v>
      </c>
      <c r="D2543" s="41">
        <v>6.0</v>
      </c>
      <c r="E2543" s="42" t="str">
        <f t="shared" si="1"/>
        <v>33.3%</v>
      </c>
    </row>
    <row r="2544">
      <c r="A2544" s="40" t="s">
        <v>6904</v>
      </c>
      <c r="B2544" s="40" t="s">
        <v>9159</v>
      </c>
      <c r="C2544" s="41">
        <v>3.0</v>
      </c>
      <c r="D2544" s="41">
        <v>7.0</v>
      </c>
      <c r="E2544" s="42" t="str">
        <f t="shared" si="1"/>
        <v>30.0%</v>
      </c>
    </row>
    <row r="2545">
      <c r="A2545" s="40" t="s">
        <v>6904</v>
      </c>
      <c r="B2545" s="40" t="s">
        <v>9269</v>
      </c>
      <c r="C2545" s="41">
        <v>3.0</v>
      </c>
      <c r="D2545" s="41">
        <v>8.0</v>
      </c>
      <c r="E2545" s="42" t="str">
        <f t="shared" si="1"/>
        <v>27.3%</v>
      </c>
    </row>
    <row r="2546">
      <c r="A2546" s="40" t="s">
        <v>6904</v>
      </c>
      <c r="B2546" s="40" t="s">
        <v>8675</v>
      </c>
      <c r="C2546" s="41">
        <v>2.0</v>
      </c>
      <c r="D2546" s="41">
        <v>0.0</v>
      </c>
      <c r="E2546" s="42" t="str">
        <f t="shared" si="1"/>
        <v>100.0%</v>
      </c>
    </row>
    <row r="2547">
      <c r="A2547" s="40" t="s">
        <v>6904</v>
      </c>
      <c r="B2547" s="40" t="s">
        <v>8705</v>
      </c>
      <c r="C2547" s="41">
        <v>2.0</v>
      </c>
      <c r="D2547" s="41">
        <v>0.0</v>
      </c>
      <c r="E2547" s="42" t="str">
        <f t="shared" si="1"/>
        <v>100.0%</v>
      </c>
    </row>
    <row r="2548">
      <c r="A2548" s="40" t="s">
        <v>6904</v>
      </c>
      <c r="B2548" s="40" t="s">
        <v>9014</v>
      </c>
      <c r="C2548" s="41">
        <v>2.0</v>
      </c>
      <c r="D2548" s="41">
        <v>0.0</v>
      </c>
      <c r="E2548" s="42" t="str">
        <f t="shared" si="1"/>
        <v>100.0%</v>
      </c>
    </row>
    <row r="2549">
      <c r="A2549" s="40" t="s">
        <v>6904</v>
      </c>
      <c r="B2549" s="40" t="s">
        <v>9122</v>
      </c>
      <c r="C2549" s="41">
        <v>2.0</v>
      </c>
      <c r="D2549" s="41">
        <v>0.0</v>
      </c>
      <c r="E2549" s="42" t="str">
        <f t="shared" si="1"/>
        <v>100.0%</v>
      </c>
    </row>
    <row r="2550">
      <c r="A2550" s="40" t="s">
        <v>6904</v>
      </c>
      <c r="B2550" s="40" t="s">
        <v>9252</v>
      </c>
      <c r="C2550" s="41">
        <v>2.0</v>
      </c>
      <c r="D2550" s="41">
        <v>0.0</v>
      </c>
      <c r="E2550" s="42" t="str">
        <f t="shared" si="1"/>
        <v>100.0%</v>
      </c>
    </row>
    <row r="2551">
      <c r="A2551" s="40" t="s">
        <v>6904</v>
      </c>
      <c r="B2551" s="40" t="s">
        <v>9306</v>
      </c>
      <c r="C2551" s="41">
        <v>2.0</v>
      </c>
      <c r="D2551" s="41">
        <v>0.0</v>
      </c>
      <c r="E2551" s="42" t="str">
        <f t="shared" si="1"/>
        <v>100.0%</v>
      </c>
    </row>
    <row r="2552">
      <c r="A2552" s="40" t="s">
        <v>6904</v>
      </c>
      <c r="B2552" s="40" t="s">
        <v>9357</v>
      </c>
      <c r="C2552" s="41">
        <v>2.0</v>
      </c>
      <c r="D2552" s="41">
        <v>0.0</v>
      </c>
      <c r="E2552" s="42" t="str">
        <f t="shared" si="1"/>
        <v>100.0%</v>
      </c>
    </row>
    <row r="2553">
      <c r="A2553" s="40" t="s">
        <v>6904</v>
      </c>
      <c r="B2553" s="40" t="s">
        <v>9315</v>
      </c>
      <c r="C2553" s="41">
        <v>2.0</v>
      </c>
      <c r="D2553" s="41">
        <v>0.0</v>
      </c>
      <c r="E2553" s="42" t="str">
        <f t="shared" si="1"/>
        <v>100.0%</v>
      </c>
    </row>
    <row r="2554">
      <c r="A2554" s="40" t="s">
        <v>6904</v>
      </c>
      <c r="B2554" s="40" t="s">
        <v>9413</v>
      </c>
      <c r="C2554" s="41">
        <v>2.0</v>
      </c>
      <c r="D2554" s="41">
        <v>0.0</v>
      </c>
      <c r="E2554" s="42" t="str">
        <f t="shared" si="1"/>
        <v>100.0%</v>
      </c>
    </row>
    <row r="2555">
      <c r="A2555" s="40" t="s">
        <v>6904</v>
      </c>
      <c r="B2555" s="40" t="s">
        <v>8518</v>
      </c>
      <c r="C2555" s="41">
        <v>2.0</v>
      </c>
      <c r="D2555" s="41">
        <v>1.0</v>
      </c>
      <c r="E2555" s="42" t="str">
        <f t="shared" si="1"/>
        <v>66.7%</v>
      </c>
    </row>
    <row r="2556">
      <c r="A2556" s="40" t="s">
        <v>6904</v>
      </c>
      <c r="B2556" s="40" t="s">
        <v>8609</v>
      </c>
      <c r="C2556" s="41">
        <v>2.0</v>
      </c>
      <c r="D2556" s="41">
        <v>1.0</v>
      </c>
      <c r="E2556" s="42" t="str">
        <f t="shared" si="1"/>
        <v>66.7%</v>
      </c>
    </row>
    <row r="2557">
      <c r="A2557" s="40" t="s">
        <v>6904</v>
      </c>
      <c r="B2557" s="40" t="s">
        <v>8853</v>
      </c>
      <c r="C2557" s="41">
        <v>2.0</v>
      </c>
      <c r="D2557" s="41">
        <v>1.0</v>
      </c>
      <c r="E2557" s="42" t="str">
        <f t="shared" si="1"/>
        <v>66.7%</v>
      </c>
    </row>
    <row r="2558">
      <c r="A2558" s="40" t="s">
        <v>6904</v>
      </c>
      <c r="B2558" s="40" t="s">
        <v>8920</v>
      </c>
      <c r="C2558" s="41">
        <v>2.0</v>
      </c>
      <c r="D2558" s="41">
        <v>1.0</v>
      </c>
      <c r="E2558" s="42" t="str">
        <f t="shared" si="1"/>
        <v>66.7%</v>
      </c>
    </row>
    <row r="2559">
      <c r="A2559" s="40" t="s">
        <v>6904</v>
      </c>
      <c r="B2559" s="40" t="s">
        <v>8959</v>
      </c>
      <c r="C2559" s="41">
        <v>2.0</v>
      </c>
      <c r="D2559" s="41">
        <v>1.0</v>
      </c>
      <c r="E2559" s="42" t="str">
        <f t="shared" si="1"/>
        <v>66.7%</v>
      </c>
    </row>
    <row r="2560">
      <c r="A2560" s="40" t="s">
        <v>6904</v>
      </c>
      <c r="B2560" s="40" t="s">
        <v>9151</v>
      </c>
      <c r="C2560" s="41">
        <v>2.0</v>
      </c>
      <c r="D2560" s="41">
        <v>1.0</v>
      </c>
      <c r="E2560" s="42" t="str">
        <f t="shared" si="1"/>
        <v>66.7%</v>
      </c>
    </row>
    <row r="2561">
      <c r="A2561" s="40" t="s">
        <v>6904</v>
      </c>
      <c r="B2561" s="40" t="s">
        <v>9201</v>
      </c>
      <c r="C2561" s="41">
        <v>2.0</v>
      </c>
      <c r="D2561" s="41">
        <v>1.0</v>
      </c>
      <c r="E2561" s="42" t="str">
        <f t="shared" si="1"/>
        <v>66.7%</v>
      </c>
    </row>
    <row r="2562">
      <c r="A2562" s="40" t="s">
        <v>6904</v>
      </c>
      <c r="B2562" s="40" t="s">
        <v>9268</v>
      </c>
      <c r="C2562" s="41">
        <v>2.0</v>
      </c>
      <c r="D2562" s="41">
        <v>1.0</v>
      </c>
      <c r="E2562" s="42" t="str">
        <f t="shared" si="1"/>
        <v>66.7%</v>
      </c>
    </row>
    <row r="2563">
      <c r="A2563" s="40" t="s">
        <v>6904</v>
      </c>
      <c r="B2563" s="40" t="s">
        <v>9320</v>
      </c>
      <c r="C2563" s="41">
        <v>2.0</v>
      </c>
      <c r="D2563" s="41">
        <v>1.0</v>
      </c>
      <c r="E2563" s="42" t="str">
        <f t="shared" si="1"/>
        <v>66.7%</v>
      </c>
    </row>
    <row r="2564">
      <c r="A2564" s="40" t="s">
        <v>6904</v>
      </c>
      <c r="B2564" s="40" t="s">
        <v>9296</v>
      </c>
      <c r="C2564" s="41">
        <v>2.0</v>
      </c>
      <c r="D2564" s="41">
        <v>1.0</v>
      </c>
      <c r="E2564" s="42" t="str">
        <f t="shared" si="1"/>
        <v>66.7%</v>
      </c>
    </row>
    <row r="2565">
      <c r="A2565" s="40" t="s">
        <v>6904</v>
      </c>
      <c r="B2565" s="40" t="s">
        <v>9377</v>
      </c>
      <c r="C2565" s="41">
        <v>2.0</v>
      </c>
      <c r="D2565" s="41">
        <v>1.0</v>
      </c>
      <c r="E2565" s="42" t="str">
        <f t="shared" si="1"/>
        <v>66.7%</v>
      </c>
    </row>
    <row r="2566">
      <c r="A2566" s="40" t="s">
        <v>6904</v>
      </c>
      <c r="B2566" s="40" t="s">
        <v>9344</v>
      </c>
      <c r="C2566" s="41">
        <v>2.0</v>
      </c>
      <c r="D2566" s="41">
        <v>1.0</v>
      </c>
      <c r="E2566" s="42" t="str">
        <f t="shared" si="1"/>
        <v>66.7%</v>
      </c>
    </row>
    <row r="2567">
      <c r="A2567" s="40" t="s">
        <v>6904</v>
      </c>
      <c r="B2567" s="40" t="s">
        <v>9439</v>
      </c>
      <c r="C2567" s="41">
        <v>2.0</v>
      </c>
      <c r="D2567" s="41">
        <v>1.0</v>
      </c>
      <c r="E2567" s="42" t="str">
        <f t="shared" si="1"/>
        <v>66.7%</v>
      </c>
    </row>
    <row r="2568">
      <c r="A2568" s="40" t="s">
        <v>6904</v>
      </c>
      <c r="B2568" s="40" t="s">
        <v>9440</v>
      </c>
      <c r="C2568" s="41">
        <v>2.0</v>
      </c>
      <c r="D2568" s="41">
        <v>1.0</v>
      </c>
      <c r="E2568" s="42" t="str">
        <f t="shared" si="1"/>
        <v>66.7%</v>
      </c>
    </row>
    <row r="2569">
      <c r="A2569" s="40" t="s">
        <v>6904</v>
      </c>
      <c r="B2569" s="40" t="s">
        <v>8805</v>
      </c>
      <c r="C2569" s="41">
        <v>2.0</v>
      </c>
      <c r="D2569" s="41">
        <v>2.0</v>
      </c>
      <c r="E2569" s="42" t="str">
        <f t="shared" si="1"/>
        <v>50.0%</v>
      </c>
    </row>
    <row r="2570">
      <c r="A2570" s="40" t="s">
        <v>6904</v>
      </c>
      <c r="B2570" s="40" t="s">
        <v>8923</v>
      </c>
      <c r="C2570" s="41">
        <v>2.0</v>
      </c>
      <c r="D2570" s="41">
        <v>2.0</v>
      </c>
      <c r="E2570" s="42" t="str">
        <f t="shared" si="1"/>
        <v>50.0%</v>
      </c>
    </row>
    <row r="2571">
      <c r="A2571" s="40" t="s">
        <v>6904</v>
      </c>
      <c r="B2571" s="40" t="s">
        <v>8921</v>
      </c>
      <c r="C2571" s="41">
        <v>2.0</v>
      </c>
      <c r="D2571" s="41">
        <v>2.0</v>
      </c>
      <c r="E2571" s="42" t="str">
        <f t="shared" si="1"/>
        <v>50.0%</v>
      </c>
    </row>
    <row r="2572">
      <c r="A2572" s="40" t="s">
        <v>6904</v>
      </c>
      <c r="B2572" s="40" t="s">
        <v>9113</v>
      </c>
      <c r="C2572" s="41">
        <v>2.0</v>
      </c>
      <c r="D2572" s="41">
        <v>2.0</v>
      </c>
      <c r="E2572" s="42" t="str">
        <f t="shared" si="1"/>
        <v>50.0%</v>
      </c>
    </row>
    <row r="2573">
      <c r="A2573" s="40" t="s">
        <v>6904</v>
      </c>
      <c r="B2573" s="40" t="s">
        <v>9189</v>
      </c>
      <c r="C2573" s="41">
        <v>2.0</v>
      </c>
      <c r="D2573" s="41">
        <v>2.0</v>
      </c>
      <c r="E2573" s="42" t="str">
        <f t="shared" si="1"/>
        <v>50.0%</v>
      </c>
    </row>
    <row r="2574">
      <c r="A2574" s="40" t="s">
        <v>6904</v>
      </c>
      <c r="B2574" s="40" t="s">
        <v>9389</v>
      </c>
      <c r="C2574" s="41">
        <v>2.0</v>
      </c>
      <c r="D2574" s="41">
        <v>2.0</v>
      </c>
      <c r="E2574" s="42" t="str">
        <f t="shared" si="1"/>
        <v>50.0%</v>
      </c>
    </row>
    <row r="2575">
      <c r="A2575" s="40" t="s">
        <v>6904</v>
      </c>
      <c r="B2575" s="40" t="s">
        <v>9441</v>
      </c>
      <c r="C2575" s="41">
        <v>2.0</v>
      </c>
      <c r="D2575" s="41">
        <v>2.0</v>
      </c>
      <c r="E2575" s="42" t="str">
        <f t="shared" si="1"/>
        <v>50.0%</v>
      </c>
    </row>
    <row r="2576">
      <c r="A2576" s="40" t="s">
        <v>6904</v>
      </c>
      <c r="B2576" s="40" t="s">
        <v>9442</v>
      </c>
      <c r="C2576" s="41">
        <v>2.0</v>
      </c>
      <c r="D2576" s="41">
        <v>2.0</v>
      </c>
      <c r="E2576" s="42" t="str">
        <f t="shared" si="1"/>
        <v>50.0%</v>
      </c>
    </row>
    <row r="2577">
      <c r="A2577" s="40" t="s">
        <v>6904</v>
      </c>
      <c r="B2577" s="40" t="s">
        <v>9443</v>
      </c>
      <c r="C2577" s="41">
        <v>2.0</v>
      </c>
      <c r="D2577" s="41">
        <v>2.0</v>
      </c>
      <c r="E2577" s="42" t="str">
        <f t="shared" si="1"/>
        <v>50.0%</v>
      </c>
    </row>
    <row r="2578">
      <c r="A2578" s="40" t="s">
        <v>6904</v>
      </c>
      <c r="B2578" s="40" t="s">
        <v>8957</v>
      </c>
      <c r="C2578" s="41">
        <v>2.0</v>
      </c>
      <c r="D2578" s="41">
        <v>3.0</v>
      </c>
      <c r="E2578" s="42" t="str">
        <f t="shared" si="1"/>
        <v>40.0%</v>
      </c>
    </row>
    <row r="2579">
      <c r="A2579" s="40" t="s">
        <v>6904</v>
      </c>
      <c r="B2579" s="40" t="s">
        <v>9094</v>
      </c>
      <c r="C2579" s="41">
        <v>2.0</v>
      </c>
      <c r="D2579" s="41">
        <v>3.0</v>
      </c>
      <c r="E2579" s="42" t="str">
        <f t="shared" si="1"/>
        <v>40.0%</v>
      </c>
    </row>
    <row r="2580">
      <c r="A2580" s="40" t="s">
        <v>6904</v>
      </c>
      <c r="B2580" s="40" t="s">
        <v>9158</v>
      </c>
      <c r="C2580" s="41">
        <v>2.0</v>
      </c>
      <c r="D2580" s="41">
        <v>3.0</v>
      </c>
      <c r="E2580" s="42" t="str">
        <f t="shared" si="1"/>
        <v>40.0%</v>
      </c>
    </row>
    <row r="2581">
      <c r="A2581" s="40" t="s">
        <v>6904</v>
      </c>
      <c r="B2581" s="40" t="s">
        <v>9242</v>
      </c>
      <c r="C2581" s="41">
        <v>2.0</v>
      </c>
      <c r="D2581" s="41">
        <v>3.0</v>
      </c>
      <c r="E2581" s="42" t="str">
        <f t="shared" si="1"/>
        <v>40.0%</v>
      </c>
    </row>
    <row r="2582">
      <c r="A2582" s="40" t="s">
        <v>6904</v>
      </c>
      <c r="B2582" s="40" t="s">
        <v>9250</v>
      </c>
      <c r="C2582" s="41">
        <v>2.0</v>
      </c>
      <c r="D2582" s="41">
        <v>3.0</v>
      </c>
      <c r="E2582" s="42" t="str">
        <f t="shared" si="1"/>
        <v>40.0%</v>
      </c>
    </row>
    <row r="2583">
      <c r="A2583" s="40" t="s">
        <v>6904</v>
      </c>
      <c r="B2583" s="40" t="s">
        <v>9444</v>
      </c>
      <c r="C2583" s="41">
        <v>2.0</v>
      </c>
      <c r="D2583" s="41">
        <v>3.0</v>
      </c>
      <c r="E2583" s="42" t="str">
        <f t="shared" si="1"/>
        <v>40.0%</v>
      </c>
    </row>
    <row r="2584">
      <c r="A2584" s="40" t="s">
        <v>6904</v>
      </c>
      <c r="B2584" s="40" t="s">
        <v>8963</v>
      </c>
      <c r="C2584" s="41">
        <v>2.0</v>
      </c>
      <c r="D2584" s="41">
        <v>4.0</v>
      </c>
      <c r="E2584" s="42" t="str">
        <f t="shared" si="1"/>
        <v>33.3%</v>
      </c>
    </row>
    <row r="2585">
      <c r="A2585" s="40" t="s">
        <v>6904</v>
      </c>
      <c r="B2585" s="40" t="s">
        <v>9359</v>
      </c>
      <c r="C2585" s="41">
        <v>2.0</v>
      </c>
      <c r="D2585" s="41">
        <v>4.0</v>
      </c>
      <c r="E2585" s="42" t="str">
        <f t="shared" si="1"/>
        <v>33.3%</v>
      </c>
    </row>
    <row r="2586">
      <c r="A2586" s="40" t="s">
        <v>6904</v>
      </c>
      <c r="B2586" s="40" t="s">
        <v>9445</v>
      </c>
      <c r="C2586" s="41">
        <v>2.0</v>
      </c>
      <c r="D2586" s="41">
        <v>4.0</v>
      </c>
      <c r="E2586" s="42" t="str">
        <f t="shared" si="1"/>
        <v>33.3%</v>
      </c>
    </row>
    <row r="2587">
      <c r="A2587" s="40" t="s">
        <v>6904</v>
      </c>
      <c r="B2587" s="40" t="s">
        <v>9446</v>
      </c>
      <c r="C2587" s="41">
        <v>2.0</v>
      </c>
      <c r="D2587" s="41">
        <v>4.0</v>
      </c>
      <c r="E2587" s="42" t="str">
        <f t="shared" si="1"/>
        <v>33.3%</v>
      </c>
    </row>
    <row r="2588">
      <c r="A2588" s="40" t="s">
        <v>6904</v>
      </c>
      <c r="B2588" s="40" t="s">
        <v>9447</v>
      </c>
      <c r="C2588" s="41">
        <v>2.0</v>
      </c>
      <c r="D2588" s="41">
        <v>4.0</v>
      </c>
      <c r="E2588" s="42" t="str">
        <f t="shared" si="1"/>
        <v>33.3%</v>
      </c>
    </row>
    <row r="2589">
      <c r="A2589" s="40" t="s">
        <v>6904</v>
      </c>
      <c r="B2589" s="40" t="s">
        <v>9448</v>
      </c>
      <c r="C2589" s="41">
        <v>2.0</v>
      </c>
      <c r="D2589" s="41">
        <v>4.0</v>
      </c>
      <c r="E2589" s="42" t="str">
        <f t="shared" si="1"/>
        <v>33.3%</v>
      </c>
    </row>
    <row r="2590">
      <c r="A2590" s="40" t="s">
        <v>6904</v>
      </c>
      <c r="B2590" s="40" t="s">
        <v>9145</v>
      </c>
      <c r="C2590" s="41">
        <v>2.0</v>
      </c>
      <c r="D2590" s="41">
        <v>5.0</v>
      </c>
      <c r="E2590" s="42" t="str">
        <f t="shared" si="1"/>
        <v>28.6%</v>
      </c>
    </row>
    <row r="2591">
      <c r="A2591" s="40" t="s">
        <v>6904</v>
      </c>
      <c r="B2591" s="40" t="s">
        <v>9303</v>
      </c>
      <c r="C2591" s="41">
        <v>2.0</v>
      </c>
      <c r="D2591" s="41">
        <v>5.0</v>
      </c>
      <c r="E2591" s="42" t="str">
        <f t="shared" si="1"/>
        <v>28.6%</v>
      </c>
    </row>
    <row r="2592">
      <c r="A2592" s="40" t="s">
        <v>6904</v>
      </c>
      <c r="B2592" s="40" t="s">
        <v>8888</v>
      </c>
      <c r="C2592" s="41">
        <v>2.0</v>
      </c>
      <c r="D2592" s="41">
        <v>6.0</v>
      </c>
      <c r="E2592" s="42" t="str">
        <f t="shared" si="1"/>
        <v>25.0%</v>
      </c>
    </row>
    <row r="2593">
      <c r="A2593" s="40" t="s">
        <v>6904</v>
      </c>
      <c r="B2593" s="40" t="s">
        <v>9297</v>
      </c>
      <c r="C2593" s="41">
        <v>2.0</v>
      </c>
      <c r="D2593" s="41">
        <v>6.0</v>
      </c>
      <c r="E2593" s="42" t="str">
        <f t="shared" si="1"/>
        <v>25.0%</v>
      </c>
    </row>
    <row r="2594">
      <c r="A2594" s="40" t="s">
        <v>6904</v>
      </c>
      <c r="B2594" s="40" t="s">
        <v>9384</v>
      </c>
      <c r="C2594" s="41">
        <v>2.0</v>
      </c>
      <c r="D2594" s="41">
        <v>6.0</v>
      </c>
      <c r="E2594" s="42" t="str">
        <f t="shared" si="1"/>
        <v>25.0%</v>
      </c>
    </row>
    <row r="2595">
      <c r="A2595" s="40" t="s">
        <v>6904</v>
      </c>
      <c r="B2595" s="40" t="s">
        <v>8484</v>
      </c>
      <c r="C2595" s="41">
        <v>1.0</v>
      </c>
      <c r="D2595" s="41">
        <v>0.0</v>
      </c>
      <c r="E2595" s="42" t="str">
        <f t="shared" si="1"/>
        <v>100.0%</v>
      </c>
    </row>
    <row r="2596">
      <c r="A2596" s="40" t="s">
        <v>6904</v>
      </c>
      <c r="B2596" s="40" t="s">
        <v>8556</v>
      </c>
      <c r="C2596" s="41">
        <v>1.0</v>
      </c>
      <c r="D2596" s="41">
        <v>0.0</v>
      </c>
      <c r="E2596" s="42" t="str">
        <f t="shared" si="1"/>
        <v>100.0%</v>
      </c>
    </row>
    <row r="2597">
      <c r="A2597" s="40" t="s">
        <v>6904</v>
      </c>
      <c r="B2597" s="40" t="s">
        <v>8857</v>
      </c>
      <c r="C2597" s="41">
        <v>1.0</v>
      </c>
      <c r="D2597" s="41">
        <v>0.0</v>
      </c>
      <c r="E2597" s="42" t="str">
        <f t="shared" si="1"/>
        <v>100.0%</v>
      </c>
    </row>
    <row r="2598">
      <c r="A2598" s="40" t="s">
        <v>6904</v>
      </c>
      <c r="B2598" s="40" t="s">
        <v>8898</v>
      </c>
      <c r="C2598" s="41">
        <v>1.0</v>
      </c>
      <c r="D2598" s="41">
        <v>0.0</v>
      </c>
      <c r="E2598" s="42" t="str">
        <f t="shared" si="1"/>
        <v>100.0%</v>
      </c>
    </row>
    <row r="2599">
      <c r="A2599" s="40" t="s">
        <v>6904</v>
      </c>
      <c r="B2599" s="40" t="s">
        <v>8916</v>
      </c>
      <c r="C2599" s="41">
        <v>1.0</v>
      </c>
      <c r="D2599" s="41">
        <v>0.0</v>
      </c>
      <c r="E2599" s="42" t="str">
        <f t="shared" si="1"/>
        <v>100.0%</v>
      </c>
    </row>
    <row r="2600">
      <c r="A2600" s="40" t="s">
        <v>6904</v>
      </c>
      <c r="B2600" s="40" t="s">
        <v>8945</v>
      </c>
      <c r="C2600" s="41">
        <v>1.0</v>
      </c>
      <c r="D2600" s="41">
        <v>0.0</v>
      </c>
      <c r="E2600" s="42" t="str">
        <f t="shared" si="1"/>
        <v>100.0%</v>
      </c>
    </row>
    <row r="2601">
      <c r="A2601" s="40" t="s">
        <v>6904</v>
      </c>
      <c r="B2601" s="40" t="s">
        <v>9011</v>
      </c>
      <c r="C2601" s="41">
        <v>1.0</v>
      </c>
      <c r="D2601" s="41">
        <v>0.0</v>
      </c>
      <c r="E2601" s="42" t="str">
        <f t="shared" si="1"/>
        <v>100.0%</v>
      </c>
    </row>
    <row r="2602">
      <c r="A2602" s="40" t="s">
        <v>6904</v>
      </c>
      <c r="B2602" s="40" t="s">
        <v>9016</v>
      </c>
      <c r="C2602" s="41">
        <v>1.0</v>
      </c>
      <c r="D2602" s="41">
        <v>0.0</v>
      </c>
      <c r="E2602" s="42" t="str">
        <f t="shared" si="1"/>
        <v>100.0%</v>
      </c>
    </row>
    <row r="2603">
      <c r="A2603" s="40" t="s">
        <v>6904</v>
      </c>
      <c r="B2603" s="40" t="s">
        <v>9055</v>
      </c>
      <c r="C2603" s="41">
        <v>1.0</v>
      </c>
      <c r="D2603" s="41">
        <v>0.0</v>
      </c>
      <c r="E2603" s="42" t="str">
        <f t="shared" si="1"/>
        <v>100.0%</v>
      </c>
    </row>
    <row r="2604">
      <c r="A2604" s="40" t="s">
        <v>6904</v>
      </c>
      <c r="B2604" s="40" t="s">
        <v>9056</v>
      </c>
      <c r="C2604" s="41">
        <v>1.0</v>
      </c>
      <c r="D2604" s="41">
        <v>0.0</v>
      </c>
      <c r="E2604" s="42" t="str">
        <f t="shared" si="1"/>
        <v>100.0%</v>
      </c>
    </row>
    <row r="2605">
      <c r="A2605" s="40" t="s">
        <v>6904</v>
      </c>
      <c r="B2605" s="40" t="s">
        <v>9118</v>
      </c>
      <c r="C2605" s="41">
        <v>1.0</v>
      </c>
      <c r="D2605" s="41">
        <v>0.0</v>
      </c>
      <c r="E2605" s="42" t="str">
        <f t="shared" si="1"/>
        <v>100.0%</v>
      </c>
    </row>
    <row r="2606">
      <c r="A2606" s="40" t="s">
        <v>6904</v>
      </c>
      <c r="B2606" s="40" t="s">
        <v>9134</v>
      </c>
      <c r="C2606" s="41">
        <v>1.0</v>
      </c>
      <c r="D2606" s="41">
        <v>0.0</v>
      </c>
      <c r="E2606" s="42" t="str">
        <f t="shared" si="1"/>
        <v>100.0%</v>
      </c>
    </row>
    <row r="2607">
      <c r="A2607" s="40" t="s">
        <v>6904</v>
      </c>
      <c r="B2607" s="40" t="s">
        <v>9253</v>
      </c>
      <c r="C2607" s="41">
        <v>1.0</v>
      </c>
      <c r="D2607" s="41">
        <v>0.0</v>
      </c>
      <c r="E2607" s="42" t="str">
        <f t="shared" si="1"/>
        <v>100.0%</v>
      </c>
    </row>
    <row r="2608">
      <c r="A2608" s="40" t="s">
        <v>6904</v>
      </c>
      <c r="B2608" s="40" t="s">
        <v>9286</v>
      </c>
      <c r="C2608" s="41">
        <v>1.0</v>
      </c>
      <c r="D2608" s="41">
        <v>0.0</v>
      </c>
      <c r="E2608" s="42" t="str">
        <f t="shared" si="1"/>
        <v>100.0%</v>
      </c>
    </row>
    <row r="2609">
      <c r="A2609" s="40" t="s">
        <v>6904</v>
      </c>
      <c r="B2609" s="40" t="s">
        <v>9267</v>
      </c>
      <c r="C2609" s="41">
        <v>1.0</v>
      </c>
      <c r="D2609" s="41">
        <v>0.0</v>
      </c>
      <c r="E2609" s="42" t="str">
        <f t="shared" si="1"/>
        <v>100.0%</v>
      </c>
    </row>
    <row r="2610">
      <c r="A2610" s="40" t="s">
        <v>6904</v>
      </c>
      <c r="B2610" s="40" t="s">
        <v>9347</v>
      </c>
      <c r="C2610" s="41">
        <v>1.0</v>
      </c>
      <c r="D2610" s="41">
        <v>0.0</v>
      </c>
      <c r="E2610" s="42" t="str">
        <f t="shared" si="1"/>
        <v>100.0%</v>
      </c>
    </row>
    <row r="2611">
      <c r="A2611" s="40" t="s">
        <v>6904</v>
      </c>
      <c r="B2611" s="40" t="s">
        <v>9328</v>
      </c>
      <c r="C2611" s="41">
        <v>1.0</v>
      </c>
      <c r="D2611" s="41">
        <v>0.0</v>
      </c>
      <c r="E2611" s="42" t="str">
        <f t="shared" si="1"/>
        <v>100.0%</v>
      </c>
    </row>
    <row r="2612">
      <c r="A2612" s="40" t="s">
        <v>6904</v>
      </c>
      <c r="B2612" s="40" t="s">
        <v>9325</v>
      </c>
      <c r="C2612" s="41">
        <v>1.0</v>
      </c>
      <c r="D2612" s="41">
        <v>0.0</v>
      </c>
      <c r="E2612" s="42" t="str">
        <f t="shared" si="1"/>
        <v>100.0%</v>
      </c>
    </row>
    <row r="2613">
      <c r="A2613" s="40" t="s">
        <v>6904</v>
      </c>
      <c r="B2613" s="40" t="s">
        <v>9313</v>
      </c>
      <c r="C2613" s="41">
        <v>1.0</v>
      </c>
      <c r="D2613" s="41">
        <v>0.0</v>
      </c>
      <c r="E2613" s="42" t="str">
        <f t="shared" si="1"/>
        <v>100.0%</v>
      </c>
    </row>
    <row r="2614">
      <c r="A2614" s="40" t="s">
        <v>6904</v>
      </c>
      <c r="B2614" s="40" t="s">
        <v>9352</v>
      </c>
      <c r="C2614" s="41">
        <v>1.0</v>
      </c>
      <c r="D2614" s="41">
        <v>0.0</v>
      </c>
      <c r="E2614" s="42" t="str">
        <f t="shared" si="1"/>
        <v>100.0%</v>
      </c>
    </row>
    <row r="2615">
      <c r="A2615" s="40" t="s">
        <v>6904</v>
      </c>
      <c r="B2615" s="40" t="s">
        <v>9408</v>
      </c>
      <c r="C2615" s="41">
        <v>1.0</v>
      </c>
      <c r="D2615" s="41">
        <v>0.0</v>
      </c>
      <c r="E2615" s="42" t="str">
        <f t="shared" si="1"/>
        <v>100.0%</v>
      </c>
    </row>
    <row r="2616">
      <c r="A2616" s="40" t="s">
        <v>6904</v>
      </c>
      <c r="B2616" s="40" t="s">
        <v>9449</v>
      </c>
      <c r="C2616" s="41">
        <v>1.0</v>
      </c>
      <c r="D2616" s="41">
        <v>0.0</v>
      </c>
      <c r="E2616" s="42" t="str">
        <f t="shared" si="1"/>
        <v>100.0%</v>
      </c>
    </row>
    <row r="2617">
      <c r="A2617" s="40" t="s">
        <v>6904</v>
      </c>
      <c r="B2617" s="40" t="s">
        <v>9450</v>
      </c>
      <c r="C2617" s="41">
        <v>1.0</v>
      </c>
      <c r="D2617" s="41">
        <v>0.0</v>
      </c>
      <c r="E2617" s="42" t="str">
        <f t="shared" si="1"/>
        <v>100.0%</v>
      </c>
    </row>
    <row r="2618">
      <c r="A2618" s="40" t="s">
        <v>6904</v>
      </c>
      <c r="B2618" s="40" t="s">
        <v>9451</v>
      </c>
      <c r="C2618" s="41">
        <v>1.0</v>
      </c>
      <c r="D2618" s="41">
        <v>0.0</v>
      </c>
      <c r="E2618" s="42" t="str">
        <f t="shared" si="1"/>
        <v>100.0%</v>
      </c>
    </row>
    <row r="2619">
      <c r="A2619" s="40" t="s">
        <v>6904</v>
      </c>
      <c r="B2619" s="40" t="s">
        <v>9452</v>
      </c>
      <c r="C2619" s="41">
        <v>1.0</v>
      </c>
      <c r="D2619" s="41">
        <v>0.0</v>
      </c>
      <c r="E2619" s="42" t="str">
        <f t="shared" si="1"/>
        <v>100.0%</v>
      </c>
    </row>
    <row r="2620">
      <c r="A2620" s="40" t="s">
        <v>6904</v>
      </c>
      <c r="B2620" s="40" t="s">
        <v>9453</v>
      </c>
      <c r="C2620" s="41">
        <v>1.0</v>
      </c>
      <c r="D2620" s="41">
        <v>0.0</v>
      </c>
      <c r="E2620" s="42" t="str">
        <f t="shared" si="1"/>
        <v>100.0%</v>
      </c>
    </row>
    <row r="2621">
      <c r="A2621" s="40" t="s">
        <v>6904</v>
      </c>
      <c r="B2621" s="40" t="s">
        <v>9454</v>
      </c>
      <c r="C2621" s="41">
        <v>1.0</v>
      </c>
      <c r="D2621" s="41">
        <v>0.0</v>
      </c>
      <c r="E2621" s="42" t="str">
        <f t="shared" si="1"/>
        <v>100.0%</v>
      </c>
    </row>
    <row r="2622">
      <c r="A2622" s="40" t="s">
        <v>6904</v>
      </c>
      <c r="B2622" s="40" t="s">
        <v>9455</v>
      </c>
      <c r="C2622" s="41">
        <v>1.0</v>
      </c>
      <c r="D2622" s="41">
        <v>0.0</v>
      </c>
      <c r="E2622" s="42" t="str">
        <f t="shared" si="1"/>
        <v>100.0%</v>
      </c>
    </row>
    <row r="2623">
      <c r="A2623" s="40" t="s">
        <v>6904</v>
      </c>
      <c r="B2623" s="40" t="s">
        <v>9456</v>
      </c>
      <c r="C2623" s="41">
        <v>1.0</v>
      </c>
      <c r="D2623" s="41">
        <v>0.0</v>
      </c>
      <c r="E2623" s="42" t="str">
        <f t="shared" si="1"/>
        <v>100.0%</v>
      </c>
    </row>
    <row r="2624">
      <c r="A2624" s="40" t="s">
        <v>6904</v>
      </c>
      <c r="B2624" s="40" t="s">
        <v>9457</v>
      </c>
      <c r="C2624" s="41">
        <v>1.0</v>
      </c>
      <c r="D2624" s="41">
        <v>0.0</v>
      </c>
      <c r="E2624" s="42" t="str">
        <f t="shared" si="1"/>
        <v>100.0%</v>
      </c>
    </row>
    <row r="2625">
      <c r="A2625" s="40" t="s">
        <v>6904</v>
      </c>
      <c r="B2625" s="40" t="s">
        <v>9458</v>
      </c>
      <c r="C2625" s="41">
        <v>1.0</v>
      </c>
      <c r="D2625" s="41">
        <v>0.0</v>
      </c>
      <c r="E2625" s="42" t="str">
        <f t="shared" si="1"/>
        <v>100.0%</v>
      </c>
    </row>
    <row r="2626">
      <c r="A2626" s="40" t="s">
        <v>6904</v>
      </c>
      <c r="B2626" s="40" t="s">
        <v>9459</v>
      </c>
      <c r="C2626" s="41">
        <v>1.0</v>
      </c>
      <c r="D2626" s="41">
        <v>0.0</v>
      </c>
      <c r="E2626" s="42" t="str">
        <f t="shared" si="1"/>
        <v>100.0%</v>
      </c>
    </row>
    <row r="2627">
      <c r="A2627" s="40" t="s">
        <v>6904</v>
      </c>
      <c r="B2627" s="40" t="s">
        <v>9460</v>
      </c>
      <c r="C2627" s="41">
        <v>1.0</v>
      </c>
      <c r="D2627" s="41">
        <v>0.0</v>
      </c>
      <c r="E2627" s="42" t="str">
        <f t="shared" si="1"/>
        <v>100.0%</v>
      </c>
    </row>
    <row r="2628">
      <c r="A2628" s="40" t="s">
        <v>6904</v>
      </c>
      <c r="B2628" s="40" t="s">
        <v>8588</v>
      </c>
      <c r="C2628" s="41">
        <v>1.0</v>
      </c>
      <c r="D2628" s="41">
        <v>1.0</v>
      </c>
      <c r="E2628" s="42" t="str">
        <f t="shared" si="1"/>
        <v>50.0%</v>
      </c>
    </row>
    <row r="2629">
      <c r="A2629" s="40" t="s">
        <v>6904</v>
      </c>
      <c r="B2629" s="40" t="s">
        <v>8749</v>
      </c>
      <c r="C2629" s="41">
        <v>1.0</v>
      </c>
      <c r="D2629" s="41">
        <v>1.0</v>
      </c>
      <c r="E2629" s="42" t="str">
        <f t="shared" si="1"/>
        <v>50.0%</v>
      </c>
    </row>
    <row r="2630">
      <c r="A2630" s="40" t="s">
        <v>6904</v>
      </c>
      <c r="B2630" s="40" t="s">
        <v>8794</v>
      </c>
      <c r="C2630" s="41">
        <v>1.0</v>
      </c>
      <c r="D2630" s="41">
        <v>1.0</v>
      </c>
      <c r="E2630" s="42" t="str">
        <f t="shared" si="1"/>
        <v>50.0%</v>
      </c>
    </row>
    <row r="2631">
      <c r="A2631" s="40" t="s">
        <v>6904</v>
      </c>
      <c r="B2631" s="40" t="s">
        <v>8832</v>
      </c>
      <c r="C2631" s="41">
        <v>1.0</v>
      </c>
      <c r="D2631" s="41">
        <v>1.0</v>
      </c>
      <c r="E2631" s="42" t="str">
        <f t="shared" si="1"/>
        <v>50.0%</v>
      </c>
    </row>
    <row r="2632">
      <c r="A2632" s="40" t="s">
        <v>6904</v>
      </c>
      <c r="B2632" s="40" t="s">
        <v>8933</v>
      </c>
      <c r="C2632" s="41">
        <v>1.0</v>
      </c>
      <c r="D2632" s="41">
        <v>1.0</v>
      </c>
      <c r="E2632" s="42" t="str">
        <f t="shared" si="1"/>
        <v>50.0%</v>
      </c>
    </row>
    <row r="2633">
      <c r="A2633" s="40" t="s">
        <v>6904</v>
      </c>
      <c r="B2633" s="40" t="s">
        <v>8946</v>
      </c>
      <c r="C2633" s="41">
        <v>1.0</v>
      </c>
      <c r="D2633" s="41">
        <v>1.0</v>
      </c>
      <c r="E2633" s="42" t="str">
        <f t="shared" si="1"/>
        <v>50.0%</v>
      </c>
    </row>
    <row r="2634">
      <c r="A2634" s="40" t="s">
        <v>6904</v>
      </c>
      <c r="B2634" s="40" t="s">
        <v>9136</v>
      </c>
      <c r="C2634" s="41">
        <v>1.0</v>
      </c>
      <c r="D2634" s="41">
        <v>1.0</v>
      </c>
      <c r="E2634" s="42" t="str">
        <f t="shared" si="1"/>
        <v>50.0%</v>
      </c>
    </row>
    <row r="2635">
      <c r="A2635" s="40" t="s">
        <v>6904</v>
      </c>
      <c r="B2635" s="40" t="s">
        <v>9148</v>
      </c>
      <c r="C2635" s="41">
        <v>1.0</v>
      </c>
      <c r="D2635" s="41">
        <v>1.0</v>
      </c>
      <c r="E2635" s="42" t="str">
        <f t="shared" si="1"/>
        <v>50.0%</v>
      </c>
    </row>
    <row r="2636">
      <c r="A2636" s="40" t="s">
        <v>6904</v>
      </c>
      <c r="B2636" s="40" t="s">
        <v>9238</v>
      </c>
      <c r="C2636" s="41">
        <v>1.0</v>
      </c>
      <c r="D2636" s="41">
        <v>1.0</v>
      </c>
      <c r="E2636" s="42" t="str">
        <f t="shared" si="1"/>
        <v>50.0%</v>
      </c>
    </row>
    <row r="2637">
      <c r="A2637" s="40" t="s">
        <v>6904</v>
      </c>
      <c r="B2637" s="40" t="s">
        <v>9280</v>
      </c>
      <c r="C2637" s="41">
        <v>1.0</v>
      </c>
      <c r="D2637" s="41">
        <v>1.0</v>
      </c>
      <c r="E2637" s="42" t="str">
        <f t="shared" si="1"/>
        <v>50.0%</v>
      </c>
    </row>
    <row r="2638">
      <c r="A2638" s="40" t="s">
        <v>6904</v>
      </c>
      <c r="B2638" s="40" t="s">
        <v>9461</v>
      </c>
      <c r="C2638" s="41">
        <v>1.0</v>
      </c>
      <c r="D2638" s="41">
        <v>1.0</v>
      </c>
      <c r="E2638" s="42" t="str">
        <f t="shared" si="1"/>
        <v>50.0%</v>
      </c>
    </row>
    <row r="2639">
      <c r="A2639" s="40" t="s">
        <v>6904</v>
      </c>
      <c r="B2639" s="40" t="s">
        <v>9462</v>
      </c>
      <c r="C2639" s="41">
        <v>1.0</v>
      </c>
      <c r="D2639" s="41">
        <v>1.0</v>
      </c>
      <c r="E2639" s="42" t="str">
        <f t="shared" si="1"/>
        <v>50.0%</v>
      </c>
    </row>
    <row r="2640">
      <c r="A2640" s="40" t="s">
        <v>6904</v>
      </c>
      <c r="B2640" s="40" t="s">
        <v>9463</v>
      </c>
      <c r="C2640" s="41">
        <v>1.0</v>
      </c>
      <c r="D2640" s="41">
        <v>1.0</v>
      </c>
      <c r="E2640" s="42" t="str">
        <f t="shared" si="1"/>
        <v>50.0%</v>
      </c>
    </row>
    <row r="2641">
      <c r="A2641" s="40" t="s">
        <v>6904</v>
      </c>
      <c r="B2641" s="40" t="s">
        <v>9464</v>
      </c>
      <c r="C2641" s="41">
        <v>1.0</v>
      </c>
      <c r="D2641" s="41">
        <v>1.0</v>
      </c>
      <c r="E2641" s="42" t="str">
        <f t="shared" si="1"/>
        <v>50.0%</v>
      </c>
    </row>
    <row r="2642">
      <c r="A2642" s="40" t="s">
        <v>6904</v>
      </c>
      <c r="B2642" s="40" t="s">
        <v>9465</v>
      </c>
      <c r="C2642" s="41">
        <v>1.0</v>
      </c>
      <c r="D2642" s="41">
        <v>1.0</v>
      </c>
      <c r="E2642" s="42" t="str">
        <f t="shared" si="1"/>
        <v>50.0%</v>
      </c>
    </row>
    <row r="2643">
      <c r="A2643" s="40" t="s">
        <v>6904</v>
      </c>
      <c r="B2643" s="40" t="s">
        <v>9466</v>
      </c>
      <c r="C2643" s="41">
        <v>1.0</v>
      </c>
      <c r="D2643" s="41">
        <v>1.0</v>
      </c>
      <c r="E2643" s="42" t="str">
        <f t="shared" si="1"/>
        <v>50.0%</v>
      </c>
    </row>
    <row r="2644">
      <c r="A2644" s="40" t="s">
        <v>6904</v>
      </c>
      <c r="B2644" s="40" t="s">
        <v>8485</v>
      </c>
      <c r="C2644" s="41">
        <v>1.0</v>
      </c>
      <c r="D2644" s="41">
        <v>2.0</v>
      </c>
      <c r="E2644" s="42" t="str">
        <f t="shared" si="1"/>
        <v>33.3%</v>
      </c>
    </row>
    <row r="2645">
      <c r="A2645" s="40" t="s">
        <v>6904</v>
      </c>
      <c r="B2645" s="40" t="s">
        <v>8822</v>
      </c>
      <c r="C2645" s="41">
        <v>1.0</v>
      </c>
      <c r="D2645" s="41">
        <v>2.0</v>
      </c>
      <c r="E2645" s="42" t="str">
        <f t="shared" si="1"/>
        <v>33.3%</v>
      </c>
    </row>
    <row r="2646">
      <c r="A2646" s="40" t="s">
        <v>6904</v>
      </c>
      <c r="B2646" s="40" t="s">
        <v>9370</v>
      </c>
      <c r="C2646" s="41">
        <v>1.0</v>
      </c>
      <c r="D2646" s="41">
        <v>2.0</v>
      </c>
      <c r="E2646" s="42" t="str">
        <f t="shared" si="1"/>
        <v>33.3%</v>
      </c>
    </row>
    <row r="2647">
      <c r="A2647" s="40" t="s">
        <v>6904</v>
      </c>
      <c r="B2647" s="40" t="s">
        <v>9406</v>
      </c>
      <c r="C2647" s="41">
        <v>1.0</v>
      </c>
      <c r="D2647" s="41">
        <v>2.0</v>
      </c>
      <c r="E2647" s="42" t="str">
        <f t="shared" si="1"/>
        <v>33.3%</v>
      </c>
    </row>
    <row r="2648">
      <c r="A2648" s="40" t="s">
        <v>6904</v>
      </c>
      <c r="B2648" s="40" t="s">
        <v>9467</v>
      </c>
      <c r="C2648" s="41">
        <v>1.0</v>
      </c>
      <c r="D2648" s="41">
        <v>2.0</v>
      </c>
      <c r="E2648" s="42" t="str">
        <f t="shared" si="1"/>
        <v>33.3%</v>
      </c>
    </row>
    <row r="2649">
      <c r="A2649" s="40" t="s">
        <v>6904</v>
      </c>
      <c r="B2649" s="40" t="s">
        <v>9468</v>
      </c>
      <c r="C2649" s="41">
        <v>1.0</v>
      </c>
      <c r="D2649" s="41">
        <v>2.0</v>
      </c>
      <c r="E2649" s="42" t="str">
        <f t="shared" si="1"/>
        <v>33.3%</v>
      </c>
    </row>
    <row r="2650">
      <c r="A2650" s="40" t="s">
        <v>6904</v>
      </c>
      <c r="B2650" s="40" t="s">
        <v>9239</v>
      </c>
      <c r="C2650" s="41">
        <v>1.0</v>
      </c>
      <c r="D2650" s="41">
        <v>3.0</v>
      </c>
      <c r="E2650" s="42" t="str">
        <f t="shared" si="1"/>
        <v>25.0%</v>
      </c>
    </row>
    <row r="2651">
      <c r="A2651" s="40" t="s">
        <v>6904</v>
      </c>
      <c r="B2651" s="40" t="s">
        <v>9364</v>
      </c>
      <c r="C2651" s="41">
        <v>1.0</v>
      </c>
      <c r="D2651" s="41">
        <v>3.0</v>
      </c>
      <c r="E2651" s="42" t="str">
        <f t="shared" si="1"/>
        <v>25.0%</v>
      </c>
    </row>
    <row r="2652">
      <c r="A2652" s="40" t="s">
        <v>6904</v>
      </c>
      <c r="B2652" s="40" t="s">
        <v>9407</v>
      </c>
      <c r="C2652" s="41">
        <v>1.0</v>
      </c>
      <c r="D2652" s="41">
        <v>3.0</v>
      </c>
      <c r="E2652" s="42" t="str">
        <f t="shared" si="1"/>
        <v>25.0%</v>
      </c>
    </row>
    <row r="2653">
      <c r="A2653" s="40" t="s">
        <v>6904</v>
      </c>
      <c r="B2653" s="40" t="s">
        <v>9469</v>
      </c>
      <c r="C2653" s="41">
        <v>1.0</v>
      </c>
      <c r="D2653" s="41">
        <v>3.0</v>
      </c>
      <c r="E2653" s="42" t="str">
        <f t="shared" si="1"/>
        <v>25.0%</v>
      </c>
    </row>
    <row r="2654">
      <c r="A2654" s="40" t="s">
        <v>6904</v>
      </c>
      <c r="B2654" s="40" t="s">
        <v>8487</v>
      </c>
      <c r="C2654" s="41">
        <v>1.0</v>
      </c>
      <c r="D2654" s="41">
        <v>4.0</v>
      </c>
      <c r="E2654" s="42" t="str">
        <f t="shared" si="1"/>
        <v>20.0%</v>
      </c>
    </row>
    <row r="2655">
      <c r="A2655" s="40" t="s">
        <v>6904</v>
      </c>
      <c r="B2655" s="40" t="s">
        <v>9222</v>
      </c>
      <c r="C2655" s="41">
        <v>1.0</v>
      </c>
      <c r="D2655" s="41">
        <v>4.0</v>
      </c>
      <c r="E2655" s="42" t="str">
        <f t="shared" si="1"/>
        <v>20.0%</v>
      </c>
    </row>
    <row r="2656">
      <c r="A2656" s="40" t="s">
        <v>6904</v>
      </c>
      <c r="B2656" s="40" t="s">
        <v>9291</v>
      </c>
      <c r="C2656" s="41">
        <v>1.0</v>
      </c>
      <c r="D2656" s="41">
        <v>4.0</v>
      </c>
      <c r="E2656" s="42" t="str">
        <f t="shared" si="1"/>
        <v>20.0%</v>
      </c>
    </row>
    <row r="2657">
      <c r="A2657" s="40" t="s">
        <v>6904</v>
      </c>
      <c r="B2657" s="40" t="s">
        <v>9470</v>
      </c>
      <c r="C2657" s="41">
        <v>1.0</v>
      </c>
      <c r="D2657" s="41">
        <v>5.0</v>
      </c>
      <c r="E2657" s="42" t="str">
        <f t="shared" si="1"/>
        <v>16.7%</v>
      </c>
    </row>
    <row r="2658">
      <c r="A2658" s="40" t="s">
        <v>6904</v>
      </c>
      <c r="B2658" s="40" t="s">
        <v>8595</v>
      </c>
      <c r="C2658" s="41">
        <v>0.0</v>
      </c>
      <c r="D2658" s="41">
        <v>1.0</v>
      </c>
      <c r="E2658" s="42" t="str">
        <f t="shared" si="1"/>
        <v>0.0%</v>
      </c>
    </row>
    <row r="2659">
      <c r="A2659" s="40" t="s">
        <v>6904</v>
      </c>
      <c r="B2659" s="40" t="s">
        <v>8630</v>
      </c>
      <c r="C2659" s="41">
        <v>0.0</v>
      </c>
      <c r="D2659" s="41">
        <v>1.0</v>
      </c>
      <c r="E2659" s="42" t="str">
        <f t="shared" si="1"/>
        <v>0.0%</v>
      </c>
    </row>
    <row r="2660">
      <c r="A2660" s="40" t="s">
        <v>6904</v>
      </c>
      <c r="B2660" s="40" t="s">
        <v>8639</v>
      </c>
      <c r="C2660" s="41">
        <v>0.0</v>
      </c>
      <c r="D2660" s="41">
        <v>1.0</v>
      </c>
      <c r="E2660" s="42" t="str">
        <f t="shared" si="1"/>
        <v>0.0%</v>
      </c>
    </row>
    <row r="2661">
      <c r="A2661" s="40" t="s">
        <v>6904</v>
      </c>
      <c r="B2661" s="40" t="s">
        <v>8483</v>
      </c>
      <c r="C2661" s="41">
        <v>0.0</v>
      </c>
      <c r="D2661" s="41">
        <v>1.0</v>
      </c>
      <c r="E2661" s="42" t="str">
        <f t="shared" si="1"/>
        <v>0.0%</v>
      </c>
    </row>
    <row r="2662">
      <c r="A2662" s="40" t="s">
        <v>6904</v>
      </c>
      <c r="B2662" s="40" t="s">
        <v>8576</v>
      </c>
      <c r="C2662" s="41">
        <v>0.0</v>
      </c>
      <c r="D2662" s="41">
        <v>1.0</v>
      </c>
      <c r="E2662" s="42" t="str">
        <f t="shared" si="1"/>
        <v>0.0%</v>
      </c>
    </row>
    <row r="2663">
      <c r="A2663" s="40" t="s">
        <v>6904</v>
      </c>
      <c r="B2663" s="40" t="s">
        <v>8641</v>
      </c>
      <c r="C2663" s="41">
        <v>0.0</v>
      </c>
      <c r="D2663" s="41">
        <v>1.0</v>
      </c>
      <c r="E2663" s="42" t="str">
        <f t="shared" si="1"/>
        <v>0.0%</v>
      </c>
    </row>
    <row r="2664">
      <c r="A2664" s="40" t="s">
        <v>6904</v>
      </c>
      <c r="B2664" s="40" t="s">
        <v>8790</v>
      </c>
      <c r="C2664" s="41">
        <v>0.0</v>
      </c>
      <c r="D2664" s="41">
        <v>1.0</v>
      </c>
      <c r="E2664" s="42" t="str">
        <f t="shared" si="1"/>
        <v>0.0%</v>
      </c>
    </row>
    <row r="2665">
      <c r="A2665" s="40" t="s">
        <v>6904</v>
      </c>
      <c r="B2665" s="40" t="s">
        <v>8715</v>
      </c>
      <c r="C2665" s="41">
        <v>0.0</v>
      </c>
      <c r="D2665" s="41">
        <v>1.0</v>
      </c>
      <c r="E2665" s="42" t="str">
        <f t="shared" si="1"/>
        <v>0.0%</v>
      </c>
    </row>
    <row r="2666">
      <c r="A2666" s="40" t="s">
        <v>6904</v>
      </c>
      <c r="B2666" s="40" t="s">
        <v>8944</v>
      </c>
      <c r="C2666" s="41">
        <v>0.0</v>
      </c>
      <c r="D2666" s="41">
        <v>1.0</v>
      </c>
      <c r="E2666" s="42" t="str">
        <f t="shared" si="1"/>
        <v>0.0%</v>
      </c>
    </row>
    <row r="2667">
      <c r="A2667" s="40" t="s">
        <v>6904</v>
      </c>
      <c r="B2667" s="40" t="s">
        <v>8935</v>
      </c>
      <c r="C2667" s="41">
        <v>0.0</v>
      </c>
      <c r="D2667" s="41">
        <v>1.0</v>
      </c>
      <c r="E2667" s="42" t="str">
        <f t="shared" si="1"/>
        <v>0.0%</v>
      </c>
    </row>
    <row r="2668">
      <c r="A2668" s="40" t="s">
        <v>6904</v>
      </c>
      <c r="B2668" s="40" t="s">
        <v>9086</v>
      </c>
      <c r="C2668" s="41">
        <v>0.0</v>
      </c>
      <c r="D2668" s="41">
        <v>1.0</v>
      </c>
      <c r="E2668" s="42" t="str">
        <f t="shared" si="1"/>
        <v>0.0%</v>
      </c>
    </row>
    <row r="2669">
      <c r="A2669" s="40" t="s">
        <v>6904</v>
      </c>
      <c r="B2669" s="40" t="s">
        <v>9156</v>
      </c>
      <c r="C2669" s="41">
        <v>0.0</v>
      </c>
      <c r="D2669" s="41">
        <v>1.0</v>
      </c>
      <c r="E2669" s="42" t="str">
        <f t="shared" si="1"/>
        <v>0.0%</v>
      </c>
    </row>
    <row r="2670">
      <c r="A2670" s="40" t="s">
        <v>6904</v>
      </c>
      <c r="B2670" s="40" t="s">
        <v>9171</v>
      </c>
      <c r="C2670" s="41">
        <v>0.0</v>
      </c>
      <c r="D2670" s="41">
        <v>1.0</v>
      </c>
      <c r="E2670" s="42" t="str">
        <f t="shared" si="1"/>
        <v>0.0%</v>
      </c>
    </row>
    <row r="2671">
      <c r="A2671" s="40" t="s">
        <v>6904</v>
      </c>
      <c r="B2671" s="40" t="s">
        <v>9147</v>
      </c>
      <c r="C2671" s="41">
        <v>0.0</v>
      </c>
      <c r="D2671" s="41">
        <v>1.0</v>
      </c>
      <c r="E2671" s="42" t="str">
        <f t="shared" si="1"/>
        <v>0.0%</v>
      </c>
    </row>
    <row r="2672">
      <c r="A2672" s="40" t="s">
        <v>6904</v>
      </c>
      <c r="B2672" s="40" t="s">
        <v>9150</v>
      </c>
      <c r="C2672" s="41">
        <v>0.0</v>
      </c>
      <c r="D2672" s="41">
        <v>1.0</v>
      </c>
      <c r="E2672" s="42" t="str">
        <f t="shared" si="1"/>
        <v>0.0%</v>
      </c>
    </row>
    <row r="2673">
      <c r="A2673" s="40" t="s">
        <v>6904</v>
      </c>
      <c r="B2673" s="40" t="s">
        <v>9178</v>
      </c>
      <c r="C2673" s="41">
        <v>0.0</v>
      </c>
      <c r="D2673" s="41">
        <v>1.0</v>
      </c>
      <c r="E2673" s="42" t="str">
        <f t="shared" si="1"/>
        <v>0.0%</v>
      </c>
    </row>
    <row r="2674">
      <c r="A2674" s="40" t="s">
        <v>6904</v>
      </c>
      <c r="B2674" s="40" t="s">
        <v>9271</v>
      </c>
      <c r="C2674" s="41">
        <v>0.0</v>
      </c>
      <c r="D2674" s="41">
        <v>1.0</v>
      </c>
      <c r="E2674" s="42" t="str">
        <f t="shared" si="1"/>
        <v>0.0%</v>
      </c>
    </row>
    <row r="2675">
      <c r="A2675" s="40" t="s">
        <v>6904</v>
      </c>
      <c r="B2675" s="40" t="s">
        <v>9322</v>
      </c>
      <c r="C2675" s="41">
        <v>0.0</v>
      </c>
      <c r="D2675" s="41">
        <v>1.0</v>
      </c>
      <c r="E2675" s="42" t="str">
        <f t="shared" si="1"/>
        <v>0.0%</v>
      </c>
    </row>
    <row r="2676">
      <c r="A2676" s="40" t="s">
        <v>6904</v>
      </c>
      <c r="B2676" s="40" t="s">
        <v>9365</v>
      </c>
      <c r="C2676" s="41">
        <v>0.0</v>
      </c>
      <c r="D2676" s="41">
        <v>1.0</v>
      </c>
      <c r="E2676" s="42" t="str">
        <f t="shared" si="1"/>
        <v>0.0%</v>
      </c>
    </row>
    <row r="2677">
      <c r="A2677" s="40" t="s">
        <v>6904</v>
      </c>
      <c r="B2677" s="40" t="s">
        <v>9294</v>
      </c>
      <c r="C2677" s="41">
        <v>0.0</v>
      </c>
      <c r="D2677" s="41">
        <v>1.0</v>
      </c>
      <c r="E2677" s="42" t="str">
        <f t="shared" si="1"/>
        <v>0.0%</v>
      </c>
    </row>
    <row r="2678">
      <c r="A2678" s="40" t="s">
        <v>6904</v>
      </c>
      <c r="B2678" s="40" t="s">
        <v>9335</v>
      </c>
      <c r="C2678" s="41">
        <v>0.0</v>
      </c>
      <c r="D2678" s="41">
        <v>1.0</v>
      </c>
      <c r="E2678" s="42" t="str">
        <f t="shared" si="1"/>
        <v>0.0%</v>
      </c>
    </row>
    <row r="2679">
      <c r="A2679" s="40" t="s">
        <v>6904</v>
      </c>
      <c r="B2679" s="40" t="s">
        <v>9301</v>
      </c>
      <c r="C2679" s="41">
        <v>0.0</v>
      </c>
      <c r="D2679" s="41">
        <v>1.0</v>
      </c>
      <c r="E2679" s="42" t="str">
        <f t="shared" si="1"/>
        <v>0.0%</v>
      </c>
    </row>
    <row r="2680">
      <c r="A2680" s="40" t="s">
        <v>6904</v>
      </c>
      <c r="B2680" s="40" t="s">
        <v>9332</v>
      </c>
      <c r="C2680" s="41">
        <v>0.0</v>
      </c>
      <c r="D2680" s="41">
        <v>1.0</v>
      </c>
      <c r="E2680" s="42" t="str">
        <f t="shared" si="1"/>
        <v>0.0%</v>
      </c>
    </row>
    <row r="2681">
      <c r="A2681" s="40" t="s">
        <v>6904</v>
      </c>
      <c r="B2681" s="40" t="s">
        <v>9371</v>
      </c>
      <c r="C2681" s="41">
        <v>0.0</v>
      </c>
      <c r="D2681" s="41">
        <v>1.0</v>
      </c>
      <c r="E2681" s="42" t="str">
        <f t="shared" si="1"/>
        <v>0.0%</v>
      </c>
    </row>
    <row r="2682">
      <c r="A2682" s="40" t="s">
        <v>6904</v>
      </c>
      <c r="B2682" s="40" t="s">
        <v>9353</v>
      </c>
      <c r="C2682" s="41">
        <v>0.0</v>
      </c>
      <c r="D2682" s="41">
        <v>1.0</v>
      </c>
      <c r="E2682" s="42" t="str">
        <f t="shared" si="1"/>
        <v>0.0%</v>
      </c>
    </row>
    <row r="2683">
      <c r="A2683" s="40" t="s">
        <v>6904</v>
      </c>
      <c r="B2683" s="40" t="s">
        <v>9471</v>
      </c>
      <c r="C2683" s="41">
        <v>0.0</v>
      </c>
      <c r="D2683" s="41">
        <v>1.0</v>
      </c>
      <c r="E2683" s="42" t="str">
        <f t="shared" si="1"/>
        <v>0.0%</v>
      </c>
    </row>
    <row r="2684">
      <c r="A2684" s="40" t="s">
        <v>6904</v>
      </c>
      <c r="B2684" s="40" t="s">
        <v>9472</v>
      </c>
      <c r="C2684" s="41">
        <v>0.0</v>
      </c>
      <c r="D2684" s="41">
        <v>1.0</v>
      </c>
      <c r="E2684" s="42" t="str">
        <f t="shared" si="1"/>
        <v>0.0%</v>
      </c>
    </row>
    <row r="2685">
      <c r="A2685" s="40" t="s">
        <v>6904</v>
      </c>
      <c r="B2685" s="40" t="s">
        <v>9473</v>
      </c>
      <c r="C2685" s="41">
        <v>0.0</v>
      </c>
      <c r="D2685" s="41">
        <v>1.0</v>
      </c>
      <c r="E2685" s="42" t="str">
        <f t="shared" si="1"/>
        <v>0.0%</v>
      </c>
    </row>
    <row r="2686">
      <c r="A2686" s="40" t="s">
        <v>6904</v>
      </c>
      <c r="B2686" s="40" t="s">
        <v>9474</v>
      </c>
      <c r="C2686" s="41">
        <v>0.0</v>
      </c>
      <c r="D2686" s="41">
        <v>1.0</v>
      </c>
      <c r="E2686" s="42" t="str">
        <f t="shared" si="1"/>
        <v>0.0%</v>
      </c>
    </row>
    <row r="2687">
      <c r="A2687" s="40" t="s">
        <v>6904</v>
      </c>
      <c r="B2687" s="40" t="s">
        <v>9475</v>
      </c>
      <c r="C2687" s="41">
        <v>0.0</v>
      </c>
      <c r="D2687" s="41">
        <v>1.0</v>
      </c>
      <c r="E2687" s="42" t="str">
        <f t="shared" si="1"/>
        <v>0.0%</v>
      </c>
    </row>
    <row r="2688">
      <c r="A2688" s="40" t="s">
        <v>6904</v>
      </c>
      <c r="B2688" s="40" t="s">
        <v>9476</v>
      </c>
      <c r="C2688" s="41">
        <v>0.0</v>
      </c>
      <c r="D2688" s="41">
        <v>1.0</v>
      </c>
      <c r="E2688" s="42" t="str">
        <f t="shared" si="1"/>
        <v>0.0%</v>
      </c>
    </row>
    <row r="2689">
      <c r="A2689" s="40" t="s">
        <v>6904</v>
      </c>
      <c r="B2689" s="40" t="s">
        <v>9477</v>
      </c>
      <c r="C2689" s="41">
        <v>0.0</v>
      </c>
      <c r="D2689" s="41">
        <v>1.0</v>
      </c>
      <c r="E2689" s="42" t="str">
        <f t="shared" si="1"/>
        <v>0.0%</v>
      </c>
    </row>
    <row r="2690">
      <c r="A2690" s="40" t="s">
        <v>6904</v>
      </c>
      <c r="B2690" s="40" t="s">
        <v>9478</v>
      </c>
      <c r="C2690" s="41">
        <v>0.0</v>
      </c>
      <c r="D2690" s="41">
        <v>1.0</v>
      </c>
      <c r="E2690" s="42" t="str">
        <f t="shared" si="1"/>
        <v>0.0%</v>
      </c>
    </row>
    <row r="2691">
      <c r="A2691" s="40" t="s">
        <v>6904</v>
      </c>
      <c r="B2691" s="40" t="s">
        <v>9479</v>
      </c>
      <c r="C2691" s="41">
        <v>0.0</v>
      </c>
      <c r="D2691" s="41">
        <v>1.0</v>
      </c>
      <c r="E2691" s="42" t="str">
        <f t="shared" si="1"/>
        <v>0.0%</v>
      </c>
    </row>
    <row r="2692">
      <c r="A2692" s="40" t="s">
        <v>6904</v>
      </c>
      <c r="B2692" s="40" t="s">
        <v>9480</v>
      </c>
      <c r="C2692" s="41">
        <v>0.0</v>
      </c>
      <c r="D2692" s="41">
        <v>1.0</v>
      </c>
      <c r="E2692" s="42" t="str">
        <f t="shared" si="1"/>
        <v>0.0%</v>
      </c>
    </row>
    <row r="2693">
      <c r="A2693" s="40" t="s">
        <v>6904</v>
      </c>
      <c r="B2693" s="40" t="s">
        <v>9481</v>
      </c>
      <c r="C2693" s="41">
        <v>0.0</v>
      </c>
      <c r="D2693" s="41">
        <v>1.0</v>
      </c>
      <c r="E2693" s="42" t="str">
        <f t="shared" si="1"/>
        <v>0.0%</v>
      </c>
    </row>
    <row r="2694">
      <c r="A2694" s="40" t="s">
        <v>6904</v>
      </c>
      <c r="B2694" s="40" t="s">
        <v>9482</v>
      </c>
      <c r="C2694" s="41">
        <v>0.0</v>
      </c>
      <c r="D2694" s="41">
        <v>1.0</v>
      </c>
      <c r="E2694" s="42" t="str">
        <f t="shared" si="1"/>
        <v>0.0%</v>
      </c>
    </row>
    <row r="2695">
      <c r="A2695" s="40" t="s">
        <v>6904</v>
      </c>
      <c r="B2695" s="40" t="s">
        <v>8774</v>
      </c>
      <c r="C2695" s="41">
        <v>0.0</v>
      </c>
      <c r="D2695" s="41">
        <v>2.0</v>
      </c>
      <c r="E2695" s="42" t="str">
        <f t="shared" si="1"/>
        <v>0.0%</v>
      </c>
    </row>
    <row r="2696">
      <c r="A2696" s="40" t="s">
        <v>6904</v>
      </c>
      <c r="B2696" s="40" t="s">
        <v>8861</v>
      </c>
      <c r="C2696" s="41">
        <v>0.0</v>
      </c>
      <c r="D2696" s="41">
        <v>2.0</v>
      </c>
      <c r="E2696" s="42" t="str">
        <f t="shared" si="1"/>
        <v>0.0%</v>
      </c>
    </row>
    <row r="2697">
      <c r="A2697" s="40" t="s">
        <v>6904</v>
      </c>
      <c r="B2697" s="40" t="s">
        <v>8852</v>
      </c>
      <c r="C2697" s="41">
        <v>0.0</v>
      </c>
      <c r="D2697" s="41">
        <v>2.0</v>
      </c>
      <c r="E2697" s="42" t="str">
        <f t="shared" si="1"/>
        <v>0.0%</v>
      </c>
    </row>
    <row r="2698">
      <c r="A2698" s="40" t="s">
        <v>6904</v>
      </c>
      <c r="B2698" s="40" t="s">
        <v>9179</v>
      </c>
      <c r="C2698" s="41">
        <v>0.0</v>
      </c>
      <c r="D2698" s="41">
        <v>2.0</v>
      </c>
      <c r="E2698" s="42" t="str">
        <f t="shared" si="1"/>
        <v>0.0%</v>
      </c>
    </row>
    <row r="2699">
      <c r="A2699" s="40" t="s">
        <v>6904</v>
      </c>
      <c r="B2699" s="40" t="s">
        <v>9202</v>
      </c>
      <c r="C2699" s="41">
        <v>0.0</v>
      </c>
      <c r="D2699" s="41">
        <v>2.0</v>
      </c>
      <c r="E2699" s="42" t="str">
        <f t="shared" si="1"/>
        <v>0.0%</v>
      </c>
    </row>
    <row r="2700">
      <c r="A2700" s="40" t="s">
        <v>6904</v>
      </c>
      <c r="B2700" s="40" t="s">
        <v>9257</v>
      </c>
      <c r="C2700" s="41">
        <v>0.0</v>
      </c>
      <c r="D2700" s="41">
        <v>2.0</v>
      </c>
      <c r="E2700" s="42" t="str">
        <f t="shared" si="1"/>
        <v>0.0%</v>
      </c>
    </row>
    <row r="2701">
      <c r="A2701" s="40" t="s">
        <v>6904</v>
      </c>
      <c r="B2701" s="40" t="s">
        <v>9187</v>
      </c>
      <c r="C2701" s="41">
        <v>0.0</v>
      </c>
      <c r="D2701" s="41">
        <v>2.0</v>
      </c>
      <c r="E2701" s="42" t="str">
        <f t="shared" si="1"/>
        <v>0.0%</v>
      </c>
    </row>
    <row r="2702">
      <c r="A2702" s="40" t="s">
        <v>6904</v>
      </c>
      <c r="B2702" s="40" t="s">
        <v>9348</v>
      </c>
      <c r="C2702" s="41">
        <v>0.0</v>
      </c>
      <c r="D2702" s="41">
        <v>2.0</v>
      </c>
      <c r="E2702" s="42" t="str">
        <f t="shared" si="1"/>
        <v>0.0%</v>
      </c>
    </row>
    <row r="2703">
      <c r="A2703" s="40" t="s">
        <v>6904</v>
      </c>
      <c r="B2703" s="40" t="s">
        <v>9483</v>
      </c>
      <c r="C2703" s="41">
        <v>0.0</v>
      </c>
      <c r="D2703" s="41">
        <v>2.0</v>
      </c>
      <c r="E2703" s="42" t="str">
        <f t="shared" si="1"/>
        <v>0.0%</v>
      </c>
    </row>
    <row r="2704">
      <c r="A2704" s="40" t="s">
        <v>6904</v>
      </c>
      <c r="B2704" s="40" t="s">
        <v>9484</v>
      </c>
      <c r="C2704" s="41">
        <v>0.0</v>
      </c>
      <c r="D2704" s="41">
        <v>2.0</v>
      </c>
      <c r="E2704" s="42" t="str">
        <f t="shared" si="1"/>
        <v>0.0%</v>
      </c>
    </row>
    <row r="2705">
      <c r="A2705" s="40" t="s">
        <v>6904</v>
      </c>
      <c r="B2705" s="40" t="s">
        <v>9485</v>
      </c>
      <c r="C2705" s="41">
        <v>0.0</v>
      </c>
      <c r="D2705" s="41">
        <v>2.0</v>
      </c>
      <c r="E2705" s="42" t="str">
        <f t="shared" si="1"/>
        <v>0.0%</v>
      </c>
    </row>
    <row r="2706">
      <c r="A2706" s="40" t="s">
        <v>6904</v>
      </c>
      <c r="B2706" s="40" t="s">
        <v>9486</v>
      </c>
      <c r="C2706" s="41">
        <v>0.0</v>
      </c>
      <c r="D2706" s="41">
        <v>2.0</v>
      </c>
      <c r="E2706" s="42" t="str">
        <f t="shared" si="1"/>
        <v>0.0%</v>
      </c>
    </row>
    <row r="2707">
      <c r="A2707" s="40" t="s">
        <v>6904</v>
      </c>
      <c r="B2707" s="40" t="s">
        <v>9487</v>
      </c>
      <c r="C2707" s="41">
        <v>0.0</v>
      </c>
      <c r="D2707" s="41">
        <v>2.0</v>
      </c>
      <c r="E2707" s="42" t="str">
        <f t="shared" si="1"/>
        <v>0.0%</v>
      </c>
    </row>
    <row r="2708">
      <c r="A2708" s="40" t="s">
        <v>6904</v>
      </c>
      <c r="B2708" s="40" t="s">
        <v>9488</v>
      </c>
      <c r="C2708" s="41">
        <v>0.0</v>
      </c>
      <c r="D2708" s="41">
        <v>2.0</v>
      </c>
      <c r="E2708" s="42" t="str">
        <f t="shared" si="1"/>
        <v>0.0%</v>
      </c>
    </row>
    <row r="2709">
      <c r="A2709" s="40" t="s">
        <v>6904</v>
      </c>
      <c r="B2709" s="40" t="s">
        <v>9363</v>
      </c>
      <c r="C2709" s="41">
        <v>0.0</v>
      </c>
      <c r="D2709" s="41">
        <v>3.0</v>
      </c>
      <c r="E2709" s="42" t="str">
        <f t="shared" si="1"/>
        <v>0.0%</v>
      </c>
    </row>
    <row r="2710">
      <c r="A2710" s="40" t="s">
        <v>6904</v>
      </c>
      <c r="B2710" s="40" t="s">
        <v>9298</v>
      </c>
      <c r="C2710" s="41">
        <v>0.0</v>
      </c>
      <c r="D2710" s="41">
        <v>3.0</v>
      </c>
      <c r="E2710" s="42" t="str">
        <f t="shared" si="1"/>
        <v>0.0%</v>
      </c>
    </row>
    <row r="2711">
      <c r="A2711" s="40" t="s">
        <v>6904</v>
      </c>
      <c r="B2711" s="40" t="s">
        <v>9489</v>
      </c>
      <c r="C2711" s="41">
        <v>0.0</v>
      </c>
      <c r="D2711" s="41">
        <v>3.0</v>
      </c>
      <c r="E2711" s="42" t="str">
        <f t="shared" si="1"/>
        <v>0.0%</v>
      </c>
    </row>
    <row r="2712">
      <c r="A2712" s="40" t="s">
        <v>6904</v>
      </c>
      <c r="B2712" s="40" t="s">
        <v>9300</v>
      </c>
      <c r="C2712" s="41">
        <v>0.0</v>
      </c>
      <c r="D2712" s="41">
        <v>4.0</v>
      </c>
      <c r="E2712" s="42" t="str">
        <f t="shared" si="1"/>
        <v>0.0%</v>
      </c>
    </row>
    <row r="2713">
      <c r="A2713" s="40" t="s">
        <v>6904</v>
      </c>
      <c r="B2713" s="40" t="s">
        <v>9490</v>
      </c>
      <c r="C2713" s="41">
        <v>0.0</v>
      </c>
      <c r="D2713" s="41">
        <v>4.0</v>
      </c>
      <c r="E2713" s="42" t="str">
        <f t="shared" si="1"/>
        <v>0.0%</v>
      </c>
    </row>
    <row r="2714">
      <c r="A2714" s="40" t="s">
        <v>6904</v>
      </c>
      <c r="B2714" s="40" t="s">
        <v>9491</v>
      </c>
      <c r="C2714" s="41">
        <v>0.0</v>
      </c>
      <c r="D2714" s="41">
        <v>9.0</v>
      </c>
      <c r="E2714" s="42" t="str">
        <f t="shared" si="1"/>
        <v>0.0%</v>
      </c>
    </row>
    <row r="2715">
      <c r="A2715" s="40" t="s">
        <v>7316</v>
      </c>
      <c r="B2715" s="40" t="s">
        <v>8950</v>
      </c>
      <c r="C2715" s="41">
        <v>20.0</v>
      </c>
      <c r="D2715" s="41">
        <v>5.0</v>
      </c>
      <c r="E2715" s="42" t="str">
        <f t="shared" si="1"/>
        <v>80.0%</v>
      </c>
    </row>
    <row r="2716">
      <c r="A2716" s="40" t="s">
        <v>7316</v>
      </c>
      <c r="B2716" s="40" t="s">
        <v>8491</v>
      </c>
      <c r="C2716" s="41">
        <v>14.0</v>
      </c>
      <c r="D2716" s="41">
        <v>3.0</v>
      </c>
      <c r="E2716" s="42" t="str">
        <f t="shared" si="1"/>
        <v>82.4%</v>
      </c>
    </row>
    <row r="2717">
      <c r="A2717" s="40" t="s">
        <v>7316</v>
      </c>
      <c r="B2717" s="40" t="s">
        <v>8951</v>
      </c>
      <c r="C2717" s="41">
        <v>14.0</v>
      </c>
      <c r="D2717" s="41">
        <v>6.0</v>
      </c>
      <c r="E2717" s="42" t="str">
        <f t="shared" si="1"/>
        <v>70.0%</v>
      </c>
    </row>
    <row r="2718">
      <c r="A2718" s="40" t="s">
        <v>7316</v>
      </c>
      <c r="B2718" s="40" t="s">
        <v>8530</v>
      </c>
      <c r="C2718" s="41">
        <v>13.0</v>
      </c>
      <c r="D2718" s="41">
        <v>3.0</v>
      </c>
      <c r="E2718" s="42" t="str">
        <f t="shared" si="1"/>
        <v>81.3%</v>
      </c>
    </row>
    <row r="2719">
      <c r="A2719" s="40" t="s">
        <v>7316</v>
      </c>
      <c r="B2719" s="40" t="s">
        <v>8773</v>
      </c>
      <c r="C2719" s="41">
        <v>13.0</v>
      </c>
      <c r="D2719" s="41">
        <v>6.0</v>
      </c>
      <c r="E2719" s="42" t="str">
        <f t="shared" si="1"/>
        <v>68.4%</v>
      </c>
    </row>
    <row r="2720">
      <c r="A2720" s="40" t="s">
        <v>7316</v>
      </c>
      <c r="B2720" s="40" t="s">
        <v>8496</v>
      </c>
      <c r="C2720" s="41">
        <v>13.0</v>
      </c>
      <c r="D2720" s="41">
        <v>13.0</v>
      </c>
      <c r="E2720" s="42" t="str">
        <f t="shared" si="1"/>
        <v>50.0%</v>
      </c>
    </row>
    <row r="2721">
      <c r="A2721" s="40" t="s">
        <v>7316</v>
      </c>
      <c r="B2721" s="40" t="s">
        <v>8921</v>
      </c>
      <c r="C2721" s="41">
        <v>11.0</v>
      </c>
      <c r="D2721" s="41">
        <v>3.0</v>
      </c>
      <c r="E2721" s="42" t="str">
        <f t="shared" si="1"/>
        <v>78.6%</v>
      </c>
    </row>
    <row r="2722">
      <c r="A2722" s="40" t="s">
        <v>7316</v>
      </c>
      <c r="B2722" s="40" t="s">
        <v>8520</v>
      </c>
      <c r="C2722" s="41">
        <v>10.0</v>
      </c>
      <c r="D2722" s="41">
        <v>2.0</v>
      </c>
      <c r="E2722" s="42" t="str">
        <f t="shared" si="1"/>
        <v>83.3%</v>
      </c>
    </row>
    <row r="2723">
      <c r="A2723" s="40" t="s">
        <v>7316</v>
      </c>
      <c r="B2723" s="40" t="s">
        <v>8824</v>
      </c>
      <c r="C2723" s="41">
        <v>10.0</v>
      </c>
      <c r="D2723" s="41">
        <v>2.0</v>
      </c>
      <c r="E2723" s="42" t="str">
        <f t="shared" si="1"/>
        <v>83.3%</v>
      </c>
    </row>
    <row r="2724">
      <c r="A2724" s="40" t="s">
        <v>7316</v>
      </c>
      <c r="B2724" s="40" t="s">
        <v>8545</v>
      </c>
      <c r="C2724" s="41">
        <v>10.0</v>
      </c>
      <c r="D2724" s="41">
        <v>5.0</v>
      </c>
      <c r="E2724" s="42" t="str">
        <f t="shared" si="1"/>
        <v>66.7%</v>
      </c>
    </row>
    <row r="2725">
      <c r="A2725" s="40" t="s">
        <v>7316</v>
      </c>
      <c r="B2725" s="40" t="s">
        <v>8500</v>
      </c>
      <c r="C2725" s="41">
        <v>10.0</v>
      </c>
      <c r="D2725" s="41">
        <v>7.0</v>
      </c>
      <c r="E2725" s="42" t="str">
        <f t="shared" si="1"/>
        <v>58.8%</v>
      </c>
    </row>
    <row r="2726">
      <c r="A2726" s="40" t="s">
        <v>7316</v>
      </c>
      <c r="B2726" s="40" t="s">
        <v>8916</v>
      </c>
      <c r="C2726" s="41">
        <v>9.0</v>
      </c>
      <c r="D2726" s="41">
        <v>1.0</v>
      </c>
      <c r="E2726" s="42" t="str">
        <f t="shared" si="1"/>
        <v>90.0%</v>
      </c>
    </row>
    <row r="2727">
      <c r="A2727" s="40" t="s">
        <v>7316</v>
      </c>
      <c r="B2727" s="40" t="s">
        <v>8923</v>
      </c>
      <c r="C2727" s="41">
        <v>9.0</v>
      </c>
      <c r="D2727" s="41">
        <v>2.0</v>
      </c>
      <c r="E2727" s="42" t="str">
        <f t="shared" si="1"/>
        <v>81.8%</v>
      </c>
    </row>
    <row r="2728">
      <c r="A2728" s="40" t="s">
        <v>7316</v>
      </c>
      <c r="B2728" s="40" t="s">
        <v>8487</v>
      </c>
      <c r="C2728" s="41">
        <v>9.0</v>
      </c>
      <c r="D2728" s="41">
        <v>5.0</v>
      </c>
      <c r="E2728" s="42" t="str">
        <f t="shared" si="1"/>
        <v>64.3%</v>
      </c>
    </row>
    <row r="2729">
      <c r="A2729" s="40" t="s">
        <v>7316</v>
      </c>
      <c r="B2729" s="40" t="s">
        <v>9286</v>
      </c>
      <c r="C2729" s="41">
        <v>9.0</v>
      </c>
      <c r="D2729" s="41">
        <v>8.0</v>
      </c>
      <c r="E2729" s="42" t="str">
        <f t="shared" si="1"/>
        <v>52.9%</v>
      </c>
    </row>
    <row r="2730">
      <c r="A2730" s="40" t="s">
        <v>7316</v>
      </c>
      <c r="B2730" s="40" t="s">
        <v>8957</v>
      </c>
      <c r="C2730" s="41">
        <v>9.0</v>
      </c>
      <c r="D2730" s="41">
        <v>11.0</v>
      </c>
      <c r="E2730" s="42" t="str">
        <f t="shared" si="1"/>
        <v>45.0%</v>
      </c>
    </row>
    <row r="2731">
      <c r="A2731" s="40" t="s">
        <v>7316</v>
      </c>
      <c r="B2731" s="40" t="s">
        <v>9272</v>
      </c>
      <c r="C2731" s="41">
        <v>9.0</v>
      </c>
      <c r="D2731" s="41">
        <v>12.0</v>
      </c>
      <c r="E2731" s="42" t="str">
        <f t="shared" si="1"/>
        <v>42.9%</v>
      </c>
    </row>
    <row r="2732">
      <c r="A2732" s="40" t="s">
        <v>7316</v>
      </c>
      <c r="B2732" s="40" t="s">
        <v>9481</v>
      </c>
      <c r="C2732" s="41">
        <v>8.0</v>
      </c>
      <c r="D2732" s="41">
        <v>1.0</v>
      </c>
      <c r="E2732" s="42" t="str">
        <f t="shared" si="1"/>
        <v>88.9%</v>
      </c>
    </row>
    <row r="2733">
      <c r="A2733" s="40" t="s">
        <v>7316</v>
      </c>
      <c r="B2733" s="40" t="s">
        <v>8483</v>
      </c>
      <c r="C2733" s="41">
        <v>8.0</v>
      </c>
      <c r="D2733" s="41">
        <v>2.0</v>
      </c>
      <c r="E2733" s="42" t="str">
        <f t="shared" si="1"/>
        <v>80.0%</v>
      </c>
    </row>
    <row r="2734">
      <c r="A2734" s="40" t="s">
        <v>7316</v>
      </c>
      <c r="B2734" s="40" t="s">
        <v>8948</v>
      </c>
      <c r="C2734" s="41">
        <v>8.0</v>
      </c>
      <c r="D2734" s="41">
        <v>10.0</v>
      </c>
      <c r="E2734" s="42" t="str">
        <f t="shared" si="1"/>
        <v>44.4%</v>
      </c>
    </row>
    <row r="2735">
      <c r="A2735" s="40" t="s">
        <v>7316</v>
      </c>
      <c r="B2735" s="40" t="s">
        <v>9037</v>
      </c>
      <c r="C2735" s="41">
        <v>8.0</v>
      </c>
      <c r="D2735" s="41">
        <v>10.0</v>
      </c>
      <c r="E2735" s="42" t="str">
        <f t="shared" si="1"/>
        <v>44.4%</v>
      </c>
    </row>
    <row r="2736">
      <c r="A2736" s="40" t="s">
        <v>7316</v>
      </c>
      <c r="B2736" s="40" t="s">
        <v>8828</v>
      </c>
      <c r="C2736" s="41">
        <v>8.0</v>
      </c>
      <c r="D2736" s="41">
        <v>17.0</v>
      </c>
      <c r="E2736" s="42" t="str">
        <f t="shared" si="1"/>
        <v>32.0%</v>
      </c>
    </row>
    <row r="2737">
      <c r="A2737" s="40" t="s">
        <v>7316</v>
      </c>
      <c r="B2737" s="40" t="s">
        <v>8881</v>
      </c>
      <c r="C2737" s="41">
        <v>8.0</v>
      </c>
      <c r="D2737" s="41">
        <v>19.0</v>
      </c>
      <c r="E2737" s="42" t="str">
        <f t="shared" si="1"/>
        <v>29.6%</v>
      </c>
    </row>
    <row r="2738">
      <c r="A2738" s="40" t="s">
        <v>7316</v>
      </c>
      <c r="B2738" s="40" t="s">
        <v>9306</v>
      </c>
      <c r="C2738" s="41">
        <v>7.0</v>
      </c>
      <c r="D2738" s="41">
        <v>3.0</v>
      </c>
      <c r="E2738" s="42" t="str">
        <f t="shared" si="1"/>
        <v>70.0%</v>
      </c>
    </row>
    <row r="2739">
      <c r="A2739" s="40" t="s">
        <v>7316</v>
      </c>
      <c r="B2739" s="40" t="s">
        <v>9049</v>
      </c>
      <c r="C2739" s="41">
        <v>7.0</v>
      </c>
      <c r="D2739" s="41">
        <v>6.0</v>
      </c>
      <c r="E2739" s="42" t="str">
        <f t="shared" si="1"/>
        <v>53.8%</v>
      </c>
    </row>
    <row r="2740">
      <c r="A2740" s="40" t="s">
        <v>7316</v>
      </c>
      <c r="B2740" s="40" t="s">
        <v>9044</v>
      </c>
      <c r="C2740" s="41">
        <v>7.0</v>
      </c>
      <c r="D2740" s="41">
        <v>14.0</v>
      </c>
      <c r="E2740" s="42" t="str">
        <f t="shared" si="1"/>
        <v>33.3%</v>
      </c>
    </row>
    <row r="2741">
      <c r="A2741" s="40" t="s">
        <v>7316</v>
      </c>
      <c r="B2741" s="40" t="s">
        <v>9459</v>
      </c>
      <c r="C2741" s="41">
        <v>6.0</v>
      </c>
      <c r="D2741" s="41">
        <v>0.0</v>
      </c>
      <c r="E2741" s="42" t="str">
        <f t="shared" si="1"/>
        <v>100.0%</v>
      </c>
    </row>
    <row r="2742">
      <c r="A2742" s="40" t="s">
        <v>7316</v>
      </c>
      <c r="B2742" s="40" t="s">
        <v>9492</v>
      </c>
      <c r="C2742" s="41">
        <v>6.0</v>
      </c>
      <c r="D2742" s="41">
        <v>0.0</v>
      </c>
      <c r="E2742" s="42" t="str">
        <f t="shared" si="1"/>
        <v>100.0%</v>
      </c>
    </row>
    <row r="2743">
      <c r="A2743" s="40" t="s">
        <v>7316</v>
      </c>
      <c r="B2743" s="40" t="s">
        <v>8484</v>
      </c>
      <c r="C2743" s="41">
        <v>6.0</v>
      </c>
      <c r="D2743" s="41">
        <v>2.0</v>
      </c>
      <c r="E2743" s="42" t="str">
        <f t="shared" si="1"/>
        <v>75.0%</v>
      </c>
    </row>
    <row r="2744">
      <c r="A2744" s="40" t="s">
        <v>7316</v>
      </c>
      <c r="B2744" s="40" t="s">
        <v>8485</v>
      </c>
      <c r="C2744" s="41">
        <v>6.0</v>
      </c>
      <c r="D2744" s="41">
        <v>4.0</v>
      </c>
      <c r="E2744" s="42" t="str">
        <f t="shared" si="1"/>
        <v>60.0%</v>
      </c>
    </row>
    <row r="2745">
      <c r="A2745" s="40" t="s">
        <v>7316</v>
      </c>
      <c r="B2745" s="40" t="s">
        <v>8738</v>
      </c>
      <c r="C2745" s="41">
        <v>6.0</v>
      </c>
      <c r="D2745" s="41">
        <v>4.0</v>
      </c>
      <c r="E2745" s="42" t="str">
        <f t="shared" si="1"/>
        <v>60.0%</v>
      </c>
    </row>
    <row r="2746">
      <c r="A2746" s="40" t="s">
        <v>7316</v>
      </c>
      <c r="B2746" s="40" t="s">
        <v>8495</v>
      </c>
      <c r="C2746" s="41">
        <v>6.0</v>
      </c>
      <c r="D2746" s="41">
        <v>8.0</v>
      </c>
      <c r="E2746" s="42" t="str">
        <f t="shared" si="1"/>
        <v>42.9%</v>
      </c>
    </row>
    <row r="2747">
      <c r="A2747" s="40" t="s">
        <v>7316</v>
      </c>
      <c r="B2747" s="40" t="s">
        <v>8490</v>
      </c>
      <c r="C2747" s="41">
        <v>6.0</v>
      </c>
      <c r="D2747" s="41">
        <v>18.0</v>
      </c>
      <c r="E2747" s="42" t="str">
        <f t="shared" si="1"/>
        <v>25.0%</v>
      </c>
    </row>
    <row r="2748">
      <c r="A2748" s="40" t="s">
        <v>7316</v>
      </c>
      <c r="B2748" s="40" t="s">
        <v>8698</v>
      </c>
      <c r="C2748" s="41">
        <v>5.0</v>
      </c>
      <c r="D2748" s="41">
        <v>0.0</v>
      </c>
      <c r="E2748" s="42" t="str">
        <f t="shared" si="1"/>
        <v>100.0%</v>
      </c>
    </row>
    <row r="2749">
      <c r="A2749" s="40" t="s">
        <v>7316</v>
      </c>
      <c r="B2749" s="40" t="s">
        <v>8819</v>
      </c>
      <c r="C2749" s="41">
        <v>5.0</v>
      </c>
      <c r="D2749" s="41">
        <v>0.0</v>
      </c>
      <c r="E2749" s="42" t="str">
        <f t="shared" si="1"/>
        <v>100.0%</v>
      </c>
    </row>
    <row r="2750">
      <c r="A2750" s="40" t="s">
        <v>7316</v>
      </c>
      <c r="B2750" s="40" t="s">
        <v>9093</v>
      </c>
      <c r="C2750" s="41">
        <v>5.0</v>
      </c>
      <c r="D2750" s="41">
        <v>2.0</v>
      </c>
      <c r="E2750" s="42" t="str">
        <f t="shared" si="1"/>
        <v>71.4%</v>
      </c>
    </row>
    <row r="2751">
      <c r="A2751" s="40" t="s">
        <v>7316</v>
      </c>
      <c r="B2751" s="40" t="s">
        <v>9298</v>
      </c>
      <c r="C2751" s="41">
        <v>5.0</v>
      </c>
      <c r="D2751" s="41">
        <v>4.0</v>
      </c>
      <c r="E2751" s="42" t="str">
        <f t="shared" si="1"/>
        <v>55.6%</v>
      </c>
    </row>
    <row r="2752">
      <c r="A2752" s="40" t="s">
        <v>7316</v>
      </c>
      <c r="B2752" s="40" t="s">
        <v>8956</v>
      </c>
      <c r="C2752" s="41">
        <v>5.0</v>
      </c>
      <c r="D2752" s="41">
        <v>5.0</v>
      </c>
      <c r="E2752" s="42" t="str">
        <f t="shared" si="1"/>
        <v>50.0%</v>
      </c>
    </row>
    <row r="2753">
      <c r="A2753" s="40" t="s">
        <v>7316</v>
      </c>
      <c r="B2753" s="40" t="s">
        <v>8682</v>
      </c>
      <c r="C2753" s="41">
        <v>5.0</v>
      </c>
      <c r="D2753" s="41">
        <v>6.0</v>
      </c>
      <c r="E2753" s="42" t="str">
        <f t="shared" si="1"/>
        <v>45.5%</v>
      </c>
    </row>
    <row r="2754">
      <c r="A2754" s="40" t="s">
        <v>7316</v>
      </c>
      <c r="B2754" s="40" t="s">
        <v>9250</v>
      </c>
      <c r="C2754" s="41">
        <v>5.0</v>
      </c>
      <c r="D2754" s="41">
        <v>7.0</v>
      </c>
      <c r="E2754" s="42" t="str">
        <f t="shared" si="1"/>
        <v>41.7%</v>
      </c>
    </row>
    <row r="2755">
      <c r="A2755" s="40" t="s">
        <v>7316</v>
      </c>
      <c r="B2755" s="40" t="s">
        <v>8826</v>
      </c>
      <c r="C2755" s="41">
        <v>5.0</v>
      </c>
      <c r="D2755" s="41">
        <v>9.0</v>
      </c>
      <c r="E2755" s="42" t="str">
        <f t="shared" si="1"/>
        <v>35.7%</v>
      </c>
    </row>
    <row r="2756">
      <c r="A2756" s="40" t="s">
        <v>7316</v>
      </c>
      <c r="B2756" s="40" t="s">
        <v>9377</v>
      </c>
      <c r="C2756" s="41">
        <v>4.0</v>
      </c>
      <c r="D2756" s="41">
        <v>0.0</v>
      </c>
      <c r="E2756" s="42" t="str">
        <f t="shared" si="1"/>
        <v>100.0%</v>
      </c>
    </row>
    <row r="2757">
      <c r="A2757" s="40" t="s">
        <v>7316</v>
      </c>
      <c r="B2757" s="40" t="s">
        <v>9028</v>
      </c>
      <c r="C2757" s="41">
        <v>4.0</v>
      </c>
      <c r="D2757" s="41">
        <v>1.0</v>
      </c>
      <c r="E2757" s="42" t="str">
        <f t="shared" si="1"/>
        <v>80.0%</v>
      </c>
    </row>
    <row r="2758">
      <c r="A2758" s="40" t="s">
        <v>7316</v>
      </c>
      <c r="B2758" s="40" t="s">
        <v>8720</v>
      </c>
      <c r="C2758" s="41">
        <v>4.0</v>
      </c>
      <c r="D2758" s="41">
        <v>2.0</v>
      </c>
      <c r="E2758" s="42" t="str">
        <f t="shared" si="1"/>
        <v>66.7%</v>
      </c>
    </row>
    <row r="2759">
      <c r="A2759" s="40" t="s">
        <v>7316</v>
      </c>
      <c r="B2759" s="40" t="s">
        <v>8518</v>
      </c>
      <c r="C2759" s="41">
        <v>4.0</v>
      </c>
      <c r="D2759" s="41">
        <v>2.0</v>
      </c>
      <c r="E2759" s="42" t="str">
        <f t="shared" si="1"/>
        <v>66.7%</v>
      </c>
    </row>
    <row r="2760">
      <c r="A2760" s="40" t="s">
        <v>7316</v>
      </c>
      <c r="B2760" s="40" t="s">
        <v>9251</v>
      </c>
      <c r="C2760" s="41">
        <v>4.0</v>
      </c>
      <c r="D2760" s="41">
        <v>3.0</v>
      </c>
      <c r="E2760" s="42" t="str">
        <f t="shared" si="1"/>
        <v>57.1%</v>
      </c>
    </row>
    <row r="2761">
      <c r="A2761" s="40" t="s">
        <v>7316</v>
      </c>
      <c r="B2761" s="40" t="s">
        <v>9364</v>
      </c>
      <c r="C2761" s="41">
        <v>4.0</v>
      </c>
      <c r="D2761" s="41">
        <v>4.0</v>
      </c>
      <c r="E2761" s="42" t="str">
        <f t="shared" si="1"/>
        <v>50.0%</v>
      </c>
    </row>
    <row r="2762">
      <c r="A2762" s="40" t="s">
        <v>7316</v>
      </c>
      <c r="B2762" s="40" t="s">
        <v>9412</v>
      </c>
      <c r="C2762" s="41">
        <v>4.0</v>
      </c>
      <c r="D2762" s="41">
        <v>4.0</v>
      </c>
      <c r="E2762" s="42" t="str">
        <f t="shared" si="1"/>
        <v>50.0%</v>
      </c>
    </row>
    <row r="2763">
      <c r="A2763" s="40" t="s">
        <v>7316</v>
      </c>
      <c r="B2763" s="40" t="s">
        <v>9482</v>
      </c>
      <c r="C2763" s="41">
        <v>4.0</v>
      </c>
      <c r="D2763" s="41">
        <v>5.0</v>
      </c>
      <c r="E2763" s="42" t="str">
        <f t="shared" si="1"/>
        <v>44.4%</v>
      </c>
    </row>
    <row r="2764">
      <c r="A2764" s="40" t="s">
        <v>7316</v>
      </c>
      <c r="B2764" s="40" t="s">
        <v>8993</v>
      </c>
      <c r="C2764" s="41">
        <v>4.0</v>
      </c>
      <c r="D2764" s="41">
        <v>6.0</v>
      </c>
      <c r="E2764" s="42" t="str">
        <f t="shared" si="1"/>
        <v>40.0%</v>
      </c>
    </row>
    <row r="2765">
      <c r="A2765" s="40" t="s">
        <v>7316</v>
      </c>
      <c r="B2765" s="40" t="s">
        <v>8929</v>
      </c>
      <c r="C2765" s="41">
        <v>4.0</v>
      </c>
      <c r="D2765" s="41">
        <v>12.0</v>
      </c>
      <c r="E2765" s="42" t="str">
        <f t="shared" si="1"/>
        <v>25.0%</v>
      </c>
    </row>
    <row r="2766">
      <c r="A2766" s="40" t="s">
        <v>7316</v>
      </c>
      <c r="B2766" s="40" t="s">
        <v>8790</v>
      </c>
      <c r="C2766" s="41">
        <v>3.0</v>
      </c>
      <c r="D2766" s="41">
        <v>0.0</v>
      </c>
      <c r="E2766" s="42" t="str">
        <f t="shared" si="1"/>
        <v>100.0%</v>
      </c>
    </row>
    <row r="2767">
      <c r="A2767" s="40" t="s">
        <v>7316</v>
      </c>
      <c r="B2767" s="40" t="s">
        <v>9271</v>
      </c>
      <c r="C2767" s="41">
        <v>3.0</v>
      </c>
      <c r="D2767" s="41">
        <v>0.0</v>
      </c>
      <c r="E2767" s="42" t="str">
        <f t="shared" si="1"/>
        <v>100.0%</v>
      </c>
    </row>
    <row r="2768">
      <c r="A2768" s="40" t="s">
        <v>7316</v>
      </c>
      <c r="B2768" s="40" t="s">
        <v>9223</v>
      </c>
      <c r="C2768" s="41">
        <v>3.0</v>
      </c>
      <c r="D2768" s="41">
        <v>0.0</v>
      </c>
      <c r="E2768" s="42" t="str">
        <f t="shared" si="1"/>
        <v>100.0%</v>
      </c>
    </row>
    <row r="2769">
      <c r="A2769" s="40" t="s">
        <v>7316</v>
      </c>
      <c r="B2769" s="40" t="s">
        <v>9344</v>
      </c>
      <c r="C2769" s="41">
        <v>3.0</v>
      </c>
      <c r="D2769" s="41">
        <v>0.0</v>
      </c>
      <c r="E2769" s="42" t="str">
        <f t="shared" si="1"/>
        <v>100.0%</v>
      </c>
    </row>
    <row r="2770">
      <c r="A2770" s="40" t="s">
        <v>7316</v>
      </c>
      <c r="B2770" s="40" t="s">
        <v>9493</v>
      </c>
      <c r="C2770" s="41">
        <v>3.0</v>
      </c>
      <c r="D2770" s="41">
        <v>0.0</v>
      </c>
      <c r="E2770" s="42" t="str">
        <f t="shared" si="1"/>
        <v>100.0%</v>
      </c>
    </row>
    <row r="2771">
      <c r="A2771" s="40" t="s">
        <v>7316</v>
      </c>
      <c r="B2771" s="40" t="s">
        <v>8805</v>
      </c>
      <c r="C2771" s="41">
        <v>3.0</v>
      </c>
      <c r="D2771" s="41">
        <v>1.0</v>
      </c>
      <c r="E2771" s="42" t="str">
        <f t="shared" si="1"/>
        <v>75.0%</v>
      </c>
    </row>
    <row r="2772">
      <c r="A2772" s="40" t="s">
        <v>7316</v>
      </c>
      <c r="B2772" s="40" t="s">
        <v>8853</v>
      </c>
      <c r="C2772" s="41">
        <v>3.0</v>
      </c>
      <c r="D2772" s="41">
        <v>1.0</v>
      </c>
      <c r="E2772" s="42" t="str">
        <f t="shared" si="1"/>
        <v>75.0%</v>
      </c>
    </row>
    <row r="2773">
      <c r="A2773" s="40" t="s">
        <v>7316</v>
      </c>
      <c r="B2773" s="40" t="s">
        <v>9014</v>
      </c>
      <c r="C2773" s="41">
        <v>3.0</v>
      </c>
      <c r="D2773" s="41">
        <v>1.0</v>
      </c>
      <c r="E2773" s="42" t="str">
        <f t="shared" si="1"/>
        <v>75.0%</v>
      </c>
    </row>
    <row r="2774">
      <c r="A2774" s="40" t="s">
        <v>7316</v>
      </c>
      <c r="B2774" s="40" t="s">
        <v>9222</v>
      </c>
      <c r="C2774" s="41">
        <v>3.0</v>
      </c>
      <c r="D2774" s="41">
        <v>1.0</v>
      </c>
      <c r="E2774" s="42" t="str">
        <f t="shared" si="1"/>
        <v>75.0%</v>
      </c>
    </row>
    <row r="2775">
      <c r="A2775" s="40" t="s">
        <v>7316</v>
      </c>
      <c r="B2775" s="40" t="s">
        <v>9205</v>
      </c>
      <c r="C2775" s="41">
        <v>3.0</v>
      </c>
      <c r="D2775" s="41">
        <v>1.0</v>
      </c>
      <c r="E2775" s="42" t="str">
        <f t="shared" si="1"/>
        <v>75.0%</v>
      </c>
    </row>
    <row r="2776">
      <c r="A2776" s="40" t="s">
        <v>7316</v>
      </c>
      <c r="B2776" s="40" t="s">
        <v>9305</v>
      </c>
      <c r="C2776" s="41">
        <v>3.0</v>
      </c>
      <c r="D2776" s="41">
        <v>1.0</v>
      </c>
      <c r="E2776" s="42" t="str">
        <f t="shared" si="1"/>
        <v>75.0%</v>
      </c>
    </row>
    <row r="2777">
      <c r="A2777" s="40" t="s">
        <v>7316</v>
      </c>
      <c r="B2777" s="40" t="s">
        <v>8660</v>
      </c>
      <c r="C2777" s="41">
        <v>3.0</v>
      </c>
      <c r="D2777" s="41">
        <v>2.0</v>
      </c>
      <c r="E2777" s="42" t="str">
        <f t="shared" si="1"/>
        <v>60.0%</v>
      </c>
    </row>
    <row r="2778">
      <c r="A2778" s="40" t="s">
        <v>7316</v>
      </c>
      <c r="B2778" s="40" t="s">
        <v>9136</v>
      </c>
      <c r="C2778" s="41">
        <v>3.0</v>
      </c>
      <c r="D2778" s="41">
        <v>2.0</v>
      </c>
      <c r="E2778" s="42" t="str">
        <f t="shared" si="1"/>
        <v>60.0%</v>
      </c>
    </row>
    <row r="2779">
      <c r="A2779" s="40" t="s">
        <v>7316</v>
      </c>
      <c r="B2779" s="40" t="s">
        <v>8946</v>
      </c>
      <c r="C2779" s="41">
        <v>3.0</v>
      </c>
      <c r="D2779" s="41">
        <v>3.0</v>
      </c>
      <c r="E2779" s="42" t="str">
        <f t="shared" si="1"/>
        <v>50.0%</v>
      </c>
    </row>
    <row r="2780">
      <c r="A2780" s="40" t="s">
        <v>7316</v>
      </c>
      <c r="B2780" s="40" t="s">
        <v>8501</v>
      </c>
      <c r="C2780" s="41">
        <v>3.0</v>
      </c>
      <c r="D2780" s="41">
        <v>5.0</v>
      </c>
      <c r="E2780" s="42" t="str">
        <f t="shared" si="1"/>
        <v>37.5%</v>
      </c>
    </row>
    <row r="2781">
      <c r="A2781" s="40" t="s">
        <v>7316</v>
      </c>
      <c r="B2781" s="40" t="s">
        <v>9269</v>
      </c>
      <c r="C2781" s="41">
        <v>3.0</v>
      </c>
      <c r="D2781" s="41">
        <v>5.0</v>
      </c>
      <c r="E2781" s="42" t="str">
        <f t="shared" si="1"/>
        <v>37.5%</v>
      </c>
    </row>
    <row r="2782">
      <c r="A2782" s="40" t="s">
        <v>7316</v>
      </c>
      <c r="B2782" s="40" t="s">
        <v>9092</v>
      </c>
      <c r="C2782" s="41">
        <v>3.0</v>
      </c>
      <c r="D2782" s="41">
        <v>6.0</v>
      </c>
      <c r="E2782" s="42" t="str">
        <f t="shared" si="1"/>
        <v>33.3%</v>
      </c>
    </row>
    <row r="2783">
      <c r="A2783" s="40" t="s">
        <v>7316</v>
      </c>
      <c r="B2783" s="40" t="s">
        <v>8876</v>
      </c>
      <c r="C2783" s="41">
        <v>3.0</v>
      </c>
      <c r="D2783" s="41">
        <v>7.0</v>
      </c>
      <c r="E2783" s="42" t="str">
        <f t="shared" si="1"/>
        <v>30.0%</v>
      </c>
    </row>
    <row r="2784">
      <c r="A2784" s="40" t="s">
        <v>7316</v>
      </c>
      <c r="B2784" s="40" t="s">
        <v>9300</v>
      </c>
      <c r="C2784" s="41">
        <v>3.0</v>
      </c>
      <c r="D2784" s="41">
        <v>9.0</v>
      </c>
      <c r="E2784" s="42" t="str">
        <f t="shared" si="1"/>
        <v>25.0%</v>
      </c>
    </row>
    <row r="2785">
      <c r="A2785" s="40" t="s">
        <v>7316</v>
      </c>
      <c r="B2785" s="40" t="s">
        <v>8765</v>
      </c>
      <c r="C2785" s="41">
        <v>2.0</v>
      </c>
      <c r="D2785" s="41">
        <v>0.0</v>
      </c>
      <c r="E2785" s="42" t="str">
        <f t="shared" si="1"/>
        <v>100.0%</v>
      </c>
    </row>
    <row r="2786">
      <c r="A2786" s="40" t="s">
        <v>7316</v>
      </c>
      <c r="B2786" s="40" t="s">
        <v>8884</v>
      </c>
      <c r="C2786" s="41">
        <v>2.0</v>
      </c>
      <c r="D2786" s="41">
        <v>0.0</v>
      </c>
      <c r="E2786" s="42" t="str">
        <f t="shared" si="1"/>
        <v>100.0%</v>
      </c>
    </row>
    <row r="2787">
      <c r="A2787" s="40" t="s">
        <v>7316</v>
      </c>
      <c r="B2787" s="40" t="s">
        <v>8816</v>
      </c>
      <c r="C2787" s="41">
        <v>2.0</v>
      </c>
      <c r="D2787" s="41">
        <v>0.0</v>
      </c>
      <c r="E2787" s="42" t="str">
        <f t="shared" si="1"/>
        <v>100.0%</v>
      </c>
    </row>
    <row r="2788">
      <c r="A2788" s="40" t="s">
        <v>7316</v>
      </c>
      <c r="B2788" s="40" t="s">
        <v>8943</v>
      </c>
      <c r="C2788" s="41">
        <v>2.0</v>
      </c>
      <c r="D2788" s="41">
        <v>0.0</v>
      </c>
      <c r="E2788" s="42" t="str">
        <f t="shared" si="1"/>
        <v>100.0%</v>
      </c>
    </row>
    <row r="2789">
      <c r="A2789" s="40" t="s">
        <v>7316</v>
      </c>
      <c r="B2789" s="40" t="s">
        <v>9293</v>
      </c>
      <c r="C2789" s="41">
        <v>2.0</v>
      </c>
      <c r="D2789" s="41">
        <v>0.0</v>
      </c>
      <c r="E2789" s="42" t="str">
        <f t="shared" si="1"/>
        <v>100.0%</v>
      </c>
    </row>
    <row r="2790">
      <c r="A2790" s="40" t="s">
        <v>7316</v>
      </c>
      <c r="B2790" s="40" t="s">
        <v>9460</v>
      </c>
      <c r="C2790" s="41">
        <v>2.0</v>
      </c>
      <c r="D2790" s="41">
        <v>0.0</v>
      </c>
      <c r="E2790" s="42" t="str">
        <f t="shared" si="1"/>
        <v>100.0%</v>
      </c>
    </row>
    <row r="2791">
      <c r="A2791" s="40" t="s">
        <v>7316</v>
      </c>
      <c r="B2791" s="40" t="s">
        <v>9435</v>
      </c>
      <c r="C2791" s="41">
        <v>2.0</v>
      </c>
      <c r="D2791" s="41">
        <v>0.0</v>
      </c>
      <c r="E2791" s="42" t="str">
        <f t="shared" si="1"/>
        <v>100.0%</v>
      </c>
    </row>
    <row r="2792">
      <c r="A2792" s="40" t="s">
        <v>7316</v>
      </c>
      <c r="B2792" s="40" t="s">
        <v>9494</v>
      </c>
      <c r="C2792" s="41">
        <v>2.0</v>
      </c>
      <c r="D2792" s="41">
        <v>0.0</v>
      </c>
      <c r="E2792" s="42" t="str">
        <f t="shared" si="1"/>
        <v>100.0%</v>
      </c>
    </row>
    <row r="2793">
      <c r="A2793" s="40" t="s">
        <v>7316</v>
      </c>
      <c r="B2793" s="40" t="s">
        <v>8672</v>
      </c>
      <c r="C2793" s="41">
        <v>2.0</v>
      </c>
      <c r="D2793" s="41">
        <v>1.0</v>
      </c>
      <c r="E2793" s="42" t="str">
        <f t="shared" si="1"/>
        <v>66.7%</v>
      </c>
    </row>
    <row r="2794">
      <c r="A2794" s="40" t="s">
        <v>7316</v>
      </c>
      <c r="B2794" s="40" t="s">
        <v>8808</v>
      </c>
      <c r="C2794" s="41">
        <v>2.0</v>
      </c>
      <c r="D2794" s="41">
        <v>1.0</v>
      </c>
      <c r="E2794" s="42" t="str">
        <f t="shared" si="1"/>
        <v>66.7%</v>
      </c>
    </row>
    <row r="2795">
      <c r="A2795" s="40" t="s">
        <v>7316</v>
      </c>
      <c r="B2795" s="40" t="s">
        <v>9438</v>
      </c>
      <c r="C2795" s="41">
        <v>2.0</v>
      </c>
      <c r="D2795" s="41">
        <v>1.0</v>
      </c>
      <c r="E2795" s="42" t="str">
        <f t="shared" si="1"/>
        <v>66.7%</v>
      </c>
    </row>
    <row r="2796">
      <c r="A2796" s="40" t="s">
        <v>7316</v>
      </c>
      <c r="B2796" s="40" t="s">
        <v>9433</v>
      </c>
      <c r="C2796" s="41">
        <v>2.0</v>
      </c>
      <c r="D2796" s="41">
        <v>1.0</v>
      </c>
      <c r="E2796" s="42" t="str">
        <f t="shared" si="1"/>
        <v>66.7%</v>
      </c>
    </row>
    <row r="2797">
      <c r="A2797" s="40" t="s">
        <v>7316</v>
      </c>
      <c r="B2797" s="40" t="s">
        <v>9454</v>
      </c>
      <c r="C2797" s="41">
        <v>2.0</v>
      </c>
      <c r="D2797" s="41">
        <v>1.0</v>
      </c>
      <c r="E2797" s="42" t="str">
        <f t="shared" si="1"/>
        <v>66.7%</v>
      </c>
    </row>
    <row r="2798">
      <c r="A2798" s="40" t="s">
        <v>7316</v>
      </c>
      <c r="B2798" s="40" t="s">
        <v>8931</v>
      </c>
      <c r="C2798" s="41">
        <v>2.0</v>
      </c>
      <c r="D2798" s="41">
        <v>2.0</v>
      </c>
      <c r="E2798" s="42" t="str">
        <f t="shared" si="1"/>
        <v>50.0%</v>
      </c>
    </row>
    <row r="2799">
      <c r="A2799" s="40" t="s">
        <v>7316</v>
      </c>
      <c r="B2799" s="40" t="s">
        <v>8928</v>
      </c>
      <c r="C2799" s="41">
        <v>2.0</v>
      </c>
      <c r="D2799" s="41">
        <v>2.0</v>
      </c>
      <c r="E2799" s="42" t="str">
        <f t="shared" si="1"/>
        <v>50.0%</v>
      </c>
    </row>
    <row r="2800">
      <c r="A2800" s="40" t="s">
        <v>7316</v>
      </c>
      <c r="B2800" s="40" t="s">
        <v>9439</v>
      </c>
      <c r="C2800" s="41">
        <v>2.0</v>
      </c>
      <c r="D2800" s="41">
        <v>2.0</v>
      </c>
      <c r="E2800" s="42" t="str">
        <f t="shared" si="1"/>
        <v>50.0%</v>
      </c>
    </row>
    <row r="2801">
      <c r="A2801" s="40" t="s">
        <v>7316</v>
      </c>
      <c r="B2801" s="40" t="s">
        <v>9476</v>
      </c>
      <c r="C2801" s="41">
        <v>2.0</v>
      </c>
      <c r="D2801" s="41">
        <v>2.0</v>
      </c>
      <c r="E2801" s="42" t="str">
        <f t="shared" si="1"/>
        <v>50.0%</v>
      </c>
    </row>
    <row r="2802">
      <c r="A2802" s="40" t="s">
        <v>7316</v>
      </c>
      <c r="B2802" s="40" t="s">
        <v>9495</v>
      </c>
      <c r="C2802" s="41">
        <v>2.0</v>
      </c>
      <c r="D2802" s="41">
        <v>2.0</v>
      </c>
      <c r="E2802" s="42" t="str">
        <f t="shared" si="1"/>
        <v>50.0%</v>
      </c>
    </row>
    <row r="2803">
      <c r="A2803" s="40" t="s">
        <v>7316</v>
      </c>
      <c r="B2803" s="40" t="s">
        <v>9345</v>
      </c>
      <c r="C2803" s="41">
        <v>2.0</v>
      </c>
      <c r="D2803" s="41">
        <v>3.0</v>
      </c>
      <c r="E2803" s="42" t="str">
        <f t="shared" si="1"/>
        <v>40.0%</v>
      </c>
    </row>
    <row r="2804">
      <c r="A2804" s="40" t="s">
        <v>7316</v>
      </c>
      <c r="B2804" s="40" t="s">
        <v>9462</v>
      </c>
      <c r="C2804" s="41">
        <v>2.0</v>
      </c>
      <c r="D2804" s="41">
        <v>3.0</v>
      </c>
      <c r="E2804" s="42" t="str">
        <f t="shared" si="1"/>
        <v>40.0%</v>
      </c>
    </row>
    <row r="2805">
      <c r="A2805" s="40" t="s">
        <v>7316</v>
      </c>
      <c r="B2805" s="40" t="s">
        <v>9270</v>
      </c>
      <c r="C2805" s="41">
        <v>2.0</v>
      </c>
      <c r="D2805" s="41">
        <v>5.0</v>
      </c>
      <c r="E2805" s="42" t="str">
        <f t="shared" si="1"/>
        <v>28.6%</v>
      </c>
    </row>
    <row r="2806">
      <c r="A2806" s="40" t="s">
        <v>7316</v>
      </c>
      <c r="B2806" s="40" t="s">
        <v>9243</v>
      </c>
      <c r="C2806" s="41">
        <v>2.0</v>
      </c>
      <c r="D2806" s="41">
        <v>6.0</v>
      </c>
      <c r="E2806" s="42" t="str">
        <f t="shared" si="1"/>
        <v>25.0%</v>
      </c>
    </row>
    <row r="2807">
      <c r="A2807" s="40" t="s">
        <v>7316</v>
      </c>
      <c r="B2807" s="40" t="s">
        <v>9491</v>
      </c>
      <c r="C2807" s="41">
        <v>2.0</v>
      </c>
      <c r="D2807" s="41">
        <v>6.0</v>
      </c>
      <c r="E2807" s="42" t="str">
        <f t="shared" si="1"/>
        <v>25.0%</v>
      </c>
    </row>
    <row r="2808">
      <c r="A2808" s="40" t="s">
        <v>7316</v>
      </c>
      <c r="B2808" s="40" t="s">
        <v>9363</v>
      </c>
      <c r="C2808" s="41">
        <v>2.0</v>
      </c>
      <c r="D2808" s="41">
        <v>7.0</v>
      </c>
      <c r="E2808" s="42" t="str">
        <f t="shared" si="1"/>
        <v>22.2%</v>
      </c>
    </row>
    <row r="2809">
      <c r="A2809" s="40" t="s">
        <v>7316</v>
      </c>
      <c r="B2809" s="40" t="s">
        <v>8595</v>
      </c>
      <c r="C2809" s="41">
        <v>1.0</v>
      </c>
      <c r="D2809" s="41">
        <v>0.0</v>
      </c>
      <c r="E2809" s="42" t="str">
        <f t="shared" si="1"/>
        <v>100.0%</v>
      </c>
    </row>
    <row r="2810">
      <c r="A2810" s="40" t="s">
        <v>7316</v>
      </c>
      <c r="B2810" s="40" t="s">
        <v>8630</v>
      </c>
      <c r="C2810" s="41">
        <v>1.0</v>
      </c>
      <c r="D2810" s="41">
        <v>0.0</v>
      </c>
      <c r="E2810" s="42" t="str">
        <f t="shared" si="1"/>
        <v>100.0%</v>
      </c>
    </row>
    <row r="2811">
      <c r="A2811" s="40" t="s">
        <v>7316</v>
      </c>
      <c r="B2811" s="40" t="s">
        <v>8675</v>
      </c>
      <c r="C2811" s="41">
        <v>1.0</v>
      </c>
      <c r="D2811" s="41">
        <v>0.0</v>
      </c>
      <c r="E2811" s="42" t="str">
        <f t="shared" si="1"/>
        <v>100.0%</v>
      </c>
    </row>
    <row r="2812">
      <c r="A2812" s="40" t="s">
        <v>7316</v>
      </c>
      <c r="B2812" s="40" t="s">
        <v>8820</v>
      </c>
      <c r="C2812" s="41">
        <v>1.0</v>
      </c>
      <c r="D2812" s="41">
        <v>0.0</v>
      </c>
      <c r="E2812" s="42" t="str">
        <f t="shared" si="1"/>
        <v>100.0%</v>
      </c>
    </row>
    <row r="2813">
      <c r="A2813" s="40" t="s">
        <v>7316</v>
      </c>
      <c r="B2813" s="40" t="s">
        <v>9111</v>
      </c>
      <c r="C2813" s="41">
        <v>1.0</v>
      </c>
      <c r="D2813" s="41">
        <v>0.0</v>
      </c>
      <c r="E2813" s="42" t="str">
        <f t="shared" si="1"/>
        <v>100.0%</v>
      </c>
    </row>
    <row r="2814">
      <c r="A2814" s="40" t="s">
        <v>7316</v>
      </c>
      <c r="B2814" s="40" t="s">
        <v>9146</v>
      </c>
      <c r="C2814" s="41">
        <v>1.0</v>
      </c>
      <c r="D2814" s="41">
        <v>0.0</v>
      </c>
      <c r="E2814" s="42" t="str">
        <f t="shared" si="1"/>
        <v>100.0%</v>
      </c>
    </row>
    <row r="2815">
      <c r="A2815" s="40" t="s">
        <v>7316</v>
      </c>
      <c r="B2815" s="40" t="s">
        <v>9171</v>
      </c>
      <c r="C2815" s="41">
        <v>1.0</v>
      </c>
      <c r="D2815" s="41">
        <v>0.0</v>
      </c>
      <c r="E2815" s="42" t="str">
        <f t="shared" si="1"/>
        <v>100.0%</v>
      </c>
    </row>
    <row r="2816">
      <c r="A2816" s="40" t="s">
        <v>7316</v>
      </c>
      <c r="B2816" s="40" t="s">
        <v>9320</v>
      </c>
      <c r="C2816" s="41">
        <v>1.0</v>
      </c>
      <c r="D2816" s="41">
        <v>0.0</v>
      </c>
      <c r="E2816" s="42" t="str">
        <f t="shared" si="1"/>
        <v>100.0%</v>
      </c>
    </row>
    <row r="2817">
      <c r="A2817" s="40" t="s">
        <v>7316</v>
      </c>
      <c r="B2817" s="40" t="s">
        <v>9352</v>
      </c>
      <c r="C2817" s="41">
        <v>1.0</v>
      </c>
      <c r="D2817" s="41">
        <v>0.0</v>
      </c>
      <c r="E2817" s="42" t="str">
        <f t="shared" si="1"/>
        <v>100.0%</v>
      </c>
    </row>
    <row r="2818">
      <c r="A2818" s="40" t="s">
        <v>7316</v>
      </c>
      <c r="B2818" s="40" t="s">
        <v>9406</v>
      </c>
      <c r="C2818" s="41">
        <v>1.0</v>
      </c>
      <c r="D2818" s="41">
        <v>0.0</v>
      </c>
      <c r="E2818" s="42" t="str">
        <f t="shared" si="1"/>
        <v>100.0%</v>
      </c>
    </row>
    <row r="2819">
      <c r="A2819" s="40" t="s">
        <v>7316</v>
      </c>
      <c r="B2819" s="40" t="s">
        <v>9404</v>
      </c>
      <c r="C2819" s="41">
        <v>1.0</v>
      </c>
      <c r="D2819" s="41">
        <v>0.0</v>
      </c>
      <c r="E2819" s="42" t="str">
        <f t="shared" si="1"/>
        <v>100.0%</v>
      </c>
    </row>
    <row r="2820">
      <c r="A2820" s="40" t="s">
        <v>7316</v>
      </c>
      <c r="B2820" s="40" t="s">
        <v>9436</v>
      </c>
      <c r="C2820" s="41">
        <v>1.0</v>
      </c>
      <c r="D2820" s="41">
        <v>0.0</v>
      </c>
      <c r="E2820" s="42" t="str">
        <f t="shared" si="1"/>
        <v>100.0%</v>
      </c>
    </row>
    <row r="2821">
      <c r="A2821" s="40" t="s">
        <v>7316</v>
      </c>
      <c r="B2821" s="40" t="s">
        <v>9485</v>
      </c>
      <c r="C2821" s="41">
        <v>1.0</v>
      </c>
      <c r="D2821" s="41">
        <v>0.0</v>
      </c>
      <c r="E2821" s="42" t="str">
        <f t="shared" si="1"/>
        <v>100.0%</v>
      </c>
    </row>
    <row r="2822">
      <c r="A2822" s="40" t="s">
        <v>7316</v>
      </c>
      <c r="B2822" s="40" t="s">
        <v>9444</v>
      </c>
      <c r="C2822" s="41">
        <v>1.0</v>
      </c>
      <c r="D2822" s="41">
        <v>0.0</v>
      </c>
      <c r="E2822" s="42" t="str">
        <f t="shared" si="1"/>
        <v>100.0%</v>
      </c>
    </row>
    <row r="2823">
      <c r="A2823" s="40" t="s">
        <v>7316</v>
      </c>
      <c r="B2823" s="40" t="s">
        <v>9455</v>
      </c>
      <c r="C2823" s="41">
        <v>1.0</v>
      </c>
      <c r="D2823" s="41">
        <v>0.0</v>
      </c>
      <c r="E2823" s="42" t="str">
        <f t="shared" si="1"/>
        <v>100.0%</v>
      </c>
    </row>
    <row r="2824">
      <c r="A2824" s="40" t="s">
        <v>7316</v>
      </c>
      <c r="B2824" s="40" t="s">
        <v>9490</v>
      </c>
      <c r="C2824" s="41">
        <v>1.0</v>
      </c>
      <c r="D2824" s="41">
        <v>0.0</v>
      </c>
      <c r="E2824" s="42" t="str">
        <f t="shared" si="1"/>
        <v>100.0%</v>
      </c>
    </row>
    <row r="2825">
      <c r="A2825" s="40" t="s">
        <v>7316</v>
      </c>
      <c r="B2825" s="40" t="s">
        <v>9496</v>
      </c>
      <c r="C2825" s="41">
        <v>1.0</v>
      </c>
      <c r="D2825" s="41">
        <v>0.0</v>
      </c>
      <c r="E2825" s="42" t="str">
        <f t="shared" si="1"/>
        <v>100.0%</v>
      </c>
    </row>
    <row r="2826">
      <c r="A2826" s="40" t="s">
        <v>7316</v>
      </c>
      <c r="B2826" s="40" t="s">
        <v>9497</v>
      </c>
      <c r="C2826" s="41">
        <v>1.0</v>
      </c>
      <c r="D2826" s="41">
        <v>0.0</v>
      </c>
      <c r="E2826" s="42" t="str">
        <f t="shared" si="1"/>
        <v>100.0%</v>
      </c>
    </row>
    <row r="2827">
      <c r="A2827" s="40" t="s">
        <v>7316</v>
      </c>
      <c r="B2827" s="40" t="s">
        <v>9498</v>
      </c>
      <c r="C2827" s="41">
        <v>1.0</v>
      </c>
      <c r="D2827" s="41">
        <v>0.0</v>
      </c>
      <c r="E2827" s="42" t="str">
        <f t="shared" si="1"/>
        <v>100.0%</v>
      </c>
    </row>
    <row r="2828">
      <c r="A2828" s="40" t="s">
        <v>7316</v>
      </c>
      <c r="B2828" s="40" t="s">
        <v>9499</v>
      </c>
      <c r="C2828" s="41">
        <v>1.0</v>
      </c>
      <c r="D2828" s="41">
        <v>0.0</v>
      </c>
      <c r="E2828" s="42" t="str">
        <f t="shared" si="1"/>
        <v>100.0%</v>
      </c>
    </row>
    <row r="2829">
      <c r="A2829" s="40" t="s">
        <v>7316</v>
      </c>
      <c r="B2829" s="40" t="s">
        <v>9500</v>
      </c>
      <c r="C2829" s="41">
        <v>1.0</v>
      </c>
      <c r="D2829" s="41">
        <v>0.0</v>
      </c>
      <c r="E2829" s="42" t="str">
        <f t="shared" si="1"/>
        <v>100.0%</v>
      </c>
    </row>
    <row r="2830">
      <c r="A2830" s="40" t="s">
        <v>7316</v>
      </c>
      <c r="B2830" s="40" t="s">
        <v>9501</v>
      </c>
      <c r="C2830" s="41">
        <v>1.0</v>
      </c>
      <c r="D2830" s="41">
        <v>0.0</v>
      </c>
      <c r="E2830" s="42" t="str">
        <f t="shared" si="1"/>
        <v>100.0%</v>
      </c>
    </row>
    <row r="2831">
      <c r="A2831" s="40" t="s">
        <v>7316</v>
      </c>
      <c r="B2831" s="40" t="s">
        <v>8644</v>
      </c>
      <c r="C2831" s="41">
        <v>1.0</v>
      </c>
      <c r="D2831" s="41">
        <v>1.0</v>
      </c>
      <c r="E2831" s="42" t="str">
        <f t="shared" si="1"/>
        <v>50.0%</v>
      </c>
    </row>
    <row r="2832">
      <c r="A2832" s="40" t="s">
        <v>7316</v>
      </c>
      <c r="B2832" s="40" t="s">
        <v>8749</v>
      </c>
      <c r="C2832" s="41">
        <v>1.0</v>
      </c>
      <c r="D2832" s="41">
        <v>1.0</v>
      </c>
      <c r="E2832" s="42" t="str">
        <f t="shared" si="1"/>
        <v>50.0%</v>
      </c>
    </row>
    <row r="2833">
      <c r="A2833" s="40" t="s">
        <v>7316</v>
      </c>
      <c r="B2833" s="40" t="s">
        <v>8845</v>
      </c>
      <c r="C2833" s="41">
        <v>1.0</v>
      </c>
      <c r="D2833" s="41">
        <v>1.0</v>
      </c>
      <c r="E2833" s="42" t="str">
        <f t="shared" si="1"/>
        <v>50.0%</v>
      </c>
    </row>
    <row r="2834">
      <c r="A2834" s="40" t="s">
        <v>7316</v>
      </c>
      <c r="B2834" s="40" t="s">
        <v>8888</v>
      </c>
      <c r="C2834" s="41">
        <v>1.0</v>
      </c>
      <c r="D2834" s="41">
        <v>1.0</v>
      </c>
      <c r="E2834" s="42" t="str">
        <f t="shared" si="1"/>
        <v>50.0%</v>
      </c>
    </row>
    <row r="2835">
      <c r="A2835" s="40" t="s">
        <v>7316</v>
      </c>
      <c r="B2835" s="40" t="s">
        <v>8963</v>
      </c>
      <c r="C2835" s="41">
        <v>1.0</v>
      </c>
      <c r="D2835" s="41">
        <v>1.0</v>
      </c>
      <c r="E2835" s="42" t="str">
        <f t="shared" si="1"/>
        <v>50.0%</v>
      </c>
    </row>
    <row r="2836">
      <c r="A2836" s="40" t="s">
        <v>7316</v>
      </c>
      <c r="B2836" s="40" t="s">
        <v>9123</v>
      </c>
      <c r="C2836" s="41">
        <v>1.0</v>
      </c>
      <c r="D2836" s="41">
        <v>1.0</v>
      </c>
      <c r="E2836" s="42" t="str">
        <f t="shared" si="1"/>
        <v>50.0%</v>
      </c>
    </row>
    <row r="2837">
      <c r="A2837" s="40" t="s">
        <v>7316</v>
      </c>
      <c r="B2837" s="40" t="s">
        <v>9144</v>
      </c>
      <c r="C2837" s="41">
        <v>1.0</v>
      </c>
      <c r="D2837" s="41">
        <v>1.0</v>
      </c>
      <c r="E2837" s="42" t="str">
        <f t="shared" si="1"/>
        <v>50.0%</v>
      </c>
    </row>
    <row r="2838">
      <c r="A2838" s="40" t="s">
        <v>7316</v>
      </c>
      <c r="B2838" s="40" t="s">
        <v>9161</v>
      </c>
      <c r="C2838" s="41">
        <v>1.0</v>
      </c>
      <c r="D2838" s="41">
        <v>1.0</v>
      </c>
      <c r="E2838" s="42" t="str">
        <f t="shared" si="1"/>
        <v>50.0%</v>
      </c>
    </row>
    <row r="2839">
      <c r="A2839" s="40" t="s">
        <v>7316</v>
      </c>
      <c r="B2839" s="40" t="s">
        <v>9297</v>
      </c>
      <c r="C2839" s="41">
        <v>1.0</v>
      </c>
      <c r="D2839" s="41">
        <v>1.0</v>
      </c>
      <c r="E2839" s="42" t="str">
        <f t="shared" si="1"/>
        <v>50.0%</v>
      </c>
    </row>
    <row r="2840">
      <c r="A2840" s="40" t="s">
        <v>7316</v>
      </c>
      <c r="B2840" s="40" t="s">
        <v>9299</v>
      </c>
      <c r="C2840" s="41">
        <v>1.0</v>
      </c>
      <c r="D2840" s="41">
        <v>1.0</v>
      </c>
      <c r="E2840" s="42" t="str">
        <f t="shared" si="1"/>
        <v>50.0%</v>
      </c>
    </row>
    <row r="2841">
      <c r="A2841" s="40" t="s">
        <v>7316</v>
      </c>
      <c r="B2841" s="40" t="s">
        <v>9355</v>
      </c>
      <c r="C2841" s="41">
        <v>1.0</v>
      </c>
      <c r="D2841" s="41">
        <v>1.0</v>
      </c>
      <c r="E2841" s="42" t="str">
        <f t="shared" si="1"/>
        <v>50.0%</v>
      </c>
    </row>
    <row r="2842">
      <c r="A2842" s="40" t="s">
        <v>7316</v>
      </c>
      <c r="B2842" s="40" t="s">
        <v>9296</v>
      </c>
      <c r="C2842" s="41">
        <v>1.0</v>
      </c>
      <c r="D2842" s="41">
        <v>1.0</v>
      </c>
      <c r="E2842" s="42" t="str">
        <f t="shared" si="1"/>
        <v>50.0%</v>
      </c>
    </row>
    <row r="2843">
      <c r="A2843" s="40" t="s">
        <v>7316</v>
      </c>
      <c r="B2843" s="40" t="s">
        <v>9426</v>
      </c>
      <c r="C2843" s="41">
        <v>1.0</v>
      </c>
      <c r="D2843" s="41">
        <v>1.0</v>
      </c>
      <c r="E2843" s="42" t="str">
        <f t="shared" si="1"/>
        <v>50.0%</v>
      </c>
    </row>
    <row r="2844">
      <c r="A2844" s="40" t="s">
        <v>7316</v>
      </c>
      <c r="B2844" s="40" t="s">
        <v>9471</v>
      </c>
      <c r="C2844" s="41">
        <v>1.0</v>
      </c>
      <c r="D2844" s="41">
        <v>1.0</v>
      </c>
      <c r="E2844" s="42" t="str">
        <f t="shared" si="1"/>
        <v>50.0%</v>
      </c>
    </row>
    <row r="2845">
      <c r="A2845" s="40" t="s">
        <v>7316</v>
      </c>
      <c r="B2845" s="40" t="s">
        <v>9446</v>
      </c>
      <c r="C2845" s="41">
        <v>1.0</v>
      </c>
      <c r="D2845" s="41">
        <v>1.0</v>
      </c>
      <c r="E2845" s="42" t="str">
        <f t="shared" si="1"/>
        <v>50.0%</v>
      </c>
    </row>
    <row r="2846">
      <c r="A2846" s="40" t="s">
        <v>7316</v>
      </c>
      <c r="B2846" s="40" t="s">
        <v>9441</v>
      </c>
      <c r="C2846" s="41">
        <v>1.0</v>
      </c>
      <c r="D2846" s="41">
        <v>1.0</v>
      </c>
      <c r="E2846" s="42" t="str">
        <f t="shared" si="1"/>
        <v>50.0%</v>
      </c>
    </row>
    <row r="2847">
      <c r="A2847" s="40" t="s">
        <v>7316</v>
      </c>
      <c r="B2847" s="40" t="s">
        <v>9432</v>
      </c>
      <c r="C2847" s="41">
        <v>1.0</v>
      </c>
      <c r="D2847" s="41">
        <v>1.0</v>
      </c>
      <c r="E2847" s="42" t="str">
        <f t="shared" si="1"/>
        <v>50.0%</v>
      </c>
    </row>
    <row r="2848">
      <c r="A2848" s="40" t="s">
        <v>7316</v>
      </c>
      <c r="B2848" s="40" t="s">
        <v>9453</v>
      </c>
      <c r="C2848" s="41">
        <v>1.0</v>
      </c>
      <c r="D2848" s="41">
        <v>1.0</v>
      </c>
      <c r="E2848" s="42" t="str">
        <f t="shared" si="1"/>
        <v>50.0%</v>
      </c>
    </row>
    <row r="2849">
      <c r="A2849" s="40" t="s">
        <v>7316</v>
      </c>
      <c r="B2849" s="40" t="s">
        <v>9456</v>
      </c>
      <c r="C2849" s="41">
        <v>1.0</v>
      </c>
      <c r="D2849" s="41">
        <v>1.0</v>
      </c>
      <c r="E2849" s="42" t="str">
        <f t="shared" si="1"/>
        <v>50.0%</v>
      </c>
    </row>
    <row r="2850">
      <c r="A2850" s="40" t="s">
        <v>7316</v>
      </c>
      <c r="B2850" s="40" t="s">
        <v>9502</v>
      </c>
      <c r="C2850" s="41">
        <v>1.0</v>
      </c>
      <c r="D2850" s="41">
        <v>1.0</v>
      </c>
      <c r="E2850" s="42" t="str">
        <f t="shared" si="1"/>
        <v>50.0%</v>
      </c>
    </row>
    <row r="2851">
      <c r="A2851" s="40" t="s">
        <v>7316</v>
      </c>
      <c r="B2851" s="40" t="s">
        <v>9503</v>
      </c>
      <c r="C2851" s="41">
        <v>1.0</v>
      </c>
      <c r="D2851" s="41">
        <v>1.0</v>
      </c>
      <c r="E2851" s="42" t="str">
        <f t="shared" si="1"/>
        <v>50.0%</v>
      </c>
    </row>
    <row r="2852">
      <c r="A2852" s="40" t="s">
        <v>7316</v>
      </c>
      <c r="B2852" s="40" t="s">
        <v>9504</v>
      </c>
      <c r="C2852" s="41">
        <v>1.0</v>
      </c>
      <c r="D2852" s="41">
        <v>1.0</v>
      </c>
      <c r="E2852" s="42" t="str">
        <f t="shared" si="1"/>
        <v>50.0%</v>
      </c>
    </row>
    <row r="2853">
      <c r="A2853" s="40" t="s">
        <v>7316</v>
      </c>
      <c r="B2853" s="40" t="s">
        <v>9505</v>
      </c>
      <c r="C2853" s="41">
        <v>1.0</v>
      </c>
      <c r="D2853" s="41">
        <v>1.0</v>
      </c>
      <c r="E2853" s="42" t="str">
        <f t="shared" si="1"/>
        <v>50.0%</v>
      </c>
    </row>
    <row r="2854">
      <c r="A2854" s="40" t="s">
        <v>7316</v>
      </c>
      <c r="B2854" s="40" t="s">
        <v>9506</v>
      </c>
      <c r="C2854" s="41">
        <v>1.0</v>
      </c>
      <c r="D2854" s="41">
        <v>1.0</v>
      </c>
      <c r="E2854" s="42" t="str">
        <f t="shared" si="1"/>
        <v>50.0%</v>
      </c>
    </row>
    <row r="2855">
      <c r="A2855" s="40" t="s">
        <v>7316</v>
      </c>
      <c r="B2855" s="40" t="s">
        <v>9507</v>
      </c>
      <c r="C2855" s="41">
        <v>1.0</v>
      </c>
      <c r="D2855" s="41">
        <v>1.0</v>
      </c>
      <c r="E2855" s="42" t="str">
        <f t="shared" si="1"/>
        <v>50.0%</v>
      </c>
    </row>
    <row r="2856">
      <c r="A2856" s="40" t="s">
        <v>7316</v>
      </c>
      <c r="B2856" s="40" t="s">
        <v>8631</v>
      </c>
      <c r="C2856" s="41">
        <v>1.0</v>
      </c>
      <c r="D2856" s="41">
        <v>2.0</v>
      </c>
      <c r="E2856" s="42" t="str">
        <f t="shared" si="1"/>
        <v>33.3%</v>
      </c>
    </row>
    <row r="2857">
      <c r="A2857" s="40" t="s">
        <v>7316</v>
      </c>
      <c r="B2857" s="40" t="s">
        <v>8618</v>
      </c>
      <c r="C2857" s="41">
        <v>1.0</v>
      </c>
      <c r="D2857" s="41">
        <v>2.0</v>
      </c>
      <c r="E2857" s="42" t="str">
        <f t="shared" si="1"/>
        <v>33.3%</v>
      </c>
    </row>
    <row r="2858">
      <c r="A2858" s="40" t="s">
        <v>7316</v>
      </c>
      <c r="B2858" s="40" t="s">
        <v>8985</v>
      </c>
      <c r="C2858" s="41">
        <v>1.0</v>
      </c>
      <c r="D2858" s="41">
        <v>2.0</v>
      </c>
      <c r="E2858" s="42" t="str">
        <f t="shared" si="1"/>
        <v>33.3%</v>
      </c>
    </row>
    <row r="2859">
      <c r="A2859" s="40" t="s">
        <v>7316</v>
      </c>
      <c r="B2859" s="40" t="s">
        <v>9292</v>
      </c>
      <c r="C2859" s="41">
        <v>1.0</v>
      </c>
      <c r="D2859" s="41">
        <v>2.0</v>
      </c>
      <c r="E2859" s="42" t="str">
        <f t="shared" si="1"/>
        <v>33.3%</v>
      </c>
    </row>
    <row r="2860">
      <c r="A2860" s="40" t="s">
        <v>7316</v>
      </c>
      <c r="B2860" s="40" t="s">
        <v>9347</v>
      </c>
      <c r="C2860" s="41">
        <v>1.0</v>
      </c>
      <c r="D2860" s="41">
        <v>2.0</v>
      </c>
      <c r="E2860" s="42" t="str">
        <f t="shared" si="1"/>
        <v>33.3%</v>
      </c>
    </row>
    <row r="2861">
      <c r="A2861" s="40" t="s">
        <v>7316</v>
      </c>
      <c r="B2861" s="40" t="s">
        <v>9357</v>
      </c>
      <c r="C2861" s="41">
        <v>1.0</v>
      </c>
      <c r="D2861" s="41">
        <v>2.0</v>
      </c>
      <c r="E2861" s="42" t="str">
        <f t="shared" si="1"/>
        <v>33.3%</v>
      </c>
    </row>
    <row r="2862">
      <c r="A2862" s="40" t="s">
        <v>7316</v>
      </c>
      <c r="B2862" s="40" t="s">
        <v>9353</v>
      </c>
      <c r="C2862" s="41">
        <v>1.0</v>
      </c>
      <c r="D2862" s="41">
        <v>2.0</v>
      </c>
      <c r="E2862" s="42" t="str">
        <f t="shared" si="1"/>
        <v>33.3%</v>
      </c>
    </row>
    <row r="2863">
      <c r="A2863" s="40" t="s">
        <v>7316</v>
      </c>
      <c r="B2863" s="40" t="s">
        <v>9431</v>
      </c>
      <c r="C2863" s="41">
        <v>1.0</v>
      </c>
      <c r="D2863" s="41">
        <v>2.0</v>
      </c>
      <c r="E2863" s="42" t="str">
        <f t="shared" si="1"/>
        <v>33.3%</v>
      </c>
    </row>
    <row r="2864">
      <c r="A2864" s="40" t="s">
        <v>7316</v>
      </c>
      <c r="B2864" s="40" t="s">
        <v>9508</v>
      </c>
      <c r="C2864" s="41">
        <v>1.0</v>
      </c>
      <c r="D2864" s="41">
        <v>2.0</v>
      </c>
      <c r="E2864" s="42" t="str">
        <f t="shared" si="1"/>
        <v>33.3%</v>
      </c>
    </row>
    <row r="2865">
      <c r="A2865" s="40" t="s">
        <v>7316</v>
      </c>
      <c r="B2865" s="40" t="s">
        <v>9509</v>
      </c>
      <c r="C2865" s="41">
        <v>1.0</v>
      </c>
      <c r="D2865" s="41">
        <v>2.0</v>
      </c>
      <c r="E2865" s="42" t="str">
        <f t="shared" si="1"/>
        <v>33.3%</v>
      </c>
    </row>
    <row r="2866">
      <c r="A2866" s="40" t="s">
        <v>7316</v>
      </c>
      <c r="B2866" s="40" t="s">
        <v>9510</v>
      </c>
      <c r="C2866" s="41">
        <v>1.0</v>
      </c>
      <c r="D2866" s="41">
        <v>2.0</v>
      </c>
      <c r="E2866" s="42" t="str">
        <f t="shared" si="1"/>
        <v>33.3%</v>
      </c>
    </row>
    <row r="2867">
      <c r="A2867" s="40" t="s">
        <v>7316</v>
      </c>
      <c r="B2867" s="40" t="s">
        <v>9511</v>
      </c>
      <c r="C2867" s="41">
        <v>1.0</v>
      </c>
      <c r="D2867" s="41">
        <v>2.0</v>
      </c>
      <c r="E2867" s="42" t="str">
        <f t="shared" si="1"/>
        <v>33.3%</v>
      </c>
    </row>
    <row r="2868">
      <c r="A2868" s="40" t="s">
        <v>7316</v>
      </c>
      <c r="B2868" s="40" t="s">
        <v>9512</v>
      </c>
      <c r="C2868" s="41">
        <v>1.0</v>
      </c>
      <c r="D2868" s="41">
        <v>2.0</v>
      </c>
      <c r="E2868" s="42" t="str">
        <f t="shared" si="1"/>
        <v>33.3%</v>
      </c>
    </row>
    <row r="2869">
      <c r="A2869" s="40" t="s">
        <v>7316</v>
      </c>
      <c r="B2869" s="40" t="s">
        <v>9513</v>
      </c>
      <c r="C2869" s="41">
        <v>1.0</v>
      </c>
      <c r="D2869" s="41">
        <v>2.0</v>
      </c>
      <c r="E2869" s="42" t="str">
        <f t="shared" si="1"/>
        <v>33.3%</v>
      </c>
    </row>
    <row r="2870">
      <c r="A2870" s="40" t="s">
        <v>7316</v>
      </c>
      <c r="B2870" s="40" t="s">
        <v>9514</v>
      </c>
      <c r="C2870" s="41">
        <v>1.0</v>
      </c>
      <c r="D2870" s="41">
        <v>2.0</v>
      </c>
      <c r="E2870" s="42" t="str">
        <f t="shared" si="1"/>
        <v>33.3%</v>
      </c>
    </row>
    <row r="2871">
      <c r="A2871" s="40" t="s">
        <v>7316</v>
      </c>
      <c r="B2871" s="40" t="s">
        <v>8546</v>
      </c>
      <c r="C2871" s="41">
        <v>1.0</v>
      </c>
      <c r="D2871" s="41">
        <v>3.0</v>
      </c>
      <c r="E2871" s="42" t="str">
        <f t="shared" si="1"/>
        <v>25.0%</v>
      </c>
    </row>
    <row r="2872">
      <c r="A2872" s="40" t="s">
        <v>7316</v>
      </c>
      <c r="B2872" s="40" t="s">
        <v>8580</v>
      </c>
      <c r="C2872" s="41">
        <v>1.0</v>
      </c>
      <c r="D2872" s="41">
        <v>3.0</v>
      </c>
      <c r="E2872" s="42" t="str">
        <f t="shared" si="1"/>
        <v>25.0%</v>
      </c>
    </row>
    <row r="2873">
      <c r="A2873" s="40" t="s">
        <v>7316</v>
      </c>
      <c r="B2873" s="40" t="s">
        <v>9239</v>
      </c>
      <c r="C2873" s="41">
        <v>1.0</v>
      </c>
      <c r="D2873" s="41">
        <v>3.0</v>
      </c>
      <c r="E2873" s="42" t="str">
        <f t="shared" si="1"/>
        <v>25.0%</v>
      </c>
    </row>
    <row r="2874">
      <c r="A2874" s="40" t="s">
        <v>7316</v>
      </c>
      <c r="B2874" s="40" t="s">
        <v>9284</v>
      </c>
      <c r="C2874" s="41">
        <v>1.0</v>
      </c>
      <c r="D2874" s="41">
        <v>3.0</v>
      </c>
      <c r="E2874" s="42" t="str">
        <f t="shared" si="1"/>
        <v>25.0%</v>
      </c>
    </row>
    <row r="2875">
      <c r="A2875" s="40" t="s">
        <v>7316</v>
      </c>
      <c r="B2875" s="40" t="s">
        <v>9322</v>
      </c>
      <c r="C2875" s="41">
        <v>1.0</v>
      </c>
      <c r="D2875" s="41">
        <v>3.0</v>
      </c>
      <c r="E2875" s="42" t="str">
        <f t="shared" si="1"/>
        <v>25.0%</v>
      </c>
    </row>
    <row r="2876">
      <c r="A2876" s="40" t="s">
        <v>7316</v>
      </c>
      <c r="B2876" s="40" t="s">
        <v>9332</v>
      </c>
      <c r="C2876" s="41">
        <v>1.0</v>
      </c>
      <c r="D2876" s="41">
        <v>3.0</v>
      </c>
      <c r="E2876" s="42" t="str">
        <f t="shared" si="1"/>
        <v>25.0%</v>
      </c>
    </row>
    <row r="2877">
      <c r="A2877" s="40" t="s">
        <v>7316</v>
      </c>
      <c r="B2877" s="40" t="s">
        <v>9479</v>
      </c>
      <c r="C2877" s="41">
        <v>1.0</v>
      </c>
      <c r="D2877" s="41">
        <v>3.0</v>
      </c>
      <c r="E2877" s="42" t="str">
        <f t="shared" si="1"/>
        <v>25.0%</v>
      </c>
    </row>
    <row r="2878">
      <c r="A2878" s="40" t="s">
        <v>7316</v>
      </c>
      <c r="B2878" s="40" t="s">
        <v>9365</v>
      </c>
      <c r="C2878" s="41">
        <v>1.0</v>
      </c>
      <c r="D2878" s="41">
        <v>4.0</v>
      </c>
      <c r="E2878" s="42" t="str">
        <f t="shared" si="1"/>
        <v>20.0%</v>
      </c>
    </row>
    <row r="2879">
      <c r="A2879" s="40" t="s">
        <v>7316</v>
      </c>
      <c r="B2879" s="40" t="s">
        <v>8748</v>
      </c>
      <c r="C2879" s="41">
        <v>0.0</v>
      </c>
      <c r="D2879" s="41">
        <v>1.0</v>
      </c>
      <c r="E2879" s="42" t="str">
        <f t="shared" si="1"/>
        <v>0.0%</v>
      </c>
    </row>
    <row r="2880">
      <c r="A2880" s="40" t="s">
        <v>7316</v>
      </c>
      <c r="B2880" s="40" t="s">
        <v>8564</v>
      </c>
      <c r="C2880" s="41">
        <v>0.0</v>
      </c>
      <c r="D2880" s="41">
        <v>1.0</v>
      </c>
      <c r="E2880" s="43" t="str">
        <f t="shared" si="1"/>
        <v>0.0%</v>
      </c>
    </row>
    <row r="2881">
      <c r="A2881" s="40" t="s">
        <v>7316</v>
      </c>
      <c r="B2881" s="40" t="s">
        <v>8857</v>
      </c>
      <c r="C2881" s="41">
        <v>0.0</v>
      </c>
      <c r="D2881" s="41">
        <v>1.0</v>
      </c>
      <c r="E2881" s="43" t="str">
        <f t="shared" si="1"/>
        <v>0.0%</v>
      </c>
    </row>
    <row r="2882">
      <c r="A2882" s="40" t="s">
        <v>7316</v>
      </c>
      <c r="B2882" s="40" t="s">
        <v>8872</v>
      </c>
      <c r="C2882" s="41">
        <v>0.0</v>
      </c>
      <c r="D2882" s="41">
        <v>1.0</v>
      </c>
      <c r="E2882" s="43" t="str">
        <f t="shared" si="1"/>
        <v>0.0%</v>
      </c>
    </row>
    <row r="2883">
      <c r="A2883" s="40" t="s">
        <v>7316</v>
      </c>
      <c r="B2883" s="40" t="s">
        <v>8907</v>
      </c>
      <c r="C2883" s="41">
        <v>0.0</v>
      </c>
      <c r="D2883" s="41">
        <v>1.0</v>
      </c>
      <c r="E2883" s="43" t="str">
        <f t="shared" si="1"/>
        <v>0.0%</v>
      </c>
    </row>
    <row r="2884">
      <c r="A2884" s="40" t="s">
        <v>7316</v>
      </c>
      <c r="B2884" s="40" t="s">
        <v>8852</v>
      </c>
      <c r="C2884" s="41">
        <v>0.0</v>
      </c>
      <c r="D2884" s="41">
        <v>1.0</v>
      </c>
      <c r="E2884" s="43" t="str">
        <f t="shared" si="1"/>
        <v>0.0%</v>
      </c>
    </row>
    <row r="2885">
      <c r="A2885" s="40" t="s">
        <v>7316</v>
      </c>
      <c r="B2885" s="40" t="s">
        <v>9055</v>
      </c>
      <c r="C2885" s="41">
        <v>0.0</v>
      </c>
      <c r="D2885" s="41">
        <v>1.0</v>
      </c>
      <c r="E2885" s="43" t="str">
        <f t="shared" si="1"/>
        <v>0.0%</v>
      </c>
    </row>
    <row r="2886">
      <c r="A2886" s="40" t="s">
        <v>7316</v>
      </c>
      <c r="B2886" s="40" t="s">
        <v>9056</v>
      </c>
      <c r="C2886" s="41">
        <v>0.0</v>
      </c>
      <c r="D2886" s="41">
        <v>1.0</v>
      </c>
      <c r="E2886" s="43" t="str">
        <f t="shared" si="1"/>
        <v>0.0%</v>
      </c>
    </row>
    <row r="2887">
      <c r="A2887" s="40" t="s">
        <v>7316</v>
      </c>
      <c r="B2887" s="40" t="s">
        <v>9113</v>
      </c>
      <c r="C2887" s="41">
        <v>0.0</v>
      </c>
      <c r="D2887" s="41">
        <v>1.0</v>
      </c>
      <c r="E2887" s="43" t="str">
        <f t="shared" si="1"/>
        <v>0.0%</v>
      </c>
    </row>
    <row r="2888">
      <c r="A2888" s="40" t="s">
        <v>7316</v>
      </c>
      <c r="B2888" s="40" t="s">
        <v>9143</v>
      </c>
      <c r="C2888" s="41">
        <v>0.0</v>
      </c>
      <c r="D2888" s="41">
        <v>1.0</v>
      </c>
      <c r="E2888" s="43" t="str">
        <f t="shared" si="1"/>
        <v>0.0%</v>
      </c>
    </row>
    <row r="2889">
      <c r="A2889" s="40" t="s">
        <v>7316</v>
      </c>
      <c r="B2889" s="40" t="s">
        <v>9253</v>
      </c>
      <c r="C2889" s="41">
        <v>0.0</v>
      </c>
      <c r="D2889" s="41">
        <v>1.0</v>
      </c>
      <c r="E2889" s="43" t="str">
        <f t="shared" si="1"/>
        <v>0.0%</v>
      </c>
    </row>
    <row r="2890">
      <c r="A2890" s="40" t="s">
        <v>7316</v>
      </c>
      <c r="B2890" s="40" t="s">
        <v>9236</v>
      </c>
      <c r="C2890" s="41">
        <v>0.0</v>
      </c>
      <c r="D2890" s="41">
        <v>1.0</v>
      </c>
      <c r="E2890" s="43" t="str">
        <f t="shared" si="1"/>
        <v>0.0%</v>
      </c>
    </row>
    <row r="2891">
      <c r="A2891" s="40" t="s">
        <v>7316</v>
      </c>
      <c r="B2891" s="40" t="s">
        <v>9258</v>
      </c>
      <c r="C2891" s="41">
        <v>0.0</v>
      </c>
      <c r="D2891" s="41">
        <v>1.0</v>
      </c>
      <c r="E2891" s="43" t="str">
        <f t="shared" si="1"/>
        <v>0.0%</v>
      </c>
    </row>
    <row r="2892">
      <c r="A2892" s="40" t="s">
        <v>7316</v>
      </c>
      <c r="B2892" s="40" t="s">
        <v>9267</v>
      </c>
      <c r="C2892" s="41">
        <v>0.0</v>
      </c>
      <c r="D2892" s="41">
        <v>1.0</v>
      </c>
      <c r="E2892" s="43" t="str">
        <f t="shared" si="1"/>
        <v>0.0%</v>
      </c>
    </row>
    <row r="2893">
      <c r="A2893" s="40" t="s">
        <v>7316</v>
      </c>
      <c r="B2893" s="40" t="s">
        <v>9359</v>
      </c>
      <c r="C2893" s="41">
        <v>0.0</v>
      </c>
      <c r="D2893" s="41">
        <v>1.0</v>
      </c>
      <c r="E2893" s="43" t="str">
        <f t="shared" si="1"/>
        <v>0.0%</v>
      </c>
    </row>
    <row r="2894">
      <c r="A2894" s="40" t="s">
        <v>7316</v>
      </c>
      <c r="B2894" s="40" t="s">
        <v>9328</v>
      </c>
      <c r="C2894" s="41">
        <v>0.0</v>
      </c>
      <c r="D2894" s="41">
        <v>1.0</v>
      </c>
      <c r="E2894" s="43" t="str">
        <f t="shared" si="1"/>
        <v>0.0%</v>
      </c>
    </row>
    <row r="2895">
      <c r="A2895" s="40" t="s">
        <v>7316</v>
      </c>
      <c r="B2895" s="40" t="s">
        <v>9334</v>
      </c>
      <c r="C2895" s="41">
        <v>0.0</v>
      </c>
      <c r="D2895" s="41">
        <v>1.0</v>
      </c>
      <c r="E2895" s="43" t="str">
        <f t="shared" si="1"/>
        <v>0.0%</v>
      </c>
    </row>
    <row r="2896">
      <c r="A2896" s="40" t="s">
        <v>7316</v>
      </c>
      <c r="B2896" s="40" t="s">
        <v>9303</v>
      </c>
      <c r="C2896" s="41">
        <v>0.0</v>
      </c>
      <c r="D2896" s="41">
        <v>1.0</v>
      </c>
      <c r="E2896" s="43" t="str">
        <f t="shared" si="1"/>
        <v>0.0%</v>
      </c>
    </row>
    <row r="2897">
      <c r="A2897" s="40" t="s">
        <v>7316</v>
      </c>
      <c r="B2897" s="40" t="s">
        <v>9384</v>
      </c>
      <c r="C2897" s="41">
        <v>0.0</v>
      </c>
      <c r="D2897" s="41">
        <v>1.0</v>
      </c>
      <c r="E2897" s="43" t="str">
        <f t="shared" si="1"/>
        <v>0.0%</v>
      </c>
    </row>
    <row r="2898">
      <c r="A2898" s="40" t="s">
        <v>7316</v>
      </c>
      <c r="B2898" s="40" t="s">
        <v>9450</v>
      </c>
      <c r="C2898" s="41">
        <v>0.0</v>
      </c>
      <c r="D2898" s="41">
        <v>1.0</v>
      </c>
      <c r="E2898" s="43" t="str">
        <f t="shared" si="1"/>
        <v>0.0%</v>
      </c>
    </row>
    <row r="2899">
      <c r="A2899" s="40" t="s">
        <v>7316</v>
      </c>
      <c r="B2899" s="40" t="s">
        <v>9447</v>
      </c>
      <c r="C2899" s="41">
        <v>0.0</v>
      </c>
      <c r="D2899" s="41">
        <v>1.0</v>
      </c>
      <c r="E2899" s="43" t="str">
        <f t="shared" si="1"/>
        <v>0.0%</v>
      </c>
    </row>
    <row r="2900">
      <c r="A2900" s="40" t="s">
        <v>7316</v>
      </c>
      <c r="B2900" s="40" t="s">
        <v>9452</v>
      </c>
      <c r="C2900" s="41">
        <v>0.0</v>
      </c>
      <c r="D2900" s="41">
        <v>1.0</v>
      </c>
      <c r="E2900" s="43" t="str">
        <f t="shared" si="1"/>
        <v>0.0%</v>
      </c>
    </row>
    <row r="2901">
      <c r="A2901" s="40" t="s">
        <v>7316</v>
      </c>
      <c r="B2901" s="40" t="s">
        <v>9474</v>
      </c>
      <c r="C2901" s="41">
        <v>0.0</v>
      </c>
      <c r="D2901" s="41">
        <v>1.0</v>
      </c>
      <c r="E2901" s="43" t="str">
        <f t="shared" si="1"/>
        <v>0.0%</v>
      </c>
    </row>
    <row r="2902">
      <c r="A2902" s="40" t="s">
        <v>7316</v>
      </c>
      <c r="B2902" s="40" t="s">
        <v>9468</v>
      </c>
      <c r="C2902" s="41">
        <v>0.0</v>
      </c>
      <c r="D2902" s="41">
        <v>1.0</v>
      </c>
      <c r="E2902" s="43" t="str">
        <f t="shared" si="1"/>
        <v>0.0%</v>
      </c>
    </row>
    <row r="2903">
      <c r="A2903" s="40" t="s">
        <v>7316</v>
      </c>
      <c r="B2903" s="40" t="s">
        <v>9515</v>
      </c>
      <c r="C2903" s="41">
        <v>0.0</v>
      </c>
      <c r="D2903" s="41">
        <v>1.0</v>
      </c>
      <c r="E2903" s="43" t="str">
        <f t="shared" si="1"/>
        <v>0.0%</v>
      </c>
    </row>
    <row r="2904">
      <c r="A2904" s="40" t="s">
        <v>7316</v>
      </c>
      <c r="B2904" s="40" t="s">
        <v>9516</v>
      </c>
      <c r="C2904" s="41">
        <v>0.0</v>
      </c>
      <c r="D2904" s="41">
        <v>1.0</v>
      </c>
      <c r="E2904" s="43" t="str">
        <f t="shared" si="1"/>
        <v>0.0%</v>
      </c>
    </row>
    <row r="2905">
      <c r="A2905" s="40" t="s">
        <v>7316</v>
      </c>
      <c r="B2905" s="40" t="s">
        <v>9517</v>
      </c>
      <c r="C2905" s="41">
        <v>0.0</v>
      </c>
      <c r="D2905" s="41">
        <v>1.0</v>
      </c>
      <c r="E2905" s="43" t="str">
        <f t="shared" si="1"/>
        <v>0.0%</v>
      </c>
    </row>
    <row r="2906">
      <c r="A2906" s="40" t="s">
        <v>7316</v>
      </c>
      <c r="B2906" s="40" t="s">
        <v>9518</v>
      </c>
      <c r="C2906" s="41">
        <v>0.0</v>
      </c>
      <c r="D2906" s="41">
        <v>1.0</v>
      </c>
      <c r="E2906" s="43" t="str">
        <f t="shared" si="1"/>
        <v>0.0%</v>
      </c>
    </row>
    <row r="2907">
      <c r="A2907" s="40" t="s">
        <v>7316</v>
      </c>
      <c r="B2907" s="40" t="s">
        <v>9519</v>
      </c>
      <c r="C2907" s="41">
        <v>0.0</v>
      </c>
      <c r="D2907" s="41">
        <v>1.0</v>
      </c>
      <c r="E2907" s="43" t="str">
        <f t="shared" si="1"/>
        <v>0.0%</v>
      </c>
    </row>
    <row r="2908">
      <c r="A2908" s="40" t="s">
        <v>7316</v>
      </c>
      <c r="B2908" s="40" t="s">
        <v>9520</v>
      </c>
      <c r="C2908" s="41">
        <v>0.0</v>
      </c>
      <c r="D2908" s="41">
        <v>1.0</v>
      </c>
      <c r="E2908" s="43" t="str">
        <f t="shared" si="1"/>
        <v>0.0%</v>
      </c>
    </row>
    <row r="2909">
      <c r="A2909" s="40" t="s">
        <v>7316</v>
      </c>
      <c r="B2909" s="40" t="s">
        <v>9521</v>
      </c>
      <c r="C2909" s="41">
        <v>0.0</v>
      </c>
      <c r="D2909" s="41">
        <v>1.0</v>
      </c>
      <c r="E2909" s="43" t="str">
        <f t="shared" si="1"/>
        <v>0.0%</v>
      </c>
    </row>
    <row r="2910">
      <c r="A2910" s="40" t="s">
        <v>7316</v>
      </c>
      <c r="B2910" s="40" t="s">
        <v>9522</v>
      </c>
      <c r="C2910" s="41">
        <v>0.0</v>
      </c>
      <c r="D2910" s="41">
        <v>1.0</v>
      </c>
      <c r="E2910" s="43" t="str">
        <f t="shared" si="1"/>
        <v>0.0%</v>
      </c>
    </row>
    <row r="2911">
      <c r="A2911" s="40" t="s">
        <v>7316</v>
      </c>
      <c r="B2911" s="40" t="s">
        <v>9523</v>
      </c>
      <c r="C2911" s="41">
        <v>0.0</v>
      </c>
      <c r="D2911" s="41">
        <v>1.0</v>
      </c>
      <c r="E2911" s="43" t="str">
        <f t="shared" si="1"/>
        <v>0.0%</v>
      </c>
    </row>
    <row r="2912">
      <c r="A2912" s="40" t="s">
        <v>7316</v>
      </c>
      <c r="B2912" s="40" t="s">
        <v>9524</v>
      </c>
      <c r="C2912" s="41">
        <v>0.0</v>
      </c>
      <c r="D2912" s="41">
        <v>1.0</v>
      </c>
      <c r="E2912" s="43" t="str">
        <f t="shared" si="1"/>
        <v>0.0%</v>
      </c>
    </row>
    <row r="2913">
      <c r="A2913" s="40" t="s">
        <v>7316</v>
      </c>
      <c r="B2913" s="40" t="s">
        <v>9525</v>
      </c>
      <c r="C2913" s="41">
        <v>0.0</v>
      </c>
      <c r="D2913" s="41">
        <v>1.0</v>
      </c>
      <c r="E2913" s="43" t="str">
        <f t="shared" si="1"/>
        <v>0.0%</v>
      </c>
    </row>
    <row r="2914">
      <c r="A2914" s="40" t="s">
        <v>7316</v>
      </c>
      <c r="B2914" s="40" t="s">
        <v>8607</v>
      </c>
      <c r="C2914" s="41">
        <v>0.0</v>
      </c>
      <c r="D2914" s="41">
        <v>2.0</v>
      </c>
      <c r="E2914" s="43" t="str">
        <f t="shared" si="1"/>
        <v>0.0%</v>
      </c>
    </row>
    <row r="2915">
      <c r="A2915" s="40" t="s">
        <v>7316</v>
      </c>
      <c r="B2915" s="40" t="s">
        <v>8920</v>
      </c>
      <c r="C2915" s="41">
        <v>0.0</v>
      </c>
      <c r="D2915" s="41">
        <v>2.0</v>
      </c>
      <c r="E2915" s="43" t="str">
        <f t="shared" si="1"/>
        <v>0.0%</v>
      </c>
    </row>
    <row r="2916">
      <c r="A2916" s="40" t="s">
        <v>7316</v>
      </c>
      <c r="B2916" s="40" t="s">
        <v>9011</v>
      </c>
      <c r="C2916" s="41">
        <v>0.0</v>
      </c>
      <c r="D2916" s="41">
        <v>2.0</v>
      </c>
      <c r="E2916" s="43" t="str">
        <f t="shared" si="1"/>
        <v>0.0%</v>
      </c>
    </row>
    <row r="2917">
      <c r="A2917" s="40" t="s">
        <v>7316</v>
      </c>
      <c r="B2917" s="40" t="s">
        <v>9122</v>
      </c>
      <c r="C2917" s="41">
        <v>0.0</v>
      </c>
      <c r="D2917" s="41">
        <v>2.0</v>
      </c>
      <c r="E2917" s="43" t="str">
        <f t="shared" si="1"/>
        <v>0.0%</v>
      </c>
    </row>
    <row r="2918">
      <c r="A2918" s="40" t="s">
        <v>7316</v>
      </c>
      <c r="B2918" s="40" t="s">
        <v>9152</v>
      </c>
      <c r="C2918" s="41">
        <v>0.0</v>
      </c>
      <c r="D2918" s="41">
        <v>2.0</v>
      </c>
      <c r="E2918" s="43" t="str">
        <f t="shared" si="1"/>
        <v>0.0%</v>
      </c>
    </row>
    <row r="2919">
      <c r="A2919" s="40" t="s">
        <v>7316</v>
      </c>
      <c r="B2919" s="40" t="s">
        <v>9159</v>
      </c>
      <c r="C2919" s="41">
        <v>0.0</v>
      </c>
      <c r="D2919" s="41">
        <v>2.0</v>
      </c>
      <c r="E2919" s="43" t="str">
        <f t="shared" si="1"/>
        <v>0.0%</v>
      </c>
    </row>
    <row r="2920">
      <c r="A2920" s="40" t="s">
        <v>7316</v>
      </c>
      <c r="B2920" s="40" t="s">
        <v>9145</v>
      </c>
      <c r="C2920" s="41">
        <v>0.0</v>
      </c>
      <c r="D2920" s="41">
        <v>2.0</v>
      </c>
      <c r="E2920" s="43" t="str">
        <f t="shared" si="1"/>
        <v>0.0%</v>
      </c>
    </row>
    <row r="2921">
      <c r="A2921" s="40" t="s">
        <v>7316</v>
      </c>
      <c r="B2921" s="40" t="s">
        <v>9177</v>
      </c>
      <c r="C2921" s="41">
        <v>0.0</v>
      </c>
      <c r="D2921" s="41">
        <v>2.0</v>
      </c>
      <c r="E2921" s="43" t="str">
        <f t="shared" si="1"/>
        <v>0.0%</v>
      </c>
    </row>
    <row r="2922">
      <c r="A2922" s="40" t="s">
        <v>7316</v>
      </c>
      <c r="B2922" s="40" t="s">
        <v>9442</v>
      </c>
      <c r="C2922" s="41">
        <v>0.0</v>
      </c>
      <c r="D2922" s="41">
        <v>2.0</v>
      </c>
      <c r="E2922" s="43" t="str">
        <f t="shared" si="1"/>
        <v>0.0%</v>
      </c>
    </row>
    <row r="2923">
      <c r="A2923" s="40" t="s">
        <v>7316</v>
      </c>
      <c r="B2923" s="40" t="s">
        <v>9475</v>
      </c>
      <c r="C2923" s="41">
        <v>0.0</v>
      </c>
      <c r="D2923" s="41">
        <v>2.0</v>
      </c>
      <c r="E2923" s="43" t="str">
        <f t="shared" si="1"/>
        <v>0.0%</v>
      </c>
    </row>
    <row r="2924">
      <c r="A2924" s="40" t="s">
        <v>7316</v>
      </c>
      <c r="B2924" s="40" t="s">
        <v>9526</v>
      </c>
      <c r="C2924" s="41">
        <v>0.0</v>
      </c>
      <c r="D2924" s="41">
        <v>2.0</v>
      </c>
      <c r="E2924" s="43" t="str">
        <f t="shared" si="1"/>
        <v>0.0%</v>
      </c>
    </row>
    <row r="2925">
      <c r="A2925" s="40" t="s">
        <v>7316</v>
      </c>
      <c r="B2925" s="40" t="s">
        <v>9527</v>
      </c>
      <c r="C2925" s="41">
        <v>0.0</v>
      </c>
      <c r="D2925" s="41">
        <v>2.0</v>
      </c>
      <c r="E2925" s="43" t="str">
        <f t="shared" si="1"/>
        <v>0.0%</v>
      </c>
    </row>
    <row r="2926">
      <c r="A2926" s="40" t="s">
        <v>7316</v>
      </c>
      <c r="B2926" s="40" t="s">
        <v>9528</v>
      </c>
      <c r="C2926" s="41">
        <v>0.0</v>
      </c>
      <c r="D2926" s="41">
        <v>2.0</v>
      </c>
      <c r="E2926" s="43" t="str">
        <f t="shared" si="1"/>
        <v>0.0%</v>
      </c>
    </row>
    <row r="2927">
      <c r="A2927" s="40" t="s">
        <v>7316</v>
      </c>
      <c r="B2927" s="40" t="s">
        <v>9529</v>
      </c>
      <c r="C2927" s="41">
        <v>0.0</v>
      </c>
      <c r="D2927" s="41">
        <v>2.0</v>
      </c>
      <c r="E2927" s="43" t="str">
        <f t="shared" si="1"/>
        <v>0.0%</v>
      </c>
    </row>
    <row r="2928">
      <c r="A2928" s="40" t="s">
        <v>7316</v>
      </c>
      <c r="B2928" s="40" t="s">
        <v>9530</v>
      </c>
      <c r="C2928" s="41">
        <v>0.0</v>
      </c>
      <c r="D2928" s="41">
        <v>2.0</v>
      </c>
      <c r="E2928" s="43" t="str">
        <f t="shared" si="1"/>
        <v>0.0%</v>
      </c>
    </row>
    <row r="2929">
      <c r="A2929" s="40" t="s">
        <v>7316</v>
      </c>
      <c r="B2929" s="40" t="s">
        <v>9531</v>
      </c>
      <c r="C2929" s="41">
        <v>0.0</v>
      </c>
      <c r="D2929" s="41">
        <v>2.0</v>
      </c>
      <c r="E2929" s="43" t="str">
        <f t="shared" si="1"/>
        <v>0.0%</v>
      </c>
    </row>
    <row r="2930">
      <c r="A2930" s="40" t="s">
        <v>7316</v>
      </c>
      <c r="B2930" s="40" t="s">
        <v>8861</v>
      </c>
      <c r="C2930" s="41">
        <v>0.0</v>
      </c>
      <c r="D2930" s="41">
        <v>3.0</v>
      </c>
      <c r="E2930" s="43" t="str">
        <f t="shared" si="1"/>
        <v>0.0%</v>
      </c>
    </row>
    <row r="2931">
      <c r="A2931" s="40" t="s">
        <v>7316</v>
      </c>
      <c r="B2931" s="40" t="s">
        <v>9101</v>
      </c>
      <c r="C2931" s="41">
        <v>0.0</v>
      </c>
      <c r="D2931" s="41">
        <v>3.0</v>
      </c>
      <c r="E2931" s="43" t="str">
        <f t="shared" si="1"/>
        <v>0.0%</v>
      </c>
    </row>
    <row r="2932">
      <c r="A2932" s="40" t="s">
        <v>7316</v>
      </c>
      <c r="B2932" s="40" t="s">
        <v>9371</v>
      </c>
      <c r="C2932" s="41">
        <v>0.0</v>
      </c>
      <c r="D2932" s="41">
        <v>3.0</v>
      </c>
      <c r="E2932" s="43" t="str">
        <f t="shared" si="1"/>
        <v>0.0%</v>
      </c>
    </row>
    <row r="2933">
      <c r="A2933" s="40" t="s">
        <v>7316</v>
      </c>
      <c r="B2933" s="40" t="s">
        <v>9487</v>
      </c>
      <c r="C2933" s="41">
        <v>0.0</v>
      </c>
      <c r="D2933" s="41">
        <v>3.0</v>
      </c>
      <c r="E2933" s="43" t="str">
        <f t="shared" si="1"/>
        <v>0.0%</v>
      </c>
    </row>
    <row r="2934">
      <c r="A2934" s="40" t="s">
        <v>7316</v>
      </c>
      <c r="B2934" s="40" t="s">
        <v>9532</v>
      </c>
      <c r="C2934" s="41">
        <v>0.0</v>
      </c>
      <c r="D2934" s="41">
        <v>3.0</v>
      </c>
      <c r="E2934" s="43" t="str">
        <f t="shared" si="1"/>
        <v>0.0%</v>
      </c>
    </row>
    <row r="2935">
      <c r="A2935" s="40" t="s">
        <v>7316</v>
      </c>
      <c r="B2935" s="40" t="s">
        <v>8637</v>
      </c>
      <c r="C2935" s="41">
        <v>0.0</v>
      </c>
      <c r="D2935" s="41">
        <v>4.0</v>
      </c>
      <c r="E2935" s="43" t="str">
        <f t="shared" si="1"/>
        <v>0.0%</v>
      </c>
    </row>
    <row r="2936">
      <c r="A2936" s="40" t="s">
        <v>7316</v>
      </c>
      <c r="B2936" s="40" t="s">
        <v>9220</v>
      </c>
      <c r="C2936" s="41">
        <v>0.0</v>
      </c>
      <c r="D2936" s="41">
        <v>4.0</v>
      </c>
      <c r="E2936" s="43" t="str">
        <f t="shared" si="1"/>
        <v>0.0%</v>
      </c>
    </row>
    <row r="2937">
      <c r="A2937" s="40" t="s">
        <v>7316</v>
      </c>
      <c r="B2937" s="40" t="s">
        <v>9304</v>
      </c>
      <c r="C2937" s="41">
        <v>0.0</v>
      </c>
      <c r="D2937" s="41">
        <v>4.0</v>
      </c>
      <c r="E2937" s="43" t="str">
        <f t="shared" si="1"/>
        <v>0.0%</v>
      </c>
    </row>
    <row r="2938">
      <c r="A2938" s="40" t="s">
        <v>7316</v>
      </c>
      <c r="B2938" s="40" t="s">
        <v>9533</v>
      </c>
      <c r="C2938" s="41">
        <v>0.0</v>
      </c>
      <c r="D2938" s="41">
        <v>4.0</v>
      </c>
      <c r="E2938" s="43" t="str">
        <f t="shared" si="1"/>
        <v>0.0%</v>
      </c>
    </row>
    <row r="2939">
      <c r="A2939" s="40" t="s">
        <v>7316</v>
      </c>
      <c r="B2939" s="40" t="s">
        <v>9437</v>
      </c>
      <c r="C2939" s="41">
        <v>0.0</v>
      </c>
      <c r="D2939" s="41">
        <v>6.0</v>
      </c>
      <c r="E2939" s="43" t="str">
        <f t="shared" si="1"/>
        <v>0.0%</v>
      </c>
    </row>
    <row r="2940">
      <c r="A2940" s="40" t="s">
        <v>7689</v>
      </c>
      <c r="B2940" s="40" t="s">
        <v>8496</v>
      </c>
      <c r="C2940" s="41">
        <v>26.0</v>
      </c>
      <c r="D2940" s="41">
        <v>19.0</v>
      </c>
      <c r="E2940" s="43" t="str">
        <f t="shared" si="1"/>
        <v>57.8%</v>
      </c>
    </row>
    <row r="2941">
      <c r="A2941" s="40" t="s">
        <v>7689</v>
      </c>
      <c r="B2941" s="40" t="s">
        <v>8993</v>
      </c>
      <c r="C2941" s="41">
        <v>20.0</v>
      </c>
      <c r="D2941" s="41">
        <v>7.0</v>
      </c>
      <c r="E2941" s="43" t="str">
        <f t="shared" si="1"/>
        <v>74.1%</v>
      </c>
    </row>
    <row r="2942">
      <c r="A2942" s="40" t="s">
        <v>7689</v>
      </c>
      <c r="B2942" s="40" t="s">
        <v>8520</v>
      </c>
      <c r="C2942" s="41">
        <v>19.0</v>
      </c>
      <c r="D2942" s="41">
        <v>1.0</v>
      </c>
      <c r="E2942" s="43" t="str">
        <f t="shared" si="1"/>
        <v>95.0%</v>
      </c>
    </row>
    <row r="2943">
      <c r="A2943" s="40" t="s">
        <v>7689</v>
      </c>
      <c r="B2943" s="40" t="s">
        <v>8500</v>
      </c>
      <c r="C2943" s="41">
        <v>19.0</v>
      </c>
      <c r="D2943" s="41">
        <v>6.0</v>
      </c>
      <c r="E2943" s="43" t="str">
        <f t="shared" si="1"/>
        <v>76.0%</v>
      </c>
    </row>
    <row r="2944">
      <c r="A2944" s="40" t="s">
        <v>7689</v>
      </c>
      <c r="B2944" s="40" t="s">
        <v>8530</v>
      </c>
      <c r="C2944" s="41">
        <v>19.0</v>
      </c>
      <c r="D2944" s="41">
        <v>8.0</v>
      </c>
      <c r="E2944" s="43" t="str">
        <f t="shared" si="1"/>
        <v>70.4%</v>
      </c>
    </row>
    <row r="2945">
      <c r="A2945" s="40" t="s">
        <v>7689</v>
      </c>
      <c r="B2945" s="40" t="s">
        <v>9492</v>
      </c>
      <c r="C2945" s="41">
        <v>17.0</v>
      </c>
      <c r="D2945" s="41">
        <v>5.0</v>
      </c>
      <c r="E2945" s="43" t="str">
        <f t="shared" si="1"/>
        <v>77.3%</v>
      </c>
    </row>
    <row r="2946">
      <c r="A2946" s="40" t="s">
        <v>7689</v>
      </c>
      <c r="B2946" s="40" t="s">
        <v>8495</v>
      </c>
      <c r="C2946" s="41">
        <v>17.0</v>
      </c>
      <c r="D2946" s="41">
        <v>8.0</v>
      </c>
      <c r="E2946" s="43" t="str">
        <f t="shared" si="1"/>
        <v>68.0%</v>
      </c>
    </row>
    <row r="2947">
      <c r="A2947" s="40" t="s">
        <v>7689</v>
      </c>
      <c r="B2947" s="40" t="s">
        <v>8773</v>
      </c>
      <c r="C2947" s="41">
        <v>17.0</v>
      </c>
      <c r="D2947" s="41">
        <v>19.0</v>
      </c>
      <c r="E2947" s="43" t="str">
        <f t="shared" si="1"/>
        <v>47.2%</v>
      </c>
    </row>
    <row r="2948">
      <c r="A2948" s="40" t="s">
        <v>7689</v>
      </c>
      <c r="B2948" s="40" t="s">
        <v>8950</v>
      </c>
      <c r="C2948" s="41">
        <v>16.0</v>
      </c>
      <c r="D2948" s="41">
        <v>14.0</v>
      </c>
      <c r="E2948" s="43" t="str">
        <f t="shared" si="1"/>
        <v>53.3%</v>
      </c>
    </row>
    <row r="2949">
      <c r="A2949" s="40" t="s">
        <v>7689</v>
      </c>
      <c r="B2949" s="40" t="s">
        <v>8545</v>
      </c>
      <c r="C2949" s="41">
        <v>15.0</v>
      </c>
      <c r="D2949" s="41">
        <v>3.0</v>
      </c>
      <c r="E2949" s="43" t="str">
        <f t="shared" si="1"/>
        <v>83.3%</v>
      </c>
    </row>
    <row r="2950">
      <c r="A2950" s="40" t="s">
        <v>7689</v>
      </c>
      <c r="B2950" s="40" t="s">
        <v>9493</v>
      </c>
      <c r="C2950" s="41">
        <v>14.0</v>
      </c>
      <c r="D2950" s="41">
        <v>3.0</v>
      </c>
      <c r="E2950" s="43" t="str">
        <f t="shared" si="1"/>
        <v>82.4%</v>
      </c>
    </row>
    <row r="2951">
      <c r="A2951" s="40" t="s">
        <v>7689</v>
      </c>
      <c r="B2951" s="40" t="s">
        <v>9455</v>
      </c>
      <c r="C2951" s="41">
        <v>14.0</v>
      </c>
      <c r="D2951" s="41">
        <v>6.0</v>
      </c>
      <c r="E2951" s="43" t="str">
        <f t="shared" si="1"/>
        <v>70.0%</v>
      </c>
    </row>
    <row r="2952">
      <c r="A2952" s="40" t="s">
        <v>7689</v>
      </c>
      <c r="B2952" s="40" t="s">
        <v>8738</v>
      </c>
      <c r="C2952" s="41">
        <v>14.0</v>
      </c>
      <c r="D2952" s="41">
        <v>7.0</v>
      </c>
      <c r="E2952" s="43" t="str">
        <f t="shared" si="1"/>
        <v>66.7%</v>
      </c>
    </row>
    <row r="2953">
      <c r="A2953" s="40" t="s">
        <v>7689</v>
      </c>
      <c r="B2953" s="40" t="s">
        <v>8682</v>
      </c>
      <c r="C2953" s="41">
        <v>14.0</v>
      </c>
      <c r="D2953" s="41">
        <v>18.0</v>
      </c>
      <c r="E2953" s="43" t="str">
        <f t="shared" si="1"/>
        <v>43.8%</v>
      </c>
    </row>
    <row r="2954">
      <c r="A2954" s="40" t="s">
        <v>7689</v>
      </c>
      <c r="B2954" s="40" t="s">
        <v>8490</v>
      </c>
      <c r="C2954" s="41">
        <v>14.0</v>
      </c>
      <c r="D2954" s="41">
        <v>21.0</v>
      </c>
      <c r="E2954" s="43" t="str">
        <f t="shared" si="1"/>
        <v>40.0%</v>
      </c>
    </row>
    <row r="2955">
      <c r="A2955" s="40" t="s">
        <v>7689</v>
      </c>
      <c r="B2955" s="40" t="s">
        <v>8491</v>
      </c>
      <c r="C2955" s="41">
        <v>13.0</v>
      </c>
      <c r="D2955" s="41">
        <v>6.0</v>
      </c>
      <c r="E2955" s="43" t="str">
        <f t="shared" si="1"/>
        <v>68.4%</v>
      </c>
    </row>
    <row r="2956">
      <c r="A2956" s="40" t="s">
        <v>7689</v>
      </c>
      <c r="B2956" s="40" t="s">
        <v>9482</v>
      </c>
      <c r="C2956" s="41">
        <v>12.0</v>
      </c>
      <c r="D2956" s="41">
        <v>10.0</v>
      </c>
      <c r="E2956" s="43" t="str">
        <f t="shared" si="1"/>
        <v>54.5%</v>
      </c>
    </row>
    <row r="2957">
      <c r="A2957" s="40" t="s">
        <v>7689</v>
      </c>
      <c r="B2957" s="40" t="s">
        <v>8881</v>
      </c>
      <c r="C2957" s="41">
        <v>12.0</v>
      </c>
      <c r="D2957" s="41">
        <v>25.0</v>
      </c>
      <c r="E2957" s="43" t="str">
        <f t="shared" si="1"/>
        <v>32.4%</v>
      </c>
    </row>
    <row r="2958">
      <c r="A2958" s="40" t="s">
        <v>7689</v>
      </c>
      <c r="B2958" s="40" t="s">
        <v>8698</v>
      </c>
      <c r="C2958" s="41">
        <v>11.0</v>
      </c>
      <c r="D2958" s="41">
        <v>2.0</v>
      </c>
      <c r="E2958" s="43" t="str">
        <f t="shared" si="1"/>
        <v>84.6%</v>
      </c>
    </row>
    <row r="2959">
      <c r="A2959" s="40" t="s">
        <v>7689</v>
      </c>
      <c r="B2959" s="40" t="s">
        <v>9092</v>
      </c>
      <c r="C2959" s="41">
        <v>11.0</v>
      </c>
      <c r="D2959" s="41">
        <v>10.0</v>
      </c>
      <c r="E2959" s="43" t="str">
        <f t="shared" si="1"/>
        <v>52.4%</v>
      </c>
    </row>
    <row r="2960">
      <c r="A2960" s="40" t="s">
        <v>7689</v>
      </c>
      <c r="B2960" s="40" t="s">
        <v>8948</v>
      </c>
      <c r="C2960" s="41">
        <v>11.0</v>
      </c>
      <c r="D2960" s="41">
        <v>14.0</v>
      </c>
      <c r="E2960" s="43" t="str">
        <f t="shared" si="1"/>
        <v>44.0%</v>
      </c>
    </row>
    <row r="2961">
      <c r="A2961" s="40" t="s">
        <v>7689</v>
      </c>
      <c r="B2961" s="40" t="s">
        <v>9093</v>
      </c>
      <c r="C2961" s="41">
        <v>10.0</v>
      </c>
      <c r="D2961" s="41">
        <v>4.0</v>
      </c>
      <c r="E2961" s="43" t="str">
        <f t="shared" si="1"/>
        <v>71.4%</v>
      </c>
    </row>
    <row r="2962">
      <c r="A2962" s="40" t="s">
        <v>7689</v>
      </c>
      <c r="B2962" s="40" t="s">
        <v>8501</v>
      </c>
      <c r="C2962" s="41">
        <v>10.0</v>
      </c>
      <c r="D2962" s="41">
        <v>13.0</v>
      </c>
      <c r="E2962" s="43" t="str">
        <f t="shared" si="1"/>
        <v>43.5%</v>
      </c>
    </row>
    <row r="2963">
      <c r="A2963" s="40" t="s">
        <v>7689</v>
      </c>
      <c r="B2963" s="40" t="s">
        <v>8951</v>
      </c>
      <c r="C2963" s="41">
        <v>10.0</v>
      </c>
      <c r="D2963" s="41">
        <v>15.0</v>
      </c>
      <c r="E2963" s="43" t="str">
        <f t="shared" si="1"/>
        <v>40.0%</v>
      </c>
    </row>
    <row r="2964">
      <c r="A2964" s="40" t="s">
        <v>7689</v>
      </c>
      <c r="B2964" s="40" t="s">
        <v>9044</v>
      </c>
      <c r="C2964" s="41">
        <v>10.0</v>
      </c>
      <c r="D2964" s="41">
        <v>22.0</v>
      </c>
      <c r="E2964" s="43" t="str">
        <f t="shared" si="1"/>
        <v>31.3%</v>
      </c>
    </row>
    <row r="2965">
      <c r="A2965" s="40" t="s">
        <v>7689</v>
      </c>
      <c r="B2965" s="40" t="s">
        <v>8977</v>
      </c>
      <c r="C2965" s="41">
        <v>9.0</v>
      </c>
      <c r="D2965" s="41">
        <v>2.0</v>
      </c>
      <c r="E2965" s="43" t="str">
        <f t="shared" si="1"/>
        <v>81.8%</v>
      </c>
    </row>
    <row r="2966">
      <c r="A2966" s="40" t="s">
        <v>7689</v>
      </c>
      <c r="B2966" s="40" t="s">
        <v>9439</v>
      </c>
      <c r="C2966" s="41">
        <v>9.0</v>
      </c>
      <c r="D2966" s="41">
        <v>2.0</v>
      </c>
      <c r="E2966" s="43" t="str">
        <f t="shared" si="1"/>
        <v>81.8%</v>
      </c>
    </row>
    <row r="2967">
      <c r="A2967" s="40" t="s">
        <v>7689</v>
      </c>
      <c r="B2967" s="40" t="s">
        <v>8660</v>
      </c>
      <c r="C2967" s="41">
        <v>9.0</v>
      </c>
      <c r="D2967" s="41">
        <v>6.0</v>
      </c>
      <c r="E2967" s="43" t="str">
        <f t="shared" si="1"/>
        <v>60.0%</v>
      </c>
    </row>
    <row r="2968">
      <c r="A2968" s="40" t="s">
        <v>7689</v>
      </c>
      <c r="B2968" s="40" t="s">
        <v>8720</v>
      </c>
      <c r="C2968" s="41">
        <v>9.0</v>
      </c>
      <c r="D2968" s="41">
        <v>12.0</v>
      </c>
      <c r="E2968" s="43" t="str">
        <f t="shared" si="1"/>
        <v>42.9%</v>
      </c>
    </row>
    <row r="2969">
      <c r="A2969" s="40" t="s">
        <v>7689</v>
      </c>
      <c r="B2969" s="40" t="s">
        <v>8828</v>
      </c>
      <c r="C2969" s="41">
        <v>9.0</v>
      </c>
      <c r="D2969" s="41">
        <v>15.0</v>
      </c>
      <c r="E2969" s="43" t="str">
        <f t="shared" si="1"/>
        <v>37.5%</v>
      </c>
    </row>
    <row r="2970">
      <c r="A2970" s="40" t="s">
        <v>7689</v>
      </c>
      <c r="B2970" s="40" t="s">
        <v>8805</v>
      </c>
      <c r="C2970" s="41">
        <v>8.0</v>
      </c>
      <c r="D2970" s="41">
        <v>1.0</v>
      </c>
      <c r="E2970" s="43" t="str">
        <f t="shared" si="1"/>
        <v>88.9%</v>
      </c>
    </row>
    <row r="2971">
      <c r="A2971" s="40" t="s">
        <v>7689</v>
      </c>
      <c r="B2971" s="40" t="s">
        <v>8956</v>
      </c>
      <c r="C2971" s="41">
        <v>8.0</v>
      </c>
      <c r="D2971" s="41">
        <v>3.0</v>
      </c>
      <c r="E2971" s="43" t="str">
        <f t="shared" si="1"/>
        <v>72.7%</v>
      </c>
    </row>
    <row r="2972">
      <c r="A2972" s="40" t="s">
        <v>7689</v>
      </c>
      <c r="B2972" s="40" t="s">
        <v>8921</v>
      </c>
      <c r="C2972" s="41">
        <v>8.0</v>
      </c>
      <c r="D2972" s="41">
        <v>5.0</v>
      </c>
      <c r="E2972" s="43" t="str">
        <f t="shared" si="1"/>
        <v>61.5%</v>
      </c>
    </row>
    <row r="2973">
      <c r="A2973" s="40" t="s">
        <v>7689</v>
      </c>
      <c r="B2973" s="40" t="s">
        <v>9459</v>
      </c>
      <c r="C2973" s="41">
        <v>8.0</v>
      </c>
      <c r="D2973" s="41">
        <v>5.0</v>
      </c>
      <c r="E2973" s="43" t="str">
        <f t="shared" si="1"/>
        <v>61.5%</v>
      </c>
    </row>
    <row r="2974">
      <c r="A2974" s="40" t="s">
        <v>7689</v>
      </c>
      <c r="B2974" s="40" t="s">
        <v>8876</v>
      </c>
      <c r="C2974" s="41">
        <v>8.0</v>
      </c>
      <c r="D2974" s="41">
        <v>12.0</v>
      </c>
      <c r="E2974" s="43" t="str">
        <f t="shared" si="1"/>
        <v>40.0%</v>
      </c>
    </row>
    <row r="2975">
      <c r="A2975" s="40" t="s">
        <v>7689</v>
      </c>
      <c r="B2975" s="40" t="s">
        <v>8826</v>
      </c>
      <c r="C2975" s="41">
        <v>8.0</v>
      </c>
      <c r="D2975" s="41">
        <v>16.0</v>
      </c>
      <c r="E2975" s="43" t="str">
        <f t="shared" si="1"/>
        <v>33.3%</v>
      </c>
    </row>
    <row r="2976">
      <c r="A2976" s="40" t="s">
        <v>7689</v>
      </c>
      <c r="B2976" s="40" t="s">
        <v>9454</v>
      </c>
      <c r="C2976" s="41">
        <v>7.0</v>
      </c>
      <c r="D2976" s="41">
        <v>3.0</v>
      </c>
      <c r="E2976" s="43" t="str">
        <f t="shared" si="1"/>
        <v>70.0%</v>
      </c>
    </row>
    <row r="2977">
      <c r="A2977" s="40" t="s">
        <v>7689</v>
      </c>
      <c r="B2977" s="40" t="s">
        <v>9120</v>
      </c>
      <c r="C2977" s="41">
        <v>7.0</v>
      </c>
      <c r="D2977" s="41">
        <v>5.0</v>
      </c>
      <c r="E2977" s="43" t="str">
        <f t="shared" si="1"/>
        <v>58.3%</v>
      </c>
    </row>
    <row r="2978">
      <c r="A2978" s="40" t="s">
        <v>7689</v>
      </c>
      <c r="B2978" s="40" t="s">
        <v>9146</v>
      </c>
      <c r="C2978" s="41">
        <v>7.0</v>
      </c>
      <c r="D2978" s="41">
        <v>8.0</v>
      </c>
      <c r="E2978" s="43" t="str">
        <f t="shared" si="1"/>
        <v>46.7%</v>
      </c>
    </row>
    <row r="2979">
      <c r="A2979" s="40" t="s">
        <v>7689</v>
      </c>
      <c r="B2979" s="40" t="s">
        <v>8518</v>
      </c>
      <c r="C2979" s="41">
        <v>6.0</v>
      </c>
      <c r="D2979" s="41">
        <v>3.0</v>
      </c>
      <c r="E2979" s="43" t="str">
        <f t="shared" si="1"/>
        <v>66.7%</v>
      </c>
    </row>
    <row r="2980">
      <c r="A2980" s="40" t="s">
        <v>7689</v>
      </c>
      <c r="B2980" s="40" t="s">
        <v>8907</v>
      </c>
      <c r="C2980" s="41">
        <v>6.0</v>
      </c>
      <c r="D2980" s="41">
        <v>4.0</v>
      </c>
      <c r="E2980" s="43" t="str">
        <f t="shared" si="1"/>
        <v>60.0%</v>
      </c>
    </row>
    <row r="2981">
      <c r="A2981" s="40" t="s">
        <v>7689</v>
      </c>
      <c r="B2981" s="40" t="s">
        <v>9028</v>
      </c>
      <c r="C2981" s="41">
        <v>6.0</v>
      </c>
      <c r="D2981" s="41">
        <v>4.0</v>
      </c>
      <c r="E2981" s="43" t="str">
        <f t="shared" si="1"/>
        <v>60.0%</v>
      </c>
    </row>
    <row r="2982">
      <c r="A2982" s="40" t="s">
        <v>7689</v>
      </c>
      <c r="B2982" s="40" t="s">
        <v>8899</v>
      </c>
      <c r="C2982" s="41">
        <v>6.0</v>
      </c>
      <c r="D2982" s="41">
        <v>6.0</v>
      </c>
      <c r="E2982" s="43" t="str">
        <f t="shared" si="1"/>
        <v>50.0%</v>
      </c>
    </row>
    <row r="2983">
      <c r="A2983" s="40" t="s">
        <v>7689</v>
      </c>
      <c r="B2983" s="40" t="s">
        <v>8916</v>
      </c>
      <c r="C2983" s="41">
        <v>5.0</v>
      </c>
      <c r="D2983" s="41">
        <v>1.0</v>
      </c>
      <c r="E2983" s="43" t="str">
        <f t="shared" si="1"/>
        <v>83.3%</v>
      </c>
    </row>
    <row r="2984">
      <c r="A2984" s="40" t="s">
        <v>7689</v>
      </c>
      <c r="B2984" s="40" t="s">
        <v>8923</v>
      </c>
      <c r="C2984" s="41">
        <v>5.0</v>
      </c>
      <c r="D2984" s="41">
        <v>1.0</v>
      </c>
      <c r="E2984" s="43" t="str">
        <f t="shared" si="1"/>
        <v>83.3%</v>
      </c>
    </row>
    <row r="2985">
      <c r="A2985" s="40" t="s">
        <v>7689</v>
      </c>
      <c r="B2985" s="40" t="s">
        <v>9002</v>
      </c>
      <c r="C2985" s="41">
        <v>5.0</v>
      </c>
      <c r="D2985" s="41">
        <v>1.0</v>
      </c>
      <c r="E2985" s="43" t="str">
        <f t="shared" si="1"/>
        <v>83.3%</v>
      </c>
    </row>
    <row r="2986">
      <c r="A2986" s="40" t="s">
        <v>7689</v>
      </c>
      <c r="B2986" s="40" t="s">
        <v>9494</v>
      </c>
      <c r="C2986" s="41">
        <v>5.0</v>
      </c>
      <c r="D2986" s="41">
        <v>1.0</v>
      </c>
      <c r="E2986" s="43" t="str">
        <f t="shared" si="1"/>
        <v>83.3%</v>
      </c>
    </row>
    <row r="2987">
      <c r="A2987" s="40" t="s">
        <v>7689</v>
      </c>
      <c r="B2987" s="40" t="s">
        <v>9094</v>
      </c>
      <c r="C2987" s="41">
        <v>5.0</v>
      </c>
      <c r="D2987" s="41">
        <v>2.0</v>
      </c>
      <c r="E2987" s="43" t="str">
        <f t="shared" si="1"/>
        <v>71.4%</v>
      </c>
    </row>
    <row r="2988">
      <c r="A2988" s="40" t="s">
        <v>7689</v>
      </c>
      <c r="B2988" s="40" t="s">
        <v>9306</v>
      </c>
      <c r="C2988" s="41">
        <v>5.0</v>
      </c>
      <c r="D2988" s="41">
        <v>2.0</v>
      </c>
      <c r="E2988" s="43" t="str">
        <f t="shared" si="1"/>
        <v>71.4%</v>
      </c>
    </row>
    <row r="2989">
      <c r="A2989" s="40" t="s">
        <v>7689</v>
      </c>
      <c r="B2989" s="40" t="s">
        <v>9534</v>
      </c>
      <c r="C2989" s="41">
        <v>5.0</v>
      </c>
      <c r="D2989" s="41">
        <v>2.0</v>
      </c>
      <c r="E2989" s="43" t="str">
        <f t="shared" si="1"/>
        <v>71.4%</v>
      </c>
    </row>
    <row r="2990">
      <c r="A2990" s="40" t="s">
        <v>7689</v>
      </c>
      <c r="B2990" s="40" t="s">
        <v>8909</v>
      </c>
      <c r="C2990" s="41">
        <v>5.0</v>
      </c>
      <c r="D2990" s="41">
        <v>4.0</v>
      </c>
      <c r="E2990" s="43" t="str">
        <f t="shared" si="1"/>
        <v>55.6%</v>
      </c>
    </row>
    <row r="2991">
      <c r="A2991" s="40" t="s">
        <v>7689</v>
      </c>
      <c r="B2991" s="40" t="s">
        <v>9365</v>
      </c>
      <c r="C2991" s="41">
        <v>5.0</v>
      </c>
      <c r="D2991" s="41">
        <v>5.0</v>
      </c>
      <c r="E2991" s="43" t="str">
        <f t="shared" si="1"/>
        <v>50.0%</v>
      </c>
    </row>
    <row r="2992">
      <c r="A2992" s="40" t="s">
        <v>7689</v>
      </c>
      <c r="B2992" s="40" t="s">
        <v>8487</v>
      </c>
      <c r="C2992" s="41">
        <v>5.0</v>
      </c>
      <c r="D2992" s="41">
        <v>6.0</v>
      </c>
      <c r="E2992" s="43" t="str">
        <f t="shared" si="1"/>
        <v>45.5%</v>
      </c>
    </row>
    <row r="2993">
      <c r="A2993" s="40" t="s">
        <v>7689</v>
      </c>
      <c r="B2993" s="40" t="s">
        <v>9412</v>
      </c>
      <c r="C2993" s="41">
        <v>5.0</v>
      </c>
      <c r="D2993" s="41">
        <v>7.0</v>
      </c>
      <c r="E2993" s="43" t="str">
        <f t="shared" si="1"/>
        <v>41.7%</v>
      </c>
    </row>
    <row r="2994">
      <c r="A2994" s="40" t="s">
        <v>7689</v>
      </c>
      <c r="B2994" s="40" t="s">
        <v>9083</v>
      </c>
      <c r="C2994" s="41">
        <v>5.0</v>
      </c>
      <c r="D2994" s="41">
        <v>8.0</v>
      </c>
      <c r="E2994" s="43" t="str">
        <f t="shared" si="1"/>
        <v>38.5%</v>
      </c>
    </row>
    <row r="2995">
      <c r="A2995" s="40" t="s">
        <v>7689</v>
      </c>
      <c r="B2995" s="40" t="s">
        <v>8963</v>
      </c>
      <c r="C2995" s="41">
        <v>5.0</v>
      </c>
      <c r="D2995" s="41">
        <v>9.0</v>
      </c>
      <c r="E2995" s="43" t="str">
        <f t="shared" si="1"/>
        <v>35.7%</v>
      </c>
    </row>
    <row r="2996">
      <c r="A2996" s="40" t="s">
        <v>7689</v>
      </c>
      <c r="B2996" s="40" t="s">
        <v>9037</v>
      </c>
      <c r="C2996" s="41">
        <v>5.0</v>
      </c>
      <c r="D2996" s="41">
        <v>12.0</v>
      </c>
      <c r="E2996" s="43" t="str">
        <f t="shared" si="1"/>
        <v>29.4%</v>
      </c>
    </row>
    <row r="2997">
      <c r="A2997" s="40" t="s">
        <v>7689</v>
      </c>
      <c r="B2997" s="40" t="s">
        <v>8484</v>
      </c>
      <c r="C2997" s="41">
        <v>4.0</v>
      </c>
      <c r="D2997" s="41">
        <v>1.0</v>
      </c>
      <c r="E2997" s="43" t="str">
        <f t="shared" si="1"/>
        <v>80.0%</v>
      </c>
    </row>
    <row r="2998">
      <c r="A2998" s="40" t="s">
        <v>7689</v>
      </c>
      <c r="B2998" s="40" t="s">
        <v>8675</v>
      </c>
      <c r="C2998" s="41">
        <v>4.0</v>
      </c>
      <c r="D2998" s="41">
        <v>1.0</v>
      </c>
      <c r="E2998" s="43" t="str">
        <f t="shared" si="1"/>
        <v>80.0%</v>
      </c>
    </row>
    <row r="2999">
      <c r="A2999" s="40" t="s">
        <v>7689</v>
      </c>
      <c r="B2999" s="40" t="s">
        <v>8808</v>
      </c>
      <c r="C2999" s="41">
        <v>4.0</v>
      </c>
      <c r="D2999" s="41">
        <v>1.0</v>
      </c>
      <c r="E2999" s="43" t="str">
        <f t="shared" si="1"/>
        <v>80.0%</v>
      </c>
    </row>
    <row r="3000">
      <c r="A3000" s="40" t="s">
        <v>7689</v>
      </c>
      <c r="B3000" s="40" t="s">
        <v>9506</v>
      </c>
      <c r="C3000" s="41">
        <v>4.0</v>
      </c>
      <c r="D3000" s="41">
        <v>1.0</v>
      </c>
      <c r="E3000" s="43" t="str">
        <f t="shared" si="1"/>
        <v>80.0%</v>
      </c>
    </row>
    <row r="3001">
      <c r="A3001" s="40" t="s">
        <v>7689</v>
      </c>
      <c r="B3001" s="40" t="s">
        <v>9535</v>
      </c>
      <c r="C3001" s="41">
        <v>4.0</v>
      </c>
      <c r="D3001" s="41">
        <v>1.0</v>
      </c>
      <c r="E3001" s="43" t="str">
        <f t="shared" si="1"/>
        <v>80.0%</v>
      </c>
    </row>
    <row r="3002">
      <c r="A3002" s="40" t="s">
        <v>7689</v>
      </c>
      <c r="B3002" s="40" t="s">
        <v>9223</v>
      </c>
      <c r="C3002" s="41">
        <v>4.0</v>
      </c>
      <c r="D3002" s="41">
        <v>2.0</v>
      </c>
      <c r="E3002" s="43" t="str">
        <f t="shared" si="1"/>
        <v>66.7%</v>
      </c>
    </row>
    <row r="3003">
      <c r="A3003" s="40" t="s">
        <v>7689</v>
      </c>
      <c r="B3003" s="40" t="s">
        <v>9377</v>
      </c>
      <c r="C3003" s="41">
        <v>4.0</v>
      </c>
      <c r="D3003" s="41">
        <v>2.0</v>
      </c>
      <c r="E3003" s="43" t="str">
        <f t="shared" si="1"/>
        <v>66.7%</v>
      </c>
    </row>
    <row r="3004">
      <c r="A3004" s="40" t="s">
        <v>7689</v>
      </c>
      <c r="B3004" s="40" t="s">
        <v>9536</v>
      </c>
      <c r="C3004" s="41">
        <v>4.0</v>
      </c>
      <c r="D3004" s="41">
        <v>2.0</v>
      </c>
      <c r="E3004" s="43" t="str">
        <f t="shared" si="1"/>
        <v>66.7%</v>
      </c>
    </row>
    <row r="3005">
      <c r="A3005" s="40" t="s">
        <v>7689</v>
      </c>
      <c r="B3005" s="40" t="s">
        <v>8980</v>
      </c>
      <c r="C3005" s="41">
        <v>4.0</v>
      </c>
      <c r="D3005" s="41">
        <v>4.0</v>
      </c>
      <c r="E3005" s="43" t="str">
        <f t="shared" si="1"/>
        <v>50.0%</v>
      </c>
    </row>
    <row r="3006">
      <c r="A3006" s="40" t="s">
        <v>7689</v>
      </c>
      <c r="B3006" s="40" t="s">
        <v>9441</v>
      </c>
      <c r="C3006" s="41">
        <v>4.0</v>
      </c>
      <c r="D3006" s="41">
        <v>4.0</v>
      </c>
      <c r="E3006" s="43" t="str">
        <f t="shared" si="1"/>
        <v>50.0%</v>
      </c>
    </row>
    <row r="3007">
      <c r="A3007" s="40" t="s">
        <v>7689</v>
      </c>
      <c r="B3007" s="40" t="s">
        <v>8973</v>
      </c>
      <c r="C3007" s="41">
        <v>3.0</v>
      </c>
      <c r="D3007" s="41">
        <v>0.0</v>
      </c>
      <c r="E3007" s="43" t="str">
        <f t="shared" si="1"/>
        <v>100.0%</v>
      </c>
    </row>
    <row r="3008">
      <c r="A3008" s="40" t="s">
        <v>7689</v>
      </c>
      <c r="B3008" s="40" t="s">
        <v>9189</v>
      </c>
      <c r="C3008" s="41">
        <v>3.0</v>
      </c>
      <c r="D3008" s="41">
        <v>0.0</v>
      </c>
      <c r="E3008" s="43" t="str">
        <f t="shared" si="1"/>
        <v>100.0%</v>
      </c>
    </row>
    <row r="3009">
      <c r="A3009" s="40" t="s">
        <v>7689</v>
      </c>
      <c r="B3009" s="40" t="s">
        <v>9537</v>
      </c>
      <c r="C3009" s="41">
        <v>3.0</v>
      </c>
      <c r="D3009" s="41">
        <v>0.0</v>
      </c>
      <c r="E3009" s="43" t="str">
        <f t="shared" si="1"/>
        <v>100.0%</v>
      </c>
    </row>
    <row r="3010">
      <c r="A3010" s="40" t="s">
        <v>7689</v>
      </c>
      <c r="B3010" s="40" t="s">
        <v>8483</v>
      </c>
      <c r="C3010" s="41">
        <v>3.0</v>
      </c>
      <c r="D3010" s="41">
        <v>1.0</v>
      </c>
      <c r="E3010" s="43" t="str">
        <f t="shared" si="1"/>
        <v>75.0%</v>
      </c>
    </row>
    <row r="3011">
      <c r="A3011" s="40" t="s">
        <v>7689</v>
      </c>
      <c r="B3011" s="40" t="s">
        <v>8790</v>
      </c>
      <c r="C3011" s="41">
        <v>3.0</v>
      </c>
      <c r="D3011" s="41">
        <v>1.0</v>
      </c>
      <c r="E3011" s="43" t="str">
        <f t="shared" si="1"/>
        <v>75.0%</v>
      </c>
    </row>
    <row r="3012">
      <c r="A3012" s="40" t="s">
        <v>7689</v>
      </c>
      <c r="B3012" s="40" t="s">
        <v>8852</v>
      </c>
      <c r="C3012" s="41">
        <v>3.0</v>
      </c>
      <c r="D3012" s="41">
        <v>1.0</v>
      </c>
      <c r="E3012" s="43" t="str">
        <f t="shared" si="1"/>
        <v>75.0%</v>
      </c>
    </row>
    <row r="3013">
      <c r="A3013" s="40" t="s">
        <v>7689</v>
      </c>
      <c r="B3013" s="40" t="s">
        <v>9201</v>
      </c>
      <c r="C3013" s="41">
        <v>3.0</v>
      </c>
      <c r="D3013" s="41">
        <v>1.0</v>
      </c>
      <c r="E3013" s="43" t="str">
        <f t="shared" si="1"/>
        <v>75.0%</v>
      </c>
    </row>
    <row r="3014">
      <c r="A3014" s="40" t="s">
        <v>7689</v>
      </c>
      <c r="B3014" s="40" t="s">
        <v>9296</v>
      </c>
      <c r="C3014" s="41">
        <v>3.0</v>
      </c>
      <c r="D3014" s="41">
        <v>1.0</v>
      </c>
      <c r="E3014" s="43" t="str">
        <f t="shared" si="1"/>
        <v>75.0%</v>
      </c>
    </row>
    <row r="3015">
      <c r="A3015" s="40" t="s">
        <v>7689</v>
      </c>
      <c r="B3015" s="40" t="s">
        <v>9538</v>
      </c>
      <c r="C3015" s="41">
        <v>3.0</v>
      </c>
      <c r="D3015" s="41">
        <v>1.0</v>
      </c>
      <c r="E3015" s="43" t="str">
        <f t="shared" si="1"/>
        <v>75.0%</v>
      </c>
    </row>
    <row r="3016">
      <c r="A3016" s="40" t="s">
        <v>7689</v>
      </c>
      <c r="B3016" s="40" t="s">
        <v>9539</v>
      </c>
      <c r="C3016" s="41">
        <v>3.0</v>
      </c>
      <c r="D3016" s="41">
        <v>1.0</v>
      </c>
      <c r="E3016" s="43" t="str">
        <f t="shared" si="1"/>
        <v>75.0%</v>
      </c>
    </row>
    <row r="3017">
      <c r="A3017" s="40" t="s">
        <v>7689</v>
      </c>
      <c r="B3017" s="40" t="s">
        <v>9144</v>
      </c>
      <c r="C3017" s="41">
        <v>3.0</v>
      </c>
      <c r="D3017" s="41">
        <v>2.0</v>
      </c>
      <c r="E3017" s="43" t="str">
        <f t="shared" si="1"/>
        <v>60.0%</v>
      </c>
    </row>
    <row r="3018">
      <c r="A3018" s="40" t="s">
        <v>7689</v>
      </c>
      <c r="B3018" s="40" t="s">
        <v>9196</v>
      </c>
      <c r="C3018" s="41">
        <v>3.0</v>
      </c>
      <c r="D3018" s="41">
        <v>2.0</v>
      </c>
      <c r="E3018" s="43" t="str">
        <f t="shared" si="1"/>
        <v>60.0%</v>
      </c>
    </row>
    <row r="3019">
      <c r="A3019" s="40" t="s">
        <v>7689</v>
      </c>
      <c r="B3019" s="40" t="s">
        <v>9353</v>
      </c>
      <c r="C3019" s="41">
        <v>3.0</v>
      </c>
      <c r="D3019" s="41">
        <v>2.0</v>
      </c>
      <c r="E3019" s="43" t="str">
        <f t="shared" si="1"/>
        <v>60.0%</v>
      </c>
    </row>
    <row r="3020">
      <c r="A3020" s="40" t="s">
        <v>7689</v>
      </c>
      <c r="B3020" s="40" t="s">
        <v>9464</v>
      </c>
      <c r="C3020" s="41">
        <v>3.0</v>
      </c>
      <c r="D3020" s="41">
        <v>2.0</v>
      </c>
      <c r="E3020" s="43" t="str">
        <f t="shared" si="1"/>
        <v>60.0%</v>
      </c>
    </row>
    <row r="3021">
      <c r="A3021" s="40" t="s">
        <v>7689</v>
      </c>
      <c r="B3021" s="40" t="s">
        <v>9500</v>
      </c>
      <c r="C3021" s="41">
        <v>3.0</v>
      </c>
      <c r="D3021" s="41">
        <v>2.0</v>
      </c>
      <c r="E3021" s="43" t="str">
        <f t="shared" si="1"/>
        <v>60.0%</v>
      </c>
    </row>
    <row r="3022">
      <c r="A3022" s="40" t="s">
        <v>7689</v>
      </c>
      <c r="B3022" s="40" t="s">
        <v>8957</v>
      </c>
      <c r="C3022" s="41">
        <v>3.0</v>
      </c>
      <c r="D3022" s="41">
        <v>3.0</v>
      </c>
      <c r="E3022" s="43" t="str">
        <f t="shared" si="1"/>
        <v>50.0%</v>
      </c>
    </row>
    <row r="3023">
      <c r="A3023" s="40" t="s">
        <v>7689</v>
      </c>
      <c r="B3023" s="40" t="s">
        <v>9205</v>
      </c>
      <c r="C3023" s="41">
        <v>3.0</v>
      </c>
      <c r="D3023" s="41">
        <v>3.0</v>
      </c>
      <c r="E3023" s="43" t="str">
        <f t="shared" si="1"/>
        <v>50.0%</v>
      </c>
    </row>
    <row r="3024">
      <c r="A3024" s="40" t="s">
        <v>7689</v>
      </c>
      <c r="B3024" s="40" t="s">
        <v>9474</v>
      </c>
      <c r="C3024" s="41">
        <v>3.0</v>
      </c>
      <c r="D3024" s="41">
        <v>3.0</v>
      </c>
      <c r="E3024" s="43" t="str">
        <f t="shared" si="1"/>
        <v>50.0%</v>
      </c>
    </row>
    <row r="3025">
      <c r="A3025" s="40" t="s">
        <v>7689</v>
      </c>
      <c r="B3025" s="40" t="s">
        <v>9363</v>
      </c>
      <c r="C3025" s="41">
        <v>3.0</v>
      </c>
      <c r="D3025" s="41">
        <v>4.0</v>
      </c>
      <c r="E3025" s="43" t="str">
        <f t="shared" si="1"/>
        <v>42.9%</v>
      </c>
    </row>
    <row r="3026">
      <c r="A3026" s="40" t="s">
        <v>7689</v>
      </c>
      <c r="B3026" s="40" t="s">
        <v>9540</v>
      </c>
      <c r="C3026" s="41">
        <v>3.0</v>
      </c>
      <c r="D3026" s="41">
        <v>4.0</v>
      </c>
      <c r="E3026" s="43" t="str">
        <f t="shared" si="1"/>
        <v>42.9%</v>
      </c>
    </row>
    <row r="3027">
      <c r="A3027" s="40" t="s">
        <v>7689</v>
      </c>
      <c r="B3027" s="40" t="s">
        <v>9258</v>
      </c>
      <c r="C3027" s="41">
        <v>3.0</v>
      </c>
      <c r="D3027" s="41">
        <v>5.0</v>
      </c>
      <c r="E3027" s="43" t="str">
        <f t="shared" si="1"/>
        <v>37.5%</v>
      </c>
    </row>
    <row r="3028">
      <c r="A3028" s="40" t="s">
        <v>7689</v>
      </c>
      <c r="B3028" s="40" t="s">
        <v>8929</v>
      </c>
      <c r="C3028" s="41">
        <v>3.0</v>
      </c>
      <c r="D3028" s="41">
        <v>6.0</v>
      </c>
      <c r="E3028" s="43" t="str">
        <f t="shared" si="1"/>
        <v>33.3%</v>
      </c>
    </row>
    <row r="3029">
      <c r="A3029" s="40" t="s">
        <v>7689</v>
      </c>
      <c r="B3029" s="40" t="s">
        <v>9284</v>
      </c>
      <c r="C3029" s="41">
        <v>3.0</v>
      </c>
      <c r="D3029" s="41">
        <v>6.0</v>
      </c>
      <c r="E3029" s="43" t="str">
        <f t="shared" si="1"/>
        <v>33.3%</v>
      </c>
    </row>
    <row r="3030">
      <c r="A3030" s="40" t="s">
        <v>7689</v>
      </c>
      <c r="B3030" s="40" t="s">
        <v>9300</v>
      </c>
      <c r="C3030" s="41">
        <v>3.0</v>
      </c>
      <c r="D3030" s="41">
        <v>6.0</v>
      </c>
      <c r="E3030" s="43" t="str">
        <f t="shared" si="1"/>
        <v>33.3%</v>
      </c>
    </row>
    <row r="3031">
      <c r="A3031" s="40" t="s">
        <v>7689</v>
      </c>
      <c r="B3031" s="40" t="s">
        <v>9481</v>
      </c>
      <c r="C3031" s="41">
        <v>3.0</v>
      </c>
      <c r="D3031" s="41">
        <v>6.0</v>
      </c>
      <c r="E3031" s="43" t="str">
        <f t="shared" si="1"/>
        <v>33.3%</v>
      </c>
    </row>
    <row r="3032">
      <c r="A3032" s="40" t="s">
        <v>7689</v>
      </c>
      <c r="B3032" s="40" t="s">
        <v>9502</v>
      </c>
      <c r="C3032" s="41">
        <v>3.0</v>
      </c>
      <c r="D3032" s="41">
        <v>6.0</v>
      </c>
      <c r="E3032" s="43" t="str">
        <f t="shared" si="1"/>
        <v>33.3%</v>
      </c>
    </row>
    <row r="3033">
      <c r="A3033" s="40" t="s">
        <v>7689</v>
      </c>
      <c r="B3033" s="40" t="s">
        <v>9161</v>
      </c>
      <c r="C3033" s="41">
        <v>3.0</v>
      </c>
      <c r="D3033" s="41">
        <v>8.0</v>
      </c>
      <c r="E3033" s="43" t="str">
        <f t="shared" si="1"/>
        <v>27.3%</v>
      </c>
    </row>
    <row r="3034">
      <c r="A3034" s="40" t="s">
        <v>7689</v>
      </c>
      <c r="B3034" s="40" t="s">
        <v>8888</v>
      </c>
      <c r="C3034" s="41">
        <v>3.0</v>
      </c>
      <c r="D3034" s="41">
        <v>9.0</v>
      </c>
      <c r="E3034" s="43" t="str">
        <f t="shared" si="1"/>
        <v>25.0%</v>
      </c>
    </row>
    <row r="3035">
      <c r="A3035" s="40" t="s">
        <v>7689</v>
      </c>
      <c r="B3035" s="40" t="s">
        <v>8513</v>
      </c>
      <c r="C3035" s="41">
        <v>2.0</v>
      </c>
      <c r="D3035" s="41">
        <v>0.0</v>
      </c>
      <c r="E3035" s="43" t="str">
        <f t="shared" si="1"/>
        <v>100.0%</v>
      </c>
    </row>
    <row r="3036">
      <c r="A3036" s="40" t="s">
        <v>7689</v>
      </c>
      <c r="B3036" s="40" t="s">
        <v>8903</v>
      </c>
      <c r="C3036" s="41">
        <v>2.0</v>
      </c>
      <c r="D3036" s="41">
        <v>0.0</v>
      </c>
      <c r="E3036" s="43" t="str">
        <f t="shared" si="1"/>
        <v>100.0%</v>
      </c>
    </row>
    <row r="3037">
      <c r="A3037" s="40" t="s">
        <v>7689</v>
      </c>
      <c r="B3037" s="40" t="s">
        <v>8935</v>
      </c>
      <c r="C3037" s="41">
        <v>2.0</v>
      </c>
      <c r="D3037" s="41">
        <v>0.0</v>
      </c>
      <c r="E3037" s="43" t="str">
        <f t="shared" si="1"/>
        <v>100.0%</v>
      </c>
    </row>
    <row r="3038">
      <c r="A3038" s="40" t="s">
        <v>7689</v>
      </c>
      <c r="B3038" s="40" t="s">
        <v>9191</v>
      </c>
      <c r="C3038" s="41">
        <v>2.0</v>
      </c>
      <c r="D3038" s="41">
        <v>0.0</v>
      </c>
      <c r="E3038" s="43" t="str">
        <f t="shared" si="1"/>
        <v>100.0%</v>
      </c>
    </row>
    <row r="3039">
      <c r="A3039" s="40" t="s">
        <v>7689</v>
      </c>
      <c r="B3039" s="40" t="s">
        <v>9305</v>
      </c>
      <c r="C3039" s="41">
        <v>2.0</v>
      </c>
      <c r="D3039" s="41">
        <v>0.0</v>
      </c>
      <c r="E3039" s="43" t="str">
        <f t="shared" si="1"/>
        <v>100.0%</v>
      </c>
    </row>
    <row r="3040">
      <c r="A3040" s="40" t="s">
        <v>7689</v>
      </c>
      <c r="B3040" s="40" t="s">
        <v>9487</v>
      </c>
      <c r="C3040" s="41">
        <v>2.0</v>
      </c>
      <c r="D3040" s="41">
        <v>0.0</v>
      </c>
      <c r="E3040" s="43" t="str">
        <f t="shared" si="1"/>
        <v>100.0%</v>
      </c>
    </row>
    <row r="3041">
      <c r="A3041" s="40" t="s">
        <v>7689</v>
      </c>
      <c r="B3041" s="40" t="s">
        <v>9521</v>
      </c>
      <c r="C3041" s="41">
        <v>2.0</v>
      </c>
      <c r="D3041" s="41">
        <v>0.0</v>
      </c>
      <c r="E3041" s="43" t="str">
        <f t="shared" si="1"/>
        <v>100.0%</v>
      </c>
    </row>
    <row r="3042">
      <c r="A3042" s="40" t="s">
        <v>7689</v>
      </c>
      <c r="B3042" s="40" t="s">
        <v>9541</v>
      </c>
      <c r="C3042" s="41">
        <v>2.0</v>
      </c>
      <c r="D3042" s="41">
        <v>0.0</v>
      </c>
      <c r="E3042" s="43" t="str">
        <f t="shared" si="1"/>
        <v>100.0%</v>
      </c>
    </row>
    <row r="3043">
      <c r="A3043" s="40" t="s">
        <v>7689</v>
      </c>
      <c r="B3043" s="40" t="s">
        <v>9045</v>
      </c>
      <c r="C3043" s="41">
        <v>2.0</v>
      </c>
      <c r="D3043" s="41">
        <v>1.0</v>
      </c>
      <c r="E3043" s="43" t="str">
        <f t="shared" si="1"/>
        <v>66.7%</v>
      </c>
    </row>
    <row r="3044">
      <c r="A3044" s="40" t="s">
        <v>7689</v>
      </c>
      <c r="B3044" s="40" t="s">
        <v>9249</v>
      </c>
      <c r="C3044" s="41">
        <v>2.0</v>
      </c>
      <c r="D3044" s="41">
        <v>1.0</v>
      </c>
      <c r="E3044" s="43" t="str">
        <f t="shared" si="1"/>
        <v>66.7%</v>
      </c>
    </row>
    <row r="3045">
      <c r="A3045" s="40" t="s">
        <v>7689</v>
      </c>
      <c r="B3045" s="40" t="s">
        <v>9384</v>
      </c>
      <c r="C3045" s="41">
        <v>2.0</v>
      </c>
      <c r="D3045" s="41">
        <v>1.0</v>
      </c>
      <c r="E3045" s="43" t="str">
        <f t="shared" si="1"/>
        <v>66.7%</v>
      </c>
    </row>
    <row r="3046">
      <c r="A3046" s="40" t="s">
        <v>7689</v>
      </c>
      <c r="B3046" s="40" t="s">
        <v>9426</v>
      </c>
      <c r="C3046" s="41">
        <v>2.0</v>
      </c>
      <c r="D3046" s="41">
        <v>1.0</v>
      </c>
      <c r="E3046" s="43" t="str">
        <f t="shared" si="1"/>
        <v>66.7%</v>
      </c>
    </row>
    <row r="3047">
      <c r="A3047" s="40" t="s">
        <v>7689</v>
      </c>
      <c r="B3047" s="40" t="s">
        <v>9542</v>
      </c>
      <c r="C3047" s="41">
        <v>2.0</v>
      </c>
      <c r="D3047" s="41">
        <v>1.0</v>
      </c>
      <c r="E3047" s="43" t="str">
        <f t="shared" si="1"/>
        <v>66.7%</v>
      </c>
    </row>
    <row r="3048">
      <c r="A3048" s="40" t="s">
        <v>7689</v>
      </c>
      <c r="B3048" s="40" t="s">
        <v>9543</v>
      </c>
      <c r="C3048" s="41">
        <v>2.0</v>
      </c>
      <c r="D3048" s="41">
        <v>1.0</v>
      </c>
      <c r="E3048" s="43" t="str">
        <f t="shared" si="1"/>
        <v>66.7%</v>
      </c>
    </row>
    <row r="3049">
      <c r="A3049" s="40" t="s">
        <v>7689</v>
      </c>
      <c r="B3049" s="40" t="s">
        <v>9544</v>
      </c>
      <c r="C3049" s="41">
        <v>2.0</v>
      </c>
      <c r="D3049" s="41">
        <v>1.0</v>
      </c>
      <c r="E3049" s="43" t="str">
        <f t="shared" si="1"/>
        <v>66.7%</v>
      </c>
    </row>
    <row r="3050">
      <c r="A3050" s="40" t="s">
        <v>7689</v>
      </c>
      <c r="B3050" s="40" t="s">
        <v>8595</v>
      </c>
      <c r="C3050" s="41">
        <v>2.0</v>
      </c>
      <c r="D3050" s="41">
        <v>2.0</v>
      </c>
      <c r="E3050" s="43" t="str">
        <f t="shared" si="1"/>
        <v>50.0%</v>
      </c>
    </row>
    <row r="3051">
      <c r="A3051" s="40" t="s">
        <v>7689</v>
      </c>
      <c r="B3051" s="40" t="s">
        <v>8673</v>
      </c>
      <c r="C3051" s="41">
        <v>2.0</v>
      </c>
      <c r="D3051" s="41">
        <v>2.0</v>
      </c>
      <c r="E3051" s="43" t="str">
        <f t="shared" si="1"/>
        <v>50.0%</v>
      </c>
    </row>
    <row r="3052">
      <c r="A3052" s="40" t="s">
        <v>7689</v>
      </c>
      <c r="B3052" s="40" t="s">
        <v>8824</v>
      </c>
      <c r="C3052" s="41">
        <v>2.0</v>
      </c>
      <c r="D3052" s="41">
        <v>2.0</v>
      </c>
      <c r="E3052" s="43" t="str">
        <f t="shared" si="1"/>
        <v>50.0%</v>
      </c>
    </row>
    <row r="3053">
      <c r="A3053" s="40" t="s">
        <v>7689</v>
      </c>
      <c r="B3053" s="40" t="s">
        <v>8943</v>
      </c>
      <c r="C3053" s="41">
        <v>2.0</v>
      </c>
      <c r="D3053" s="41">
        <v>2.0</v>
      </c>
      <c r="E3053" s="43" t="str">
        <f t="shared" si="1"/>
        <v>50.0%</v>
      </c>
    </row>
    <row r="3054">
      <c r="A3054" s="40" t="s">
        <v>7689</v>
      </c>
      <c r="B3054" s="40" t="s">
        <v>8976</v>
      </c>
      <c r="C3054" s="41">
        <v>2.0</v>
      </c>
      <c r="D3054" s="41">
        <v>2.0</v>
      </c>
      <c r="E3054" s="43" t="str">
        <f t="shared" si="1"/>
        <v>50.0%</v>
      </c>
    </row>
    <row r="3055">
      <c r="A3055" s="40" t="s">
        <v>7689</v>
      </c>
      <c r="B3055" s="40" t="s">
        <v>9101</v>
      </c>
      <c r="C3055" s="41">
        <v>2.0</v>
      </c>
      <c r="D3055" s="41">
        <v>2.0</v>
      </c>
      <c r="E3055" s="43" t="str">
        <f t="shared" si="1"/>
        <v>50.0%</v>
      </c>
    </row>
    <row r="3056">
      <c r="A3056" s="40" t="s">
        <v>7689</v>
      </c>
      <c r="B3056" s="40" t="s">
        <v>9501</v>
      </c>
      <c r="C3056" s="41">
        <v>2.0</v>
      </c>
      <c r="D3056" s="41">
        <v>2.0</v>
      </c>
      <c r="E3056" s="43" t="str">
        <f t="shared" si="1"/>
        <v>50.0%</v>
      </c>
    </row>
    <row r="3057">
      <c r="A3057" s="40" t="s">
        <v>7689</v>
      </c>
      <c r="B3057" s="40" t="s">
        <v>9545</v>
      </c>
      <c r="C3057" s="41">
        <v>2.0</v>
      </c>
      <c r="D3057" s="41">
        <v>2.0</v>
      </c>
      <c r="E3057" s="43" t="str">
        <f t="shared" si="1"/>
        <v>50.0%</v>
      </c>
    </row>
    <row r="3058">
      <c r="A3058" s="40" t="s">
        <v>7689</v>
      </c>
      <c r="B3058" s="40" t="s">
        <v>9546</v>
      </c>
      <c r="C3058" s="41">
        <v>2.0</v>
      </c>
      <c r="D3058" s="41">
        <v>2.0</v>
      </c>
      <c r="E3058" s="43" t="str">
        <f t="shared" si="1"/>
        <v>50.0%</v>
      </c>
    </row>
    <row r="3059">
      <c r="A3059" s="40" t="s">
        <v>7689</v>
      </c>
      <c r="B3059" s="40" t="s">
        <v>8564</v>
      </c>
      <c r="C3059" s="41">
        <v>2.0</v>
      </c>
      <c r="D3059" s="41">
        <v>3.0</v>
      </c>
      <c r="E3059" s="43" t="str">
        <f t="shared" si="1"/>
        <v>40.0%</v>
      </c>
    </row>
    <row r="3060">
      <c r="A3060" s="40" t="s">
        <v>7689</v>
      </c>
      <c r="B3060" s="40" t="s">
        <v>8816</v>
      </c>
      <c r="C3060" s="41">
        <v>2.0</v>
      </c>
      <c r="D3060" s="41">
        <v>3.0</v>
      </c>
      <c r="E3060" s="43" t="str">
        <f t="shared" si="1"/>
        <v>40.0%</v>
      </c>
    </row>
    <row r="3061">
      <c r="A3061" s="40" t="s">
        <v>7689</v>
      </c>
      <c r="B3061" s="40" t="s">
        <v>8845</v>
      </c>
      <c r="C3061" s="41">
        <v>2.0</v>
      </c>
      <c r="D3061" s="41">
        <v>3.0</v>
      </c>
      <c r="E3061" s="43" t="str">
        <f t="shared" si="1"/>
        <v>40.0%</v>
      </c>
    </row>
    <row r="3062">
      <c r="A3062" s="40" t="s">
        <v>7689</v>
      </c>
      <c r="B3062" s="40" t="s">
        <v>8946</v>
      </c>
      <c r="C3062" s="41">
        <v>2.0</v>
      </c>
      <c r="D3062" s="41">
        <v>3.0</v>
      </c>
      <c r="E3062" s="43" t="str">
        <f t="shared" si="1"/>
        <v>40.0%</v>
      </c>
    </row>
    <row r="3063">
      <c r="A3063" s="40" t="s">
        <v>7689</v>
      </c>
      <c r="B3063" s="40" t="s">
        <v>9272</v>
      </c>
      <c r="C3063" s="41">
        <v>2.0</v>
      </c>
      <c r="D3063" s="41">
        <v>3.0</v>
      </c>
      <c r="E3063" s="43" t="str">
        <f t="shared" si="1"/>
        <v>40.0%</v>
      </c>
    </row>
    <row r="3064">
      <c r="A3064" s="40" t="s">
        <v>7689</v>
      </c>
      <c r="B3064" s="40" t="s">
        <v>9298</v>
      </c>
      <c r="C3064" s="41">
        <v>2.0</v>
      </c>
      <c r="D3064" s="41">
        <v>3.0</v>
      </c>
      <c r="E3064" s="43" t="str">
        <f t="shared" si="1"/>
        <v>40.0%</v>
      </c>
    </row>
    <row r="3065">
      <c r="A3065" s="40" t="s">
        <v>7689</v>
      </c>
      <c r="B3065" s="40" t="s">
        <v>9301</v>
      </c>
      <c r="C3065" s="41">
        <v>2.0</v>
      </c>
      <c r="D3065" s="41">
        <v>3.0</v>
      </c>
      <c r="E3065" s="43" t="str">
        <f t="shared" si="1"/>
        <v>40.0%</v>
      </c>
    </row>
    <row r="3066">
      <c r="A3066" s="40" t="s">
        <v>7689</v>
      </c>
      <c r="B3066" s="40" t="s">
        <v>9452</v>
      </c>
      <c r="C3066" s="41">
        <v>2.0</v>
      </c>
      <c r="D3066" s="41">
        <v>3.0</v>
      </c>
      <c r="E3066" s="43" t="str">
        <f t="shared" si="1"/>
        <v>40.0%</v>
      </c>
    </row>
    <row r="3067">
      <c r="A3067" s="40" t="s">
        <v>7689</v>
      </c>
      <c r="B3067" s="40" t="s">
        <v>9498</v>
      </c>
      <c r="C3067" s="41">
        <v>2.0</v>
      </c>
      <c r="D3067" s="41">
        <v>3.0</v>
      </c>
      <c r="E3067" s="43" t="str">
        <f t="shared" si="1"/>
        <v>40.0%</v>
      </c>
    </row>
    <row r="3068">
      <c r="A3068" s="40" t="s">
        <v>7689</v>
      </c>
      <c r="B3068" s="40" t="s">
        <v>9547</v>
      </c>
      <c r="C3068" s="41">
        <v>2.0</v>
      </c>
      <c r="D3068" s="41">
        <v>3.0</v>
      </c>
      <c r="E3068" s="43" t="str">
        <f t="shared" si="1"/>
        <v>40.0%</v>
      </c>
    </row>
    <row r="3069">
      <c r="A3069" s="40" t="s">
        <v>7689</v>
      </c>
      <c r="B3069" s="40" t="s">
        <v>8884</v>
      </c>
      <c r="C3069" s="41">
        <v>2.0</v>
      </c>
      <c r="D3069" s="41">
        <v>4.0</v>
      </c>
      <c r="E3069" s="43" t="str">
        <f t="shared" si="1"/>
        <v>33.3%</v>
      </c>
    </row>
    <row r="3070">
      <c r="A3070" s="40" t="s">
        <v>7689</v>
      </c>
      <c r="B3070" s="40" t="s">
        <v>9049</v>
      </c>
      <c r="C3070" s="41">
        <v>2.0</v>
      </c>
      <c r="D3070" s="41">
        <v>4.0</v>
      </c>
      <c r="E3070" s="43" t="str">
        <f t="shared" si="1"/>
        <v>33.3%</v>
      </c>
    </row>
    <row r="3071">
      <c r="A3071" s="40" t="s">
        <v>7689</v>
      </c>
      <c r="B3071" s="40" t="s">
        <v>9347</v>
      </c>
      <c r="C3071" s="41">
        <v>2.0</v>
      </c>
      <c r="D3071" s="41">
        <v>4.0</v>
      </c>
      <c r="E3071" s="43" t="str">
        <f t="shared" si="1"/>
        <v>33.3%</v>
      </c>
    </row>
    <row r="3072">
      <c r="A3072" s="40" t="s">
        <v>7689</v>
      </c>
      <c r="B3072" s="40" t="s">
        <v>9294</v>
      </c>
      <c r="C3072" s="41">
        <v>2.0</v>
      </c>
      <c r="D3072" s="41">
        <v>4.0</v>
      </c>
      <c r="E3072" s="43" t="str">
        <f t="shared" si="1"/>
        <v>33.3%</v>
      </c>
    </row>
    <row r="3073">
      <c r="A3073" s="40" t="s">
        <v>7689</v>
      </c>
      <c r="B3073" s="40" t="s">
        <v>9364</v>
      </c>
      <c r="C3073" s="41">
        <v>2.0</v>
      </c>
      <c r="D3073" s="41">
        <v>6.0</v>
      </c>
      <c r="E3073" s="43" t="str">
        <f t="shared" si="1"/>
        <v>25.0%</v>
      </c>
    </row>
    <row r="3074">
      <c r="A3074" s="40" t="s">
        <v>7689</v>
      </c>
      <c r="B3074" s="40" t="s">
        <v>9250</v>
      </c>
      <c r="C3074" s="41">
        <v>2.0</v>
      </c>
      <c r="D3074" s="41">
        <v>8.0</v>
      </c>
      <c r="E3074" s="43" t="str">
        <f t="shared" si="1"/>
        <v>20.0%</v>
      </c>
    </row>
    <row r="3075">
      <c r="A3075" s="40" t="s">
        <v>7689</v>
      </c>
      <c r="B3075" s="40" t="s">
        <v>9297</v>
      </c>
      <c r="C3075" s="41">
        <v>2.0</v>
      </c>
      <c r="D3075" s="41">
        <v>8.0</v>
      </c>
      <c r="E3075" s="43" t="str">
        <f t="shared" si="1"/>
        <v>20.0%</v>
      </c>
    </row>
    <row r="3076">
      <c r="A3076" s="40" t="s">
        <v>7689</v>
      </c>
      <c r="B3076" s="40" t="s">
        <v>9292</v>
      </c>
      <c r="C3076" s="41">
        <v>2.0</v>
      </c>
      <c r="D3076" s="41">
        <v>10.0</v>
      </c>
      <c r="E3076" s="43" t="str">
        <f t="shared" si="1"/>
        <v>16.7%</v>
      </c>
    </row>
    <row r="3077">
      <c r="A3077" s="40" t="s">
        <v>7689</v>
      </c>
      <c r="B3077" s="40" t="s">
        <v>8609</v>
      </c>
      <c r="C3077" s="41">
        <v>1.0</v>
      </c>
      <c r="D3077" s="41">
        <v>0.0</v>
      </c>
      <c r="E3077" s="43" t="str">
        <f t="shared" si="1"/>
        <v>100.0%</v>
      </c>
    </row>
    <row r="3078">
      <c r="A3078" s="40" t="s">
        <v>7689</v>
      </c>
      <c r="B3078" s="40" t="s">
        <v>8751</v>
      </c>
      <c r="C3078" s="41">
        <v>1.0</v>
      </c>
      <c r="D3078" s="41">
        <v>0.0</v>
      </c>
      <c r="E3078" s="43" t="str">
        <f t="shared" si="1"/>
        <v>100.0%</v>
      </c>
    </row>
    <row r="3079">
      <c r="A3079" s="40" t="s">
        <v>7689</v>
      </c>
      <c r="B3079" s="40" t="s">
        <v>8928</v>
      </c>
      <c r="C3079" s="41">
        <v>1.0</v>
      </c>
      <c r="D3079" s="41">
        <v>0.0</v>
      </c>
      <c r="E3079" s="43" t="str">
        <f t="shared" si="1"/>
        <v>100.0%</v>
      </c>
    </row>
    <row r="3080">
      <c r="A3080" s="40" t="s">
        <v>7689</v>
      </c>
      <c r="B3080" s="40" t="s">
        <v>9142</v>
      </c>
      <c r="C3080" s="41">
        <v>1.0</v>
      </c>
      <c r="D3080" s="41">
        <v>0.0</v>
      </c>
      <c r="E3080" s="43" t="str">
        <f t="shared" si="1"/>
        <v>100.0%</v>
      </c>
    </row>
    <row r="3081">
      <c r="A3081" s="40" t="s">
        <v>7689</v>
      </c>
      <c r="B3081" s="40" t="s">
        <v>9143</v>
      </c>
      <c r="C3081" s="41">
        <v>1.0</v>
      </c>
      <c r="D3081" s="41">
        <v>0.0</v>
      </c>
      <c r="E3081" s="43" t="str">
        <f t="shared" si="1"/>
        <v>100.0%</v>
      </c>
    </row>
    <row r="3082">
      <c r="A3082" s="40" t="s">
        <v>7689</v>
      </c>
      <c r="B3082" s="40" t="s">
        <v>9119</v>
      </c>
      <c r="C3082" s="41">
        <v>1.0</v>
      </c>
      <c r="D3082" s="41">
        <v>0.0</v>
      </c>
      <c r="E3082" s="43" t="str">
        <f t="shared" si="1"/>
        <v>100.0%</v>
      </c>
    </row>
    <row r="3083">
      <c r="A3083" s="40" t="s">
        <v>7689</v>
      </c>
      <c r="B3083" s="40" t="s">
        <v>9214</v>
      </c>
      <c r="C3083" s="41">
        <v>1.0</v>
      </c>
      <c r="D3083" s="41">
        <v>0.0</v>
      </c>
      <c r="E3083" s="43" t="str">
        <f t="shared" si="1"/>
        <v>100.0%</v>
      </c>
    </row>
    <row r="3084">
      <c r="A3084" s="40" t="s">
        <v>7689</v>
      </c>
      <c r="B3084" s="40" t="s">
        <v>9194</v>
      </c>
      <c r="C3084" s="41">
        <v>1.0</v>
      </c>
      <c r="D3084" s="41">
        <v>0.0</v>
      </c>
      <c r="E3084" s="43" t="str">
        <f t="shared" si="1"/>
        <v>100.0%</v>
      </c>
    </row>
    <row r="3085">
      <c r="A3085" s="40" t="s">
        <v>7689</v>
      </c>
      <c r="B3085" s="40" t="s">
        <v>9236</v>
      </c>
      <c r="C3085" s="41">
        <v>1.0</v>
      </c>
      <c r="D3085" s="41">
        <v>0.0</v>
      </c>
      <c r="E3085" s="43" t="str">
        <f t="shared" si="1"/>
        <v>100.0%</v>
      </c>
    </row>
    <row r="3086">
      <c r="A3086" s="40" t="s">
        <v>7689</v>
      </c>
      <c r="B3086" s="40" t="s">
        <v>9239</v>
      </c>
      <c r="C3086" s="41">
        <v>1.0</v>
      </c>
      <c r="D3086" s="41">
        <v>0.0</v>
      </c>
      <c r="E3086" s="43" t="str">
        <f t="shared" si="1"/>
        <v>100.0%</v>
      </c>
    </row>
    <row r="3087">
      <c r="A3087" s="40" t="s">
        <v>7689</v>
      </c>
      <c r="B3087" s="40" t="s">
        <v>9315</v>
      </c>
      <c r="C3087" s="41">
        <v>1.0</v>
      </c>
      <c r="D3087" s="41">
        <v>0.0</v>
      </c>
      <c r="E3087" s="43" t="str">
        <f t="shared" si="1"/>
        <v>100.0%</v>
      </c>
    </row>
    <row r="3088">
      <c r="A3088" s="40" t="s">
        <v>7689</v>
      </c>
      <c r="B3088" s="40" t="s">
        <v>9344</v>
      </c>
      <c r="C3088" s="41">
        <v>1.0</v>
      </c>
      <c r="D3088" s="41">
        <v>0.0</v>
      </c>
      <c r="E3088" s="43" t="str">
        <f t="shared" si="1"/>
        <v>100.0%</v>
      </c>
    </row>
    <row r="3089">
      <c r="A3089" s="40" t="s">
        <v>7689</v>
      </c>
      <c r="B3089" s="40" t="s">
        <v>9413</v>
      </c>
      <c r="C3089" s="41">
        <v>1.0</v>
      </c>
      <c r="D3089" s="41">
        <v>0.0</v>
      </c>
      <c r="E3089" s="43" t="str">
        <f t="shared" si="1"/>
        <v>100.0%</v>
      </c>
    </row>
    <row r="3090">
      <c r="A3090" s="40" t="s">
        <v>7689</v>
      </c>
      <c r="B3090" s="40" t="s">
        <v>9471</v>
      </c>
      <c r="C3090" s="41">
        <v>1.0</v>
      </c>
      <c r="D3090" s="41">
        <v>0.0</v>
      </c>
      <c r="E3090" s="43" t="str">
        <f t="shared" si="1"/>
        <v>100.0%</v>
      </c>
    </row>
    <row r="3091">
      <c r="A3091" s="40" t="s">
        <v>7689</v>
      </c>
      <c r="B3091" s="40" t="s">
        <v>9435</v>
      </c>
      <c r="C3091" s="41">
        <v>1.0</v>
      </c>
      <c r="D3091" s="41">
        <v>0.0</v>
      </c>
      <c r="E3091" s="43" t="str">
        <f t="shared" si="1"/>
        <v>100.0%</v>
      </c>
    </row>
    <row r="3092">
      <c r="A3092" s="40" t="s">
        <v>7689</v>
      </c>
      <c r="B3092" s="40" t="s">
        <v>9456</v>
      </c>
      <c r="C3092" s="41">
        <v>1.0</v>
      </c>
      <c r="D3092" s="41">
        <v>0.0</v>
      </c>
      <c r="E3092" s="43" t="str">
        <f t="shared" si="1"/>
        <v>100.0%</v>
      </c>
    </row>
    <row r="3093">
      <c r="A3093" s="40" t="s">
        <v>7689</v>
      </c>
      <c r="B3093" s="40" t="s">
        <v>9496</v>
      </c>
      <c r="C3093" s="41">
        <v>1.0</v>
      </c>
      <c r="D3093" s="41">
        <v>0.0</v>
      </c>
      <c r="E3093" s="43" t="str">
        <f t="shared" si="1"/>
        <v>100.0%</v>
      </c>
    </row>
    <row r="3094">
      <c r="A3094" s="40" t="s">
        <v>7689</v>
      </c>
      <c r="B3094" s="40" t="s">
        <v>9548</v>
      </c>
      <c r="C3094" s="41">
        <v>1.0</v>
      </c>
      <c r="D3094" s="41">
        <v>0.0</v>
      </c>
      <c r="E3094" s="43" t="str">
        <f t="shared" si="1"/>
        <v>100.0%</v>
      </c>
    </row>
    <row r="3095">
      <c r="A3095" s="40" t="s">
        <v>7689</v>
      </c>
      <c r="B3095" s="40" t="s">
        <v>9549</v>
      </c>
      <c r="C3095" s="41">
        <v>1.0</v>
      </c>
      <c r="D3095" s="41">
        <v>0.0</v>
      </c>
      <c r="E3095" s="43" t="str">
        <f t="shared" si="1"/>
        <v>100.0%</v>
      </c>
    </row>
    <row r="3096">
      <c r="A3096" s="40" t="s">
        <v>7689</v>
      </c>
      <c r="B3096" s="40" t="s">
        <v>9550</v>
      </c>
      <c r="C3096" s="41">
        <v>1.0</v>
      </c>
      <c r="D3096" s="41">
        <v>0.0</v>
      </c>
      <c r="E3096" s="43" t="str">
        <f t="shared" si="1"/>
        <v>100.0%</v>
      </c>
    </row>
    <row r="3097">
      <c r="A3097" s="40" t="s">
        <v>7689</v>
      </c>
      <c r="B3097" s="40" t="s">
        <v>9551</v>
      </c>
      <c r="C3097" s="41">
        <v>1.0</v>
      </c>
      <c r="D3097" s="41">
        <v>0.0</v>
      </c>
      <c r="E3097" s="43" t="str">
        <f t="shared" si="1"/>
        <v>100.0%</v>
      </c>
    </row>
    <row r="3098">
      <c r="A3098" s="40" t="s">
        <v>7689</v>
      </c>
      <c r="B3098" s="40" t="s">
        <v>9552</v>
      </c>
      <c r="C3098" s="41">
        <v>1.0</v>
      </c>
      <c r="D3098" s="41">
        <v>0.0</v>
      </c>
      <c r="E3098" s="43" t="str">
        <f t="shared" si="1"/>
        <v>100.0%</v>
      </c>
    </row>
    <row r="3099">
      <c r="A3099" s="40" t="s">
        <v>7689</v>
      </c>
      <c r="B3099" s="40" t="s">
        <v>9553</v>
      </c>
      <c r="C3099" s="41">
        <v>1.0</v>
      </c>
      <c r="D3099" s="41">
        <v>0.0</v>
      </c>
      <c r="E3099" s="43" t="str">
        <f t="shared" si="1"/>
        <v>100.0%</v>
      </c>
    </row>
    <row r="3100">
      <c r="A3100" s="40" t="s">
        <v>7689</v>
      </c>
      <c r="B3100" s="40" t="s">
        <v>9554</v>
      </c>
      <c r="C3100" s="41">
        <v>1.0</v>
      </c>
      <c r="D3100" s="41">
        <v>0.0</v>
      </c>
      <c r="E3100" s="43" t="str">
        <f t="shared" si="1"/>
        <v>100.0%</v>
      </c>
    </row>
    <row r="3101">
      <c r="A3101" s="40" t="s">
        <v>7689</v>
      </c>
      <c r="B3101" s="40" t="s">
        <v>9555</v>
      </c>
      <c r="C3101" s="41">
        <v>1.0</v>
      </c>
      <c r="D3101" s="41">
        <v>0.0</v>
      </c>
      <c r="E3101" s="43" t="str">
        <f t="shared" si="1"/>
        <v>100.0%</v>
      </c>
    </row>
    <row r="3102">
      <c r="A3102" s="40" t="s">
        <v>7689</v>
      </c>
      <c r="B3102" s="40" t="s">
        <v>9556</v>
      </c>
      <c r="C3102" s="41">
        <v>1.0</v>
      </c>
      <c r="D3102" s="41">
        <v>0.0</v>
      </c>
      <c r="E3102" s="43" t="str">
        <f t="shared" si="1"/>
        <v>100.0%</v>
      </c>
    </row>
    <row r="3103">
      <c r="A3103" s="40" t="s">
        <v>7689</v>
      </c>
      <c r="B3103" s="40" t="s">
        <v>9557</v>
      </c>
      <c r="C3103" s="41">
        <v>1.0</v>
      </c>
      <c r="D3103" s="41">
        <v>0.0</v>
      </c>
      <c r="E3103" s="43" t="str">
        <f t="shared" si="1"/>
        <v>100.0%</v>
      </c>
    </row>
    <row r="3104">
      <c r="A3104" s="40" t="s">
        <v>7689</v>
      </c>
      <c r="B3104" s="40" t="s">
        <v>8485</v>
      </c>
      <c r="C3104" s="41">
        <v>1.0</v>
      </c>
      <c r="D3104" s="41">
        <v>1.0</v>
      </c>
      <c r="E3104" s="43" t="str">
        <f t="shared" si="1"/>
        <v>50.0%</v>
      </c>
    </row>
    <row r="3105">
      <c r="A3105" s="40" t="s">
        <v>7689</v>
      </c>
      <c r="B3105" s="40" t="s">
        <v>8819</v>
      </c>
      <c r="C3105" s="41">
        <v>1.0</v>
      </c>
      <c r="D3105" s="41">
        <v>1.0</v>
      </c>
      <c r="E3105" s="43" t="str">
        <f t="shared" si="1"/>
        <v>50.0%</v>
      </c>
    </row>
    <row r="3106">
      <c r="A3106" s="40" t="s">
        <v>7689</v>
      </c>
      <c r="B3106" s="40" t="s">
        <v>8931</v>
      </c>
      <c r="C3106" s="41">
        <v>1.0</v>
      </c>
      <c r="D3106" s="41">
        <v>1.0</v>
      </c>
      <c r="E3106" s="43" t="str">
        <f t="shared" si="1"/>
        <v>50.0%</v>
      </c>
    </row>
    <row r="3107">
      <c r="A3107" s="40" t="s">
        <v>7689</v>
      </c>
      <c r="B3107" s="40" t="s">
        <v>8920</v>
      </c>
      <c r="C3107" s="41">
        <v>1.0</v>
      </c>
      <c r="D3107" s="41">
        <v>1.0</v>
      </c>
      <c r="E3107" s="43" t="str">
        <f t="shared" si="1"/>
        <v>50.0%</v>
      </c>
    </row>
    <row r="3108">
      <c r="A3108" s="40" t="s">
        <v>7689</v>
      </c>
      <c r="B3108" s="40" t="s">
        <v>9108</v>
      </c>
      <c r="C3108" s="41">
        <v>1.0</v>
      </c>
      <c r="D3108" s="41">
        <v>1.0</v>
      </c>
      <c r="E3108" s="43" t="str">
        <f t="shared" si="1"/>
        <v>50.0%</v>
      </c>
    </row>
    <row r="3109">
      <c r="A3109" s="40" t="s">
        <v>7689</v>
      </c>
      <c r="B3109" s="40" t="s">
        <v>9123</v>
      </c>
      <c r="C3109" s="41">
        <v>1.0</v>
      </c>
      <c r="D3109" s="41">
        <v>1.0</v>
      </c>
      <c r="E3109" s="43" t="str">
        <f t="shared" si="1"/>
        <v>50.0%</v>
      </c>
    </row>
    <row r="3110">
      <c r="A3110" s="40" t="s">
        <v>7689</v>
      </c>
      <c r="B3110" s="40" t="s">
        <v>9220</v>
      </c>
      <c r="C3110" s="41">
        <v>1.0</v>
      </c>
      <c r="D3110" s="41">
        <v>1.0</v>
      </c>
      <c r="E3110" s="43" t="str">
        <f t="shared" si="1"/>
        <v>50.0%</v>
      </c>
    </row>
    <row r="3111">
      <c r="A3111" s="40" t="s">
        <v>7689</v>
      </c>
      <c r="B3111" s="40" t="s">
        <v>9314</v>
      </c>
      <c r="C3111" s="41">
        <v>1.0</v>
      </c>
      <c r="D3111" s="41">
        <v>1.0</v>
      </c>
      <c r="E3111" s="43" t="str">
        <f t="shared" si="1"/>
        <v>50.0%</v>
      </c>
    </row>
    <row r="3112">
      <c r="A3112" s="40" t="s">
        <v>7689</v>
      </c>
      <c r="B3112" s="40" t="s">
        <v>9345</v>
      </c>
      <c r="C3112" s="41">
        <v>1.0</v>
      </c>
      <c r="D3112" s="41">
        <v>1.0</v>
      </c>
      <c r="E3112" s="43" t="str">
        <f t="shared" si="1"/>
        <v>50.0%</v>
      </c>
    </row>
    <row r="3113">
      <c r="A3113" s="40" t="s">
        <v>7689</v>
      </c>
      <c r="B3113" s="40" t="s">
        <v>9423</v>
      </c>
      <c r="C3113" s="41">
        <v>1.0</v>
      </c>
      <c r="D3113" s="41">
        <v>1.0</v>
      </c>
      <c r="E3113" s="43" t="str">
        <f t="shared" si="1"/>
        <v>50.0%</v>
      </c>
    </row>
    <row r="3114">
      <c r="A3114" s="40" t="s">
        <v>7689</v>
      </c>
      <c r="B3114" s="40" t="s">
        <v>9462</v>
      </c>
      <c r="C3114" s="41">
        <v>1.0</v>
      </c>
      <c r="D3114" s="41">
        <v>1.0</v>
      </c>
      <c r="E3114" s="43" t="str">
        <f t="shared" si="1"/>
        <v>50.0%</v>
      </c>
    </row>
    <row r="3115">
      <c r="A3115" s="40" t="s">
        <v>7689</v>
      </c>
      <c r="B3115" s="40" t="s">
        <v>9469</v>
      </c>
      <c r="C3115" s="41">
        <v>1.0</v>
      </c>
      <c r="D3115" s="41">
        <v>1.0</v>
      </c>
      <c r="E3115" s="43" t="str">
        <f t="shared" si="1"/>
        <v>50.0%</v>
      </c>
    </row>
    <row r="3116">
      <c r="A3116" s="40" t="s">
        <v>7689</v>
      </c>
      <c r="B3116" s="40" t="s">
        <v>9432</v>
      </c>
      <c r="C3116" s="41">
        <v>1.0</v>
      </c>
      <c r="D3116" s="41">
        <v>1.0</v>
      </c>
      <c r="E3116" s="43" t="str">
        <f t="shared" si="1"/>
        <v>50.0%</v>
      </c>
    </row>
    <row r="3117">
      <c r="A3117" s="40" t="s">
        <v>7689</v>
      </c>
      <c r="B3117" s="40" t="s">
        <v>9444</v>
      </c>
      <c r="C3117" s="41">
        <v>1.0</v>
      </c>
      <c r="D3117" s="41">
        <v>1.0</v>
      </c>
      <c r="E3117" s="43" t="str">
        <f t="shared" si="1"/>
        <v>50.0%</v>
      </c>
    </row>
    <row r="3118">
      <c r="A3118" s="40" t="s">
        <v>7689</v>
      </c>
      <c r="B3118" s="40" t="s">
        <v>9477</v>
      </c>
      <c r="C3118" s="41">
        <v>1.0</v>
      </c>
      <c r="D3118" s="41">
        <v>1.0</v>
      </c>
      <c r="E3118" s="43" t="str">
        <f t="shared" si="1"/>
        <v>50.0%</v>
      </c>
    </row>
    <row r="3119">
      <c r="A3119" s="40" t="s">
        <v>7689</v>
      </c>
      <c r="B3119" s="40" t="s">
        <v>9512</v>
      </c>
      <c r="C3119" s="41">
        <v>1.0</v>
      </c>
      <c r="D3119" s="41">
        <v>1.0</v>
      </c>
      <c r="E3119" s="43" t="str">
        <f t="shared" si="1"/>
        <v>50.0%</v>
      </c>
    </row>
    <row r="3120">
      <c r="A3120" s="40" t="s">
        <v>7689</v>
      </c>
      <c r="B3120" s="40" t="s">
        <v>9558</v>
      </c>
      <c r="C3120" s="41">
        <v>1.0</v>
      </c>
      <c r="D3120" s="41">
        <v>1.0</v>
      </c>
      <c r="E3120" s="43" t="str">
        <f t="shared" si="1"/>
        <v>50.0%</v>
      </c>
    </row>
    <row r="3121">
      <c r="A3121" s="40" t="s">
        <v>7689</v>
      </c>
      <c r="B3121" s="40" t="s">
        <v>9559</v>
      </c>
      <c r="C3121" s="41">
        <v>1.0</v>
      </c>
      <c r="D3121" s="41">
        <v>1.0</v>
      </c>
      <c r="E3121" s="43" t="str">
        <f t="shared" si="1"/>
        <v>50.0%</v>
      </c>
    </row>
    <row r="3122">
      <c r="A3122" s="40" t="s">
        <v>7689</v>
      </c>
      <c r="B3122" s="40" t="s">
        <v>9560</v>
      </c>
      <c r="C3122" s="41">
        <v>1.0</v>
      </c>
      <c r="D3122" s="41">
        <v>1.0</v>
      </c>
      <c r="E3122" s="43" t="str">
        <f t="shared" si="1"/>
        <v>50.0%</v>
      </c>
    </row>
    <row r="3123">
      <c r="A3123" s="40" t="s">
        <v>7689</v>
      </c>
      <c r="B3123" s="40" t="s">
        <v>9561</v>
      </c>
      <c r="C3123" s="41">
        <v>1.0</v>
      </c>
      <c r="D3123" s="41">
        <v>1.0</v>
      </c>
      <c r="E3123" s="43" t="str">
        <f t="shared" si="1"/>
        <v>50.0%</v>
      </c>
    </row>
    <row r="3124">
      <c r="A3124" s="40" t="s">
        <v>7689</v>
      </c>
      <c r="B3124" s="40" t="s">
        <v>9562</v>
      </c>
      <c r="C3124" s="41">
        <v>1.0</v>
      </c>
      <c r="D3124" s="41">
        <v>1.0</v>
      </c>
      <c r="E3124" s="43" t="str">
        <f t="shared" si="1"/>
        <v>50.0%</v>
      </c>
    </row>
    <row r="3125">
      <c r="A3125" s="40" t="s">
        <v>7689</v>
      </c>
      <c r="B3125" s="40" t="s">
        <v>9563</v>
      </c>
      <c r="C3125" s="41">
        <v>1.0</v>
      </c>
      <c r="D3125" s="41">
        <v>1.0</v>
      </c>
      <c r="E3125" s="43" t="str">
        <f t="shared" si="1"/>
        <v>50.0%</v>
      </c>
    </row>
    <row r="3126">
      <c r="A3126" s="40" t="s">
        <v>7689</v>
      </c>
      <c r="B3126" s="40" t="s">
        <v>9564</v>
      </c>
      <c r="C3126" s="41">
        <v>1.0</v>
      </c>
      <c r="D3126" s="41">
        <v>1.0</v>
      </c>
      <c r="E3126" s="43" t="str">
        <f t="shared" si="1"/>
        <v>50.0%</v>
      </c>
    </row>
    <row r="3127">
      <c r="A3127" s="40" t="s">
        <v>7689</v>
      </c>
      <c r="B3127" s="40" t="s">
        <v>9014</v>
      </c>
      <c r="C3127" s="41">
        <v>1.0</v>
      </c>
      <c r="D3127" s="41">
        <v>2.0</v>
      </c>
      <c r="E3127" s="43" t="str">
        <f t="shared" si="1"/>
        <v>33.3%</v>
      </c>
    </row>
    <row r="3128">
      <c r="A3128" s="40" t="s">
        <v>7689</v>
      </c>
      <c r="B3128" s="40" t="s">
        <v>9118</v>
      </c>
      <c r="C3128" s="41">
        <v>1.0</v>
      </c>
      <c r="D3128" s="41">
        <v>2.0</v>
      </c>
      <c r="E3128" s="43" t="str">
        <f t="shared" si="1"/>
        <v>33.3%</v>
      </c>
    </row>
    <row r="3129">
      <c r="A3129" s="40" t="s">
        <v>7689</v>
      </c>
      <c r="B3129" s="40" t="s">
        <v>9136</v>
      </c>
      <c r="C3129" s="41">
        <v>1.0</v>
      </c>
      <c r="D3129" s="41">
        <v>2.0</v>
      </c>
      <c r="E3129" s="43" t="str">
        <f t="shared" si="1"/>
        <v>33.3%</v>
      </c>
    </row>
    <row r="3130">
      <c r="A3130" s="40" t="s">
        <v>7689</v>
      </c>
      <c r="B3130" s="40" t="s">
        <v>9199</v>
      </c>
      <c r="C3130" s="41">
        <v>1.0</v>
      </c>
      <c r="D3130" s="41">
        <v>2.0</v>
      </c>
      <c r="E3130" s="43" t="str">
        <f t="shared" si="1"/>
        <v>33.3%</v>
      </c>
    </row>
    <row r="3131">
      <c r="A3131" s="40" t="s">
        <v>7689</v>
      </c>
      <c r="B3131" s="40" t="s">
        <v>9251</v>
      </c>
      <c r="C3131" s="41">
        <v>1.0</v>
      </c>
      <c r="D3131" s="41">
        <v>2.0</v>
      </c>
      <c r="E3131" s="43" t="str">
        <f t="shared" si="1"/>
        <v>33.3%</v>
      </c>
    </row>
    <row r="3132">
      <c r="A3132" s="40" t="s">
        <v>7689</v>
      </c>
      <c r="B3132" s="40" t="s">
        <v>9269</v>
      </c>
      <c r="C3132" s="41">
        <v>1.0</v>
      </c>
      <c r="D3132" s="41">
        <v>2.0</v>
      </c>
      <c r="E3132" s="43" t="str">
        <f t="shared" si="1"/>
        <v>33.3%</v>
      </c>
    </row>
    <row r="3133">
      <c r="A3133" s="40" t="s">
        <v>7689</v>
      </c>
      <c r="B3133" s="40" t="s">
        <v>9299</v>
      </c>
      <c r="C3133" s="41">
        <v>1.0</v>
      </c>
      <c r="D3133" s="41">
        <v>2.0</v>
      </c>
      <c r="E3133" s="43" t="str">
        <f t="shared" si="1"/>
        <v>33.3%</v>
      </c>
    </row>
    <row r="3134">
      <c r="A3134" s="40" t="s">
        <v>7689</v>
      </c>
      <c r="B3134" s="40" t="s">
        <v>9348</v>
      </c>
      <c r="C3134" s="41">
        <v>1.0</v>
      </c>
      <c r="D3134" s="41">
        <v>2.0</v>
      </c>
      <c r="E3134" s="43" t="str">
        <f t="shared" si="1"/>
        <v>33.3%</v>
      </c>
    </row>
    <row r="3135">
      <c r="A3135" s="40" t="s">
        <v>7689</v>
      </c>
      <c r="B3135" s="40" t="s">
        <v>9357</v>
      </c>
      <c r="C3135" s="41">
        <v>1.0</v>
      </c>
      <c r="D3135" s="41">
        <v>2.0</v>
      </c>
      <c r="E3135" s="43" t="str">
        <f t="shared" si="1"/>
        <v>33.3%</v>
      </c>
    </row>
    <row r="3136">
      <c r="A3136" s="40" t="s">
        <v>7689</v>
      </c>
      <c r="B3136" s="40" t="s">
        <v>9352</v>
      </c>
      <c r="C3136" s="41">
        <v>1.0</v>
      </c>
      <c r="D3136" s="41">
        <v>2.0</v>
      </c>
      <c r="E3136" s="43" t="str">
        <f t="shared" si="1"/>
        <v>33.3%</v>
      </c>
    </row>
    <row r="3137">
      <c r="A3137" s="40" t="s">
        <v>7689</v>
      </c>
      <c r="B3137" s="40" t="s">
        <v>9404</v>
      </c>
      <c r="C3137" s="41">
        <v>1.0</v>
      </c>
      <c r="D3137" s="41">
        <v>2.0</v>
      </c>
      <c r="E3137" s="43" t="str">
        <f t="shared" si="1"/>
        <v>33.3%</v>
      </c>
    </row>
    <row r="3138">
      <c r="A3138" s="40" t="s">
        <v>7689</v>
      </c>
      <c r="B3138" s="40" t="s">
        <v>9450</v>
      </c>
      <c r="C3138" s="41">
        <v>1.0</v>
      </c>
      <c r="D3138" s="41">
        <v>2.0</v>
      </c>
      <c r="E3138" s="43" t="str">
        <f t="shared" si="1"/>
        <v>33.3%</v>
      </c>
    </row>
    <row r="3139">
      <c r="A3139" s="40" t="s">
        <v>7689</v>
      </c>
      <c r="B3139" s="40" t="s">
        <v>9491</v>
      </c>
      <c r="C3139" s="41">
        <v>1.0</v>
      </c>
      <c r="D3139" s="41">
        <v>2.0</v>
      </c>
      <c r="E3139" s="43" t="str">
        <f t="shared" si="1"/>
        <v>33.3%</v>
      </c>
    </row>
    <row r="3140">
      <c r="A3140" s="40" t="s">
        <v>7689</v>
      </c>
      <c r="B3140" s="40" t="s">
        <v>9470</v>
      </c>
      <c r="C3140" s="41">
        <v>1.0</v>
      </c>
      <c r="D3140" s="41">
        <v>2.0</v>
      </c>
      <c r="E3140" s="43" t="str">
        <f t="shared" si="1"/>
        <v>33.3%</v>
      </c>
    </row>
    <row r="3141">
      <c r="A3141" s="40" t="s">
        <v>7689</v>
      </c>
      <c r="B3141" s="40" t="s">
        <v>9443</v>
      </c>
      <c r="C3141" s="41">
        <v>1.0</v>
      </c>
      <c r="D3141" s="41">
        <v>2.0</v>
      </c>
      <c r="E3141" s="43" t="str">
        <f t="shared" si="1"/>
        <v>33.3%</v>
      </c>
    </row>
    <row r="3142">
      <c r="A3142" s="40" t="s">
        <v>7689</v>
      </c>
      <c r="B3142" s="40" t="s">
        <v>9565</v>
      </c>
      <c r="C3142" s="41">
        <v>1.0</v>
      </c>
      <c r="D3142" s="41">
        <v>2.0</v>
      </c>
      <c r="E3142" s="43" t="str">
        <f t="shared" si="1"/>
        <v>33.3%</v>
      </c>
    </row>
    <row r="3143">
      <c r="A3143" s="40" t="s">
        <v>7689</v>
      </c>
      <c r="B3143" s="40" t="s">
        <v>9566</v>
      </c>
      <c r="C3143" s="41">
        <v>1.0</v>
      </c>
      <c r="D3143" s="41">
        <v>2.0</v>
      </c>
      <c r="E3143" s="43" t="str">
        <f t="shared" si="1"/>
        <v>33.3%</v>
      </c>
    </row>
    <row r="3144">
      <c r="A3144" s="40" t="s">
        <v>7689</v>
      </c>
      <c r="B3144" s="40" t="s">
        <v>9567</v>
      </c>
      <c r="C3144" s="41">
        <v>1.0</v>
      </c>
      <c r="D3144" s="41">
        <v>2.0</v>
      </c>
      <c r="E3144" s="43" t="str">
        <f t="shared" si="1"/>
        <v>33.3%</v>
      </c>
    </row>
    <row r="3145">
      <c r="A3145" s="40" t="s">
        <v>7689</v>
      </c>
      <c r="B3145" s="40" t="s">
        <v>9113</v>
      </c>
      <c r="C3145" s="41">
        <v>1.0</v>
      </c>
      <c r="D3145" s="41">
        <v>3.0</v>
      </c>
      <c r="E3145" s="43" t="str">
        <f t="shared" si="1"/>
        <v>25.0%</v>
      </c>
    </row>
    <row r="3146">
      <c r="A3146" s="40" t="s">
        <v>7689</v>
      </c>
      <c r="B3146" s="40" t="s">
        <v>9122</v>
      </c>
      <c r="C3146" s="41">
        <v>1.0</v>
      </c>
      <c r="D3146" s="41">
        <v>3.0</v>
      </c>
      <c r="E3146" s="43" t="str">
        <f t="shared" si="1"/>
        <v>25.0%</v>
      </c>
    </row>
    <row r="3147">
      <c r="A3147" s="40" t="s">
        <v>7689</v>
      </c>
      <c r="B3147" s="40" t="s">
        <v>9291</v>
      </c>
      <c r="C3147" s="41">
        <v>1.0</v>
      </c>
      <c r="D3147" s="41">
        <v>3.0</v>
      </c>
      <c r="E3147" s="43" t="str">
        <f t="shared" si="1"/>
        <v>25.0%</v>
      </c>
    </row>
    <row r="3148">
      <c r="A3148" s="40" t="s">
        <v>7689</v>
      </c>
      <c r="B3148" s="40" t="s">
        <v>9445</v>
      </c>
      <c r="C3148" s="41">
        <v>1.0</v>
      </c>
      <c r="D3148" s="41">
        <v>3.0</v>
      </c>
      <c r="E3148" s="43" t="str">
        <f t="shared" si="1"/>
        <v>25.0%</v>
      </c>
    </row>
    <row r="3149">
      <c r="A3149" s="40" t="s">
        <v>7689</v>
      </c>
      <c r="B3149" s="40" t="s">
        <v>9460</v>
      </c>
      <c r="C3149" s="41">
        <v>1.0</v>
      </c>
      <c r="D3149" s="41">
        <v>3.0</v>
      </c>
      <c r="E3149" s="43" t="str">
        <f t="shared" si="1"/>
        <v>25.0%</v>
      </c>
    </row>
    <row r="3150">
      <c r="A3150" s="40" t="s">
        <v>7689</v>
      </c>
      <c r="B3150" s="40" t="s">
        <v>9313</v>
      </c>
      <c r="C3150" s="41">
        <v>1.0</v>
      </c>
      <c r="D3150" s="41">
        <v>3.0</v>
      </c>
      <c r="E3150" s="43" t="str">
        <f t="shared" si="1"/>
        <v>25.0%</v>
      </c>
    </row>
    <row r="3151">
      <c r="A3151" s="40" t="s">
        <v>7689</v>
      </c>
      <c r="B3151" s="40" t="s">
        <v>9004</v>
      </c>
      <c r="C3151" s="41">
        <v>1.0</v>
      </c>
      <c r="D3151" s="41">
        <v>4.0</v>
      </c>
      <c r="E3151" s="43" t="str">
        <f t="shared" si="1"/>
        <v>20.0%</v>
      </c>
    </row>
    <row r="3152">
      <c r="A3152" s="40" t="s">
        <v>7689</v>
      </c>
      <c r="B3152" s="40" t="s">
        <v>9286</v>
      </c>
      <c r="C3152" s="41">
        <v>1.0</v>
      </c>
      <c r="D3152" s="41">
        <v>4.0</v>
      </c>
      <c r="E3152" s="43" t="str">
        <f t="shared" si="1"/>
        <v>20.0%</v>
      </c>
    </row>
    <row r="3153">
      <c r="A3153" s="40" t="s">
        <v>7689</v>
      </c>
      <c r="B3153" s="40" t="s">
        <v>9322</v>
      </c>
      <c r="C3153" s="41">
        <v>1.0</v>
      </c>
      <c r="D3153" s="41">
        <v>4.0</v>
      </c>
      <c r="E3153" s="43" t="str">
        <f t="shared" si="1"/>
        <v>20.0%</v>
      </c>
    </row>
    <row r="3154">
      <c r="A3154" s="40" t="s">
        <v>7689</v>
      </c>
      <c r="B3154" s="40" t="s">
        <v>9453</v>
      </c>
      <c r="C3154" s="41">
        <v>1.0</v>
      </c>
      <c r="D3154" s="41">
        <v>4.0</v>
      </c>
      <c r="E3154" s="43" t="str">
        <f t="shared" si="1"/>
        <v>20.0%</v>
      </c>
    </row>
    <row r="3155">
      <c r="A3155" s="40" t="s">
        <v>7689</v>
      </c>
      <c r="B3155" s="40" t="s">
        <v>9533</v>
      </c>
      <c r="C3155" s="41">
        <v>1.0</v>
      </c>
      <c r="D3155" s="41">
        <v>4.0</v>
      </c>
      <c r="E3155" s="43" t="str">
        <f t="shared" si="1"/>
        <v>20.0%</v>
      </c>
    </row>
    <row r="3156">
      <c r="A3156" s="40" t="s">
        <v>7689</v>
      </c>
      <c r="B3156" s="40" t="s">
        <v>9371</v>
      </c>
      <c r="C3156" s="41">
        <v>1.0</v>
      </c>
      <c r="D3156" s="41">
        <v>5.0</v>
      </c>
      <c r="E3156" s="43" t="str">
        <f t="shared" si="1"/>
        <v>16.7%</v>
      </c>
    </row>
    <row r="3157">
      <c r="A3157" s="40" t="s">
        <v>7689</v>
      </c>
      <c r="B3157" s="40" t="s">
        <v>8979</v>
      </c>
      <c r="C3157" s="41">
        <v>1.0</v>
      </c>
      <c r="D3157" s="41">
        <v>6.0</v>
      </c>
      <c r="E3157" s="43" t="str">
        <f t="shared" si="1"/>
        <v>14.3%</v>
      </c>
    </row>
    <row r="3158">
      <c r="A3158" s="40" t="s">
        <v>7689</v>
      </c>
      <c r="B3158" s="40" t="s">
        <v>9303</v>
      </c>
      <c r="C3158" s="41">
        <v>1.0</v>
      </c>
      <c r="D3158" s="41">
        <v>6.0</v>
      </c>
      <c r="E3158" s="43" t="str">
        <f t="shared" si="1"/>
        <v>14.3%</v>
      </c>
    </row>
    <row r="3159">
      <c r="A3159" s="40" t="s">
        <v>7689</v>
      </c>
      <c r="B3159" s="40" t="s">
        <v>9145</v>
      </c>
      <c r="C3159" s="41">
        <v>1.0</v>
      </c>
      <c r="D3159" s="41">
        <v>9.0</v>
      </c>
      <c r="E3159" s="43" t="str">
        <f t="shared" si="1"/>
        <v>10.0%</v>
      </c>
    </row>
    <row r="3160">
      <c r="A3160" s="40" t="s">
        <v>7689</v>
      </c>
      <c r="B3160" s="40" t="s">
        <v>8750</v>
      </c>
      <c r="C3160" s="41">
        <v>0.0</v>
      </c>
      <c r="D3160" s="41">
        <v>1.0</v>
      </c>
      <c r="E3160" s="43" t="str">
        <f t="shared" si="1"/>
        <v>0.0%</v>
      </c>
    </row>
    <row r="3161">
      <c r="A3161" s="40" t="s">
        <v>7689</v>
      </c>
      <c r="B3161" s="40" t="s">
        <v>8820</v>
      </c>
      <c r="C3161" s="41">
        <v>0.0</v>
      </c>
      <c r="D3161" s="41">
        <v>1.0</v>
      </c>
      <c r="E3161" s="43" t="str">
        <f t="shared" si="1"/>
        <v>0.0%</v>
      </c>
    </row>
    <row r="3162">
      <c r="A3162" s="40" t="s">
        <v>7689</v>
      </c>
      <c r="B3162" s="40" t="s">
        <v>8872</v>
      </c>
      <c r="C3162" s="41">
        <v>0.0</v>
      </c>
      <c r="D3162" s="41">
        <v>1.0</v>
      </c>
      <c r="E3162" s="43" t="str">
        <f t="shared" si="1"/>
        <v>0.0%</v>
      </c>
    </row>
    <row r="3163">
      <c r="A3163" s="40" t="s">
        <v>7689</v>
      </c>
      <c r="B3163" s="40" t="s">
        <v>8959</v>
      </c>
      <c r="C3163" s="41">
        <v>0.0</v>
      </c>
      <c r="D3163" s="41">
        <v>1.0</v>
      </c>
      <c r="E3163" s="43" t="str">
        <f t="shared" si="1"/>
        <v>0.0%</v>
      </c>
    </row>
    <row r="3164">
      <c r="A3164" s="40" t="s">
        <v>7689</v>
      </c>
      <c r="B3164" s="40" t="s">
        <v>9074</v>
      </c>
      <c r="C3164" s="41">
        <v>0.0</v>
      </c>
      <c r="D3164" s="41">
        <v>1.0</v>
      </c>
      <c r="E3164" s="43" t="str">
        <f t="shared" si="1"/>
        <v>0.0%</v>
      </c>
    </row>
    <row r="3165">
      <c r="A3165" s="40" t="s">
        <v>7689</v>
      </c>
      <c r="B3165" s="40" t="s">
        <v>9112</v>
      </c>
      <c r="C3165" s="41">
        <v>0.0</v>
      </c>
      <c r="D3165" s="41">
        <v>1.0</v>
      </c>
      <c r="E3165" s="43" t="str">
        <f t="shared" si="1"/>
        <v>0.0%</v>
      </c>
    </row>
    <row r="3166">
      <c r="A3166" s="40" t="s">
        <v>7689</v>
      </c>
      <c r="B3166" s="40" t="s">
        <v>9130</v>
      </c>
      <c r="C3166" s="41">
        <v>0.0</v>
      </c>
      <c r="D3166" s="41">
        <v>1.0</v>
      </c>
      <c r="E3166" s="43" t="str">
        <f t="shared" si="1"/>
        <v>0.0%</v>
      </c>
    </row>
    <row r="3167">
      <c r="A3167" s="40" t="s">
        <v>7689</v>
      </c>
      <c r="B3167" s="40" t="s">
        <v>9171</v>
      </c>
      <c r="C3167" s="41">
        <v>0.0</v>
      </c>
      <c r="D3167" s="41">
        <v>1.0</v>
      </c>
      <c r="E3167" s="43" t="str">
        <f t="shared" si="1"/>
        <v>0.0%</v>
      </c>
    </row>
    <row r="3168">
      <c r="A3168" s="40" t="s">
        <v>7689</v>
      </c>
      <c r="B3168" s="40" t="s">
        <v>9177</v>
      </c>
      <c r="C3168" s="41">
        <v>0.0</v>
      </c>
      <c r="D3168" s="41">
        <v>1.0</v>
      </c>
      <c r="E3168" s="43" t="str">
        <f t="shared" si="1"/>
        <v>0.0%</v>
      </c>
    </row>
    <row r="3169">
      <c r="A3169" s="40" t="s">
        <v>7689</v>
      </c>
      <c r="B3169" s="40" t="s">
        <v>9231</v>
      </c>
      <c r="C3169" s="41">
        <v>0.0</v>
      </c>
      <c r="D3169" s="41">
        <v>1.0</v>
      </c>
      <c r="E3169" s="43" t="str">
        <f t="shared" si="1"/>
        <v>0.0%</v>
      </c>
    </row>
    <row r="3170">
      <c r="A3170" s="40" t="s">
        <v>7689</v>
      </c>
      <c r="B3170" s="40" t="s">
        <v>9233</v>
      </c>
      <c r="C3170" s="41">
        <v>0.0</v>
      </c>
      <c r="D3170" s="41">
        <v>1.0</v>
      </c>
      <c r="E3170" s="43" t="str">
        <f t="shared" si="1"/>
        <v>0.0%</v>
      </c>
    </row>
    <row r="3171">
      <c r="A3171" s="40" t="s">
        <v>7689</v>
      </c>
      <c r="B3171" s="40" t="s">
        <v>9187</v>
      </c>
      <c r="C3171" s="41">
        <v>0.0</v>
      </c>
      <c r="D3171" s="41">
        <v>1.0</v>
      </c>
      <c r="E3171" s="43" t="str">
        <f t="shared" si="1"/>
        <v>0.0%</v>
      </c>
    </row>
    <row r="3172">
      <c r="A3172" s="40" t="s">
        <v>7689</v>
      </c>
      <c r="B3172" s="40" t="s">
        <v>9270</v>
      </c>
      <c r="C3172" s="41">
        <v>0.0</v>
      </c>
      <c r="D3172" s="41">
        <v>1.0</v>
      </c>
      <c r="E3172" s="43" t="str">
        <f t="shared" si="1"/>
        <v>0.0%</v>
      </c>
    </row>
    <row r="3173">
      <c r="A3173" s="40" t="s">
        <v>7689</v>
      </c>
      <c r="B3173" s="40" t="s">
        <v>9304</v>
      </c>
      <c r="C3173" s="41">
        <v>0.0</v>
      </c>
      <c r="D3173" s="41">
        <v>1.0</v>
      </c>
      <c r="E3173" s="43" t="str">
        <f t="shared" si="1"/>
        <v>0.0%</v>
      </c>
    </row>
    <row r="3174">
      <c r="A3174" s="40" t="s">
        <v>7689</v>
      </c>
      <c r="B3174" s="40" t="s">
        <v>9359</v>
      </c>
      <c r="C3174" s="41">
        <v>0.0</v>
      </c>
      <c r="D3174" s="41">
        <v>1.0</v>
      </c>
      <c r="E3174" s="43" t="str">
        <f t="shared" si="1"/>
        <v>0.0%</v>
      </c>
    </row>
    <row r="3175">
      <c r="A3175" s="40" t="s">
        <v>7689</v>
      </c>
      <c r="B3175" s="40" t="s">
        <v>9350</v>
      </c>
      <c r="C3175" s="41">
        <v>0.0</v>
      </c>
      <c r="D3175" s="41">
        <v>1.0</v>
      </c>
      <c r="E3175" s="43" t="str">
        <f t="shared" si="1"/>
        <v>0.0%</v>
      </c>
    </row>
    <row r="3176">
      <c r="A3176" s="40" t="s">
        <v>7689</v>
      </c>
      <c r="B3176" s="40" t="s">
        <v>9431</v>
      </c>
      <c r="C3176" s="41">
        <v>0.0</v>
      </c>
      <c r="D3176" s="41">
        <v>1.0</v>
      </c>
      <c r="E3176" s="43" t="str">
        <f t="shared" si="1"/>
        <v>0.0%</v>
      </c>
    </row>
    <row r="3177">
      <c r="A3177" s="40" t="s">
        <v>7689</v>
      </c>
      <c r="B3177" s="40" t="s">
        <v>9483</v>
      </c>
      <c r="C3177" s="41">
        <v>0.0</v>
      </c>
      <c r="D3177" s="41">
        <v>1.0</v>
      </c>
      <c r="E3177" s="43" t="str">
        <f t="shared" si="1"/>
        <v>0.0%</v>
      </c>
    </row>
    <row r="3178">
      <c r="A3178" s="40" t="s">
        <v>7689</v>
      </c>
      <c r="B3178" s="40" t="s">
        <v>9438</v>
      </c>
      <c r="C3178" s="41">
        <v>0.0</v>
      </c>
      <c r="D3178" s="41">
        <v>1.0</v>
      </c>
      <c r="E3178" s="43" t="str">
        <f t="shared" si="1"/>
        <v>0.0%</v>
      </c>
    </row>
    <row r="3179">
      <c r="A3179" s="40" t="s">
        <v>7689</v>
      </c>
      <c r="B3179" s="40" t="s">
        <v>9437</v>
      </c>
      <c r="C3179" s="41">
        <v>0.0</v>
      </c>
      <c r="D3179" s="41">
        <v>1.0</v>
      </c>
      <c r="E3179" s="43" t="str">
        <f t="shared" si="1"/>
        <v>0.0%</v>
      </c>
    </row>
    <row r="3180">
      <c r="A3180" s="40" t="s">
        <v>7689</v>
      </c>
      <c r="B3180" s="40" t="s">
        <v>9442</v>
      </c>
      <c r="C3180" s="41">
        <v>0.0</v>
      </c>
      <c r="D3180" s="41">
        <v>1.0</v>
      </c>
      <c r="E3180" s="43" t="str">
        <f t="shared" si="1"/>
        <v>0.0%</v>
      </c>
    </row>
    <row r="3181">
      <c r="A3181" s="40" t="s">
        <v>7689</v>
      </c>
      <c r="B3181" s="40" t="s">
        <v>9440</v>
      </c>
      <c r="C3181" s="41">
        <v>0.0</v>
      </c>
      <c r="D3181" s="41">
        <v>1.0</v>
      </c>
      <c r="E3181" s="43" t="str">
        <f t="shared" si="1"/>
        <v>0.0%</v>
      </c>
    </row>
    <row r="3182">
      <c r="A3182" s="40" t="s">
        <v>7689</v>
      </c>
      <c r="B3182" s="40" t="s">
        <v>9508</v>
      </c>
      <c r="C3182" s="41">
        <v>0.0</v>
      </c>
      <c r="D3182" s="41">
        <v>1.0</v>
      </c>
      <c r="E3182" s="43" t="str">
        <f t="shared" si="1"/>
        <v>0.0%</v>
      </c>
    </row>
    <row r="3183">
      <c r="A3183" s="40" t="s">
        <v>7689</v>
      </c>
      <c r="B3183" s="40" t="s">
        <v>9520</v>
      </c>
      <c r="C3183" s="41">
        <v>0.0</v>
      </c>
      <c r="D3183" s="41">
        <v>1.0</v>
      </c>
      <c r="E3183" s="43" t="str">
        <f t="shared" si="1"/>
        <v>0.0%</v>
      </c>
    </row>
    <row r="3184">
      <c r="A3184" s="40" t="s">
        <v>7689</v>
      </c>
      <c r="B3184" s="40" t="s">
        <v>9525</v>
      </c>
      <c r="C3184" s="41">
        <v>0.0</v>
      </c>
      <c r="D3184" s="41">
        <v>1.0</v>
      </c>
      <c r="E3184" s="43" t="str">
        <f t="shared" si="1"/>
        <v>0.0%</v>
      </c>
    </row>
    <row r="3185">
      <c r="A3185" s="40" t="s">
        <v>7689</v>
      </c>
      <c r="B3185" s="40" t="s">
        <v>9568</v>
      </c>
      <c r="C3185" s="41">
        <v>0.0</v>
      </c>
      <c r="D3185" s="41">
        <v>1.0</v>
      </c>
      <c r="E3185" s="43" t="str">
        <f t="shared" si="1"/>
        <v>0.0%</v>
      </c>
    </row>
    <row r="3186">
      <c r="A3186" s="40" t="s">
        <v>7689</v>
      </c>
      <c r="B3186" s="40" t="s">
        <v>9569</v>
      </c>
      <c r="C3186" s="41">
        <v>0.0</v>
      </c>
      <c r="D3186" s="41">
        <v>1.0</v>
      </c>
      <c r="E3186" s="43" t="str">
        <f t="shared" si="1"/>
        <v>0.0%</v>
      </c>
    </row>
    <row r="3187">
      <c r="A3187" s="40" t="s">
        <v>7689</v>
      </c>
      <c r="B3187" s="40" t="s">
        <v>9570</v>
      </c>
      <c r="C3187" s="41">
        <v>0.0</v>
      </c>
      <c r="D3187" s="41">
        <v>1.0</v>
      </c>
      <c r="E3187" s="43" t="str">
        <f t="shared" si="1"/>
        <v>0.0%</v>
      </c>
    </row>
    <row r="3188">
      <c r="A3188" s="40" t="s">
        <v>7689</v>
      </c>
      <c r="B3188" s="40" t="s">
        <v>9571</v>
      </c>
      <c r="C3188" s="41">
        <v>0.0</v>
      </c>
      <c r="D3188" s="41">
        <v>1.0</v>
      </c>
      <c r="E3188" s="43" t="str">
        <f t="shared" si="1"/>
        <v>0.0%</v>
      </c>
    </row>
    <row r="3189">
      <c r="A3189" s="40" t="s">
        <v>7689</v>
      </c>
      <c r="B3189" s="40" t="s">
        <v>9572</v>
      </c>
      <c r="C3189" s="41">
        <v>0.0</v>
      </c>
      <c r="D3189" s="41">
        <v>1.0</v>
      </c>
      <c r="E3189" s="43" t="str">
        <f t="shared" si="1"/>
        <v>0.0%</v>
      </c>
    </row>
    <row r="3190">
      <c r="A3190" s="40" t="s">
        <v>7689</v>
      </c>
      <c r="B3190" s="40" t="s">
        <v>9355</v>
      </c>
      <c r="C3190" s="41">
        <v>0.0</v>
      </c>
      <c r="D3190" s="41">
        <v>1.0</v>
      </c>
      <c r="E3190" s="43" t="str">
        <f t="shared" si="1"/>
        <v>0.0%</v>
      </c>
    </row>
    <row r="3191">
      <c r="A3191" s="40" t="s">
        <v>7689</v>
      </c>
      <c r="B3191" s="40" t="s">
        <v>9573</v>
      </c>
      <c r="C3191" s="41">
        <v>0.0</v>
      </c>
      <c r="D3191" s="41">
        <v>1.0</v>
      </c>
      <c r="E3191" s="43" t="str">
        <f t="shared" si="1"/>
        <v>0.0%</v>
      </c>
    </row>
    <row r="3192">
      <c r="A3192" s="40" t="s">
        <v>7689</v>
      </c>
      <c r="B3192" s="40" t="s">
        <v>9574</v>
      </c>
      <c r="C3192" s="41">
        <v>0.0</v>
      </c>
      <c r="D3192" s="41">
        <v>1.0</v>
      </c>
      <c r="E3192" s="43" t="str">
        <f t="shared" si="1"/>
        <v>0.0%</v>
      </c>
    </row>
    <row r="3193">
      <c r="A3193" s="40" t="s">
        <v>7689</v>
      </c>
      <c r="B3193" s="40" t="s">
        <v>9575</v>
      </c>
      <c r="C3193" s="41">
        <v>0.0</v>
      </c>
      <c r="D3193" s="41">
        <v>1.0</v>
      </c>
      <c r="E3193" s="43" t="str">
        <f t="shared" si="1"/>
        <v>0.0%</v>
      </c>
    </row>
    <row r="3194">
      <c r="A3194" s="40" t="s">
        <v>7689</v>
      </c>
      <c r="B3194" s="40" t="s">
        <v>9576</v>
      </c>
      <c r="C3194" s="41">
        <v>0.0</v>
      </c>
      <c r="D3194" s="41">
        <v>1.0</v>
      </c>
      <c r="E3194" s="43" t="str">
        <f t="shared" si="1"/>
        <v>0.0%</v>
      </c>
    </row>
    <row r="3195">
      <c r="A3195" s="40" t="s">
        <v>7689</v>
      </c>
      <c r="B3195" s="40" t="s">
        <v>9577</v>
      </c>
      <c r="C3195" s="41">
        <v>0.0</v>
      </c>
      <c r="D3195" s="41">
        <v>1.0</v>
      </c>
      <c r="E3195" s="43" t="str">
        <f t="shared" si="1"/>
        <v>0.0%</v>
      </c>
    </row>
    <row r="3196">
      <c r="A3196" s="40" t="s">
        <v>7689</v>
      </c>
      <c r="B3196" s="40" t="s">
        <v>9578</v>
      </c>
      <c r="C3196" s="41">
        <v>0.0</v>
      </c>
      <c r="D3196" s="41">
        <v>1.0</v>
      </c>
      <c r="E3196" s="43" t="str">
        <f t="shared" si="1"/>
        <v>0.0%</v>
      </c>
    </row>
    <row r="3197">
      <c r="A3197" s="40" t="s">
        <v>7689</v>
      </c>
      <c r="B3197" s="40" t="s">
        <v>9579</v>
      </c>
      <c r="C3197" s="41">
        <v>0.0</v>
      </c>
      <c r="D3197" s="41">
        <v>1.0</v>
      </c>
      <c r="E3197" s="43" t="str">
        <f t="shared" si="1"/>
        <v>0.0%</v>
      </c>
    </row>
    <row r="3198">
      <c r="A3198" s="40" t="s">
        <v>7689</v>
      </c>
      <c r="B3198" s="40" t="s">
        <v>8853</v>
      </c>
      <c r="C3198" s="41">
        <v>0.0</v>
      </c>
      <c r="D3198" s="41">
        <v>2.0</v>
      </c>
      <c r="E3198" s="43" t="str">
        <f t="shared" si="1"/>
        <v>0.0%</v>
      </c>
    </row>
    <row r="3199">
      <c r="A3199" s="40" t="s">
        <v>7689</v>
      </c>
      <c r="B3199" s="40" t="s">
        <v>8990</v>
      </c>
      <c r="C3199" s="41">
        <v>0.0</v>
      </c>
      <c r="D3199" s="41">
        <v>2.0</v>
      </c>
      <c r="E3199" s="43" t="str">
        <f t="shared" si="1"/>
        <v>0.0%</v>
      </c>
    </row>
    <row r="3200">
      <c r="A3200" s="40" t="s">
        <v>7689</v>
      </c>
      <c r="B3200" s="40" t="s">
        <v>9238</v>
      </c>
      <c r="C3200" s="41">
        <v>0.0</v>
      </c>
      <c r="D3200" s="41">
        <v>2.0</v>
      </c>
      <c r="E3200" s="43" t="str">
        <f t="shared" si="1"/>
        <v>0.0%</v>
      </c>
    </row>
    <row r="3201">
      <c r="A3201" s="40" t="s">
        <v>7689</v>
      </c>
      <c r="B3201" s="40" t="s">
        <v>9219</v>
      </c>
      <c r="C3201" s="41">
        <v>0.0</v>
      </c>
      <c r="D3201" s="41">
        <v>2.0</v>
      </c>
      <c r="E3201" s="43" t="str">
        <f t="shared" si="1"/>
        <v>0.0%</v>
      </c>
    </row>
    <row r="3202">
      <c r="A3202" s="40" t="s">
        <v>7689</v>
      </c>
      <c r="B3202" s="40" t="s">
        <v>9243</v>
      </c>
      <c r="C3202" s="41">
        <v>0.0</v>
      </c>
      <c r="D3202" s="41">
        <v>2.0</v>
      </c>
      <c r="E3202" s="43" t="str">
        <f t="shared" si="1"/>
        <v>0.0%</v>
      </c>
    </row>
    <row r="3203">
      <c r="A3203" s="40" t="s">
        <v>7689</v>
      </c>
      <c r="B3203" s="40" t="s">
        <v>9320</v>
      </c>
      <c r="C3203" s="41">
        <v>0.0</v>
      </c>
      <c r="D3203" s="41">
        <v>2.0</v>
      </c>
      <c r="E3203" s="43" t="str">
        <f t="shared" si="1"/>
        <v>0.0%</v>
      </c>
    </row>
    <row r="3204">
      <c r="A3204" s="40" t="s">
        <v>7689</v>
      </c>
      <c r="B3204" s="40" t="s">
        <v>9406</v>
      </c>
      <c r="C3204" s="41">
        <v>0.0</v>
      </c>
      <c r="D3204" s="41">
        <v>2.0</v>
      </c>
      <c r="E3204" s="43" t="str">
        <f t="shared" si="1"/>
        <v>0.0%</v>
      </c>
    </row>
    <row r="3205">
      <c r="A3205" s="40" t="s">
        <v>7689</v>
      </c>
      <c r="B3205" s="40" t="s">
        <v>9446</v>
      </c>
      <c r="C3205" s="41">
        <v>0.0</v>
      </c>
      <c r="D3205" s="41">
        <v>2.0</v>
      </c>
      <c r="E3205" s="43" t="str">
        <f t="shared" si="1"/>
        <v>0.0%</v>
      </c>
    </row>
    <row r="3206">
      <c r="A3206" s="40" t="s">
        <v>7689</v>
      </c>
      <c r="B3206" s="40" t="s">
        <v>9433</v>
      </c>
      <c r="C3206" s="41">
        <v>0.0</v>
      </c>
      <c r="D3206" s="41">
        <v>2.0</v>
      </c>
      <c r="E3206" s="43" t="str">
        <f t="shared" si="1"/>
        <v>0.0%</v>
      </c>
    </row>
    <row r="3207">
      <c r="A3207" s="40" t="s">
        <v>7689</v>
      </c>
      <c r="B3207" s="40" t="s">
        <v>9526</v>
      </c>
      <c r="C3207" s="41">
        <v>0.0</v>
      </c>
      <c r="D3207" s="41">
        <v>2.0</v>
      </c>
      <c r="E3207" s="43" t="str">
        <f t="shared" si="1"/>
        <v>0.0%</v>
      </c>
    </row>
    <row r="3208">
      <c r="A3208" s="40" t="s">
        <v>7689</v>
      </c>
      <c r="B3208" s="40" t="s">
        <v>9580</v>
      </c>
      <c r="C3208" s="41">
        <v>0.0</v>
      </c>
      <c r="D3208" s="41">
        <v>2.0</v>
      </c>
      <c r="E3208" s="43" t="str">
        <f t="shared" si="1"/>
        <v>0.0%</v>
      </c>
    </row>
    <row r="3209">
      <c r="A3209" s="40" t="s">
        <v>7689</v>
      </c>
      <c r="B3209" s="40" t="s">
        <v>9581</v>
      </c>
      <c r="C3209" s="41">
        <v>0.0</v>
      </c>
      <c r="D3209" s="41">
        <v>2.0</v>
      </c>
      <c r="E3209" s="43" t="str">
        <f t="shared" si="1"/>
        <v>0.0%</v>
      </c>
    </row>
    <row r="3210">
      <c r="A3210" s="40" t="s">
        <v>7689</v>
      </c>
      <c r="B3210" s="40" t="s">
        <v>9582</v>
      </c>
      <c r="C3210" s="41">
        <v>0.0</v>
      </c>
      <c r="D3210" s="41">
        <v>2.0</v>
      </c>
      <c r="E3210" s="43" t="str">
        <f t="shared" si="1"/>
        <v>0.0%</v>
      </c>
    </row>
    <row r="3211">
      <c r="A3211" s="40" t="s">
        <v>7689</v>
      </c>
      <c r="B3211" s="40" t="s">
        <v>9232</v>
      </c>
      <c r="C3211" s="41">
        <v>0.0</v>
      </c>
      <c r="D3211" s="41">
        <v>3.0</v>
      </c>
      <c r="E3211" s="43" t="str">
        <f t="shared" si="1"/>
        <v>0.0%</v>
      </c>
    </row>
    <row r="3212">
      <c r="A3212" s="40" t="s">
        <v>7689</v>
      </c>
      <c r="B3212" s="40" t="s">
        <v>9467</v>
      </c>
      <c r="C3212" s="41">
        <v>0.0</v>
      </c>
      <c r="D3212" s="41">
        <v>3.0</v>
      </c>
      <c r="E3212" s="43" t="str">
        <f t="shared" si="1"/>
        <v>0.0%</v>
      </c>
    </row>
    <row r="3213">
      <c r="A3213" s="40" t="s">
        <v>7689</v>
      </c>
      <c r="B3213" s="40" t="s">
        <v>9465</v>
      </c>
      <c r="C3213" s="41">
        <v>0.0</v>
      </c>
      <c r="D3213" s="41">
        <v>3.0</v>
      </c>
      <c r="E3213" s="43" t="str">
        <f t="shared" si="1"/>
        <v>0.0%</v>
      </c>
    </row>
    <row r="3214">
      <c r="A3214" s="40" t="s">
        <v>7689</v>
      </c>
      <c r="B3214" s="40" t="s">
        <v>9334</v>
      </c>
      <c r="C3214" s="41">
        <v>0.0</v>
      </c>
      <c r="D3214" s="41">
        <v>3.0</v>
      </c>
      <c r="E3214" s="43" t="str">
        <f t="shared" si="1"/>
        <v>0.0%</v>
      </c>
    </row>
    <row r="3215">
      <c r="A3215" s="40" t="s">
        <v>7689</v>
      </c>
      <c r="B3215" s="40" t="s">
        <v>9370</v>
      </c>
      <c r="C3215" s="41">
        <v>0.0</v>
      </c>
      <c r="D3215" s="41">
        <v>3.0</v>
      </c>
      <c r="E3215" s="43" t="str">
        <f t="shared" si="1"/>
        <v>0.0%</v>
      </c>
    </row>
    <row r="3216">
      <c r="A3216" s="40" t="s">
        <v>7689</v>
      </c>
      <c r="B3216" s="40" t="s">
        <v>9332</v>
      </c>
      <c r="C3216" s="41">
        <v>0.0</v>
      </c>
      <c r="D3216" s="41">
        <v>3.0</v>
      </c>
      <c r="E3216" s="43" t="str">
        <f t="shared" si="1"/>
        <v>0.0%</v>
      </c>
    </row>
    <row r="3217">
      <c r="A3217" s="40" t="s">
        <v>7689</v>
      </c>
      <c r="B3217" s="40" t="s">
        <v>9156</v>
      </c>
      <c r="C3217" s="41">
        <v>0.0</v>
      </c>
      <c r="D3217" s="41">
        <v>4.0</v>
      </c>
      <c r="E3217" s="43" t="str">
        <f t="shared" si="1"/>
        <v>0.0%</v>
      </c>
    </row>
    <row r="3218">
      <c r="A3218" s="40" t="s">
        <v>7689</v>
      </c>
      <c r="B3218" s="40" t="s">
        <v>9222</v>
      </c>
      <c r="C3218" s="41">
        <v>0.0</v>
      </c>
      <c r="D3218" s="41">
        <v>4.0</v>
      </c>
      <c r="E3218" s="43" t="str">
        <f t="shared" si="1"/>
        <v>0.0%</v>
      </c>
    </row>
    <row r="3219">
      <c r="A3219" s="40" t="s">
        <v>7689</v>
      </c>
      <c r="B3219" s="40" t="s">
        <v>9368</v>
      </c>
      <c r="C3219" s="41">
        <v>0.0</v>
      </c>
      <c r="D3219" s="41">
        <v>4.0</v>
      </c>
      <c r="E3219" s="43" t="str">
        <f t="shared" si="1"/>
        <v>0.0%</v>
      </c>
    </row>
    <row r="3220">
      <c r="A3220" s="40" t="s">
        <v>8266</v>
      </c>
      <c r="B3220" s="40" t="s">
        <v>8501</v>
      </c>
      <c r="C3220" s="41">
        <v>4.0</v>
      </c>
      <c r="D3220" s="41">
        <v>1.0</v>
      </c>
      <c r="E3220" s="43" t="str">
        <f t="shared" si="1"/>
        <v>80.0%</v>
      </c>
    </row>
    <row r="3221">
      <c r="A3221" s="40" t="s">
        <v>8266</v>
      </c>
      <c r="B3221" s="40" t="s">
        <v>8530</v>
      </c>
      <c r="C3221" s="41">
        <v>9.0</v>
      </c>
      <c r="D3221" s="41">
        <v>4.0</v>
      </c>
      <c r="E3221" s="43" t="str">
        <f t="shared" si="1"/>
        <v>69.2%</v>
      </c>
    </row>
    <row r="3222">
      <c r="A3222" s="40" t="s">
        <v>8266</v>
      </c>
      <c r="B3222" s="40" t="s">
        <v>8491</v>
      </c>
      <c r="C3222" s="41">
        <v>9.0</v>
      </c>
      <c r="D3222" s="41">
        <v>1.0</v>
      </c>
      <c r="E3222" s="43" t="str">
        <f t="shared" si="1"/>
        <v>90.0%</v>
      </c>
    </row>
    <row r="3223">
      <c r="A3223" s="40" t="s">
        <v>8266</v>
      </c>
      <c r="B3223" s="40" t="s">
        <v>8483</v>
      </c>
      <c r="C3223" s="41">
        <v>1.0</v>
      </c>
      <c r="D3223" s="41">
        <v>0.0</v>
      </c>
      <c r="E3223" s="43" t="str">
        <f t="shared" si="1"/>
        <v>100.0%</v>
      </c>
    </row>
    <row r="3224">
      <c r="A3224" s="40" t="s">
        <v>8266</v>
      </c>
      <c r="B3224" s="40" t="s">
        <v>8496</v>
      </c>
      <c r="C3224" s="41">
        <v>8.0</v>
      </c>
      <c r="D3224" s="41">
        <v>4.0</v>
      </c>
      <c r="E3224" s="43" t="str">
        <f t="shared" si="1"/>
        <v>66.7%</v>
      </c>
    </row>
    <row r="3225">
      <c r="A3225" s="40" t="s">
        <v>8266</v>
      </c>
      <c r="B3225" s="40" t="s">
        <v>8490</v>
      </c>
      <c r="C3225" s="41">
        <v>8.0</v>
      </c>
      <c r="D3225" s="41">
        <v>8.0</v>
      </c>
      <c r="E3225" s="43" t="str">
        <f t="shared" si="1"/>
        <v>50.0%</v>
      </c>
    </row>
    <row r="3226">
      <c r="A3226" s="40" t="s">
        <v>8266</v>
      </c>
      <c r="B3226" s="40" t="s">
        <v>8500</v>
      </c>
      <c r="C3226" s="41">
        <v>6.0</v>
      </c>
      <c r="D3226" s="41">
        <v>2.0</v>
      </c>
      <c r="E3226" s="43" t="str">
        <f t="shared" si="1"/>
        <v>75.0%</v>
      </c>
    </row>
    <row r="3227">
      <c r="A3227" s="40" t="s">
        <v>8266</v>
      </c>
      <c r="B3227" s="40" t="s">
        <v>8520</v>
      </c>
      <c r="C3227" s="41">
        <v>7.0</v>
      </c>
      <c r="D3227" s="41">
        <v>0.0</v>
      </c>
      <c r="E3227" s="43" t="str">
        <f t="shared" si="1"/>
        <v>100.0%</v>
      </c>
    </row>
    <row r="3228">
      <c r="A3228" s="40" t="s">
        <v>8266</v>
      </c>
      <c r="B3228" s="40" t="s">
        <v>8495</v>
      </c>
      <c r="C3228" s="41">
        <v>6.0</v>
      </c>
      <c r="D3228" s="41">
        <v>7.0</v>
      </c>
      <c r="E3228" s="43" t="str">
        <f t="shared" si="1"/>
        <v>46.2%</v>
      </c>
    </row>
    <row r="3229">
      <c r="A3229" s="40" t="s">
        <v>8266</v>
      </c>
      <c r="B3229" s="40" t="s">
        <v>8485</v>
      </c>
      <c r="C3229" s="41">
        <v>2.0</v>
      </c>
      <c r="D3229" s="41">
        <v>0.0</v>
      </c>
      <c r="E3229" s="43" t="str">
        <f t="shared" si="1"/>
        <v>100.0%</v>
      </c>
    </row>
    <row r="3230">
      <c r="A3230" s="40" t="s">
        <v>8266</v>
      </c>
      <c r="B3230" s="40" t="s">
        <v>8484</v>
      </c>
      <c r="C3230" s="41">
        <v>1.0</v>
      </c>
      <c r="D3230" s="41">
        <v>0.0</v>
      </c>
      <c r="E3230" s="43" t="str">
        <f t="shared" si="1"/>
        <v>100.0%</v>
      </c>
    </row>
    <row r="3231">
      <c r="A3231" s="40" t="s">
        <v>8266</v>
      </c>
      <c r="B3231" s="40" t="s">
        <v>8513</v>
      </c>
      <c r="C3231" s="41">
        <v>0.0</v>
      </c>
      <c r="D3231" s="41">
        <v>1.0</v>
      </c>
      <c r="E3231" s="43" t="str">
        <f t="shared" si="1"/>
        <v>0.0%</v>
      </c>
    </row>
    <row r="3232">
      <c r="A3232" s="40" t="s">
        <v>8266</v>
      </c>
      <c r="B3232" s="40" t="s">
        <v>8614</v>
      </c>
      <c r="C3232" s="41">
        <v>0.0</v>
      </c>
      <c r="D3232" s="41">
        <v>1.0</v>
      </c>
      <c r="E3232" s="43" t="str">
        <f t="shared" si="1"/>
        <v>0.0%</v>
      </c>
    </row>
    <row r="3233">
      <c r="A3233" s="40" t="s">
        <v>8266</v>
      </c>
      <c r="B3233" s="40" t="s">
        <v>8527</v>
      </c>
      <c r="C3233" s="41">
        <v>0.0</v>
      </c>
      <c r="D3233" s="41">
        <v>1.0</v>
      </c>
      <c r="E3233" s="43" t="str">
        <f t="shared" si="1"/>
        <v>0.0%</v>
      </c>
    </row>
    <row r="3234">
      <c r="A3234" s="40" t="s">
        <v>8266</v>
      </c>
      <c r="B3234" s="40" t="s">
        <v>8545</v>
      </c>
      <c r="C3234" s="41">
        <v>1.0</v>
      </c>
      <c r="D3234" s="41">
        <v>1.0</v>
      </c>
      <c r="E3234" s="43" t="str">
        <f t="shared" si="1"/>
        <v>50.0%</v>
      </c>
    </row>
    <row r="3235">
      <c r="A3235" s="40" t="s">
        <v>8266</v>
      </c>
      <c r="B3235" s="40" t="s">
        <v>8660</v>
      </c>
      <c r="C3235" s="41">
        <v>2.0</v>
      </c>
      <c r="D3235" s="41">
        <v>0.0</v>
      </c>
      <c r="E3235" s="43" t="str">
        <f t="shared" si="1"/>
        <v>100.0%</v>
      </c>
    </row>
    <row r="3236">
      <c r="A3236" s="40" t="s">
        <v>8266</v>
      </c>
      <c r="B3236" s="40" t="s">
        <v>8720</v>
      </c>
      <c r="C3236" s="41">
        <v>5.0</v>
      </c>
      <c r="D3236" s="41">
        <v>1.0</v>
      </c>
      <c r="E3236" s="43" t="str">
        <f t="shared" si="1"/>
        <v>83.3%</v>
      </c>
    </row>
    <row r="3237">
      <c r="A3237" s="40" t="s">
        <v>8266</v>
      </c>
      <c r="B3237" s="40" t="s">
        <v>8698</v>
      </c>
      <c r="C3237" s="41">
        <v>5.0</v>
      </c>
      <c r="D3237" s="41">
        <v>3.0</v>
      </c>
      <c r="E3237" s="43" t="str">
        <f t="shared" si="1"/>
        <v>62.5%</v>
      </c>
    </row>
    <row r="3238">
      <c r="A3238" s="40" t="s">
        <v>8266</v>
      </c>
      <c r="B3238" s="40" t="s">
        <v>8805</v>
      </c>
      <c r="C3238" s="41">
        <v>3.0</v>
      </c>
      <c r="D3238" s="41">
        <v>0.0</v>
      </c>
      <c r="E3238" s="43" t="str">
        <f t="shared" si="1"/>
        <v>100.0%</v>
      </c>
    </row>
    <row r="3239">
      <c r="A3239" s="40" t="s">
        <v>8266</v>
      </c>
      <c r="B3239" s="40" t="s">
        <v>8682</v>
      </c>
      <c r="C3239" s="41">
        <v>2.0</v>
      </c>
      <c r="D3239" s="41">
        <v>6.0</v>
      </c>
      <c r="E3239" s="43" t="str">
        <f t="shared" si="1"/>
        <v>25.0%</v>
      </c>
    </row>
    <row r="3240">
      <c r="A3240" s="40" t="s">
        <v>8266</v>
      </c>
      <c r="B3240" s="40" t="s">
        <v>8738</v>
      </c>
      <c r="C3240" s="41">
        <v>3.0</v>
      </c>
      <c r="D3240" s="41">
        <v>3.0</v>
      </c>
      <c r="E3240" s="43" t="str">
        <f t="shared" si="1"/>
        <v>50.0%</v>
      </c>
    </row>
    <row r="3241">
      <c r="A3241" s="40" t="s">
        <v>8266</v>
      </c>
      <c r="B3241" s="40" t="s">
        <v>8773</v>
      </c>
      <c r="C3241" s="41">
        <v>8.0</v>
      </c>
      <c r="D3241" s="41">
        <v>7.0</v>
      </c>
      <c r="E3241" s="43" t="str">
        <f t="shared" si="1"/>
        <v>53.3%</v>
      </c>
    </row>
    <row r="3242">
      <c r="A3242" s="40" t="s">
        <v>8266</v>
      </c>
      <c r="B3242" s="40" t="s">
        <v>8876</v>
      </c>
      <c r="C3242" s="41">
        <v>4.0</v>
      </c>
      <c r="D3242" s="41">
        <v>3.0</v>
      </c>
      <c r="E3242" s="43" t="str">
        <f t="shared" si="1"/>
        <v>57.1%</v>
      </c>
    </row>
    <row r="3243">
      <c r="A3243" s="40" t="s">
        <v>8266</v>
      </c>
      <c r="B3243" s="40" t="s">
        <v>8826</v>
      </c>
      <c r="C3243" s="41">
        <v>3.0</v>
      </c>
      <c r="D3243" s="41">
        <v>5.0</v>
      </c>
      <c r="E3243" s="43" t="str">
        <f t="shared" si="1"/>
        <v>37.5%</v>
      </c>
    </row>
    <row r="3244">
      <c r="A3244" s="40" t="s">
        <v>8266</v>
      </c>
      <c r="B3244" s="40" t="s">
        <v>8828</v>
      </c>
      <c r="C3244" s="41">
        <v>5.0</v>
      </c>
      <c r="D3244" s="41">
        <v>8.0</v>
      </c>
      <c r="E3244" s="43" t="str">
        <f t="shared" si="1"/>
        <v>38.5%</v>
      </c>
    </row>
    <row r="3245">
      <c r="A3245" s="40" t="s">
        <v>8266</v>
      </c>
      <c r="B3245" s="40" t="s">
        <v>8824</v>
      </c>
      <c r="C3245" s="41">
        <v>1.0</v>
      </c>
      <c r="D3245" s="41">
        <v>0.0</v>
      </c>
      <c r="E3245" s="43" t="str">
        <f t="shared" si="1"/>
        <v>100.0%</v>
      </c>
    </row>
    <row r="3246">
      <c r="A3246" s="40" t="s">
        <v>8266</v>
      </c>
      <c r="B3246" s="40" t="s">
        <v>8881</v>
      </c>
      <c r="C3246" s="41">
        <v>1.0</v>
      </c>
      <c r="D3246" s="41">
        <v>15.0</v>
      </c>
      <c r="E3246" s="43" t="str">
        <f t="shared" si="1"/>
        <v>6.3%</v>
      </c>
    </row>
    <row r="3247">
      <c r="A3247" s="40" t="s">
        <v>8266</v>
      </c>
      <c r="B3247" s="40" t="s">
        <v>8907</v>
      </c>
      <c r="C3247" s="41">
        <v>2.0</v>
      </c>
      <c r="D3247" s="41">
        <v>3.0</v>
      </c>
      <c r="E3247" s="43" t="str">
        <f t="shared" si="1"/>
        <v>40.0%</v>
      </c>
    </row>
    <row r="3248">
      <c r="A3248" s="40" t="s">
        <v>8266</v>
      </c>
      <c r="B3248" s="40" t="s">
        <v>8909</v>
      </c>
      <c r="C3248" s="41">
        <v>3.0</v>
      </c>
      <c r="D3248" s="41">
        <v>0.0</v>
      </c>
      <c r="E3248" s="43" t="str">
        <f t="shared" si="1"/>
        <v>100.0%</v>
      </c>
    </row>
    <row r="3249">
      <c r="A3249" s="40" t="s">
        <v>8266</v>
      </c>
      <c r="B3249" s="40" t="s">
        <v>8899</v>
      </c>
      <c r="C3249" s="41">
        <v>0.0</v>
      </c>
      <c r="D3249" s="41">
        <v>2.0</v>
      </c>
      <c r="E3249" s="43" t="str">
        <f t="shared" si="1"/>
        <v>0.0%</v>
      </c>
    </row>
    <row r="3250">
      <c r="A3250" s="40" t="s">
        <v>8266</v>
      </c>
      <c r="B3250" s="40" t="s">
        <v>8888</v>
      </c>
      <c r="C3250" s="41">
        <v>1.0</v>
      </c>
      <c r="D3250" s="41">
        <v>2.0</v>
      </c>
      <c r="E3250" s="43" t="str">
        <f t="shared" si="1"/>
        <v>33.3%</v>
      </c>
    </row>
    <row r="3251">
      <c r="A3251" s="40" t="s">
        <v>8266</v>
      </c>
      <c r="B3251" s="40" t="s">
        <v>8944</v>
      </c>
      <c r="C3251" s="41">
        <v>1.0</v>
      </c>
      <c r="D3251" s="41">
        <v>0.0</v>
      </c>
      <c r="E3251" s="43" t="str">
        <f t="shared" si="1"/>
        <v>100.0%</v>
      </c>
    </row>
    <row r="3252">
      <c r="A3252" s="40" t="s">
        <v>8266</v>
      </c>
      <c r="B3252" s="40" t="s">
        <v>8916</v>
      </c>
      <c r="C3252" s="41">
        <v>1.0</v>
      </c>
      <c r="D3252" s="41">
        <v>0.0</v>
      </c>
      <c r="E3252" s="43" t="str">
        <f t="shared" si="1"/>
        <v>100.0%</v>
      </c>
    </row>
    <row r="3253">
      <c r="A3253" s="40" t="s">
        <v>8266</v>
      </c>
      <c r="B3253" s="40" t="s">
        <v>8923</v>
      </c>
      <c r="C3253" s="41">
        <v>4.0</v>
      </c>
      <c r="D3253" s="41">
        <v>1.0</v>
      </c>
      <c r="E3253" s="43" t="str">
        <f t="shared" si="1"/>
        <v>80.0%</v>
      </c>
    </row>
    <row r="3254">
      <c r="A3254" s="40" t="s">
        <v>8266</v>
      </c>
      <c r="B3254" s="40" t="s">
        <v>8921</v>
      </c>
      <c r="C3254" s="41">
        <v>6.0</v>
      </c>
      <c r="D3254" s="41">
        <v>1.0</v>
      </c>
      <c r="E3254" s="43" t="str">
        <f t="shared" si="1"/>
        <v>85.7%</v>
      </c>
    </row>
    <row r="3255">
      <c r="A3255" s="40" t="s">
        <v>8266</v>
      </c>
      <c r="B3255" s="40" t="s">
        <v>8929</v>
      </c>
      <c r="C3255" s="41">
        <v>3.0</v>
      </c>
      <c r="D3255" s="41">
        <v>2.0</v>
      </c>
      <c r="E3255" s="43" t="str">
        <f t="shared" si="1"/>
        <v>60.0%</v>
      </c>
    </row>
    <row r="3256">
      <c r="A3256" s="40" t="s">
        <v>8266</v>
      </c>
      <c r="B3256" s="40" t="s">
        <v>8956</v>
      </c>
      <c r="C3256" s="41">
        <v>2.0</v>
      </c>
      <c r="D3256" s="41">
        <v>2.0</v>
      </c>
      <c r="E3256" s="43" t="str">
        <f t="shared" si="1"/>
        <v>50.0%</v>
      </c>
    </row>
    <row r="3257">
      <c r="A3257" s="40" t="s">
        <v>8266</v>
      </c>
      <c r="B3257" s="40" t="s">
        <v>8957</v>
      </c>
      <c r="C3257" s="41">
        <v>8.0</v>
      </c>
      <c r="D3257" s="41">
        <v>1.0</v>
      </c>
      <c r="E3257" s="43" t="str">
        <f t="shared" si="1"/>
        <v>88.9%</v>
      </c>
    </row>
    <row r="3258">
      <c r="A3258" s="40" t="s">
        <v>8266</v>
      </c>
      <c r="B3258" s="40" t="s">
        <v>8950</v>
      </c>
      <c r="C3258" s="41">
        <v>1.0</v>
      </c>
      <c r="D3258" s="41">
        <v>0.0</v>
      </c>
      <c r="E3258" s="43" t="str">
        <f t="shared" si="1"/>
        <v>100.0%</v>
      </c>
    </row>
    <row r="3259">
      <c r="A3259" s="40" t="s">
        <v>8266</v>
      </c>
      <c r="B3259" s="40" t="s">
        <v>8948</v>
      </c>
      <c r="C3259" s="41">
        <v>0.0</v>
      </c>
      <c r="D3259" s="41">
        <v>3.0</v>
      </c>
      <c r="E3259" s="43" t="str">
        <f t="shared" si="1"/>
        <v>0.0%</v>
      </c>
    </row>
    <row r="3260">
      <c r="A3260" s="40" t="s">
        <v>8266</v>
      </c>
      <c r="B3260" s="40" t="s">
        <v>8951</v>
      </c>
      <c r="C3260" s="41">
        <v>1.0</v>
      </c>
      <c r="D3260" s="41">
        <v>4.0</v>
      </c>
      <c r="E3260" s="43" t="str">
        <f t="shared" si="1"/>
        <v>20.0%</v>
      </c>
    </row>
    <row r="3261">
      <c r="A3261" s="40" t="s">
        <v>8266</v>
      </c>
      <c r="B3261" s="40" t="s">
        <v>8959</v>
      </c>
      <c r="C3261" s="41">
        <v>2.0</v>
      </c>
      <c r="D3261" s="41">
        <v>1.0</v>
      </c>
      <c r="E3261" s="43" t="str">
        <f t="shared" si="1"/>
        <v>66.7%</v>
      </c>
    </row>
    <row r="3262">
      <c r="A3262" s="40" t="s">
        <v>8266</v>
      </c>
      <c r="B3262" s="40" t="s">
        <v>8963</v>
      </c>
      <c r="C3262" s="41">
        <v>4.0</v>
      </c>
      <c r="D3262" s="41">
        <v>0.0</v>
      </c>
      <c r="E3262" s="43" t="str">
        <f t="shared" si="1"/>
        <v>100.0%</v>
      </c>
    </row>
    <row r="3263">
      <c r="A3263" s="40" t="s">
        <v>8266</v>
      </c>
      <c r="B3263" s="40" t="s">
        <v>8980</v>
      </c>
      <c r="C3263" s="41">
        <v>4.0</v>
      </c>
      <c r="D3263" s="41">
        <v>2.0</v>
      </c>
      <c r="E3263" s="43" t="str">
        <f t="shared" si="1"/>
        <v>66.7%</v>
      </c>
    </row>
    <row r="3264">
      <c r="A3264" s="40" t="s">
        <v>8266</v>
      </c>
      <c r="B3264" s="40" t="s">
        <v>8979</v>
      </c>
      <c r="C3264" s="41">
        <v>5.0</v>
      </c>
      <c r="D3264" s="41">
        <v>8.0</v>
      </c>
      <c r="E3264" s="43" t="str">
        <f t="shared" si="1"/>
        <v>38.5%</v>
      </c>
    </row>
    <row r="3265">
      <c r="A3265" s="40" t="s">
        <v>8266</v>
      </c>
      <c r="B3265" s="40" t="s">
        <v>9002</v>
      </c>
      <c r="C3265" s="41">
        <v>3.0</v>
      </c>
      <c r="D3265" s="41">
        <v>3.0</v>
      </c>
      <c r="E3265" s="43" t="str">
        <f t="shared" si="1"/>
        <v>50.0%</v>
      </c>
    </row>
    <row r="3266">
      <c r="A3266" s="40" t="s">
        <v>8266</v>
      </c>
      <c r="B3266" s="40" t="s">
        <v>9004</v>
      </c>
      <c r="C3266" s="41">
        <v>0.0</v>
      </c>
      <c r="D3266" s="41">
        <v>2.0</v>
      </c>
      <c r="E3266" s="43" t="str">
        <f t="shared" si="1"/>
        <v>0.0%</v>
      </c>
    </row>
    <row r="3267">
      <c r="A3267" s="40" t="s">
        <v>8266</v>
      </c>
      <c r="B3267" s="40" t="s">
        <v>8998</v>
      </c>
      <c r="C3267" s="41">
        <v>1.0</v>
      </c>
      <c r="D3267" s="41">
        <v>0.0</v>
      </c>
      <c r="E3267" s="43" t="str">
        <f t="shared" si="1"/>
        <v>100.0%</v>
      </c>
    </row>
    <row r="3268">
      <c r="A3268" s="40" t="s">
        <v>8266</v>
      </c>
      <c r="B3268" s="40" t="s">
        <v>8993</v>
      </c>
      <c r="C3268" s="41">
        <v>3.0</v>
      </c>
      <c r="D3268" s="41">
        <v>6.0</v>
      </c>
      <c r="E3268" s="43" t="str">
        <f t="shared" si="1"/>
        <v>33.3%</v>
      </c>
    </row>
    <row r="3269">
      <c r="A3269" s="40" t="s">
        <v>8266</v>
      </c>
      <c r="B3269" s="40" t="s">
        <v>8977</v>
      </c>
      <c r="C3269" s="41">
        <v>1.0</v>
      </c>
      <c r="D3269" s="41">
        <v>0.0</v>
      </c>
      <c r="E3269" s="43" t="str">
        <f t="shared" si="1"/>
        <v>100.0%</v>
      </c>
    </row>
    <row r="3270">
      <c r="A3270" s="40" t="s">
        <v>8266</v>
      </c>
      <c r="B3270" s="40" t="s">
        <v>8976</v>
      </c>
      <c r="C3270" s="41">
        <v>4.0</v>
      </c>
      <c r="D3270" s="41">
        <v>3.0</v>
      </c>
      <c r="E3270" s="43" t="str">
        <f t="shared" si="1"/>
        <v>57.1%</v>
      </c>
    </row>
    <row r="3271">
      <c r="A3271" s="40" t="s">
        <v>8266</v>
      </c>
      <c r="B3271" s="40" t="s">
        <v>9044</v>
      </c>
      <c r="C3271" s="41">
        <v>0.0</v>
      </c>
      <c r="D3271" s="41">
        <v>5.0</v>
      </c>
      <c r="E3271" s="43" t="str">
        <f t="shared" si="1"/>
        <v>0.0%</v>
      </c>
    </row>
    <row r="3272">
      <c r="A3272" s="40" t="s">
        <v>8266</v>
      </c>
      <c r="B3272" s="40" t="s">
        <v>9028</v>
      </c>
      <c r="C3272" s="41">
        <v>1.0</v>
      </c>
      <c r="D3272" s="41">
        <v>1.0</v>
      </c>
      <c r="E3272" s="43" t="str">
        <f t="shared" si="1"/>
        <v>50.0%</v>
      </c>
    </row>
    <row r="3273">
      <c r="A3273" s="40" t="s">
        <v>8266</v>
      </c>
      <c r="B3273" s="40" t="s">
        <v>9038</v>
      </c>
      <c r="C3273" s="41">
        <v>1.0</v>
      </c>
      <c r="D3273" s="41">
        <v>1.0</v>
      </c>
      <c r="E3273" s="43" t="str">
        <f t="shared" si="1"/>
        <v>50.0%</v>
      </c>
    </row>
    <row r="3274">
      <c r="A3274" s="40" t="s">
        <v>8266</v>
      </c>
      <c r="B3274" s="40" t="s">
        <v>9037</v>
      </c>
      <c r="C3274" s="41">
        <v>1.0</v>
      </c>
      <c r="D3274" s="41">
        <v>8.0</v>
      </c>
      <c r="E3274" s="43" t="str">
        <f t="shared" si="1"/>
        <v>11.1%</v>
      </c>
    </row>
    <row r="3275">
      <c r="A3275" s="40" t="s">
        <v>8266</v>
      </c>
      <c r="B3275" s="40" t="s">
        <v>9045</v>
      </c>
      <c r="C3275" s="41">
        <v>2.0</v>
      </c>
      <c r="D3275" s="41">
        <v>7.0</v>
      </c>
      <c r="E3275" s="43" t="str">
        <f t="shared" si="1"/>
        <v>22.2%</v>
      </c>
    </row>
    <row r="3276">
      <c r="A3276" s="40" t="s">
        <v>8266</v>
      </c>
      <c r="B3276" s="40" t="s">
        <v>9066</v>
      </c>
      <c r="C3276" s="41">
        <v>1.0</v>
      </c>
      <c r="D3276" s="41">
        <v>0.0</v>
      </c>
      <c r="E3276" s="43" t="str">
        <f t="shared" si="1"/>
        <v>100.0%</v>
      </c>
    </row>
    <row r="3277">
      <c r="A3277" s="40" t="s">
        <v>8266</v>
      </c>
      <c r="B3277" s="40" t="s">
        <v>9049</v>
      </c>
      <c r="C3277" s="41">
        <v>2.0</v>
      </c>
      <c r="D3277" s="41">
        <v>2.0</v>
      </c>
      <c r="E3277" s="43" t="str">
        <f t="shared" si="1"/>
        <v>50.0%</v>
      </c>
    </row>
    <row r="3278">
      <c r="A3278" s="40" t="s">
        <v>8266</v>
      </c>
      <c r="B3278" s="40" t="s">
        <v>9083</v>
      </c>
      <c r="C3278" s="41">
        <v>4.0</v>
      </c>
      <c r="D3278" s="41">
        <v>4.0</v>
      </c>
      <c r="E3278" s="43" t="str">
        <f t="shared" si="1"/>
        <v>50.0%</v>
      </c>
    </row>
    <row r="3279">
      <c r="A3279" s="40" t="s">
        <v>8266</v>
      </c>
      <c r="B3279" s="40" t="s">
        <v>9092</v>
      </c>
      <c r="C3279" s="41">
        <v>9.0</v>
      </c>
      <c r="D3279" s="41">
        <v>7.0</v>
      </c>
      <c r="E3279" s="43" t="str">
        <f t="shared" si="1"/>
        <v>56.3%</v>
      </c>
    </row>
    <row r="3280">
      <c r="A3280" s="40" t="s">
        <v>8266</v>
      </c>
      <c r="B3280" s="40" t="s">
        <v>9093</v>
      </c>
      <c r="C3280" s="41">
        <v>5.0</v>
      </c>
      <c r="D3280" s="41">
        <v>1.0</v>
      </c>
      <c r="E3280" s="43" t="str">
        <f t="shared" si="1"/>
        <v>83.3%</v>
      </c>
    </row>
    <row r="3281">
      <c r="A3281" s="40" t="s">
        <v>8266</v>
      </c>
      <c r="B3281" s="40" t="s">
        <v>9149</v>
      </c>
      <c r="C3281" s="41">
        <v>2.0</v>
      </c>
      <c r="D3281" s="41">
        <v>0.0</v>
      </c>
      <c r="E3281" s="43" t="str">
        <f t="shared" si="1"/>
        <v>100.0%</v>
      </c>
    </row>
    <row r="3282">
      <c r="A3282" s="40" t="s">
        <v>8266</v>
      </c>
      <c r="B3282" s="40" t="s">
        <v>9119</v>
      </c>
      <c r="C3282" s="41">
        <v>1.0</v>
      </c>
      <c r="D3282" s="41">
        <v>1.0</v>
      </c>
      <c r="E3282" s="43" t="str">
        <f t="shared" si="1"/>
        <v>50.0%</v>
      </c>
    </row>
    <row r="3283">
      <c r="A3283" s="40" t="s">
        <v>8266</v>
      </c>
      <c r="B3283" s="40" t="s">
        <v>9131</v>
      </c>
      <c r="C3283" s="41">
        <v>0.0</v>
      </c>
      <c r="D3283" s="41">
        <v>1.0</v>
      </c>
      <c r="E3283" s="43" t="str">
        <f t="shared" si="1"/>
        <v>0.0%</v>
      </c>
    </row>
    <row r="3284">
      <c r="A3284" s="40" t="s">
        <v>8266</v>
      </c>
      <c r="B3284" s="40" t="s">
        <v>9211</v>
      </c>
      <c r="C3284" s="41">
        <v>2.0</v>
      </c>
      <c r="D3284" s="41">
        <v>0.0</v>
      </c>
      <c r="E3284" s="43" t="str">
        <f t="shared" si="1"/>
        <v>100.0%</v>
      </c>
    </row>
    <row r="3285">
      <c r="A3285" s="40" t="s">
        <v>8266</v>
      </c>
      <c r="B3285" s="40" t="s">
        <v>9202</v>
      </c>
      <c r="C3285" s="41">
        <v>0.0</v>
      </c>
      <c r="D3285" s="41">
        <v>1.0</v>
      </c>
      <c r="E3285" s="43" t="str">
        <f t="shared" si="1"/>
        <v>0.0%</v>
      </c>
    </row>
    <row r="3286">
      <c r="A3286" s="40" t="s">
        <v>8266</v>
      </c>
      <c r="B3286" s="40" t="s">
        <v>9233</v>
      </c>
      <c r="C3286" s="41">
        <v>3.0</v>
      </c>
      <c r="D3286" s="41">
        <v>2.0</v>
      </c>
      <c r="E3286" s="43" t="str">
        <f t="shared" si="1"/>
        <v>60.0%</v>
      </c>
    </row>
    <row r="3287">
      <c r="A3287" s="40" t="s">
        <v>8266</v>
      </c>
      <c r="B3287" s="40" t="s">
        <v>9286</v>
      </c>
      <c r="C3287" s="41">
        <v>0.0</v>
      </c>
      <c r="D3287" s="41">
        <v>3.0</v>
      </c>
      <c r="E3287" s="43" t="str">
        <f t="shared" si="1"/>
        <v>0.0%</v>
      </c>
    </row>
    <row r="3288">
      <c r="A3288" s="40" t="s">
        <v>8266</v>
      </c>
      <c r="B3288" s="40" t="s">
        <v>9237</v>
      </c>
      <c r="C3288" s="41">
        <v>0.0</v>
      </c>
      <c r="D3288" s="41">
        <v>1.0</v>
      </c>
      <c r="E3288" s="43" t="str">
        <f t="shared" si="1"/>
        <v>0.0%</v>
      </c>
    </row>
    <row r="3289">
      <c r="A3289" s="40" t="s">
        <v>8266</v>
      </c>
      <c r="B3289" s="40" t="s">
        <v>9187</v>
      </c>
      <c r="C3289" s="41">
        <v>0.0</v>
      </c>
      <c r="D3289" s="41">
        <v>1.0</v>
      </c>
      <c r="E3289" s="43" t="str">
        <f t="shared" si="1"/>
        <v>0.0%</v>
      </c>
    </row>
    <row r="3290">
      <c r="A3290" s="40" t="s">
        <v>8266</v>
      </c>
      <c r="B3290" s="40" t="s">
        <v>9250</v>
      </c>
      <c r="C3290" s="41">
        <v>0.0</v>
      </c>
      <c r="D3290" s="41">
        <v>1.0</v>
      </c>
      <c r="E3290" s="43" t="str">
        <f t="shared" si="1"/>
        <v>0.0%</v>
      </c>
    </row>
    <row r="3291">
      <c r="A3291" s="40" t="s">
        <v>8266</v>
      </c>
      <c r="B3291" s="40" t="s">
        <v>9251</v>
      </c>
      <c r="C3291" s="41">
        <v>2.0</v>
      </c>
      <c r="D3291" s="41">
        <v>0.0</v>
      </c>
      <c r="E3291" s="43" t="str">
        <f t="shared" si="1"/>
        <v>100.0%</v>
      </c>
    </row>
    <row r="3292">
      <c r="A3292" s="40" t="s">
        <v>8266</v>
      </c>
      <c r="B3292" s="40" t="s">
        <v>9268</v>
      </c>
      <c r="C3292" s="41">
        <v>0.0</v>
      </c>
      <c r="D3292" s="41">
        <v>1.0</v>
      </c>
      <c r="E3292" s="43" t="str">
        <f t="shared" si="1"/>
        <v>0.0%</v>
      </c>
    </row>
    <row r="3293">
      <c r="A3293" s="40" t="s">
        <v>8266</v>
      </c>
      <c r="B3293" s="40" t="s">
        <v>9272</v>
      </c>
      <c r="C3293" s="41">
        <v>1.0</v>
      </c>
      <c r="D3293" s="41">
        <v>3.0</v>
      </c>
      <c r="E3293" s="43" t="str">
        <f t="shared" si="1"/>
        <v>25.0%</v>
      </c>
    </row>
    <row r="3294">
      <c r="A3294" s="40" t="s">
        <v>8266</v>
      </c>
      <c r="B3294" s="40" t="s">
        <v>9222</v>
      </c>
      <c r="C3294" s="41">
        <v>1.0</v>
      </c>
      <c r="D3294" s="41">
        <v>1.0</v>
      </c>
      <c r="E3294" s="43" t="str">
        <f t="shared" si="1"/>
        <v>50.0%</v>
      </c>
    </row>
    <row r="3295">
      <c r="A3295" s="40" t="s">
        <v>8266</v>
      </c>
      <c r="B3295" s="40" t="s">
        <v>9205</v>
      </c>
      <c r="C3295" s="41">
        <v>1.0</v>
      </c>
      <c r="D3295" s="41">
        <v>0.0</v>
      </c>
      <c r="E3295" s="43" t="str">
        <f t="shared" si="1"/>
        <v>100.0%</v>
      </c>
    </row>
    <row r="3296">
      <c r="A3296" s="40" t="s">
        <v>8266</v>
      </c>
      <c r="B3296" s="40" t="s">
        <v>9223</v>
      </c>
      <c r="C3296" s="41">
        <v>2.0</v>
      </c>
      <c r="D3296" s="41">
        <v>0.0</v>
      </c>
      <c r="E3296" s="43" t="str">
        <f t="shared" si="1"/>
        <v>100.0%</v>
      </c>
    </row>
    <row r="3297">
      <c r="A3297" s="40" t="s">
        <v>8266</v>
      </c>
      <c r="B3297" s="40" t="s">
        <v>9284</v>
      </c>
      <c r="C3297" s="41">
        <v>1.0</v>
      </c>
      <c r="D3297" s="41">
        <v>1.0</v>
      </c>
      <c r="E3297" s="43" t="str">
        <f t="shared" si="1"/>
        <v>50.0%</v>
      </c>
    </row>
    <row r="3298">
      <c r="A3298" s="40" t="s">
        <v>8266</v>
      </c>
      <c r="B3298" s="40" t="s">
        <v>9246</v>
      </c>
      <c r="C3298" s="41">
        <v>1.0</v>
      </c>
      <c r="D3298" s="41">
        <v>1.0</v>
      </c>
      <c r="E3298" s="43" t="str">
        <f t="shared" si="1"/>
        <v>50.0%</v>
      </c>
    </row>
    <row r="3299">
      <c r="A3299" s="40" t="s">
        <v>8266</v>
      </c>
      <c r="B3299" s="40" t="s">
        <v>9280</v>
      </c>
      <c r="C3299" s="41">
        <v>0.0</v>
      </c>
      <c r="D3299" s="41">
        <v>1.0</v>
      </c>
      <c r="E3299" s="43" t="str">
        <f t="shared" si="1"/>
        <v>0.0%</v>
      </c>
    </row>
    <row r="3300">
      <c r="A3300" s="40" t="s">
        <v>8266</v>
      </c>
      <c r="B3300" s="40" t="s">
        <v>9306</v>
      </c>
      <c r="C3300" s="41">
        <v>0.0</v>
      </c>
      <c r="D3300" s="41">
        <v>1.0</v>
      </c>
      <c r="E3300" s="43" t="str">
        <f t="shared" si="1"/>
        <v>0.0%</v>
      </c>
    </row>
    <row r="3301">
      <c r="A3301" s="40" t="s">
        <v>8266</v>
      </c>
      <c r="B3301" s="40" t="s">
        <v>9363</v>
      </c>
      <c r="C3301" s="41">
        <v>0.0</v>
      </c>
      <c r="D3301" s="41">
        <v>3.0</v>
      </c>
      <c r="E3301" s="43" t="str">
        <f t="shared" si="1"/>
        <v>0.0%</v>
      </c>
    </row>
    <row r="3302">
      <c r="A3302" s="40" t="s">
        <v>8266</v>
      </c>
      <c r="B3302" s="40" t="s">
        <v>9364</v>
      </c>
      <c r="C3302" s="41">
        <v>0.0</v>
      </c>
      <c r="D3302" s="41">
        <v>3.0</v>
      </c>
      <c r="E3302" s="43" t="str">
        <f t="shared" si="1"/>
        <v>0.0%</v>
      </c>
    </row>
    <row r="3303">
      <c r="A3303" s="40" t="s">
        <v>8266</v>
      </c>
      <c r="B3303" s="40" t="s">
        <v>9304</v>
      </c>
      <c r="C3303" s="41">
        <v>0.0</v>
      </c>
      <c r="D3303" s="41">
        <v>2.0</v>
      </c>
      <c r="E3303" s="43" t="str">
        <f t="shared" si="1"/>
        <v>0.0%</v>
      </c>
    </row>
    <row r="3304">
      <c r="A3304" s="40" t="s">
        <v>8266</v>
      </c>
      <c r="B3304" s="40" t="s">
        <v>9328</v>
      </c>
      <c r="C3304" s="41">
        <v>0.0</v>
      </c>
      <c r="D3304" s="41">
        <v>1.0</v>
      </c>
      <c r="E3304" s="43" t="str">
        <f t="shared" si="1"/>
        <v>0.0%</v>
      </c>
    </row>
    <row r="3305">
      <c r="A3305" s="40" t="s">
        <v>8266</v>
      </c>
      <c r="B3305" s="40" t="s">
        <v>9301</v>
      </c>
      <c r="C3305" s="41">
        <v>2.0</v>
      </c>
      <c r="D3305" s="41">
        <v>1.0</v>
      </c>
      <c r="E3305" s="43" t="str">
        <f t="shared" si="1"/>
        <v>66.7%</v>
      </c>
    </row>
    <row r="3306">
      <c r="A3306" s="40" t="s">
        <v>8266</v>
      </c>
      <c r="B3306" s="40" t="s">
        <v>9377</v>
      </c>
      <c r="C3306" s="41">
        <v>3.0</v>
      </c>
      <c r="D3306" s="41">
        <v>3.0</v>
      </c>
      <c r="E3306" s="43" t="str">
        <f t="shared" si="1"/>
        <v>50.0%</v>
      </c>
    </row>
    <row r="3307">
      <c r="A3307" s="40" t="s">
        <v>8266</v>
      </c>
      <c r="B3307" s="40" t="s">
        <v>9415</v>
      </c>
      <c r="C3307" s="41">
        <v>1.0</v>
      </c>
      <c r="D3307" s="41">
        <v>1.0</v>
      </c>
      <c r="E3307" s="43" t="str">
        <f t="shared" si="1"/>
        <v>50.0%</v>
      </c>
    </row>
    <row r="3308">
      <c r="A3308" s="40" t="s">
        <v>8266</v>
      </c>
      <c r="B3308" s="40" t="s">
        <v>9426</v>
      </c>
      <c r="C3308" s="41">
        <v>2.0</v>
      </c>
      <c r="D3308" s="41">
        <v>2.0</v>
      </c>
      <c r="E3308" s="43" t="str">
        <f t="shared" si="1"/>
        <v>50.0%</v>
      </c>
    </row>
    <row r="3309">
      <c r="A3309" s="40" t="s">
        <v>8266</v>
      </c>
      <c r="B3309" s="40" t="s">
        <v>9406</v>
      </c>
      <c r="C3309" s="41">
        <v>1.0</v>
      </c>
      <c r="D3309" s="41">
        <v>3.0</v>
      </c>
      <c r="E3309" s="43" t="str">
        <f t="shared" si="1"/>
        <v>25.0%</v>
      </c>
    </row>
    <row r="3310">
      <c r="A3310" s="40" t="s">
        <v>8266</v>
      </c>
      <c r="B3310" s="40" t="s">
        <v>9412</v>
      </c>
      <c r="C3310" s="41">
        <v>0.0</v>
      </c>
      <c r="D3310" s="41">
        <v>1.0</v>
      </c>
      <c r="E3310" s="43" t="str">
        <f t="shared" si="1"/>
        <v>0.0%</v>
      </c>
    </row>
    <row r="3311">
      <c r="A3311" s="40" t="s">
        <v>8266</v>
      </c>
      <c r="B3311" s="40" t="s">
        <v>9439</v>
      </c>
      <c r="C3311" s="41">
        <v>0.0</v>
      </c>
      <c r="D3311" s="41">
        <v>2.0</v>
      </c>
      <c r="E3311" s="43" t="str">
        <f t="shared" si="1"/>
        <v>0.0%</v>
      </c>
    </row>
    <row r="3312">
      <c r="A3312" s="40" t="s">
        <v>8266</v>
      </c>
      <c r="B3312" s="40" t="s">
        <v>9463</v>
      </c>
      <c r="C3312" s="41">
        <v>6.0</v>
      </c>
      <c r="D3312" s="41">
        <v>3.0</v>
      </c>
      <c r="E3312" s="43" t="str">
        <f t="shared" si="1"/>
        <v>66.7%</v>
      </c>
    </row>
    <row r="3313">
      <c r="A3313" s="40" t="s">
        <v>8266</v>
      </c>
      <c r="B3313" s="40" t="s">
        <v>9445</v>
      </c>
      <c r="C3313" s="41">
        <v>3.0</v>
      </c>
      <c r="D3313" s="41">
        <v>2.0</v>
      </c>
      <c r="E3313" s="43" t="str">
        <f t="shared" si="1"/>
        <v>60.0%</v>
      </c>
    </row>
    <row r="3314">
      <c r="A3314" s="40" t="s">
        <v>8266</v>
      </c>
      <c r="B3314" s="40" t="s">
        <v>9446</v>
      </c>
      <c r="C3314" s="41">
        <v>1.0</v>
      </c>
      <c r="D3314" s="41">
        <v>8.0</v>
      </c>
      <c r="E3314" s="43" t="str">
        <f t="shared" si="1"/>
        <v>11.1%</v>
      </c>
    </row>
    <row r="3315">
      <c r="A3315" s="40" t="s">
        <v>8266</v>
      </c>
      <c r="B3315" s="40" t="s">
        <v>9469</v>
      </c>
      <c r="C3315" s="41">
        <v>2.0</v>
      </c>
      <c r="D3315" s="41">
        <v>2.0</v>
      </c>
      <c r="E3315" s="43" t="str">
        <f t="shared" si="1"/>
        <v>50.0%</v>
      </c>
    </row>
    <row r="3316">
      <c r="A3316" s="40" t="s">
        <v>8266</v>
      </c>
      <c r="B3316" s="40" t="s">
        <v>9441</v>
      </c>
      <c r="C3316" s="41">
        <v>1.0</v>
      </c>
      <c r="D3316" s="41">
        <v>2.0</v>
      </c>
      <c r="E3316" s="43" t="str">
        <f t="shared" si="1"/>
        <v>33.3%</v>
      </c>
    </row>
    <row r="3317">
      <c r="A3317" s="40" t="s">
        <v>8266</v>
      </c>
      <c r="B3317" s="40" t="s">
        <v>9464</v>
      </c>
      <c r="C3317" s="41">
        <v>2.0</v>
      </c>
      <c r="D3317" s="41">
        <v>2.0</v>
      </c>
      <c r="E3317" s="43" t="str">
        <f t="shared" si="1"/>
        <v>50.0%</v>
      </c>
    </row>
    <row r="3318">
      <c r="A3318" s="40" t="s">
        <v>8266</v>
      </c>
      <c r="B3318" s="40" t="s">
        <v>9450</v>
      </c>
      <c r="C3318" s="41">
        <v>5.0</v>
      </c>
      <c r="D3318" s="41">
        <v>9.0</v>
      </c>
      <c r="E3318" s="43" t="str">
        <f t="shared" si="1"/>
        <v>35.7%</v>
      </c>
    </row>
    <row r="3319">
      <c r="A3319" s="40" t="s">
        <v>8266</v>
      </c>
      <c r="B3319" s="40" t="s">
        <v>9444</v>
      </c>
      <c r="C3319" s="41">
        <v>4.0</v>
      </c>
      <c r="D3319" s="41">
        <v>1.0</v>
      </c>
      <c r="E3319" s="43" t="str">
        <f t="shared" si="1"/>
        <v>80.0%</v>
      </c>
    </row>
    <row r="3320">
      <c r="A3320" s="40" t="s">
        <v>8266</v>
      </c>
      <c r="B3320" s="40" t="s">
        <v>9452</v>
      </c>
      <c r="C3320" s="41">
        <v>1.0</v>
      </c>
      <c r="D3320" s="41">
        <v>1.0</v>
      </c>
      <c r="E3320" s="43" t="str">
        <f t="shared" si="1"/>
        <v>50.0%</v>
      </c>
    </row>
    <row r="3321">
      <c r="A3321" s="40" t="s">
        <v>8266</v>
      </c>
      <c r="B3321" s="40" t="s">
        <v>9453</v>
      </c>
      <c r="C3321" s="41">
        <v>0.0</v>
      </c>
      <c r="D3321" s="41">
        <v>2.0</v>
      </c>
      <c r="E3321" s="43" t="str">
        <f t="shared" si="1"/>
        <v>0.0%</v>
      </c>
    </row>
    <row r="3322">
      <c r="A3322" s="40" t="s">
        <v>8266</v>
      </c>
      <c r="B3322" s="40" t="s">
        <v>9454</v>
      </c>
      <c r="C3322" s="41">
        <v>2.0</v>
      </c>
      <c r="D3322" s="41">
        <v>2.0</v>
      </c>
      <c r="E3322" s="43" t="str">
        <f t="shared" si="1"/>
        <v>50.0%</v>
      </c>
    </row>
    <row r="3323">
      <c r="A3323" s="40" t="s">
        <v>8266</v>
      </c>
      <c r="B3323" s="40" t="s">
        <v>9455</v>
      </c>
      <c r="C3323" s="41">
        <v>3.0</v>
      </c>
      <c r="D3323" s="41">
        <v>1.0</v>
      </c>
      <c r="E3323" s="43" t="str">
        <f t="shared" si="1"/>
        <v>75.0%</v>
      </c>
    </row>
    <row r="3324">
      <c r="A3324" s="40" t="s">
        <v>8266</v>
      </c>
      <c r="B3324" s="40" t="s">
        <v>9459</v>
      </c>
      <c r="C3324" s="41">
        <v>5.0</v>
      </c>
      <c r="D3324" s="41">
        <v>0.0</v>
      </c>
      <c r="E3324" s="43" t="str">
        <f t="shared" si="1"/>
        <v>100.0%</v>
      </c>
    </row>
    <row r="3325">
      <c r="A3325" s="40" t="s">
        <v>8266</v>
      </c>
      <c r="B3325" s="40" t="s">
        <v>9476</v>
      </c>
      <c r="C3325" s="41">
        <v>0.0</v>
      </c>
      <c r="D3325" s="41">
        <v>2.0</v>
      </c>
      <c r="E3325" s="43" t="str">
        <f t="shared" si="1"/>
        <v>0.0%</v>
      </c>
    </row>
    <row r="3326">
      <c r="A3326" s="40" t="s">
        <v>8266</v>
      </c>
      <c r="B3326" s="40" t="s">
        <v>9456</v>
      </c>
      <c r="C3326" s="41">
        <v>1.0</v>
      </c>
      <c r="D3326" s="41">
        <v>0.0</v>
      </c>
      <c r="E3326" s="43" t="str">
        <f t="shared" si="1"/>
        <v>100.0%</v>
      </c>
    </row>
    <row r="3327">
      <c r="A3327" s="40" t="s">
        <v>8266</v>
      </c>
      <c r="B3327" s="40" t="s">
        <v>9481</v>
      </c>
      <c r="C3327" s="41">
        <v>1.0</v>
      </c>
      <c r="D3327" s="41">
        <v>2.0</v>
      </c>
      <c r="E3327" s="43" t="str">
        <f t="shared" si="1"/>
        <v>33.3%</v>
      </c>
    </row>
    <row r="3328">
      <c r="A3328" s="40" t="s">
        <v>8266</v>
      </c>
      <c r="B3328" s="40" t="s">
        <v>9482</v>
      </c>
      <c r="C3328" s="41">
        <v>2.0</v>
      </c>
      <c r="D3328" s="41">
        <v>4.0</v>
      </c>
      <c r="E3328" s="43" t="str">
        <f t="shared" si="1"/>
        <v>33.3%</v>
      </c>
    </row>
    <row r="3329">
      <c r="A3329" s="40" t="s">
        <v>8266</v>
      </c>
      <c r="B3329" s="40" t="s">
        <v>9492</v>
      </c>
      <c r="C3329" s="41">
        <v>1.0</v>
      </c>
      <c r="D3329" s="41">
        <v>2.0</v>
      </c>
      <c r="E3329" s="43" t="str">
        <f t="shared" si="1"/>
        <v>33.3%</v>
      </c>
    </row>
    <row r="3330">
      <c r="A3330" s="40" t="s">
        <v>8266</v>
      </c>
      <c r="B3330" s="40" t="s">
        <v>9498</v>
      </c>
      <c r="C3330" s="41">
        <v>0.0</v>
      </c>
      <c r="D3330" s="41">
        <v>1.0</v>
      </c>
      <c r="E3330" s="43" t="str">
        <f t="shared" si="1"/>
        <v>0.0%</v>
      </c>
    </row>
    <row r="3331">
      <c r="A3331" s="40" t="s">
        <v>8266</v>
      </c>
      <c r="B3331" s="40" t="s">
        <v>9516</v>
      </c>
      <c r="C3331" s="41">
        <v>0.0</v>
      </c>
      <c r="D3331" s="41">
        <v>2.0</v>
      </c>
      <c r="E3331" s="43" t="str">
        <f t="shared" si="1"/>
        <v>0.0%</v>
      </c>
    </row>
    <row r="3332">
      <c r="A3332" s="40" t="s">
        <v>8266</v>
      </c>
      <c r="B3332" s="40" t="s">
        <v>9518</v>
      </c>
      <c r="C3332" s="41">
        <v>1.0</v>
      </c>
      <c r="D3332" s="41">
        <v>4.0</v>
      </c>
      <c r="E3332" s="43" t="str">
        <f t="shared" si="1"/>
        <v>20.0%</v>
      </c>
    </row>
    <row r="3333">
      <c r="A3333" s="40" t="s">
        <v>8266</v>
      </c>
      <c r="B3333" s="40" t="s">
        <v>9519</v>
      </c>
      <c r="C3333" s="41">
        <v>0.0</v>
      </c>
      <c r="D3333" s="41">
        <v>2.0</v>
      </c>
      <c r="E3333" s="43" t="str">
        <f t="shared" si="1"/>
        <v>0.0%</v>
      </c>
    </row>
    <row r="3334">
      <c r="A3334" s="40" t="s">
        <v>8266</v>
      </c>
      <c r="B3334" s="40" t="s">
        <v>9493</v>
      </c>
      <c r="C3334" s="41">
        <v>10.0</v>
      </c>
      <c r="D3334" s="41">
        <v>3.0</v>
      </c>
      <c r="E3334" s="43" t="str">
        <f t="shared" si="1"/>
        <v>76.9%</v>
      </c>
    </row>
    <row r="3335">
      <c r="A3335" s="40" t="s">
        <v>8266</v>
      </c>
      <c r="B3335" s="40" t="s">
        <v>9506</v>
      </c>
      <c r="C3335" s="41">
        <v>0.0</v>
      </c>
      <c r="D3335" s="41">
        <v>3.0</v>
      </c>
      <c r="E3335" s="43" t="str">
        <f t="shared" si="1"/>
        <v>0.0%</v>
      </c>
    </row>
    <row r="3336">
      <c r="A3336" s="40" t="s">
        <v>8266</v>
      </c>
      <c r="B3336" s="40" t="s">
        <v>9538</v>
      </c>
      <c r="C3336" s="41">
        <v>3.0</v>
      </c>
      <c r="D3336" s="41">
        <v>5.0</v>
      </c>
      <c r="E3336" s="43" t="str">
        <f t="shared" si="1"/>
        <v>37.5%</v>
      </c>
    </row>
    <row r="3337">
      <c r="A3337" s="40" t="s">
        <v>8266</v>
      </c>
      <c r="B3337" s="40" t="s">
        <v>9540</v>
      </c>
      <c r="C3337" s="41">
        <v>2.0</v>
      </c>
      <c r="D3337" s="41">
        <v>0.0</v>
      </c>
      <c r="E3337" s="43" t="str">
        <f t="shared" si="1"/>
        <v>100.0%</v>
      </c>
    </row>
    <row r="3338">
      <c r="A3338" s="40" t="s">
        <v>8266</v>
      </c>
      <c r="B3338" s="40" t="s">
        <v>9542</v>
      </c>
      <c r="C3338" s="41">
        <v>0.0</v>
      </c>
      <c r="D3338" s="41">
        <v>1.0</v>
      </c>
      <c r="E3338" s="43" t="str">
        <f t="shared" si="1"/>
        <v>0.0%</v>
      </c>
    </row>
    <row r="3339">
      <c r="A3339" s="40" t="s">
        <v>8266</v>
      </c>
      <c r="B3339" s="40" t="s">
        <v>9534</v>
      </c>
      <c r="C3339" s="41">
        <v>4.0</v>
      </c>
      <c r="D3339" s="41">
        <v>3.0</v>
      </c>
      <c r="E3339" s="43" t="str">
        <f t="shared" si="1"/>
        <v>57.1%</v>
      </c>
    </row>
    <row r="3340">
      <c r="A3340" s="40" t="s">
        <v>8266</v>
      </c>
      <c r="B3340" s="40" t="s">
        <v>9545</v>
      </c>
      <c r="C3340" s="41">
        <v>3.0</v>
      </c>
      <c r="D3340" s="41">
        <v>2.0</v>
      </c>
      <c r="E3340" s="43" t="str">
        <f t="shared" si="1"/>
        <v>60.0%</v>
      </c>
    </row>
    <row r="3341">
      <c r="A3341" s="40" t="s">
        <v>8266</v>
      </c>
      <c r="B3341" s="40" t="s">
        <v>9546</v>
      </c>
      <c r="C3341" s="41">
        <v>1.0</v>
      </c>
      <c r="D3341" s="41">
        <v>1.0</v>
      </c>
      <c r="E3341" s="43" t="str">
        <f t="shared" si="1"/>
        <v>50.0%</v>
      </c>
    </row>
    <row r="3342">
      <c r="A3342" s="40" t="s">
        <v>8266</v>
      </c>
      <c r="B3342" s="40" t="s">
        <v>9570</v>
      </c>
      <c r="C3342" s="41">
        <v>1.0</v>
      </c>
      <c r="D3342" s="41">
        <v>0.0</v>
      </c>
      <c r="E3342" s="43" t="str">
        <f t="shared" si="1"/>
        <v>100.0%</v>
      </c>
    </row>
    <row r="3343">
      <c r="A3343" s="40" t="s">
        <v>8266</v>
      </c>
      <c r="B3343" s="40" t="s">
        <v>9549</v>
      </c>
      <c r="C3343" s="41">
        <v>1.0</v>
      </c>
      <c r="D3343" s="41">
        <v>0.0</v>
      </c>
      <c r="E3343" s="43" t="str">
        <f t="shared" si="1"/>
        <v>100.0%</v>
      </c>
    </row>
    <row r="3344">
      <c r="A3344" s="40" t="s">
        <v>8266</v>
      </c>
      <c r="B3344" s="40" t="s">
        <v>9535</v>
      </c>
      <c r="C3344" s="41">
        <v>9.0</v>
      </c>
      <c r="D3344" s="41">
        <v>3.0</v>
      </c>
      <c r="E3344" s="43" t="str">
        <f t="shared" si="1"/>
        <v>75.0%</v>
      </c>
    </row>
    <row r="3345">
      <c r="A3345" s="40" t="s">
        <v>8266</v>
      </c>
      <c r="B3345" s="40" t="s">
        <v>9541</v>
      </c>
      <c r="C3345" s="41">
        <v>0.0</v>
      </c>
      <c r="D3345" s="41">
        <v>2.0</v>
      </c>
      <c r="E3345" s="43" t="str">
        <f t="shared" si="1"/>
        <v>0.0%</v>
      </c>
    </row>
    <row r="3346">
      <c r="A3346" s="40" t="s">
        <v>8266</v>
      </c>
      <c r="B3346" s="40" t="s">
        <v>9561</v>
      </c>
      <c r="C3346" s="41">
        <v>0.0</v>
      </c>
      <c r="D3346" s="41">
        <v>1.0</v>
      </c>
      <c r="E3346" s="43" t="str">
        <f t="shared" si="1"/>
        <v>0.0%</v>
      </c>
    </row>
    <row r="3347">
      <c r="A3347" s="40" t="s">
        <v>8266</v>
      </c>
      <c r="B3347" s="40" t="s">
        <v>9583</v>
      </c>
      <c r="C3347" s="41">
        <v>1.0</v>
      </c>
      <c r="D3347" s="41">
        <v>2.0</v>
      </c>
      <c r="E3347" s="43" t="str">
        <f t="shared" si="1"/>
        <v>33.3%</v>
      </c>
    </row>
    <row r="3348">
      <c r="A3348" s="40" t="s">
        <v>8266</v>
      </c>
      <c r="B3348" s="40" t="s">
        <v>9584</v>
      </c>
      <c r="C3348" s="41">
        <v>1.0</v>
      </c>
      <c r="D3348" s="41">
        <v>1.0</v>
      </c>
      <c r="E3348" s="43" t="str">
        <f t="shared" si="1"/>
        <v>50.0%</v>
      </c>
    </row>
    <row r="3349">
      <c r="A3349" s="40" t="s">
        <v>8266</v>
      </c>
      <c r="B3349" s="40" t="s">
        <v>9585</v>
      </c>
      <c r="C3349" s="41">
        <v>1.0</v>
      </c>
      <c r="D3349" s="41">
        <v>1.0</v>
      </c>
      <c r="E3349" s="43" t="str">
        <f t="shared" si="1"/>
        <v>50.0%</v>
      </c>
    </row>
    <row r="3350">
      <c r="A3350" s="40" t="s">
        <v>8266</v>
      </c>
      <c r="B3350" s="40" t="s">
        <v>9586</v>
      </c>
      <c r="C3350" s="41">
        <v>0.0</v>
      </c>
      <c r="D3350" s="41">
        <v>1.0</v>
      </c>
      <c r="E3350" s="43" t="str">
        <f t="shared" si="1"/>
        <v>0.0%</v>
      </c>
    </row>
    <row r="3351">
      <c r="A3351" s="40" t="s">
        <v>8266</v>
      </c>
      <c r="B3351" s="40" t="s">
        <v>9587</v>
      </c>
      <c r="C3351" s="41">
        <v>0.0</v>
      </c>
      <c r="D3351" s="41">
        <v>4.0</v>
      </c>
      <c r="E3351" s="43" t="str">
        <f t="shared" si="1"/>
        <v>0.0%</v>
      </c>
    </row>
    <row r="3352">
      <c r="A3352" s="40" t="s">
        <v>8266</v>
      </c>
      <c r="B3352" s="40" t="s">
        <v>9588</v>
      </c>
      <c r="C3352" s="41">
        <v>0.0</v>
      </c>
      <c r="D3352" s="41">
        <v>1.0</v>
      </c>
      <c r="E3352" s="43" t="str">
        <f t="shared" si="1"/>
        <v>0.0%</v>
      </c>
    </row>
    <row r="3353">
      <c r="A3353" s="40" t="s">
        <v>8266</v>
      </c>
      <c r="B3353" s="40" t="s">
        <v>9589</v>
      </c>
      <c r="C3353" s="41">
        <v>0.0</v>
      </c>
      <c r="D3353" s="41">
        <v>1.0</v>
      </c>
      <c r="E3353" s="43" t="str">
        <f t="shared" si="1"/>
        <v>0.0%</v>
      </c>
    </row>
    <row r="3354">
      <c r="A3354" s="40" t="s">
        <v>8266</v>
      </c>
      <c r="B3354" s="40" t="s">
        <v>9590</v>
      </c>
      <c r="C3354" s="41">
        <v>2.0</v>
      </c>
      <c r="D3354" s="41">
        <v>0.0</v>
      </c>
      <c r="E3354" s="43" t="str">
        <f t="shared" si="1"/>
        <v>100.0%</v>
      </c>
    </row>
    <row r="3355">
      <c r="A3355" s="40" t="s">
        <v>8266</v>
      </c>
      <c r="B3355" s="40" t="s">
        <v>9591</v>
      </c>
      <c r="C3355" s="41">
        <v>0.0</v>
      </c>
      <c r="D3355" s="41">
        <v>1.0</v>
      </c>
      <c r="E3355" s="43" t="str">
        <f t="shared" si="1"/>
        <v>0.0%</v>
      </c>
    </row>
    <row r="3356">
      <c r="A3356" s="40" t="s">
        <v>8266</v>
      </c>
      <c r="B3356" s="40" t="s">
        <v>9592</v>
      </c>
      <c r="C3356" s="41">
        <v>0.0</v>
      </c>
      <c r="D3356" s="41">
        <v>1.0</v>
      </c>
      <c r="E3356" s="43" t="str">
        <f t="shared" si="1"/>
        <v>0.0%</v>
      </c>
    </row>
    <row r="3357">
      <c r="A3357" s="40" t="s">
        <v>8266</v>
      </c>
      <c r="B3357" s="40" t="s">
        <v>9593</v>
      </c>
      <c r="C3357" s="41">
        <v>1.0</v>
      </c>
      <c r="D3357" s="41">
        <v>2.0</v>
      </c>
      <c r="E3357" s="43" t="str">
        <f t="shared" si="1"/>
        <v>33.3%</v>
      </c>
    </row>
    <row r="3358">
      <c r="A3358" s="40" t="s">
        <v>8266</v>
      </c>
      <c r="B3358" s="40" t="s">
        <v>9594</v>
      </c>
      <c r="C3358" s="41">
        <v>2.0</v>
      </c>
      <c r="D3358" s="41">
        <v>1.0</v>
      </c>
      <c r="E3358" s="43" t="str">
        <f t="shared" si="1"/>
        <v>66.7%</v>
      </c>
    </row>
    <row r="3359">
      <c r="A3359" s="40" t="s">
        <v>8266</v>
      </c>
      <c r="B3359" s="40" t="s">
        <v>9595</v>
      </c>
      <c r="C3359" s="41">
        <v>2.0</v>
      </c>
      <c r="D3359" s="41">
        <v>0.0</v>
      </c>
      <c r="E3359" s="43" t="str">
        <f t="shared" si="1"/>
        <v>100.0%</v>
      </c>
    </row>
    <row r="3360">
      <c r="A3360" s="40" t="s">
        <v>8266</v>
      </c>
      <c r="B3360" s="40" t="s">
        <v>9596</v>
      </c>
      <c r="C3360" s="41">
        <v>2.0</v>
      </c>
      <c r="D3360" s="41">
        <v>0.0</v>
      </c>
      <c r="E3360" s="43" t="str">
        <f t="shared" si="1"/>
        <v>100.0%</v>
      </c>
    </row>
    <row r="3361">
      <c r="A3361" s="40" t="s">
        <v>8266</v>
      </c>
      <c r="B3361" s="40" t="s">
        <v>9597</v>
      </c>
      <c r="C3361" s="41">
        <v>0.0</v>
      </c>
      <c r="D3361" s="41">
        <v>1.0</v>
      </c>
      <c r="E3361" s="43" t="str">
        <f t="shared" si="1"/>
        <v>0.0%</v>
      </c>
    </row>
    <row r="3362">
      <c r="A3362" s="40" t="s">
        <v>8266</v>
      </c>
      <c r="B3362" s="40" t="s">
        <v>9598</v>
      </c>
      <c r="C3362" s="41">
        <v>1.0</v>
      </c>
      <c r="D3362" s="41">
        <v>1.0</v>
      </c>
      <c r="E3362" s="43" t="str">
        <f t="shared" si="1"/>
        <v>50.0%</v>
      </c>
    </row>
    <row r="3363">
      <c r="A3363" s="40" t="s">
        <v>8266</v>
      </c>
      <c r="B3363" s="40" t="s">
        <v>9599</v>
      </c>
      <c r="C3363" s="41">
        <v>1.0</v>
      </c>
      <c r="D3363" s="41">
        <v>0.0</v>
      </c>
      <c r="E3363" s="43" t="str">
        <f t="shared" si="1"/>
        <v>100.0%</v>
      </c>
    </row>
    <row r="3364">
      <c r="A3364" s="40" t="s">
        <v>8266</v>
      </c>
      <c r="B3364" s="40" t="s">
        <v>9600</v>
      </c>
      <c r="C3364" s="41">
        <v>1.0</v>
      </c>
      <c r="D3364" s="41">
        <v>1.0</v>
      </c>
      <c r="E3364" s="43" t="str">
        <f t="shared" si="1"/>
        <v>50.0%</v>
      </c>
    </row>
    <row r="3365">
      <c r="A3365" s="40" t="s">
        <v>8266</v>
      </c>
      <c r="B3365" s="40" t="s">
        <v>9601</v>
      </c>
      <c r="C3365" s="41">
        <v>0.0</v>
      </c>
      <c r="D3365" s="41">
        <v>1.0</v>
      </c>
      <c r="E3365" s="43" t="str">
        <f t="shared" si="1"/>
        <v>0.0%</v>
      </c>
    </row>
    <row r="3366">
      <c r="A3366" s="40" t="s">
        <v>8266</v>
      </c>
      <c r="B3366" s="40" t="s">
        <v>9602</v>
      </c>
      <c r="C3366" s="41">
        <v>0.0</v>
      </c>
      <c r="D3366" s="41">
        <v>1.0</v>
      </c>
      <c r="E3366" s="43" t="str">
        <f t="shared" si="1"/>
        <v>0.0%</v>
      </c>
    </row>
    <row r="3367">
      <c r="A3367" s="40" t="s">
        <v>8266</v>
      </c>
      <c r="B3367" s="40" t="s">
        <v>9603</v>
      </c>
      <c r="C3367" s="41">
        <v>0.0</v>
      </c>
      <c r="D3367" s="41">
        <v>1.0</v>
      </c>
      <c r="E3367" s="43" t="str">
        <f t="shared" si="1"/>
        <v>0.0%</v>
      </c>
    </row>
    <row r="3368">
      <c r="A3368" s="44"/>
      <c r="B3368" s="44"/>
    </row>
    <row r="3369">
      <c r="A3369" s="44"/>
      <c r="B3369" s="44"/>
    </row>
    <row r="3370">
      <c r="A3370" s="44"/>
      <c r="B3370" s="44"/>
    </row>
    <row r="3371">
      <c r="A3371" s="44"/>
      <c r="B3371" s="44"/>
    </row>
    <row r="3372">
      <c r="A3372" s="44"/>
      <c r="B3372" s="44"/>
    </row>
    <row r="3373">
      <c r="A3373" s="44"/>
      <c r="B3373" s="44"/>
    </row>
    <row r="3374">
      <c r="A3374" s="44"/>
      <c r="B3374" s="44"/>
    </row>
    <row r="3375">
      <c r="A3375" s="44"/>
      <c r="B3375" s="44"/>
    </row>
    <row r="3376">
      <c r="A3376" s="44"/>
      <c r="B3376" s="44"/>
    </row>
    <row r="3377">
      <c r="A3377" s="44"/>
      <c r="B3377" s="44"/>
    </row>
    <row r="3378">
      <c r="A3378" s="44"/>
      <c r="B3378" s="44"/>
    </row>
    <row r="3379">
      <c r="A3379" s="44"/>
      <c r="B3379" s="44"/>
    </row>
    <row r="3380">
      <c r="A3380" s="44"/>
      <c r="B3380" s="44"/>
    </row>
    <row r="3381">
      <c r="A3381" s="44"/>
      <c r="B3381" s="44"/>
    </row>
    <row r="3382">
      <c r="A3382" s="44"/>
      <c r="B3382" s="44"/>
    </row>
    <row r="3383">
      <c r="A3383" s="44"/>
      <c r="B3383" s="44"/>
    </row>
    <row r="3384">
      <c r="A3384" s="44"/>
      <c r="B3384" s="44"/>
    </row>
    <row r="3385">
      <c r="A3385" s="44"/>
      <c r="B3385" s="44"/>
    </row>
    <row r="3386">
      <c r="A3386" s="44"/>
      <c r="B3386" s="44"/>
    </row>
    <row r="3387">
      <c r="A3387" s="44"/>
      <c r="B3387" s="44"/>
    </row>
    <row r="3388">
      <c r="A3388" s="44"/>
      <c r="B3388" s="44"/>
    </row>
    <row r="3389">
      <c r="A3389" s="44"/>
      <c r="B3389" s="44"/>
    </row>
    <row r="3390">
      <c r="A3390" s="44"/>
      <c r="B3390" s="44"/>
    </row>
    <row r="3391">
      <c r="A3391" s="44"/>
      <c r="B3391" s="44"/>
    </row>
    <row r="3392">
      <c r="A3392" s="44"/>
      <c r="B3392" s="44"/>
    </row>
    <row r="3393">
      <c r="A3393" s="44"/>
      <c r="B3393" s="44"/>
    </row>
    <row r="3394">
      <c r="A3394" s="44"/>
      <c r="B3394" s="44"/>
    </row>
    <row r="3395">
      <c r="A3395" s="44"/>
      <c r="B3395" s="44"/>
    </row>
    <row r="3396">
      <c r="A3396" s="44"/>
      <c r="B3396" s="44"/>
    </row>
    <row r="3397">
      <c r="A3397" s="44"/>
      <c r="B3397" s="44"/>
    </row>
    <row r="3398">
      <c r="A3398" s="44"/>
      <c r="B3398" s="44"/>
    </row>
    <row r="3399">
      <c r="A3399" s="44"/>
      <c r="B3399" s="44"/>
    </row>
    <row r="3400">
      <c r="A3400" s="44"/>
      <c r="B3400" s="44"/>
    </row>
    <row r="3401">
      <c r="A3401" s="44"/>
      <c r="B3401" s="44"/>
    </row>
    <row r="3402">
      <c r="A3402" s="44"/>
      <c r="B3402" s="44"/>
    </row>
    <row r="3403">
      <c r="A3403" s="44"/>
      <c r="B3403" s="44"/>
    </row>
    <row r="3404">
      <c r="A3404" s="44"/>
      <c r="B3404" s="44"/>
    </row>
    <row r="3405">
      <c r="A3405" s="44"/>
      <c r="B3405" s="44"/>
    </row>
    <row r="3406">
      <c r="A3406" s="44"/>
      <c r="B3406" s="44"/>
    </row>
    <row r="3407">
      <c r="A3407" s="44"/>
      <c r="B3407" s="44"/>
    </row>
    <row r="3408">
      <c r="A3408" s="44"/>
      <c r="B3408" s="44"/>
    </row>
    <row r="3409">
      <c r="A3409" s="44"/>
      <c r="B3409" s="44"/>
    </row>
    <row r="3410">
      <c r="A3410" s="44"/>
      <c r="B3410" s="44"/>
    </row>
    <row r="3411">
      <c r="A3411" s="44"/>
      <c r="B3411" s="44"/>
    </row>
    <row r="3412">
      <c r="A3412" s="44"/>
      <c r="B3412" s="44"/>
    </row>
    <row r="3413">
      <c r="A3413" s="44"/>
      <c r="B3413" s="44"/>
    </row>
    <row r="3414">
      <c r="A3414" s="44"/>
      <c r="B3414" s="44"/>
    </row>
    <row r="3415">
      <c r="A3415" s="44"/>
      <c r="B3415" s="44"/>
    </row>
    <row r="3416">
      <c r="A3416" s="44"/>
      <c r="B3416" s="44"/>
    </row>
    <row r="3417">
      <c r="A3417" s="44"/>
      <c r="B3417" s="44"/>
    </row>
    <row r="3418">
      <c r="A3418" s="44"/>
      <c r="B3418" s="44"/>
    </row>
    <row r="3419">
      <c r="A3419" s="44"/>
      <c r="B3419" s="44"/>
    </row>
    <row r="3420">
      <c r="A3420" s="44"/>
      <c r="B3420" s="44"/>
    </row>
    <row r="3421">
      <c r="A3421" s="44"/>
      <c r="B3421" s="44"/>
    </row>
    <row r="3422">
      <c r="A3422" s="44"/>
      <c r="B3422" s="44"/>
    </row>
    <row r="3423">
      <c r="A3423" s="44"/>
      <c r="B3423" s="44"/>
    </row>
    <row r="3424">
      <c r="A3424" s="44"/>
      <c r="B3424" s="44"/>
    </row>
    <row r="3425">
      <c r="A3425" s="44"/>
      <c r="B3425" s="44"/>
    </row>
    <row r="3426">
      <c r="A3426" s="44"/>
      <c r="B3426" s="44"/>
    </row>
    <row r="3427">
      <c r="A3427" s="44"/>
      <c r="B3427" s="44"/>
    </row>
    <row r="3428">
      <c r="A3428" s="44"/>
      <c r="B3428" s="44"/>
    </row>
    <row r="3429">
      <c r="A3429" s="44"/>
      <c r="B3429" s="44"/>
    </row>
    <row r="3430">
      <c r="A3430" s="44"/>
      <c r="B3430" s="44"/>
    </row>
    <row r="3431">
      <c r="A3431" s="44"/>
      <c r="B3431" s="44"/>
    </row>
    <row r="3432">
      <c r="A3432" s="44"/>
      <c r="B3432" s="44"/>
    </row>
    <row r="3433">
      <c r="A3433" s="44"/>
      <c r="B3433" s="44"/>
    </row>
    <row r="3434">
      <c r="A3434" s="44"/>
      <c r="B3434" s="44"/>
    </row>
    <row r="3435">
      <c r="A3435" s="44"/>
      <c r="B3435" s="44"/>
    </row>
    <row r="3436">
      <c r="A3436" s="44"/>
      <c r="B3436" s="44"/>
    </row>
    <row r="3437">
      <c r="A3437" s="44"/>
      <c r="B3437" s="44"/>
    </row>
    <row r="3438">
      <c r="A3438" s="44"/>
      <c r="B3438" s="44"/>
    </row>
    <row r="3439">
      <c r="A3439" s="44"/>
      <c r="B3439" s="44"/>
    </row>
    <row r="3440">
      <c r="A3440" s="44"/>
      <c r="B3440" s="44"/>
    </row>
    <row r="3441">
      <c r="A3441" s="44"/>
      <c r="B3441" s="44"/>
    </row>
    <row r="3442">
      <c r="A3442" s="44"/>
      <c r="B3442" s="44"/>
    </row>
    <row r="3443">
      <c r="A3443" s="44"/>
      <c r="B3443" s="44"/>
    </row>
    <row r="3444">
      <c r="A3444" s="44"/>
      <c r="B3444" s="44"/>
    </row>
    <row r="3445">
      <c r="A3445" s="44"/>
      <c r="B3445" s="44"/>
    </row>
    <row r="3446">
      <c r="A3446" s="44"/>
      <c r="B3446" s="44"/>
    </row>
    <row r="3447">
      <c r="A3447" s="44"/>
      <c r="B3447" s="44"/>
    </row>
    <row r="3448">
      <c r="A3448" s="44"/>
      <c r="B3448" s="44"/>
    </row>
    <row r="3449">
      <c r="A3449" s="44"/>
      <c r="B3449" s="44"/>
    </row>
    <row r="3450">
      <c r="A3450" s="44"/>
      <c r="B3450" s="44"/>
    </row>
    <row r="3451">
      <c r="A3451" s="44"/>
      <c r="B3451" s="44"/>
    </row>
    <row r="3452">
      <c r="A3452" s="44"/>
      <c r="B3452" s="44"/>
    </row>
    <row r="3453">
      <c r="A3453" s="44"/>
      <c r="B3453" s="44"/>
    </row>
    <row r="3454">
      <c r="A3454" s="44"/>
      <c r="B3454" s="44"/>
    </row>
    <row r="3455">
      <c r="A3455" s="44"/>
      <c r="B3455" s="44"/>
    </row>
    <row r="3456">
      <c r="A3456" s="44"/>
      <c r="B3456" s="44"/>
    </row>
    <row r="3457">
      <c r="A3457" s="44"/>
      <c r="B3457" s="44"/>
    </row>
    <row r="3458">
      <c r="A3458" s="44"/>
      <c r="B3458" s="44"/>
    </row>
    <row r="3459">
      <c r="A3459" s="44"/>
      <c r="B3459" s="44"/>
    </row>
    <row r="3460">
      <c r="A3460" s="44"/>
      <c r="B3460" s="44"/>
    </row>
    <row r="3461">
      <c r="A3461" s="44"/>
      <c r="B3461" s="44"/>
    </row>
    <row r="3462">
      <c r="A3462" s="44"/>
      <c r="B3462" s="44"/>
    </row>
    <row r="3463">
      <c r="A3463" s="44"/>
      <c r="B3463" s="44"/>
    </row>
    <row r="3464">
      <c r="A3464" s="44"/>
      <c r="B3464" s="44"/>
    </row>
    <row r="3465">
      <c r="A3465" s="44"/>
      <c r="B3465" s="44"/>
    </row>
    <row r="3466">
      <c r="A3466" s="44"/>
      <c r="B3466" s="44"/>
    </row>
    <row r="3467">
      <c r="A3467" s="44"/>
      <c r="B3467" s="44"/>
    </row>
    <row r="3468">
      <c r="A3468" s="44"/>
      <c r="B3468" s="44"/>
    </row>
    <row r="3469">
      <c r="A3469" s="44"/>
      <c r="B3469" s="44"/>
    </row>
    <row r="3470">
      <c r="A3470" s="44"/>
      <c r="B3470" s="44"/>
    </row>
    <row r="3471">
      <c r="A3471" s="44"/>
      <c r="B3471" s="44"/>
    </row>
    <row r="3472">
      <c r="A3472" s="44"/>
      <c r="B3472" s="44"/>
    </row>
    <row r="3473">
      <c r="A3473" s="44"/>
      <c r="B3473" s="44"/>
    </row>
    <row r="3474">
      <c r="A3474" s="44"/>
      <c r="B3474" s="44"/>
    </row>
    <row r="3475">
      <c r="A3475" s="44"/>
      <c r="B3475" s="44"/>
    </row>
    <row r="3476">
      <c r="A3476" s="44"/>
      <c r="B3476" s="44"/>
    </row>
    <row r="3477">
      <c r="A3477" s="44"/>
      <c r="B3477" s="44"/>
    </row>
    <row r="3478">
      <c r="A3478" s="44"/>
      <c r="B3478" s="44"/>
    </row>
    <row r="3479">
      <c r="A3479" s="44"/>
      <c r="B3479" s="44"/>
    </row>
    <row r="3480">
      <c r="A3480" s="44"/>
      <c r="B3480" s="44"/>
    </row>
    <row r="3481">
      <c r="A3481" s="44"/>
      <c r="B3481" s="44"/>
    </row>
    <row r="3482">
      <c r="A3482" s="44"/>
      <c r="B3482" s="44"/>
    </row>
    <row r="3483">
      <c r="A3483" s="44"/>
      <c r="B3483" s="44"/>
    </row>
    <row r="3484">
      <c r="A3484" s="44"/>
      <c r="B3484" s="44"/>
    </row>
    <row r="3485">
      <c r="A3485" s="44"/>
      <c r="B3485" s="44"/>
    </row>
    <row r="3486">
      <c r="A3486" s="44"/>
      <c r="B3486" s="44"/>
    </row>
    <row r="3487">
      <c r="A3487" s="44"/>
      <c r="B3487" s="44"/>
    </row>
    <row r="3488">
      <c r="A3488" s="44"/>
      <c r="B3488" s="44"/>
    </row>
    <row r="3489">
      <c r="A3489" s="44"/>
      <c r="B3489" s="44"/>
    </row>
    <row r="3490">
      <c r="A3490" s="44"/>
      <c r="B3490" s="44"/>
    </row>
    <row r="3491">
      <c r="A3491" s="44"/>
      <c r="B3491" s="44"/>
    </row>
    <row r="3492">
      <c r="A3492" s="44"/>
      <c r="B3492" s="44"/>
    </row>
    <row r="3493">
      <c r="A3493" s="44"/>
      <c r="B3493" s="44"/>
    </row>
    <row r="3494">
      <c r="A3494" s="44"/>
      <c r="B3494" s="44"/>
    </row>
    <row r="3495">
      <c r="A3495" s="44"/>
      <c r="B3495" s="44"/>
    </row>
    <row r="3496">
      <c r="A3496" s="44"/>
      <c r="B3496" s="44"/>
    </row>
    <row r="3497">
      <c r="A3497" s="44"/>
      <c r="B3497" s="44"/>
    </row>
    <row r="3498">
      <c r="A3498" s="44"/>
      <c r="B3498" s="44"/>
    </row>
    <row r="3499">
      <c r="A3499" s="44"/>
      <c r="B3499" s="44"/>
    </row>
    <row r="3500">
      <c r="A3500" s="44"/>
      <c r="B3500" s="44"/>
    </row>
    <row r="3501">
      <c r="A3501" s="44"/>
      <c r="B3501" s="44"/>
    </row>
    <row r="3502">
      <c r="A3502" s="44"/>
      <c r="B3502" s="44"/>
    </row>
    <row r="3503">
      <c r="A3503" s="44"/>
      <c r="B3503" s="44"/>
    </row>
    <row r="3504">
      <c r="A3504" s="44"/>
      <c r="B3504" s="44"/>
    </row>
    <row r="3505">
      <c r="A3505" s="44"/>
      <c r="B3505" s="44"/>
    </row>
    <row r="3506">
      <c r="A3506" s="44"/>
      <c r="B3506" s="44"/>
    </row>
    <row r="3507">
      <c r="A3507" s="44"/>
      <c r="B3507" s="44"/>
    </row>
    <row r="3508">
      <c r="A3508" s="44"/>
      <c r="B3508" s="44"/>
    </row>
    <row r="3509">
      <c r="A3509" s="44"/>
      <c r="B3509" s="44"/>
    </row>
    <row r="3510">
      <c r="A3510" s="44"/>
      <c r="B3510" s="44"/>
    </row>
    <row r="3511">
      <c r="A3511" s="44"/>
      <c r="B3511" s="44"/>
    </row>
    <row r="3512">
      <c r="A3512" s="44"/>
      <c r="B3512" s="44"/>
    </row>
    <row r="3513">
      <c r="A3513" s="44"/>
      <c r="B3513" s="44"/>
    </row>
    <row r="3514">
      <c r="A3514" s="44"/>
      <c r="B3514" s="44"/>
    </row>
    <row r="3515">
      <c r="A3515" s="44"/>
      <c r="B3515" s="44"/>
    </row>
    <row r="3516">
      <c r="A3516" s="44"/>
      <c r="B3516" s="44"/>
    </row>
    <row r="3517">
      <c r="A3517" s="44"/>
      <c r="B3517" s="44"/>
    </row>
    <row r="3518">
      <c r="A3518" s="44"/>
      <c r="B3518" s="44"/>
    </row>
    <row r="3519">
      <c r="A3519" s="44"/>
      <c r="B3519" s="44"/>
    </row>
    <row r="3520">
      <c r="A3520" s="44"/>
      <c r="B3520" s="44"/>
    </row>
    <row r="3521">
      <c r="A3521" s="44"/>
      <c r="B3521" s="44"/>
    </row>
    <row r="3522">
      <c r="A3522" s="44"/>
      <c r="B3522" s="44"/>
    </row>
    <row r="3523">
      <c r="A3523" s="44"/>
      <c r="B3523" s="44"/>
    </row>
    <row r="3524">
      <c r="A3524" s="44"/>
      <c r="B3524" s="44"/>
    </row>
    <row r="3525">
      <c r="A3525" s="44"/>
      <c r="B3525" s="44"/>
    </row>
    <row r="3526">
      <c r="A3526" s="44"/>
      <c r="B3526" s="44"/>
    </row>
    <row r="3527">
      <c r="A3527" s="44"/>
      <c r="B3527" s="44"/>
    </row>
    <row r="3528">
      <c r="A3528" s="44"/>
      <c r="B3528" s="44"/>
    </row>
    <row r="3529">
      <c r="A3529" s="44"/>
      <c r="B3529" s="44"/>
    </row>
    <row r="3530">
      <c r="A3530" s="44"/>
      <c r="B3530" s="44"/>
    </row>
    <row r="3531">
      <c r="A3531" s="44"/>
      <c r="B3531" s="44"/>
    </row>
    <row r="3532">
      <c r="A3532" s="44"/>
      <c r="B3532" s="44"/>
    </row>
    <row r="3533">
      <c r="A3533" s="44"/>
      <c r="B3533" s="44"/>
    </row>
    <row r="3534">
      <c r="A3534" s="44"/>
      <c r="B3534" s="44"/>
    </row>
    <row r="3535">
      <c r="A3535" s="44"/>
      <c r="B3535" s="44"/>
    </row>
    <row r="3536">
      <c r="A3536" s="44"/>
      <c r="B3536" s="44"/>
    </row>
    <row r="3537">
      <c r="A3537" s="44"/>
      <c r="B3537" s="44"/>
    </row>
    <row r="3538">
      <c r="A3538" s="44"/>
      <c r="B3538" s="44"/>
    </row>
    <row r="3539">
      <c r="A3539" s="44"/>
      <c r="B3539" s="44"/>
    </row>
    <row r="3540">
      <c r="A3540" s="44"/>
      <c r="B3540" s="44"/>
    </row>
    <row r="3541">
      <c r="A3541" s="44"/>
      <c r="B3541" s="44"/>
    </row>
    <row r="3542">
      <c r="A3542" s="44"/>
      <c r="B3542" s="44"/>
    </row>
    <row r="3543">
      <c r="A3543" s="44"/>
      <c r="B3543" s="44"/>
    </row>
    <row r="3544">
      <c r="A3544" s="44"/>
      <c r="B3544" s="44"/>
    </row>
    <row r="3545">
      <c r="A3545" s="44"/>
      <c r="B3545" s="44"/>
    </row>
    <row r="3546">
      <c r="A3546" s="44"/>
      <c r="B3546" s="44"/>
    </row>
    <row r="3547">
      <c r="A3547" s="44"/>
      <c r="B3547" s="44"/>
    </row>
    <row r="3548">
      <c r="A3548" s="44"/>
      <c r="B3548" s="44"/>
    </row>
    <row r="3549">
      <c r="A3549" s="44"/>
      <c r="B3549" s="44"/>
    </row>
    <row r="3550">
      <c r="A3550" s="44"/>
      <c r="B3550" s="44"/>
    </row>
    <row r="3551">
      <c r="A3551" s="44"/>
      <c r="B3551" s="44"/>
    </row>
    <row r="3552">
      <c r="A3552" s="44"/>
      <c r="B3552" s="44"/>
    </row>
    <row r="3553">
      <c r="A3553" s="44"/>
      <c r="B3553" s="44"/>
    </row>
    <row r="3554">
      <c r="A3554" s="44"/>
      <c r="B3554" s="44"/>
    </row>
    <row r="3555">
      <c r="A3555" s="44"/>
      <c r="B3555" s="44"/>
    </row>
    <row r="3556">
      <c r="A3556" s="44"/>
      <c r="B3556" s="44"/>
    </row>
    <row r="3557">
      <c r="A3557" s="44"/>
      <c r="B3557" s="44"/>
    </row>
    <row r="3558">
      <c r="A3558" s="44"/>
      <c r="B3558" s="44"/>
    </row>
    <row r="3559">
      <c r="A3559" s="44"/>
      <c r="B3559" s="44"/>
    </row>
    <row r="3560">
      <c r="A3560" s="44"/>
      <c r="B3560" s="44"/>
    </row>
    <row r="3561">
      <c r="A3561" s="44"/>
      <c r="B3561" s="44"/>
    </row>
    <row r="3562">
      <c r="A3562" s="44"/>
      <c r="B3562" s="44"/>
    </row>
    <row r="3563">
      <c r="A3563" s="44"/>
      <c r="B3563" s="44"/>
    </row>
    <row r="3564">
      <c r="A3564" s="44"/>
      <c r="B3564" s="44"/>
    </row>
    <row r="3565">
      <c r="A3565" s="44"/>
      <c r="B3565" s="44"/>
    </row>
    <row r="3566">
      <c r="A3566" s="44"/>
      <c r="B3566" s="44"/>
    </row>
    <row r="3567">
      <c r="A3567" s="44"/>
      <c r="B3567" s="44"/>
    </row>
    <row r="3568">
      <c r="A3568" s="44"/>
      <c r="B3568" s="44"/>
    </row>
    <row r="3569">
      <c r="A3569" s="44"/>
      <c r="B3569" s="44"/>
    </row>
    <row r="3570">
      <c r="A3570" s="44"/>
      <c r="B3570" s="44"/>
    </row>
    <row r="3571">
      <c r="A3571" s="44"/>
      <c r="B3571" s="44"/>
    </row>
    <row r="3572">
      <c r="A3572" s="44"/>
      <c r="B3572" s="44"/>
    </row>
    <row r="3573">
      <c r="A3573" s="44"/>
      <c r="B3573" s="44"/>
    </row>
  </sheetData>
  <autoFilter ref="$A$1:$E$336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tr">
        <f>IFERROR(__xludf.DUMMYFUNCTION("QUERY('듀오전적'!A:D, ""select B, sum(C), sum(D), sum(C) / (sum(C) + sum(D)) where B is not null group by B order by sum(C) desc, sum(D) asc label sum(C) '총 승', sum(D) '총 패', sum(C) / (sum(C) + sum(D)) '승률' format sum(C) / (sum(C) + sum(D)) '0.0%'"", 1)"),"듀오조합")</f>
        <v>듀오조합</v>
      </c>
      <c r="B1" s="45" t="str">
        <f>IFERROR(__xludf.DUMMYFUNCTION("""COMPUTED_VALUE"""),"총 승")</f>
        <v>총 승</v>
      </c>
      <c r="C1" s="45" t="str">
        <f>IFERROR(__xludf.DUMMYFUNCTION("""COMPUTED_VALUE"""),"총 패")</f>
        <v>총 패</v>
      </c>
      <c r="D1" s="45" t="str">
        <f>IFERROR(__xludf.DUMMYFUNCTION("""COMPUTED_VALUE"""),"승률")</f>
        <v>승률</v>
      </c>
    </row>
    <row r="2">
      <c r="A2" s="43" t="str">
        <f>IFERROR(__xludf.DUMMYFUNCTION("""COMPUTED_VALUE"""),"깡패&amp;신형만")</f>
        <v>깡패&amp;신형만</v>
      </c>
      <c r="B2" s="43">
        <f>IFERROR(__xludf.DUMMYFUNCTION("""COMPUTED_VALUE"""),271.0)</f>
        <v>271</v>
      </c>
      <c r="C2" s="43">
        <f>IFERROR(__xludf.DUMMYFUNCTION("""COMPUTED_VALUE"""),234.0)</f>
        <v>234</v>
      </c>
      <c r="D2" s="46">
        <f>IFERROR(__xludf.DUMMYFUNCTION("""COMPUTED_VALUE"""),0.5366336633663367)</f>
        <v>0.5366336634</v>
      </c>
    </row>
    <row r="3">
      <c r="A3" s="43" t="str">
        <f>IFERROR(__xludf.DUMMYFUNCTION("""COMPUTED_VALUE"""),"신형만&amp;테리")</f>
        <v>신형만&amp;테리</v>
      </c>
      <c r="B3" s="43">
        <f>IFERROR(__xludf.DUMMYFUNCTION("""COMPUTED_VALUE"""),241.0)</f>
        <v>241</v>
      </c>
      <c r="C3" s="43">
        <f>IFERROR(__xludf.DUMMYFUNCTION("""COMPUTED_VALUE"""),145.0)</f>
        <v>145</v>
      </c>
      <c r="D3" s="46">
        <f>IFERROR(__xludf.DUMMYFUNCTION("""COMPUTED_VALUE"""),0.6243523316062176)</f>
        <v>0.6243523316</v>
      </c>
    </row>
    <row r="4">
      <c r="A4" s="43" t="str">
        <f>IFERROR(__xludf.DUMMYFUNCTION("""COMPUTED_VALUE"""),"깡패&amp;테리")</f>
        <v>깡패&amp;테리</v>
      </c>
      <c r="B4" s="43">
        <f>IFERROR(__xludf.DUMMYFUNCTION("""COMPUTED_VALUE"""),222.0)</f>
        <v>222</v>
      </c>
      <c r="C4" s="43">
        <f>IFERROR(__xludf.DUMMYFUNCTION("""COMPUTED_VALUE"""),118.0)</f>
        <v>118</v>
      </c>
      <c r="D4" s="46">
        <f>IFERROR(__xludf.DUMMYFUNCTION("""COMPUTED_VALUE"""),0.6529411764705882)</f>
        <v>0.6529411765</v>
      </c>
    </row>
    <row r="5">
      <c r="A5" s="43" t="str">
        <f>IFERROR(__xludf.DUMMYFUNCTION("""COMPUTED_VALUE"""),"신형만&amp;한메")</f>
        <v>신형만&amp;한메</v>
      </c>
      <c r="B5" s="43">
        <f>IFERROR(__xludf.DUMMYFUNCTION("""COMPUTED_VALUE"""),220.0)</f>
        <v>220</v>
      </c>
      <c r="C5" s="43">
        <f>IFERROR(__xludf.DUMMYFUNCTION("""COMPUTED_VALUE"""),174.0)</f>
        <v>174</v>
      </c>
      <c r="D5" s="46">
        <f>IFERROR(__xludf.DUMMYFUNCTION("""COMPUTED_VALUE"""),0.5583756345177665)</f>
        <v>0.5583756345</v>
      </c>
    </row>
    <row r="6">
      <c r="A6" s="43" t="str">
        <f>IFERROR(__xludf.DUMMYFUNCTION("""COMPUTED_VALUE"""),"ACDC&amp;신형만")</f>
        <v>ACDC&amp;신형만</v>
      </c>
      <c r="B6" s="43">
        <f>IFERROR(__xludf.DUMMYFUNCTION("""COMPUTED_VALUE"""),200.0)</f>
        <v>200</v>
      </c>
      <c r="C6" s="43">
        <f>IFERROR(__xludf.DUMMYFUNCTION("""COMPUTED_VALUE"""),300.0)</f>
        <v>300</v>
      </c>
      <c r="D6" s="46">
        <f>IFERROR(__xludf.DUMMYFUNCTION("""COMPUTED_VALUE"""),0.4)</f>
        <v>0.4</v>
      </c>
    </row>
    <row r="7">
      <c r="A7" s="43" t="str">
        <f>IFERROR(__xludf.DUMMYFUNCTION("""COMPUTED_VALUE"""),"테리&amp;한메")</f>
        <v>테리&amp;한메</v>
      </c>
      <c r="B7" s="43">
        <f>IFERROR(__xludf.DUMMYFUNCTION("""COMPUTED_VALUE"""),183.0)</f>
        <v>183</v>
      </c>
      <c r="C7" s="43">
        <f>IFERROR(__xludf.DUMMYFUNCTION("""COMPUTED_VALUE"""),102.0)</f>
        <v>102</v>
      </c>
      <c r="D7" s="46">
        <f>IFERROR(__xludf.DUMMYFUNCTION("""COMPUTED_VALUE"""),0.6421052631578947)</f>
        <v>0.6421052632</v>
      </c>
    </row>
    <row r="8">
      <c r="A8" s="43" t="str">
        <f>IFERROR(__xludf.DUMMYFUNCTION("""COMPUTED_VALUE"""),"노인&amp;신형만")</f>
        <v>노인&amp;신형만</v>
      </c>
      <c r="B8" s="43">
        <f>IFERROR(__xludf.DUMMYFUNCTION("""COMPUTED_VALUE"""),178.0)</f>
        <v>178</v>
      </c>
      <c r="C8" s="43">
        <f>IFERROR(__xludf.DUMMYFUNCTION("""COMPUTED_VALUE"""),174.0)</f>
        <v>174</v>
      </c>
      <c r="D8" s="46">
        <f>IFERROR(__xludf.DUMMYFUNCTION("""COMPUTED_VALUE"""),0.5056818181818182)</f>
        <v>0.5056818182</v>
      </c>
    </row>
    <row r="9">
      <c r="A9" s="43" t="str">
        <f>IFERROR(__xludf.DUMMYFUNCTION("""COMPUTED_VALUE"""),"깡패&amp;짱구")</f>
        <v>깡패&amp;짱구</v>
      </c>
      <c r="B9" s="43">
        <f>IFERROR(__xludf.DUMMYFUNCTION("""COMPUTED_VALUE"""),166.0)</f>
        <v>166</v>
      </c>
      <c r="C9" s="43">
        <f>IFERROR(__xludf.DUMMYFUNCTION("""COMPUTED_VALUE"""),110.0)</f>
        <v>110</v>
      </c>
      <c r="D9" s="46">
        <f>IFERROR(__xludf.DUMMYFUNCTION("""COMPUTED_VALUE"""),0.6014492753623188)</f>
        <v>0.6014492754</v>
      </c>
    </row>
    <row r="10">
      <c r="A10" s="43" t="str">
        <f>IFERROR(__xludf.DUMMYFUNCTION("""COMPUTED_VALUE"""),"신형만&amp;짱구")</f>
        <v>신형만&amp;짱구</v>
      </c>
      <c r="B10" s="43">
        <f>IFERROR(__xludf.DUMMYFUNCTION("""COMPUTED_VALUE"""),165.0)</f>
        <v>165</v>
      </c>
      <c r="C10" s="43">
        <f>IFERROR(__xludf.DUMMYFUNCTION("""COMPUTED_VALUE"""),116.0)</f>
        <v>116</v>
      </c>
      <c r="D10" s="46">
        <f>IFERROR(__xludf.DUMMYFUNCTION("""COMPUTED_VALUE"""),0.5871886120996441)</f>
        <v>0.5871886121</v>
      </c>
    </row>
    <row r="11">
      <c r="A11" s="43" t="str">
        <f>IFERROR(__xludf.DUMMYFUNCTION("""COMPUTED_VALUE"""),"노인&amp;테리")</f>
        <v>노인&amp;테리</v>
      </c>
      <c r="B11" s="43">
        <f>IFERROR(__xludf.DUMMYFUNCTION("""COMPUTED_VALUE"""),163.0)</f>
        <v>163</v>
      </c>
      <c r="C11" s="43">
        <f>IFERROR(__xludf.DUMMYFUNCTION("""COMPUTED_VALUE"""),86.0)</f>
        <v>86</v>
      </c>
      <c r="D11" s="46">
        <f>IFERROR(__xludf.DUMMYFUNCTION("""COMPUTED_VALUE"""),0.6546184738955824)</f>
        <v>0.6546184739</v>
      </c>
    </row>
    <row r="12">
      <c r="A12" s="43" t="str">
        <f>IFERROR(__xludf.DUMMYFUNCTION("""COMPUTED_VALUE"""),"깡패&amp;한메")</f>
        <v>깡패&amp;한메</v>
      </c>
      <c r="B12" s="43">
        <f>IFERROR(__xludf.DUMMYFUNCTION("""COMPUTED_VALUE"""),160.0)</f>
        <v>160</v>
      </c>
      <c r="C12" s="43">
        <f>IFERROR(__xludf.DUMMYFUNCTION("""COMPUTED_VALUE"""),169.0)</f>
        <v>169</v>
      </c>
      <c r="D12" s="46">
        <f>IFERROR(__xludf.DUMMYFUNCTION("""COMPUTED_VALUE"""),0.48632218844984804)</f>
        <v>0.4863221884</v>
      </c>
    </row>
    <row r="13">
      <c r="A13" s="43" t="str">
        <f>IFERROR(__xludf.DUMMYFUNCTION("""COMPUTED_VALUE"""),"ACDC&amp;깡패")</f>
        <v>ACDC&amp;깡패</v>
      </c>
      <c r="B13" s="43">
        <f>IFERROR(__xludf.DUMMYFUNCTION("""COMPUTED_VALUE"""),143.0)</f>
        <v>143</v>
      </c>
      <c r="C13" s="43">
        <f>IFERROR(__xludf.DUMMYFUNCTION("""COMPUTED_VALUE"""),267.0)</f>
        <v>267</v>
      </c>
      <c r="D13" s="46">
        <f>IFERROR(__xludf.DUMMYFUNCTION("""COMPUTED_VALUE"""),0.348780487804878)</f>
        <v>0.3487804878</v>
      </c>
    </row>
    <row r="14">
      <c r="A14" s="43" t="str">
        <f>IFERROR(__xludf.DUMMYFUNCTION("""COMPUTED_VALUE"""),"신형만&amp;원")</f>
        <v>신형만&amp;원</v>
      </c>
      <c r="B14" s="43">
        <f>IFERROR(__xludf.DUMMYFUNCTION("""COMPUTED_VALUE"""),142.0)</f>
        <v>142</v>
      </c>
      <c r="C14" s="43">
        <f>IFERROR(__xludf.DUMMYFUNCTION("""COMPUTED_VALUE"""),59.0)</f>
        <v>59</v>
      </c>
      <c r="D14" s="46">
        <f>IFERROR(__xludf.DUMMYFUNCTION("""COMPUTED_VALUE"""),0.7064676616915423)</f>
        <v>0.7064676617</v>
      </c>
    </row>
    <row r="15">
      <c r="A15" s="43" t="str">
        <f>IFERROR(__xludf.DUMMYFUNCTION("""COMPUTED_VALUE"""),"깡패&amp;노인")</f>
        <v>깡패&amp;노인</v>
      </c>
      <c r="B15" s="43">
        <f>IFERROR(__xludf.DUMMYFUNCTION("""COMPUTED_VALUE"""),142.0)</f>
        <v>142</v>
      </c>
      <c r="C15" s="43">
        <f>IFERROR(__xludf.DUMMYFUNCTION("""COMPUTED_VALUE"""),133.0)</f>
        <v>133</v>
      </c>
      <c r="D15" s="46">
        <f>IFERROR(__xludf.DUMMYFUNCTION("""COMPUTED_VALUE"""),0.5163636363636364)</f>
        <v>0.5163636364</v>
      </c>
    </row>
    <row r="16">
      <c r="A16" s="43" t="str">
        <f>IFERROR(__xludf.DUMMYFUNCTION("""COMPUTED_VALUE"""),"ACDC&amp;테리")</f>
        <v>ACDC&amp;테리</v>
      </c>
      <c r="B16" s="43">
        <f>IFERROR(__xludf.DUMMYFUNCTION("""COMPUTED_VALUE"""),135.0)</f>
        <v>135</v>
      </c>
      <c r="C16" s="43">
        <f>IFERROR(__xludf.DUMMYFUNCTION("""COMPUTED_VALUE"""),150.0)</f>
        <v>150</v>
      </c>
      <c r="D16" s="46">
        <f>IFERROR(__xludf.DUMMYFUNCTION("""COMPUTED_VALUE"""),0.47368421052631576)</f>
        <v>0.4736842105</v>
      </c>
    </row>
    <row r="17">
      <c r="A17" s="43" t="str">
        <f>IFERROR(__xludf.DUMMYFUNCTION("""COMPUTED_VALUE"""),"강화&amp;신형만")</f>
        <v>강화&amp;신형만</v>
      </c>
      <c r="B17" s="43">
        <f>IFERROR(__xludf.DUMMYFUNCTION("""COMPUTED_VALUE"""),121.0)</f>
        <v>121</v>
      </c>
      <c r="C17" s="43">
        <f>IFERROR(__xludf.DUMMYFUNCTION("""COMPUTED_VALUE"""),136.0)</f>
        <v>136</v>
      </c>
      <c r="D17" s="46">
        <f>IFERROR(__xludf.DUMMYFUNCTION("""COMPUTED_VALUE"""),0.4708171206225681)</f>
        <v>0.4708171206</v>
      </c>
    </row>
    <row r="18">
      <c r="A18" s="43" t="str">
        <f>IFERROR(__xludf.DUMMYFUNCTION("""COMPUTED_VALUE"""),"깡패&amp;원")</f>
        <v>깡패&amp;원</v>
      </c>
      <c r="B18" s="43">
        <f>IFERROR(__xludf.DUMMYFUNCTION("""COMPUTED_VALUE"""),119.0)</f>
        <v>119</v>
      </c>
      <c r="C18" s="43">
        <f>IFERROR(__xludf.DUMMYFUNCTION("""COMPUTED_VALUE"""),45.0)</f>
        <v>45</v>
      </c>
      <c r="D18" s="46">
        <f>IFERROR(__xludf.DUMMYFUNCTION("""COMPUTED_VALUE"""),0.725609756097561)</f>
        <v>0.7256097561</v>
      </c>
    </row>
    <row r="19">
      <c r="A19" s="43" t="str">
        <f>IFERROR(__xludf.DUMMYFUNCTION("""COMPUTED_VALUE"""),"짱구&amp;테리")</f>
        <v>짱구&amp;테리</v>
      </c>
      <c r="B19" s="43">
        <f>IFERROR(__xludf.DUMMYFUNCTION("""COMPUTED_VALUE"""),118.0)</f>
        <v>118</v>
      </c>
      <c r="C19" s="43">
        <f>IFERROR(__xludf.DUMMYFUNCTION("""COMPUTED_VALUE"""),56.0)</f>
        <v>56</v>
      </c>
      <c r="D19" s="46">
        <f>IFERROR(__xludf.DUMMYFUNCTION("""COMPUTED_VALUE"""),0.6781609195402298)</f>
        <v>0.6781609195</v>
      </c>
    </row>
    <row r="20">
      <c r="A20" s="43" t="str">
        <f>IFERROR(__xludf.DUMMYFUNCTION("""COMPUTED_VALUE"""),"ACDC&amp;한메")</f>
        <v>ACDC&amp;한메</v>
      </c>
      <c r="B20" s="43">
        <f>IFERROR(__xludf.DUMMYFUNCTION("""COMPUTED_VALUE"""),118.0)</f>
        <v>118</v>
      </c>
      <c r="C20" s="43">
        <f>IFERROR(__xludf.DUMMYFUNCTION("""COMPUTED_VALUE"""),212.0)</f>
        <v>212</v>
      </c>
      <c r="D20" s="46">
        <f>IFERROR(__xludf.DUMMYFUNCTION("""COMPUTED_VALUE"""),0.3575757575757576)</f>
        <v>0.3575757576</v>
      </c>
    </row>
    <row r="21">
      <c r="A21" s="43" t="str">
        <f>IFERROR(__xludf.DUMMYFUNCTION("""COMPUTED_VALUE"""),"신형만&amp;재우")</f>
        <v>신형만&amp;재우</v>
      </c>
      <c r="B21" s="43">
        <f>IFERROR(__xludf.DUMMYFUNCTION("""COMPUTED_VALUE"""),113.0)</f>
        <v>113</v>
      </c>
      <c r="C21" s="43">
        <f>IFERROR(__xludf.DUMMYFUNCTION("""COMPUTED_VALUE"""),72.0)</f>
        <v>72</v>
      </c>
      <c r="D21" s="46">
        <f>IFERROR(__xludf.DUMMYFUNCTION("""COMPUTED_VALUE"""),0.6108108108108108)</f>
        <v>0.6108108108</v>
      </c>
    </row>
    <row r="22">
      <c r="A22" s="43" t="str">
        <f>IFERROR(__xludf.DUMMYFUNCTION("""COMPUTED_VALUE"""),"원&amp;테리")</f>
        <v>원&amp;테리</v>
      </c>
      <c r="B22" s="43">
        <f>IFERROR(__xludf.DUMMYFUNCTION("""COMPUTED_VALUE"""),110.0)</f>
        <v>110</v>
      </c>
      <c r="C22" s="43">
        <f>IFERROR(__xludf.DUMMYFUNCTION("""COMPUTED_VALUE"""),34.0)</f>
        <v>34</v>
      </c>
      <c r="D22" s="46">
        <f>IFERROR(__xludf.DUMMYFUNCTION("""COMPUTED_VALUE"""),0.7638888888888888)</f>
        <v>0.7638888889</v>
      </c>
    </row>
    <row r="23">
      <c r="A23" s="43" t="str">
        <f>IFERROR(__xludf.DUMMYFUNCTION("""COMPUTED_VALUE"""),"노인&amp;한메")</f>
        <v>노인&amp;한메</v>
      </c>
      <c r="B23" s="43">
        <f>IFERROR(__xludf.DUMMYFUNCTION("""COMPUTED_VALUE"""),110.0)</f>
        <v>110</v>
      </c>
      <c r="C23" s="43">
        <f>IFERROR(__xludf.DUMMYFUNCTION("""COMPUTED_VALUE"""),120.0)</f>
        <v>120</v>
      </c>
      <c r="D23" s="46">
        <f>IFERROR(__xludf.DUMMYFUNCTION("""COMPUTED_VALUE"""),0.4782608695652174)</f>
        <v>0.4782608696</v>
      </c>
    </row>
    <row r="24">
      <c r="A24" s="43" t="str">
        <f>IFERROR(__xludf.DUMMYFUNCTION("""COMPUTED_VALUE"""),"짱구&amp;한메")</f>
        <v>짱구&amp;한메</v>
      </c>
      <c r="B24" s="43">
        <f>IFERROR(__xludf.DUMMYFUNCTION("""COMPUTED_VALUE"""),109.0)</f>
        <v>109</v>
      </c>
      <c r="C24" s="43">
        <f>IFERROR(__xludf.DUMMYFUNCTION("""COMPUTED_VALUE"""),73.0)</f>
        <v>73</v>
      </c>
      <c r="D24" s="46">
        <f>IFERROR(__xludf.DUMMYFUNCTION("""COMPUTED_VALUE"""),0.5989010989010989)</f>
        <v>0.5989010989</v>
      </c>
    </row>
    <row r="25">
      <c r="A25" s="43" t="str">
        <f>IFERROR(__xludf.DUMMYFUNCTION("""COMPUTED_VALUE"""),"ACDC&amp;짱구")</f>
        <v>ACDC&amp;짱구</v>
      </c>
      <c r="B25" s="43">
        <f>IFERROR(__xludf.DUMMYFUNCTION("""COMPUTED_VALUE"""),103.0)</f>
        <v>103</v>
      </c>
      <c r="C25" s="43">
        <f>IFERROR(__xludf.DUMMYFUNCTION("""COMPUTED_VALUE"""),129.0)</f>
        <v>129</v>
      </c>
      <c r="D25" s="46">
        <f>IFERROR(__xludf.DUMMYFUNCTION("""COMPUTED_VALUE"""),0.44396551724137934)</f>
        <v>0.4439655172</v>
      </c>
    </row>
    <row r="26">
      <c r="A26" s="43" t="str">
        <f>IFERROR(__xludf.DUMMYFUNCTION("""COMPUTED_VALUE"""),"넘버&amp;신형만")</f>
        <v>넘버&amp;신형만</v>
      </c>
      <c r="B26" s="43">
        <f>IFERROR(__xludf.DUMMYFUNCTION("""COMPUTED_VALUE"""),99.0)</f>
        <v>99</v>
      </c>
      <c r="C26" s="43">
        <f>IFERROR(__xludf.DUMMYFUNCTION("""COMPUTED_VALUE"""),81.0)</f>
        <v>81</v>
      </c>
      <c r="D26" s="46">
        <f>IFERROR(__xludf.DUMMYFUNCTION("""COMPUTED_VALUE"""),0.55)</f>
        <v>0.55</v>
      </c>
    </row>
    <row r="27">
      <c r="A27" s="43" t="str">
        <f>IFERROR(__xludf.DUMMYFUNCTION("""COMPUTED_VALUE"""),"노인&amp;원")</f>
        <v>노인&amp;원</v>
      </c>
      <c r="B27" s="43">
        <f>IFERROR(__xludf.DUMMYFUNCTION("""COMPUTED_VALUE"""),96.0)</f>
        <v>96</v>
      </c>
      <c r="C27" s="43">
        <f>IFERROR(__xludf.DUMMYFUNCTION("""COMPUTED_VALUE"""),55.0)</f>
        <v>55</v>
      </c>
      <c r="D27" s="46">
        <f>IFERROR(__xludf.DUMMYFUNCTION("""COMPUTED_VALUE"""),0.6357615894039735)</f>
        <v>0.6357615894</v>
      </c>
    </row>
    <row r="28">
      <c r="A28" s="43" t="str">
        <f>IFERROR(__xludf.DUMMYFUNCTION("""COMPUTED_VALUE"""),"깡패&amp;재우")</f>
        <v>깡패&amp;재우</v>
      </c>
      <c r="B28" s="43">
        <f>IFERROR(__xludf.DUMMYFUNCTION("""COMPUTED_VALUE"""),94.0)</f>
        <v>94</v>
      </c>
      <c r="C28" s="43">
        <f>IFERROR(__xludf.DUMMYFUNCTION("""COMPUTED_VALUE"""),81.0)</f>
        <v>81</v>
      </c>
      <c r="D28" s="46">
        <f>IFERROR(__xludf.DUMMYFUNCTION("""COMPUTED_VALUE"""),0.5371428571428571)</f>
        <v>0.5371428571</v>
      </c>
    </row>
    <row r="29">
      <c r="A29" s="43" t="str">
        <f>IFERROR(__xludf.DUMMYFUNCTION("""COMPUTED_VALUE"""),"노인&amp;짱구")</f>
        <v>노인&amp;짱구</v>
      </c>
      <c r="B29" s="43">
        <f>IFERROR(__xludf.DUMMYFUNCTION("""COMPUTED_VALUE"""),90.0)</f>
        <v>90</v>
      </c>
      <c r="C29" s="43">
        <f>IFERROR(__xludf.DUMMYFUNCTION("""COMPUTED_VALUE"""),59.0)</f>
        <v>59</v>
      </c>
      <c r="D29" s="46">
        <f>IFERROR(__xludf.DUMMYFUNCTION("""COMPUTED_VALUE"""),0.6040268456375839)</f>
        <v>0.6040268456</v>
      </c>
    </row>
    <row r="30">
      <c r="A30" s="43" t="str">
        <f>IFERROR(__xludf.DUMMYFUNCTION("""COMPUTED_VALUE"""),"신형만&amp;참치")</f>
        <v>신형만&amp;참치</v>
      </c>
      <c r="B30" s="43">
        <f>IFERROR(__xludf.DUMMYFUNCTION("""COMPUTED_VALUE"""),87.0)</f>
        <v>87</v>
      </c>
      <c r="C30" s="43">
        <f>IFERROR(__xludf.DUMMYFUNCTION("""COMPUTED_VALUE"""),90.0)</f>
        <v>90</v>
      </c>
      <c r="D30" s="46">
        <f>IFERROR(__xludf.DUMMYFUNCTION("""COMPUTED_VALUE"""),0.4915254237288136)</f>
        <v>0.4915254237</v>
      </c>
    </row>
    <row r="31">
      <c r="A31" s="43" t="str">
        <f>IFERROR(__xludf.DUMMYFUNCTION("""COMPUTED_VALUE"""),"넘버&amp;테리")</f>
        <v>넘버&amp;테리</v>
      </c>
      <c r="B31" s="43">
        <f>IFERROR(__xludf.DUMMYFUNCTION("""COMPUTED_VALUE"""),85.0)</f>
        <v>85</v>
      </c>
      <c r="C31" s="43">
        <f>IFERROR(__xludf.DUMMYFUNCTION("""COMPUTED_VALUE"""),34.0)</f>
        <v>34</v>
      </c>
      <c r="D31" s="46">
        <f>IFERROR(__xludf.DUMMYFUNCTION("""COMPUTED_VALUE"""),0.7142857142857143)</f>
        <v>0.7142857143</v>
      </c>
    </row>
    <row r="32">
      <c r="A32" s="43" t="str">
        <f>IFERROR(__xludf.DUMMYFUNCTION("""COMPUTED_VALUE"""),"깡패&amp;넘버")</f>
        <v>깡패&amp;넘버</v>
      </c>
      <c r="B32" s="43">
        <f>IFERROR(__xludf.DUMMYFUNCTION("""COMPUTED_VALUE"""),85.0)</f>
        <v>85</v>
      </c>
      <c r="C32" s="43">
        <f>IFERROR(__xludf.DUMMYFUNCTION("""COMPUTED_VALUE"""),43.0)</f>
        <v>43</v>
      </c>
      <c r="D32" s="46">
        <f>IFERROR(__xludf.DUMMYFUNCTION("""COMPUTED_VALUE"""),0.6640625)</f>
        <v>0.6640625</v>
      </c>
    </row>
    <row r="33">
      <c r="A33" s="43" t="str">
        <f>IFERROR(__xludf.DUMMYFUNCTION("""COMPUTED_VALUE"""),"재우&amp;한메")</f>
        <v>재우&amp;한메</v>
      </c>
      <c r="B33" s="43">
        <f>IFERROR(__xludf.DUMMYFUNCTION("""COMPUTED_VALUE"""),85.0)</f>
        <v>85</v>
      </c>
      <c r="C33" s="43">
        <f>IFERROR(__xludf.DUMMYFUNCTION("""COMPUTED_VALUE"""),66.0)</f>
        <v>66</v>
      </c>
      <c r="D33" s="46">
        <f>IFERROR(__xludf.DUMMYFUNCTION("""COMPUTED_VALUE"""),0.5629139072847682)</f>
        <v>0.5629139073</v>
      </c>
    </row>
    <row r="34">
      <c r="A34" s="43" t="str">
        <f>IFERROR(__xludf.DUMMYFUNCTION("""COMPUTED_VALUE"""),"ACDC&amp;노인")</f>
        <v>ACDC&amp;노인</v>
      </c>
      <c r="B34" s="43">
        <f>IFERROR(__xludf.DUMMYFUNCTION("""COMPUTED_VALUE"""),84.0)</f>
        <v>84</v>
      </c>
      <c r="C34" s="43">
        <f>IFERROR(__xludf.DUMMYFUNCTION("""COMPUTED_VALUE"""),154.0)</f>
        <v>154</v>
      </c>
      <c r="D34" s="46">
        <f>IFERROR(__xludf.DUMMYFUNCTION("""COMPUTED_VALUE"""),0.35294117647058826)</f>
        <v>0.3529411765</v>
      </c>
    </row>
    <row r="35">
      <c r="A35" s="43" t="str">
        <f>IFERROR(__xludf.DUMMYFUNCTION("""COMPUTED_VALUE"""),"원&amp;참치")</f>
        <v>원&amp;참치</v>
      </c>
      <c r="B35" s="43">
        <f>IFERROR(__xludf.DUMMYFUNCTION("""COMPUTED_VALUE"""),82.0)</f>
        <v>82</v>
      </c>
      <c r="C35" s="43">
        <f>IFERROR(__xludf.DUMMYFUNCTION("""COMPUTED_VALUE"""),28.0)</f>
        <v>28</v>
      </c>
      <c r="D35" s="46">
        <f>IFERROR(__xludf.DUMMYFUNCTION("""COMPUTED_VALUE"""),0.7454545454545455)</f>
        <v>0.7454545455</v>
      </c>
    </row>
    <row r="36">
      <c r="A36" s="43" t="str">
        <f>IFERROR(__xludf.DUMMYFUNCTION("""COMPUTED_VALUE"""),"깡패&amp;참치")</f>
        <v>깡패&amp;참치</v>
      </c>
      <c r="B36" s="43">
        <f>IFERROR(__xludf.DUMMYFUNCTION("""COMPUTED_VALUE"""),80.0)</f>
        <v>80</v>
      </c>
      <c r="C36" s="43">
        <f>IFERROR(__xludf.DUMMYFUNCTION("""COMPUTED_VALUE"""),57.0)</f>
        <v>57</v>
      </c>
      <c r="D36" s="46">
        <f>IFERROR(__xludf.DUMMYFUNCTION("""COMPUTED_VALUE"""),0.583941605839416)</f>
        <v>0.5839416058</v>
      </c>
    </row>
    <row r="37">
      <c r="A37" s="43" t="str">
        <f>IFERROR(__xludf.DUMMYFUNCTION("""COMPUTED_VALUE"""),"신형만&amp;재명")</f>
        <v>신형만&amp;재명</v>
      </c>
      <c r="B37" s="43">
        <f>IFERROR(__xludf.DUMMYFUNCTION("""COMPUTED_VALUE"""),79.0)</f>
        <v>79</v>
      </c>
      <c r="C37" s="43">
        <f>IFERROR(__xludf.DUMMYFUNCTION("""COMPUTED_VALUE"""),56.0)</f>
        <v>56</v>
      </c>
      <c r="D37" s="46">
        <f>IFERROR(__xludf.DUMMYFUNCTION("""COMPUTED_VALUE"""),0.5851851851851851)</f>
        <v>0.5851851852</v>
      </c>
    </row>
    <row r="38">
      <c r="A38" s="43" t="str">
        <f>IFERROR(__xludf.DUMMYFUNCTION("""COMPUTED_VALUE"""),"강화&amp;깡패")</f>
        <v>강화&amp;깡패</v>
      </c>
      <c r="B38" s="43">
        <f>IFERROR(__xludf.DUMMYFUNCTION("""COMPUTED_VALUE"""),78.0)</f>
        <v>78</v>
      </c>
      <c r="C38" s="43">
        <f>IFERROR(__xludf.DUMMYFUNCTION("""COMPUTED_VALUE"""),121.0)</f>
        <v>121</v>
      </c>
      <c r="D38" s="46">
        <f>IFERROR(__xludf.DUMMYFUNCTION("""COMPUTED_VALUE"""),0.39195979899497485)</f>
        <v>0.391959799</v>
      </c>
    </row>
    <row r="39">
      <c r="A39" s="43" t="str">
        <f>IFERROR(__xludf.DUMMYFUNCTION("""COMPUTED_VALUE"""),"재우&amp;테리")</f>
        <v>재우&amp;테리</v>
      </c>
      <c r="B39" s="43">
        <f>IFERROR(__xludf.DUMMYFUNCTION("""COMPUTED_VALUE"""),71.0)</f>
        <v>71</v>
      </c>
      <c r="C39" s="43">
        <f>IFERROR(__xludf.DUMMYFUNCTION("""COMPUTED_VALUE"""),40.0)</f>
        <v>40</v>
      </c>
      <c r="D39" s="46">
        <f>IFERROR(__xludf.DUMMYFUNCTION("""COMPUTED_VALUE"""),0.6396396396396397)</f>
        <v>0.6396396396</v>
      </c>
    </row>
    <row r="40">
      <c r="A40" s="43" t="str">
        <f>IFERROR(__xludf.DUMMYFUNCTION("""COMPUTED_VALUE"""),"원&amp;짱구")</f>
        <v>원&amp;짱구</v>
      </c>
      <c r="B40" s="43">
        <f>IFERROR(__xludf.DUMMYFUNCTION("""COMPUTED_VALUE"""),70.0)</f>
        <v>70</v>
      </c>
      <c r="C40" s="43">
        <f>IFERROR(__xludf.DUMMYFUNCTION("""COMPUTED_VALUE"""),22.0)</f>
        <v>22</v>
      </c>
      <c r="D40" s="46">
        <f>IFERROR(__xludf.DUMMYFUNCTION("""COMPUTED_VALUE"""),0.7608695652173914)</f>
        <v>0.7608695652</v>
      </c>
    </row>
    <row r="41">
      <c r="A41" s="43" t="str">
        <f>IFERROR(__xludf.DUMMYFUNCTION("""COMPUTED_VALUE"""),"참치&amp;테리")</f>
        <v>참치&amp;테리</v>
      </c>
      <c r="B41" s="43">
        <f>IFERROR(__xludf.DUMMYFUNCTION("""COMPUTED_VALUE"""),69.0)</f>
        <v>69</v>
      </c>
      <c r="C41" s="43">
        <f>IFERROR(__xludf.DUMMYFUNCTION("""COMPUTED_VALUE"""),41.0)</f>
        <v>41</v>
      </c>
      <c r="D41" s="46">
        <f>IFERROR(__xludf.DUMMYFUNCTION("""COMPUTED_VALUE"""),0.6272727272727273)</f>
        <v>0.6272727273</v>
      </c>
    </row>
    <row r="42">
      <c r="A42" s="43" t="str">
        <f>IFERROR(__xludf.DUMMYFUNCTION("""COMPUTED_VALUE"""),"ACDC&amp;재우")</f>
        <v>ACDC&amp;재우</v>
      </c>
      <c r="B42" s="43">
        <f>IFERROR(__xludf.DUMMYFUNCTION("""COMPUTED_VALUE"""),69.0)</f>
        <v>69</v>
      </c>
      <c r="C42" s="43">
        <f>IFERROR(__xludf.DUMMYFUNCTION("""COMPUTED_VALUE"""),89.0)</f>
        <v>89</v>
      </c>
      <c r="D42" s="46">
        <f>IFERROR(__xludf.DUMMYFUNCTION("""COMPUTED_VALUE"""),0.43670886075949367)</f>
        <v>0.4367088608</v>
      </c>
    </row>
    <row r="43">
      <c r="A43" s="43" t="str">
        <f>IFERROR(__xludf.DUMMYFUNCTION("""COMPUTED_VALUE"""),"강화&amp;한메")</f>
        <v>강화&amp;한메</v>
      </c>
      <c r="B43" s="43">
        <f>IFERROR(__xludf.DUMMYFUNCTION("""COMPUTED_VALUE"""),68.0)</f>
        <v>68</v>
      </c>
      <c r="C43" s="43">
        <f>IFERROR(__xludf.DUMMYFUNCTION("""COMPUTED_VALUE"""),96.0)</f>
        <v>96</v>
      </c>
      <c r="D43" s="46">
        <f>IFERROR(__xludf.DUMMYFUNCTION("""COMPUTED_VALUE"""),0.4146341463414634)</f>
        <v>0.4146341463</v>
      </c>
    </row>
    <row r="44">
      <c r="A44" s="43" t="str">
        <f>IFERROR(__xludf.DUMMYFUNCTION("""COMPUTED_VALUE"""),"넘버&amp;원")</f>
        <v>넘버&amp;원</v>
      </c>
      <c r="B44" s="43">
        <f>IFERROR(__xludf.DUMMYFUNCTION("""COMPUTED_VALUE"""),67.0)</f>
        <v>67</v>
      </c>
      <c r="C44" s="43">
        <f>IFERROR(__xludf.DUMMYFUNCTION("""COMPUTED_VALUE"""),23.0)</f>
        <v>23</v>
      </c>
      <c r="D44" s="46">
        <f>IFERROR(__xludf.DUMMYFUNCTION("""COMPUTED_VALUE"""),0.7444444444444445)</f>
        <v>0.7444444444</v>
      </c>
    </row>
    <row r="45">
      <c r="A45" s="43" t="str">
        <f>IFERROR(__xludf.DUMMYFUNCTION("""COMPUTED_VALUE"""),"원&amp;한메")</f>
        <v>원&amp;한메</v>
      </c>
      <c r="B45" s="43">
        <f>IFERROR(__xludf.DUMMYFUNCTION("""COMPUTED_VALUE"""),66.0)</f>
        <v>66</v>
      </c>
      <c r="C45" s="43">
        <f>IFERROR(__xludf.DUMMYFUNCTION("""COMPUTED_VALUE"""),34.0)</f>
        <v>34</v>
      </c>
      <c r="D45" s="46">
        <f>IFERROR(__xludf.DUMMYFUNCTION("""COMPUTED_VALUE"""),0.66)</f>
        <v>0.66</v>
      </c>
    </row>
    <row r="46">
      <c r="A46" s="43" t="str">
        <f>IFERROR(__xludf.DUMMYFUNCTION("""COMPUTED_VALUE"""),"규식&amp;테리")</f>
        <v>규식&amp;테리</v>
      </c>
      <c r="B46" s="43">
        <f>IFERROR(__xludf.DUMMYFUNCTION("""COMPUTED_VALUE"""),61.0)</f>
        <v>61</v>
      </c>
      <c r="C46" s="43">
        <f>IFERROR(__xludf.DUMMYFUNCTION("""COMPUTED_VALUE"""),18.0)</f>
        <v>18</v>
      </c>
      <c r="D46" s="46">
        <f>IFERROR(__xludf.DUMMYFUNCTION("""COMPUTED_VALUE"""),0.7721518987341772)</f>
        <v>0.7721518987</v>
      </c>
    </row>
    <row r="47">
      <c r="A47" s="43" t="str">
        <f>IFERROR(__xludf.DUMMYFUNCTION("""COMPUTED_VALUE"""),"넘버&amp;노인")</f>
        <v>넘버&amp;노인</v>
      </c>
      <c r="B47" s="43">
        <f>IFERROR(__xludf.DUMMYFUNCTION("""COMPUTED_VALUE"""),60.0)</f>
        <v>60</v>
      </c>
      <c r="C47" s="43">
        <f>IFERROR(__xludf.DUMMYFUNCTION("""COMPUTED_VALUE"""),54.0)</f>
        <v>54</v>
      </c>
      <c r="D47" s="46">
        <f>IFERROR(__xludf.DUMMYFUNCTION("""COMPUTED_VALUE"""),0.5263157894736842)</f>
        <v>0.5263157895</v>
      </c>
    </row>
    <row r="48">
      <c r="A48" s="43" t="str">
        <f>IFERROR(__xludf.DUMMYFUNCTION("""COMPUTED_VALUE"""),"강화&amp;짱구")</f>
        <v>강화&amp;짱구</v>
      </c>
      <c r="B48" s="43">
        <f>IFERROR(__xludf.DUMMYFUNCTION("""COMPUTED_VALUE"""),59.0)</f>
        <v>59</v>
      </c>
      <c r="C48" s="43">
        <f>IFERROR(__xludf.DUMMYFUNCTION("""COMPUTED_VALUE"""),61.0)</f>
        <v>61</v>
      </c>
      <c r="D48" s="46">
        <f>IFERROR(__xludf.DUMMYFUNCTION("""COMPUTED_VALUE"""),0.49166666666666664)</f>
        <v>0.4916666667</v>
      </c>
    </row>
    <row r="49">
      <c r="A49" s="43" t="str">
        <f>IFERROR(__xludf.DUMMYFUNCTION("""COMPUTED_VALUE"""),"넘버&amp;한메")</f>
        <v>넘버&amp;한메</v>
      </c>
      <c r="B49" s="43">
        <f>IFERROR(__xludf.DUMMYFUNCTION("""COMPUTED_VALUE"""),58.0)</f>
        <v>58</v>
      </c>
      <c r="C49" s="43">
        <f>IFERROR(__xludf.DUMMYFUNCTION("""COMPUTED_VALUE"""),42.0)</f>
        <v>42</v>
      </c>
      <c r="D49" s="46">
        <f>IFERROR(__xludf.DUMMYFUNCTION("""COMPUTED_VALUE"""),0.58)</f>
        <v>0.58</v>
      </c>
    </row>
    <row r="50">
      <c r="A50" s="43" t="str">
        <f>IFERROR(__xludf.DUMMYFUNCTION("""COMPUTED_VALUE"""),"재우&amp;짱구")</f>
        <v>재우&amp;짱구</v>
      </c>
      <c r="B50" s="43">
        <f>IFERROR(__xludf.DUMMYFUNCTION("""COMPUTED_VALUE"""),56.0)</f>
        <v>56</v>
      </c>
      <c r="C50" s="43">
        <f>IFERROR(__xludf.DUMMYFUNCTION("""COMPUTED_VALUE"""),28.0)</f>
        <v>28</v>
      </c>
      <c r="D50" s="46">
        <f>IFERROR(__xludf.DUMMYFUNCTION("""COMPUTED_VALUE"""),0.6666666666666666)</f>
        <v>0.6666666667</v>
      </c>
    </row>
    <row r="51">
      <c r="A51" s="43" t="str">
        <f>IFERROR(__xludf.DUMMYFUNCTION("""COMPUTED_VALUE"""),"강화&amp;테리")</f>
        <v>강화&amp;테리</v>
      </c>
      <c r="B51" s="43">
        <f>IFERROR(__xludf.DUMMYFUNCTION("""COMPUTED_VALUE"""),56.0)</f>
        <v>56</v>
      </c>
      <c r="C51" s="43">
        <f>IFERROR(__xludf.DUMMYFUNCTION("""COMPUTED_VALUE"""),36.0)</f>
        <v>36</v>
      </c>
      <c r="D51" s="46">
        <f>IFERROR(__xludf.DUMMYFUNCTION("""COMPUTED_VALUE"""),0.6086956521739131)</f>
        <v>0.6086956522</v>
      </c>
    </row>
    <row r="52">
      <c r="A52" s="43" t="str">
        <f>IFERROR(__xludf.DUMMYFUNCTION("""COMPUTED_VALUE"""),"ACDC&amp;원")</f>
        <v>ACDC&amp;원</v>
      </c>
      <c r="B52" s="43">
        <f>IFERROR(__xludf.DUMMYFUNCTION("""COMPUTED_VALUE"""),56.0)</f>
        <v>56</v>
      </c>
      <c r="C52" s="43">
        <f>IFERROR(__xludf.DUMMYFUNCTION("""COMPUTED_VALUE"""),45.0)</f>
        <v>45</v>
      </c>
      <c r="D52" s="46">
        <f>IFERROR(__xludf.DUMMYFUNCTION("""COMPUTED_VALUE"""),0.5544554455445545)</f>
        <v>0.5544554455</v>
      </c>
    </row>
    <row r="53">
      <c r="A53" s="43" t="str">
        <f>IFERROR(__xludf.DUMMYFUNCTION("""COMPUTED_VALUE"""),"깡패&amp;태식")</f>
        <v>깡패&amp;태식</v>
      </c>
      <c r="B53" s="43">
        <f>IFERROR(__xludf.DUMMYFUNCTION("""COMPUTED_VALUE"""),55.0)</f>
        <v>55</v>
      </c>
      <c r="C53" s="43">
        <f>IFERROR(__xludf.DUMMYFUNCTION("""COMPUTED_VALUE"""),45.0)</f>
        <v>45</v>
      </c>
      <c r="D53" s="46">
        <f>IFERROR(__xludf.DUMMYFUNCTION("""COMPUTED_VALUE"""),0.55)</f>
        <v>0.55</v>
      </c>
    </row>
    <row r="54">
      <c r="A54" s="43" t="str">
        <f>IFERROR(__xludf.DUMMYFUNCTION("""COMPUTED_VALUE"""),"강화&amp;재우")</f>
        <v>강화&amp;재우</v>
      </c>
      <c r="B54" s="43">
        <f>IFERROR(__xludf.DUMMYFUNCTION("""COMPUTED_VALUE"""),55.0)</f>
        <v>55</v>
      </c>
      <c r="C54" s="43">
        <f>IFERROR(__xludf.DUMMYFUNCTION("""COMPUTED_VALUE"""),70.0)</f>
        <v>70</v>
      </c>
      <c r="D54" s="46">
        <f>IFERROR(__xludf.DUMMYFUNCTION("""COMPUTED_VALUE"""),0.44)</f>
        <v>0.44</v>
      </c>
    </row>
    <row r="55">
      <c r="A55" s="43" t="str">
        <f>IFERROR(__xludf.DUMMYFUNCTION("""COMPUTED_VALUE"""),"재명&amp;한메")</f>
        <v>재명&amp;한메</v>
      </c>
      <c r="B55" s="43">
        <f>IFERROR(__xludf.DUMMYFUNCTION("""COMPUTED_VALUE"""),54.0)</f>
        <v>54</v>
      </c>
      <c r="C55" s="43">
        <f>IFERROR(__xludf.DUMMYFUNCTION("""COMPUTED_VALUE"""),61.0)</f>
        <v>61</v>
      </c>
      <c r="D55" s="46">
        <f>IFERROR(__xludf.DUMMYFUNCTION("""COMPUTED_VALUE"""),0.46956521739130436)</f>
        <v>0.4695652174</v>
      </c>
    </row>
    <row r="56">
      <c r="A56" s="43" t="str">
        <f>IFERROR(__xludf.DUMMYFUNCTION("""COMPUTED_VALUE"""),"ACDC&amp;강화")</f>
        <v>ACDC&amp;강화</v>
      </c>
      <c r="B56" s="43">
        <f>IFERROR(__xludf.DUMMYFUNCTION("""COMPUTED_VALUE"""),54.0)</f>
        <v>54</v>
      </c>
      <c r="C56" s="43">
        <f>IFERROR(__xludf.DUMMYFUNCTION("""COMPUTED_VALUE"""),164.0)</f>
        <v>164</v>
      </c>
      <c r="D56" s="46">
        <f>IFERROR(__xludf.DUMMYFUNCTION("""COMPUTED_VALUE"""),0.24770642201834864)</f>
        <v>0.247706422</v>
      </c>
    </row>
    <row r="57">
      <c r="A57" s="43" t="str">
        <f>IFERROR(__xludf.DUMMYFUNCTION("""COMPUTED_VALUE"""),"신형만&amp;태식")</f>
        <v>신형만&amp;태식</v>
      </c>
      <c r="B57" s="43">
        <f>IFERROR(__xludf.DUMMYFUNCTION("""COMPUTED_VALUE"""),53.0)</f>
        <v>53</v>
      </c>
      <c r="C57" s="43">
        <f>IFERROR(__xludf.DUMMYFUNCTION("""COMPUTED_VALUE"""),49.0)</f>
        <v>49</v>
      </c>
      <c r="D57" s="46">
        <f>IFERROR(__xludf.DUMMYFUNCTION("""COMPUTED_VALUE"""),0.5196078431372549)</f>
        <v>0.5196078431</v>
      </c>
    </row>
    <row r="58">
      <c r="A58" s="43" t="str">
        <f>IFERROR(__xludf.DUMMYFUNCTION("""COMPUTED_VALUE"""),"규식&amp;깡패")</f>
        <v>규식&amp;깡패</v>
      </c>
      <c r="B58" s="43">
        <f>IFERROR(__xludf.DUMMYFUNCTION("""COMPUTED_VALUE"""),50.0)</f>
        <v>50</v>
      </c>
      <c r="C58" s="43">
        <f>IFERROR(__xludf.DUMMYFUNCTION("""COMPUTED_VALUE"""),29.0)</f>
        <v>29</v>
      </c>
      <c r="D58" s="46">
        <f>IFERROR(__xludf.DUMMYFUNCTION("""COMPUTED_VALUE"""),0.6329113924050633)</f>
        <v>0.6329113924</v>
      </c>
    </row>
    <row r="59">
      <c r="A59" s="43" t="str">
        <f>IFERROR(__xludf.DUMMYFUNCTION("""COMPUTED_VALUE"""),"넘버&amp;참치")</f>
        <v>넘버&amp;참치</v>
      </c>
      <c r="B59" s="43">
        <f>IFERROR(__xludf.DUMMYFUNCTION("""COMPUTED_VALUE"""),49.0)</f>
        <v>49</v>
      </c>
      <c r="C59" s="43">
        <f>IFERROR(__xludf.DUMMYFUNCTION("""COMPUTED_VALUE"""),35.0)</f>
        <v>35</v>
      </c>
      <c r="D59" s="46">
        <f>IFERROR(__xludf.DUMMYFUNCTION("""COMPUTED_VALUE"""),0.5833333333333334)</f>
        <v>0.5833333333</v>
      </c>
    </row>
    <row r="60">
      <c r="A60" s="43" t="str">
        <f>IFERROR(__xludf.DUMMYFUNCTION("""COMPUTED_VALUE"""),"참치&amp;한메")</f>
        <v>참치&amp;한메</v>
      </c>
      <c r="B60" s="43">
        <f>IFERROR(__xludf.DUMMYFUNCTION("""COMPUTED_VALUE"""),47.0)</f>
        <v>47</v>
      </c>
      <c r="C60" s="43">
        <f>IFERROR(__xludf.DUMMYFUNCTION("""COMPUTED_VALUE"""),46.0)</f>
        <v>46</v>
      </c>
      <c r="D60" s="46">
        <f>IFERROR(__xludf.DUMMYFUNCTION("""COMPUTED_VALUE"""),0.5053763440860215)</f>
        <v>0.5053763441</v>
      </c>
    </row>
    <row r="61">
      <c r="A61" s="43" t="str">
        <f>IFERROR(__xludf.DUMMYFUNCTION("""COMPUTED_VALUE"""),"노인&amp;참치")</f>
        <v>노인&amp;참치</v>
      </c>
      <c r="B61" s="43">
        <f>IFERROR(__xludf.DUMMYFUNCTION("""COMPUTED_VALUE"""),46.0)</f>
        <v>46</v>
      </c>
      <c r="C61" s="43">
        <f>IFERROR(__xludf.DUMMYFUNCTION("""COMPUTED_VALUE"""),47.0)</f>
        <v>47</v>
      </c>
      <c r="D61" s="46">
        <f>IFERROR(__xludf.DUMMYFUNCTION("""COMPUTED_VALUE"""),0.4946236559139785)</f>
        <v>0.4946236559</v>
      </c>
    </row>
    <row r="62">
      <c r="A62" s="43" t="str">
        <f>IFERROR(__xludf.DUMMYFUNCTION("""COMPUTED_VALUE"""),"짱구&amp;참치")</f>
        <v>짱구&amp;참치</v>
      </c>
      <c r="B62" s="43">
        <f>IFERROR(__xludf.DUMMYFUNCTION("""COMPUTED_VALUE"""),45.0)</f>
        <v>45</v>
      </c>
      <c r="C62" s="43">
        <f>IFERROR(__xludf.DUMMYFUNCTION("""COMPUTED_VALUE"""),34.0)</f>
        <v>34</v>
      </c>
      <c r="D62" s="46">
        <f>IFERROR(__xludf.DUMMYFUNCTION("""COMPUTED_VALUE"""),0.569620253164557)</f>
        <v>0.5696202532</v>
      </c>
    </row>
    <row r="63">
      <c r="A63" s="43" t="str">
        <f>IFERROR(__xludf.DUMMYFUNCTION("""COMPUTED_VALUE"""),"ACDC&amp;넘버")</f>
        <v>ACDC&amp;넘버</v>
      </c>
      <c r="B63" s="43">
        <f>IFERROR(__xludf.DUMMYFUNCTION("""COMPUTED_VALUE"""),45.0)</f>
        <v>45</v>
      </c>
      <c r="C63" s="43">
        <f>IFERROR(__xludf.DUMMYFUNCTION("""COMPUTED_VALUE"""),72.0)</f>
        <v>72</v>
      </c>
      <c r="D63" s="46">
        <f>IFERROR(__xludf.DUMMYFUNCTION("""COMPUTED_VALUE"""),0.38461538461538464)</f>
        <v>0.3846153846</v>
      </c>
    </row>
    <row r="64">
      <c r="A64" s="43" t="str">
        <f>IFERROR(__xludf.DUMMYFUNCTION("""COMPUTED_VALUE"""),"신형만&amp;키키")</f>
        <v>신형만&amp;키키</v>
      </c>
      <c r="B64" s="43">
        <f>IFERROR(__xludf.DUMMYFUNCTION("""COMPUTED_VALUE"""),43.0)</f>
        <v>43</v>
      </c>
      <c r="C64" s="43">
        <f>IFERROR(__xludf.DUMMYFUNCTION("""COMPUTED_VALUE"""),33.0)</f>
        <v>33</v>
      </c>
      <c r="D64" s="46">
        <f>IFERROR(__xludf.DUMMYFUNCTION("""COMPUTED_VALUE"""),0.5657894736842105)</f>
        <v>0.5657894737</v>
      </c>
    </row>
    <row r="65">
      <c r="A65" s="43" t="str">
        <f>IFERROR(__xludf.DUMMYFUNCTION("""COMPUTED_VALUE"""),"깡패&amp;재명")</f>
        <v>깡패&amp;재명</v>
      </c>
      <c r="B65" s="43">
        <f>IFERROR(__xludf.DUMMYFUNCTION("""COMPUTED_VALUE"""),43.0)</f>
        <v>43</v>
      </c>
      <c r="C65" s="43">
        <f>IFERROR(__xludf.DUMMYFUNCTION("""COMPUTED_VALUE"""),60.0)</f>
        <v>60</v>
      </c>
      <c r="D65" s="46">
        <f>IFERROR(__xludf.DUMMYFUNCTION("""COMPUTED_VALUE"""),0.4174757281553398)</f>
        <v>0.4174757282</v>
      </c>
    </row>
    <row r="66">
      <c r="A66" s="43" t="str">
        <f>IFERROR(__xludf.DUMMYFUNCTION("""COMPUTED_VALUE"""),"솔&amp;테리")</f>
        <v>솔&amp;테리</v>
      </c>
      <c r="B66" s="43">
        <f>IFERROR(__xludf.DUMMYFUNCTION("""COMPUTED_VALUE"""),42.0)</f>
        <v>42</v>
      </c>
      <c r="C66" s="43">
        <f>IFERROR(__xludf.DUMMYFUNCTION("""COMPUTED_VALUE"""),35.0)</f>
        <v>35</v>
      </c>
      <c r="D66" s="46">
        <f>IFERROR(__xludf.DUMMYFUNCTION("""COMPUTED_VALUE"""),0.5454545454545454)</f>
        <v>0.5454545455</v>
      </c>
    </row>
    <row r="67">
      <c r="A67" s="43" t="str">
        <f>IFERROR(__xludf.DUMMYFUNCTION("""COMPUTED_VALUE"""),"규식&amp;신형만")</f>
        <v>규식&amp;신형만</v>
      </c>
      <c r="B67" s="43">
        <f>IFERROR(__xludf.DUMMYFUNCTION("""COMPUTED_VALUE"""),42.0)</f>
        <v>42</v>
      </c>
      <c r="C67" s="43">
        <f>IFERROR(__xludf.DUMMYFUNCTION("""COMPUTED_VALUE"""),37.0)</f>
        <v>37</v>
      </c>
      <c r="D67" s="46">
        <f>IFERROR(__xludf.DUMMYFUNCTION("""COMPUTED_VALUE"""),0.5316455696202531)</f>
        <v>0.5316455696</v>
      </c>
    </row>
    <row r="68">
      <c r="A68" s="43" t="str">
        <f>IFERROR(__xludf.DUMMYFUNCTION("""COMPUTED_VALUE"""),"넘버&amp;짱구")</f>
        <v>넘버&amp;짱구</v>
      </c>
      <c r="B68" s="43">
        <f>IFERROR(__xludf.DUMMYFUNCTION("""COMPUTED_VALUE"""),41.0)</f>
        <v>41</v>
      </c>
      <c r="C68" s="43">
        <f>IFERROR(__xludf.DUMMYFUNCTION("""COMPUTED_VALUE"""),22.0)</f>
        <v>22</v>
      </c>
      <c r="D68" s="46">
        <f>IFERROR(__xludf.DUMMYFUNCTION("""COMPUTED_VALUE"""),0.6507936507936508)</f>
        <v>0.6507936508</v>
      </c>
    </row>
    <row r="69">
      <c r="A69" s="43" t="str">
        <f>IFERROR(__xludf.DUMMYFUNCTION("""COMPUTED_VALUE"""),"깡패&amp;키키")</f>
        <v>깡패&amp;키키</v>
      </c>
      <c r="B69" s="43">
        <f>IFERROR(__xludf.DUMMYFUNCTION("""COMPUTED_VALUE"""),41.0)</f>
        <v>41</v>
      </c>
      <c r="C69" s="43">
        <f>IFERROR(__xludf.DUMMYFUNCTION("""COMPUTED_VALUE"""),30.0)</f>
        <v>30</v>
      </c>
      <c r="D69" s="46">
        <f>IFERROR(__xludf.DUMMYFUNCTION("""COMPUTED_VALUE"""),0.5774647887323944)</f>
        <v>0.5774647887</v>
      </c>
    </row>
    <row r="70">
      <c r="A70" s="43" t="str">
        <f>IFERROR(__xludf.DUMMYFUNCTION("""COMPUTED_VALUE"""),"ACDC&amp;참치")</f>
        <v>ACDC&amp;참치</v>
      </c>
      <c r="B70" s="43">
        <f>IFERROR(__xludf.DUMMYFUNCTION("""COMPUTED_VALUE"""),41.0)</f>
        <v>41</v>
      </c>
      <c r="C70" s="43">
        <f>IFERROR(__xludf.DUMMYFUNCTION("""COMPUTED_VALUE"""),63.0)</f>
        <v>63</v>
      </c>
      <c r="D70" s="46">
        <f>IFERROR(__xludf.DUMMYFUNCTION("""COMPUTED_VALUE"""),0.3942307692307692)</f>
        <v>0.3942307692</v>
      </c>
    </row>
    <row r="71">
      <c r="A71" s="43" t="str">
        <f>IFERROR(__xludf.DUMMYFUNCTION("""COMPUTED_VALUE"""),"ACDC&amp;재명")</f>
        <v>ACDC&amp;재명</v>
      </c>
      <c r="B71" s="43">
        <f>IFERROR(__xludf.DUMMYFUNCTION("""COMPUTED_VALUE"""),41.0)</f>
        <v>41</v>
      </c>
      <c r="C71" s="43">
        <f>IFERROR(__xludf.DUMMYFUNCTION("""COMPUTED_VALUE"""),95.0)</f>
        <v>95</v>
      </c>
      <c r="D71" s="46">
        <f>IFERROR(__xludf.DUMMYFUNCTION("""COMPUTED_VALUE"""),0.3014705882352941)</f>
        <v>0.3014705882</v>
      </c>
    </row>
    <row r="72">
      <c r="A72" s="43" t="str">
        <f>IFERROR(__xludf.DUMMYFUNCTION("""COMPUTED_VALUE"""),"미등록&amp;신형만")</f>
        <v>미등록&amp;신형만</v>
      </c>
      <c r="B72" s="43">
        <f>IFERROR(__xludf.DUMMYFUNCTION("""COMPUTED_VALUE"""),40.0)</f>
        <v>40</v>
      </c>
      <c r="C72" s="43">
        <f>IFERROR(__xludf.DUMMYFUNCTION("""COMPUTED_VALUE"""),24.0)</f>
        <v>24</v>
      </c>
      <c r="D72" s="46">
        <f>IFERROR(__xludf.DUMMYFUNCTION("""COMPUTED_VALUE"""),0.625)</f>
        <v>0.625</v>
      </c>
    </row>
    <row r="73">
      <c r="A73" s="43" t="str">
        <f>IFERROR(__xludf.DUMMYFUNCTION("""COMPUTED_VALUE"""),"태식&amp;테리")</f>
        <v>태식&amp;테리</v>
      </c>
      <c r="B73" s="43">
        <f>IFERROR(__xludf.DUMMYFUNCTION("""COMPUTED_VALUE"""),40.0)</f>
        <v>40</v>
      </c>
      <c r="C73" s="43">
        <f>IFERROR(__xludf.DUMMYFUNCTION("""COMPUTED_VALUE"""),36.0)</f>
        <v>36</v>
      </c>
      <c r="D73" s="46">
        <f>IFERROR(__xludf.DUMMYFUNCTION("""COMPUTED_VALUE"""),0.5263157894736842)</f>
        <v>0.5263157895</v>
      </c>
    </row>
    <row r="74">
      <c r="A74" s="43" t="str">
        <f>IFERROR(__xludf.DUMMYFUNCTION("""COMPUTED_VALUE"""),"솔&amp;원")</f>
        <v>솔&amp;원</v>
      </c>
      <c r="B74" s="43">
        <f>IFERROR(__xludf.DUMMYFUNCTION("""COMPUTED_VALUE"""),39.0)</f>
        <v>39</v>
      </c>
      <c r="C74" s="43">
        <f>IFERROR(__xludf.DUMMYFUNCTION("""COMPUTED_VALUE"""),18.0)</f>
        <v>18</v>
      </c>
      <c r="D74" s="46">
        <f>IFERROR(__xludf.DUMMYFUNCTION("""COMPUTED_VALUE"""),0.6842105263157895)</f>
        <v>0.6842105263</v>
      </c>
    </row>
    <row r="75">
      <c r="A75" s="43" t="str">
        <f>IFERROR(__xludf.DUMMYFUNCTION("""COMPUTED_VALUE"""),"노인&amp;재우")</f>
        <v>노인&amp;재우</v>
      </c>
      <c r="B75" s="43">
        <f>IFERROR(__xludf.DUMMYFUNCTION("""COMPUTED_VALUE"""),39.0)</f>
        <v>39</v>
      </c>
      <c r="C75" s="43">
        <f>IFERROR(__xludf.DUMMYFUNCTION("""COMPUTED_VALUE"""),37.0)</f>
        <v>37</v>
      </c>
      <c r="D75" s="46">
        <f>IFERROR(__xludf.DUMMYFUNCTION("""COMPUTED_VALUE"""),0.5131578947368421)</f>
        <v>0.5131578947</v>
      </c>
    </row>
    <row r="76">
      <c r="A76" s="43" t="str">
        <f>IFERROR(__xludf.DUMMYFUNCTION("""COMPUTED_VALUE"""),"솔&amp;신형만")</f>
        <v>솔&amp;신형만</v>
      </c>
      <c r="B76" s="43">
        <f>IFERROR(__xludf.DUMMYFUNCTION("""COMPUTED_VALUE"""),38.0)</f>
        <v>38</v>
      </c>
      <c r="C76" s="43">
        <f>IFERROR(__xludf.DUMMYFUNCTION("""COMPUTED_VALUE"""),52.0)</f>
        <v>52</v>
      </c>
      <c r="D76" s="46">
        <f>IFERROR(__xludf.DUMMYFUNCTION("""COMPUTED_VALUE"""),0.4222222222222222)</f>
        <v>0.4222222222</v>
      </c>
    </row>
    <row r="77">
      <c r="A77" s="43" t="str">
        <f>IFERROR(__xludf.DUMMYFUNCTION("""COMPUTED_VALUE"""),"재명&amp;재우")</f>
        <v>재명&amp;재우</v>
      </c>
      <c r="B77" s="43">
        <f>IFERROR(__xludf.DUMMYFUNCTION("""COMPUTED_VALUE"""),36.0)</f>
        <v>36</v>
      </c>
      <c r="C77" s="43">
        <f>IFERROR(__xludf.DUMMYFUNCTION("""COMPUTED_VALUE"""),36.0)</f>
        <v>36</v>
      </c>
      <c r="D77" s="46">
        <f>IFERROR(__xludf.DUMMYFUNCTION("""COMPUTED_VALUE"""),0.5)</f>
        <v>0.5</v>
      </c>
    </row>
    <row r="78">
      <c r="A78" s="43" t="str">
        <f>IFERROR(__xludf.DUMMYFUNCTION("""COMPUTED_VALUE"""),"강화&amp;재명")</f>
        <v>강화&amp;재명</v>
      </c>
      <c r="B78" s="43">
        <f>IFERROR(__xludf.DUMMYFUNCTION("""COMPUTED_VALUE"""),36.0)</f>
        <v>36</v>
      </c>
      <c r="C78" s="43">
        <f>IFERROR(__xludf.DUMMYFUNCTION("""COMPUTED_VALUE"""),63.0)</f>
        <v>63</v>
      </c>
      <c r="D78" s="46">
        <f>IFERROR(__xludf.DUMMYFUNCTION("""COMPUTED_VALUE"""),0.36363636363636365)</f>
        <v>0.3636363636</v>
      </c>
    </row>
    <row r="79">
      <c r="A79" s="43" t="str">
        <f>IFERROR(__xludf.DUMMYFUNCTION("""COMPUTED_VALUE"""),"원&amp;태식")</f>
        <v>원&amp;태식</v>
      </c>
      <c r="B79" s="43">
        <f>IFERROR(__xludf.DUMMYFUNCTION("""COMPUTED_VALUE"""),35.0)</f>
        <v>35</v>
      </c>
      <c r="C79" s="43">
        <f>IFERROR(__xludf.DUMMYFUNCTION("""COMPUTED_VALUE"""),15.0)</f>
        <v>15</v>
      </c>
      <c r="D79" s="46">
        <f>IFERROR(__xludf.DUMMYFUNCTION("""COMPUTED_VALUE"""),0.7)</f>
        <v>0.7</v>
      </c>
    </row>
    <row r="80">
      <c r="A80" s="43" t="str">
        <f>IFERROR(__xludf.DUMMYFUNCTION("""COMPUTED_VALUE"""),"노인&amp;태식")</f>
        <v>노인&amp;태식</v>
      </c>
      <c r="B80" s="43">
        <f>IFERROR(__xludf.DUMMYFUNCTION("""COMPUTED_VALUE"""),35.0)</f>
        <v>35</v>
      </c>
      <c r="C80" s="43">
        <f>IFERROR(__xludf.DUMMYFUNCTION("""COMPUTED_VALUE"""),45.0)</f>
        <v>45</v>
      </c>
      <c r="D80" s="46">
        <f>IFERROR(__xludf.DUMMYFUNCTION("""COMPUTED_VALUE"""),0.4375)</f>
        <v>0.4375</v>
      </c>
    </row>
    <row r="81">
      <c r="A81" s="43" t="str">
        <f>IFERROR(__xludf.DUMMYFUNCTION("""COMPUTED_VALUE"""),"규식&amp;넘버")</f>
        <v>규식&amp;넘버</v>
      </c>
      <c r="B81" s="43">
        <f>IFERROR(__xludf.DUMMYFUNCTION("""COMPUTED_VALUE"""),34.0)</f>
        <v>34</v>
      </c>
      <c r="C81" s="43">
        <f>IFERROR(__xludf.DUMMYFUNCTION("""COMPUTED_VALUE"""),14.0)</f>
        <v>14</v>
      </c>
      <c r="D81" s="46">
        <f>IFERROR(__xludf.DUMMYFUNCTION("""COMPUTED_VALUE"""),0.7083333333333334)</f>
        <v>0.7083333333</v>
      </c>
    </row>
    <row r="82">
      <c r="A82" s="43" t="str">
        <f>IFERROR(__xludf.DUMMYFUNCTION("""COMPUTED_VALUE"""),"민우&amp;신형만")</f>
        <v>민우&amp;신형만</v>
      </c>
      <c r="B82" s="43">
        <f>IFERROR(__xludf.DUMMYFUNCTION("""COMPUTED_VALUE"""),34.0)</f>
        <v>34</v>
      </c>
      <c r="C82" s="43">
        <f>IFERROR(__xludf.DUMMYFUNCTION("""COMPUTED_VALUE"""),31.0)</f>
        <v>31</v>
      </c>
      <c r="D82" s="46">
        <f>IFERROR(__xludf.DUMMYFUNCTION("""COMPUTED_VALUE"""),0.5230769230769231)</f>
        <v>0.5230769231</v>
      </c>
    </row>
    <row r="83">
      <c r="A83" s="43" t="str">
        <f>IFERROR(__xludf.DUMMYFUNCTION("""COMPUTED_VALUE"""),"구리다&amp;신형만")</f>
        <v>구리다&amp;신형만</v>
      </c>
      <c r="B83" s="43">
        <f>IFERROR(__xludf.DUMMYFUNCTION("""COMPUTED_VALUE"""),33.0)</f>
        <v>33</v>
      </c>
      <c r="C83" s="43">
        <f>IFERROR(__xludf.DUMMYFUNCTION("""COMPUTED_VALUE"""),20.0)</f>
        <v>20</v>
      </c>
      <c r="D83" s="46">
        <f>IFERROR(__xludf.DUMMYFUNCTION("""COMPUTED_VALUE"""),0.6226415094339622)</f>
        <v>0.6226415094</v>
      </c>
    </row>
    <row r="84">
      <c r="A84" s="43" t="str">
        <f>IFERROR(__xludf.DUMMYFUNCTION("""COMPUTED_VALUE"""),"ACDC&amp;키키")</f>
        <v>ACDC&amp;키키</v>
      </c>
      <c r="B84" s="43">
        <f>IFERROR(__xludf.DUMMYFUNCTION("""COMPUTED_VALUE"""),33.0)</f>
        <v>33</v>
      </c>
      <c r="C84" s="43">
        <f>IFERROR(__xludf.DUMMYFUNCTION("""COMPUTED_VALUE"""),40.0)</f>
        <v>40</v>
      </c>
      <c r="D84" s="46">
        <f>IFERROR(__xludf.DUMMYFUNCTION("""COMPUTED_VALUE"""),0.4520547945205479)</f>
        <v>0.4520547945</v>
      </c>
    </row>
    <row r="85">
      <c r="A85" s="43" t="str">
        <f>IFERROR(__xludf.DUMMYFUNCTION("""COMPUTED_VALUE"""),"신형만&amp;유망")</f>
        <v>신형만&amp;유망</v>
      </c>
      <c r="B85" s="43">
        <f>IFERROR(__xludf.DUMMYFUNCTION("""COMPUTED_VALUE"""),32.0)</f>
        <v>32</v>
      </c>
      <c r="C85" s="43">
        <f>IFERROR(__xludf.DUMMYFUNCTION("""COMPUTED_VALUE"""),24.0)</f>
        <v>24</v>
      </c>
      <c r="D85" s="46">
        <f>IFERROR(__xludf.DUMMYFUNCTION("""COMPUTED_VALUE"""),0.5714285714285714)</f>
        <v>0.5714285714</v>
      </c>
    </row>
    <row r="86">
      <c r="A86" s="43" t="str">
        <f>IFERROR(__xludf.DUMMYFUNCTION("""COMPUTED_VALUE"""),"신형만&amp;오크")</f>
        <v>신형만&amp;오크</v>
      </c>
      <c r="B86" s="43">
        <f>IFERROR(__xludf.DUMMYFUNCTION("""COMPUTED_VALUE"""),31.0)</f>
        <v>31</v>
      </c>
      <c r="C86" s="43">
        <f>IFERROR(__xludf.DUMMYFUNCTION("""COMPUTED_VALUE"""),15.0)</f>
        <v>15</v>
      </c>
      <c r="D86" s="46">
        <f>IFERROR(__xludf.DUMMYFUNCTION("""COMPUTED_VALUE"""),0.6739130434782609)</f>
        <v>0.6739130435</v>
      </c>
    </row>
    <row r="87">
      <c r="A87" s="43" t="str">
        <f>IFERROR(__xludf.DUMMYFUNCTION("""COMPUTED_VALUE"""),"키키&amp;한메")</f>
        <v>키키&amp;한메</v>
      </c>
      <c r="B87" s="43">
        <f>IFERROR(__xludf.DUMMYFUNCTION("""COMPUTED_VALUE"""),31.0)</f>
        <v>31</v>
      </c>
      <c r="C87" s="43">
        <f>IFERROR(__xludf.DUMMYFUNCTION("""COMPUTED_VALUE"""),20.0)</f>
        <v>20</v>
      </c>
      <c r="D87" s="46">
        <f>IFERROR(__xludf.DUMMYFUNCTION("""COMPUTED_VALUE"""),0.6078431372549019)</f>
        <v>0.6078431373</v>
      </c>
    </row>
    <row r="88">
      <c r="A88" s="43" t="str">
        <f>IFERROR(__xludf.DUMMYFUNCTION("""COMPUTED_VALUE"""),"넘버&amp;솔")</f>
        <v>넘버&amp;솔</v>
      </c>
      <c r="B88" s="43">
        <f>IFERROR(__xludf.DUMMYFUNCTION("""COMPUTED_VALUE"""),31.0)</f>
        <v>31</v>
      </c>
      <c r="C88" s="43">
        <f>IFERROR(__xludf.DUMMYFUNCTION("""COMPUTED_VALUE"""),28.0)</f>
        <v>28</v>
      </c>
      <c r="D88" s="46">
        <f>IFERROR(__xludf.DUMMYFUNCTION("""COMPUTED_VALUE"""),0.5254237288135594)</f>
        <v>0.5254237288</v>
      </c>
    </row>
    <row r="89">
      <c r="A89" s="43" t="str">
        <f>IFERROR(__xludf.DUMMYFUNCTION("""COMPUTED_VALUE"""),"랄&amp;신형만")</f>
        <v>랄&amp;신형만</v>
      </c>
      <c r="B89" s="43">
        <f>IFERROR(__xludf.DUMMYFUNCTION("""COMPUTED_VALUE"""),30.0)</f>
        <v>30</v>
      </c>
      <c r="C89" s="43">
        <f>IFERROR(__xludf.DUMMYFUNCTION("""COMPUTED_VALUE"""),22.0)</f>
        <v>22</v>
      </c>
      <c r="D89" s="46">
        <f>IFERROR(__xludf.DUMMYFUNCTION("""COMPUTED_VALUE"""),0.5769230769230769)</f>
        <v>0.5769230769</v>
      </c>
    </row>
    <row r="90">
      <c r="A90" s="43" t="str">
        <f>IFERROR(__xludf.DUMMYFUNCTION("""COMPUTED_VALUE"""),"깡패&amp;솔")</f>
        <v>깡패&amp;솔</v>
      </c>
      <c r="B90" s="43">
        <f>IFERROR(__xludf.DUMMYFUNCTION("""COMPUTED_VALUE"""),30.0)</f>
        <v>30</v>
      </c>
      <c r="C90" s="43">
        <f>IFERROR(__xludf.DUMMYFUNCTION("""COMPUTED_VALUE"""),26.0)</f>
        <v>26</v>
      </c>
      <c r="D90" s="46">
        <f>IFERROR(__xludf.DUMMYFUNCTION("""COMPUTED_VALUE"""),0.5357142857142857)</f>
        <v>0.5357142857</v>
      </c>
    </row>
    <row r="91">
      <c r="A91" s="43" t="str">
        <f>IFERROR(__xludf.DUMMYFUNCTION("""COMPUTED_VALUE"""),"신형만&amp;조드")</f>
        <v>신형만&amp;조드</v>
      </c>
      <c r="B91" s="43">
        <f>IFERROR(__xludf.DUMMYFUNCTION("""COMPUTED_VALUE"""),30.0)</f>
        <v>30</v>
      </c>
      <c r="C91" s="43">
        <f>IFERROR(__xludf.DUMMYFUNCTION("""COMPUTED_VALUE"""),27.0)</f>
        <v>27</v>
      </c>
      <c r="D91" s="46">
        <f>IFERROR(__xludf.DUMMYFUNCTION("""COMPUTED_VALUE"""),0.5263157894736842)</f>
        <v>0.5263157895</v>
      </c>
    </row>
    <row r="92">
      <c r="A92" s="43" t="str">
        <f>IFERROR(__xludf.DUMMYFUNCTION("""COMPUTED_VALUE"""),"규식&amp;노인")</f>
        <v>규식&amp;노인</v>
      </c>
      <c r="B92" s="43">
        <f>IFERROR(__xludf.DUMMYFUNCTION("""COMPUTED_VALUE"""),30.0)</f>
        <v>30</v>
      </c>
      <c r="C92" s="43">
        <f>IFERROR(__xludf.DUMMYFUNCTION("""COMPUTED_VALUE"""),28.0)</f>
        <v>28</v>
      </c>
      <c r="D92" s="46">
        <f>IFERROR(__xludf.DUMMYFUNCTION("""COMPUTED_VALUE"""),0.5172413793103449)</f>
        <v>0.5172413793</v>
      </c>
    </row>
    <row r="93">
      <c r="A93" s="43" t="str">
        <f>IFERROR(__xludf.DUMMYFUNCTION("""COMPUTED_VALUE"""),"전투쥐&amp;테리")</f>
        <v>전투쥐&amp;테리</v>
      </c>
      <c r="B93" s="43">
        <f>IFERROR(__xludf.DUMMYFUNCTION("""COMPUTED_VALUE"""),29.0)</f>
        <v>29</v>
      </c>
      <c r="C93" s="43">
        <f>IFERROR(__xludf.DUMMYFUNCTION("""COMPUTED_VALUE"""),19.0)</f>
        <v>19</v>
      </c>
      <c r="D93" s="46">
        <f>IFERROR(__xludf.DUMMYFUNCTION("""COMPUTED_VALUE"""),0.6041666666666666)</f>
        <v>0.6041666667</v>
      </c>
    </row>
    <row r="94">
      <c r="A94" s="43" t="str">
        <f>IFERROR(__xludf.DUMMYFUNCTION("""COMPUTED_VALUE"""),"재명&amp;테리")</f>
        <v>재명&amp;테리</v>
      </c>
      <c r="B94" s="43">
        <f>IFERROR(__xludf.DUMMYFUNCTION("""COMPUTED_VALUE"""),29.0)</f>
        <v>29</v>
      </c>
      <c r="C94" s="43">
        <f>IFERROR(__xludf.DUMMYFUNCTION("""COMPUTED_VALUE"""),30.0)</f>
        <v>30</v>
      </c>
      <c r="D94" s="46">
        <f>IFERROR(__xludf.DUMMYFUNCTION("""COMPUTED_VALUE"""),0.4915254237288136)</f>
        <v>0.4915254237</v>
      </c>
    </row>
    <row r="95">
      <c r="A95" s="43" t="str">
        <f>IFERROR(__xludf.DUMMYFUNCTION("""COMPUTED_VALUE"""),"따&amp;테리")</f>
        <v>따&amp;테리</v>
      </c>
      <c r="B95" s="43">
        <f>IFERROR(__xludf.DUMMYFUNCTION("""COMPUTED_VALUE"""),28.0)</f>
        <v>28</v>
      </c>
      <c r="C95" s="43">
        <f>IFERROR(__xludf.DUMMYFUNCTION("""COMPUTED_VALUE"""),10.0)</f>
        <v>10</v>
      </c>
      <c r="D95" s="46">
        <f>IFERROR(__xludf.DUMMYFUNCTION("""COMPUTED_VALUE"""),0.7368421052631579)</f>
        <v>0.7368421053</v>
      </c>
    </row>
    <row r="96">
      <c r="A96" s="43" t="str">
        <f>IFERROR(__xludf.DUMMYFUNCTION("""COMPUTED_VALUE"""),"노인&amp;솔")</f>
        <v>노인&amp;솔</v>
      </c>
      <c r="B96" s="43">
        <f>IFERROR(__xludf.DUMMYFUNCTION("""COMPUTED_VALUE"""),28.0)</f>
        <v>28</v>
      </c>
      <c r="C96" s="43">
        <f>IFERROR(__xludf.DUMMYFUNCTION("""COMPUTED_VALUE"""),18.0)</f>
        <v>18</v>
      </c>
      <c r="D96" s="46">
        <f>IFERROR(__xludf.DUMMYFUNCTION("""COMPUTED_VALUE"""),0.6086956521739131)</f>
        <v>0.6086956522</v>
      </c>
    </row>
    <row r="97">
      <c r="A97" s="43" t="str">
        <f>IFERROR(__xludf.DUMMYFUNCTION("""COMPUTED_VALUE"""),"짱구&amp;태식")</f>
        <v>짱구&amp;태식</v>
      </c>
      <c r="B97" s="43">
        <f>IFERROR(__xludf.DUMMYFUNCTION("""COMPUTED_VALUE"""),28.0)</f>
        <v>28</v>
      </c>
      <c r="C97" s="43">
        <f>IFERROR(__xludf.DUMMYFUNCTION("""COMPUTED_VALUE"""),19.0)</f>
        <v>19</v>
      </c>
      <c r="D97" s="46">
        <f>IFERROR(__xludf.DUMMYFUNCTION("""COMPUTED_VALUE"""),0.5957446808510638)</f>
        <v>0.5957446809</v>
      </c>
    </row>
    <row r="98">
      <c r="A98" s="43" t="str">
        <f>IFERROR(__xludf.DUMMYFUNCTION("""COMPUTED_VALUE"""),"규식&amp;한메")</f>
        <v>규식&amp;한메</v>
      </c>
      <c r="B98" s="43">
        <f>IFERROR(__xludf.DUMMYFUNCTION("""COMPUTED_VALUE"""),28.0)</f>
        <v>28</v>
      </c>
      <c r="C98" s="43">
        <f>IFERROR(__xludf.DUMMYFUNCTION("""COMPUTED_VALUE"""),25.0)</f>
        <v>25</v>
      </c>
      <c r="D98" s="46">
        <f>IFERROR(__xludf.DUMMYFUNCTION("""COMPUTED_VALUE"""),0.5283018867924528)</f>
        <v>0.5283018868</v>
      </c>
    </row>
    <row r="99">
      <c r="A99" s="43" t="str">
        <f>IFERROR(__xludf.DUMMYFUNCTION("""COMPUTED_VALUE"""),"엘더&amp;짱구")</f>
        <v>엘더&amp;짱구</v>
      </c>
      <c r="B99" s="43">
        <f>IFERROR(__xludf.DUMMYFUNCTION("""COMPUTED_VALUE"""),27.0)</f>
        <v>27</v>
      </c>
      <c r="C99" s="43">
        <f>IFERROR(__xludf.DUMMYFUNCTION("""COMPUTED_VALUE"""),6.0)</f>
        <v>6</v>
      </c>
      <c r="D99" s="46">
        <f>IFERROR(__xludf.DUMMYFUNCTION("""COMPUTED_VALUE"""),0.8181818181818182)</f>
        <v>0.8181818182</v>
      </c>
    </row>
    <row r="100">
      <c r="A100" s="43" t="str">
        <f>IFERROR(__xludf.DUMMYFUNCTION("""COMPUTED_VALUE"""),"강화&amp;노인")</f>
        <v>강화&amp;노인</v>
      </c>
      <c r="B100" s="43">
        <f>IFERROR(__xludf.DUMMYFUNCTION("""COMPUTED_VALUE"""),27.0)</f>
        <v>27</v>
      </c>
      <c r="C100" s="43">
        <f>IFERROR(__xludf.DUMMYFUNCTION("""COMPUTED_VALUE"""),43.0)</f>
        <v>43</v>
      </c>
      <c r="D100" s="46">
        <f>IFERROR(__xludf.DUMMYFUNCTION("""COMPUTED_VALUE"""),0.38571428571428573)</f>
        <v>0.3857142857</v>
      </c>
    </row>
    <row r="101">
      <c r="A101" s="43" t="str">
        <f>IFERROR(__xludf.DUMMYFUNCTION("""COMPUTED_VALUE"""),"미르진&amp;한메")</f>
        <v>미르진&amp;한메</v>
      </c>
      <c r="B101" s="43">
        <f>IFERROR(__xludf.DUMMYFUNCTION("""COMPUTED_VALUE"""),26.0)</f>
        <v>26</v>
      </c>
      <c r="C101" s="43">
        <f>IFERROR(__xludf.DUMMYFUNCTION("""COMPUTED_VALUE"""),18.0)</f>
        <v>18</v>
      </c>
      <c r="D101" s="46">
        <f>IFERROR(__xludf.DUMMYFUNCTION("""COMPUTED_VALUE"""),0.5909090909090909)</f>
        <v>0.5909090909</v>
      </c>
    </row>
    <row r="102">
      <c r="A102" s="43" t="str">
        <f>IFERROR(__xludf.DUMMYFUNCTION("""COMPUTED_VALUE"""),"솔&amp;짱구")</f>
        <v>솔&amp;짱구</v>
      </c>
      <c r="B102" s="43">
        <f>IFERROR(__xludf.DUMMYFUNCTION("""COMPUTED_VALUE"""),26.0)</f>
        <v>26</v>
      </c>
      <c r="C102" s="43">
        <f>IFERROR(__xludf.DUMMYFUNCTION("""COMPUTED_VALUE"""),18.0)</f>
        <v>18</v>
      </c>
      <c r="D102" s="46">
        <f>IFERROR(__xludf.DUMMYFUNCTION("""COMPUTED_VALUE"""),0.5909090909090909)</f>
        <v>0.5909090909</v>
      </c>
    </row>
    <row r="103">
      <c r="A103" s="43" t="str">
        <f>IFERROR(__xludf.DUMMYFUNCTION("""COMPUTED_VALUE"""),"짱구&amp;키키")</f>
        <v>짱구&amp;키키</v>
      </c>
      <c r="B103" s="43">
        <f>IFERROR(__xludf.DUMMYFUNCTION("""COMPUTED_VALUE"""),26.0)</f>
        <v>26</v>
      </c>
      <c r="C103" s="43">
        <f>IFERROR(__xludf.DUMMYFUNCTION("""COMPUTED_VALUE"""),19.0)</f>
        <v>19</v>
      </c>
      <c r="D103" s="46">
        <f>IFERROR(__xludf.DUMMYFUNCTION("""COMPUTED_VALUE"""),0.5777777777777777)</f>
        <v>0.5777777778</v>
      </c>
    </row>
    <row r="104">
      <c r="A104" s="43" t="str">
        <f>IFERROR(__xludf.DUMMYFUNCTION("""COMPUTED_VALUE"""),"민우&amp;테리")</f>
        <v>민우&amp;테리</v>
      </c>
      <c r="B104" s="43">
        <f>IFERROR(__xludf.DUMMYFUNCTION("""COMPUTED_VALUE"""),25.0)</f>
        <v>25</v>
      </c>
      <c r="C104" s="43">
        <f>IFERROR(__xludf.DUMMYFUNCTION("""COMPUTED_VALUE"""),10.0)</f>
        <v>10</v>
      </c>
      <c r="D104" s="46">
        <f>IFERROR(__xludf.DUMMYFUNCTION("""COMPUTED_VALUE"""),0.7142857142857143)</f>
        <v>0.7142857143</v>
      </c>
    </row>
    <row r="105">
      <c r="A105" s="43" t="str">
        <f>IFERROR(__xludf.DUMMYFUNCTION("""COMPUTED_VALUE"""),"키키&amp;테리")</f>
        <v>키키&amp;테리</v>
      </c>
      <c r="B105" s="43">
        <f>IFERROR(__xludf.DUMMYFUNCTION("""COMPUTED_VALUE"""),25.0)</f>
        <v>25</v>
      </c>
      <c r="C105" s="43">
        <f>IFERROR(__xludf.DUMMYFUNCTION("""COMPUTED_VALUE"""),12.0)</f>
        <v>12</v>
      </c>
      <c r="D105" s="46">
        <f>IFERROR(__xludf.DUMMYFUNCTION("""COMPUTED_VALUE"""),0.6756756756756757)</f>
        <v>0.6756756757</v>
      </c>
    </row>
    <row r="106">
      <c r="A106" s="43" t="str">
        <f>IFERROR(__xludf.DUMMYFUNCTION("""COMPUTED_VALUE"""),"깡패&amp;민우")</f>
        <v>깡패&amp;민우</v>
      </c>
      <c r="B106" s="43">
        <f>IFERROR(__xludf.DUMMYFUNCTION("""COMPUTED_VALUE"""),25.0)</f>
        <v>25</v>
      </c>
      <c r="C106" s="43">
        <f>IFERROR(__xludf.DUMMYFUNCTION("""COMPUTED_VALUE"""),16.0)</f>
        <v>16</v>
      </c>
      <c r="D106" s="46">
        <f>IFERROR(__xludf.DUMMYFUNCTION("""COMPUTED_VALUE"""),0.6097560975609756)</f>
        <v>0.6097560976</v>
      </c>
    </row>
    <row r="107">
      <c r="A107" s="43" t="str">
        <f>IFERROR(__xludf.DUMMYFUNCTION("""COMPUTED_VALUE"""),"노인&amp;따")</f>
        <v>노인&amp;따</v>
      </c>
      <c r="B107" s="43">
        <f>IFERROR(__xludf.DUMMYFUNCTION("""COMPUTED_VALUE"""),25.0)</f>
        <v>25</v>
      </c>
      <c r="C107" s="43">
        <f>IFERROR(__xludf.DUMMYFUNCTION("""COMPUTED_VALUE"""),17.0)</f>
        <v>17</v>
      </c>
      <c r="D107" s="46">
        <f>IFERROR(__xludf.DUMMYFUNCTION("""COMPUTED_VALUE"""),0.5952380952380952)</f>
        <v>0.5952380952</v>
      </c>
    </row>
    <row r="108">
      <c r="A108" s="43" t="str">
        <f>IFERROR(__xludf.DUMMYFUNCTION("""COMPUTED_VALUE"""),"깡패&amp;유망")</f>
        <v>깡패&amp;유망</v>
      </c>
      <c r="B108" s="43">
        <f>IFERROR(__xludf.DUMMYFUNCTION("""COMPUTED_VALUE"""),25.0)</f>
        <v>25</v>
      </c>
      <c r="C108" s="43">
        <f>IFERROR(__xludf.DUMMYFUNCTION("""COMPUTED_VALUE"""),21.0)</f>
        <v>21</v>
      </c>
      <c r="D108" s="46">
        <f>IFERROR(__xludf.DUMMYFUNCTION("""COMPUTED_VALUE"""),0.5434782608695652)</f>
        <v>0.5434782609</v>
      </c>
    </row>
    <row r="109">
      <c r="A109" s="43" t="str">
        <f>IFERROR(__xludf.DUMMYFUNCTION("""COMPUTED_VALUE"""),"깡패&amp;오크")</f>
        <v>깡패&amp;오크</v>
      </c>
      <c r="B109" s="43">
        <f>IFERROR(__xludf.DUMMYFUNCTION("""COMPUTED_VALUE"""),25.0)</f>
        <v>25</v>
      </c>
      <c r="C109" s="43">
        <f>IFERROR(__xludf.DUMMYFUNCTION("""COMPUTED_VALUE"""),23.0)</f>
        <v>23</v>
      </c>
      <c r="D109" s="46">
        <f>IFERROR(__xludf.DUMMYFUNCTION("""COMPUTED_VALUE"""),0.5208333333333334)</f>
        <v>0.5208333333</v>
      </c>
    </row>
    <row r="110">
      <c r="A110" s="43" t="str">
        <f>IFERROR(__xludf.DUMMYFUNCTION("""COMPUTED_VALUE"""),"깡패&amp;조드")</f>
        <v>깡패&amp;조드</v>
      </c>
      <c r="B110" s="43">
        <f>IFERROR(__xludf.DUMMYFUNCTION("""COMPUTED_VALUE"""),25.0)</f>
        <v>25</v>
      </c>
      <c r="C110" s="43">
        <f>IFERROR(__xludf.DUMMYFUNCTION("""COMPUTED_VALUE"""),25.0)</f>
        <v>25</v>
      </c>
      <c r="D110" s="46">
        <f>IFERROR(__xludf.DUMMYFUNCTION("""COMPUTED_VALUE"""),0.5)</f>
        <v>0.5</v>
      </c>
    </row>
    <row r="111">
      <c r="A111" s="43" t="str">
        <f>IFERROR(__xludf.DUMMYFUNCTION("""COMPUTED_VALUE"""),"조드&amp;짱구")</f>
        <v>조드&amp;짱구</v>
      </c>
      <c r="B111" s="43">
        <f>IFERROR(__xludf.DUMMYFUNCTION("""COMPUTED_VALUE"""),25.0)</f>
        <v>25</v>
      </c>
      <c r="C111" s="43">
        <f>IFERROR(__xludf.DUMMYFUNCTION("""COMPUTED_VALUE"""),26.0)</f>
        <v>26</v>
      </c>
      <c r="D111" s="46">
        <f>IFERROR(__xludf.DUMMYFUNCTION("""COMPUTED_VALUE"""),0.49019607843137253)</f>
        <v>0.4901960784</v>
      </c>
    </row>
    <row r="112">
      <c r="A112" s="43" t="str">
        <f>IFERROR(__xludf.DUMMYFUNCTION("""COMPUTED_VALUE"""),"ACDC&amp;규식")</f>
        <v>ACDC&amp;규식</v>
      </c>
      <c r="B112" s="43">
        <f>IFERROR(__xludf.DUMMYFUNCTION("""COMPUTED_VALUE"""),25.0)</f>
        <v>25</v>
      </c>
      <c r="C112" s="43">
        <f>IFERROR(__xludf.DUMMYFUNCTION("""COMPUTED_VALUE"""),35.0)</f>
        <v>35</v>
      </c>
      <c r="D112" s="46">
        <f>IFERROR(__xludf.DUMMYFUNCTION("""COMPUTED_VALUE"""),0.4166666666666667)</f>
        <v>0.4166666667</v>
      </c>
    </row>
    <row r="113">
      <c r="A113" s="43" t="str">
        <f>IFERROR(__xludf.DUMMYFUNCTION("""COMPUTED_VALUE"""),"엘더&amp;한메")</f>
        <v>엘더&amp;한메</v>
      </c>
      <c r="B113" s="43">
        <f>IFERROR(__xludf.DUMMYFUNCTION("""COMPUTED_VALUE"""),24.0)</f>
        <v>24</v>
      </c>
      <c r="C113" s="43">
        <f>IFERROR(__xludf.DUMMYFUNCTION("""COMPUTED_VALUE"""),7.0)</f>
        <v>7</v>
      </c>
      <c r="D113" s="46">
        <f>IFERROR(__xludf.DUMMYFUNCTION("""COMPUTED_VALUE"""),0.7741935483870968)</f>
        <v>0.7741935484</v>
      </c>
    </row>
    <row r="114">
      <c r="A114" s="43" t="str">
        <f>IFERROR(__xludf.DUMMYFUNCTION("""COMPUTED_VALUE"""),"노픽업&amp;테리")</f>
        <v>노픽업&amp;테리</v>
      </c>
      <c r="B114" s="43">
        <f>IFERROR(__xludf.DUMMYFUNCTION("""COMPUTED_VALUE"""),24.0)</f>
        <v>24</v>
      </c>
      <c r="C114" s="43">
        <f>IFERROR(__xludf.DUMMYFUNCTION("""COMPUTED_VALUE"""),15.0)</f>
        <v>15</v>
      </c>
      <c r="D114" s="46">
        <f>IFERROR(__xludf.DUMMYFUNCTION("""COMPUTED_VALUE"""),0.6153846153846154)</f>
        <v>0.6153846154</v>
      </c>
    </row>
    <row r="115">
      <c r="A115" s="43" t="str">
        <f>IFERROR(__xludf.DUMMYFUNCTION("""COMPUTED_VALUE"""),"재우&amp;태식")</f>
        <v>재우&amp;태식</v>
      </c>
      <c r="B115" s="43">
        <f>IFERROR(__xludf.DUMMYFUNCTION("""COMPUTED_VALUE"""),24.0)</f>
        <v>24</v>
      </c>
      <c r="C115" s="43">
        <f>IFERROR(__xludf.DUMMYFUNCTION("""COMPUTED_VALUE"""),17.0)</f>
        <v>17</v>
      </c>
      <c r="D115" s="46">
        <f>IFERROR(__xludf.DUMMYFUNCTION("""COMPUTED_VALUE"""),0.5853658536585366)</f>
        <v>0.5853658537</v>
      </c>
    </row>
    <row r="116">
      <c r="A116" s="43" t="str">
        <f>IFERROR(__xludf.DUMMYFUNCTION("""COMPUTED_VALUE"""),"재명&amp;짱구")</f>
        <v>재명&amp;짱구</v>
      </c>
      <c r="B116" s="43">
        <f>IFERROR(__xludf.DUMMYFUNCTION("""COMPUTED_VALUE"""),24.0)</f>
        <v>24</v>
      </c>
      <c r="C116" s="43">
        <f>IFERROR(__xludf.DUMMYFUNCTION("""COMPUTED_VALUE"""),21.0)</f>
        <v>21</v>
      </c>
      <c r="D116" s="46">
        <f>IFERROR(__xludf.DUMMYFUNCTION("""COMPUTED_VALUE"""),0.5333333333333333)</f>
        <v>0.5333333333</v>
      </c>
    </row>
    <row r="117">
      <c r="A117" s="43" t="str">
        <f>IFERROR(__xludf.DUMMYFUNCTION("""COMPUTED_VALUE"""),"구리다&amp;재우")</f>
        <v>구리다&amp;재우</v>
      </c>
      <c r="B117" s="43">
        <f>IFERROR(__xludf.DUMMYFUNCTION("""COMPUTED_VALUE"""),24.0)</f>
        <v>24</v>
      </c>
      <c r="C117" s="43">
        <f>IFERROR(__xludf.DUMMYFUNCTION("""COMPUTED_VALUE"""),22.0)</f>
        <v>22</v>
      </c>
      <c r="D117" s="46">
        <f>IFERROR(__xludf.DUMMYFUNCTION("""COMPUTED_VALUE"""),0.5217391304347826)</f>
        <v>0.5217391304</v>
      </c>
    </row>
    <row r="118">
      <c r="A118" s="43" t="str">
        <f>IFERROR(__xludf.DUMMYFUNCTION("""COMPUTED_VALUE"""),"신형만&amp;유즈")</f>
        <v>신형만&amp;유즈</v>
      </c>
      <c r="B118" s="43">
        <f>IFERROR(__xludf.DUMMYFUNCTION("""COMPUTED_VALUE"""),24.0)</f>
        <v>24</v>
      </c>
      <c r="C118" s="43">
        <f>IFERROR(__xludf.DUMMYFUNCTION("""COMPUTED_VALUE"""),29.0)</f>
        <v>29</v>
      </c>
      <c r="D118" s="46">
        <f>IFERROR(__xludf.DUMMYFUNCTION("""COMPUTED_VALUE"""),0.4528301886792453)</f>
        <v>0.4528301887</v>
      </c>
    </row>
    <row r="119">
      <c r="A119" s="43" t="str">
        <f>IFERROR(__xludf.DUMMYFUNCTION("""COMPUTED_VALUE"""),"규식&amp;원")</f>
        <v>규식&amp;원</v>
      </c>
      <c r="B119" s="43">
        <f>IFERROR(__xludf.DUMMYFUNCTION("""COMPUTED_VALUE"""),23.0)</f>
        <v>23</v>
      </c>
      <c r="C119" s="43">
        <f>IFERROR(__xludf.DUMMYFUNCTION("""COMPUTED_VALUE"""),5.0)</f>
        <v>5</v>
      </c>
      <c r="D119" s="46">
        <f>IFERROR(__xludf.DUMMYFUNCTION("""COMPUTED_VALUE"""),0.8214285714285714)</f>
        <v>0.8214285714</v>
      </c>
    </row>
    <row r="120">
      <c r="A120" s="43" t="str">
        <f>IFERROR(__xludf.DUMMYFUNCTION("""COMPUTED_VALUE"""),"원&amp;재우")</f>
        <v>원&amp;재우</v>
      </c>
      <c r="B120" s="43">
        <f>IFERROR(__xludf.DUMMYFUNCTION("""COMPUTED_VALUE"""),23.0)</f>
        <v>23</v>
      </c>
      <c r="C120" s="43">
        <f>IFERROR(__xludf.DUMMYFUNCTION("""COMPUTED_VALUE"""),7.0)</f>
        <v>7</v>
      </c>
      <c r="D120" s="46">
        <f>IFERROR(__xludf.DUMMYFUNCTION("""COMPUTED_VALUE"""),0.7666666666666667)</f>
        <v>0.7666666667</v>
      </c>
    </row>
    <row r="121">
      <c r="A121" s="43" t="str">
        <f>IFERROR(__xludf.DUMMYFUNCTION("""COMPUTED_VALUE"""),"유망&amp;테리")</f>
        <v>유망&amp;테리</v>
      </c>
      <c r="B121" s="43">
        <f>IFERROR(__xludf.DUMMYFUNCTION("""COMPUTED_VALUE"""),23.0)</f>
        <v>23</v>
      </c>
      <c r="C121" s="43">
        <f>IFERROR(__xludf.DUMMYFUNCTION("""COMPUTED_VALUE"""),9.0)</f>
        <v>9</v>
      </c>
      <c r="D121" s="46">
        <f>IFERROR(__xludf.DUMMYFUNCTION("""COMPUTED_VALUE"""),0.71875)</f>
        <v>0.71875</v>
      </c>
    </row>
    <row r="122">
      <c r="A122" s="43" t="str">
        <f>IFERROR(__xludf.DUMMYFUNCTION("""COMPUTED_VALUE"""),"미르진&amp;신형만")</f>
        <v>미르진&amp;신형만</v>
      </c>
      <c r="B122" s="43">
        <f>IFERROR(__xludf.DUMMYFUNCTION("""COMPUTED_VALUE"""),23.0)</f>
        <v>23</v>
      </c>
      <c r="C122" s="43">
        <f>IFERROR(__xludf.DUMMYFUNCTION("""COMPUTED_VALUE"""),15.0)</f>
        <v>15</v>
      </c>
      <c r="D122" s="46">
        <f>IFERROR(__xludf.DUMMYFUNCTION("""COMPUTED_VALUE"""),0.6052631578947368)</f>
        <v>0.6052631579</v>
      </c>
    </row>
    <row r="123">
      <c r="A123" s="43" t="str">
        <f>IFERROR(__xludf.DUMMYFUNCTION("""COMPUTED_VALUE"""),"민우&amp;짱구")</f>
        <v>민우&amp;짱구</v>
      </c>
      <c r="B123" s="43">
        <f>IFERROR(__xludf.DUMMYFUNCTION("""COMPUTED_VALUE"""),23.0)</f>
        <v>23</v>
      </c>
      <c r="C123" s="43">
        <f>IFERROR(__xludf.DUMMYFUNCTION("""COMPUTED_VALUE"""),17.0)</f>
        <v>17</v>
      </c>
      <c r="D123" s="46">
        <f>IFERROR(__xludf.DUMMYFUNCTION("""COMPUTED_VALUE"""),0.575)</f>
        <v>0.575</v>
      </c>
    </row>
    <row r="124">
      <c r="A124" s="43" t="str">
        <f>IFERROR(__xludf.DUMMYFUNCTION("""COMPUTED_VALUE"""),"노인&amp;키키")</f>
        <v>노인&amp;키키</v>
      </c>
      <c r="B124" s="43">
        <f>IFERROR(__xludf.DUMMYFUNCTION("""COMPUTED_VALUE"""),23.0)</f>
        <v>23</v>
      </c>
      <c r="C124" s="43">
        <f>IFERROR(__xludf.DUMMYFUNCTION("""COMPUTED_VALUE"""),19.0)</f>
        <v>19</v>
      </c>
      <c r="D124" s="46">
        <f>IFERROR(__xludf.DUMMYFUNCTION("""COMPUTED_VALUE"""),0.5476190476190477)</f>
        <v>0.5476190476</v>
      </c>
    </row>
    <row r="125">
      <c r="A125" s="43" t="str">
        <f>IFERROR(__xludf.DUMMYFUNCTION("""COMPUTED_VALUE"""),"깡패&amp;따")</f>
        <v>깡패&amp;따</v>
      </c>
      <c r="B125" s="43">
        <f>IFERROR(__xludf.DUMMYFUNCTION("""COMPUTED_VALUE"""),23.0)</f>
        <v>23</v>
      </c>
      <c r="C125" s="43">
        <f>IFERROR(__xludf.DUMMYFUNCTION("""COMPUTED_VALUE"""),23.0)</f>
        <v>23</v>
      </c>
      <c r="D125" s="46">
        <f>IFERROR(__xludf.DUMMYFUNCTION("""COMPUTED_VALUE"""),0.5)</f>
        <v>0.5</v>
      </c>
    </row>
    <row r="126">
      <c r="A126" s="43" t="str">
        <f>IFERROR(__xludf.DUMMYFUNCTION("""COMPUTED_VALUE"""),"ACDC&amp;엘더")</f>
        <v>ACDC&amp;엘더</v>
      </c>
      <c r="B126" s="43">
        <f>IFERROR(__xludf.DUMMYFUNCTION("""COMPUTED_VALUE"""),23.0)</f>
        <v>23</v>
      </c>
      <c r="C126" s="43">
        <f>IFERROR(__xludf.DUMMYFUNCTION("""COMPUTED_VALUE"""),24.0)</f>
        <v>24</v>
      </c>
      <c r="D126" s="46">
        <f>IFERROR(__xludf.DUMMYFUNCTION("""COMPUTED_VALUE"""),0.48936170212765956)</f>
        <v>0.4893617021</v>
      </c>
    </row>
    <row r="127">
      <c r="A127" s="43" t="str">
        <f>IFERROR(__xludf.DUMMYFUNCTION("""COMPUTED_VALUE"""),"따&amp;신형만")</f>
        <v>따&amp;신형만</v>
      </c>
      <c r="B127" s="43">
        <f>IFERROR(__xludf.DUMMYFUNCTION("""COMPUTED_VALUE"""),23.0)</f>
        <v>23</v>
      </c>
      <c r="C127" s="43">
        <f>IFERROR(__xludf.DUMMYFUNCTION("""COMPUTED_VALUE"""),24.0)</f>
        <v>24</v>
      </c>
      <c r="D127" s="46">
        <f>IFERROR(__xludf.DUMMYFUNCTION("""COMPUTED_VALUE"""),0.48936170212765956)</f>
        <v>0.4893617021</v>
      </c>
    </row>
    <row r="128">
      <c r="A128" s="43" t="str">
        <f>IFERROR(__xludf.DUMMYFUNCTION("""COMPUTED_VALUE"""),"ACDC&amp;미등록")</f>
        <v>ACDC&amp;미등록</v>
      </c>
      <c r="B128" s="43">
        <f>IFERROR(__xludf.DUMMYFUNCTION("""COMPUTED_VALUE"""),23.0)</f>
        <v>23</v>
      </c>
      <c r="C128" s="43">
        <f>IFERROR(__xludf.DUMMYFUNCTION("""COMPUTED_VALUE"""),27.0)</f>
        <v>27</v>
      </c>
      <c r="D128" s="46">
        <f>IFERROR(__xludf.DUMMYFUNCTION("""COMPUTED_VALUE"""),0.46)</f>
        <v>0.46</v>
      </c>
    </row>
    <row r="129">
      <c r="A129" s="43" t="str">
        <f>IFERROR(__xludf.DUMMYFUNCTION("""COMPUTED_VALUE"""),"ACDC&amp;미르진")</f>
        <v>ACDC&amp;미르진</v>
      </c>
      <c r="B129" s="43">
        <f>IFERROR(__xludf.DUMMYFUNCTION("""COMPUTED_VALUE"""),23.0)</f>
        <v>23</v>
      </c>
      <c r="C129" s="43">
        <f>IFERROR(__xludf.DUMMYFUNCTION("""COMPUTED_VALUE"""),42.0)</f>
        <v>42</v>
      </c>
      <c r="D129" s="46">
        <f>IFERROR(__xludf.DUMMYFUNCTION("""COMPUTED_VALUE"""),0.35384615384615387)</f>
        <v>0.3538461538</v>
      </c>
    </row>
    <row r="130">
      <c r="A130" s="43" t="str">
        <f>IFERROR(__xludf.DUMMYFUNCTION("""COMPUTED_VALUE"""),"유망&amp;짱구")</f>
        <v>유망&amp;짱구</v>
      </c>
      <c r="B130" s="43">
        <f>IFERROR(__xludf.DUMMYFUNCTION("""COMPUTED_VALUE"""),22.0)</f>
        <v>22</v>
      </c>
      <c r="C130" s="43">
        <f>IFERROR(__xludf.DUMMYFUNCTION("""COMPUTED_VALUE"""),7.0)</f>
        <v>7</v>
      </c>
      <c r="D130" s="46">
        <f>IFERROR(__xludf.DUMMYFUNCTION("""COMPUTED_VALUE"""),0.7586206896551724)</f>
        <v>0.7586206897</v>
      </c>
    </row>
    <row r="131">
      <c r="A131" s="43" t="str">
        <f>IFERROR(__xludf.DUMMYFUNCTION("""COMPUTED_VALUE"""),"오크&amp;짱구")</f>
        <v>오크&amp;짱구</v>
      </c>
      <c r="B131" s="43">
        <f>IFERROR(__xludf.DUMMYFUNCTION("""COMPUTED_VALUE"""),22.0)</f>
        <v>22</v>
      </c>
      <c r="C131" s="43">
        <f>IFERROR(__xludf.DUMMYFUNCTION("""COMPUTED_VALUE"""),8.0)</f>
        <v>8</v>
      </c>
      <c r="D131" s="46">
        <f>IFERROR(__xludf.DUMMYFUNCTION("""COMPUTED_VALUE"""),0.7333333333333333)</f>
        <v>0.7333333333</v>
      </c>
    </row>
    <row r="132">
      <c r="A132" s="43" t="str">
        <f>IFERROR(__xludf.DUMMYFUNCTION("""COMPUTED_VALUE"""),"원&amp;유망")</f>
        <v>원&amp;유망</v>
      </c>
      <c r="B132" s="43">
        <f>IFERROR(__xludf.DUMMYFUNCTION("""COMPUTED_VALUE"""),22.0)</f>
        <v>22</v>
      </c>
      <c r="C132" s="43">
        <f>IFERROR(__xludf.DUMMYFUNCTION("""COMPUTED_VALUE"""),9.0)</f>
        <v>9</v>
      </c>
      <c r="D132" s="46">
        <f>IFERROR(__xludf.DUMMYFUNCTION("""COMPUTED_VALUE"""),0.7096774193548387)</f>
        <v>0.7096774194</v>
      </c>
    </row>
    <row r="133">
      <c r="A133" s="43" t="str">
        <f>IFERROR(__xludf.DUMMYFUNCTION("""COMPUTED_VALUE"""),"기재&amp;짱구")</f>
        <v>기재&amp;짱구</v>
      </c>
      <c r="B133" s="43">
        <f>IFERROR(__xludf.DUMMYFUNCTION("""COMPUTED_VALUE"""),22.0)</f>
        <v>22</v>
      </c>
      <c r="C133" s="43">
        <f>IFERROR(__xludf.DUMMYFUNCTION("""COMPUTED_VALUE"""),17.0)</f>
        <v>17</v>
      </c>
      <c r="D133" s="46">
        <f>IFERROR(__xludf.DUMMYFUNCTION("""COMPUTED_VALUE"""),0.5641025641025641)</f>
        <v>0.5641025641</v>
      </c>
    </row>
    <row r="134">
      <c r="A134" s="43" t="str">
        <f>IFERROR(__xludf.DUMMYFUNCTION("""COMPUTED_VALUE"""),"노인&amp;유망")</f>
        <v>노인&amp;유망</v>
      </c>
      <c r="B134" s="43">
        <f>IFERROR(__xludf.DUMMYFUNCTION("""COMPUTED_VALUE"""),22.0)</f>
        <v>22</v>
      </c>
      <c r="C134" s="43">
        <f>IFERROR(__xludf.DUMMYFUNCTION("""COMPUTED_VALUE"""),22.0)</f>
        <v>22</v>
      </c>
      <c r="D134" s="46">
        <f>IFERROR(__xludf.DUMMYFUNCTION("""COMPUTED_VALUE"""),0.5)</f>
        <v>0.5</v>
      </c>
    </row>
    <row r="135">
      <c r="A135" s="43" t="str">
        <f>IFERROR(__xludf.DUMMYFUNCTION("""COMPUTED_VALUE"""),"강화&amp;미르진")</f>
        <v>강화&amp;미르진</v>
      </c>
      <c r="B135" s="43">
        <f>IFERROR(__xludf.DUMMYFUNCTION("""COMPUTED_VALUE"""),22.0)</f>
        <v>22</v>
      </c>
      <c r="C135" s="43">
        <f>IFERROR(__xludf.DUMMYFUNCTION("""COMPUTED_VALUE"""),23.0)</f>
        <v>23</v>
      </c>
      <c r="D135" s="46">
        <f>IFERROR(__xludf.DUMMYFUNCTION("""COMPUTED_VALUE"""),0.4888888888888889)</f>
        <v>0.4888888889</v>
      </c>
    </row>
    <row r="136">
      <c r="A136" s="43" t="str">
        <f>IFERROR(__xludf.DUMMYFUNCTION("""COMPUTED_VALUE"""),"솔&amp;참치")</f>
        <v>솔&amp;참치</v>
      </c>
      <c r="B136" s="43">
        <f>IFERROR(__xludf.DUMMYFUNCTION("""COMPUTED_VALUE"""),22.0)</f>
        <v>22</v>
      </c>
      <c r="C136" s="43">
        <f>IFERROR(__xludf.DUMMYFUNCTION("""COMPUTED_VALUE"""),32.0)</f>
        <v>32</v>
      </c>
      <c r="D136" s="46">
        <f>IFERROR(__xludf.DUMMYFUNCTION("""COMPUTED_VALUE"""),0.4074074074074074)</f>
        <v>0.4074074074</v>
      </c>
    </row>
    <row r="137">
      <c r="A137" s="43" t="str">
        <f>IFERROR(__xludf.DUMMYFUNCTION("""COMPUTED_VALUE"""),"오크&amp;테리")</f>
        <v>오크&amp;테리</v>
      </c>
      <c r="B137" s="43">
        <f>IFERROR(__xludf.DUMMYFUNCTION("""COMPUTED_VALUE"""),21.0)</f>
        <v>21</v>
      </c>
      <c r="C137" s="43">
        <f>IFERROR(__xludf.DUMMYFUNCTION("""COMPUTED_VALUE"""),8.0)</f>
        <v>8</v>
      </c>
      <c r="D137" s="46">
        <f>IFERROR(__xludf.DUMMYFUNCTION("""COMPUTED_VALUE"""),0.7241379310344828)</f>
        <v>0.724137931</v>
      </c>
    </row>
    <row r="138">
      <c r="A138" s="43" t="str">
        <f>IFERROR(__xludf.DUMMYFUNCTION("""COMPUTED_VALUE"""),"규식&amp;기재")</f>
        <v>규식&amp;기재</v>
      </c>
      <c r="B138" s="43">
        <f>IFERROR(__xludf.DUMMYFUNCTION("""COMPUTED_VALUE"""),21.0)</f>
        <v>21</v>
      </c>
      <c r="C138" s="43">
        <f>IFERROR(__xludf.DUMMYFUNCTION("""COMPUTED_VALUE"""),12.0)</f>
        <v>12</v>
      </c>
      <c r="D138" s="46">
        <f>IFERROR(__xludf.DUMMYFUNCTION("""COMPUTED_VALUE"""),0.6363636363636364)</f>
        <v>0.6363636364</v>
      </c>
    </row>
    <row r="139">
      <c r="A139" s="43" t="str">
        <f>IFERROR(__xludf.DUMMYFUNCTION("""COMPUTED_VALUE"""),"규식&amp;짱구")</f>
        <v>규식&amp;짱구</v>
      </c>
      <c r="B139" s="43">
        <f>IFERROR(__xludf.DUMMYFUNCTION("""COMPUTED_VALUE"""),21.0)</f>
        <v>21</v>
      </c>
      <c r="C139" s="43">
        <f>IFERROR(__xludf.DUMMYFUNCTION("""COMPUTED_VALUE"""),15.0)</f>
        <v>15</v>
      </c>
      <c r="D139" s="46">
        <f>IFERROR(__xludf.DUMMYFUNCTION("""COMPUTED_VALUE"""),0.5833333333333334)</f>
        <v>0.5833333333</v>
      </c>
    </row>
    <row r="140">
      <c r="A140" s="43" t="str">
        <f>IFERROR(__xludf.DUMMYFUNCTION("""COMPUTED_VALUE"""),"미등록&amp;한메")</f>
        <v>미등록&amp;한메</v>
      </c>
      <c r="B140" s="43">
        <f>IFERROR(__xludf.DUMMYFUNCTION("""COMPUTED_VALUE"""),21.0)</f>
        <v>21</v>
      </c>
      <c r="C140" s="43">
        <f>IFERROR(__xludf.DUMMYFUNCTION("""COMPUTED_VALUE"""),16.0)</f>
        <v>16</v>
      </c>
      <c r="D140" s="46">
        <f>IFERROR(__xludf.DUMMYFUNCTION("""COMPUTED_VALUE"""),0.5675675675675675)</f>
        <v>0.5675675676</v>
      </c>
    </row>
    <row r="141">
      <c r="A141" s="43" t="str">
        <f>IFERROR(__xludf.DUMMYFUNCTION("""COMPUTED_VALUE"""),"기재&amp;깡패")</f>
        <v>기재&amp;깡패</v>
      </c>
      <c r="B141" s="43">
        <f>IFERROR(__xludf.DUMMYFUNCTION("""COMPUTED_VALUE"""),21.0)</f>
        <v>21</v>
      </c>
      <c r="C141" s="43">
        <f>IFERROR(__xludf.DUMMYFUNCTION("""COMPUTED_VALUE"""),19.0)</f>
        <v>19</v>
      </c>
      <c r="D141" s="46">
        <f>IFERROR(__xludf.DUMMYFUNCTION("""COMPUTED_VALUE"""),0.525)</f>
        <v>0.525</v>
      </c>
    </row>
    <row r="142">
      <c r="A142" s="43" t="str">
        <f>IFERROR(__xludf.DUMMYFUNCTION("""COMPUTED_VALUE"""),"기재&amp;신형만")</f>
        <v>기재&amp;신형만</v>
      </c>
      <c r="B142" s="43">
        <f>IFERROR(__xludf.DUMMYFUNCTION("""COMPUTED_VALUE"""),21.0)</f>
        <v>21</v>
      </c>
      <c r="C142" s="43">
        <f>IFERROR(__xludf.DUMMYFUNCTION("""COMPUTED_VALUE"""),22.0)</f>
        <v>22</v>
      </c>
      <c r="D142" s="46">
        <f>IFERROR(__xludf.DUMMYFUNCTION("""COMPUTED_VALUE"""),0.4883720930232558)</f>
        <v>0.488372093</v>
      </c>
    </row>
    <row r="143">
      <c r="A143" s="43" t="str">
        <f>IFERROR(__xludf.DUMMYFUNCTION("""COMPUTED_VALUE"""),"노인&amp;민우")</f>
        <v>노인&amp;민우</v>
      </c>
      <c r="B143" s="43">
        <f>IFERROR(__xludf.DUMMYFUNCTION("""COMPUTED_VALUE"""),21.0)</f>
        <v>21</v>
      </c>
      <c r="C143" s="43">
        <f>IFERROR(__xludf.DUMMYFUNCTION("""COMPUTED_VALUE"""),22.0)</f>
        <v>22</v>
      </c>
      <c r="D143" s="46">
        <f>IFERROR(__xludf.DUMMYFUNCTION("""COMPUTED_VALUE"""),0.4883720930232558)</f>
        <v>0.488372093</v>
      </c>
    </row>
    <row r="144">
      <c r="A144" s="43" t="str">
        <f>IFERROR(__xludf.DUMMYFUNCTION("""COMPUTED_VALUE"""),"구리다&amp;한메")</f>
        <v>구리다&amp;한메</v>
      </c>
      <c r="B144" s="43">
        <f>IFERROR(__xludf.DUMMYFUNCTION("""COMPUTED_VALUE"""),21.0)</f>
        <v>21</v>
      </c>
      <c r="C144" s="43">
        <f>IFERROR(__xludf.DUMMYFUNCTION("""COMPUTED_VALUE"""),30.0)</f>
        <v>30</v>
      </c>
      <c r="D144" s="46">
        <f>IFERROR(__xludf.DUMMYFUNCTION("""COMPUTED_VALUE"""),0.4117647058823529)</f>
        <v>0.4117647059</v>
      </c>
    </row>
    <row r="145">
      <c r="A145" s="43" t="str">
        <f>IFERROR(__xludf.DUMMYFUNCTION("""COMPUTED_VALUE"""),"신형만&amp;전투쥐")</f>
        <v>신형만&amp;전투쥐</v>
      </c>
      <c r="B145" s="43">
        <f>IFERROR(__xludf.DUMMYFUNCTION("""COMPUTED_VALUE"""),21.0)</f>
        <v>21</v>
      </c>
      <c r="C145" s="43">
        <f>IFERROR(__xludf.DUMMYFUNCTION("""COMPUTED_VALUE"""),36.0)</f>
        <v>36</v>
      </c>
      <c r="D145" s="46">
        <f>IFERROR(__xludf.DUMMYFUNCTION("""COMPUTED_VALUE"""),0.3684210526315789)</f>
        <v>0.3684210526</v>
      </c>
    </row>
    <row r="146">
      <c r="A146" s="43" t="str">
        <f>IFERROR(__xludf.DUMMYFUNCTION("""COMPUTED_VALUE"""),"노픽업&amp;신형만")</f>
        <v>노픽업&amp;신형만</v>
      </c>
      <c r="B146" s="43">
        <f>IFERROR(__xludf.DUMMYFUNCTION("""COMPUTED_VALUE"""),21.0)</f>
        <v>21</v>
      </c>
      <c r="C146" s="43">
        <f>IFERROR(__xludf.DUMMYFUNCTION("""COMPUTED_VALUE"""),44.0)</f>
        <v>44</v>
      </c>
      <c r="D146" s="46">
        <f>IFERROR(__xludf.DUMMYFUNCTION("""COMPUTED_VALUE"""),0.3230769230769231)</f>
        <v>0.3230769231</v>
      </c>
    </row>
    <row r="147">
      <c r="A147" s="43" t="str">
        <f>IFERROR(__xludf.DUMMYFUNCTION("""COMPUTED_VALUE"""),"신형만&amp;엘더")</f>
        <v>신형만&amp;엘더</v>
      </c>
      <c r="B147" s="43">
        <f>IFERROR(__xludf.DUMMYFUNCTION("""COMPUTED_VALUE"""),20.0)</f>
        <v>20</v>
      </c>
      <c r="C147" s="43">
        <f>IFERROR(__xludf.DUMMYFUNCTION("""COMPUTED_VALUE"""),5.0)</f>
        <v>5</v>
      </c>
      <c r="D147" s="46">
        <f>IFERROR(__xludf.DUMMYFUNCTION("""COMPUTED_VALUE"""),0.8)</f>
        <v>0.8</v>
      </c>
    </row>
    <row r="148">
      <c r="A148" s="43" t="str">
        <f>IFERROR(__xludf.DUMMYFUNCTION("""COMPUTED_VALUE"""),"신형만&amp;아이딘")</f>
        <v>신형만&amp;아이딘</v>
      </c>
      <c r="B148" s="43">
        <f>IFERROR(__xludf.DUMMYFUNCTION("""COMPUTED_VALUE"""),20.0)</f>
        <v>20</v>
      </c>
      <c r="C148" s="43">
        <f>IFERROR(__xludf.DUMMYFUNCTION("""COMPUTED_VALUE"""),6.0)</f>
        <v>6</v>
      </c>
      <c r="D148" s="46">
        <f>IFERROR(__xludf.DUMMYFUNCTION("""COMPUTED_VALUE"""),0.7692307692307693)</f>
        <v>0.7692307692</v>
      </c>
    </row>
    <row r="149">
      <c r="A149" s="43" t="str">
        <f>IFERROR(__xludf.DUMMYFUNCTION("""COMPUTED_VALUE"""),"깡패&amp;엘더")</f>
        <v>깡패&amp;엘더</v>
      </c>
      <c r="B149" s="43">
        <f>IFERROR(__xludf.DUMMYFUNCTION("""COMPUTED_VALUE"""),20.0)</f>
        <v>20</v>
      </c>
      <c r="C149" s="43">
        <f>IFERROR(__xludf.DUMMYFUNCTION("""COMPUTED_VALUE"""),8.0)</f>
        <v>8</v>
      </c>
      <c r="D149" s="46">
        <f>IFERROR(__xludf.DUMMYFUNCTION("""COMPUTED_VALUE"""),0.7142857142857143)</f>
        <v>0.7142857143</v>
      </c>
    </row>
    <row r="150">
      <c r="A150" s="43" t="str">
        <f>IFERROR(__xludf.DUMMYFUNCTION("""COMPUTED_VALUE"""),"민우&amp;한메")</f>
        <v>민우&amp;한메</v>
      </c>
      <c r="B150" s="43">
        <f>IFERROR(__xludf.DUMMYFUNCTION("""COMPUTED_VALUE"""),20.0)</f>
        <v>20</v>
      </c>
      <c r="C150" s="43">
        <f>IFERROR(__xludf.DUMMYFUNCTION("""COMPUTED_VALUE"""),14.0)</f>
        <v>14</v>
      </c>
      <c r="D150" s="46">
        <f>IFERROR(__xludf.DUMMYFUNCTION("""COMPUTED_VALUE"""),0.5882352941176471)</f>
        <v>0.5882352941</v>
      </c>
    </row>
    <row r="151">
      <c r="A151" s="43" t="str">
        <f>IFERROR(__xludf.DUMMYFUNCTION("""COMPUTED_VALUE"""),"조드&amp;한메")</f>
        <v>조드&amp;한메</v>
      </c>
      <c r="B151" s="43">
        <f>IFERROR(__xludf.DUMMYFUNCTION("""COMPUTED_VALUE"""),20.0)</f>
        <v>20</v>
      </c>
      <c r="C151" s="43">
        <f>IFERROR(__xludf.DUMMYFUNCTION("""COMPUTED_VALUE"""),19.0)</f>
        <v>19</v>
      </c>
      <c r="D151" s="46">
        <f>IFERROR(__xludf.DUMMYFUNCTION("""COMPUTED_VALUE"""),0.5128205128205128)</f>
        <v>0.5128205128</v>
      </c>
    </row>
    <row r="152">
      <c r="A152" s="43" t="str">
        <f>IFERROR(__xludf.DUMMYFUNCTION("""COMPUTED_VALUE"""),"ACDC&amp;랄")</f>
        <v>ACDC&amp;랄</v>
      </c>
      <c r="B152" s="43">
        <f>IFERROR(__xludf.DUMMYFUNCTION("""COMPUTED_VALUE"""),20.0)</f>
        <v>20</v>
      </c>
      <c r="C152" s="43">
        <f>IFERROR(__xludf.DUMMYFUNCTION("""COMPUTED_VALUE"""),28.0)</f>
        <v>28</v>
      </c>
      <c r="D152" s="46">
        <f>IFERROR(__xludf.DUMMYFUNCTION("""COMPUTED_VALUE"""),0.4166666666666667)</f>
        <v>0.4166666667</v>
      </c>
    </row>
    <row r="153">
      <c r="A153" s="43" t="str">
        <f>IFERROR(__xludf.DUMMYFUNCTION("""COMPUTED_VALUE"""),"넘버&amp;유망")</f>
        <v>넘버&amp;유망</v>
      </c>
      <c r="B153" s="43">
        <f>IFERROR(__xludf.DUMMYFUNCTION("""COMPUTED_VALUE"""),19.0)</f>
        <v>19</v>
      </c>
      <c r="C153" s="43">
        <f>IFERROR(__xludf.DUMMYFUNCTION("""COMPUTED_VALUE"""),6.0)</f>
        <v>6</v>
      </c>
      <c r="D153" s="46">
        <f>IFERROR(__xludf.DUMMYFUNCTION("""COMPUTED_VALUE"""),0.76)</f>
        <v>0.76</v>
      </c>
    </row>
    <row r="154">
      <c r="A154" s="43" t="str">
        <f>IFERROR(__xludf.DUMMYFUNCTION("""COMPUTED_VALUE"""),"따&amp;짱구")</f>
        <v>따&amp;짱구</v>
      </c>
      <c r="B154" s="43">
        <f>IFERROR(__xludf.DUMMYFUNCTION("""COMPUTED_VALUE"""),19.0)</f>
        <v>19</v>
      </c>
      <c r="C154" s="43">
        <f>IFERROR(__xludf.DUMMYFUNCTION("""COMPUTED_VALUE"""),6.0)</f>
        <v>6</v>
      </c>
      <c r="D154" s="46">
        <f>IFERROR(__xludf.DUMMYFUNCTION("""COMPUTED_VALUE"""),0.76)</f>
        <v>0.76</v>
      </c>
    </row>
    <row r="155">
      <c r="A155" s="43" t="str">
        <f>IFERROR(__xludf.DUMMYFUNCTION("""COMPUTED_VALUE"""),"엘더&amp;재우")</f>
        <v>엘더&amp;재우</v>
      </c>
      <c r="B155" s="43">
        <f>IFERROR(__xludf.DUMMYFUNCTION("""COMPUTED_VALUE"""),19.0)</f>
        <v>19</v>
      </c>
      <c r="C155" s="43">
        <f>IFERROR(__xludf.DUMMYFUNCTION("""COMPUTED_VALUE"""),7.0)</f>
        <v>7</v>
      </c>
      <c r="D155" s="46">
        <f>IFERROR(__xludf.DUMMYFUNCTION("""COMPUTED_VALUE"""),0.7307692307692307)</f>
        <v>0.7307692308</v>
      </c>
    </row>
    <row r="156">
      <c r="A156" s="43" t="str">
        <f>IFERROR(__xludf.DUMMYFUNCTION("""COMPUTED_VALUE"""),"미르진&amp;재우")</f>
        <v>미르진&amp;재우</v>
      </c>
      <c r="B156" s="43">
        <f>IFERROR(__xludf.DUMMYFUNCTION("""COMPUTED_VALUE"""),19.0)</f>
        <v>19</v>
      </c>
      <c r="C156" s="43">
        <f>IFERROR(__xludf.DUMMYFUNCTION("""COMPUTED_VALUE"""),8.0)</f>
        <v>8</v>
      </c>
      <c r="D156" s="46">
        <f>IFERROR(__xludf.DUMMYFUNCTION("""COMPUTED_VALUE"""),0.7037037037037037)</f>
        <v>0.7037037037</v>
      </c>
    </row>
    <row r="157">
      <c r="A157" s="43" t="str">
        <f>IFERROR(__xludf.DUMMYFUNCTION("""COMPUTED_VALUE"""),"테리&amp;필찌")</f>
        <v>테리&amp;필찌</v>
      </c>
      <c r="B157" s="43">
        <f>IFERROR(__xludf.DUMMYFUNCTION("""COMPUTED_VALUE"""),19.0)</f>
        <v>19</v>
      </c>
      <c r="C157" s="43">
        <f>IFERROR(__xludf.DUMMYFUNCTION("""COMPUTED_VALUE"""),12.0)</f>
        <v>12</v>
      </c>
      <c r="D157" s="46">
        <f>IFERROR(__xludf.DUMMYFUNCTION("""COMPUTED_VALUE"""),0.6129032258064516)</f>
        <v>0.6129032258</v>
      </c>
    </row>
    <row r="158">
      <c r="A158" s="43" t="str">
        <f>IFERROR(__xludf.DUMMYFUNCTION("""COMPUTED_VALUE"""),"유즈&amp;테리")</f>
        <v>유즈&amp;테리</v>
      </c>
      <c r="B158" s="43">
        <f>IFERROR(__xludf.DUMMYFUNCTION("""COMPUTED_VALUE"""),19.0)</f>
        <v>19</v>
      </c>
      <c r="C158" s="43">
        <f>IFERROR(__xludf.DUMMYFUNCTION("""COMPUTED_VALUE"""),16.0)</f>
        <v>16</v>
      </c>
      <c r="D158" s="46">
        <f>IFERROR(__xludf.DUMMYFUNCTION("""COMPUTED_VALUE"""),0.5428571428571428)</f>
        <v>0.5428571429</v>
      </c>
    </row>
    <row r="159">
      <c r="A159" s="43" t="str">
        <f>IFERROR(__xludf.DUMMYFUNCTION("""COMPUTED_VALUE"""),"기재&amp;테리")</f>
        <v>기재&amp;테리</v>
      </c>
      <c r="B159" s="43">
        <f>IFERROR(__xludf.DUMMYFUNCTION("""COMPUTED_VALUE"""),19.0)</f>
        <v>19</v>
      </c>
      <c r="C159" s="43">
        <f>IFERROR(__xludf.DUMMYFUNCTION("""COMPUTED_VALUE"""),17.0)</f>
        <v>17</v>
      </c>
      <c r="D159" s="46">
        <f>IFERROR(__xludf.DUMMYFUNCTION("""COMPUTED_VALUE"""),0.5277777777777778)</f>
        <v>0.5277777778</v>
      </c>
    </row>
    <row r="160">
      <c r="A160" s="43" t="str">
        <f>IFERROR(__xludf.DUMMYFUNCTION("""COMPUTED_VALUE"""),"깡패&amp;미등록")</f>
        <v>깡패&amp;미등록</v>
      </c>
      <c r="B160" s="43">
        <f>IFERROR(__xludf.DUMMYFUNCTION("""COMPUTED_VALUE"""),19.0)</f>
        <v>19</v>
      </c>
      <c r="C160" s="43">
        <f>IFERROR(__xludf.DUMMYFUNCTION("""COMPUTED_VALUE"""),22.0)</f>
        <v>22</v>
      </c>
      <c r="D160" s="46">
        <f>IFERROR(__xludf.DUMMYFUNCTION("""COMPUTED_VALUE"""),0.4634146341463415)</f>
        <v>0.4634146341</v>
      </c>
    </row>
    <row r="161">
      <c r="A161" s="43" t="str">
        <f>IFERROR(__xludf.DUMMYFUNCTION("""COMPUTED_VALUE"""),"ACDC&amp;민우")</f>
        <v>ACDC&amp;민우</v>
      </c>
      <c r="B161" s="43">
        <f>IFERROR(__xludf.DUMMYFUNCTION("""COMPUTED_VALUE"""),19.0)</f>
        <v>19</v>
      </c>
      <c r="C161" s="43">
        <f>IFERROR(__xludf.DUMMYFUNCTION("""COMPUTED_VALUE"""),27.0)</f>
        <v>27</v>
      </c>
      <c r="D161" s="46">
        <f>IFERROR(__xludf.DUMMYFUNCTION("""COMPUTED_VALUE"""),0.41304347826086957)</f>
        <v>0.4130434783</v>
      </c>
    </row>
    <row r="162">
      <c r="A162" s="43" t="str">
        <f>IFERROR(__xludf.DUMMYFUNCTION("""COMPUTED_VALUE"""),"강화&amp;구리다")</f>
        <v>강화&amp;구리다</v>
      </c>
      <c r="B162" s="43">
        <f>IFERROR(__xludf.DUMMYFUNCTION("""COMPUTED_VALUE"""),19.0)</f>
        <v>19</v>
      </c>
      <c r="C162" s="43">
        <f>IFERROR(__xludf.DUMMYFUNCTION("""COMPUTED_VALUE"""),33.0)</f>
        <v>33</v>
      </c>
      <c r="D162" s="46">
        <f>IFERROR(__xludf.DUMMYFUNCTION("""COMPUTED_VALUE"""),0.36538461538461536)</f>
        <v>0.3653846154</v>
      </c>
    </row>
    <row r="163">
      <c r="A163" s="43" t="str">
        <f>IFERROR(__xludf.DUMMYFUNCTION("""COMPUTED_VALUE"""),"ACDC&amp;조드")</f>
        <v>ACDC&amp;조드</v>
      </c>
      <c r="B163" s="43">
        <f>IFERROR(__xludf.DUMMYFUNCTION("""COMPUTED_VALUE"""),19.0)</f>
        <v>19</v>
      </c>
      <c r="C163" s="43">
        <f>IFERROR(__xludf.DUMMYFUNCTION("""COMPUTED_VALUE"""),40.0)</f>
        <v>40</v>
      </c>
      <c r="D163" s="46">
        <f>IFERROR(__xludf.DUMMYFUNCTION("""COMPUTED_VALUE"""),0.3220338983050847)</f>
        <v>0.3220338983</v>
      </c>
    </row>
    <row r="164">
      <c r="A164" s="43" t="str">
        <f>IFERROR(__xludf.DUMMYFUNCTION("""COMPUTED_VALUE"""),"규식&amp;솔")</f>
        <v>규식&amp;솔</v>
      </c>
      <c r="B164" s="43">
        <f>IFERROR(__xludf.DUMMYFUNCTION("""COMPUTED_VALUE"""),18.0)</f>
        <v>18</v>
      </c>
      <c r="C164" s="43">
        <f>IFERROR(__xludf.DUMMYFUNCTION("""COMPUTED_VALUE"""),7.0)</f>
        <v>7</v>
      </c>
      <c r="D164" s="46">
        <f>IFERROR(__xludf.DUMMYFUNCTION("""COMPUTED_VALUE"""),0.72)</f>
        <v>0.72</v>
      </c>
    </row>
    <row r="165">
      <c r="A165" s="43" t="str">
        <f>IFERROR(__xludf.DUMMYFUNCTION("""COMPUTED_VALUE"""),"노인&amp;재명")</f>
        <v>노인&amp;재명</v>
      </c>
      <c r="B165" s="43">
        <f>IFERROR(__xludf.DUMMYFUNCTION("""COMPUTED_VALUE"""),18.0)</f>
        <v>18</v>
      </c>
      <c r="C165" s="43">
        <f>IFERROR(__xludf.DUMMYFUNCTION("""COMPUTED_VALUE"""),9.0)</f>
        <v>9</v>
      </c>
      <c r="D165" s="46">
        <f>IFERROR(__xludf.DUMMYFUNCTION("""COMPUTED_VALUE"""),0.6666666666666666)</f>
        <v>0.6666666667</v>
      </c>
    </row>
    <row r="166">
      <c r="A166" s="43" t="str">
        <f>IFERROR(__xludf.DUMMYFUNCTION("""COMPUTED_VALUE"""),"전투쥐&amp;짱구")</f>
        <v>전투쥐&amp;짱구</v>
      </c>
      <c r="B166" s="43">
        <f>IFERROR(__xludf.DUMMYFUNCTION("""COMPUTED_VALUE"""),18.0)</f>
        <v>18</v>
      </c>
      <c r="C166" s="43">
        <f>IFERROR(__xludf.DUMMYFUNCTION("""COMPUTED_VALUE"""),12.0)</f>
        <v>12</v>
      </c>
      <c r="D166" s="46">
        <f>IFERROR(__xludf.DUMMYFUNCTION("""COMPUTED_VALUE"""),0.6)</f>
        <v>0.6</v>
      </c>
    </row>
    <row r="167">
      <c r="A167" s="43" t="str">
        <f>IFERROR(__xludf.DUMMYFUNCTION("""COMPUTED_VALUE"""),"규식&amp;참치")</f>
        <v>규식&amp;참치</v>
      </c>
      <c r="B167" s="43">
        <f>IFERROR(__xludf.DUMMYFUNCTION("""COMPUTED_VALUE"""),18.0)</f>
        <v>18</v>
      </c>
      <c r="C167" s="43">
        <f>IFERROR(__xludf.DUMMYFUNCTION("""COMPUTED_VALUE"""),14.0)</f>
        <v>14</v>
      </c>
      <c r="D167" s="46">
        <f>IFERROR(__xludf.DUMMYFUNCTION("""COMPUTED_VALUE"""),0.5625)</f>
        <v>0.5625</v>
      </c>
    </row>
    <row r="168">
      <c r="A168" s="43" t="str">
        <f>IFERROR(__xludf.DUMMYFUNCTION("""COMPUTED_VALUE"""),"깡패&amp;랄")</f>
        <v>깡패&amp;랄</v>
      </c>
      <c r="B168" s="43">
        <f>IFERROR(__xludf.DUMMYFUNCTION("""COMPUTED_VALUE"""),18.0)</f>
        <v>18</v>
      </c>
      <c r="C168" s="43">
        <f>IFERROR(__xludf.DUMMYFUNCTION("""COMPUTED_VALUE"""),17.0)</f>
        <v>17</v>
      </c>
      <c r="D168" s="46">
        <f>IFERROR(__xludf.DUMMYFUNCTION("""COMPUTED_VALUE"""),0.5142857142857142)</f>
        <v>0.5142857143</v>
      </c>
    </row>
    <row r="169">
      <c r="A169" s="43" t="str">
        <f>IFERROR(__xludf.DUMMYFUNCTION("""COMPUTED_VALUE"""),"전투쥐&amp;한메")</f>
        <v>전투쥐&amp;한메</v>
      </c>
      <c r="B169" s="43">
        <f>IFERROR(__xludf.DUMMYFUNCTION("""COMPUTED_VALUE"""),18.0)</f>
        <v>18</v>
      </c>
      <c r="C169" s="43">
        <f>IFERROR(__xludf.DUMMYFUNCTION("""COMPUTED_VALUE"""),19.0)</f>
        <v>19</v>
      </c>
      <c r="D169" s="46">
        <f>IFERROR(__xludf.DUMMYFUNCTION("""COMPUTED_VALUE"""),0.4864864864864865)</f>
        <v>0.4864864865</v>
      </c>
    </row>
    <row r="170">
      <c r="A170" s="43" t="str">
        <f>IFERROR(__xludf.DUMMYFUNCTION("""COMPUTED_VALUE"""),"강화&amp;엘더")</f>
        <v>강화&amp;엘더</v>
      </c>
      <c r="B170" s="43">
        <f>IFERROR(__xludf.DUMMYFUNCTION("""COMPUTED_VALUE"""),18.0)</f>
        <v>18</v>
      </c>
      <c r="C170" s="43">
        <f>IFERROR(__xludf.DUMMYFUNCTION("""COMPUTED_VALUE"""),20.0)</f>
        <v>20</v>
      </c>
      <c r="D170" s="46">
        <f>IFERROR(__xludf.DUMMYFUNCTION("""COMPUTED_VALUE"""),0.47368421052631576)</f>
        <v>0.4736842105</v>
      </c>
    </row>
    <row r="171">
      <c r="A171" s="43" t="str">
        <f>IFERROR(__xludf.DUMMYFUNCTION("""COMPUTED_VALUE"""),"유망&amp;참치")</f>
        <v>유망&amp;참치</v>
      </c>
      <c r="B171" s="43">
        <f>IFERROR(__xludf.DUMMYFUNCTION("""COMPUTED_VALUE"""),18.0)</f>
        <v>18</v>
      </c>
      <c r="C171" s="43">
        <f>IFERROR(__xludf.DUMMYFUNCTION("""COMPUTED_VALUE"""),20.0)</f>
        <v>20</v>
      </c>
      <c r="D171" s="46">
        <f>IFERROR(__xludf.DUMMYFUNCTION("""COMPUTED_VALUE"""),0.47368421052631576)</f>
        <v>0.4736842105</v>
      </c>
    </row>
    <row r="172">
      <c r="A172" s="43" t="str">
        <f>IFERROR(__xludf.DUMMYFUNCTION("""COMPUTED_VALUE"""),"구리다&amp;깡패")</f>
        <v>구리다&amp;깡패</v>
      </c>
      <c r="B172" s="43">
        <f>IFERROR(__xludf.DUMMYFUNCTION("""COMPUTED_VALUE"""),18.0)</f>
        <v>18</v>
      </c>
      <c r="C172" s="43">
        <f>IFERROR(__xludf.DUMMYFUNCTION("""COMPUTED_VALUE"""),22.0)</f>
        <v>22</v>
      </c>
      <c r="D172" s="46">
        <f>IFERROR(__xludf.DUMMYFUNCTION("""COMPUTED_VALUE"""),0.45)</f>
        <v>0.45</v>
      </c>
    </row>
    <row r="173">
      <c r="A173" s="43" t="str">
        <f>IFERROR(__xludf.DUMMYFUNCTION("""COMPUTED_VALUE"""),"ACDC&amp;구리다")</f>
        <v>ACDC&amp;구리다</v>
      </c>
      <c r="B173" s="43">
        <f>IFERROR(__xludf.DUMMYFUNCTION("""COMPUTED_VALUE"""),18.0)</f>
        <v>18</v>
      </c>
      <c r="C173" s="43">
        <f>IFERROR(__xludf.DUMMYFUNCTION("""COMPUTED_VALUE"""),34.0)</f>
        <v>34</v>
      </c>
      <c r="D173" s="46">
        <f>IFERROR(__xludf.DUMMYFUNCTION("""COMPUTED_VALUE"""),0.34615384615384615)</f>
        <v>0.3461538462</v>
      </c>
    </row>
    <row r="174">
      <c r="A174" s="43" t="str">
        <f>IFERROR(__xludf.DUMMYFUNCTION("""COMPUTED_VALUE"""),"규식&amp;학생")</f>
        <v>규식&amp;학생</v>
      </c>
      <c r="B174" s="43">
        <f>IFERROR(__xludf.DUMMYFUNCTION("""COMPUTED_VALUE"""),17.0)</f>
        <v>17</v>
      </c>
      <c r="C174" s="43">
        <f>IFERROR(__xludf.DUMMYFUNCTION("""COMPUTED_VALUE"""),2.0)</f>
        <v>2</v>
      </c>
      <c r="D174" s="46">
        <f>IFERROR(__xludf.DUMMYFUNCTION("""COMPUTED_VALUE"""),0.8947368421052632)</f>
        <v>0.8947368421</v>
      </c>
    </row>
    <row r="175">
      <c r="A175" s="43" t="str">
        <f>IFERROR(__xludf.DUMMYFUNCTION("""COMPUTED_VALUE"""),"따&amp;한메")</f>
        <v>따&amp;한메</v>
      </c>
      <c r="B175" s="43">
        <f>IFERROR(__xludf.DUMMYFUNCTION("""COMPUTED_VALUE"""),17.0)</f>
        <v>17</v>
      </c>
      <c r="C175" s="43">
        <f>IFERROR(__xludf.DUMMYFUNCTION("""COMPUTED_VALUE"""),13.0)</f>
        <v>13</v>
      </c>
      <c r="D175" s="46">
        <f>IFERROR(__xludf.DUMMYFUNCTION("""COMPUTED_VALUE"""),0.5666666666666667)</f>
        <v>0.5666666667</v>
      </c>
    </row>
    <row r="176">
      <c r="A176" s="43" t="str">
        <f>IFERROR(__xludf.DUMMYFUNCTION("""COMPUTED_VALUE"""),"강화&amp;키키")</f>
        <v>강화&amp;키키</v>
      </c>
      <c r="B176" s="43">
        <f>IFERROR(__xludf.DUMMYFUNCTION("""COMPUTED_VALUE"""),17.0)</f>
        <v>17</v>
      </c>
      <c r="C176" s="43">
        <f>IFERROR(__xludf.DUMMYFUNCTION("""COMPUTED_VALUE"""),18.0)</f>
        <v>18</v>
      </c>
      <c r="D176" s="46">
        <f>IFERROR(__xludf.DUMMYFUNCTION("""COMPUTED_VALUE"""),0.4857142857142857)</f>
        <v>0.4857142857</v>
      </c>
    </row>
    <row r="177">
      <c r="A177" s="43" t="str">
        <f>IFERROR(__xludf.DUMMYFUNCTION("""COMPUTED_VALUE"""),"참치&amp;태식")</f>
        <v>참치&amp;태식</v>
      </c>
      <c r="B177" s="43">
        <f>IFERROR(__xludf.DUMMYFUNCTION("""COMPUTED_VALUE"""),17.0)</f>
        <v>17</v>
      </c>
      <c r="C177" s="43">
        <f>IFERROR(__xludf.DUMMYFUNCTION("""COMPUTED_VALUE"""),18.0)</f>
        <v>18</v>
      </c>
      <c r="D177" s="46">
        <f>IFERROR(__xludf.DUMMYFUNCTION("""COMPUTED_VALUE"""),0.4857142857142857)</f>
        <v>0.4857142857</v>
      </c>
    </row>
    <row r="178">
      <c r="A178" s="43" t="str">
        <f>IFERROR(__xludf.DUMMYFUNCTION("""COMPUTED_VALUE"""),"신형만&amp;요즘")</f>
        <v>신형만&amp;요즘</v>
      </c>
      <c r="B178" s="43">
        <f>IFERROR(__xludf.DUMMYFUNCTION("""COMPUTED_VALUE"""),17.0)</f>
        <v>17</v>
      </c>
      <c r="C178" s="43">
        <f>IFERROR(__xludf.DUMMYFUNCTION("""COMPUTED_VALUE"""),24.0)</f>
        <v>24</v>
      </c>
      <c r="D178" s="46">
        <f>IFERROR(__xludf.DUMMYFUNCTION("""COMPUTED_VALUE"""),0.4146341463414634)</f>
        <v>0.4146341463</v>
      </c>
    </row>
    <row r="179">
      <c r="A179" s="43" t="str">
        <f>IFERROR(__xludf.DUMMYFUNCTION("""COMPUTED_VALUE"""),"기재&amp;넘버")</f>
        <v>기재&amp;넘버</v>
      </c>
      <c r="B179" s="43">
        <f>IFERROR(__xludf.DUMMYFUNCTION("""COMPUTED_VALUE"""),16.0)</f>
        <v>16</v>
      </c>
      <c r="C179" s="43">
        <f>IFERROR(__xludf.DUMMYFUNCTION("""COMPUTED_VALUE"""),7.0)</f>
        <v>7</v>
      </c>
      <c r="D179" s="46">
        <f>IFERROR(__xludf.DUMMYFUNCTION("""COMPUTED_VALUE"""),0.6956521739130435)</f>
        <v>0.6956521739</v>
      </c>
    </row>
    <row r="180">
      <c r="A180" s="43" t="str">
        <f>IFERROR(__xludf.DUMMYFUNCTION("""COMPUTED_VALUE"""),"깡패&amp;학생")</f>
        <v>깡패&amp;학생</v>
      </c>
      <c r="B180" s="43">
        <f>IFERROR(__xludf.DUMMYFUNCTION("""COMPUTED_VALUE"""),16.0)</f>
        <v>16</v>
      </c>
      <c r="C180" s="43">
        <f>IFERROR(__xludf.DUMMYFUNCTION("""COMPUTED_VALUE"""),12.0)</f>
        <v>12</v>
      </c>
      <c r="D180" s="46">
        <f>IFERROR(__xludf.DUMMYFUNCTION("""COMPUTED_VALUE"""),0.5714285714285714)</f>
        <v>0.5714285714</v>
      </c>
    </row>
    <row r="181">
      <c r="A181" s="43" t="str">
        <f>IFERROR(__xludf.DUMMYFUNCTION("""COMPUTED_VALUE"""),"오딘&amp;테리")</f>
        <v>오딘&amp;테리</v>
      </c>
      <c r="B181" s="43">
        <f>IFERROR(__xludf.DUMMYFUNCTION("""COMPUTED_VALUE"""),16.0)</f>
        <v>16</v>
      </c>
      <c r="C181" s="43">
        <f>IFERROR(__xludf.DUMMYFUNCTION("""COMPUTED_VALUE"""),13.0)</f>
        <v>13</v>
      </c>
      <c r="D181" s="46">
        <f>IFERROR(__xludf.DUMMYFUNCTION("""COMPUTED_VALUE"""),0.5517241379310345)</f>
        <v>0.5517241379</v>
      </c>
    </row>
    <row r="182">
      <c r="A182" s="43" t="str">
        <f>IFERROR(__xludf.DUMMYFUNCTION("""COMPUTED_VALUE"""),"오크&amp;한메")</f>
        <v>오크&amp;한메</v>
      </c>
      <c r="B182" s="43">
        <f>IFERROR(__xludf.DUMMYFUNCTION("""COMPUTED_VALUE"""),16.0)</f>
        <v>16</v>
      </c>
      <c r="C182" s="43">
        <f>IFERROR(__xludf.DUMMYFUNCTION("""COMPUTED_VALUE"""),13.0)</f>
        <v>13</v>
      </c>
      <c r="D182" s="46">
        <f>IFERROR(__xludf.DUMMYFUNCTION("""COMPUTED_VALUE"""),0.5517241379310345)</f>
        <v>0.5517241379</v>
      </c>
    </row>
    <row r="183">
      <c r="A183" s="43" t="str">
        <f>IFERROR(__xludf.DUMMYFUNCTION("""COMPUTED_VALUE"""),"노인&amp;조드")</f>
        <v>노인&amp;조드</v>
      </c>
      <c r="B183" s="43">
        <f>IFERROR(__xludf.DUMMYFUNCTION("""COMPUTED_VALUE"""),16.0)</f>
        <v>16</v>
      </c>
      <c r="C183" s="43">
        <f>IFERROR(__xludf.DUMMYFUNCTION("""COMPUTED_VALUE"""),14.0)</f>
        <v>14</v>
      </c>
      <c r="D183" s="46">
        <f>IFERROR(__xludf.DUMMYFUNCTION("""COMPUTED_VALUE"""),0.5333333333333333)</f>
        <v>0.5333333333</v>
      </c>
    </row>
    <row r="184">
      <c r="A184" s="43" t="str">
        <f>IFERROR(__xludf.DUMMYFUNCTION("""COMPUTED_VALUE"""),"깡패&amp;유즈")</f>
        <v>깡패&amp;유즈</v>
      </c>
      <c r="B184" s="43">
        <f>IFERROR(__xludf.DUMMYFUNCTION("""COMPUTED_VALUE"""),16.0)</f>
        <v>16</v>
      </c>
      <c r="C184" s="43">
        <f>IFERROR(__xludf.DUMMYFUNCTION("""COMPUTED_VALUE"""),16.0)</f>
        <v>16</v>
      </c>
      <c r="D184" s="46">
        <f>IFERROR(__xludf.DUMMYFUNCTION("""COMPUTED_VALUE"""),0.5)</f>
        <v>0.5</v>
      </c>
    </row>
    <row r="185">
      <c r="A185" s="43" t="str">
        <f>IFERROR(__xludf.DUMMYFUNCTION("""COMPUTED_VALUE"""),"터미&amp;테리")</f>
        <v>터미&amp;테리</v>
      </c>
      <c r="B185" s="43">
        <f>IFERROR(__xludf.DUMMYFUNCTION("""COMPUTED_VALUE"""),16.0)</f>
        <v>16</v>
      </c>
      <c r="C185" s="43">
        <f>IFERROR(__xludf.DUMMYFUNCTION("""COMPUTED_VALUE"""),17.0)</f>
        <v>17</v>
      </c>
      <c r="D185" s="46">
        <f>IFERROR(__xludf.DUMMYFUNCTION("""COMPUTED_VALUE"""),0.48484848484848486)</f>
        <v>0.4848484848</v>
      </c>
    </row>
    <row r="186">
      <c r="A186" s="43" t="str">
        <f>IFERROR(__xludf.DUMMYFUNCTION("""COMPUTED_VALUE"""),"랄&amp;한메")</f>
        <v>랄&amp;한메</v>
      </c>
      <c r="B186" s="43">
        <f>IFERROR(__xludf.DUMMYFUNCTION("""COMPUTED_VALUE"""),16.0)</f>
        <v>16</v>
      </c>
      <c r="C186" s="43">
        <f>IFERROR(__xludf.DUMMYFUNCTION("""COMPUTED_VALUE"""),25.0)</f>
        <v>25</v>
      </c>
      <c r="D186" s="46">
        <f>IFERROR(__xludf.DUMMYFUNCTION("""COMPUTED_VALUE"""),0.3902439024390244)</f>
        <v>0.3902439024</v>
      </c>
    </row>
    <row r="187">
      <c r="A187" s="43" t="str">
        <f>IFERROR(__xludf.DUMMYFUNCTION("""COMPUTED_VALUE"""),"ACDC&amp;오크")</f>
        <v>ACDC&amp;오크</v>
      </c>
      <c r="B187" s="43">
        <f>IFERROR(__xludf.DUMMYFUNCTION("""COMPUTED_VALUE"""),16.0)</f>
        <v>16</v>
      </c>
      <c r="C187" s="43">
        <f>IFERROR(__xludf.DUMMYFUNCTION("""COMPUTED_VALUE"""),28.0)</f>
        <v>28</v>
      </c>
      <c r="D187" s="46">
        <f>IFERROR(__xludf.DUMMYFUNCTION("""COMPUTED_VALUE"""),0.36363636363636365)</f>
        <v>0.3636363636</v>
      </c>
    </row>
    <row r="188">
      <c r="A188" s="43" t="str">
        <f>IFERROR(__xludf.DUMMYFUNCTION("""COMPUTED_VALUE"""),"태식&amp;한메")</f>
        <v>태식&amp;한메</v>
      </c>
      <c r="B188" s="43">
        <f>IFERROR(__xludf.DUMMYFUNCTION("""COMPUTED_VALUE"""),16.0)</f>
        <v>16</v>
      </c>
      <c r="C188" s="43">
        <f>IFERROR(__xludf.DUMMYFUNCTION("""COMPUTED_VALUE"""),31.0)</f>
        <v>31</v>
      </c>
      <c r="D188" s="46">
        <f>IFERROR(__xludf.DUMMYFUNCTION("""COMPUTED_VALUE"""),0.3404255319148936)</f>
        <v>0.3404255319</v>
      </c>
    </row>
    <row r="189">
      <c r="A189" s="43" t="str">
        <f>IFERROR(__xludf.DUMMYFUNCTION("""COMPUTED_VALUE"""),"솔&amp;한메")</f>
        <v>솔&amp;한메</v>
      </c>
      <c r="B189" s="43">
        <f>IFERROR(__xludf.DUMMYFUNCTION("""COMPUTED_VALUE"""),16.0)</f>
        <v>16</v>
      </c>
      <c r="C189" s="43">
        <f>IFERROR(__xludf.DUMMYFUNCTION("""COMPUTED_VALUE"""),32.0)</f>
        <v>32</v>
      </c>
      <c r="D189" s="46">
        <f>IFERROR(__xludf.DUMMYFUNCTION("""COMPUTED_VALUE"""),0.3333333333333333)</f>
        <v>0.3333333333</v>
      </c>
    </row>
    <row r="190">
      <c r="A190" s="43" t="str">
        <f>IFERROR(__xludf.DUMMYFUNCTION("""COMPUTED_VALUE"""),"민우&amp;원")</f>
        <v>민우&amp;원</v>
      </c>
      <c r="B190" s="43">
        <f>IFERROR(__xludf.DUMMYFUNCTION("""COMPUTED_VALUE"""),15.0)</f>
        <v>15</v>
      </c>
      <c r="C190" s="43">
        <f>IFERROR(__xludf.DUMMYFUNCTION("""COMPUTED_VALUE"""),6.0)</f>
        <v>6</v>
      </c>
      <c r="D190" s="46">
        <f>IFERROR(__xludf.DUMMYFUNCTION("""COMPUTED_VALUE"""),0.7142857142857143)</f>
        <v>0.7142857143</v>
      </c>
    </row>
    <row r="191">
      <c r="A191" s="43" t="str">
        <f>IFERROR(__xludf.DUMMYFUNCTION("""COMPUTED_VALUE"""),"조심&amp;한메")</f>
        <v>조심&amp;한메</v>
      </c>
      <c r="B191" s="43">
        <f>IFERROR(__xludf.DUMMYFUNCTION("""COMPUTED_VALUE"""),15.0)</f>
        <v>15</v>
      </c>
      <c r="C191" s="43">
        <f>IFERROR(__xludf.DUMMYFUNCTION("""COMPUTED_VALUE"""),8.0)</f>
        <v>8</v>
      </c>
      <c r="D191" s="46">
        <f>IFERROR(__xludf.DUMMYFUNCTION("""COMPUTED_VALUE"""),0.6521739130434783)</f>
        <v>0.652173913</v>
      </c>
    </row>
    <row r="192">
      <c r="A192" s="43" t="str">
        <f>IFERROR(__xludf.DUMMYFUNCTION("""COMPUTED_VALUE"""),"재우&amp;키키")</f>
        <v>재우&amp;키키</v>
      </c>
      <c r="B192" s="43">
        <f>IFERROR(__xludf.DUMMYFUNCTION("""COMPUTED_VALUE"""),15.0)</f>
        <v>15</v>
      </c>
      <c r="C192" s="43">
        <f>IFERROR(__xludf.DUMMYFUNCTION("""COMPUTED_VALUE"""),11.0)</f>
        <v>11</v>
      </c>
      <c r="D192" s="46">
        <f>IFERROR(__xludf.DUMMYFUNCTION("""COMPUTED_VALUE"""),0.5769230769230769)</f>
        <v>0.5769230769</v>
      </c>
    </row>
    <row r="193">
      <c r="A193" s="43" t="str">
        <f>IFERROR(__xludf.DUMMYFUNCTION("""COMPUTED_VALUE"""),"강화&amp;태식")</f>
        <v>강화&amp;태식</v>
      </c>
      <c r="B193" s="43">
        <f>IFERROR(__xludf.DUMMYFUNCTION("""COMPUTED_VALUE"""),15.0)</f>
        <v>15</v>
      </c>
      <c r="C193" s="43">
        <f>IFERROR(__xludf.DUMMYFUNCTION("""COMPUTED_VALUE"""),13.0)</f>
        <v>13</v>
      </c>
      <c r="D193" s="46">
        <f>IFERROR(__xludf.DUMMYFUNCTION("""COMPUTED_VALUE"""),0.5357142857142857)</f>
        <v>0.5357142857</v>
      </c>
    </row>
    <row r="194">
      <c r="A194" s="43" t="str">
        <f>IFERROR(__xludf.DUMMYFUNCTION("""COMPUTED_VALUE"""),"조드&amp;키키")</f>
        <v>조드&amp;키키</v>
      </c>
      <c r="B194" s="43">
        <f>IFERROR(__xludf.DUMMYFUNCTION("""COMPUTED_VALUE"""),15.0)</f>
        <v>15</v>
      </c>
      <c r="C194" s="43">
        <f>IFERROR(__xludf.DUMMYFUNCTION("""COMPUTED_VALUE"""),13.0)</f>
        <v>13</v>
      </c>
      <c r="D194" s="46">
        <f>IFERROR(__xludf.DUMMYFUNCTION("""COMPUTED_VALUE"""),0.5357142857142857)</f>
        <v>0.5357142857</v>
      </c>
    </row>
    <row r="195">
      <c r="A195" s="43" t="str">
        <f>IFERROR(__xludf.DUMMYFUNCTION("""COMPUTED_VALUE"""),"노인&amp;노픽업")</f>
        <v>노인&amp;노픽업</v>
      </c>
      <c r="B195" s="43">
        <f>IFERROR(__xludf.DUMMYFUNCTION("""COMPUTED_VALUE"""),15.0)</f>
        <v>15</v>
      </c>
      <c r="C195" s="43">
        <f>IFERROR(__xludf.DUMMYFUNCTION("""COMPUTED_VALUE"""),14.0)</f>
        <v>14</v>
      </c>
      <c r="D195" s="46">
        <f>IFERROR(__xludf.DUMMYFUNCTION("""COMPUTED_VALUE"""),0.5172413793103449)</f>
        <v>0.5172413793</v>
      </c>
    </row>
    <row r="196">
      <c r="A196" s="43" t="str">
        <f>IFERROR(__xludf.DUMMYFUNCTION("""COMPUTED_VALUE"""),"넘버&amp;노픽업")</f>
        <v>넘버&amp;노픽업</v>
      </c>
      <c r="B196" s="43">
        <f>IFERROR(__xludf.DUMMYFUNCTION("""COMPUTED_VALUE"""),15.0)</f>
        <v>15</v>
      </c>
      <c r="C196" s="43">
        <f>IFERROR(__xludf.DUMMYFUNCTION("""COMPUTED_VALUE"""),15.0)</f>
        <v>15</v>
      </c>
      <c r="D196" s="46">
        <f>IFERROR(__xludf.DUMMYFUNCTION("""COMPUTED_VALUE"""),0.5)</f>
        <v>0.5</v>
      </c>
    </row>
    <row r="197">
      <c r="A197" s="43" t="str">
        <f>IFERROR(__xludf.DUMMYFUNCTION("""COMPUTED_VALUE"""),"강화&amp;오크")</f>
        <v>강화&amp;오크</v>
      </c>
      <c r="B197" s="43">
        <f>IFERROR(__xludf.DUMMYFUNCTION("""COMPUTED_VALUE"""),15.0)</f>
        <v>15</v>
      </c>
      <c r="C197" s="43">
        <f>IFERROR(__xludf.DUMMYFUNCTION("""COMPUTED_VALUE"""),21.0)</f>
        <v>21</v>
      </c>
      <c r="D197" s="46">
        <f>IFERROR(__xludf.DUMMYFUNCTION("""COMPUTED_VALUE"""),0.4166666666666667)</f>
        <v>0.4166666667</v>
      </c>
    </row>
    <row r="198">
      <c r="A198" s="43" t="str">
        <f>IFERROR(__xludf.DUMMYFUNCTION("""COMPUTED_VALUE"""),"깡패&amp;전투쥐")</f>
        <v>깡패&amp;전투쥐</v>
      </c>
      <c r="B198" s="43">
        <f>IFERROR(__xludf.DUMMYFUNCTION("""COMPUTED_VALUE"""),15.0)</f>
        <v>15</v>
      </c>
      <c r="C198" s="43">
        <f>IFERROR(__xludf.DUMMYFUNCTION("""COMPUTED_VALUE"""),21.0)</f>
        <v>21</v>
      </c>
      <c r="D198" s="46">
        <f>IFERROR(__xludf.DUMMYFUNCTION("""COMPUTED_VALUE"""),0.4166666666666667)</f>
        <v>0.4166666667</v>
      </c>
    </row>
    <row r="199">
      <c r="A199" s="43" t="str">
        <f>IFERROR(__xludf.DUMMYFUNCTION("""COMPUTED_VALUE"""),"강화&amp;랄")</f>
        <v>강화&amp;랄</v>
      </c>
      <c r="B199" s="43">
        <f>IFERROR(__xludf.DUMMYFUNCTION("""COMPUTED_VALUE"""),15.0)</f>
        <v>15</v>
      </c>
      <c r="C199" s="43">
        <f>IFERROR(__xludf.DUMMYFUNCTION("""COMPUTED_VALUE"""),25.0)</f>
        <v>25</v>
      </c>
      <c r="D199" s="46">
        <f>IFERROR(__xludf.DUMMYFUNCTION("""COMPUTED_VALUE"""),0.375)</f>
        <v>0.375</v>
      </c>
    </row>
    <row r="200">
      <c r="A200" s="43" t="str">
        <f>IFERROR(__xludf.DUMMYFUNCTION("""COMPUTED_VALUE"""),"강화&amp;조드")</f>
        <v>강화&amp;조드</v>
      </c>
      <c r="B200" s="43">
        <f>IFERROR(__xludf.DUMMYFUNCTION("""COMPUTED_VALUE"""),15.0)</f>
        <v>15</v>
      </c>
      <c r="C200" s="43">
        <f>IFERROR(__xludf.DUMMYFUNCTION("""COMPUTED_VALUE"""),27.0)</f>
        <v>27</v>
      </c>
      <c r="D200" s="46">
        <f>IFERROR(__xludf.DUMMYFUNCTION("""COMPUTED_VALUE"""),0.35714285714285715)</f>
        <v>0.3571428571</v>
      </c>
    </row>
    <row r="201">
      <c r="A201" s="43" t="str">
        <f>IFERROR(__xludf.DUMMYFUNCTION("""COMPUTED_VALUE"""),"미등록&amp;짱구")</f>
        <v>미등록&amp;짱구</v>
      </c>
      <c r="B201" s="43">
        <f>IFERROR(__xludf.DUMMYFUNCTION("""COMPUTED_VALUE"""),14.0)</f>
        <v>14</v>
      </c>
      <c r="C201" s="43">
        <f>IFERROR(__xludf.DUMMYFUNCTION("""COMPUTED_VALUE"""),6.0)</f>
        <v>6</v>
      </c>
      <c r="D201" s="46">
        <f>IFERROR(__xludf.DUMMYFUNCTION("""COMPUTED_VALUE"""),0.7)</f>
        <v>0.7</v>
      </c>
    </row>
    <row r="202">
      <c r="A202" s="43" t="str">
        <f>IFERROR(__xludf.DUMMYFUNCTION("""COMPUTED_VALUE"""),"요즘&amp;테리")</f>
        <v>요즘&amp;테리</v>
      </c>
      <c r="B202" s="43">
        <f>IFERROR(__xludf.DUMMYFUNCTION("""COMPUTED_VALUE"""),14.0)</f>
        <v>14</v>
      </c>
      <c r="C202" s="43">
        <f>IFERROR(__xludf.DUMMYFUNCTION("""COMPUTED_VALUE"""),6.0)</f>
        <v>6</v>
      </c>
      <c r="D202" s="46">
        <f>IFERROR(__xludf.DUMMYFUNCTION("""COMPUTED_VALUE"""),0.7)</f>
        <v>0.7</v>
      </c>
    </row>
    <row r="203">
      <c r="A203" s="43" t="str">
        <f>IFERROR(__xludf.DUMMYFUNCTION("""COMPUTED_VALUE"""),"미등록&amp;재우")</f>
        <v>미등록&amp;재우</v>
      </c>
      <c r="B203" s="43">
        <f>IFERROR(__xludf.DUMMYFUNCTION("""COMPUTED_VALUE"""),14.0)</f>
        <v>14</v>
      </c>
      <c r="C203" s="43">
        <f>IFERROR(__xludf.DUMMYFUNCTION("""COMPUTED_VALUE"""),8.0)</f>
        <v>8</v>
      </c>
      <c r="D203" s="46">
        <f>IFERROR(__xludf.DUMMYFUNCTION("""COMPUTED_VALUE"""),0.6363636363636364)</f>
        <v>0.6363636364</v>
      </c>
    </row>
    <row r="204">
      <c r="A204" s="43" t="str">
        <f>IFERROR(__xludf.DUMMYFUNCTION("""COMPUTED_VALUE"""),"요즘&amp;한메")</f>
        <v>요즘&amp;한메</v>
      </c>
      <c r="B204" s="43">
        <f>IFERROR(__xludf.DUMMYFUNCTION("""COMPUTED_VALUE"""),14.0)</f>
        <v>14</v>
      </c>
      <c r="C204" s="43">
        <f>IFERROR(__xludf.DUMMYFUNCTION("""COMPUTED_VALUE"""),13.0)</f>
        <v>13</v>
      </c>
      <c r="D204" s="46">
        <f>IFERROR(__xludf.DUMMYFUNCTION("""COMPUTED_VALUE"""),0.5185185185185185)</f>
        <v>0.5185185185</v>
      </c>
    </row>
    <row r="205">
      <c r="A205" s="43" t="str">
        <f>IFERROR(__xludf.DUMMYFUNCTION("""COMPUTED_VALUE"""),"랄&amp;재우")</f>
        <v>랄&amp;재우</v>
      </c>
      <c r="B205" s="43">
        <f>IFERROR(__xludf.DUMMYFUNCTION("""COMPUTED_VALUE"""),14.0)</f>
        <v>14</v>
      </c>
      <c r="C205" s="43">
        <f>IFERROR(__xludf.DUMMYFUNCTION("""COMPUTED_VALUE"""),14.0)</f>
        <v>14</v>
      </c>
      <c r="D205" s="46">
        <f>IFERROR(__xludf.DUMMYFUNCTION("""COMPUTED_VALUE"""),0.5)</f>
        <v>0.5</v>
      </c>
    </row>
    <row r="206">
      <c r="A206" s="43" t="str">
        <f>IFERROR(__xludf.DUMMYFUNCTION("""COMPUTED_VALUE"""),"필찌&amp;한메")</f>
        <v>필찌&amp;한메</v>
      </c>
      <c r="B206" s="43">
        <f>IFERROR(__xludf.DUMMYFUNCTION("""COMPUTED_VALUE"""),14.0)</f>
        <v>14</v>
      </c>
      <c r="C206" s="43">
        <f>IFERROR(__xludf.DUMMYFUNCTION("""COMPUTED_VALUE"""),16.0)</f>
        <v>16</v>
      </c>
      <c r="D206" s="46">
        <f>IFERROR(__xludf.DUMMYFUNCTION("""COMPUTED_VALUE"""),0.4666666666666667)</f>
        <v>0.4666666667</v>
      </c>
    </row>
    <row r="207">
      <c r="A207" s="43" t="str">
        <f>IFERROR(__xludf.DUMMYFUNCTION("""COMPUTED_VALUE"""),"미등록&amp;미등록")</f>
        <v>미등록&amp;미등록</v>
      </c>
      <c r="B207" s="43">
        <f>IFERROR(__xludf.DUMMYFUNCTION("""COMPUTED_VALUE"""),14.0)</f>
        <v>14</v>
      </c>
      <c r="C207" s="43">
        <f>IFERROR(__xludf.DUMMYFUNCTION("""COMPUTED_VALUE"""),17.0)</f>
        <v>17</v>
      </c>
      <c r="D207" s="46">
        <f>IFERROR(__xludf.DUMMYFUNCTION("""COMPUTED_VALUE"""),0.45161290322580644)</f>
        <v>0.4516129032</v>
      </c>
    </row>
    <row r="208">
      <c r="A208" s="43" t="str">
        <f>IFERROR(__xludf.DUMMYFUNCTION("""COMPUTED_VALUE"""),"깡패&amp;필찌")</f>
        <v>깡패&amp;필찌</v>
      </c>
      <c r="B208" s="43">
        <f>IFERROR(__xludf.DUMMYFUNCTION("""COMPUTED_VALUE"""),14.0)</f>
        <v>14</v>
      </c>
      <c r="C208" s="43">
        <f>IFERROR(__xludf.DUMMYFUNCTION("""COMPUTED_VALUE"""),19.0)</f>
        <v>19</v>
      </c>
      <c r="D208" s="46">
        <f>IFERROR(__xludf.DUMMYFUNCTION("""COMPUTED_VALUE"""),0.42424242424242425)</f>
        <v>0.4242424242</v>
      </c>
    </row>
    <row r="209">
      <c r="A209" s="43" t="str">
        <f>IFERROR(__xludf.DUMMYFUNCTION("""COMPUTED_VALUE"""),"민우&amp;참치")</f>
        <v>민우&amp;참치</v>
      </c>
      <c r="B209" s="43">
        <f>IFERROR(__xludf.DUMMYFUNCTION("""COMPUTED_VALUE"""),14.0)</f>
        <v>14</v>
      </c>
      <c r="C209" s="43">
        <f>IFERROR(__xludf.DUMMYFUNCTION("""COMPUTED_VALUE"""),19.0)</f>
        <v>19</v>
      </c>
      <c r="D209" s="46">
        <f>IFERROR(__xludf.DUMMYFUNCTION("""COMPUTED_VALUE"""),0.42424242424242425)</f>
        <v>0.4242424242</v>
      </c>
    </row>
    <row r="210">
      <c r="A210" s="43" t="str">
        <f>IFERROR(__xludf.DUMMYFUNCTION("""COMPUTED_VALUE"""),"깡패&amp;노픽업")</f>
        <v>깡패&amp;노픽업</v>
      </c>
      <c r="B210" s="43">
        <f>IFERROR(__xludf.DUMMYFUNCTION("""COMPUTED_VALUE"""),14.0)</f>
        <v>14</v>
      </c>
      <c r="C210" s="43">
        <f>IFERROR(__xludf.DUMMYFUNCTION("""COMPUTED_VALUE"""),20.0)</f>
        <v>20</v>
      </c>
      <c r="D210" s="46">
        <f>IFERROR(__xludf.DUMMYFUNCTION("""COMPUTED_VALUE"""),0.4117647058823529)</f>
        <v>0.4117647059</v>
      </c>
    </row>
    <row r="211">
      <c r="A211" s="43" t="str">
        <f>IFERROR(__xludf.DUMMYFUNCTION("""COMPUTED_VALUE"""),"신형만&amp;필찌")</f>
        <v>신형만&amp;필찌</v>
      </c>
      <c r="B211" s="43">
        <f>IFERROR(__xludf.DUMMYFUNCTION("""COMPUTED_VALUE"""),14.0)</f>
        <v>14</v>
      </c>
      <c r="C211" s="43">
        <f>IFERROR(__xludf.DUMMYFUNCTION("""COMPUTED_VALUE"""),23.0)</f>
        <v>23</v>
      </c>
      <c r="D211" s="46">
        <f>IFERROR(__xludf.DUMMYFUNCTION("""COMPUTED_VALUE"""),0.3783783783783784)</f>
        <v>0.3783783784</v>
      </c>
    </row>
    <row r="212">
      <c r="A212" s="43" t="str">
        <f>IFERROR(__xludf.DUMMYFUNCTION("""COMPUTED_VALUE"""),"신형만&amp;오딘")</f>
        <v>신형만&amp;오딘</v>
      </c>
      <c r="B212" s="43">
        <f>IFERROR(__xludf.DUMMYFUNCTION("""COMPUTED_VALUE"""),14.0)</f>
        <v>14</v>
      </c>
      <c r="C212" s="43">
        <f>IFERROR(__xludf.DUMMYFUNCTION("""COMPUTED_VALUE"""),26.0)</f>
        <v>26</v>
      </c>
      <c r="D212" s="46">
        <f>IFERROR(__xludf.DUMMYFUNCTION("""COMPUTED_VALUE"""),0.35)</f>
        <v>0.35</v>
      </c>
    </row>
    <row r="213">
      <c r="A213" s="43" t="str">
        <f>IFERROR(__xludf.DUMMYFUNCTION("""COMPUTED_VALUE"""),"ACDC&amp;태식")</f>
        <v>ACDC&amp;태식</v>
      </c>
      <c r="B213" s="43">
        <f>IFERROR(__xludf.DUMMYFUNCTION("""COMPUTED_VALUE"""),14.0)</f>
        <v>14</v>
      </c>
      <c r="C213" s="43">
        <f>IFERROR(__xludf.DUMMYFUNCTION("""COMPUTED_VALUE"""),51.0)</f>
        <v>51</v>
      </c>
      <c r="D213" s="46">
        <f>IFERROR(__xludf.DUMMYFUNCTION("""COMPUTED_VALUE"""),0.2153846153846154)</f>
        <v>0.2153846154</v>
      </c>
    </row>
    <row r="214">
      <c r="A214" s="43" t="str">
        <f>IFERROR(__xludf.DUMMYFUNCTION("""COMPUTED_VALUE"""),"기재&amp;원")</f>
        <v>기재&amp;원</v>
      </c>
      <c r="B214" s="43">
        <f>IFERROR(__xludf.DUMMYFUNCTION("""COMPUTED_VALUE"""),13.0)</f>
        <v>13</v>
      </c>
      <c r="C214" s="43">
        <f>IFERROR(__xludf.DUMMYFUNCTION("""COMPUTED_VALUE"""),4.0)</f>
        <v>4</v>
      </c>
      <c r="D214" s="46">
        <f>IFERROR(__xludf.DUMMYFUNCTION("""COMPUTED_VALUE"""),0.7647058823529411)</f>
        <v>0.7647058824</v>
      </c>
    </row>
    <row r="215">
      <c r="A215" s="43" t="str">
        <f>IFERROR(__xludf.DUMMYFUNCTION("""COMPUTED_VALUE"""),"엘더&amp;팰리")</f>
        <v>엘더&amp;팰리</v>
      </c>
      <c r="B215" s="43">
        <f>IFERROR(__xludf.DUMMYFUNCTION("""COMPUTED_VALUE"""),13.0)</f>
        <v>13</v>
      </c>
      <c r="C215" s="43">
        <f>IFERROR(__xludf.DUMMYFUNCTION("""COMPUTED_VALUE"""),4.0)</f>
        <v>4</v>
      </c>
      <c r="D215" s="46">
        <f>IFERROR(__xludf.DUMMYFUNCTION("""COMPUTED_VALUE"""),0.7647058823529411)</f>
        <v>0.7647058824</v>
      </c>
    </row>
    <row r="216">
      <c r="A216" s="43" t="str">
        <f>IFERROR(__xludf.DUMMYFUNCTION("""COMPUTED_VALUE"""),"테리&amp;학생")</f>
        <v>테리&amp;학생</v>
      </c>
      <c r="B216" s="43">
        <f>IFERROR(__xludf.DUMMYFUNCTION("""COMPUTED_VALUE"""),13.0)</f>
        <v>13</v>
      </c>
      <c r="C216" s="43">
        <f>IFERROR(__xludf.DUMMYFUNCTION("""COMPUTED_VALUE"""),6.0)</f>
        <v>6</v>
      </c>
      <c r="D216" s="46">
        <f>IFERROR(__xludf.DUMMYFUNCTION("""COMPUTED_VALUE"""),0.6842105263157895)</f>
        <v>0.6842105263</v>
      </c>
    </row>
    <row r="217">
      <c r="A217" s="43" t="str">
        <f>IFERROR(__xludf.DUMMYFUNCTION("""COMPUTED_VALUE"""),"아이딘&amp;짱구")</f>
        <v>아이딘&amp;짱구</v>
      </c>
      <c r="B217" s="43">
        <f>IFERROR(__xludf.DUMMYFUNCTION("""COMPUTED_VALUE"""),13.0)</f>
        <v>13</v>
      </c>
      <c r="C217" s="43">
        <f>IFERROR(__xludf.DUMMYFUNCTION("""COMPUTED_VALUE"""),7.0)</f>
        <v>7</v>
      </c>
      <c r="D217" s="46">
        <f>IFERROR(__xludf.DUMMYFUNCTION("""COMPUTED_VALUE"""),0.65)</f>
        <v>0.65</v>
      </c>
    </row>
    <row r="218">
      <c r="A218" s="43" t="str">
        <f>IFERROR(__xludf.DUMMYFUNCTION("""COMPUTED_VALUE"""),"넘버&amp;민우")</f>
        <v>넘버&amp;민우</v>
      </c>
      <c r="B218" s="43">
        <f>IFERROR(__xludf.DUMMYFUNCTION("""COMPUTED_VALUE"""),13.0)</f>
        <v>13</v>
      </c>
      <c r="C218" s="43">
        <f>IFERROR(__xludf.DUMMYFUNCTION("""COMPUTED_VALUE"""),8.0)</f>
        <v>8</v>
      </c>
      <c r="D218" s="46">
        <f>IFERROR(__xludf.DUMMYFUNCTION("""COMPUTED_VALUE"""),0.6190476190476191)</f>
        <v>0.619047619</v>
      </c>
    </row>
    <row r="219">
      <c r="A219" s="43" t="str">
        <f>IFERROR(__xludf.DUMMYFUNCTION("""COMPUTED_VALUE"""),"노인&amp;필찌")</f>
        <v>노인&amp;필찌</v>
      </c>
      <c r="B219" s="43">
        <f>IFERROR(__xludf.DUMMYFUNCTION("""COMPUTED_VALUE"""),13.0)</f>
        <v>13</v>
      </c>
      <c r="C219" s="43">
        <f>IFERROR(__xludf.DUMMYFUNCTION("""COMPUTED_VALUE"""),8.0)</f>
        <v>8</v>
      </c>
      <c r="D219" s="46">
        <f>IFERROR(__xludf.DUMMYFUNCTION("""COMPUTED_VALUE"""),0.6190476190476191)</f>
        <v>0.619047619</v>
      </c>
    </row>
    <row r="220">
      <c r="A220" s="43" t="str">
        <f>IFERROR(__xludf.DUMMYFUNCTION("""COMPUTED_VALUE"""),"신형만&amp;윙크")</f>
        <v>신형만&amp;윙크</v>
      </c>
      <c r="B220" s="43">
        <f>IFERROR(__xludf.DUMMYFUNCTION("""COMPUTED_VALUE"""),13.0)</f>
        <v>13</v>
      </c>
      <c r="C220" s="43">
        <f>IFERROR(__xludf.DUMMYFUNCTION("""COMPUTED_VALUE"""),10.0)</f>
        <v>10</v>
      </c>
      <c r="D220" s="46">
        <f>IFERROR(__xludf.DUMMYFUNCTION("""COMPUTED_VALUE"""),0.5652173913043478)</f>
        <v>0.5652173913</v>
      </c>
    </row>
    <row r="221">
      <c r="A221" s="43" t="str">
        <f>IFERROR(__xludf.DUMMYFUNCTION("""COMPUTED_VALUE"""),"노인&amp;요즘")</f>
        <v>노인&amp;요즘</v>
      </c>
      <c r="B221" s="43">
        <f>IFERROR(__xludf.DUMMYFUNCTION("""COMPUTED_VALUE"""),13.0)</f>
        <v>13</v>
      </c>
      <c r="C221" s="43">
        <f>IFERROR(__xludf.DUMMYFUNCTION("""COMPUTED_VALUE"""),12.0)</f>
        <v>12</v>
      </c>
      <c r="D221" s="46">
        <f>IFERROR(__xludf.DUMMYFUNCTION("""COMPUTED_VALUE"""),0.52)</f>
        <v>0.52</v>
      </c>
    </row>
    <row r="222">
      <c r="A222" s="43" t="str">
        <f>IFERROR(__xludf.DUMMYFUNCTION("""COMPUTED_VALUE"""),"규식&amp;필찌")</f>
        <v>규식&amp;필찌</v>
      </c>
      <c r="B222" s="43">
        <f>IFERROR(__xludf.DUMMYFUNCTION("""COMPUTED_VALUE"""),13.0)</f>
        <v>13</v>
      </c>
      <c r="C222" s="43">
        <f>IFERROR(__xludf.DUMMYFUNCTION("""COMPUTED_VALUE"""),13.0)</f>
        <v>13</v>
      </c>
      <c r="D222" s="46">
        <f>IFERROR(__xludf.DUMMYFUNCTION("""COMPUTED_VALUE"""),0.5)</f>
        <v>0.5</v>
      </c>
    </row>
    <row r="223">
      <c r="A223" s="43" t="str">
        <f>IFERROR(__xludf.DUMMYFUNCTION("""COMPUTED_VALUE"""),"노픽업&amp;한메")</f>
        <v>노픽업&amp;한메</v>
      </c>
      <c r="B223" s="43">
        <f>IFERROR(__xludf.DUMMYFUNCTION("""COMPUTED_VALUE"""),13.0)</f>
        <v>13</v>
      </c>
      <c r="C223" s="43">
        <f>IFERROR(__xludf.DUMMYFUNCTION("""COMPUTED_VALUE"""),13.0)</f>
        <v>13</v>
      </c>
      <c r="D223" s="46">
        <f>IFERROR(__xludf.DUMMYFUNCTION("""COMPUTED_VALUE"""),0.5)</f>
        <v>0.5</v>
      </c>
    </row>
    <row r="224">
      <c r="A224" s="43" t="str">
        <f>IFERROR(__xludf.DUMMYFUNCTION("""COMPUTED_VALUE"""),"시아&amp;신형만")</f>
        <v>시아&amp;신형만</v>
      </c>
      <c r="B224" s="43">
        <f>IFERROR(__xludf.DUMMYFUNCTION("""COMPUTED_VALUE"""),13.0)</f>
        <v>13</v>
      </c>
      <c r="C224" s="43">
        <f>IFERROR(__xludf.DUMMYFUNCTION("""COMPUTED_VALUE"""),16.0)</f>
        <v>16</v>
      </c>
      <c r="D224" s="46">
        <f>IFERROR(__xludf.DUMMYFUNCTION("""COMPUTED_VALUE"""),0.4482758620689655)</f>
        <v>0.4482758621</v>
      </c>
    </row>
    <row r="225">
      <c r="A225" s="43" t="str">
        <f>IFERROR(__xludf.DUMMYFUNCTION("""COMPUTED_VALUE"""),"넘버&amp;태식")</f>
        <v>넘버&amp;태식</v>
      </c>
      <c r="B225" s="43">
        <f>IFERROR(__xludf.DUMMYFUNCTION("""COMPUTED_VALUE"""),13.0)</f>
        <v>13</v>
      </c>
      <c r="C225" s="43">
        <f>IFERROR(__xludf.DUMMYFUNCTION("""COMPUTED_VALUE"""),18.0)</f>
        <v>18</v>
      </c>
      <c r="D225" s="46">
        <f>IFERROR(__xludf.DUMMYFUNCTION("""COMPUTED_VALUE"""),0.41935483870967744)</f>
        <v>0.4193548387</v>
      </c>
    </row>
    <row r="226">
      <c r="A226" s="43" t="str">
        <f>IFERROR(__xludf.DUMMYFUNCTION("""COMPUTED_VALUE"""),"조드&amp;테리")</f>
        <v>조드&amp;테리</v>
      </c>
      <c r="B226" s="43">
        <f>IFERROR(__xludf.DUMMYFUNCTION("""COMPUTED_VALUE"""),13.0)</f>
        <v>13</v>
      </c>
      <c r="C226" s="43">
        <f>IFERROR(__xludf.DUMMYFUNCTION("""COMPUTED_VALUE"""),18.0)</f>
        <v>18</v>
      </c>
      <c r="D226" s="46">
        <f>IFERROR(__xludf.DUMMYFUNCTION("""COMPUTED_VALUE"""),0.41935483870967744)</f>
        <v>0.4193548387</v>
      </c>
    </row>
    <row r="227">
      <c r="A227" s="43" t="str">
        <f>IFERROR(__xludf.DUMMYFUNCTION("""COMPUTED_VALUE"""),"깡패&amp;오딘")</f>
        <v>깡패&amp;오딘</v>
      </c>
      <c r="B227" s="43">
        <f>IFERROR(__xludf.DUMMYFUNCTION("""COMPUTED_VALUE"""),13.0)</f>
        <v>13</v>
      </c>
      <c r="C227" s="43">
        <f>IFERROR(__xludf.DUMMYFUNCTION("""COMPUTED_VALUE"""),19.0)</f>
        <v>19</v>
      </c>
      <c r="D227" s="46">
        <f>IFERROR(__xludf.DUMMYFUNCTION("""COMPUTED_VALUE"""),0.40625)</f>
        <v>0.40625</v>
      </c>
    </row>
    <row r="228">
      <c r="A228" s="43" t="str">
        <f>IFERROR(__xludf.DUMMYFUNCTION("""COMPUTED_VALUE"""),"구리다&amp;미르진")</f>
        <v>구리다&amp;미르진</v>
      </c>
      <c r="B228" s="43">
        <f>IFERROR(__xludf.DUMMYFUNCTION("""COMPUTED_VALUE"""),13.0)</f>
        <v>13</v>
      </c>
      <c r="C228" s="43">
        <f>IFERROR(__xludf.DUMMYFUNCTION("""COMPUTED_VALUE"""),21.0)</f>
        <v>21</v>
      </c>
      <c r="D228" s="46">
        <f>IFERROR(__xludf.DUMMYFUNCTION("""COMPUTED_VALUE"""),0.38235294117647056)</f>
        <v>0.3823529412</v>
      </c>
    </row>
    <row r="229">
      <c r="A229" s="43" t="str">
        <f>IFERROR(__xludf.DUMMYFUNCTION("""COMPUTED_VALUE"""),"ACDC&amp;유망")</f>
        <v>ACDC&amp;유망</v>
      </c>
      <c r="B229" s="43">
        <f>IFERROR(__xludf.DUMMYFUNCTION("""COMPUTED_VALUE"""),13.0)</f>
        <v>13</v>
      </c>
      <c r="C229" s="43">
        <f>IFERROR(__xludf.DUMMYFUNCTION("""COMPUTED_VALUE"""),22.0)</f>
        <v>22</v>
      </c>
      <c r="D229" s="46">
        <f>IFERROR(__xludf.DUMMYFUNCTION("""COMPUTED_VALUE"""),0.37142857142857144)</f>
        <v>0.3714285714</v>
      </c>
    </row>
    <row r="230">
      <c r="A230" s="43" t="str">
        <f>IFERROR(__xludf.DUMMYFUNCTION("""COMPUTED_VALUE"""),"노픽업&amp;짱구")</f>
        <v>노픽업&amp;짱구</v>
      </c>
      <c r="B230" s="43">
        <f>IFERROR(__xludf.DUMMYFUNCTION("""COMPUTED_VALUE"""),13.0)</f>
        <v>13</v>
      </c>
      <c r="C230" s="43">
        <f>IFERROR(__xludf.DUMMYFUNCTION("""COMPUTED_VALUE"""),27.0)</f>
        <v>27</v>
      </c>
      <c r="D230" s="46">
        <f>IFERROR(__xludf.DUMMYFUNCTION("""COMPUTED_VALUE"""),0.325)</f>
        <v>0.325</v>
      </c>
    </row>
    <row r="231">
      <c r="A231" s="43" t="str">
        <f>IFERROR(__xludf.DUMMYFUNCTION("""COMPUTED_VALUE"""),"ACDC&amp;노픽업")</f>
        <v>ACDC&amp;노픽업</v>
      </c>
      <c r="B231" s="43">
        <f>IFERROR(__xludf.DUMMYFUNCTION("""COMPUTED_VALUE"""),13.0)</f>
        <v>13</v>
      </c>
      <c r="C231" s="43">
        <f>IFERROR(__xludf.DUMMYFUNCTION("""COMPUTED_VALUE"""),30.0)</f>
        <v>30</v>
      </c>
      <c r="D231" s="46">
        <f>IFERROR(__xludf.DUMMYFUNCTION("""COMPUTED_VALUE"""),0.3023255813953488)</f>
        <v>0.3023255814</v>
      </c>
    </row>
    <row r="232">
      <c r="A232" s="43" t="str">
        <f>IFERROR(__xludf.DUMMYFUNCTION("""COMPUTED_VALUE"""),"조심&amp;짱구")</f>
        <v>조심&amp;짱구</v>
      </c>
      <c r="B232" s="43">
        <f>IFERROR(__xludf.DUMMYFUNCTION("""COMPUTED_VALUE"""),12.0)</f>
        <v>12</v>
      </c>
      <c r="C232" s="43">
        <f>IFERROR(__xludf.DUMMYFUNCTION("""COMPUTED_VALUE"""),4.0)</f>
        <v>4</v>
      </c>
      <c r="D232" s="46">
        <f>IFERROR(__xludf.DUMMYFUNCTION("""COMPUTED_VALUE"""),0.75)</f>
        <v>0.75</v>
      </c>
    </row>
    <row r="233">
      <c r="A233" s="43" t="str">
        <f>IFERROR(__xludf.DUMMYFUNCTION("""COMPUTED_VALUE"""),"넘버&amp;재우")</f>
        <v>넘버&amp;재우</v>
      </c>
      <c r="B233" s="43">
        <f>IFERROR(__xludf.DUMMYFUNCTION("""COMPUTED_VALUE"""),12.0)</f>
        <v>12</v>
      </c>
      <c r="C233" s="43">
        <f>IFERROR(__xludf.DUMMYFUNCTION("""COMPUTED_VALUE"""),6.0)</f>
        <v>6</v>
      </c>
      <c r="D233" s="46">
        <f>IFERROR(__xludf.DUMMYFUNCTION("""COMPUTED_VALUE"""),0.6666666666666666)</f>
        <v>0.6666666667</v>
      </c>
    </row>
    <row r="234">
      <c r="A234" s="43" t="str">
        <f>IFERROR(__xludf.DUMMYFUNCTION("""COMPUTED_VALUE"""),"엘더&amp;오크")</f>
        <v>엘더&amp;오크</v>
      </c>
      <c r="B234" s="43">
        <f>IFERROR(__xludf.DUMMYFUNCTION("""COMPUTED_VALUE"""),12.0)</f>
        <v>12</v>
      </c>
      <c r="C234" s="43">
        <f>IFERROR(__xludf.DUMMYFUNCTION("""COMPUTED_VALUE"""),6.0)</f>
        <v>6</v>
      </c>
      <c r="D234" s="46">
        <f>IFERROR(__xludf.DUMMYFUNCTION("""COMPUTED_VALUE"""),0.6666666666666666)</f>
        <v>0.6666666667</v>
      </c>
    </row>
    <row r="235">
      <c r="A235" s="43" t="str">
        <f>IFERROR(__xludf.DUMMYFUNCTION("""COMPUTED_VALUE"""),"기재&amp;노인")</f>
        <v>기재&amp;노인</v>
      </c>
      <c r="B235" s="43">
        <f>IFERROR(__xludf.DUMMYFUNCTION("""COMPUTED_VALUE"""),12.0)</f>
        <v>12</v>
      </c>
      <c r="C235" s="43">
        <f>IFERROR(__xludf.DUMMYFUNCTION("""COMPUTED_VALUE"""),7.0)</f>
        <v>7</v>
      </c>
      <c r="D235" s="46">
        <f>IFERROR(__xludf.DUMMYFUNCTION("""COMPUTED_VALUE"""),0.631578947368421)</f>
        <v>0.6315789474</v>
      </c>
    </row>
    <row r="236">
      <c r="A236" s="43" t="str">
        <f>IFERROR(__xludf.DUMMYFUNCTION("""COMPUTED_VALUE"""),"기재&amp;솔")</f>
        <v>기재&amp;솔</v>
      </c>
      <c r="B236" s="43">
        <f>IFERROR(__xludf.DUMMYFUNCTION("""COMPUTED_VALUE"""),12.0)</f>
        <v>12</v>
      </c>
      <c r="C236" s="43">
        <f>IFERROR(__xludf.DUMMYFUNCTION("""COMPUTED_VALUE"""),7.0)</f>
        <v>7</v>
      </c>
      <c r="D236" s="46">
        <f>IFERROR(__xludf.DUMMYFUNCTION("""COMPUTED_VALUE"""),0.631578947368421)</f>
        <v>0.6315789474</v>
      </c>
    </row>
    <row r="237">
      <c r="A237" s="43" t="str">
        <f>IFERROR(__xludf.DUMMYFUNCTION("""COMPUTED_VALUE"""),"넘버&amp;유즈")</f>
        <v>넘버&amp;유즈</v>
      </c>
      <c r="B237" s="43">
        <f>IFERROR(__xludf.DUMMYFUNCTION("""COMPUTED_VALUE"""),12.0)</f>
        <v>12</v>
      </c>
      <c r="C237" s="43">
        <f>IFERROR(__xludf.DUMMYFUNCTION("""COMPUTED_VALUE"""),10.0)</f>
        <v>10</v>
      </c>
      <c r="D237" s="46">
        <f>IFERROR(__xludf.DUMMYFUNCTION("""COMPUTED_VALUE"""),0.5454545454545454)</f>
        <v>0.5454545455</v>
      </c>
    </row>
    <row r="238">
      <c r="A238" s="43" t="str">
        <f>IFERROR(__xludf.DUMMYFUNCTION("""COMPUTED_VALUE"""),"엘더&amp;재명")</f>
        <v>엘더&amp;재명</v>
      </c>
      <c r="B238" s="43">
        <f>IFERROR(__xludf.DUMMYFUNCTION("""COMPUTED_VALUE"""),12.0)</f>
        <v>12</v>
      </c>
      <c r="C238" s="43">
        <f>IFERROR(__xludf.DUMMYFUNCTION("""COMPUTED_VALUE"""),10.0)</f>
        <v>10</v>
      </c>
      <c r="D238" s="46">
        <f>IFERROR(__xludf.DUMMYFUNCTION("""COMPUTED_VALUE"""),0.5454545454545454)</f>
        <v>0.5454545455</v>
      </c>
    </row>
    <row r="239">
      <c r="A239" s="43" t="str">
        <f>IFERROR(__xludf.DUMMYFUNCTION("""COMPUTED_VALUE"""),"노인&amp;전투쥐")</f>
        <v>노인&amp;전투쥐</v>
      </c>
      <c r="B239" s="43">
        <f>IFERROR(__xludf.DUMMYFUNCTION("""COMPUTED_VALUE"""),12.0)</f>
        <v>12</v>
      </c>
      <c r="C239" s="43">
        <f>IFERROR(__xludf.DUMMYFUNCTION("""COMPUTED_VALUE"""),11.0)</f>
        <v>11</v>
      </c>
      <c r="D239" s="46">
        <f>IFERROR(__xludf.DUMMYFUNCTION("""COMPUTED_VALUE"""),0.5217391304347826)</f>
        <v>0.5217391304</v>
      </c>
    </row>
    <row r="240">
      <c r="A240" s="43" t="str">
        <f>IFERROR(__xludf.DUMMYFUNCTION("""COMPUTED_VALUE"""),"깡패&amp;터미")</f>
        <v>깡패&amp;터미</v>
      </c>
      <c r="B240" s="43">
        <f>IFERROR(__xludf.DUMMYFUNCTION("""COMPUTED_VALUE"""),12.0)</f>
        <v>12</v>
      </c>
      <c r="C240" s="43">
        <f>IFERROR(__xludf.DUMMYFUNCTION("""COMPUTED_VALUE"""),13.0)</f>
        <v>13</v>
      </c>
      <c r="D240" s="46">
        <f>IFERROR(__xludf.DUMMYFUNCTION("""COMPUTED_VALUE"""),0.48)</f>
        <v>0.48</v>
      </c>
    </row>
    <row r="241">
      <c r="A241" s="43" t="str">
        <f>IFERROR(__xludf.DUMMYFUNCTION("""COMPUTED_VALUE"""),"미르진&amp;재명")</f>
        <v>미르진&amp;재명</v>
      </c>
      <c r="B241" s="43">
        <f>IFERROR(__xludf.DUMMYFUNCTION("""COMPUTED_VALUE"""),12.0)</f>
        <v>12</v>
      </c>
      <c r="C241" s="43">
        <f>IFERROR(__xludf.DUMMYFUNCTION("""COMPUTED_VALUE"""),13.0)</f>
        <v>13</v>
      </c>
      <c r="D241" s="46">
        <f>IFERROR(__xludf.DUMMYFUNCTION("""COMPUTED_VALUE"""),0.48)</f>
        <v>0.48</v>
      </c>
    </row>
    <row r="242">
      <c r="A242" s="43" t="str">
        <f>IFERROR(__xludf.DUMMYFUNCTION("""COMPUTED_VALUE"""),"ACDC&amp;따")</f>
        <v>ACDC&amp;따</v>
      </c>
      <c r="B242" s="43">
        <f>IFERROR(__xludf.DUMMYFUNCTION("""COMPUTED_VALUE"""),12.0)</f>
        <v>12</v>
      </c>
      <c r="C242" s="43">
        <f>IFERROR(__xludf.DUMMYFUNCTION("""COMPUTED_VALUE"""),14.0)</f>
        <v>14</v>
      </c>
      <c r="D242" s="46">
        <f>IFERROR(__xludf.DUMMYFUNCTION("""COMPUTED_VALUE"""),0.46153846153846156)</f>
        <v>0.4615384615</v>
      </c>
    </row>
    <row r="243">
      <c r="A243" s="43" t="str">
        <f>IFERROR(__xludf.DUMMYFUNCTION("""COMPUTED_VALUE"""),"강화&amp;요즘")</f>
        <v>강화&amp;요즘</v>
      </c>
      <c r="B243" s="43">
        <f>IFERROR(__xludf.DUMMYFUNCTION("""COMPUTED_VALUE"""),12.0)</f>
        <v>12</v>
      </c>
      <c r="C243" s="43">
        <f>IFERROR(__xludf.DUMMYFUNCTION("""COMPUTED_VALUE"""),14.0)</f>
        <v>14</v>
      </c>
      <c r="D243" s="46">
        <f>IFERROR(__xludf.DUMMYFUNCTION("""COMPUTED_VALUE"""),0.46153846153846156)</f>
        <v>0.4615384615</v>
      </c>
    </row>
    <row r="244">
      <c r="A244" s="43" t="str">
        <f>IFERROR(__xludf.DUMMYFUNCTION("""COMPUTED_VALUE"""),"신형만&amp;학생")</f>
        <v>신형만&amp;학생</v>
      </c>
      <c r="B244" s="43">
        <f>IFERROR(__xludf.DUMMYFUNCTION("""COMPUTED_VALUE"""),12.0)</f>
        <v>12</v>
      </c>
      <c r="C244" s="43">
        <f>IFERROR(__xludf.DUMMYFUNCTION("""COMPUTED_VALUE"""),16.0)</f>
        <v>16</v>
      </c>
      <c r="D244" s="46">
        <f>IFERROR(__xludf.DUMMYFUNCTION("""COMPUTED_VALUE"""),0.42857142857142855)</f>
        <v>0.4285714286</v>
      </c>
    </row>
    <row r="245">
      <c r="A245" s="43" t="str">
        <f>IFERROR(__xludf.DUMMYFUNCTION("""COMPUTED_VALUE"""),"ovo&amp;깡패")</f>
        <v>ovo&amp;깡패</v>
      </c>
      <c r="B245" s="43">
        <f>IFERROR(__xludf.DUMMYFUNCTION("""COMPUTED_VALUE"""),11.0)</f>
        <v>11</v>
      </c>
      <c r="C245" s="43">
        <f>IFERROR(__xludf.DUMMYFUNCTION("""COMPUTED_VALUE"""),3.0)</f>
        <v>3</v>
      </c>
      <c r="D245" s="46">
        <f>IFERROR(__xludf.DUMMYFUNCTION("""COMPUTED_VALUE"""),0.7857142857142857)</f>
        <v>0.7857142857</v>
      </c>
    </row>
    <row r="246">
      <c r="A246" s="43" t="str">
        <f>IFERROR(__xludf.DUMMYFUNCTION("""COMPUTED_VALUE"""),"미등록&amp;테리")</f>
        <v>미등록&amp;테리</v>
      </c>
      <c r="B246" s="43">
        <f>IFERROR(__xludf.DUMMYFUNCTION("""COMPUTED_VALUE"""),11.0)</f>
        <v>11</v>
      </c>
      <c r="C246" s="43">
        <f>IFERROR(__xludf.DUMMYFUNCTION("""COMPUTED_VALUE"""),5.0)</f>
        <v>5</v>
      </c>
      <c r="D246" s="46">
        <f>IFERROR(__xludf.DUMMYFUNCTION("""COMPUTED_VALUE"""),0.6875)</f>
        <v>0.6875</v>
      </c>
    </row>
    <row r="247">
      <c r="A247" s="43" t="str">
        <f>IFERROR(__xludf.DUMMYFUNCTION("""COMPUTED_VALUE"""),"구리다&amp;조심")</f>
        <v>구리다&amp;조심</v>
      </c>
      <c r="B247" s="43">
        <f>IFERROR(__xludf.DUMMYFUNCTION("""COMPUTED_VALUE"""),11.0)</f>
        <v>11</v>
      </c>
      <c r="C247" s="43">
        <f>IFERROR(__xludf.DUMMYFUNCTION("""COMPUTED_VALUE"""),7.0)</f>
        <v>7</v>
      </c>
      <c r="D247" s="46">
        <f>IFERROR(__xludf.DUMMYFUNCTION("""COMPUTED_VALUE"""),0.6111111111111112)</f>
        <v>0.6111111111</v>
      </c>
    </row>
    <row r="248">
      <c r="A248" s="43" t="str">
        <f>IFERROR(__xludf.DUMMYFUNCTION("""COMPUTED_VALUE"""),"신형만&amp;조심")</f>
        <v>신형만&amp;조심</v>
      </c>
      <c r="B248" s="43">
        <f>IFERROR(__xludf.DUMMYFUNCTION("""COMPUTED_VALUE"""),11.0)</f>
        <v>11</v>
      </c>
      <c r="C248" s="43">
        <f>IFERROR(__xludf.DUMMYFUNCTION("""COMPUTED_VALUE"""),9.0)</f>
        <v>9</v>
      </c>
      <c r="D248" s="46">
        <f>IFERROR(__xludf.DUMMYFUNCTION("""COMPUTED_VALUE"""),0.55)</f>
        <v>0.55</v>
      </c>
    </row>
    <row r="249">
      <c r="A249" s="43" t="str">
        <f>IFERROR(__xludf.DUMMYFUNCTION("""COMPUTED_VALUE"""),"기재&amp;한메")</f>
        <v>기재&amp;한메</v>
      </c>
      <c r="B249" s="43">
        <f>IFERROR(__xludf.DUMMYFUNCTION("""COMPUTED_VALUE"""),11.0)</f>
        <v>11</v>
      </c>
      <c r="C249" s="43">
        <f>IFERROR(__xludf.DUMMYFUNCTION("""COMPUTED_VALUE"""),10.0)</f>
        <v>10</v>
      </c>
      <c r="D249" s="46">
        <f>IFERROR(__xludf.DUMMYFUNCTION("""COMPUTED_VALUE"""),0.5238095238095238)</f>
        <v>0.5238095238</v>
      </c>
    </row>
    <row r="250">
      <c r="A250" s="43" t="str">
        <f>IFERROR(__xludf.DUMMYFUNCTION("""COMPUTED_VALUE"""),"찹쌀&amp;테리")</f>
        <v>찹쌀&amp;테리</v>
      </c>
      <c r="B250" s="43">
        <f>IFERROR(__xludf.DUMMYFUNCTION("""COMPUTED_VALUE"""),11.0)</f>
        <v>11</v>
      </c>
      <c r="C250" s="43">
        <f>IFERROR(__xludf.DUMMYFUNCTION("""COMPUTED_VALUE"""),10.0)</f>
        <v>10</v>
      </c>
      <c r="D250" s="46">
        <f>IFERROR(__xludf.DUMMYFUNCTION("""COMPUTED_VALUE"""),0.5238095238095238)</f>
        <v>0.5238095238</v>
      </c>
    </row>
    <row r="251">
      <c r="A251" s="43" t="str">
        <f>IFERROR(__xludf.DUMMYFUNCTION("""COMPUTED_VALUE"""),"노인&amp;터미")</f>
        <v>노인&amp;터미</v>
      </c>
      <c r="B251" s="43">
        <f>IFERROR(__xludf.DUMMYFUNCTION("""COMPUTED_VALUE"""),11.0)</f>
        <v>11</v>
      </c>
      <c r="C251" s="43">
        <f>IFERROR(__xludf.DUMMYFUNCTION("""COMPUTED_VALUE"""),11.0)</f>
        <v>11</v>
      </c>
      <c r="D251" s="46">
        <f>IFERROR(__xludf.DUMMYFUNCTION("""COMPUTED_VALUE"""),0.5)</f>
        <v>0.5</v>
      </c>
    </row>
    <row r="252">
      <c r="A252" s="43" t="str">
        <f>IFERROR(__xludf.DUMMYFUNCTION("""COMPUTED_VALUE"""),"터미&amp;한메")</f>
        <v>터미&amp;한메</v>
      </c>
      <c r="B252" s="43">
        <f>IFERROR(__xludf.DUMMYFUNCTION("""COMPUTED_VALUE"""),11.0)</f>
        <v>11</v>
      </c>
      <c r="C252" s="43">
        <f>IFERROR(__xludf.DUMMYFUNCTION("""COMPUTED_VALUE"""),11.0)</f>
        <v>11</v>
      </c>
      <c r="D252" s="46">
        <f>IFERROR(__xludf.DUMMYFUNCTION("""COMPUTED_VALUE"""),0.5)</f>
        <v>0.5</v>
      </c>
    </row>
    <row r="253">
      <c r="A253" s="43" t="str">
        <f>IFERROR(__xludf.DUMMYFUNCTION("""COMPUTED_VALUE"""),"넘버&amp;필찌")</f>
        <v>넘버&amp;필찌</v>
      </c>
      <c r="B253" s="43">
        <f>IFERROR(__xludf.DUMMYFUNCTION("""COMPUTED_VALUE"""),11.0)</f>
        <v>11</v>
      </c>
      <c r="C253" s="43">
        <f>IFERROR(__xludf.DUMMYFUNCTION("""COMPUTED_VALUE"""),12.0)</f>
        <v>12</v>
      </c>
      <c r="D253" s="46">
        <f>IFERROR(__xludf.DUMMYFUNCTION("""COMPUTED_VALUE"""),0.4782608695652174)</f>
        <v>0.4782608696</v>
      </c>
    </row>
    <row r="254">
      <c r="A254" s="43" t="str">
        <f>IFERROR(__xludf.DUMMYFUNCTION("""COMPUTED_VALUE"""),"유망&amp;태식")</f>
        <v>유망&amp;태식</v>
      </c>
      <c r="B254" s="43">
        <f>IFERROR(__xludf.DUMMYFUNCTION("""COMPUTED_VALUE"""),11.0)</f>
        <v>11</v>
      </c>
      <c r="C254" s="43">
        <f>IFERROR(__xludf.DUMMYFUNCTION("""COMPUTED_VALUE"""),14.0)</f>
        <v>14</v>
      </c>
      <c r="D254" s="46">
        <f>IFERROR(__xludf.DUMMYFUNCTION("""COMPUTED_VALUE"""),0.44)</f>
        <v>0.44</v>
      </c>
    </row>
    <row r="255">
      <c r="A255" s="43" t="str">
        <f>IFERROR(__xludf.DUMMYFUNCTION("""COMPUTED_VALUE"""),"ACDC&amp;조심")</f>
        <v>ACDC&amp;조심</v>
      </c>
      <c r="B255" s="43">
        <f>IFERROR(__xludf.DUMMYFUNCTION("""COMPUTED_VALUE"""),11.0)</f>
        <v>11</v>
      </c>
      <c r="C255" s="43">
        <f>IFERROR(__xludf.DUMMYFUNCTION("""COMPUTED_VALUE"""),17.0)</f>
        <v>17</v>
      </c>
      <c r="D255" s="46">
        <f>IFERROR(__xludf.DUMMYFUNCTION("""COMPUTED_VALUE"""),0.39285714285714285)</f>
        <v>0.3928571429</v>
      </c>
    </row>
    <row r="256">
      <c r="A256" s="43" t="str">
        <f>IFERROR(__xludf.DUMMYFUNCTION("""COMPUTED_VALUE"""),"오크&amp;재명")</f>
        <v>오크&amp;재명</v>
      </c>
      <c r="B256" s="43">
        <f>IFERROR(__xludf.DUMMYFUNCTION("""COMPUTED_VALUE"""),11.0)</f>
        <v>11</v>
      </c>
      <c r="C256" s="43">
        <f>IFERROR(__xludf.DUMMYFUNCTION("""COMPUTED_VALUE"""),18.0)</f>
        <v>18</v>
      </c>
      <c r="D256" s="46">
        <f>IFERROR(__xludf.DUMMYFUNCTION("""COMPUTED_VALUE"""),0.3793103448275862)</f>
        <v>0.3793103448</v>
      </c>
    </row>
    <row r="257">
      <c r="A257" s="43" t="str">
        <f>IFERROR(__xludf.DUMMYFUNCTION("""COMPUTED_VALUE"""),"노인&amp;유즈")</f>
        <v>노인&amp;유즈</v>
      </c>
      <c r="B257" s="43">
        <f>IFERROR(__xludf.DUMMYFUNCTION("""COMPUTED_VALUE"""),11.0)</f>
        <v>11</v>
      </c>
      <c r="C257" s="43">
        <f>IFERROR(__xludf.DUMMYFUNCTION("""COMPUTED_VALUE"""),19.0)</f>
        <v>19</v>
      </c>
      <c r="D257" s="46">
        <f>IFERROR(__xludf.DUMMYFUNCTION("""COMPUTED_VALUE"""),0.36666666666666664)</f>
        <v>0.3666666667</v>
      </c>
    </row>
    <row r="258">
      <c r="A258" s="43" t="str">
        <f>IFERROR(__xludf.DUMMYFUNCTION("""COMPUTED_VALUE"""),"솔&amp;유망")</f>
        <v>솔&amp;유망</v>
      </c>
      <c r="B258" s="43">
        <f>IFERROR(__xludf.DUMMYFUNCTION("""COMPUTED_VALUE"""),10.0)</f>
        <v>10</v>
      </c>
      <c r="C258" s="43">
        <f>IFERROR(__xludf.DUMMYFUNCTION("""COMPUTED_VALUE"""),8.0)</f>
        <v>8</v>
      </c>
      <c r="D258" s="46">
        <f>IFERROR(__xludf.DUMMYFUNCTION("""COMPUTED_VALUE"""),0.5555555555555556)</f>
        <v>0.5555555556</v>
      </c>
    </row>
    <row r="259">
      <c r="A259" s="43" t="str">
        <f>IFERROR(__xludf.DUMMYFUNCTION("""COMPUTED_VALUE"""),"신형만&amp;악동")</f>
        <v>신형만&amp;악동</v>
      </c>
      <c r="B259" s="43">
        <f>IFERROR(__xludf.DUMMYFUNCTION("""COMPUTED_VALUE"""),10.0)</f>
        <v>10</v>
      </c>
      <c r="C259" s="43">
        <f>IFERROR(__xludf.DUMMYFUNCTION("""COMPUTED_VALUE"""),10.0)</f>
        <v>10</v>
      </c>
      <c r="D259" s="46">
        <f>IFERROR(__xludf.DUMMYFUNCTION("""COMPUTED_VALUE"""),0.5)</f>
        <v>0.5</v>
      </c>
    </row>
    <row r="260">
      <c r="A260" s="43" t="str">
        <f>IFERROR(__xludf.DUMMYFUNCTION("""COMPUTED_VALUE"""),"랄&amp;재명")</f>
        <v>랄&amp;재명</v>
      </c>
      <c r="B260" s="43">
        <f>IFERROR(__xludf.DUMMYFUNCTION("""COMPUTED_VALUE"""),10.0)</f>
        <v>10</v>
      </c>
      <c r="C260" s="43">
        <f>IFERROR(__xludf.DUMMYFUNCTION("""COMPUTED_VALUE"""),11.0)</f>
        <v>11</v>
      </c>
      <c r="D260" s="46">
        <f>IFERROR(__xludf.DUMMYFUNCTION("""COMPUTED_VALUE"""),0.47619047619047616)</f>
        <v>0.4761904762</v>
      </c>
    </row>
    <row r="261">
      <c r="A261" s="43" t="str">
        <f>IFERROR(__xludf.DUMMYFUNCTION("""COMPUTED_VALUE"""),"따&amp;재우")</f>
        <v>따&amp;재우</v>
      </c>
      <c r="B261" s="43">
        <f>IFERROR(__xludf.DUMMYFUNCTION("""COMPUTED_VALUE"""),10.0)</f>
        <v>10</v>
      </c>
      <c r="C261" s="43">
        <f>IFERROR(__xludf.DUMMYFUNCTION("""COMPUTED_VALUE"""),12.0)</f>
        <v>12</v>
      </c>
      <c r="D261" s="46">
        <f>IFERROR(__xludf.DUMMYFUNCTION("""COMPUTED_VALUE"""),0.45454545454545453)</f>
        <v>0.4545454545</v>
      </c>
    </row>
    <row r="262">
      <c r="A262" s="43" t="str">
        <f>IFERROR(__xludf.DUMMYFUNCTION("""COMPUTED_VALUE"""),"깡패&amp;아이딘")</f>
        <v>깡패&amp;아이딘</v>
      </c>
      <c r="B262" s="43">
        <f>IFERROR(__xludf.DUMMYFUNCTION("""COMPUTED_VALUE"""),10.0)</f>
        <v>10</v>
      </c>
      <c r="C262" s="43">
        <f>IFERROR(__xludf.DUMMYFUNCTION("""COMPUTED_VALUE"""),16.0)</f>
        <v>16</v>
      </c>
      <c r="D262" s="46">
        <f>IFERROR(__xludf.DUMMYFUNCTION("""COMPUTED_VALUE"""),0.38461538461538464)</f>
        <v>0.3846153846</v>
      </c>
    </row>
    <row r="263">
      <c r="A263" s="43" t="str">
        <f>IFERROR(__xludf.DUMMYFUNCTION("""COMPUTED_VALUE"""),"신형만&amp;터미")</f>
        <v>신형만&amp;터미</v>
      </c>
      <c r="B263" s="43">
        <f>IFERROR(__xludf.DUMMYFUNCTION("""COMPUTED_VALUE"""),10.0)</f>
        <v>10</v>
      </c>
      <c r="C263" s="43">
        <f>IFERROR(__xludf.DUMMYFUNCTION("""COMPUTED_VALUE"""),22.0)</f>
        <v>22</v>
      </c>
      <c r="D263" s="46">
        <f>IFERROR(__xludf.DUMMYFUNCTION("""COMPUTED_VALUE"""),0.3125)</f>
        <v>0.3125</v>
      </c>
    </row>
    <row r="264">
      <c r="A264" s="43" t="str">
        <f>IFERROR(__xludf.DUMMYFUNCTION("""COMPUTED_VALUE"""),"유즈&amp;한메")</f>
        <v>유즈&amp;한메</v>
      </c>
      <c r="B264" s="43">
        <f>IFERROR(__xludf.DUMMYFUNCTION("""COMPUTED_VALUE"""),10.0)</f>
        <v>10</v>
      </c>
      <c r="C264" s="43">
        <f>IFERROR(__xludf.DUMMYFUNCTION("""COMPUTED_VALUE"""),22.0)</f>
        <v>22</v>
      </c>
      <c r="D264" s="46">
        <f>IFERROR(__xludf.DUMMYFUNCTION("""COMPUTED_VALUE"""),0.3125)</f>
        <v>0.3125</v>
      </c>
    </row>
    <row r="265">
      <c r="A265" s="43" t="str">
        <f>IFERROR(__xludf.DUMMYFUNCTION("""COMPUTED_VALUE"""),"구리다&amp;재명")</f>
        <v>구리다&amp;재명</v>
      </c>
      <c r="B265" s="43">
        <f>IFERROR(__xludf.DUMMYFUNCTION("""COMPUTED_VALUE"""),10.0)</f>
        <v>10</v>
      </c>
      <c r="C265" s="43">
        <f>IFERROR(__xludf.DUMMYFUNCTION("""COMPUTED_VALUE"""),25.0)</f>
        <v>25</v>
      </c>
      <c r="D265" s="46">
        <f>IFERROR(__xludf.DUMMYFUNCTION("""COMPUTED_VALUE"""),0.2857142857142857)</f>
        <v>0.2857142857</v>
      </c>
    </row>
    <row r="266">
      <c r="A266" s="43" t="str">
        <f>IFERROR(__xludf.DUMMYFUNCTION("""COMPUTED_VALUE"""),"ACDC&amp;솔")</f>
        <v>ACDC&amp;솔</v>
      </c>
      <c r="B266" s="43">
        <f>IFERROR(__xludf.DUMMYFUNCTION("""COMPUTED_VALUE"""),10.0)</f>
        <v>10</v>
      </c>
      <c r="C266" s="43">
        <f>IFERROR(__xludf.DUMMYFUNCTION("""COMPUTED_VALUE"""),27.0)</f>
        <v>27</v>
      </c>
      <c r="D266" s="46">
        <f>IFERROR(__xludf.DUMMYFUNCTION("""COMPUTED_VALUE"""),0.2702702702702703)</f>
        <v>0.2702702703</v>
      </c>
    </row>
    <row r="267">
      <c r="A267" s="43" t="str">
        <f>IFERROR(__xludf.DUMMYFUNCTION("""COMPUTED_VALUE"""),"ACDC&amp;전투쥐")</f>
        <v>ACDC&amp;전투쥐</v>
      </c>
      <c r="B267" s="43">
        <f>IFERROR(__xludf.DUMMYFUNCTION("""COMPUTED_VALUE"""),10.0)</f>
        <v>10</v>
      </c>
      <c r="C267" s="43">
        <f>IFERROR(__xludf.DUMMYFUNCTION("""COMPUTED_VALUE"""),38.0)</f>
        <v>38</v>
      </c>
      <c r="D267" s="46">
        <f>IFERROR(__xludf.DUMMYFUNCTION("""COMPUTED_VALUE"""),0.20833333333333334)</f>
        <v>0.2083333333</v>
      </c>
    </row>
    <row r="268">
      <c r="A268" s="43" t="str">
        <f>IFERROR(__xludf.DUMMYFUNCTION("""COMPUTED_VALUE"""),"넘버&amp;터미")</f>
        <v>넘버&amp;터미</v>
      </c>
      <c r="B268" s="43">
        <f>IFERROR(__xludf.DUMMYFUNCTION("""COMPUTED_VALUE"""),9.0)</f>
        <v>9</v>
      </c>
      <c r="C268" s="43">
        <f>IFERROR(__xludf.DUMMYFUNCTION("""COMPUTED_VALUE"""),4.0)</f>
        <v>4</v>
      </c>
      <c r="D268" s="46">
        <f>IFERROR(__xludf.DUMMYFUNCTION("""COMPUTED_VALUE"""),0.6923076923076923)</f>
        <v>0.6923076923</v>
      </c>
    </row>
    <row r="269">
      <c r="A269" s="43" t="str">
        <f>IFERROR(__xludf.DUMMYFUNCTION("""COMPUTED_VALUE"""),"민우&amp;유망")</f>
        <v>민우&amp;유망</v>
      </c>
      <c r="B269" s="43">
        <f>IFERROR(__xludf.DUMMYFUNCTION("""COMPUTED_VALUE"""),9.0)</f>
        <v>9</v>
      </c>
      <c r="C269" s="43">
        <f>IFERROR(__xludf.DUMMYFUNCTION("""COMPUTED_VALUE"""),4.0)</f>
        <v>4</v>
      </c>
      <c r="D269" s="46">
        <f>IFERROR(__xludf.DUMMYFUNCTION("""COMPUTED_VALUE"""),0.6923076923076923)</f>
        <v>0.6923076923</v>
      </c>
    </row>
    <row r="270">
      <c r="A270" s="43" t="str">
        <f>IFERROR(__xludf.DUMMYFUNCTION("""COMPUTED_VALUE"""),"규식&amp;재우")</f>
        <v>규식&amp;재우</v>
      </c>
      <c r="B270" s="43">
        <f>IFERROR(__xludf.DUMMYFUNCTION("""COMPUTED_VALUE"""),9.0)</f>
        <v>9</v>
      </c>
      <c r="C270" s="43">
        <f>IFERROR(__xludf.DUMMYFUNCTION("""COMPUTED_VALUE"""),5.0)</f>
        <v>5</v>
      </c>
      <c r="D270" s="46">
        <f>IFERROR(__xludf.DUMMYFUNCTION("""COMPUTED_VALUE"""),0.6428571428571429)</f>
        <v>0.6428571429</v>
      </c>
    </row>
    <row r="271">
      <c r="A271" s="43" t="str">
        <f>IFERROR(__xludf.DUMMYFUNCTION("""COMPUTED_VALUE"""),"솔&amp;필찌")</f>
        <v>솔&amp;필찌</v>
      </c>
      <c r="B271" s="43">
        <f>IFERROR(__xludf.DUMMYFUNCTION("""COMPUTED_VALUE"""),9.0)</f>
        <v>9</v>
      </c>
      <c r="C271" s="43">
        <f>IFERROR(__xludf.DUMMYFUNCTION("""COMPUTED_VALUE"""),5.0)</f>
        <v>5</v>
      </c>
      <c r="D271" s="46">
        <f>IFERROR(__xludf.DUMMYFUNCTION("""COMPUTED_VALUE"""),0.6428571428571429)</f>
        <v>0.6428571429</v>
      </c>
    </row>
    <row r="272">
      <c r="A272" s="43" t="str">
        <f>IFERROR(__xludf.DUMMYFUNCTION("""COMPUTED_VALUE"""),"엘더&amp;전투쥐")</f>
        <v>엘더&amp;전투쥐</v>
      </c>
      <c r="B272" s="43">
        <f>IFERROR(__xludf.DUMMYFUNCTION("""COMPUTED_VALUE"""),9.0)</f>
        <v>9</v>
      </c>
      <c r="C272" s="43">
        <f>IFERROR(__xludf.DUMMYFUNCTION("""COMPUTED_VALUE"""),5.0)</f>
        <v>5</v>
      </c>
      <c r="D272" s="46">
        <f>IFERROR(__xludf.DUMMYFUNCTION("""COMPUTED_VALUE"""),0.6428571428571429)</f>
        <v>0.6428571429</v>
      </c>
    </row>
    <row r="273">
      <c r="A273" s="43" t="str">
        <f>IFERROR(__xludf.DUMMYFUNCTION("""COMPUTED_VALUE"""),"원&amp;키키")</f>
        <v>원&amp;키키</v>
      </c>
      <c r="B273" s="43">
        <f>IFERROR(__xludf.DUMMYFUNCTION("""COMPUTED_VALUE"""),9.0)</f>
        <v>9</v>
      </c>
      <c r="C273" s="43">
        <f>IFERROR(__xludf.DUMMYFUNCTION("""COMPUTED_VALUE"""),5.0)</f>
        <v>5</v>
      </c>
      <c r="D273" s="46">
        <f>IFERROR(__xludf.DUMMYFUNCTION("""COMPUTED_VALUE"""),0.6428571428571429)</f>
        <v>0.6428571429</v>
      </c>
    </row>
    <row r="274">
      <c r="A274" s="43" t="str">
        <f>IFERROR(__xludf.DUMMYFUNCTION("""COMPUTED_VALUE"""),"깡패&amp;조심")</f>
        <v>깡패&amp;조심</v>
      </c>
      <c r="B274" s="43">
        <f>IFERROR(__xludf.DUMMYFUNCTION("""COMPUTED_VALUE"""),9.0)</f>
        <v>9</v>
      </c>
      <c r="C274" s="43">
        <f>IFERROR(__xludf.DUMMYFUNCTION("""COMPUTED_VALUE"""),9.0)</f>
        <v>9</v>
      </c>
      <c r="D274" s="46">
        <f>IFERROR(__xludf.DUMMYFUNCTION("""COMPUTED_VALUE"""),0.5)</f>
        <v>0.5</v>
      </c>
    </row>
    <row r="275">
      <c r="A275" s="43" t="str">
        <f>IFERROR(__xludf.DUMMYFUNCTION("""COMPUTED_VALUE"""),"강화&amp;따")</f>
        <v>강화&amp;따</v>
      </c>
      <c r="B275" s="43">
        <f>IFERROR(__xludf.DUMMYFUNCTION("""COMPUTED_VALUE"""),9.0)</f>
        <v>9</v>
      </c>
      <c r="C275" s="43">
        <f>IFERROR(__xludf.DUMMYFUNCTION("""COMPUTED_VALUE"""),10.0)</f>
        <v>10</v>
      </c>
      <c r="D275" s="46">
        <f>IFERROR(__xludf.DUMMYFUNCTION("""COMPUTED_VALUE"""),0.47368421052631576)</f>
        <v>0.4736842105</v>
      </c>
    </row>
    <row r="276">
      <c r="A276" s="43" t="str">
        <f>IFERROR(__xludf.DUMMYFUNCTION("""COMPUTED_VALUE"""),"재우&amp;참치")</f>
        <v>재우&amp;참치</v>
      </c>
      <c r="B276" s="43">
        <f>IFERROR(__xludf.DUMMYFUNCTION("""COMPUTED_VALUE"""),9.0)</f>
        <v>9</v>
      </c>
      <c r="C276" s="43">
        <f>IFERROR(__xludf.DUMMYFUNCTION("""COMPUTED_VALUE"""),11.0)</f>
        <v>11</v>
      </c>
      <c r="D276" s="46">
        <f>IFERROR(__xludf.DUMMYFUNCTION("""COMPUTED_VALUE"""),0.45)</f>
        <v>0.45</v>
      </c>
    </row>
    <row r="277">
      <c r="A277" s="43" t="str">
        <f>IFERROR(__xludf.DUMMYFUNCTION("""COMPUTED_VALUE"""),"민우&amp;솔")</f>
        <v>민우&amp;솔</v>
      </c>
      <c r="B277" s="43">
        <f>IFERROR(__xludf.DUMMYFUNCTION("""COMPUTED_VALUE"""),9.0)</f>
        <v>9</v>
      </c>
      <c r="C277" s="43">
        <f>IFERROR(__xludf.DUMMYFUNCTION("""COMPUTED_VALUE"""),13.0)</f>
        <v>13</v>
      </c>
      <c r="D277" s="46">
        <f>IFERROR(__xludf.DUMMYFUNCTION("""COMPUTED_VALUE"""),0.4090909090909091)</f>
        <v>0.4090909091</v>
      </c>
    </row>
    <row r="278">
      <c r="A278" s="43" t="str">
        <f>IFERROR(__xludf.DUMMYFUNCTION("""COMPUTED_VALUE"""),"규식&amp;노픽업")</f>
        <v>규식&amp;노픽업</v>
      </c>
      <c r="B278" s="43">
        <f>IFERROR(__xludf.DUMMYFUNCTION("""COMPUTED_VALUE"""),9.0)</f>
        <v>9</v>
      </c>
      <c r="C278" s="43">
        <f>IFERROR(__xludf.DUMMYFUNCTION("""COMPUTED_VALUE"""),14.0)</f>
        <v>14</v>
      </c>
      <c r="D278" s="46">
        <f>IFERROR(__xludf.DUMMYFUNCTION("""COMPUTED_VALUE"""),0.391304347826087)</f>
        <v>0.3913043478</v>
      </c>
    </row>
    <row r="279">
      <c r="A279" s="43" t="str">
        <f>IFERROR(__xludf.DUMMYFUNCTION("""COMPUTED_VALUE"""),"따&amp;태식")</f>
        <v>따&amp;태식</v>
      </c>
      <c r="B279" s="43">
        <f>IFERROR(__xludf.DUMMYFUNCTION("""COMPUTED_VALUE"""),9.0)</f>
        <v>9</v>
      </c>
      <c r="C279" s="43">
        <f>IFERROR(__xludf.DUMMYFUNCTION("""COMPUTED_VALUE"""),14.0)</f>
        <v>14</v>
      </c>
      <c r="D279" s="46">
        <f>IFERROR(__xludf.DUMMYFUNCTION("""COMPUTED_VALUE"""),0.391304347826087)</f>
        <v>0.3913043478</v>
      </c>
    </row>
    <row r="280">
      <c r="A280" s="43" t="str">
        <f>IFERROR(__xludf.DUMMYFUNCTION("""COMPUTED_VALUE"""),"깡패&amp;요즘")</f>
        <v>깡패&amp;요즘</v>
      </c>
      <c r="B280" s="43">
        <f>IFERROR(__xludf.DUMMYFUNCTION("""COMPUTED_VALUE"""),9.0)</f>
        <v>9</v>
      </c>
      <c r="C280" s="43">
        <f>IFERROR(__xludf.DUMMYFUNCTION("""COMPUTED_VALUE"""),15.0)</f>
        <v>15</v>
      </c>
      <c r="D280" s="46">
        <f>IFERROR(__xludf.DUMMYFUNCTION("""COMPUTED_VALUE"""),0.375)</f>
        <v>0.375</v>
      </c>
    </row>
    <row r="281">
      <c r="A281" s="43" t="str">
        <f>IFERROR(__xludf.DUMMYFUNCTION("""COMPUTED_VALUE"""),"강화&amp;조심")</f>
        <v>강화&amp;조심</v>
      </c>
      <c r="B281" s="43">
        <f>IFERROR(__xludf.DUMMYFUNCTION("""COMPUTED_VALUE"""),9.0)</f>
        <v>9</v>
      </c>
      <c r="C281" s="43">
        <f>IFERROR(__xludf.DUMMYFUNCTION("""COMPUTED_VALUE"""),18.0)</f>
        <v>18</v>
      </c>
      <c r="D281" s="46">
        <f>IFERROR(__xludf.DUMMYFUNCTION("""COMPUTED_VALUE"""),0.3333333333333333)</f>
        <v>0.3333333333</v>
      </c>
    </row>
    <row r="282">
      <c r="A282" s="43" t="str">
        <f>IFERROR(__xludf.DUMMYFUNCTION("""COMPUTED_VALUE"""),"ACDC&amp;악동")</f>
        <v>ACDC&amp;악동</v>
      </c>
      <c r="B282" s="43">
        <f>IFERROR(__xludf.DUMMYFUNCTION("""COMPUTED_VALUE"""),9.0)</f>
        <v>9</v>
      </c>
      <c r="C282" s="43">
        <f>IFERROR(__xludf.DUMMYFUNCTION("""COMPUTED_VALUE"""),20.0)</f>
        <v>20</v>
      </c>
      <c r="D282" s="46">
        <f>IFERROR(__xludf.DUMMYFUNCTION("""COMPUTED_VALUE"""),0.3103448275862069)</f>
        <v>0.3103448276</v>
      </c>
    </row>
    <row r="283">
      <c r="A283" s="43" t="str">
        <f>IFERROR(__xludf.DUMMYFUNCTION("""COMPUTED_VALUE"""),"강화&amp;미등록")</f>
        <v>강화&amp;미등록</v>
      </c>
      <c r="B283" s="43">
        <f>IFERROR(__xludf.DUMMYFUNCTION("""COMPUTED_VALUE"""),9.0)</f>
        <v>9</v>
      </c>
      <c r="C283" s="43">
        <f>IFERROR(__xludf.DUMMYFUNCTION("""COMPUTED_VALUE"""),21.0)</f>
        <v>21</v>
      </c>
      <c r="D283" s="46">
        <f>IFERROR(__xludf.DUMMYFUNCTION("""COMPUTED_VALUE"""),0.3)</f>
        <v>0.3</v>
      </c>
    </row>
    <row r="284">
      <c r="A284" s="43" t="str">
        <f>IFERROR(__xludf.DUMMYFUNCTION("""COMPUTED_VALUE"""),"원&amp;유즈")</f>
        <v>원&amp;유즈</v>
      </c>
      <c r="B284" s="43">
        <f>IFERROR(__xludf.DUMMYFUNCTION("""COMPUTED_VALUE"""),8.0)</f>
        <v>8</v>
      </c>
      <c r="C284" s="43">
        <f>IFERROR(__xludf.DUMMYFUNCTION("""COMPUTED_VALUE"""),3.0)</f>
        <v>3</v>
      </c>
      <c r="D284" s="46">
        <f>IFERROR(__xludf.DUMMYFUNCTION("""COMPUTED_VALUE"""),0.7272727272727273)</f>
        <v>0.7272727273</v>
      </c>
    </row>
    <row r="285">
      <c r="A285" s="43" t="str">
        <f>IFERROR(__xludf.DUMMYFUNCTION("""COMPUTED_VALUE"""),"GYUL&amp;깡패")</f>
        <v>GYUL&amp;깡패</v>
      </c>
      <c r="B285" s="43">
        <f>IFERROR(__xludf.DUMMYFUNCTION("""COMPUTED_VALUE"""),8.0)</f>
        <v>8</v>
      </c>
      <c r="C285" s="43">
        <f>IFERROR(__xludf.DUMMYFUNCTION("""COMPUTED_VALUE"""),5.0)</f>
        <v>5</v>
      </c>
      <c r="D285" s="46">
        <f>IFERROR(__xludf.DUMMYFUNCTION("""COMPUTED_VALUE"""),0.6153846153846154)</f>
        <v>0.6153846154</v>
      </c>
    </row>
    <row r="286">
      <c r="A286" s="43" t="str">
        <f>IFERROR(__xludf.DUMMYFUNCTION("""COMPUTED_VALUE"""),"깡패&amp;윙크")</f>
        <v>깡패&amp;윙크</v>
      </c>
      <c r="B286" s="43">
        <f>IFERROR(__xludf.DUMMYFUNCTION("""COMPUTED_VALUE"""),8.0)</f>
        <v>8</v>
      </c>
      <c r="C286" s="43">
        <f>IFERROR(__xludf.DUMMYFUNCTION("""COMPUTED_VALUE"""),5.0)</f>
        <v>5</v>
      </c>
      <c r="D286" s="46">
        <f>IFERROR(__xludf.DUMMYFUNCTION("""COMPUTED_VALUE"""),0.6153846153846154)</f>
        <v>0.6153846154</v>
      </c>
    </row>
    <row r="287">
      <c r="A287" s="43" t="str">
        <f>IFERROR(__xludf.DUMMYFUNCTION("""COMPUTED_VALUE"""),"신형만&amp;윈드")</f>
        <v>신형만&amp;윈드</v>
      </c>
      <c r="B287" s="43">
        <f>IFERROR(__xludf.DUMMYFUNCTION("""COMPUTED_VALUE"""),8.0)</f>
        <v>8</v>
      </c>
      <c r="C287" s="43">
        <f>IFERROR(__xludf.DUMMYFUNCTION("""COMPUTED_VALUE"""),5.0)</f>
        <v>5</v>
      </c>
      <c r="D287" s="46">
        <f>IFERROR(__xludf.DUMMYFUNCTION("""COMPUTED_VALUE"""),0.6153846153846154)</f>
        <v>0.6153846154</v>
      </c>
    </row>
    <row r="288">
      <c r="A288" s="43" t="str">
        <f>IFERROR(__xludf.DUMMYFUNCTION("""COMPUTED_VALUE"""),"기재&amp;참치")</f>
        <v>기재&amp;참치</v>
      </c>
      <c r="B288" s="43">
        <f>IFERROR(__xludf.DUMMYFUNCTION("""COMPUTED_VALUE"""),8.0)</f>
        <v>8</v>
      </c>
      <c r="C288" s="43">
        <f>IFERROR(__xludf.DUMMYFUNCTION("""COMPUTED_VALUE"""),6.0)</f>
        <v>6</v>
      </c>
      <c r="D288" s="46">
        <f>IFERROR(__xludf.DUMMYFUNCTION("""COMPUTED_VALUE"""),0.5714285714285714)</f>
        <v>0.5714285714</v>
      </c>
    </row>
    <row r="289">
      <c r="A289" s="43" t="str">
        <f>IFERROR(__xludf.DUMMYFUNCTION("""COMPUTED_VALUE"""),"따&amp;유망")</f>
        <v>따&amp;유망</v>
      </c>
      <c r="B289" s="43">
        <f>IFERROR(__xludf.DUMMYFUNCTION("""COMPUTED_VALUE"""),8.0)</f>
        <v>8</v>
      </c>
      <c r="C289" s="43">
        <f>IFERROR(__xludf.DUMMYFUNCTION("""COMPUTED_VALUE"""),6.0)</f>
        <v>6</v>
      </c>
      <c r="D289" s="46">
        <f>IFERROR(__xludf.DUMMYFUNCTION("""COMPUTED_VALUE"""),0.5714285714285714)</f>
        <v>0.5714285714</v>
      </c>
    </row>
    <row r="290">
      <c r="A290" s="43" t="str">
        <f>IFERROR(__xludf.DUMMYFUNCTION("""COMPUTED_VALUE"""),"유망&amp;재우")</f>
        <v>유망&amp;재우</v>
      </c>
      <c r="B290" s="43">
        <f>IFERROR(__xludf.DUMMYFUNCTION("""COMPUTED_VALUE"""),8.0)</f>
        <v>8</v>
      </c>
      <c r="C290" s="43">
        <f>IFERROR(__xludf.DUMMYFUNCTION("""COMPUTED_VALUE"""),6.0)</f>
        <v>6</v>
      </c>
      <c r="D290" s="46">
        <f>IFERROR(__xludf.DUMMYFUNCTION("""COMPUTED_VALUE"""),0.5714285714285714)</f>
        <v>0.5714285714</v>
      </c>
    </row>
    <row r="291">
      <c r="A291" s="43" t="str">
        <f>IFERROR(__xludf.DUMMYFUNCTION("""COMPUTED_VALUE"""),"ACDC&amp;윙크")</f>
        <v>ACDC&amp;윙크</v>
      </c>
      <c r="B291" s="43">
        <f>IFERROR(__xludf.DUMMYFUNCTION("""COMPUTED_VALUE"""),8.0)</f>
        <v>8</v>
      </c>
      <c r="C291" s="43">
        <f>IFERROR(__xludf.DUMMYFUNCTION("""COMPUTED_VALUE"""),7.0)</f>
        <v>7</v>
      </c>
      <c r="D291" s="46">
        <f>IFERROR(__xludf.DUMMYFUNCTION("""COMPUTED_VALUE"""),0.5333333333333333)</f>
        <v>0.5333333333</v>
      </c>
    </row>
    <row r="292">
      <c r="A292" s="43" t="str">
        <f>IFERROR(__xludf.DUMMYFUNCTION("""COMPUTED_VALUE"""),"ACDC&amp;학생")</f>
        <v>ACDC&amp;학생</v>
      </c>
      <c r="B292" s="43">
        <f>IFERROR(__xludf.DUMMYFUNCTION("""COMPUTED_VALUE"""),8.0)</f>
        <v>8</v>
      </c>
      <c r="C292" s="43">
        <f>IFERROR(__xludf.DUMMYFUNCTION("""COMPUTED_VALUE"""),7.0)</f>
        <v>7</v>
      </c>
      <c r="D292" s="46">
        <f>IFERROR(__xludf.DUMMYFUNCTION("""COMPUTED_VALUE"""),0.5333333333333333)</f>
        <v>0.5333333333</v>
      </c>
    </row>
    <row r="293">
      <c r="A293" s="43" t="str">
        <f>IFERROR(__xludf.DUMMYFUNCTION("""COMPUTED_VALUE"""),"원&amp;학생")</f>
        <v>원&amp;학생</v>
      </c>
      <c r="B293" s="43">
        <f>IFERROR(__xludf.DUMMYFUNCTION("""COMPUTED_VALUE"""),8.0)</f>
        <v>8</v>
      </c>
      <c r="C293" s="43">
        <f>IFERROR(__xludf.DUMMYFUNCTION("""COMPUTED_VALUE"""),7.0)</f>
        <v>7</v>
      </c>
      <c r="D293" s="46">
        <f>IFERROR(__xludf.DUMMYFUNCTION("""COMPUTED_VALUE"""),0.5333333333333333)</f>
        <v>0.5333333333</v>
      </c>
    </row>
    <row r="294">
      <c r="A294" s="43" t="str">
        <f>IFERROR(__xludf.DUMMYFUNCTION("""COMPUTED_VALUE"""),"재우&amp;조심")</f>
        <v>재우&amp;조심</v>
      </c>
      <c r="B294" s="43">
        <f>IFERROR(__xludf.DUMMYFUNCTION("""COMPUTED_VALUE"""),8.0)</f>
        <v>8</v>
      </c>
      <c r="C294" s="43">
        <f>IFERROR(__xludf.DUMMYFUNCTION("""COMPUTED_VALUE"""),7.0)</f>
        <v>7</v>
      </c>
      <c r="D294" s="46">
        <f>IFERROR(__xludf.DUMMYFUNCTION("""COMPUTED_VALUE"""),0.5333333333333333)</f>
        <v>0.5333333333</v>
      </c>
    </row>
    <row r="295">
      <c r="A295" s="43" t="str">
        <f>IFERROR(__xludf.DUMMYFUNCTION("""COMPUTED_VALUE"""),"깡패&amp;찹쌀")</f>
        <v>깡패&amp;찹쌀</v>
      </c>
      <c r="B295" s="43">
        <f>IFERROR(__xludf.DUMMYFUNCTION("""COMPUTED_VALUE"""),8.0)</f>
        <v>8</v>
      </c>
      <c r="C295" s="43">
        <f>IFERROR(__xludf.DUMMYFUNCTION("""COMPUTED_VALUE"""),8.0)</f>
        <v>8</v>
      </c>
      <c r="D295" s="46">
        <f>IFERROR(__xludf.DUMMYFUNCTION("""COMPUTED_VALUE"""),0.5)</f>
        <v>0.5</v>
      </c>
    </row>
    <row r="296">
      <c r="A296" s="43" t="str">
        <f>IFERROR(__xludf.DUMMYFUNCTION("""COMPUTED_VALUE"""),"미등록&amp;키키")</f>
        <v>미등록&amp;키키</v>
      </c>
      <c r="B296" s="43">
        <f>IFERROR(__xludf.DUMMYFUNCTION("""COMPUTED_VALUE"""),8.0)</f>
        <v>8</v>
      </c>
      <c r="C296" s="43">
        <f>IFERROR(__xludf.DUMMYFUNCTION("""COMPUTED_VALUE"""),8.0)</f>
        <v>8</v>
      </c>
      <c r="D296" s="46">
        <f>IFERROR(__xludf.DUMMYFUNCTION("""COMPUTED_VALUE"""),0.5)</f>
        <v>0.5</v>
      </c>
    </row>
    <row r="297">
      <c r="A297" s="43" t="str">
        <f>IFERROR(__xludf.DUMMYFUNCTION("""COMPUTED_VALUE"""),"밍구&amp;한메")</f>
        <v>밍구&amp;한메</v>
      </c>
      <c r="B297" s="43">
        <f>IFERROR(__xludf.DUMMYFUNCTION("""COMPUTED_VALUE"""),8.0)</f>
        <v>8</v>
      </c>
      <c r="C297" s="43">
        <f>IFERROR(__xludf.DUMMYFUNCTION("""COMPUTED_VALUE"""),8.0)</f>
        <v>8</v>
      </c>
      <c r="D297" s="46">
        <f>IFERROR(__xludf.DUMMYFUNCTION("""COMPUTED_VALUE"""),0.5)</f>
        <v>0.5</v>
      </c>
    </row>
    <row r="298">
      <c r="A298" s="43" t="str">
        <f>IFERROR(__xludf.DUMMYFUNCTION("""COMPUTED_VALUE"""),"새출발&amp;신형만")</f>
        <v>새출발&amp;신형만</v>
      </c>
      <c r="B298" s="43">
        <f>IFERROR(__xludf.DUMMYFUNCTION("""COMPUTED_VALUE"""),8.0)</f>
        <v>8</v>
      </c>
      <c r="C298" s="43">
        <f>IFERROR(__xludf.DUMMYFUNCTION("""COMPUTED_VALUE"""),8.0)</f>
        <v>8</v>
      </c>
      <c r="D298" s="46">
        <f>IFERROR(__xludf.DUMMYFUNCTION("""COMPUTED_VALUE"""),0.5)</f>
        <v>0.5</v>
      </c>
    </row>
    <row r="299">
      <c r="A299" s="43" t="str">
        <f>IFERROR(__xludf.DUMMYFUNCTION("""COMPUTED_VALUE"""),"강화&amp;원")</f>
        <v>강화&amp;원</v>
      </c>
      <c r="B299" s="43">
        <f>IFERROR(__xludf.DUMMYFUNCTION("""COMPUTED_VALUE"""),8.0)</f>
        <v>8</v>
      </c>
      <c r="C299" s="43">
        <f>IFERROR(__xludf.DUMMYFUNCTION("""COMPUTED_VALUE"""),9.0)</f>
        <v>9</v>
      </c>
      <c r="D299" s="46">
        <f>IFERROR(__xludf.DUMMYFUNCTION("""COMPUTED_VALUE"""),0.47058823529411764)</f>
        <v>0.4705882353</v>
      </c>
    </row>
    <row r="300">
      <c r="A300" s="43" t="str">
        <f>IFERROR(__xludf.DUMMYFUNCTION("""COMPUTED_VALUE"""),"시아&amp;한메")</f>
        <v>시아&amp;한메</v>
      </c>
      <c r="B300" s="43">
        <f>IFERROR(__xludf.DUMMYFUNCTION("""COMPUTED_VALUE"""),8.0)</f>
        <v>8</v>
      </c>
      <c r="C300" s="43">
        <f>IFERROR(__xludf.DUMMYFUNCTION("""COMPUTED_VALUE"""),9.0)</f>
        <v>9</v>
      </c>
      <c r="D300" s="46">
        <f>IFERROR(__xludf.DUMMYFUNCTION("""COMPUTED_VALUE"""),0.47058823529411764)</f>
        <v>0.4705882353</v>
      </c>
    </row>
    <row r="301">
      <c r="A301" s="43" t="str">
        <f>IFERROR(__xludf.DUMMYFUNCTION("""COMPUTED_VALUE"""),"요즘&amp;짱구")</f>
        <v>요즘&amp;짱구</v>
      </c>
      <c r="B301" s="43">
        <f>IFERROR(__xludf.DUMMYFUNCTION("""COMPUTED_VALUE"""),8.0)</f>
        <v>8</v>
      </c>
      <c r="C301" s="43">
        <f>IFERROR(__xludf.DUMMYFUNCTION("""COMPUTED_VALUE"""),9.0)</f>
        <v>9</v>
      </c>
      <c r="D301" s="46">
        <f>IFERROR(__xludf.DUMMYFUNCTION("""COMPUTED_VALUE"""),0.47058823529411764)</f>
        <v>0.4705882353</v>
      </c>
    </row>
    <row r="302">
      <c r="A302" s="43" t="str">
        <f>IFERROR(__xludf.DUMMYFUNCTION("""COMPUTED_VALUE"""),"팰리&amp;한메")</f>
        <v>팰리&amp;한메</v>
      </c>
      <c r="B302" s="43">
        <f>IFERROR(__xludf.DUMMYFUNCTION("""COMPUTED_VALUE"""),8.0)</f>
        <v>8</v>
      </c>
      <c r="C302" s="43">
        <f>IFERROR(__xludf.DUMMYFUNCTION("""COMPUTED_VALUE"""),9.0)</f>
        <v>9</v>
      </c>
      <c r="D302" s="46">
        <f>IFERROR(__xludf.DUMMYFUNCTION("""COMPUTED_VALUE"""),0.47058823529411764)</f>
        <v>0.4705882353</v>
      </c>
    </row>
    <row r="303">
      <c r="A303" s="43" t="str">
        <f>IFERROR(__xludf.DUMMYFUNCTION("""COMPUTED_VALUE"""),"미등록&amp;재명")</f>
        <v>미등록&amp;재명</v>
      </c>
      <c r="B303" s="43">
        <f>IFERROR(__xludf.DUMMYFUNCTION("""COMPUTED_VALUE"""),8.0)</f>
        <v>8</v>
      </c>
      <c r="C303" s="43">
        <f>IFERROR(__xludf.DUMMYFUNCTION("""COMPUTED_VALUE"""),12.0)</f>
        <v>12</v>
      </c>
      <c r="D303" s="46">
        <f>IFERROR(__xludf.DUMMYFUNCTION("""COMPUTED_VALUE"""),0.4)</f>
        <v>0.4</v>
      </c>
    </row>
    <row r="304">
      <c r="A304" s="43" t="str">
        <f>IFERROR(__xludf.DUMMYFUNCTION("""COMPUTED_VALUE"""),"랄&amp;미등록")</f>
        <v>랄&amp;미등록</v>
      </c>
      <c r="B304" s="43">
        <f>IFERROR(__xludf.DUMMYFUNCTION("""COMPUTED_VALUE"""),8.0)</f>
        <v>8</v>
      </c>
      <c r="C304" s="43">
        <f>IFERROR(__xludf.DUMMYFUNCTION("""COMPUTED_VALUE"""),16.0)</f>
        <v>16</v>
      </c>
      <c r="D304" s="46">
        <f>IFERROR(__xludf.DUMMYFUNCTION("""COMPUTED_VALUE"""),0.3333333333333333)</f>
        <v>0.3333333333</v>
      </c>
    </row>
    <row r="305">
      <c r="A305" s="43" t="str">
        <f>IFERROR(__xludf.DUMMYFUNCTION("""COMPUTED_VALUE"""),"구리다&amp;랄")</f>
        <v>구리다&amp;랄</v>
      </c>
      <c r="B305" s="43">
        <f>IFERROR(__xludf.DUMMYFUNCTION("""COMPUTED_VALUE"""),8.0)</f>
        <v>8</v>
      </c>
      <c r="C305" s="43">
        <f>IFERROR(__xludf.DUMMYFUNCTION("""COMPUTED_VALUE"""),18.0)</f>
        <v>18</v>
      </c>
      <c r="D305" s="46">
        <f>IFERROR(__xludf.DUMMYFUNCTION("""COMPUTED_VALUE"""),0.3076923076923077)</f>
        <v>0.3076923077</v>
      </c>
    </row>
    <row r="306">
      <c r="A306" s="43" t="str">
        <f>IFERROR(__xludf.DUMMYFUNCTION("""COMPUTED_VALUE"""),"ACDC&amp;터미")</f>
        <v>ACDC&amp;터미</v>
      </c>
      <c r="B306" s="43">
        <f>IFERROR(__xludf.DUMMYFUNCTION("""COMPUTED_VALUE"""),8.0)</f>
        <v>8</v>
      </c>
      <c r="C306" s="43">
        <f>IFERROR(__xludf.DUMMYFUNCTION("""COMPUTED_VALUE"""),19.0)</f>
        <v>19</v>
      </c>
      <c r="D306" s="46">
        <f>IFERROR(__xludf.DUMMYFUNCTION("""COMPUTED_VALUE"""),0.2962962962962963)</f>
        <v>0.2962962963</v>
      </c>
    </row>
    <row r="307">
      <c r="A307" s="43" t="str">
        <f>IFERROR(__xludf.DUMMYFUNCTION("""COMPUTED_VALUE"""),"재우&amp;조드")</f>
        <v>재우&amp;조드</v>
      </c>
      <c r="B307" s="43">
        <f>IFERROR(__xludf.DUMMYFUNCTION("""COMPUTED_VALUE"""),8.0)</f>
        <v>8</v>
      </c>
      <c r="C307" s="43">
        <f>IFERROR(__xludf.DUMMYFUNCTION("""COMPUTED_VALUE"""),20.0)</f>
        <v>20</v>
      </c>
      <c r="D307" s="46">
        <f>IFERROR(__xludf.DUMMYFUNCTION("""COMPUTED_VALUE"""),0.2857142857142857)</f>
        <v>0.2857142857</v>
      </c>
    </row>
    <row r="308">
      <c r="A308" s="43" t="str">
        <f>IFERROR(__xludf.DUMMYFUNCTION("""COMPUTED_VALUE"""),"ACDC&amp;요즘")</f>
        <v>ACDC&amp;요즘</v>
      </c>
      <c r="B308" s="43">
        <f>IFERROR(__xludf.DUMMYFUNCTION("""COMPUTED_VALUE"""),8.0)</f>
        <v>8</v>
      </c>
      <c r="C308" s="43">
        <f>IFERROR(__xludf.DUMMYFUNCTION("""COMPUTED_VALUE"""),24.0)</f>
        <v>24</v>
      </c>
      <c r="D308" s="46">
        <f>IFERROR(__xludf.DUMMYFUNCTION("""COMPUTED_VALUE"""),0.25)</f>
        <v>0.25</v>
      </c>
    </row>
    <row r="309">
      <c r="A309" s="43" t="str">
        <f>IFERROR(__xludf.DUMMYFUNCTION("""COMPUTED_VALUE"""),"미르진&amp;테리")</f>
        <v>미르진&amp;테리</v>
      </c>
      <c r="B309" s="43">
        <f>IFERROR(__xludf.DUMMYFUNCTION("""COMPUTED_VALUE"""),7.0)</f>
        <v>7</v>
      </c>
      <c r="C309" s="43">
        <f>IFERROR(__xludf.DUMMYFUNCTION("""COMPUTED_VALUE"""),1.0)</f>
        <v>1</v>
      </c>
      <c r="D309" s="46">
        <f>IFERROR(__xludf.DUMMYFUNCTION("""COMPUTED_VALUE"""),0.875)</f>
        <v>0.875</v>
      </c>
    </row>
    <row r="310">
      <c r="A310" s="43" t="str">
        <f>IFERROR(__xludf.DUMMYFUNCTION("""COMPUTED_VALUE"""),"엘더&amp;테리")</f>
        <v>엘더&amp;테리</v>
      </c>
      <c r="B310" s="43">
        <f>IFERROR(__xludf.DUMMYFUNCTION("""COMPUTED_VALUE"""),7.0)</f>
        <v>7</v>
      </c>
      <c r="C310" s="43">
        <f>IFERROR(__xludf.DUMMYFUNCTION("""COMPUTED_VALUE"""),1.0)</f>
        <v>1</v>
      </c>
      <c r="D310" s="46">
        <f>IFERROR(__xludf.DUMMYFUNCTION("""COMPUTED_VALUE"""),0.875)</f>
        <v>0.875</v>
      </c>
    </row>
    <row r="311">
      <c r="A311" s="43" t="str">
        <f>IFERROR(__xludf.DUMMYFUNCTION("""COMPUTED_VALUE"""),"노픽업&amp;미르진")</f>
        <v>노픽업&amp;미르진</v>
      </c>
      <c r="B311" s="43">
        <f>IFERROR(__xludf.DUMMYFUNCTION("""COMPUTED_VALUE"""),7.0)</f>
        <v>7</v>
      </c>
      <c r="C311" s="43">
        <f>IFERROR(__xludf.DUMMYFUNCTION("""COMPUTED_VALUE"""),2.0)</f>
        <v>2</v>
      </c>
      <c r="D311" s="46">
        <f>IFERROR(__xludf.DUMMYFUNCTION("""COMPUTED_VALUE"""),0.7777777777777778)</f>
        <v>0.7777777778</v>
      </c>
    </row>
    <row r="312">
      <c r="A312" s="43" t="str">
        <f>IFERROR(__xludf.DUMMYFUNCTION("""COMPUTED_VALUE"""),"박서&amp;테리")</f>
        <v>박서&amp;테리</v>
      </c>
      <c r="B312" s="43">
        <f>IFERROR(__xludf.DUMMYFUNCTION("""COMPUTED_VALUE"""),7.0)</f>
        <v>7</v>
      </c>
      <c r="C312" s="43">
        <f>IFERROR(__xludf.DUMMYFUNCTION("""COMPUTED_VALUE"""),2.0)</f>
        <v>2</v>
      </c>
      <c r="D312" s="46">
        <f>IFERROR(__xludf.DUMMYFUNCTION("""COMPUTED_VALUE"""),0.7777777777777778)</f>
        <v>0.7777777778</v>
      </c>
    </row>
    <row r="313">
      <c r="A313" s="43" t="str">
        <f>IFERROR(__xludf.DUMMYFUNCTION("""COMPUTED_VALUE"""),"노픽업&amp;유망")</f>
        <v>노픽업&amp;유망</v>
      </c>
      <c r="B313" s="43">
        <f>IFERROR(__xludf.DUMMYFUNCTION("""COMPUTED_VALUE"""),7.0)</f>
        <v>7</v>
      </c>
      <c r="C313" s="43">
        <f>IFERROR(__xludf.DUMMYFUNCTION("""COMPUTED_VALUE"""),3.0)</f>
        <v>3</v>
      </c>
      <c r="D313" s="46">
        <f>IFERROR(__xludf.DUMMYFUNCTION("""COMPUTED_VALUE"""),0.7)</f>
        <v>0.7</v>
      </c>
    </row>
    <row r="314">
      <c r="A314" s="43" t="str">
        <f>IFERROR(__xludf.DUMMYFUNCTION("""COMPUTED_VALUE"""),"노픽업&amp;재우")</f>
        <v>노픽업&amp;재우</v>
      </c>
      <c r="B314" s="43">
        <f>IFERROR(__xludf.DUMMYFUNCTION("""COMPUTED_VALUE"""),7.0)</f>
        <v>7</v>
      </c>
      <c r="C314" s="43">
        <f>IFERROR(__xludf.DUMMYFUNCTION("""COMPUTED_VALUE"""),3.0)</f>
        <v>3</v>
      </c>
      <c r="D314" s="46">
        <f>IFERROR(__xludf.DUMMYFUNCTION("""COMPUTED_VALUE"""),0.7)</f>
        <v>0.7</v>
      </c>
    </row>
    <row r="315">
      <c r="A315" s="43" t="str">
        <f>IFERROR(__xludf.DUMMYFUNCTION("""COMPUTED_VALUE"""),"깡패&amp;윈드")</f>
        <v>깡패&amp;윈드</v>
      </c>
      <c r="B315" s="43">
        <f>IFERROR(__xludf.DUMMYFUNCTION("""COMPUTED_VALUE"""),7.0)</f>
        <v>7</v>
      </c>
      <c r="C315" s="43">
        <f>IFERROR(__xludf.DUMMYFUNCTION("""COMPUTED_VALUE"""),4.0)</f>
        <v>4</v>
      </c>
      <c r="D315" s="46">
        <f>IFERROR(__xludf.DUMMYFUNCTION("""COMPUTED_VALUE"""),0.6363636363636364)</f>
        <v>0.6363636364</v>
      </c>
    </row>
    <row r="316">
      <c r="A316" s="43" t="str">
        <f>IFERROR(__xludf.DUMMYFUNCTION("""COMPUTED_VALUE"""),"짱구&amp;팰리")</f>
        <v>짱구&amp;팰리</v>
      </c>
      <c r="B316" s="43">
        <f>IFERROR(__xludf.DUMMYFUNCTION("""COMPUTED_VALUE"""),7.0)</f>
        <v>7</v>
      </c>
      <c r="C316" s="43">
        <f>IFERROR(__xludf.DUMMYFUNCTION("""COMPUTED_VALUE"""),4.0)</f>
        <v>4</v>
      </c>
      <c r="D316" s="46">
        <f>IFERROR(__xludf.DUMMYFUNCTION("""COMPUTED_VALUE"""),0.6363636363636364)</f>
        <v>0.6363636364</v>
      </c>
    </row>
    <row r="317">
      <c r="A317" s="43" t="str">
        <f>IFERROR(__xludf.DUMMYFUNCTION("""COMPUTED_VALUE"""),"노픽업&amp;재명")</f>
        <v>노픽업&amp;재명</v>
      </c>
      <c r="B317" s="43">
        <f>IFERROR(__xludf.DUMMYFUNCTION("""COMPUTED_VALUE"""),7.0)</f>
        <v>7</v>
      </c>
      <c r="C317" s="43">
        <f>IFERROR(__xludf.DUMMYFUNCTION("""COMPUTED_VALUE"""),5.0)</f>
        <v>5</v>
      </c>
      <c r="D317" s="46">
        <f>IFERROR(__xludf.DUMMYFUNCTION("""COMPUTED_VALUE"""),0.5833333333333334)</f>
        <v>0.5833333333</v>
      </c>
    </row>
    <row r="318">
      <c r="A318" s="43" t="str">
        <f>IFERROR(__xludf.DUMMYFUNCTION("""COMPUTED_VALUE"""),"따&amp;민우")</f>
        <v>따&amp;민우</v>
      </c>
      <c r="B318" s="43">
        <f>IFERROR(__xludf.DUMMYFUNCTION("""COMPUTED_VALUE"""),7.0)</f>
        <v>7</v>
      </c>
      <c r="C318" s="43">
        <f>IFERROR(__xludf.DUMMYFUNCTION("""COMPUTED_VALUE"""),5.0)</f>
        <v>5</v>
      </c>
      <c r="D318" s="46">
        <f>IFERROR(__xludf.DUMMYFUNCTION("""COMPUTED_VALUE"""),0.5833333333333334)</f>
        <v>0.5833333333</v>
      </c>
    </row>
    <row r="319">
      <c r="A319" s="43" t="str">
        <f>IFERROR(__xludf.DUMMYFUNCTION("""COMPUTED_VALUE"""),"구리다&amp;짱구")</f>
        <v>구리다&amp;짱구</v>
      </c>
      <c r="B319" s="43">
        <f>IFERROR(__xludf.DUMMYFUNCTION("""COMPUTED_VALUE"""),7.0)</f>
        <v>7</v>
      </c>
      <c r="C319" s="43">
        <f>IFERROR(__xludf.DUMMYFUNCTION("""COMPUTED_VALUE"""),6.0)</f>
        <v>6</v>
      </c>
      <c r="D319" s="46">
        <f>IFERROR(__xludf.DUMMYFUNCTION("""COMPUTED_VALUE"""),0.5384615384615384)</f>
        <v>0.5384615385</v>
      </c>
    </row>
    <row r="320">
      <c r="A320" s="43" t="str">
        <f>IFERROR(__xludf.DUMMYFUNCTION("""COMPUTED_VALUE"""),"넘버&amp;새출발")</f>
        <v>넘버&amp;새출발</v>
      </c>
      <c r="B320" s="43">
        <f>IFERROR(__xludf.DUMMYFUNCTION("""COMPUTED_VALUE"""),7.0)</f>
        <v>7</v>
      </c>
      <c r="C320" s="43">
        <f>IFERROR(__xludf.DUMMYFUNCTION("""COMPUTED_VALUE"""),6.0)</f>
        <v>6</v>
      </c>
      <c r="D320" s="46">
        <f>IFERROR(__xludf.DUMMYFUNCTION("""COMPUTED_VALUE"""),0.5384615384615384)</f>
        <v>0.5384615385</v>
      </c>
    </row>
    <row r="321">
      <c r="A321" s="43" t="str">
        <f>IFERROR(__xludf.DUMMYFUNCTION("""COMPUTED_VALUE"""),"새출발&amp;원")</f>
        <v>새출발&amp;원</v>
      </c>
      <c r="B321" s="43">
        <f>IFERROR(__xludf.DUMMYFUNCTION("""COMPUTED_VALUE"""),7.0)</f>
        <v>7</v>
      </c>
      <c r="C321" s="43">
        <f>IFERROR(__xludf.DUMMYFUNCTION("""COMPUTED_VALUE"""),6.0)</f>
        <v>6</v>
      </c>
      <c r="D321" s="46">
        <f>IFERROR(__xludf.DUMMYFUNCTION("""COMPUTED_VALUE"""),0.5384615384615384)</f>
        <v>0.5384615385</v>
      </c>
    </row>
    <row r="322">
      <c r="A322" s="43" t="str">
        <f>IFERROR(__xludf.DUMMYFUNCTION("""COMPUTED_VALUE"""),"원&amp;필찌")</f>
        <v>원&amp;필찌</v>
      </c>
      <c r="B322" s="43">
        <f>IFERROR(__xludf.DUMMYFUNCTION("""COMPUTED_VALUE"""),7.0)</f>
        <v>7</v>
      </c>
      <c r="C322" s="43">
        <f>IFERROR(__xludf.DUMMYFUNCTION("""COMPUTED_VALUE"""),6.0)</f>
        <v>6</v>
      </c>
      <c r="D322" s="46">
        <f>IFERROR(__xludf.DUMMYFUNCTION("""COMPUTED_VALUE"""),0.5384615384615384)</f>
        <v>0.5384615385</v>
      </c>
    </row>
    <row r="323">
      <c r="A323" s="43" t="str">
        <f>IFERROR(__xludf.DUMMYFUNCTION("""COMPUTED_VALUE"""),"윙크&amp;한메")</f>
        <v>윙크&amp;한메</v>
      </c>
      <c r="B323" s="43">
        <f>IFERROR(__xludf.DUMMYFUNCTION("""COMPUTED_VALUE"""),7.0)</f>
        <v>7</v>
      </c>
      <c r="C323" s="43">
        <f>IFERROR(__xludf.DUMMYFUNCTION("""COMPUTED_VALUE"""),6.0)</f>
        <v>6</v>
      </c>
      <c r="D323" s="46">
        <f>IFERROR(__xludf.DUMMYFUNCTION("""COMPUTED_VALUE"""),0.5384615384615384)</f>
        <v>0.5384615385</v>
      </c>
    </row>
    <row r="324">
      <c r="A324" s="43" t="str">
        <f>IFERROR(__xludf.DUMMYFUNCTION("""COMPUTED_VALUE"""),"강화&amp;노픽업")</f>
        <v>강화&amp;노픽업</v>
      </c>
      <c r="B324" s="43">
        <f>IFERROR(__xludf.DUMMYFUNCTION("""COMPUTED_VALUE"""),7.0)</f>
        <v>7</v>
      </c>
      <c r="C324" s="43">
        <f>IFERROR(__xludf.DUMMYFUNCTION("""COMPUTED_VALUE"""),7.0)</f>
        <v>7</v>
      </c>
      <c r="D324" s="46">
        <f>IFERROR(__xludf.DUMMYFUNCTION("""COMPUTED_VALUE"""),0.5)</f>
        <v>0.5</v>
      </c>
    </row>
    <row r="325">
      <c r="A325" s="43" t="str">
        <f>IFERROR(__xludf.DUMMYFUNCTION("""COMPUTED_VALUE"""),"규식&amp;유즈")</f>
        <v>규식&amp;유즈</v>
      </c>
      <c r="B325" s="43">
        <f>IFERROR(__xludf.DUMMYFUNCTION("""COMPUTED_VALUE"""),7.0)</f>
        <v>7</v>
      </c>
      <c r="C325" s="43">
        <f>IFERROR(__xludf.DUMMYFUNCTION("""COMPUTED_VALUE"""),7.0)</f>
        <v>7</v>
      </c>
      <c r="D325" s="46">
        <f>IFERROR(__xludf.DUMMYFUNCTION("""COMPUTED_VALUE"""),0.5)</f>
        <v>0.5</v>
      </c>
    </row>
    <row r="326">
      <c r="A326" s="43" t="str">
        <f>IFERROR(__xludf.DUMMYFUNCTION("""COMPUTED_VALUE"""),"랄&amp;짱구")</f>
        <v>랄&amp;짱구</v>
      </c>
      <c r="B326" s="43">
        <f>IFERROR(__xludf.DUMMYFUNCTION("""COMPUTED_VALUE"""),7.0)</f>
        <v>7</v>
      </c>
      <c r="C326" s="43">
        <f>IFERROR(__xludf.DUMMYFUNCTION("""COMPUTED_VALUE"""),7.0)</f>
        <v>7</v>
      </c>
      <c r="D326" s="46">
        <f>IFERROR(__xludf.DUMMYFUNCTION("""COMPUTED_VALUE"""),0.5)</f>
        <v>0.5</v>
      </c>
    </row>
    <row r="327">
      <c r="A327" s="43" t="str">
        <f>IFERROR(__xludf.DUMMYFUNCTION("""COMPUTED_VALUE"""),"신형만&amp;튜브")</f>
        <v>신형만&amp;튜브</v>
      </c>
      <c r="B327" s="43">
        <f>IFERROR(__xludf.DUMMYFUNCTION("""COMPUTED_VALUE"""),7.0)</f>
        <v>7</v>
      </c>
      <c r="C327" s="43">
        <f>IFERROR(__xludf.DUMMYFUNCTION("""COMPUTED_VALUE"""),7.0)</f>
        <v>7</v>
      </c>
      <c r="D327" s="46">
        <f>IFERROR(__xludf.DUMMYFUNCTION("""COMPUTED_VALUE"""),0.5)</f>
        <v>0.5</v>
      </c>
    </row>
    <row r="328">
      <c r="A328" s="43" t="str">
        <f>IFERROR(__xludf.DUMMYFUNCTION("""COMPUTED_VALUE"""),"원&amp;전투쥐")</f>
        <v>원&amp;전투쥐</v>
      </c>
      <c r="B328" s="43">
        <f>IFERROR(__xludf.DUMMYFUNCTION("""COMPUTED_VALUE"""),7.0)</f>
        <v>7</v>
      </c>
      <c r="C328" s="43">
        <f>IFERROR(__xludf.DUMMYFUNCTION("""COMPUTED_VALUE"""),7.0)</f>
        <v>7</v>
      </c>
      <c r="D328" s="46">
        <f>IFERROR(__xludf.DUMMYFUNCTION("""COMPUTED_VALUE"""),0.5)</f>
        <v>0.5</v>
      </c>
    </row>
    <row r="329">
      <c r="A329" s="43" t="str">
        <f>IFERROR(__xludf.DUMMYFUNCTION("""COMPUTED_VALUE"""),"재명&amp;키키")</f>
        <v>재명&amp;키키</v>
      </c>
      <c r="B329" s="43">
        <f>IFERROR(__xludf.DUMMYFUNCTION("""COMPUTED_VALUE"""),7.0)</f>
        <v>7</v>
      </c>
      <c r="C329" s="43">
        <f>IFERROR(__xludf.DUMMYFUNCTION("""COMPUTED_VALUE"""),7.0)</f>
        <v>7</v>
      </c>
      <c r="D329" s="46">
        <f>IFERROR(__xludf.DUMMYFUNCTION("""COMPUTED_VALUE"""),0.5)</f>
        <v>0.5</v>
      </c>
    </row>
    <row r="330">
      <c r="A330" s="43" t="str">
        <f>IFERROR(__xludf.DUMMYFUNCTION("""COMPUTED_VALUE"""),"강화&amp;참치")</f>
        <v>강화&amp;참치</v>
      </c>
      <c r="B330" s="43">
        <f>IFERROR(__xludf.DUMMYFUNCTION("""COMPUTED_VALUE"""),7.0)</f>
        <v>7</v>
      </c>
      <c r="C330" s="43">
        <f>IFERROR(__xludf.DUMMYFUNCTION("""COMPUTED_VALUE"""),8.0)</f>
        <v>8</v>
      </c>
      <c r="D330" s="46">
        <f>IFERROR(__xludf.DUMMYFUNCTION("""COMPUTED_VALUE"""),0.4666666666666667)</f>
        <v>0.4666666667</v>
      </c>
    </row>
    <row r="331">
      <c r="A331" s="43" t="str">
        <f>IFERROR(__xludf.DUMMYFUNCTION("""COMPUTED_VALUE"""),"유즈&amp;찹쌀")</f>
        <v>유즈&amp;찹쌀</v>
      </c>
      <c r="B331" s="43">
        <f>IFERROR(__xludf.DUMMYFUNCTION("""COMPUTED_VALUE"""),7.0)</f>
        <v>7</v>
      </c>
      <c r="C331" s="43">
        <f>IFERROR(__xludf.DUMMYFUNCTION("""COMPUTED_VALUE"""),8.0)</f>
        <v>8</v>
      </c>
      <c r="D331" s="46">
        <f>IFERROR(__xludf.DUMMYFUNCTION("""COMPUTED_VALUE"""),0.4666666666666667)</f>
        <v>0.4666666667</v>
      </c>
    </row>
    <row r="332">
      <c r="A332" s="43" t="str">
        <f>IFERROR(__xludf.DUMMYFUNCTION("""COMPUTED_VALUE"""),"아이딘&amp;한메")</f>
        <v>아이딘&amp;한메</v>
      </c>
      <c r="B332" s="43">
        <f>IFERROR(__xludf.DUMMYFUNCTION("""COMPUTED_VALUE"""),7.0)</f>
        <v>7</v>
      </c>
      <c r="C332" s="43">
        <f>IFERROR(__xludf.DUMMYFUNCTION("""COMPUTED_VALUE"""),9.0)</f>
        <v>9</v>
      </c>
      <c r="D332" s="46">
        <f>IFERROR(__xludf.DUMMYFUNCTION("""COMPUTED_VALUE"""),0.4375)</f>
        <v>0.4375</v>
      </c>
    </row>
    <row r="333">
      <c r="A333" s="43" t="str">
        <f>IFERROR(__xludf.DUMMYFUNCTION("""COMPUTED_VALUE"""),"밍구&amp;재우")</f>
        <v>밍구&amp;재우</v>
      </c>
      <c r="B333" s="43">
        <f>IFERROR(__xludf.DUMMYFUNCTION("""COMPUTED_VALUE"""),7.0)</f>
        <v>7</v>
      </c>
      <c r="C333" s="43">
        <f>IFERROR(__xludf.DUMMYFUNCTION("""COMPUTED_VALUE"""),10.0)</f>
        <v>10</v>
      </c>
      <c r="D333" s="46">
        <f>IFERROR(__xludf.DUMMYFUNCTION("""COMPUTED_VALUE"""),0.4117647058823529)</f>
        <v>0.4117647059</v>
      </c>
    </row>
    <row r="334">
      <c r="A334" s="43" t="str">
        <f>IFERROR(__xludf.DUMMYFUNCTION("""COMPUTED_VALUE"""),"규식&amp;오딘")</f>
        <v>규식&amp;오딘</v>
      </c>
      <c r="B334" s="43">
        <f>IFERROR(__xludf.DUMMYFUNCTION("""COMPUTED_VALUE"""),7.0)</f>
        <v>7</v>
      </c>
      <c r="C334" s="43">
        <f>IFERROR(__xludf.DUMMYFUNCTION("""COMPUTED_VALUE"""),11.0)</f>
        <v>11</v>
      </c>
      <c r="D334" s="46">
        <f>IFERROR(__xludf.DUMMYFUNCTION("""COMPUTED_VALUE"""),0.3888888888888889)</f>
        <v>0.3888888889</v>
      </c>
    </row>
    <row r="335">
      <c r="A335" s="43" t="str">
        <f>IFERROR(__xludf.DUMMYFUNCTION("""COMPUTED_VALUE"""),"따&amp;전투쥐")</f>
        <v>따&amp;전투쥐</v>
      </c>
      <c r="B335" s="43">
        <f>IFERROR(__xludf.DUMMYFUNCTION("""COMPUTED_VALUE"""),7.0)</f>
        <v>7</v>
      </c>
      <c r="C335" s="43">
        <f>IFERROR(__xludf.DUMMYFUNCTION("""COMPUTED_VALUE"""),11.0)</f>
        <v>11</v>
      </c>
      <c r="D335" s="46">
        <f>IFERROR(__xludf.DUMMYFUNCTION("""COMPUTED_VALUE"""),0.3888888888888889)</f>
        <v>0.3888888889</v>
      </c>
    </row>
    <row r="336">
      <c r="A336" s="43" t="str">
        <f>IFERROR(__xludf.DUMMYFUNCTION("""COMPUTED_VALUE"""),"유망&amp;한메")</f>
        <v>유망&amp;한메</v>
      </c>
      <c r="B336" s="43">
        <f>IFERROR(__xludf.DUMMYFUNCTION("""COMPUTED_VALUE"""),7.0)</f>
        <v>7</v>
      </c>
      <c r="C336" s="43">
        <f>IFERROR(__xludf.DUMMYFUNCTION("""COMPUTED_VALUE"""),11.0)</f>
        <v>11</v>
      </c>
      <c r="D336" s="46">
        <f>IFERROR(__xludf.DUMMYFUNCTION("""COMPUTED_VALUE"""),0.3888888888888889)</f>
        <v>0.3888888889</v>
      </c>
    </row>
    <row r="337">
      <c r="A337" s="43" t="str">
        <f>IFERROR(__xludf.DUMMYFUNCTION("""COMPUTED_VALUE"""),"ACDC&amp;팰리")</f>
        <v>ACDC&amp;팰리</v>
      </c>
      <c r="B337" s="43">
        <f>IFERROR(__xludf.DUMMYFUNCTION("""COMPUTED_VALUE"""),7.0)</f>
        <v>7</v>
      </c>
      <c r="C337" s="43">
        <f>IFERROR(__xludf.DUMMYFUNCTION("""COMPUTED_VALUE"""),12.0)</f>
        <v>12</v>
      </c>
      <c r="D337" s="46">
        <f>IFERROR(__xludf.DUMMYFUNCTION("""COMPUTED_VALUE"""),0.3684210526315789)</f>
        <v>0.3684210526</v>
      </c>
    </row>
    <row r="338">
      <c r="A338" s="43" t="str">
        <f>IFERROR(__xludf.DUMMYFUNCTION("""COMPUTED_VALUE"""),"요즘&amp;재명")</f>
        <v>요즘&amp;재명</v>
      </c>
      <c r="B338" s="43">
        <f>IFERROR(__xludf.DUMMYFUNCTION("""COMPUTED_VALUE"""),7.0)</f>
        <v>7</v>
      </c>
      <c r="C338" s="43">
        <f>IFERROR(__xludf.DUMMYFUNCTION("""COMPUTED_VALUE"""),14.0)</f>
        <v>14</v>
      </c>
      <c r="D338" s="46">
        <f>IFERROR(__xludf.DUMMYFUNCTION("""COMPUTED_VALUE"""),0.3333333333333333)</f>
        <v>0.3333333333</v>
      </c>
    </row>
    <row r="339">
      <c r="A339" s="43" t="str">
        <f>IFERROR(__xludf.DUMMYFUNCTION("""COMPUTED_VALUE"""),"ACDC&amp;밍구")</f>
        <v>ACDC&amp;밍구</v>
      </c>
      <c r="B339" s="43">
        <f>IFERROR(__xludf.DUMMYFUNCTION("""COMPUTED_VALUE"""),7.0)</f>
        <v>7</v>
      </c>
      <c r="C339" s="43">
        <f>IFERROR(__xludf.DUMMYFUNCTION("""COMPUTED_VALUE"""),16.0)</f>
        <v>16</v>
      </c>
      <c r="D339" s="46">
        <f>IFERROR(__xludf.DUMMYFUNCTION("""COMPUTED_VALUE"""),0.30434782608695654)</f>
        <v>0.3043478261</v>
      </c>
    </row>
    <row r="340">
      <c r="A340" s="43" t="str">
        <f>IFERROR(__xludf.DUMMYFUNCTION("""COMPUTED_VALUE"""),"강화&amp;아이딘")</f>
        <v>강화&amp;아이딘</v>
      </c>
      <c r="B340" s="43">
        <f>IFERROR(__xludf.DUMMYFUNCTION("""COMPUTED_VALUE"""),7.0)</f>
        <v>7</v>
      </c>
      <c r="C340" s="43">
        <f>IFERROR(__xludf.DUMMYFUNCTION("""COMPUTED_VALUE"""),17.0)</f>
        <v>17</v>
      </c>
      <c r="D340" s="46">
        <f>IFERROR(__xludf.DUMMYFUNCTION("""COMPUTED_VALUE"""),0.2916666666666667)</f>
        <v>0.2916666667</v>
      </c>
    </row>
    <row r="341">
      <c r="A341" s="43" t="str">
        <f>IFERROR(__xludf.DUMMYFUNCTION("""COMPUTED_VALUE"""),"깡패&amp;미르진")</f>
        <v>깡패&amp;미르진</v>
      </c>
      <c r="B341" s="43">
        <f>IFERROR(__xludf.DUMMYFUNCTION("""COMPUTED_VALUE"""),7.0)</f>
        <v>7</v>
      </c>
      <c r="C341" s="43">
        <f>IFERROR(__xludf.DUMMYFUNCTION("""COMPUTED_VALUE"""),19.0)</f>
        <v>19</v>
      </c>
      <c r="D341" s="46">
        <f>IFERROR(__xludf.DUMMYFUNCTION("""COMPUTED_VALUE"""),0.2692307692307692)</f>
        <v>0.2692307692</v>
      </c>
    </row>
    <row r="342">
      <c r="A342" s="43" t="str">
        <f>IFERROR(__xludf.DUMMYFUNCTION("""COMPUTED_VALUE"""),"ACDC&amp;기재")</f>
        <v>ACDC&amp;기재</v>
      </c>
      <c r="B342" s="43">
        <f>IFERROR(__xludf.DUMMYFUNCTION("""COMPUTED_VALUE"""),7.0)</f>
        <v>7</v>
      </c>
      <c r="C342" s="43">
        <f>IFERROR(__xludf.DUMMYFUNCTION("""COMPUTED_VALUE"""),21.0)</f>
        <v>21</v>
      </c>
      <c r="D342" s="46">
        <f>IFERROR(__xludf.DUMMYFUNCTION("""COMPUTED_VALUE"""),0.25)</f>
        <v>0.25</v>
      </c>
    </row>
    <row r="343">
      <c r="A343" s="43" t="str">
        <f>IFERROR(__xludf.DUMMYFUNCTION("""COMPUTED_VALUE"""),"강화&amp;전투쥐")</f>
        <v>강화&amp;전투쥐</v>
      </c>
      <c r="B343" s="43">
        <f>IFERROR(__xludf.DUMMYFUNCTION("""COMPUTED_VALUE"""),7.0)</f>
        <v>7</v>
      </c>
      <c r="C343" s="43">
        <f>IFERROR(__xludf.DUMMYFUNCTION("""COMPUTED_VALUE"""),25.0)</f>
        <v>25</v>
      </c>
      <c r="D343" s="46">
        <f>IFERROR(__xludf.DUMMYFUNCTION("""COMPUTED_VALUE"""),0.21875)</f>
        <v>0.21875</v>
      </c>
    </row>
    <row r="344">
      <c r="A344" s="43" t="str">
        <f>IFERROR(__xludf.DUMMYFUNCTION("""COMPUTED_VALUE"""),"오크&amp;키키")</f>
        <v>오크&amp;키키</v>
      </c>
      <c r="B344" s="43">
        <f>IFERROR(__xludf.DUMMYFUNCTION("""COMPUTED_VALUE"""),6.0)</f>
        <v>6</v>
      </c>
      <c r="C344" s="43">
        <f>IFERROR(__xludf.DUMMYFUNCTION("""COMPUTED_VALUE"""),1.0)</f>
        <v>1</v>
      </c>
      <c r="D344" s="46">
        <f>IFERROR(__xludf.DUMMYFUNCTION("""COMPUTED_VALUE"""),0.8571428571428571)</f>
        <v>0.8571428571</v>
      </c>
    </row>
    <row r="345">
      <c r="A345" s="43" t="str">
        <f>IFERROR(__xludf.DUMMYFUNCTION("""COMPUTED_VALUE"""),"간달프&amp;한메")</f>
        <v>간달프&amp;한메</v>
      </c>
      <c r="B345" s="43">
        <f>IFERROR(__xludf.DUMMYFUNCTION("""COMPUTED_VALUE"""),6.0)</f>
        <v>6</v>
      </c>
      <c r="C345" s="43">
        <f>IFERROR(__xludf.DUMMYFUNCTION("""COMPUTED_VALUE"""),2.0)</f>
        <v>2</v>
      </c>
      <c r="D345" s="46">
        <f>IFERROR(__xludf.DUMMYFUNCTION("""COMPUTED_VALUE"""),0.75)</f>
        <v>0.75</v>
      </c>
    </row>
    <row r="346">
      <c r="A346" s="43" t="str">
        <f>IFERROR(__xludf.DUMMYFUNCTION("""COMPUTED_VALUE"""),"민우&amp;재우")</f>
        <v>민우&amp;재우</v>
      </c>
      <c r="B346" s="43">
        <f>IFERROR(__xludf.DUMMYFUNCTION("""COMPUTED_VALUE"""),6.0)</f>
        <v>6</v>
      </c>
      <c r="C346" s="43">
        <f>IFERROR(__xludf.DUMMYFUNCTION("""COMPUTED_VALUE"""),2.0)</f>
        <v>2</v>
      </c>
      <c r="D346" s="46">
        <f>IFERROR(__xludf.DUMMYFUNCTION("""COMPUTED_VALUE"""),0.75)</f>
        <v>0.75</v>
      </c>
    </row>
    <row r="347">
      <c r="A347" s="43" t="str">
        <f>IFERROR(__xludf.DUMMYFUNCTION("""COMPUTED_VALUE"""),"원&amp;터미")</f>
        <v>원&amp;터미</v>
      </c>
      <c r="B347" s="43">
        <f>IFERROR(__xludf.DUMMYFUNCTION("""COMPUTED_VALUE"""),6.0)</f>
        <v>6</v>
      </c>
      <c r="C347" s="43">
        <f>IFERROR(__xludf.DUMMYFUNCTION("""COMPUTED_VALUE"""),2.0)</f>
        <v>2</v>
      </c>
      <c r="D347" s="46">
        <f>IFERROR(__xludf.DUMMYFUNCTION("""COMPUTED_VALUE"""),0.75)</f>
        <v>0.75</v>
      </c>
    </row>
    <row r="348">
      <c r="A348" s="43" t="str">
        <f>IFERROR(__xludf.DUMMYFUNCTION("""COMPUTED_VALUE"""),"박서&amp;터미")</f>
        <v>박서&amp;터미</v>
      </c>
      <c r="B348" s="43">
        <f>IFERROR(__xludf.DUMMYFUNCTION("""COMPUTED_VALUE"""),6.0)</f>
        <v>6</v>
      </c>
      <c r="C348" s="43">
        <f>IFERROR(__xludf.DUMMYFUNCTION("""COMPUTED_VALUE"""),3.0)</f>
        <v>3</v>
      </c>
      <c r="D348" s="46">
        <f>IFERROR(__xludf.DUMMYFUNCTION("""COMPUTED_VALUE"""),0.6666666666666666)</f>
        <v>0.6666666667</v>
      </c>
    </row>
    <row r="349">
      <c r="A349" s="43" t="str">
        <f>IFERROR(__xludf.DUMMYFUNCTION("""COMPUTED_VALUE"""),"원&amp;조드")</f>
        <v>원&amp;조드</v>
      </c>
      <c r="B349" s="43">
        <f>IFERROR(__xludf.DUMMYFUNCTION("""COMPUTED_VALUE"""),6.0)</f>
        <v>6</v>
      </c>
      <c r="C349" s="43">
        <f>IFERROR(__xludf.DUMMYFUNCTION("""COMPUTED_VALUE"""),3.0)</f>
        <v>3</v>
      </c>
      <c r="D349" s="46">
        <f>IFERROR(__xludf.DUMMYFUNCTION("""COMPUTED_VALUE"""),0.6666666666666666)</f>
        <v>0.6666666667</v>
      </c>
    </row>
    <row r="350">
      <c r="A350" s="43" t="str">
        <f>IFERROR(__xludf.DUMMYFUNCTION("""COMPUTED_VALUE"""),"유즈&amp;재우")</f>
        <v>유즈&amp;재우</v>
      </c>
      <c r="B350" s="43">
        <f>IFERROR(__xludf.DUMMYFUNCTION("""COMPUTED_VALUE"""),6.0)</f>
        <v>6</v>
      </c>
      <c r="C350" s="43">
        <f>IFERROR(__xludf.DUMMYFUNCTION("""COMPUTED_VALUE"""),3.0)</f>
        <v>3</v>
      </c>
      <c r="D350" s="46">
        <f>IFERROR(__xludf.DUMMYFUNCTION("""COMPUTED_VALUE"""),0.6666666666666666)</f>
        <v>0.6666666667</v>
      </c>
    </row>
    <row r="351">
      <c r="A351" s="43" t="str">
        <f>IFERROR(__xludf.DUMMYFUNCTION("""COMPUTED_VALUE"""),"조드&amp;조심")</f>
        <v>조드&amp;조심</v>
      </c>
      <c r="B351" s="43">
        <f>IFERROR(__xludf.DUMMYFUNCTION("""COMPUTED_VALUE"""),6.0)</f>
        <v>6</v>
      </c>
      <c r="C351" s="43">
        <f>IFERROR(__xludf.DUMMYFUNCTION("""COMPUTED_VALUE"""),3.0)</f>
        <v>3</v>
      </c>
      <c r="D351" s="46">
        <f>IFERROR(__xludf.DUMMYFUNCTION("""COMPUTED_VALUE"""),0.6666666666666666)</f>
        <v>0.6666666667</v>
      </c>
    </row>
    <row r="352">
      <c r="A352" s="43" t="str">
        <f>IFERROR(__xludf.DUMMYFUNCTION("""COMPUTED_VALUE"""),"ovo&amp;테리")</f>
        <v>ovo&amp;테리</v>
      </c>
      <c r="B352" s="43">
        <f>IFERROR(__xludf.DUMMYFUNCTION("""COMPUTED_VALUE"""),6.0)</f>
        <v>6</v>
      </c>
      <c r="C352" s="43">
        <f>IFERROR(__xludf.DUMMYFUNCTION("""COMPUTED_VALUE"""),4.0)</f>
        <v>4</v>
      </c>
      <c r="D352" s="46">
        <f>IFERROR(__xludf.DUMMYFUNCTION("""COMPUTED_VALUE"""),0.6)</f>
        <v>0.6</v>
      </c>
    </row>
    <row r="353">
      <c r="A353" s="43" t="str">
        <f>IFERROR(__xludf.DUMMYFUNCTION("""COMPUTED_VALUE"""),"노인&amp;오크")</f>
        <v>노인&amp;오크</v>
      </c>
      <c r="B353" s="43">
        <f>IFERROR(__xludf.DUMMYFUNCTION("""COMPUTED_VALUE"""),6.0)</f>
        <v>6</v>
      </c>
      <c r="C353" s="43">
        <f>IFERROR(__xludf.DUMMYFUNCTION("""COMPUTED_VALUE"""),4.0)</f>
        <v>4</v>
      </c>
      <c r="D353" s="46">
        <f>IFERROR(__xludf.DUMMYFUNCTION("""COMPUTED_VALUE"""),0.6)</f>
        <v>0.6</v>
      </c>
    </row>
    <row r="354">
      <c r="A354" s="43" t="str">
        <f>IFERROR(__xludf.DUMMYFUNCTION("""COMPUTED_VALUE"""),"미등록&amp;아이딘")</f>
        <v>미등록&amp;아이딘</v>
      </c>
      <c r="B354" s="43">
        <f>IFERROR(__xludf.DUMMYFUNCTION("""COMPUTED_VALUE"""),6.0)</f>
        <v>6</v>
      </c>
      <c r="C354" s="43">
        <f>IFERROR(__xludf.DUMMYFUNCTION("""COMPUTED_VALUE"""),4.0)</f>
        <v>4</v>
      </c>
      <c r="D354" s="46">
        <f>IFERROR(__xludf.DUMMYFUNCTION("""COMPUTED_VALUE"""),0.6)</f>
        <v>0.6</v>
      </c>
    </row>
    <row r="355">
      <c r="A355" s="43" t="str">
        <f>IFERROR(__xludf.DUMMYFUNCTION("""COMPUTED_VALUE"""),"봉구&amp;한메")</f>
        <v>봉구&amp;한메</v>
      </c>
      <c r="B355" s="43">
        <f>IFERROR(__xludf.DUMMYFUNCTION("""COMPUTED_VALUE"""),6.0)</f>
        <v>6</v>
      </c>
      <c r="C355" s="43">
        <f>IFERROR(__xludf.DUMMYFUNCTION("""COMPUTED_VALUE"""),4.0)</f>
        <v>4</v>
      </c>
      <c r="D355" s="46">
        <f>IFERROR(__xludf.DUMMYFUNCTION("""COMPUTED_VALUE"""),0.6)</f>
        <v>0.6</v>
      </c>
    </row>
    <row r="356">
      <c r="A356" s="43" t="str">
        <f>IFERROR(__xludf.DUMMYFUNCTION("""COMPUTED_VALUE"""),"시아&amp;테리")</f>
        <v>시아&amp;테리</v>
      </c>
      <c r="B356" s="43">
        <f>IFERROR(__xludf.DUMMYFUNCTION("""COMPUTED_VALUE"""),6.0)</f>
        <v>6</v>
      </c>
      <c r="C356" s="43">
        <f>IFERROR(__xludf.DUMMYFUNCTION("""COMPUTED_VALUE"""),4.0)</f>
        <v>4</v>
      </c>
      <c r="D356" s="46">
        <f>IFERROR(__xludf.DUMMYFUNCTION("""COMPUTED_VALUE"""),0.6)</f>
        <v>0.6</v>
      </c>
    </row>
    <row r="357">
      <c r="A357" s="43" t="str">
        <f>IFERROR(__xludf.DUMMYFUNCTION("""COMPUTED_VALUE"""),"요즘&amp;키키")</f>
        <v>요즘&amp;키키</v>
      </c>
      <c r="B357" s="43">
        <f>IFERROR(__xludf.DUMMYFUNCTION("""COMPUTED_VALUE"""),6.0)</f>
        <v>6</v>
      </c>
      <c r="C357" s="43">
        <f>IFERROR(__xludf.DUMMYFUNCTION("""COMPUTED_VALUE"""),4.0)</f>
        <v>4</v>
      </c>
      <c r="D357" s="46">
        <f>IFERROR(__xludf.DUMMYFUNCTION("""COMPUTED_VALUE"""),0.6)</f>
        <v>0.6</v>
      </c>
    </row>
    <row r="358">
      <c r="A358" s="43" t="str">
        <f>IFERROR(__xludf.DUMMYFUNCTION("""COMPUTED_VALUE"""),"봉구&amp;테리")</f>
        <v>봉구&amp;테리</v>
      </c>
      <c r="B358" s="43">
        <f>IFERROR(__xludf.DUMMYFUNCTION("""COMPUTED_VALUE"""),6.0)</f>
        <v>6</v>
      </c>
      <c r="C358" s="43">
        <f>IFERROR(__xludf.DUMMYFUNCTION("""COMPUTED_VALUE"""),5.0)</f>
        <v>5</v>
      </c>
      <c r="D358" s="46">
        <f>IFERROR(__xludf.DUMMYFUNCTION("""COMPUTED_VALUE"""),0.5454545454545454)</f>
        <v>0.5454545455</v>
      </c>
    </row>
    <row r="359">
      <c r="A359" s="43" t="str">
        <f>IFERROR(__xludf.DUMMYFUNCTION("""COMPUTED_VALUE"""),"재우&amp;팰리")</f>
        <v>재우&amp;팰리</v>
      </c>
      <c r="B359" s="43">
        <f>IFERROR(__xludf.DUMMYFUNCTION("""COMPUTED_VALUE"""),6.0)</f>
        <v>6</v>
      </c>
      <c r="C359" s="43">
        <f>IFERROR(__xludf.DUMMYFUNCTION("""COMPUTED_VALUE"""),5.0)</f>
        <v>5</v>
      </c>
      <c r="D359" s="46">
        <f>IFERROR(__xludf.DUMMYFUNCTION("""COMPUTED_VALUE"""),0.5454545454545454)</f>
        <v>0.5454545455</v>
      </c>
    </row>
    <row r="360">
      <c r="A360" s="43" t="str">
        <f>IFERROR(__xludf.DUMMYFUNCTION("""COMPUTED_VALUE"""),"기재&amp;필찌")</f>
        <v>기재&amp;필찌</v>
      </c>
      <c r="B360" s="43">
        <f>IFERROR(__xludf.DUMMYFUNCTION("""COMPUTED_VALUE"""),6.0)</f>
        <v>6</v>
      </c>
      <c r="C360" s="43">
        <f>IFERROR(__xludf.DUMMYFUNCTION("""COMPUTED_VALUE"""),6.0)</f>
        <v>6</v>
      </c>
      <c r="D360" s="46">
        <f>IFERROR(__xludf.DUMMYFUNCTION("""COMPUTED_VALUE"""),0.5)</f>
        <v>0.5</v>
      </c>
    </row>
    <row r="361">
      <c r="A361" s="43" t="str">
        <f>IFERROR(__xludf.DUMMYFUNCTION("""COMPUTED_VALUE"""),"기재&amp;학생")</f>
        <v>기재&amp;학생</v>
      </c>
      <c r="B361" s="43">
        <f>IFERROR(__xludf.DUMMYFUNCTION("""COMPUTED_VALUE"""),6.0)</f>
        <v>6</v>
      </c>
      <c r="C361" s="43">
        <f>IFERROR(__xludf.DUMMYFUNCTION("""COMPUTED_VALUE"""),6.0)</f>
        <v>6</v>
      </c>
      <c r="D361" s="46">
        <f>IFERROR(__xludf.DUMMYFUNCTION("""COMPUTED_VALUE"""),0.5)</f>
        <v>0.5</v>
      </c>
    </row>
    <row r="362">
      <c r="A362" s="43" t="str">
        <f>IFERROR(__xludf.DUMMYFUNCTION("""COMPUTED_VALUE"""),"박서&amp;신형만")</f>
        <v>박서&amp;신형만</v>
      </c>
      <c r="B362" s="43">
        <f>IFERROR(__xludf.DUMMYFUNCTION("""COMPUTED_VALUE"""),6.0)</f>
        <v>6</v>
      </c>
      <c r="C362" s="43">
        <f>IFERROR(__xludf.DUMMYFUNCTION("""COMPUTED_VALUE"""),6.0)</f>
        <v>6</v>
      </c>
      <c r="D362" s="46">
        <f>IFERROR(__xludf.DUMMYFUNCTION("""COMPUTED_VALUE"""),0.5)</f>
        <v>0.5</v>
      </c>
    </row>
    <row r="363">
      <c r="A363" s="43" t="str">
        <f>IFERROR(__xludf.DUMMYFUNCTION("""COMPUTED_VALUE"""),"전투쥐&amp;팰리")</f>
        <v>전투쥐&amp;팰리</v>
      </c>
      <c r="B363" s="43">
        <f>IFERROR(__xludf.DUMMYFUNCTION("""COMPUTED_VALUE"""),6.0)</f>
        <v>6</v>
      </c>
      <c r="C363" s="43">
        <f>IFERROR(__xludf.DUMMYFUNCTION("""COMPUTED_VALUE"""),6.0)</f>
        <v>6</v>
      </c>
      <c r="D363" s="46">
        <f>IFERROR(__xludf.DUMMYFUNCTION("""COMPUTED_VALUE"""),0.5)</f>
        <v>0.5</v>
      </c>
    </row>
    <row r="364">
      <c r="A364" s="43" t="str">
        <f>IFERROR(__xludf.DUMMYFUNCTION("""COMPUTED_VALUE"""),"노픽업&amp;원")</f>
        <v>노픽업&amp;원</v>
      </c>
      <c r="B364" s="43">
        <f>IFERROR(__xludf.DUMMYFUNCTION("""COMPUTED_VALUE"""),6.0)</f>
        <v>6</v>
      </c>
      <c r="C364" s="43">
        <f>IFERROR(__xludf.DUMMYFUNCTION("""COMPUTED_VALUE"""),7.0)</f>
        <v>7</v>
      </c>
      <c r="D364" s="46">
        <f>IFERROR(__xludf.DUMMYFUNCTION("""COMPUTED_VALUE"""),0.46153846153846156)</f>
        <v>0.4615384615</v>
      </c>
    </row>
    <row r="365">
      <c r="A365" s="43" t="str">
        <f>IFERROR(__xludf.DUMMYFUNCTION("""COMPUTED_VALUE"""),"미르진&amp;짱구")</f>
        <v>미르진&amp;짱구</v>
      </c>
      <c r="B365" s="43">
        <f>IFERROR(__xludf.DUMMYFUNCTION("""COMPUTED_VALUE"""),6.0)</f>
        <v>6</v>
      </c>
      <c r="C365" s="43">
        <f>IFERROR(__xludf.DUMMYFUNCTION("""COMPUTED_VALUE"""),7.0)</f>
        <v>7</v>
      </c>
      <c r="D365" s="46">
        <f>IFERROR(__xludf.DUMMYFUNCTION("""COMPUTED_VALUE"""),0.46153846153846156)</f>
        <v>0.4615384615</v>
      </c>
    </row>
    <row r="366">
      <c r="A366" s="43" t="str">
        <f>IFERROR(__xludf.DUMMYFUNCTION("""COMPUTED_VALUE"""),"악동&amp;한메")</f>
        <v>악동&amp;한메</v>
      </c>
      <c r="B366" s="43">
        <f>IFERROR(__xludf.DUMMYFUNCTION("""COMPUTED_VALUE"""),6.0)</f>
        <v>6</v>
      </c>
      <c r="C366" s="43">
        <f>IFERROR(__xludf.DUMMYFUNCTION("""COMPUTED_VALUE"""),7.0)</f>
        <v>7</v>
      </c>
      <c r="D366" s="46">
        <f>IFERROR(__xludf.DUMMYFUNCTION("""COMPUTED_VALUE"""),0.46153846153846156)</f>
        <v>0.4615384615</v>
      </c>
    </row>
    <row r="367">
      <c r="A367" s="43" t="str">
        <f>IFERROR(__xludf.DUMMYFUNCTION("""COMPUTED_VALUE"""),"규식&amp;유망")</f>
        <v>규식&amp;유망</v>
      </c>
      <c r="B367" s="43">
        <f>IFERROR(__xludf.DUMMYFUNCTION("""COMPUTED_VALUE"""),6.0)</f>
        <v>6</v>
      </c>
      <c r="C367" s="43">
        <f>IFERROR(__xludf.DUMMYFUNCTION("""COMPUTED_VALUE"""),9.0)</f>
        <v>9</v>
      </c>
      <c r="D367" s="46">
        <f>IFERROR(__xludf.DUMMYFUNCTION("""COMPUTED_VALUE"""),0.4)</f>
        <v>0.4</v>
      </c>
    </row>
    <row r="368">
      <c r="A368" s="43" t="str">
        <f>IFERROR(__xludf.DUMMYFUNCTION("""COMPUTED_VALUE"""),"깡패&amp;팰리")</f>
        <v>깡패&amp;팰리</v>
      </c>
      <c r="B368" s="43">
        <f>IFERROR(__xludf.DUMMYFUNCTION("""COMPUTED_VALUE"""),6.0)</f>
        <v>6</v>
      </c>
      <c r="C368" s="43">
        <f>IFERROR(__xludf.DUMMYFUNCTION("""COMPUTED_VALUE"""),9.0)</f>
        <v>9</v>
      </c>
      <c r="D368" s="46">
        <f>IFERROR(__xludf.DUMMYFUNCTION("""COMPUTED_VALUE"""),0.4)</f>
        <v>0.4</v>
      </c>
    </row>
    <row r="369">
      <c r="A369" s="43" t="str">
        <f>IFERROR(__xludf.DUMMYFUNCTION("""COMPUTED_VALUE"""),"넘버&amp;전투쥐")</f>
        <v>넘버&amp;전투쥐</v>
      </c>
      <c r="B369" s="43">
        <f>IFERROR(__xludf.DUMMYFUNCTION("""COMPUTED_VALUE"""),6.0)</f>
        <v>6</v>
      </c>
      <c r="C369" s="43">
        <f>IFERROR(__xludf.DUMMYFUNCTION("""COMPUTED_VALUE"""),9.0)</f>
        <v>9</v>
      </c>
      <c r="D369" s="46">
        <f>IFERROR(__xludf.DUMMYFUNCTION("""COMPUTED_VALUE"""),0.4)</f>
        <v>0.4</v>
      </c>
    </row>
    <row r="370">
      <c r="A370" s="43" t="str">
        <f>IFERROR(__xludf.DUMMYFUNCTION("""COMPUTED_VALUE"""),"노픽업&amp;솔")</f>
        <v>노픽업&amp;솔</v>
      </c>
      <c r="B370" s="43">
        <f>IFERROR(__xludf.DUMMYFUNCTION("""COMPUTED_VALUE"""),6.0)</f>
        <v>6</v>
      </c>
      <c r="C370" s="43">
        <f>IFERROR(__xludf.DUMMYFUNCTION("""COMPUTED_VALUE"""),9.0)</f>
        <v>9</v>
      </c>
      <c r="D370" s="46">
        <f>IFERROR(__xludf.DUMMYFUNCTION("""COMPUTED_VALUE"""),0.4)</f>
        <v>0.4</v>
      </c>
    </row>
    <row r="371">
      <c r="A371" s="43" t="str">
        <f>IFERROR(__xludf.DUMMYFUNCTION("""COMPUTED_VALUE"""),"신형만&amp;찹쌀")</f>
        <v>신형만&amp;찹쌀</v>
      </c>
      <c r="B371" s="43">
        <f>IFERROR(__xludf.DUMMYFUNCTION("""COMPUTED_VALUE"""),6.0)</f>
        <v>6</v>
      </c>
      <c r="C371" s="43">
        <f>IFERROR(__xludf.DUMMYFUNCTION("""COMPUTED_VALUE"""),9.0)</f>
        <v>9</v>
      </c>
      <c r="D371" s="46">
        <f>IFERROR(__xludf.DUMMYFUNCTION("""COMPUTED_VALUE"""),0.4)</f>
        <v>0.4</v>
      </c>
    </row>
    <row r="372">
      <c r="A372" s="43" t="str">
        <f>IFERROR(__xludf.DUMMYFUNCTION("""COMPUTED_VALUE"""),"ACDC&amp;봉구")</f>
        <v>ACDC&amp;봉구</v>
      </c>
      <c r="B372" s="43">
        <f>IFERROR(__xludf.DUMMYFUNCTION("""COMPUTED_VALUE"""),6.0)</f>
        <v>6</v>
      </c>
      <c r="C372" s="43">
        <f>IFERROR(__xludf.DUMMYFUNCTION("""COMPUTED_VALUE"""),10.0)</f>
        <v>10</v>
      </c>
      <c r="D372" s="46">
        <f>IFERROR(__xludf.DUMMYFUNCTION("""COMPUTED_VALUE"""),0.375)</f>
        <v>0.375</v>
      </c>
    </row>
    <row r="373">
      <c r="A373" s="43" t="str">
        <f>IFERROR(__xludf.DUMMYFUNCTION("""COMPUTED_VALUE"""),"노인&amp;오딘")</f>
        <v>노인&amp;오딘</v>
      </c>
      <c r="B373" s="43">
        <f>IFERROR(__xludf.DUMMYFUNCTION("""COMPUTED_VALUE"""),6.0)</f>
        <v>6</v>
      </c>
      <c r="C373" s="43">
        <f>IFERROR(__xludf.DUMMYFUNCTION("""COMPUTED_VALUE"""),10.0)</f>
        <v>10</v>
      </c>
      <c r="D373" s="46">
        <f>IFERROR(__xludf.DUMMYFUNCTION("""COMPUTED_VALUE"""),0.375)</f>
        <v>0.375</v>
      </c>
    </row>
    <row r="374">
      <c r="A374" s="43" t="str">
        <f>IFERROR(__xludf.DUMMYFUNCTION("""COMPUTED_VALUE"""),"랄&amp;미르진")</f>
        <v>랄&amp;미르진</v>
      </c>
      <c r="B374" s="43">
        <f>IFERROR(__xludf.DUMMYFUNCTION("""COMPUTED_VALUE"""),6.0)</f>
        <v>6</v>
      </c>
      <c r="C374" s="43">
        <f>IFERROR(__xludf.DUMMYFUNCTION("""COMPUTED_VALUE"""),10.0)</f>
        <v>10</v>
      </c>
      <c r="D374" s="46">
        <f>IFERROR(__xludf.DUMMYFUNCTION("""COMPUTED_VALUE"""),0.375)</f>
        <v>0.375</v>
      </c>
    </row>
    <row r="375">
      <c r="A375" s="43" t="str">
        <f>IFERROR(__xludf.DUMMYFUNCTION("""COMPUTED_VALUE"""),"깡패&amp;악동")</f>
        <v>깡패&amp;악동</v>
      </c>
      <c r="B375" s="43">
        <f>IFERROR(__xludf.DUMMYFUNCTION("""COMPUTED_VALUE"""),6.0)</f>
        <v>6</v>
      </c>
      <c r="C375" s="43">
        <f>IFERROR(__xludf.DUMMYFUNCTION("""COMPUTED_VALUE"""),11.0)</f>
        <v>11</v>
      </c>
      <c r="D375" s="46">
        <f>IFERROR(__xludf.DUMMYFUNCTION("""COMPUTED_VALUE"""),0.35294117647058826)</f>
        <v>0.3529411765</v>
      </c>
    </row>
    <row r="376">
      <c r="A376" s="43" t="str">
        <f>IFERROR(__xludf.DUMMYFUNCTION("""COMPUTED_VALUE"""),"오딘&amp;한메")</f>
        <v>오딘&amp;한메</v>
      </c>
      <c r="B376" s="43">
        <f>IFERROR(__xludf.DUMMYFUNCTION("""COMPUTED_VALUE"""),6.0)</f>
        <v>6</v>
      </c>
      <c r="C376" s="43">
        <f>IFERROR(__xludf.DUMMYFUNCTION("""COMPUTED_VALUE"""),14.0)</f>
        <v>14</v>
      </c>
      <c r="D376" s="46">
        <f>IFERROR(__xludf.DUMMYFUNCTION("""COMPUTED_VALUE"""),0.3)</f>
        <v>0.3</v>
      </c>
    </row>
    <row r="377">
      <c r="A377" s="43" t="str">
        <f>IFERROR(__xludf.DUMMYFUNCTION("""COMPUTED_VALUE"""),"요즘&amp;재우")</f>
        <v>요즘&amp;재우</v>
      </c>
      <c r="B377" s="43">
        <f>IFERROR(__xludf.DUMMYFUNCTION("""COMPUTED_VALUE"""),6.0)</f>
        <v>6</v>
      </c>
      <c r="C377" s="43">
        <f>IFERROR(__xludf.DUMMYFUNCTION("""COMPUTED_VALUE"""),14.0)</f>
        <v>14</v>
      </c>
      <c r="D377" s="46">
        <f>IFERROR(__xludf.DUMMYFUNCTION("""COMPUTED_VALUE"""),0.3)</f>
        <v>0.3</v>
      </c>
    </row>
    <row r="378">
      <c r="A378" s="43" t="str">
        <f>IFERROR(__xludf.DUMMYFUNCTION("""COMPUTED_VALUE"""),"구리다&amp;미등록")</f>
        <v>구리다&amp;미등록</v>
      </c>
      <c r="B378" s="43">
        <f>IFERROR(__xludf.DUMMYFUNCTION("""COMPUTED_VALUE"""),6.0)</f>
        <v>6</v>
      </c>
      <c r="C378" s="43">
        <f>IFERROR(__xludf.DUMMYFUNCTION("""COMPUTED_VALUE"""),18.0)</f>
        <v>18</v>
      </c>
      <c r="D378" s="46">
        <f>IFERROR(__xludf.DUMMYFUNCTION("""COMPUTED_VALUE"""),0.25)</f>
        <v>0.25</v>
      </c>
    </row>
    <row r="379">
      <c r="A379" s="43" t="str">
        <f>IFERROR(__xludf.DUMMYFUNCTION("""COMPUTED_VALUE"""),"ACDC&amp;아이딘")</f>
        <v>ACDC&amp;아이딘</v>
      </c>
      <c r="B379" s="43">
        <f>IFERROR(__xludf.DUMMYFUNCTION("""COMPUTED_VALUE"""),6.0)</f>
        <v>6</v>
      </c>
      <c r="C379" s="43">
        <f>IFERROR(__xludf.DUMMYFUNCTION("""COMPUTED_VALUE"""),19.0)</f>
        <v>19</v>
      </c>
      <c r="D379" s="46">
        <f>IFERROR(__xludf.DUMMYFUNCTION("""COMPUTED_VALUE"""),0.24)</f>
        <v>0.24</v>
      </c>
    </row>
    <row r="380">
      <c r="A380" s="43" t="str">
        <f>IFERROR(__xludf.DUMMYFUNCTION("""COMPUTED_VALUE"""),"규식&amp;민우")</f>
        <v>규식&amp;민우</v>
      </c>
      <c r="B380" s="43">
        <f>IFERROR(__xludf.DUMMYFUNCTION("""COMPUTED_VALUE"""),5.0)</f>
        <v>5</v>
      </c>
      <c r="C380" s="43">
        <f>IFERROR(__xludf.DUMMYFUNCTION("""COMPUTED_VALUE"""),0.0)</f>
        <v>0</v>
      </c>
      <c r="D380" s="46">
        <f>IFERROR(__xludf.DUMMYFUNCTION("""COMPUTED_VALUE"""),1.0)</f>
        <v>1</v>
      </c>
    </row>
    <row r="381">
      <c r="A381" s="43" t="str">
        <f>IFERROR(__xludf.DUMMYFUNCTION("""COMPUTED_VALUE"""),"ovo&amp;규식")</f>
        <v>ovo&amp;규식</v>
      </c>
      <c r="B381" s="43">
        <f>IFERROR(__xludf.DUMMYFUNCTION("""COMPUTED_VALUE"""),5.0)</f>
        <v>5</v>
      </c>
      <c r="C381" s="43">
        <f>IFERROR(__xludf.DUMMYFUNCTION("""COMPUTED_VALUE"""),1.0)</f>
        <v>1</v>
      </c>
      <c r="D381" s="46">
        <f>IFERROR(__xludf.DUMMYFUNCTION("""COMPUTED_VALUE"""),0.8333333333333334)</f>
        <v>0.8333333333</v>
      </c>
    </row>
    <row r="382">
      <c r="A382" s="43" t="str">
        <f>IFERROR(__xludf.DUMMYFUNCTION("""COMPUTED_VALUE"""),"ovo&amp;원")</f>
        <v>ovo&amp;원</v>
      </c>
      <c r="B382" s="43">
        <f>IFERROR(__xludf.DUMMYFUNCTION("""COMPUTED_VALUE"""),5.0)</f>
        <v>5</v>
      </c>
      <c r="C382" s="43">
        <f>IFERROR(__xludf.DUMMYFUNCTION("""COMPUTED_VALUE"""),1.0)</f>
        <v>1</v>
      </c>
      <c r="D382" s="46">
        <f>IFERROR(__xludf.DUMMYFUNCTION("""COMPUTED_VALUE"""),0.8333333333333334)</f>
        <v>0.8333333333</v>
      </c>
    </row>
    <row r="383">
      <c r="A383" s="43" t="str">
        <f>IFERROR(__xludf.DUMMYFUNCTION("""COMPUTED_VALUE"""),"구리다&amp;키키")</f>
        <v>구리다&amp;키키</v>
      </c>
      <c r="B383" s="43">
        <f>IFERROR(__xludf.DUMMYFUNCTION("""COMPUTED_VALUE"""),5.0)</f>
        <v>5</v>
      </c>
      <c r="C383" s="43">
        <f>IFERROR(__xludf.DUMMYFUNCTION("""COMPUTED_VALUE"""),2.0)</f>
        <v>2</v>
      </c>
      <c r="D383" s="46">
        <f>IFERROR(__xludf.DUMMYFUNCTION("""COMPUTED_VALUE"""),0.7142857142857143)</f>
        <v>0.7142857143</v>
      </c>
    </row>
    <row r="384">
      <c r="A384" s="43" t="str">
        <f>IFERROR(__xludf.DUMMYFUNCTION("""COMPUTED_VALUE"""),"윈드&amp;짱구")</f>
        <v>윈드&amp;짱구</v>
      </c>
      <c r="B384" s="43">
        <f>IFERROR(__xludf.DUMMYFUNCTION("""COMPUTED_VALUE"""),5.0)</f>
        <v>5</v>
      </c>
      <c r="C384" s="43">
        <f>IFERROR(__xludf.DUMMYFUNCTION("""COMPUTED_VALUE"""),2.0)</f>
        <v>2</v>
      </c>
      <c r="D384" s="46">
        <f>IFERROR(__xludf.DUMMYFUNCTION("""COMPUTED_VALUE"""),0.7142857142857143)</f>
        <v>0.7142857143</v>
      </c>
    </row>
    <row r="385">
      <c r="A385" s="43" t="str">
        <f>IFERROR(__xludf.DUMMYFUNCTION("""COMPUTED_VALUE"""),"단수&amp;원")</f>
        <v>단수&amp;원</v>
      </c>
      <c r="B385" s="43">
        <f>IFERROR(__xludf.DUMMYFUNCTION("""COMPUTED_VALUE"""),5.0)</f>
        <v>5</v>
      </c>
      <c r="C385" s="43">
        <f>IFERROR(__xludf.DUMMYFUNCTION("""COMPUTED_VALUE"""),3.0)</f>
        <v>3</v>
      </c>
      <c r="D385" s="46">
        <f>IFERROR(__xludf.DUMMYFUNCTION("""COMPUTED_VALUE"""),0.625)</f>
        <v>0.625</v>
      </c>
    </row>
    <row r="386">
      <c r="A386" s="43" t="str">
        <f>IFERROR(__xludf.DUMMYFUNCTION("""COMPUTED_VALUE"""),"따&amp;원")</f>
        <v>따&amp;원</v>
      </c>
      <c r="B386" s="43">
        <f>IFERROR(__xludf.DUMMYFUNCTION("""COMPUTED_VALUE"""),5.0)</f>
        <v>5</v>
      </c>
      <c r="C386" s="43">
        <f>IFERROR(__xludf.DUMMYFUNCTION("""COMPUTED_VALUE"""),3.0)</f>
        <v>3</v>
      </c>
      <c r="D386" s="46">
        <f>IFERROR(__xludf.DUMMYFUNCTION("""COMPUTED_VALUE"""),0.625)</f>
        <v>0.625</v>
      </c>
    </row>
    <row r="387">
      <c r="A387" s="43" t="str">
        <f>IFERROR(__xludf.DUMMYFUNCTION("""COMPUTED_VALUE"""),"짱구&amp;튜브")</f>
        <v>짱구&amp;튜브</v>
      </c>
      <c r="B387" s="43">
        <f>IFERROR(__xludf.DUMMYFUNCTION("""COMPUTED_VALUE"""),5.0)</f>
        <v>5</v>
      </c>
      <c r="C387" s="43">
        <f>IFERROR(__xludf.DUMMYFUNCTION("""COMPUTED_VALUE"""),3.0)</f>
        <v>3</v>
      </c>
      <c r="D387" s="46">
        <f>IFERROR(__xludf.DUMMYFUNCTION("""COMPUTED_VALUE"""),0.625)</f>
        <v>0.625</v>
      </c>
    </row>
    <row r="388">
      <c r="A388" s="43" t="str">
        <f>IFERROR(__xludf.DUMMYFUNCTION("""COMPUTED_VALUE"""),"참치&amp;학생")</f>
        <v>참치&amp;학생</v>
      </c>
      <c r="B388" s="43">
        <f>IFERROR(__xludf.DUMMYFUNCTION("""COMPUTED_VALUE"""),5.0)</f>
        <v>5</v>
      </c>
      <c r="C388" s="43">
        <f>IFERROR(__xludf.DUMMYFUNCTION("""COMPUTED_VALUE"""),3.0)</f>
        <v>3</v>
      </c>
      <c r="D388" s="46">
        <f>IFERROR(__xludf.DUMMYFUNCTION("""COMPUTED_VALUE"""),0.625)</f>
        <v>0.625</v>
      </c>
    </row>
    <row r="389">
      <c r="A389" s="43" t="str">
        <f>IFERROR(__xludf.DUMMYFUNCTION("""COMPUTED_VALUE"""),"랄&amp;엘더")</f>
        <v>랄&amp;엘더</v>
      </c>
      <c r="B389" s="43">
        <f>IFERROR(__xludf.DUMMYFUNCTION("""COMPUTED_VALUE"""),5.0)</f>
        <v>5</v>
      </c>
      <c r="C389" s="43">
        <f>IFERROR(__xludf.DUMMYFUNCTION("""COMPUTED_VALUE"""),4.0)</f>
        <v>4</v>
      </c>
      <c r="D389" s="46">
        <f>IFERROR(__xludf.DUMMYFUNCTION("""COMPUTED_VALUE"""),0.5555555555555556)</f>
        <v>0.5555555556</v>
      </c>
    </row>
    <row r="390">
      <c r="A390" s="43" t="str">
        <f>IFERROR(__xludf.DUMMYFUNCTION("""COMPUTED_VALUE"""),"미르진&amp;엘더")</f>
        <v>미르진&amp;엘더</v>
      </c>
      <c r="B390" s="43">
        <f>IFERROR(__xludf.DUMMYFUNCTION("""COMPUTED_VALUE"""),5.0)</f>
        <v>5</v>
      </c>
      <c r="C390" s="43">
        <f>IFERROR(__xludf.DUMMYFUNCTION("""COMPUTED_VALUE"""),4.0)</f>
        <v>4</v>
      </c>
      <c r="D390" s="46">
        <f>IFERROR(__xludf.DUMMYFUNCTION("""COMPUTED_VALUE"""),0.5555555555555556)</f>
        <v>0.5555555556</v>
      </c>
    </row>
    <row r="391">
      <c r="A391" s="43" t="str">
        <f>IFERROR(__xludf.DUMMYFUNCTION("""COMPUTED_VALUE"""),"민우&amp;조드")</f>
        <v>민우&amp;조드</v>
      </c>
      <c r="B391" s="43">
        <f>IFERROR(__xludf.DUMMYFUNCTION("""COMPUTED_VALUE"""),5.0)</f>
        <v>5</v>
      </c>
      <c r="C391" s="43">
        <f>IFERROR(__xludf.DUMMYFUNCTION("""COMPUTED_VALUE"""),4.0)</f>
        <v>4</v>
      </c>
      <c r="D391" s="46">
        <f>IFERROR(__xludf.DUMMYFUNCTION("""COMPUTED_VALUE"""),0.5555555555555556)</f>
        <v>0.5555555556</v>
      </c>
    </row>
    <row r="392">
      <c r="A392" s="43" t="str">
        <f>IFERROR(__xludf.DUMMYFUNCTION("""COMPUTED_VALUE"""),"깡패&amp;만두")</f>
        <v>깡패&amp;만두</v>
      </c>
      <c r="B392" s="43">
        <f>IFERROR(__xludf.DUMMYFUNCTION("""COMPUTED_VALUE"""),5.0)</f>
        <v>5</v>
      </c>
      <c r="C392" s="43">
        <f>IFERROR(__xludf.DUMMYFUNCTION("""COMPUTED_VALUE"""),5.0)</f>
        <v>5</v>
      </c>
      <c r="D392" s="46">
        <f>IFERROR(__xludf.DUMMYFUNCTION("""COMPUTED_VALUE"""),0.5)</f>
        <v>0.5</v>
      </c>
    </row>
    <row r="393">
      <c r="A393" s="43" t="str">
        <f>IFERROR(__xludf.DUMMYFUNCTION("""COMPUTED_VALUE"""),"깡패&amp;봉구")</f>
        <v>깡패&amp;봉구</v>
      </c>
      <c r="B393" s="43">
        <f>IFERROR(__xludf.DUMMYFUNCTION("""COMPUTED_VALUE"""),5.0)</f>
        <v>5</v>
      </c>
      <c r="C393" s="43">
        <f>IFERROR(__xludf.DUMMYFUNCTION("""COMPUTED_VALUE"""),5.0)</f>
        <v>5</v>
      </c>
      <c r="D393" s="46">
        <f>IFERROR(__xludf.DUMMYFUNCTION("""COMPUTED_VALUE"""),0.5)</f>
        <v>0.5</v>
      </c>
    </row>
    <row r="394">
      <c r="A394" s="43" t="str">
        <f>IFERROR(__xludf.DUMMYFUNCTION("""COMPUTED_VALUE"""),"노픽업&amp;필찌")</f>
        <v>노픽업&amp;필찌</v>
      </c>
      <c r="B394" s="43">
        <f>IFERROR(__xludf.DUMMYFUNCTION("""COMPUTED_VALUE"""),5.0)</f>
        <v>5</v>
      </c>
      <c r="C394" s="43">
        <f>IFERROR(__xludf.DUMMYFUNCTION("""COMPUTED_VALUE"""),5.0)</f>
        <v>5</v>
      </c>
      <c r="D394" s="46">
        <f>IFERROR(__xludf.DUMMYFUNCTION("""COMPUTED_VALUE"""),0.5)</f>
        <v>0.5</v>
      </c>
    </row>
    <row r="395">
      <c r="A395" s="43" t="str">
        <f>IFERROR(__xludf.DUMMYFUNCTION("""COMPUTED_VALUE"""),"박서&amp;한메")</f>
        <v>박서&amp;한메</v>
      </c>
      <c r="B395" s="43">
        <f>IFERROR(__xludf.DUMMYFUNCTION("""COMPUTED_VALUE"""),5.0)</f>
        <v>5</v>
      </c>
      <c r="C395" s="43">
        <f>IFERROR(__xludf.DUMMYFUNCTION("""COMPUTED_VALUE"""),5.0)</f>
        <v>5</v>
      </c>
      <c r="D395" s="46">
        <f>IFERROR(__xludf.DUMMYFUNCTION("""COMPUTED_VALUE"""),0.5)</f>
        <v>0.5</v>
      </c>
    </row>
    <row r="396">
      <c r="A396" s="43" t="str">
        <f>IFERROR(__xludf.DUMMYFUNCTION("""COMPUTED_VALUE"""),"아이딘&amp;엘더")</f>
        <v>아이딘&amp;엘더</v>
      </c>
      <c r="B396" s="43">
        <f>IFERROR(__xludf.DUMMYFUNCTION("""COMPUTED_VALUE"""),5.0)</f>
        <v>5</v>
      </c>
      <c r="C396" s="43">
        <f>IFERROR(__xludf.DUMMYFUNCTION("""COMPUTED_VALUE"""),5.0)</f>
        <v>5</v>
      </c>
      <c r="D396" s="46">
        <f>IFERROR(__xludf.DUMMYFUNCTION("""COMPUTED_VALUE"""),0.5)</f>
        <v>0.5</v>
      </c>
    </row>
    <row r="397">
      <c r="A397" s="43" t="str">
        <f>IFERROR(__xludf.DUMMYFUNCTION("""COMPUTED_VALUE"""),"조드&amp;태식")</f>
        <v>조드&amp;태식</v>
      </c>
      <c r="B397" s="43">
        <f>IFERROR(__xludf.DUMMYFUNCTION("""COMPUTED_VALUE"""),5.0)</f>
        <v>5</v>
      </c>
      <c r="C397" s="43">
        <f>IFERROR(__xludf.DUMMYFUNCTION("""COMPUTED_VALUE"""),5.0)</f>
        <v>5</v>
      </c>
      <c r="D397" s="46">
        <f>IFERROR(__xludf.DUMMYFUNCTION("""COMPUTED_VALUE"""),0.5)</f>
        <v>0.5</v>
      </c>
    </row>
    <row r="398">
      <c r="A398" s="43" t="str">
        <f>IFERROR(__xludf.DUMMYFUNCTION("""COMPUTED_VALUE"""),"ACDC&amp;시아")</f>
        <v>ACDC&amp;시아</v>
      </c>
      <c r="B398" s="43">
        <f>IFERROR(__xludf.DUMMYFUNCTION("""COMPUTED_VALUE"""),5.0)</f>
        <v>5</v>
      </c>
      <c r="C398" s="43">
        <f>IFERROR(__xludf.DUMMYFUNCTION("""COMPUTED_VALUE"""),6.0)</f>
        <v>6</v>
      </c>
      <c r="D398" s="46">
        <f>IFERROR(__xludf.DUMMYFUNCTION("""COMPUTED_VALUE"""),0.45454545454545453)</f>
        <v>0.4545454545</v>
      </c>
    </row>
    <row r="399">
      <c r="A399" s="43" t="str">
        <f>IFERROR(__xludf.DUMMYFUNCTION("""COMPUTED_VALUE"""),"윈드&amp;키키")</f>
        <v>윈드&amp;키키</v>
      </c>
      <c r="B399" s="43">
        <f>IFERROR(__xludf.DUMMYFUNCTION("""COMPUTED_VALUE"""),5.0)</f>
        <v>5</v>
      </c>
      <c r="C399" s="43">
        <f>IFERROR(__xludf.DUMMYFUNCTION("""COMPUTED_VALUE"""),6.0)</f>
        <v>6</v>
      </c>
      <c r="D399" s="46">
        <f>IFERROR(__xludf.DUMMYFUNCTION("""COMPUTED_VALUE"""),0.45454545454545453)</f>
        <v>0.4545454545</v>
      </c>
    </row>
    <row r="400">
      <c r="A400" s="43" t="str">
        <f>IFERROR(__xludf.DUMMYFUNCTION("""COMPUTED_VALUE"""),"참치&amp;키키")</f>
        <v>참치&amp;키키</v>
      </c>
      <c r="B400" s="43">
        <f>IFERROR(__xludf.DUMMYFUNCTION("""COMPUTED_VALUE"""),5.0)</f>
        <v>5</v>
      </c>
      <c r="C400" s="43">
        <f>IFERROR(__xludf.DUMMYFUNCTION("""COMPUTED_VALUE"""),6.0)</f>
        <v>6</v>
      </c>
      <c r="D400" s="46">
        <f>IFERROR(__xludf.DUMMYFUNCTION("""COMPUTED_VALUE"""),0.45454545454545453)</f>
        <v>0.4545454545</v>
      </c>
    </row>
    <row r="401">
      <c r="A401" s="43" t="str">
        <f>IFERROR(__xludf.DUMMYFUNCTION("""COMPUTED_VALUE"""),"GYUL&amp;넘버")</f>
        <v>GYUL&amp;넘버</v>
      </c>
      <c r="B401" s="43">
        <f>IFERROR(__xludf.DUMMYFUNCTION("""COMPUTED_VALUE"""),5.0)</f>
        <v>5</v>
      </c>
      <c r="C401" s="43">
        <f>IFERROR(__xludf.DUMMYFUNCTION("""COMPUTED_VALUE"""),7.0)</f>
        <v>7</v>
      </c>
      <c r="D401" s="46">
        <f>IFERROR(__xludf.DUMMYFUNCTION("""COMPUTED_VALUE"""),0.4166666666666667)</f>
        <v>0.4166666667</v>
      </c>
    </row>
    <row r="402">
      <c r="A402" s="43" t="str">
        <f>IFERROR(__xludf.DUMMYFUNCTION("""COMPUTED_VALUE"""),"GYUL&amp;짱구")</f>
        <v>GYUL&amp;짱구</v>
      </c>
      <c r="B402" s="43">
        <f>IFERROR(__xludf.DUMMYFUNCTION("""COMPUTED_VALUE"""),5.0)</f>
        <v>5</v>
      </c>
      <c r="C402" s="43">
        <f>IFERROR(__xludf.DUMMYFUNCTION("""COMPUTED_VALUE"""),7.0)</f>
        <v>7</v>
      </c>
      <c r="D402" s="46">
        <f>IFERROR(__xludf.DUMMYFUNCTION("""COMPUTED_VALUE"""),0.4166666666666667)</f>
        <v>0.4166666667</v>
      </c>
    </row>
    <row r="403">
      <c r="A403" s="43" t="str">
        <f>IFERROR(__xludf.DUMMYFUNCTION("""COMPUTED_VALUE"""),"신형만&amp;웅")</f>
        <v>신형만&amp;웅</v>
      </c>
      <c r="B403" s="43">
        <f>IFERROR(__xludf.DUMMYFUNCTION("""COMPUTED_VALUE"""),5.0)</f>
        <v>5</v>
      </c>
      <c r="C403" s="43">
        <f>IFERROR(__xludf.DUMMYFUNCTION("""COMPUTED_VALUE"""),7.0)</f>
        <v>7</v>
      </c>
      <c r="D403" s="46">
        <f>IFERROR(__xludf.DUMMYFUNCTION("""COMPUTED_VALUE"""),0.4166666666666667)</f>
        <v>0.4166666667</v>
      </c>
    </row>
    <row r="404">
      <c r="A404" s="43" t="str">
        <f>IFERROR(__xludf.DUMMYFUNCTION("""COMPUTED_VALUE"""),"오크&amp;재우")</f>
        <v>오크&amp;재우</v>
      </c>
      <c r="B404" s="43">
        <f>IFERROR(__xludf.DUMMYFUNCTION("""COMPUTED_VALUE"""),5.0)</f>
        <v>5</v>
      </c>
      <c r="C404" s="43">
        <f>IFERROR(__xludf.DUMMYFUNCTION("""COMPUTED_VALUE"""),7.0)</f>
        <v>7</v>
      </c>
      <c r="D404" s="46">
        <f>IFERROR(__xludf.DUMMYFUNCTION("""COMPUTED_VALUE"""),0.4166666666666667)</f>
        <v>0.4166666667</v>
      </c>
    </row>
    <row r="405">
      <c r="A405" s="43" t="str">
        <f>IFERROR(__xludf.DUMMYFUNCTION("""COMPUTED_VALUE"""),"넘버&amp;오딘")</f>
        <v>넘버&amp;오딘</v>
      </c>
      <c r="B405" s="43">
        <f>IFERROR(__xludf.DUMMYFUNCTION("""COMPUTED_VALUE"""),5.0)</f>
        <v>5</v>
      </c>
      <c r="C405" s="43">
        <f>IFERROR(__xludf.DUMMYFUNCTION("""COMPUTED_VALUE"""),8.0)</f>
        <v>8</v>
      </c>
      <c r="D405" s="46">
        <f>IFERROR(__xludf.DUMMYFUNCTION("""COMPUTED_VALUE"""),0.38461538461538464)</f>
        <v>0.3846153846</v>
      </c>
    </row>
    <row r="406">
      <c r="A406" s="43" t="str">
        <f>IFERROR(__xludf.DUMMYFUNCTION("""COMPUTED_VALUE"""),"미등록&amp;조드")</f>
        <v>미등록&amp;조드</v>
      </c>
      <c r="B406" s="43">
        <f>IFERROR(__xludf.DUMMYFUNCTION("""COMPUTED_VALUE"""),5.0)</f>
        <v>5</v>
      </c>
      <c r="C406" s="43">
        <f>IFERROR(__xludf.DUMMYFUNCTION("""COMPUTED_VALUE"""),8.0)</f>
        <v>8</v>
      </c>
      <c r="D406" s="46">
        <f>IFERROR(__xludf.DUMMYFUNCTION("""COMPUTED_VALUE"""),0.38461538461538464)</f>
        <v>0.3846153846</v>
      </c>
    </row>
    <row r="407">
      <c r="A407" s="43" t="str">
        <f>IFERROR(__xludf.DUMMYFUNCTION("""COMPUTED_VALUE"""),"밍구&amp;신형만")</f>
        <v>밍구&amp;신형만</v>
      </c>
      <c r="B407" s="43">
        <f>IFERROR(__xludf.DUMMYFUNCTION("""COMPUTED_VALUE"""),5.0)</f>
        <v>5</v>
      </c>
      <c r="C407" s="43">
        <f>IFERROR(__xludf.DUMMYFUNCTION("""COMPUTED_VALUE"""),8.0)</f>
        <v>8</v>
      </c>
      <c r="D407" s="46">
        <f>IFERROR(__xludf.DUMMYFUNCTION("""COMPUTED_VALUE"""),0.38461538461538464)</f>
        <v>0.3846153846</v>
      </c>
    </row>
    <row r="408">
      <c r="A408" s="43" t="str">
        <f>IFERROR(__xludf.DUMMYFUNCTION("""COMPUTED_VALUE"""),"학생&amp;한메")</f>
        <v>학생&amp;한메</v>
      </c>
      <c r="B408" s="43">
        <f>IFERROR(__xludf.DUMMYFUNCTION("""COMPUTED_VALUE"""),5.0)</f>
        <v>5</v>
      </c>
      <c r="C408" s="43">
        <f>IFERROR(__xludf.DUMMYFUNCTION("""COMPUTED_VALUE"""),8.0)</f>
        <v>8</v>
      </c>
      <c r="D408" s="46">
        <f>IFERROR(__xludf.DUMMYFUNCTION("""COMPUTED_VALUE"""),0.38461538461538464)</f>
        <v>0.3846153846</v>
      </c>
    </row>
    <row r="409">
      <c r="A409" s="43" t="str">
        <f>IFERROR(__xludf.DUMMYFUNCTION("""COMPUTED_VALUE"""),"깡패&amp;새출발")</f>
        <v>깡패&amp;새출발</v>
      </c>
      <c r="B409" s="43">
        <f>IFERROR(__xludf.DUMMYFUNCTION("""COMPUTED_VALUE"""),5.0)</f>
        <v>5</v>
      </c>
      <c r="C409" s="43">
        <f>IFERROR(__xludf.DUMMYFUNCTION("""COMPUTED_VALUE"""),9.0)</f>
        <v>9</v>
      </c>
      <c r="D409" s="46">
        <f>IFERROR(__xludf.DUMMYFUNCTION("""COMPUTED_VALUE"""),0.35714285714285715)</f>
        <v>0.3571428571</v>
      </c>
    </row>
    <row r="410">
      <c r="A410" s="43" t="str">
        <f>IFERROR(__xludf.DUMMYFUNCTION("""COMPUTED_VALUE"""),"밍구&amp;재명")</f>
        <v>밍구&amp;재명</v>
      </c>
      <c r="B410" s="43">
        <f>IFERROR(__xludf.DUMMYFUNCTION("""COMPUTED_VALUE"""),5.0)</f>
        <v>5</v>
      </c>
      <c r="C410" s="43">
        <f>IFERROR(__xludf.DUMMYFUNCTION("""COMPUTED_VALUE"""),9.0)</f>
        <v>9</v>
      </c>
      <c r="D410" s="46">
        <f>IFERROR(__xludf.DUMMYFUNCTION("""COMPUTED_VALUE"""),0.35714285714285715)</f>
        <v>0.3571428571</v>
      </c>
    </row>
    <row r="411">
      <c r="A411" s="43" t="str">
        <f>IFERROR(__xludf.DUMMYFUNCTION("""COMPUTED_VALUE"""),"따&amp;참치")</f>
        <v>따&amp;참치</v>
      </c>
      <c r="B411" s="43">
        <f>IFERROR(__xludf.DUMMYFUNCTION("""COMPUTED_VALUE"""),5.0)</f>
        <v>5</v>
      </c>
      <c r="C411" s="43">
        <f>IFERROR(__xludf.DUMMYFUNCTION("""COMPUTED_VALUE"""),10.0)</f>
        <v>10</v>
      </c>
      <c r="D411" s="46">
        <f>IFERROR(__xludf.DUMMYFUNCTION("""COMPUTED_VALUE"""),0.3333333333333333)</f>
        <v>0.3333333333</v>
      </c>
    </row>
    <row r="412">
      <c r="A412" s="43" t="str">
        <f>IFERROR(__xludf.DUMMYFUNCTION("""COMPUTED_VALUE"""),"봉구&amp;신형만")</f>
        <v>봉구&amp;신형만</v>
      </c>
      <c r="B412" s="43">
        <f>IFERROR(__xludf.DUMMYFUNCTION("""COMPUTED_VALUE"""),5.0)</f>
        <v>5</v>
      </c>
      <c r="C412" s="43">
        <f>IFERROR(__xludf.DUMMYFUNCTION("""COMPUTED_VALUE"""),10.0)</f>
        <v>10</v>
      </c>
      <c r="D412" s="46">
        <f>IFERROR(__xludf.DUMMYFUNCTION("""COMPUTED_VALUE"""),0.3333333333333333)</f>
        <v>0.3333333333</v>
      </c>
    </row>
    <row r="413">
      <c r="A413" s="43" t="str">
        <f>IFERROR(__xludf.DUMMYFUNCTION("""COMPUTED_VALUE"""),"ovo&amp;신형만")</f>
        <v>ovo&amp;신형만</v>
      </c>
      <c r="B413" s="43">
        <f>IFERROR(__xludf.DUMMYFUNCTION("""COMPUTED_VALUE"""),5.0)</f>
        <v>5</v>
      </c>
      <c r="C413" s="43">
        <f>IFERROR(__xludf.DUMMYFUNCTION("""COMPUTED_VALUE"""),11.0)</f>
        <v>11</v>
      </c>
      <c r="D413" s="46">
        <f>IFERROR(__xludf.DUMMYFUNCTION("""COMPUTED_VALUE"""),0.3125)</f>
        <v>0.3125</v>
      </c>
    </row>
    <row r="414">
      <c r="A414" s="43" t="str">
        <f>IFERROR(__xludf.DUMMYFUNCTION("""COMPUTED_VALUE"""),"짱구&amp;필찌")</f>
        <v>짱구&amp;필찌</v>
      </c>
      <c r="B414" s="43">
        <f>IFERROR(__xludf.DUMMYFUNCTION("""COMPUTED_VALUE"""),5.0)</f>
        <v>5</v>
      </c>
      <c r="C414" s="43">
        <f>IFERROR(__xludf.DUMMYFUNCTION("""COMPUTED_VALUE"""),11.0)</f>
        <v>11</v>
      </c>
      <c r="D414" s="46">
        <f>IFERROR(__xludf.DUMMYFUNCTION("""COMPUTED_VALUE"""),0.3125)</f>
        <v>0.3125</v>
      </c>
    </row>
    <row r="415">
      <c r="A415" s="43" t="str">
        <f>IFERROR(__xludf.DUMMYFUNCTION("""COMPUTED_VALUE"""),"오딘&amp;필찌")</f>
        <v>오딘&amp;필찌</v>
      </c>
      <c r="B415" s="43">
        <f>IFERROR(__xludf.DUMMYFUNCTION("""COMPUTED_VALUE"""),5.0)</f>
        <v>5</v>
      </c>
      <c r="C415" s="43">
        <f>IFERROR(__xludf.DUMMYFUNCTION("""COMPUTED_VALUE"""),13.0)</f>
        <v>13</v>
      </c>
      <c r="D415" s="46">
        <f>IFERROR(__xludf.DUMMYFUNCTION("""COMPUTED_VALUE"""),0.2777777777777778)</f>
        <v>0.2777777778</v>
      </c>
    </row>
    <row r="416">
      <c r="A416" s="43" t="str">
        <f>IFERROR(__xludf.DUMMYFUNCTION("""COMPUTED_VALUE"""),"간달프&amp;구리다")</f>
        <v>간달프&amp;구리다</v>
      </c>
      <c r="B416" s="43">
        <f>IFERROR(__xludf.DUMMYFUNCTION("""COMPUTED_VALUE"""),4.0)</f>
        <v>4</v>
      </c>
      <c r="C416" s="43">
        <f>IFERROR(__xludf.DUMMYFUNCTION("""COMPUTED_VALUE"""),0.0)</f>
        <v>0</v>
      </c>
      <c r="D416" s="46">
        <f>IFERROR(__xludf.DUMMYFUNCTION("""COMPUTED_VALUE"""),1.0)</f>
        <v>1</v>
      </c>
    </row>
    <row r="417">
      <c r="A417" s="43" t="str">
        <f>IFERROR(__xludf.DUMMYFUNCTION("""COMPUTED_VALUE"""),"간달프&amp;깡패")</f>
        <v>간달프&amp;깡패</v>
      </c>
      <c r="B417" s="43">
        <f>IFERROR(__xludf.DUMMYFUNCTION("""COMPUTED_VALUE"""),4.0)</f>
        <v>4</v>
      </c>
      <c r="C417" s="43">
        <f>IFERROR(__xludf.DUMMYFUNCTION("""COMPUTED_VALUE"""),0.0)</f>
        <v>0</v>
      </c>
      <c r="D417" s="46">
        <f>IFERROR(__xludf.DUMMYFUNCTION("""COMPUTED_VALUE"""),1.0)</f>
        <v>1</v>
      </c>
    </row>
    <row r="418">
      <c r="A418" s="43" t="str">
        <f>IFERROR(__xludf.DUMMYFUNCTION("""COMPUTED_VALUE"""),"노인&amp;튜브")</f>
        <v>노인&amp;튜브</v>
      </c>
      <c r="B418" s="43">
        <f>IFERROR(__xludf.DUMMYFUNCTION("""COMPUTED_VALUE"""),4.0)</f>
        <v>4</v>
      </c>
      <c r="C418" s="43">
        <f>IFERROR(__xludf.DUMMYFUNCTION("""COMPUTED_VALUE"""),0.0)</f>
        <v>0</v>
      </c>
      <c r="D418" s="46">
        <f>IFERROR(__xludf.DUMMYFUNCTION("""COMPUTED_VALUE"""),1.0)</f>
        <v>1</v>
      </c>
    </row>
    <row r="419">
      <c r="A419" s="43" t="str">
        <f>IFERROR(__xludf.DUMMYFUNCTION("""COMPUTED_VALUE"""),"규식&amp;따")</f>
        <v>규식&amp;따</v>
      </c>
      <c r="B419" s="43">
        <f>IFERROR(__xludf.DUMMYFUNCTION("""COMPUTED_VALUE"""),4.0)</f>
        <v>4</v>
      </c>
      <c r="C419" s="43">
        <f>IFERROR(__xludf.DUMMYFUNCTION("""COMPUTED_VALUE"""),1.0)</f>
        <v>1</v>
      </c>
      <c r="D419" s="46">
        <f>IFERROR(__xludf.DUMMYFUNCTION("""COMPUTED_VALUE"""),0.8)</f>
        <v>0.8</v>
      </c>
    </row>
    <row r="420">
      <c r="A420" s="43" t="str">
        <f>IFERROR(__xludf.DUMMYFUNCTION("""COMPUTED_VALUE"""),"깡패&amp;박서")</f>
        <v>깡패&amp;박서</v>
      </c>
      <c r="B420" s="43">
        <f>IFERROR(__xludf.DUMMYFUNCTION("""COMPUTED_VALUE"""),4.0)</f>
        <v>4</v>
      </c>
      <c r="C420" s="43">
        <f>IFERROR(__xludf.DUMMYFUNCTION("""COMPUTED_VALUE"""),1.0)</f>
        <v>1</v>
      </c>
      <c r="D420" s="46">
        <f>IFERROR(__xludf.DUMMYFUNCTION("""COMPUTED_VALUE"""),0.8)</f>
        <v>0.8</v>
      </c>
    </row>
    <row r="421">
      <c r="A421" s="43" t="str">
        <f>IFERROR(__xludf.DUMMYFUNCTION("""COMPUTED_VALUE"""),"민우&amp;키키")</f>
        <v>민우&amp;키키</v>
      </c>
      <c r="B421" s="43">
        <f>IFERROR(__xludf.DUMMYFUNCTION("""COMPUTED_VALUE"""),4.0)</f>
        <v>4</v>
      </c>
      <c r="C421" s="43">
        <f>IFERROR(__xludf.DUMMYFUNCTION("""COMPUTED_VALUE"""),1.0)</f>
        <v>1</v>
      </c>
      <c r="D421" s="46">
        <f>IFERROR(__xludf.DUMMYFUNCTION("""COMPUTED_VALUE"""),0.8)</f>
        <v>0.8</v>
      </c>
    </row>
    <row r="422">
      <c r="A422" s="43" t="str">
        <f>IFERROR(__xludf.DUMMYFUNCTION("""COMPUTED_VALUE"""),"신형만&amp;재규어")</f>
        <v>신형만&amp;재규어</v>
      </c>
      <c r="B422" s="43">
        <f>IFERROR(__xludf.DUMMYFUNCTION("""COMPUTED_VALUE"""),4.0)</f>
        <v>4</v>
      </c>
      <c r="C422" s="43">
        <f>IFERROR(__xludf.DUMMYFUNCTION("""COMPUTED_VALUE"""),1.0)</f>
        <v>1</v>
      </c>
      <c r="D422" s="46">
        <f>IFERROR(__xludf.DUMMYFUNCTION("""COMPUTED_VALUE"""),0.8)</f>
        <v>0.8</v>
      </c>
    </row>
    <row r="423">
      <c r="A423" s="43" t="str">
        <f>IFERROR(__xludf.DUMMYFUNCTION("""COMPUTED_VALUE"""),"오크&amp;윙크")</f>
        <v>오크&amp;윙크</v>
      </c>
      <c r="B423" s="43">
        <f>IFERROR(__xludf.DUMMYFUNCTION("""COMPUTED_VALUE"""),4.0)</f>
        <v>4</v>
      </c>
      <c r="C423" s="43">
        <f>IFERROR(__xludf.DUMMYFUNCTION("""COMPUTED_VALUE"""),1.0)</f>
        <v>1</v>
      </c>
      <c r="D423" s="46">
        <f>IFERROR(__xludf.DUMMYFUNCTION("""COMPUTED_VALUE"""),0.8)</f>
        <v>0.8</v>
      </c>
    </row>
    <row r="424">
      <c r="A424" s="43" t="str">
        <f>IFERROR(__xludf.DUMMYFUNCTION("""COMPUTED_VALUE"""),"조심&amp;키키")</f>
        <v>조심&amp;키키</v>
      </c>
      <c r="B424" s="43">
        <f>IFERROR(__xludf.DUMMYFUNCTION("""COMPUTED_VALUE"""),4.0)</f>
        <v>4</v>
      </c>
      <c r="C424" s="43">
        <f>IFERROR(__xludf.DUMMYFUNCTION("""COMPUTED_VALUE"""),1.0)</f>
        <v>1</v>
      </c>
      <c r="D424" s="46">
        <f>IFERROR(__xludf.DUMMYFUNCTION("""COMPUTED_VALUE"""),0.8)</f>
        <v>0.8</v>
      </c>
    </row>
    <row r="425">
      <c r="A425" s="43" t="str">
        <f>IFERROR(__xludf.DUMMYFUNCTION("""COMPUTED_VALUE"""),"ACDC&amp;간달프")</f>
        <v>ACDC&amp;간달프</v>
      </c>
      <c r="B425" s="43">
        <f>IFERROR(__xludf.DUMMYFUNCTION("""COMPUTED_VALUE"""),4.0)</f>
        <v>4</v>
      </c>
      <c r="C425" s="43">
        <f>IFERROR(__xludf.DUMMYFUNCTION("""COMPUTED_VALUE"""),2.0)</f>
        <v>2</v>
      </c>
      <c r="D425" s="46">
        <f>IFERROR(__xludf.DUMMYFUNCTION("""COMPUTED_VALUE"""),0.6666666666666666)</f>
        <v>0.6666666667</v>
      </c>
    </row>
    <row r="426">
      <c r="A426" s="43" t="str">
        <f>IFERROR(__xludf.DUMMYFUNCTION("""COMPUTED_VALUE"""),"구리다&amp;노픽업")</f>
        <v>구리다&amp;노픽업</v>
      </c>
      <c r="B426" s="43">
        <f>IFERROR(__xludf.DUMMYFUNCTION("""COMPUTED_VALUE"""),4.0)</f>
        <v>4</v>
      </c>
      <c r="C426" s="43">
        <f>IFERROR(__xludf.DUMMYFUNCTION("""COMPUTED_VALUE"""),2.0)</f>
        <v>2</v>
      </c>
      <c r="D426" s="46">
        <f>IFERROR(__xludf.DUMMYFUNCTION("""COMPUTED_VALUE"""),0.6666666666666666)</f>
        <v>0.6666666667</v>
      </c>
    </row>
    <row r="427">
      <c r="A427" s="43" t="str">
        <f>IFERROR(__xludf.DUMMYFUNCTION("""COMPUTED_VALUE"""),"넘버&amp;용이")</f>
        <v>넘버&amp;용이</v>
      </c>
      <c r="B427" s="43">
        <f>IFERROR(__xludf.DUMMYFUNCTION("""COMPUTED_VALUE"""),4.0)</f>
        <v>4</v>
      </c>
      <c r="C427" s="43">
        <f>IFERROR(__xludf.DUMMYFUNCTION("""COMPUTED_VALUE"""),2.0)</f>
        <v>2</v>
      </c>
      <c r="D427" s="46">
        <f>IFERROR(__xludf.DUMMYFUNCTION("""COMPUTED_VALUE"""),0.6666666666666666)</f>
        <v>0.6666666667</v>
      </c>
    </row>
    <row r="428">
      <c r="A428" s="43" t="str">
        <f>IFERROR(__xludf.DUMMYFUNCTION("""COMPUTED_VALUE"""),"따&amp;뼈해장국")</f>
        <v>따&amp;뼈해장국</v>
      </c>
      <c r="B428" s="43">
        <f>IFERROR(__xludf.DUMMYFUNCTION("""COMPUTED_VALUE"""),4.0)</f>
        <v>4</v>
      </c>
      <c r="C428" s="43">
        <f>IFERROR(__xludf.DUMMYFUNCTION("""COMPUTED_VALUE"""),2.0)</f>
        <v>2</v>
      </c>
      <c r="D428" s="46">
        <f>IFERROR(__xludf.DUMMYFUNCTION("""COMPUTED_VALUE"""),0.6666666666666666)</f>
        <v>0.6666666667</v>
      </c>
    </row>
    <row r="429">
      <c r="A429" s="43" t="str">
        <f>IFERROR(__xludf.DUMMYFUNCTION("""COMPUTED_VALUE"""),"민우&amp;오크")</f>
        <v>민우&amp;오크</v>
      </c>
      <c r="B429" s="43">
        <f>IFERROR(__xludf.DUMMYFUNCTION("""COMPUTED_VALUE"""),4.0)</f>
        <v>4</v>
      </c>
      <c r="C429" s="43">
        <f>IFERROR(__xludf.DUMMYFUNCTION("""COMPUTED_VALUE"""),2.0)</f>
        <v>2</v>
      </c>
      <c r="D429" s="46">
        <f>IFERROR(__xludf.DUMMYFUNCTION("""COMPUTED_VALUE"""),0.6666666666666666)</f>
        <v>0.6666666667</v>
      </c>
    </row>
    <row r="430">
      <c r="A430" s="43" t="str">
        <f>IFERROR(__xludf.DUMMYFUNCTION("""COMPUTED_VALUE"""),"민우&amp;재명")</f>
        <v>민우&amp;재명</v>
      </c>
      <c r="B430" s="43">
        <f>IFERROR(__xludf.DUMMYFUNCTION("""COMPUTED_VALUE"""),4.0)</f>
        <v>4</v>
      </c>
      <c r="C430" s="43">
        <f>IFERROR(__xludf.DUMMYFUNCTION("""COMPUTED_VALUE"""),2.0)</f>
        <v>2</v>
      </c>
      <c r="D430" s="46">
        <f>IFERROR(__xludf.DUMMYFUNCTION("""COMPUTED_VALUE"""),0.6666666666666666)</f>
        <v>0.6666666667</v>
      </c>
    </row>
    <row r="431">
      <c r="A431" s="43" t="str">
        <f>IFERROR(__xludf.DUMMYFUNCTION("""COMPUTED_VALUE"""),"새출발&amp;참치")</f>
        <v>새출발&amp;참치</v>
      </c>
      <c r="B431" s="43">
        <f>IFERROR(__xludf.DUMMYFUNCTION("""COMPUTED_VALUE"""),4.0)</f>
        <v>4</v>
      </c>
      <c r="C431" s="43">
        <f>IFERROR(__xludf.DUMMYFUNCTION("""COMPUTED_VALUE"""),2.0)</f>
        <v>2</v>
      </c>
      <c r="D431" s="46">
        <f>IFERROR(__xludf.DUMMYFUNCTION("""COMPUTED_VALUE"""),0.6666666666666666)</f>
        <v>0.6666666667</v>
      </c>
    </row>
    <row r="432">
      <c r="A432" s="43" t="str">
        <f>IFERROR(__xludf.DUMMYFUNCTION("""COMPUTED_VALUE"""),"악동&amp;짱구")</f>
        <v>악동&amp;짱구</v>
      </c>
      <c r="B432" s="43">
        <f>IFERROR(__xludf.DUMMYFUNCTION("""COMPUTED_VALUE"""),4.0)</f>
        <v>4</v>
      </c>
      <c r="C432" s="43">
        <f>IFERROR(__xludf.DUMMYFUNCTION("""COMPUTED_VALUE"""),2.0)</f>
        <v>2</v>
      </c>
      <c r="D432" s="46">
        <f>IFERROR(__xludf.DUMMYFUNCTION("""COMPUTED_VALUE"""),0.6666666666666666)</f>
        <v>0.6666666667</v>
      </c>
    </row>
    <row r="433">
      <c r="A433" s="43" t="str">
        <f>IFERROR(__xludf.DUMMYFUNCTION("""COMPUTED_VALUE"""),"GYUL&amp;기재")</f>
        <v>GYUL&amp;기재</v>
      </c>
      <c r="B433" s="43">
        <f>IFERROR(__xludf.DUMMYFUNCTION("""COMPUTED_VALUE"""),4.0)</f>
        <v>4</v>
      </c>
      <c r="C433" s="43">
        <f>IFERROR(__xludf.DUMMYFUNCTION("""COMPUTED_VALUE"""),3.0)</f>
        <v>3</v>
      </c>
      <c r="D433" s="46">
        <f>IFERROR(__xludf.DUMMYFUNCTION("""COMPUTED_VALUE"""),0.5714285714285714)</f>
        <v>0.5714285714</v>
      </c>
    </row>
    <row r="434">
      <c r="A434" s="43" t="str">
        <f>IFERROR(__xludf.DUMMYFUNCTION("""COMPUTED_VALUE"""),"만두&amp;테리")</f>
        <v>만두&amp;테리</v>
      </c>
      <c r="B434" s="43">
        <f>IFERROR(__xludf.DUMMYFUNCTION("""COMPUTED_VALUE"""),4.0)</f>
        <v>4</v>
      </c>
      <c r="C434" s="43">
        <f>IFERROR(__xludf.DUMMYFUNCTION("""COMPUTED_VALUE"""),3.0)</f>
        <v>3</v>
      </c>
      <c r="D434" s="46">
        <f>IFERROR(__xludf.DUMMYFUNCTION("""COMPUTED_VALUE"""),0.5714285714285714)</f>
        <v>0.5714285714</v>
      </c>
    </row>
    <row r="435">
      <c r="A435" s="43" t="str">
        <f>IFERROR(__xludf.DUMMYFUNCTION("""COMPUTED_VALUE"""),"미르진&amp;밍구")</f>
        <v>미르진&amp;밍구</v>
      </c>
      <c r="B435" s="43">
        <f>IFERROR(__xludf.DUMMYFUNCTION("""COMPUTED_VALUE"""),4.0)</f>
        <v>4</v>
      </c>
      <c r="C435" s="43">
        <f>IFERROR(__xludf.DUMMYFUNCTION("""COMPUTED_VALUE"""),3.0)</f>
        <v>3</v>
      </c>
      <c r="D435" s="46">
        <f>IFERROR(__xludf.DUMMYFUNCTION("""COMPUTED_VALUE"""),0.5714285714285714)</f>
        <v>0.5714285714</v>
      </c>
    </row>
    <row r="436">
      <c r="A436" s="43" t="str">
        <f>IFERROR(__xludf.DUMMYFUNCTION("""COMPUTED_VALUE"""),"밍구&amp;키키")</f>
        <v>밍구&amp;키키</v>
      </c>
      <c r="B436" s="43">
        <f>IFERROR(__xludf.DUMMYFUNCTION("""COMPUTED_VALUE"""),4.0)</f>
        <v>4</v>
      </c>
      <c r="C436" s="43">
        <f>IFERROR(__xludf.DUMMYFUNCTION("""COMPUTED_VALUE"""),3.0)</f>
        <v>3</v>
      </c>
      <c r="D436" s="46">
        <f>IFERROR(__xludf.DUMMYFUNCTION("""COMPUTED_VALUE"""),0.5714285714285714)</f>
        <v>0.5714285714</v>
      </c>
    </row>
    <row r="437">
      <c r="A437" s="43" t="str">
        <f>IFERROR(__xludf.DUMMYFUNCTION("""COMPUTED_VALUE"""),"요즘&amp;튜브")</f>
        <v>요즘&amp;튜브</v>
      </c>
      <c r="B437" s="43">
        <f>IFERROR(__xludf.DUMMYFUNCTION("""COMPUTED_VALUE"""),4.0)</f>
        <v>4</v>
      </c>
      <c r="C437" s="43">
        <f>IFERROR(__xludf.DUMMYFUNCTION("""COMPUTED_VALUE"""),3.0)</f>
        <v>3</v>
      </c>
      <c r="D437" s="46">
        <f>IFERROR(__xludf.DUMMYFUNCTION("""COMPUTED_VALUE"""),0.5714285714285714)</f>
        <v>0.5714285714</v>
      </c>
    </row>
    <row r="438">
      <c r="A438" s="43" t="str">
        <f>IFERROR(__xludf.DUMMYFUNCTION("""COMPUTED_VALUE"""),"짱구&amp;터미")</f>
        <v>짱구&amp;터미</v>
      </c>
      <c r="B438" s="43">
        <f>IFERROR(__xludf.DUMMYFUNCTION("""COMPUTED_VALUE"""),4.0)</f>
        <v>4</v>
      </c>
      <c r="C438" s="43">
        <f>IFERROR(__xludf.DUMMYFUNCTION("""COMPUTED_VALUE"""),3.0)</f>
        <v>3</v>
      </c>
      <c r="D438" s="46">
        <f>IFERROR(__xludf.DUMMYFUNCTION("""COMPUTED_VALUE"""),0.5714285714285714)</f>
        <v>0.5714285714</v>
      </c>
    </row>
    <row r="439">
      <c r="A439" s="43" t="str">
        <f>IFERROR(__xludf.DUMMYFUNCTION("""COMPUTED_VALUE"""),"강화&amp;넘버")</f>
        <v>강화&amp;넘버</v>
      </c>
      <c r="B439" s="43">
        <f>IFERROR(__xludf.DUMMYFUNCTION("""COMPUTED_VALUE"""),4.0)</f>
        <v>4</v>
      </c>
      <c r="C439" s="43">
        <f>IFERROR(__xludf.DUMMYFUNCTION("""COMPUTED_VALUE"""),4.0)</f>
        <v>4</v>
      </c>
      <c r="D439" s="46">
        <f>IFERROR(__xludf.DUMMYFUNCTION("""COMPUTED_VALUE"""),0.5)</f>
        <v>0.5</v>
      </c>
    </row>
    <row r="440">
      <c r="A440" s="43" t="str">
        <f>IFERROR(__xludf.DUMMYFUNCTION("""COMPUTED_VALUE"""),"기재&amp;유즈")</f>
        <v>기재&amp;유즈</v>
      </c>
      <c r="B440" s="43">
        <f>IFERROR(__xludf.DUMMYFUNCTION("""COMPUTED_VALUE"""),4.0)</f>
        <v>4</v>
      </c>
      <c r="C440" s="43">
        <f>IFERROR(__xludf.DUMMYFUNCTION("""COMPUTED_VALUE"""),4.0)</f>
        <v>4</v>
      </c>
      <c r="D440" s="46">
        <f>IFERROR(__xludf.DUMMYFUNCTION("""COMPUTED_VALUE"""),0.5)</f>
        <v>0.5</v>
      </c>
    </row>
    <row r="441">
      <c r="A441" s="43" t="str">
        <f>IFERROR(__xludf.DUMMYFUNCTION("""COMPUTED_VALUE"""),"노인&amp;랄")</f>
        <v>노인&amp;랄</v>
      </c>
      <c r="B441" s="43">
        <f>IFERROR(__xludf.DUMMYFUNCTION("""COMPUTED_VALUE"""),4.0)</f>
        <v>4</v>
      </c>
      <c r="C441" s="43">
        <f>IFERROR(__xludf.DUMMYFUNCTION("""COMPUTED_VALUE"""),4.0)</f>
        <v>4</v>
      </c>
      <c r="D441" s="46">
        <f>IFERROR(__xludf.DUMMYFUNCTION("""COMPUTED_VALUE"""),0.5)</f>
        <v>0.5</v>
      </c>
    </row>
    <row r="442">
      <c r="A442" s="43" t="str">
        <f>IFERROR(__xludf.DUMMYFUNCTION("""COMPUTED_VALUE"""),"노인&amp;학생")</f>
        <v>노인&amp;학생</v>
      </c>
      <c r="B442" s="43">
        <f>IFERROR(__xludf.DUMMYFUNCTION("""COMPUTED_VALUE"""),4.0)</f>
        <v>4</v>
      </c>
      <c r="C442" s="43">
        <f>IFERROR(__xludf.DUMMYFUNCTION("""COMPUTED_VALUE"""),4.0)</f>
        <v>4</v>
      </c>
      <c r="D442" s="46">
        <f>IFERROR(__xludf.DUMMYFUNCTION("""COMPUTED_VALUE"""),0.5)</f>
        <v>0.5</v>
      </c>
    </row>
    <row r="443">
      <c r="A443" s="43" t="str">
        <f>IFERROR(__xludf.DUMMYFUNCTION("""COMPUTED_VALUE"""),"노픽업&amp;유즈")</f>
        <v>노픽업&amp;유즈</v>
      </c>
      <c r="B443" s="43">
        <f>IFERROR(__xludf.DUMMYFUNCTION("""COMPUTED_VALUE"""),4.0)</f>
        <v>4</v>
      </c>
      <c r="C443" s="43">
        <f>IFERROR(__xludf.DUMMYFUNCTION("""COMPUTED_VALUE"""),4.0)</f>
        <v>4</v>
      </c>
      <c r="D443" s="46">
        <f>IFERROR(__xludf.DUMMYFUNCTION("""COMPUTED_VALUE"""),0.5)</f>
        <v>0.5</v>
      </c>
    </row>
    <row r="444">
      <c r="A444" s="43" t="str">
        <f>IFERROR(__xludf.DUMMYFUNCTION("""COMPUTED_VALUE"""),"랄&amp;오크")</f>
        <v>랄&amp;오크</v>
      </c>
      <c r="B444" s="43">
        <f>IFERROR(__xludf.DUMMYFUNCTION("""COMPUTED_VALUE"""),4.0)</f>
        <v>4</v>
      </c>
      <c r="C444" s="43">
        <f>IFERROR(__xludf.DUMMYFUNCTION("""COMPUTED_VALUE"""),4.0)</f>
        <v>4</v>
      </c>
      <c r="D444" s="46">
        <f>IFERROR(__xludf.DUMMYFUNCTION("""COMPUTED_VALUE"""),0.5)</f>
        <v>0.5</v>
      </c>
    </row>
    <row r="445">
      <c r="A445" s="43" t="str">
        <f>IFERROR(__xludf.DUMMYFUNCTION("""COMPUTED_VALUE"""),"미등록&amp;요즘")</f>
        <v>미등록&amp;요즘</v>
      </c>
      <c r="B445" s="43">
        <f>IFERROR(__xludf.DUMMYFUNCTION("""COMPUTED_VALUE"""),4.0)</f>
        <v>4</v>
      </c>
      <c r="C445" s="43">
        <f>IFERROR(__xludf.DUMMYFUNCTION("""COMPUTED_VALUE"""),4.0)</f>
        <v>4</v>
      </c>
      <c r="D445" s="46">
        <f>IFERROR(__xludf.DUMMYFUNCTION("""COMPUTED_VALUE"""),0.5)</f>
        <v>0.5</v>
      </c>
    </row>
    <row r="446">
      <c r="A446" s="43" t="str">
        <f>IFERROR(__xludf.DUMMYFUNCTION("""COMPUTED_VALUE"""),"오딘&amp;짱구")</f>
        <v>오딘&amp;짱구</v>
      </c>
      <c r="B446" s="43">
        <f>IFERROR(__xludf.DUMMYFUNCTION("""COMPUTED_VALUE"""),4.0)</f>
        <v>4</v>
      </c>
      <c r="C446" s="43">
        <f>IFERROR(__xludf.DUMMYFUNCTION("""COMPUTED_VALUE"""),4.0)</f>
        <v>4</v>
      </c>
      <c r="D446" s="46">
        <f>IFERROR(__xludf.DUMMYFUNCTION("""COMPUTED_VALUE"""),0.5)</f>
        <v>0.5</v>
      </c>
    </row>
    <row r="447">
      <c r="A447" s="43" t="str">
        <f>IFERROR(__xludf.DUMMYFUNCTION("""COMPUTED_VALUE"""),"강화&amp;유망")</f>
        <v>강화&amp;유망</v>
      </c>
      <c r="B447" s="43">
        <f>IFERROR(__xludf.DUMMYFUNCTION("""COMPUTED_VALUE"""),4.0)</f>
        <v>4</v>
      </c>
      <c r="C447" s="43">
        <f>IFERROR(__xludf.DUMMYFUNCTION("""COMPUTED_VALUE"""),5.0)</f>
        <v>5</v>
      </c>
      <c r="D447" s="46">
        <f>IFERROR(__xludf.DUMMYFUNCTION("""COMPUTED_VALUE"""),0.4444444444444444)</f>
        <v>0.4444444444</v>
      </c>
    </row>
    <row r="448">
      <c r="A448" s="43" t="str">
        <f>IFERROR(__xludf.DUMMYFUNCTION("""COMPUTED_VALUE"""),"깡패&amp;튜브")</f>
        <v>깡패&amp;튜브</v>
      </c>
      <c r="B448" s="43">
        <f>IFERROR(__xludf.DUMMYFUNCTION("""COMPUTED_VALUE"""),4.0)</f>
        <v>4</v>
      </c>
      <c r="C448" s="43">
        <f>IFERROR(__xludf.DUMMYFUNCTION("""COMPUTED_VALUE"""),5.0)</f>
        <v>5</v>
      </c>
      <c r="D448" s="46">
        <f>IFERROR(__xludf.DUMMYFUNCTION("""COMPUTED_VALUE"""),0.4444444444444444)</f>
        <v>0.4444444444</v>
      </c>
    </row>
    <row r="449">
      <c r="A449" s="43" t="str">
        <f>IFERROR(__xludf.DUMMYFUNCTION("""COMPUTED_VALUE"""),"랄&amp;요즘")</f>
        <v>랄&amp;요즘</v>
      </c>
      <c r="B449" s="43">
        <f>IFERROR(__xludf.DUMMYFUNCTION("""COMPUTED_VALUE"""),4.0)</f>
        <v>4</v>
      </c>
      <c r="C449" s="43">
        <f>IFERROR(__xludf.DUMMYFUNCTION("""COMPUTED_VALUE"""),5.0)</f>
        <v>5</v>
      </c>
      <c r="D449" s="46">
        <f>IFERROR(__xludf.DUMMYFUNCTION("""COMPUTED_VALUE"""),0.4444444444444444)</f>
        <v>0.4444444444</v>
      </c>
    </row>
    <row r="450">
      <c r="A450" s="43" t="str">
        <f>IFERROR(__xludf.DUMMYFUNCTION("""COMPUTED_VALUE"""),"만두&amp;신형만")</f>
        <v>만두&amp;신형만</v>
      </c>
      <c r="B450" s="43">
        <f>IFERROR(__xludf.DUMMYFUNCTION("""COMPUTED_VALUE"""),4.0)</f>
        <v>4</v>
      </c>
      <c r="C450" s="43">
        <f>IFERROR(__xludf.DUMMYFUNCTION("""COMPUTED_VALUE"""),5.0)</f>
        <v>5</v>
      </c>
      <c r="D450" s="46">
        <f>IFERROR(__xludf.DUMMYFUNCTION("""COMPUTED_VALUE"""),0.4444444444444444)</f>
        <v>0.4444444444</v>
      </c>
    </row>
    <row r="451">
      <c r="A451" s="43" t="str">
        <f>IFERROR(__xludf.DUMMYFUNCTION("""COMPUTED_VALUE"""),"미르진&amp;팰리")</f>
        <v>미르진&amp;팰리</v>
      </c>
      <c r="B451" s="43">
        <f>IFERROR(__xludf.DUMMYFUNCTION("""COMPUTED_VALUE"""),4.0)</f>
        <v>4</v>
      </c>
      <c r="C451" s="43">
        <f>IFERROR(__xludf.DUMMYFUNCTION("""COMPUTED_VALUE"""),5.0)</f>
        <v>5</v>
      </c>
      <c r="D451" s="46">
        <f>IFERROR(__xludf.DUMMYFUNCTION("""COMPUTED_VALUE"""),0.4444444444444444)</f>
        <v>0.4444444444</v>
      </c>
    </row>
    <row r="452">
      <c r="A452" s="43" t="str">
        <f>IFERROR(__xludf.DUMMYFUNCTION("""COMPUTED_VALUE"""),"아이딘&amp;재명")</f>
        <v>아이딘&amp;재명</v>
      </c>
      <c r="B452" s="43">
        <f>IFERROR(__xludf.DUMMYFUNCTION("""COMPUTED_VALUE"""),4.0)</f>
        <v>4</v>
      </c>
      <c r="C452" s="43">
        <f>IFERROR(__xludf.DUMMYFUNCTION("""COMPUTED_VALUE"""),5.0)</f>
        <v>5</v>
      </c>
      <c r="D452" s="46">
        <f>IFERROR(__xludf.DUMMYFUNCTION("""COMPUTED_VALUE"""),0.4444444444444444)</f>
        <v>0.4444444444</v>
      </c>
    </row>
    <row r="453">
      <c r="A453" s="43" t="str">
        <f>IFERROR(__xludf.DUMMYFUNCTION("""COMPUTED_VALUE"""),"신형만&amp;팰리")</f>
        <v>신형만&amp;팰리</v>
      </c>
      <c r="B453" s="43">
        <f>IFERROR(__xludf.DUMMYFUNCTION("""COMPUTED_VALUE"""),4.0)</f>
        <v>4</v>
      </c>
      <c r="C453" s="43">
        <f>IFERROR(__xludf.DUMMYFUNCTION("""COMPUTED_VALUE"""),6.0)</f>
        <v>6</v>
      </c>
      <c r="D453" s="46">
        <f>IFERROR(__xludf.DUMMYFUNCTION("""COMPUTED_VALUE"""),0.4)</f>
        <v>0.4</v>
      </c>
    </row>
    <row r="454">
      <c r="A454" s="43" t="str">
        <f>IFERROR(__xludf.DUMMYFUNCTION("""COMPUTED_VALUE"""),"웅&amp;한메")</f>
        <v>웅&amp;한메</v>
      </c>
      <c r="B454" s="43">
        <f>IFERROR(__xludf.DUMMYFUNCTION("""COMPUTED_VALUE"""),4.0)</f>
        <v>4</v>
      </c>
      <c r="C454" s="43">
        <f>IFERROR(__xludf.DUMMYFUNCTION("""COMPUTED_VALUE"""),6.0)</f>
        <v>6</v>
      </c>
      <c r="D454" s="46">
        <f>IFERROR(__xludf.DUMMYFUNCTION("""COMPUTED_VALUE"""),0.4)</f>
        <v>0.4</v>
      </c>
    </row>
    <row r="455">
      <c r="A455" s="43" t="str">
        <f>IFERROR(__xludf.DUMMYFUNCTION("""COMPUTED_VALUE"""),"재명&amp;조드")</f>
        <v>재명&amp;조드</v>
      </c>
      <c r="B455" s="43">
        <f>IFERROR(__xludf.DUMMYFUNCTION("""COMPUTED_VALUE"""),4.0)</f>
        <v>4</v>
      </c>
      <c r="C455" s="43">
        <f>IFERROR(__xludf.DUMMYFUNCTION("""COMPUTED_VALUE"""),6.0)</f>
        <v>6</v>
      </c>
      <c r="D455" s="46">
        <f>IFERROR(__xludf.DUMMYFUNCTION("""COMPUTED_VALUE"""),0.4)</f>
        <v>0.4</v>
      </c>
    </row>
    <row r="456">
      <c r="A456" s="43" t="str">
        <f>IFERROR(__xludf.DUMMYFUNCTION("""COMPUTED_VALUE"""),"GYUL&amp;규식")</f>
        <v>GYUL&amp;규식</v>
      </c>
      <c r="B456" s="43">
        <f>IFERROR(__xludf.DUMMYFUNCTION("""COMPUTED_VALUE"""),4.0)</f>
        <v>4</v>
      </c>
      <c r="C456" s="43">
        <f>IFERROR(__xludf.DUMMYFUNCTION("""COMPUTED_VALUE"""),7.0)</f>
        <v>7</v>
      </c>
      <c r="D456" s="46">
        <f>IFERROR(__xludf.DUMMYFUNCTION("""COMPUTED_VALUE"""),0.36363636363636365)</f>
        <v>0.3636363636</v>
      </c>
    </row>
    <row r="457">
      <c r="A457" s="43" t="str">
        <f>IFERROR(__xludf.DUMMYFUNCTION("""COMPUTED_VALUE"""),"구리다&amp;엘더")</f>
        <v>구리다&amp;엘더</v>
      </c>
      <c r="B457" s="43">
        <f>IFERROR(__xludf.DUMMYFUNCTION("""COMPUTED_VALUE"""),4.0)</f>
        <v>4</v>
      </c>
      <c r="C457" s="43">
        <f>IFERROR(__xludf.DUMMYFUNCTION("""COMPUTED_VALUE"""),7.0)</f>
        <v>7</v>
      </c>
      <c r="D457" s="46">
        <f>IFERROR(__xludf.DUMMYFUNCTION("""COMPUTED_VALUE"""),0.36363636363636365)</f>
        <v>0.3636363636</v>
      </c>
    </row>
    <row r="458">
      <c r="A458" s="43" t="str">
        <f>IFERROR(__xludf.DUMMYFUNCTION("""COMPUTED_VALUE"""),"구리다&amp;테리")</f>
        <v>구리다&amp;테리</v>
      </c>
      <c r="B458" s="43">
        <f>IFERROR(__xludf.DUMMYFUNCTION("""COMPUTED_VALUE"""),4.0)</f>
        <v>4</v>
      </c>
      <c r="C458" s="43">
        <f>IFERROR(__xludf.DUMMYFUNCTION("""COMPUTED_VALUE"""),7.0)</f>
        <v>7</v>
      </c>
      <c r="D458" s="46">
        <f>IFERROR(__xludf.DUMMYFUNCTION("""COMPUTED_VALUE"""),0.36363636363636365)</f>
        <v>0.3636363636</v>
      </c>
    </row>
    <row r="459">
      <c r="A459" s="43" t="str">
        <f>IFERROR(__xludf.DUMMYFUNCTION("""COMPUTED_VALUE"""),"노인&amp;새출발")</f>
        <v>노인&amp;새출발</v>
      </c>
      <c r="B459" s="43">
        <f>IFERROR(__xludf.DUMMYFUNCTION("""COMPUTED_VALUE"""),4.0)</f>
        <v>4</v>
      </c>
      <c r="C459" s="43">
        <f>IFERROR(__xludf.DUMMYFUNCTION("""COMPUTED_VALUE"""),7.0)</f>
        <v>7</v>
      </c>
      <c r="D459" s="46">
        <f>IFERROR(__xludf.DUMMYFUNCTION("""COMPUTED_VALUE"""),0.36363636363636365)</f>
        <v>0.3636363636</v>
      </c>
    </row>
    <row r="460">
      <c r="A460" s="43" t="str">
        <f>IFERROR(__xludf.DUMMYFUNCTION("""COMPUTED_VALUE"""),"강화&amp;윙크")</f>
        <v>강화&amp;윙크</v>
      </c>
      <c r="B460" s="43">
        <f>IFERROR(__xludf.DUMMYFUNCTION("""COMPUTED_VALUE"""),4.0)</f>
        <v>4</v>
      </c>
      <c r="C460" s="43">
        <f>IFERROR(__xludf.DUMMYFUNCTION("""COMPUTED_VALUE"""),8.0)</f>
        <v>8</v>
      </c>
      <c r="D460" s="46">
        <f>IFERROR(__xludf.DUMMYFUNCTION("""COMPUTED_VALUE"""),0.3333333333333333)</f>
        <v>0.3333333333</v>
      </c>
    </row>
    <row r="461">
      <c r="A461" s="43" t="str">
        <f>IFERROR(__xludf.DUMMYFUNCTION("""COMPUTED_VALUE"""),"기재&amp;노픽업")</f>
        <v>기재&amp;노픽업</v>
      </c>
      <c r="B461" s="43">
        <f>IFERROR(__xludf.DUMMYFUNCTION("""COMPUTED_VALUE"""),4.0)</f>
        <v>4</v>
      </c>
      <c r="C461" s="43">
        <f>IFERROR(__xludf.DUMMYFUNCTION("""COMPUTED_VALUE"""),8.0)</f>
        <v>8</v>
      </c>
      <c r="D461" s="46">
        <f>IFERROR(__xludf.DUMMYFUNCTION("""COMPUTED_VALUE"""),0.3333333333333333)</f>
        <v>0.3333333333</v>
      </c>
    </row>
    <row r="462">
      <c r="A462" s="43" t="str">
        <f>IFERROR(__xludf.DUMMYFUNCTION("""COMPUTED_VALUE"""),"노픽업&amp;민우")</f>
        <v>노픽업&amp;민우</v>
      </c>
      <c r="B462" s="43">
        <f>IFERROR(__xludf.DUMMYFUNCTION("""COMPUTED_VALUE"""),4.0)</f>
        <v>4</v>
      </c>
      <c r="C462" s="43">
        <f>IFERROR(__xludf.DUMMYFUNCTION("""COMPUTED_VALUE"""),8.0)</f>
        <v>8</v>
      </c>
      <c r="D462" s="46">
        <f>IFERROR(__xludf.DUMMYFUNCTION("""COMPUTED_VALUE"""),0.3333333333333333)</f>
        <v>0.3333333333</v>
      </c>
    </row>
    <row r="463">
      <c r="A463" s="43" t="str">
        <f>IFERROR(__xludf.DUMMYFUNCTION("""COMPUTED_VALUE"""),"넘버&amp;학생")</f>
        <v>넘버&amp;학생</v>
      </c>
      <c r="B463" s="43">
        <f>IFERROR(__xludf.DUMMYFUNCTION("""COMPUTED_VALUE"""),4.0)</f>
        <v>4</v>
      </c>
      <c r="C463" s="43">
        <f>IFERROR(__xludf.DUMMYFUNCTION("""COMPUTED_VALUE"""),9.0)</f>
        <v>9</v>
      </c>
      <c r="D463" s="46">
        <f>IFERROR(__xludf.DUMMYFUNCTION("""COMPUTED_VALUE"""),0.3076923076923077)</f>
        <v>0.3076923077</v>
      </c>
    </row>
    <row r="464">
      <c r="A464" s="43" t="str">
        <f>IFERROR(__xludf.DUMMYFUNCTION("""COMPUTED_VALUE"""),"시아&amp;재명")</f>
        <v>시아&amp;재명</v>
      </c>
      <c r="B464" s="43">
        <f>IFERROR(__xludf.DUMMYFUNCTION("""COMPUTED_VALUE"""),4.0)</f>
        <v>4</v>
      </c>
      <c r="C464" s="43">
        <f>IFERROR(__xludf.DUMMYFUNCTION("""COMPUTED_VALUE"""),10.0)</f>
        <v>10</v>
      </c>
      <c r="D464" s="46">
        <f>IFERROR(__xludf.DUMMYFUNCTION("""COMPUTED_VALUE"""),0.2857142857142857)</f>
        <v>0.2857142857</v>
      </c>
    </row>
    <row r="465">
      <c r="A465" s="43" t="str">
        <f>IFERROR(__xludf.DUMMYFUNCTION("""COMPUTED_VALUE"""),"짱구&amp;학생")</f>
        <v>짱구&amp;학생</v>
      </c>
      <c r="B465" s="43">
        <f>IFERROR(__xludf.DUMMYFUNCTION("""COMPUTED_VALUE"""),4.0)</f>
        <v>4</v>
      </c>
      <c r="C465" s="43">
        <f>IFERROR(__xludf.DUMMYFUNCTION("""COMPUTED_VALUE"""),10.0)</f>
        <v>10</v>
      </c>
      <c r="D465" s="46">
        <f>IFERROR(__xludf.DUMMYFUNCTION("""COMPUTED_VALUE"""),0.2857142857142857)</f>
        <v>0.2857142857</v>
      </c>
    </row>
    <row r="466">
      <c r="A466" s="43" t="str">
        <f>IFERROR(__xludf.DUMMYFUNCTION("""COMPUTED_VALUE"""),"노인&amp;미등록")</f>
        <v>노인&amp;미등록</v>
      </c>
      <c r="B466" s="43">
        <f>IFERROR(__xludf.DUMMYFUNCTION("""COMPUTED_VALUE"""),4.0)</f>
        <v>4</v>
      </c>
      <c r="C466" s="43">
        <f>IFERROR(__xludf.DUMMYFUNCTION("""COMPUTED_VALUE"""),11.0)</f>
        <v>11</v>
      </c>
      <c r="D466" s="46">
        <f>IFERROR(__xludf.DUMMYFUNCTION("""COMPUTED_VALUE"""),0.26666666666666666)</f>
        <v>0.2666666667</v>
      </c>
    </row>
    <row r="467">
      <c r="A467" s="43" t="str">
        <f>IFERROR(__xludf.DUMMYFUNCTION("""COMPUTED_VALUE"""),"재우&amp;전투쥐")</f>
        <v>재우&amp;전투쥐</v>
      </c>
      <c r="B467" s="43">
        <f>IFERROR(__xludf.DUMMYFUNCTION("""COMPUTED_VALUE"""),4.0)</f>
        <v>4</v>
      </c>
      <c r="C467" s="43">
        <f>IFERROR(__xludf.DUMMYFUNCTION("""COMPUTED_VALUE"""),11.0)</f>
        <v>11</v>
      </c>
      <c r="D467" s="46">
        <f>IFERROR(__xludf.DUMMYFUNCTION("""COMPUTED_VALUE"""),0.26666666666666666)</f>
        <v>0.2666666667</v>
      </c>
    </row>
    <row r="468">
      <c r="A468" s="43" t="str">
        <f>IFERROR(__xludf.DUMMYFUNCTION("""COMPUTED_VALUE"""),"강화&amp;악동")</f>
        <v>강화&amp;악동</v>
      </c>
      <c r="B468" s="43">
        <f>IFERROR(__xludf.DUMMYFUNCTION("""COMPUTED_VALUE"""),4.0)</f>
        <v>4</v>
      </c>
      <c r="C468" s="43">
        <f>IFERROR(__xludf.DUMMYFUNCTION("""COMPUTED_VALUE"""),13.0)</f>
        <v>13</v>
      </c>
      <c r="D468" s="46">
        <f>IFERROR(__xludf.DUMMYFUNCTION("""COMPUTED_VALUE"""),0.23529411764705882)</f>
        <v>0.2352941176</v>
      </c>
    </row>
    <row r="469">
      <c r="A469" s="43" t="str">
        <f>IFERROR(__xludf.DUMMYFUNCTION("""COMPUTED_VALUE"""),"ACDC&amp;웅")</f>
        <v>ACDC&amp;웅</v>
      </c>
      <c r="B469" s="43">
        <f>IFERROR(__xludf.DUMMYFUNCTION("""COMPUTED_VALUE"""),4.0)</f>
        <v>4</v>
      </c>
      <c r="C469" s="43">
        <f>IFERROR(__xludf.DUMMYFUNCTION("""COMPUTED_VALUE"""),14.0)</f>
        <v>14</v>
      </c>
      <c r="D469" s="46">
        <f>IFERROR(__xludf.DUMMYFUNCTION("""COMPUTED_VALUE"""),0.2222222222222222)</f>
        <v>0.2222222222</v>
      </c>
    </row>
    <row r="470">
      <c r="A470" s="43" t="str">
        <f>IFERROR(__xludf.DUMMYFUNCTION("""COMPUTED_VALUE"""),"강화&amp;팰리")</f>
        <v>강화&amp;팰리</v>
      </c>
      <c r="B470" s="43">
        <f>IFERROR(__xludf.DUMMYFUNCTION("""COMPUTED_VALUE"""),4.0)</f>
        <v>4</v>
      </c>
      <c r="C470" s="43">
        <f>IFERROR(__xludf.DUMMYFUNCTION("""COMPUTED_VALUE"""),15.0)</f>
        <v>15</v>
      </c>
      <c r="D470" s="46">
        <f>IFERROR(__xludf.DUMMYFUNCTION("""COMPUTED_VALUE"""),0.21052631578947367)</f>
        <v>0.2105263158</v>
      </c>
    </row>
    <row r="471">
      <c r="A471" s="43" t="str">
        <f>IFERROR(__xludf.DUMMYFUNCTION("""COMPUTED_VALUE"""),"민우&amp;태식")</f>
        <v>민우&amp;태식</v>
      </c>
      <c r="B471" s="43">
        <f>IFERROR(__xludf.DUMMYFUNCTION("""COMPUTED_VALUE"""),4.0)</f>
        <v>4</v>
      </c>
      <c r="C471" s="43">
        <f>IFERROR(__xludf.DUMMYFUNCTION("""COMPUTED_VALUE"""),15.0)</f>
        <v>15</v>
      </c>
      <c r="D471" s="46">
        <f>IFERROR(__xludf.DUMMYFUNCTION("""COMPUTED_VALUE"""),0.21052631578947367)</f>
        <v>0.2105263158</v>
      </c>
    </row>
    <row r="472">
      <c r="A472" s="43" t="str">
        <f>IFERROR(__xludf.DUMMYFUNCTION("""COMPUTED_VALUE"""),"미등록&amp;미르진")</f>
        <v>미등록&amp;미르진</v>
      </c>
      <c r="B472" s="43">
        <f>IFERROR(__xludf.DUMMYFUNCTION("""COMPUTED_VALUE"""),4.0)</f>
        <v>4</v>
      </c>
      <c r="C472" s="43">
        <f>IFERROR(__xludf.DUMMYFUNCTION("""COMPUTED_VALUE"""),17.0)</f>
        <v>17</v>
      </c>
      <c r="D472" s="46">
        <f>IFERROR(__xludf.DUMMYFUNCTION("""COMPUTED_VALUE"""),0.19047619047619047)</f>
        <v>0.1904761905</v>
      </c>
    </row>
    <row r="473">
      <c r="A473" s="43" t="str">
        <f>IFERROR(__xludf.DUMMYFUNCTION("""COMPUTED_VALUE"""),"간달프&amp;랄")</f>
        <v>간달프&amp;랄</v>
      </c>
      <c r="B473" s="43">
        <f>IFERROR(__xludf.DUMMYFUNCTION("""COMPUTED_VALUE"""),3.0)</f>
        <v>3</v>
      </c>
      <c r="C473" s="43">
        <f>IFERROR(__xludf.DUMMYFUNCTION("""COMPUTED_VALUE"""),0.0)</f>
        <v>0</v>
      </c>
      <c r="D473" s="46">
        <f>IFERROR(__xludf.DUMMYFUNCTION("""COMPUTED_VALUE"""),1.0)</f>
        <v>1</v>
      </c>
    </row>
    <row r="474">
      <c r="A474" s="43" t="str">
        <f>IFERROR(__xludf.DUMMYFUNCTION("""COMPUTED_VALUE"""),"간달프&amp;조심")</f>
        <v>간달프&amp;조심</v>
      </c>
      <c r="B474" s="43">
        <f>IFERROR(__xludf.DUMMYFUNCTION("""COMPUTED_VALUE"""),3.0)</f>
        <v>3</v>
      </c>
      <c r="C474" s="43">
        <f>IFERROR(__xludf.DUMMYFUNCTION("""COMPUTED_VALUE"""),0.0)</f>
        <v>0</v>
      </c>
      <c r="D474" s="46">
        <f>IFERROR(__xludf.DUMMYFUNCTION("""COMPUTED_VALUE"""),1.0)</f>
        <v>1</v>
      </c>
    </row>
    <row r="475">
      <c r="A475" s="43" t="str">
        <f>IFERROR(__xludf.DUMMYFUNCTION("""COMPUTED_VALUE"""),"넘버&amp;박서")</f>
        <v>넘버&amp;박서</v>
      </c>
      <c r="B475" s="43">
        <f>IFERROR(__xludf.DUMMYFUNCTION("""COMPUTED_VALUE"""),3.0)</f>
        <v>3</v>
      </c>
      <c r="C475" s="43">
        <f>IFERROR(__xludf.DUMMYFUNCTION("""COMPUTED_VALUE"""),0.0)</f>
        <v>0</v>
      </c>
      <c r="D475" s="46">
        <f>IFERROR(__xludf.DUMMYFUNCTION("""COMPUTED_VALUE"""),1.0)</f>
        <v>1</v>
      </c>
    </row>
    <row r="476">
      <c r="A476" s="43" t="str">
        <f>IFERROR(__xludf.DUMMYFUNCTION("""COMPUTED_VALUE"""),"미등록&amp;윈드")</f>
        <v>미등록&amp;윈드</v>
      </c>
      <c r="B476" s="43">
        <f>IFERROR(__xludf.DUMMYFUNCTION("""COMPUTED_VALUE"""),3.0)</f>
        <v>3</v>
      </c>
      <c r="C476" s="43">
        <f>IFERROR(__xludf.DUMMYFUNCTION("""COMPUTED_VALUE"""),0.0)</f>
        <v>0</v>
      </c>
      <c r="D476" s="46">
        <f>IFERROR(__xludf.DUMMYFUNCTION("""COMPUTED_VALUE"""),1.0)</f>
        <v>1</v>
      </c>
    </row>
    <row r="477">
      <c r="A477" s="43" t="str">
        <f>IFERROR(__xludf.DUMMYFUNCTION("""COMPUTED_VALUE"""),"미등록&amp;조심")</f>
        <v>미등록&amp;조심</v>
      </c>
      <c r="B477" s="43">
        <f>IFERROR(__xludf.DUMMYFUNCTION("""COMPUTED_VALUE"""),3.0)</f>
        <v>3</v>
      </c>
      <c r="C477" s="43">
        <f>IFERROR(__xludf.DUMMYFUNCTION("""COMPUTED_VALUE"""),0.0)</f>
        <v>0</v>
      </c>
      <c r="D477" s="46">
        <f>IFERROR(__xludf.DUMMYFUNCTION("""COMPUTED_VALUE"""),1.0)</f>
        <v>1</v>
      </c>
    </row>
    <row r="478">
      <c r="A478" s="43" t="str">
        <f>IFERROR(__xludf.DUMMYFUNCTION("""COMPUTED_VALUE"""),"박서&amp;원")</f>
        <v>박서&amp;원</v>
      </c>
      <c r="B478" s="43">
        <f>IFERROR(__xludf.DUMMYFUNCTION("""COMPUTED_VALUE"""),3.0)</f>
        <v>3</v>
      </c>
      <c r="C478" s="43">
        <f>IFERROR(__xludf.DUMMYFUNCTION("""COMPUTED_VALUE"""),0.0)</f>
        <v>0</v>
      </c>
      <c r="D478" s="46">
        <f>IFERROR(__xludf.DUMMYFUNCTION("""COMPUTED_VALUE"""),1.0)</f>
        <v>1</v>
      </c>
    </row>
    <row r="479">
      <c r="A479" s="43" t="str">
        <f>IFERROR(__xludf.DUMMYFUNCTION("""COMPUTED_VALUE"""),"박서&amp;짱구")</f>
        <v>박서&amp;짱구</v>
      </c>
      <c r="B479" s="43">
        <f>IFERROR(__xludf.DUMMYFUNCTION("""COMPUTED_VALUE"""),3.0)</f>
        <v>3</v>
      </c>
      <c r="C479" s="43">
        <f>IFERROR(__xludf.DUMMYFUNCTION("""COMPUTED_VALUE"""),0.0)</f>
        <v>0</v>
      </c>
      <c r="D479" s="46">
        <f>IFERROR(__xludf.DUMMYFUNCTION("""COMPUTED_VALUE"""),1.0)</f>
        <v>1</v>
      </c>
    </row>
    <row r="480">
      <c r="A480" s="43" t="str">
        <f>IFERROR(__xludf.DUMMYFUNCTION("""COMPUTED_VALUE"""),"엘&amp;테리")</f>
        <v>엘&amp;테리</v>
      </c>
      <c r="B480" s="43">
        <f>IFERROR(__xludf.DUMMYFUNCTION("""COMPUTED_VALUE"""),3.0)</f>
        <v>3</v>
      </c>
      <c r="C480" s="43">
        <f>IFERROR(__xludf.DUMMYFUNCTION("""COMPUTED_VALUE"""),0.0)</f>
        <v>0</v>
      </c>
      <c r="D480" s="46">
        <f>IFERROR(__xludf.DUMMYFUNCTION("""COMPUTED_VALUE"""),1.0)</f>
        <v>1</v>
      </c>
    </row>
    <row r="481">
      <c r="A481" s="43" t="str">
        <f>IFERROR(__xludf.DUMMYFUNCTION("""COMPUTED_VALUE"""),"엘더&amp;조심")</f>
        <v>엘더&amp;조심</v>
      </c>
      <c r="B481" s="43">
        <f>IFERROR(__xludf.DUMMYFUNCTION("""COMPUTED_VALUE"""),3.0)</f>
        <v>3</v>
      </c>
      <c r="C481" s="43">
        <f>IFERROR(__xludf.DUMMYFUNCTION("""COMPUTED_VALUE"""),0.0)</f>
        <v>0</v>
      </c>
      <c r="D481" s="46">
        <f>IFERROR(__xludf.DUMMYFUNCTION("""COMPUTED_VALUE"""),1.0)</f>
        <v>1</v>
      </c>
    </row>
    <row r="482">
      <c r="A482" s="43" t="str">
        <f>IFERROR(__xludf.DUMMYFUNCTION("""COMPUTED_VALUE"""),"간달프&amp;미등록")</f>
        <v>간달프&amp;미등록</v>
      </c>
      <c r="B482" s="43">
        <f>IFERROR(__xludf.DUMMYFUNCTION("""COMPUTED_VALUE"""),3.0)</f>
        <v>3</v>
      </c>
      <c r="C482" s="43">
        <f>IFERROR(__xludf.DUMMYFUNCTION("""COMPUTED_VALUE"""),1.0)</f>
        <v>1</v>
      </c>
      <c r="D482" s="46">
        <f>IFERROR(__xludf.DUMMYFUNCTION("""COMPUTED_VALUE"""),0.75)</f>
        <v>0.75</v>
      </c>
    </row>
    <row r="483">
      <c r="A483" s="43" t="str">
        <f>IFERROR(__xludf.DUMMYFUNCTION("""COMPUTED_VALUE"""),"강화&amp;윈드")</f>
        <v>강화&amp;윈드</v>
      </c>
      <c r="B483" s="43">
        <f>IFERROR(__xludf.DUMMYFUNCTION("""COMPUTED_VALUE"""),3.0)</f>
        <v>3</v>
      </c>
      <c r="C483" s="43">
        <f>IFERROR(__xludf.DUMMYFUNCTION("""COMPUTED_VALUE"""),1.0)</f>
        <v>1</v>
      </c>
      <c r="D483" s="46">
        <f>IFERROR(__xludf.DUMMYFUNCTION("""COMPUTED_VALUE"""),0.75)</f>
        <v>0.75</v>
      </c>
    </row>
    <row r="484">
      <c r="A484" s="43" t="str">
        <f>IFERROR(__xludf.DUMMYFUNCTION("""COMPUTED_VALUE"""),"규식&amp;전투쥐")</f>
        <v>규식&amp;전투쥐</v>
      </c>
      <c r="B484" s="43">
        <f>IFERROR(__xludf.DUMMYFUNCTION("""COMPUTED_VALUE"""),3.0)</f>
        <v>3</v>
      </c>
      <c r="C484" s="43">
        <f>IFERROR(__xludf.DUMMYFUNCTION("""COMPUTED_VALUE"""),1.0)</f>
        <v>1</v>
      </c>
      <c r="D484" s="46">
        <f>IFERROR(__xludf.DUMMYFUNCTION("""COMPUTED_VALUE"""),0.75)</f>
        <v>0.75</v>
      </c>
    </row>
    <row r="485">
      <c r="A485" s="43" t="str">
        <f>IFERROR(__xludf.DUMMYFUNCTION("""COMPUTED_VALUE"""),"깡패&amp;시아")</f>
        <v>깡패&amp;시아</v>
      </c>
      <c r="B485" s="43">
        <f>IFERROR(__xludf.DUMMYFUNCTION("""COMPUTED_VALUE"""),3.0)</f>
        <v>3</v>
      </c>
      <c r="C485" s="43">
        <f>IFERROR(__xludf.DUMMYFUNCTION("""COMPUTED_VALUE"""),1.0)</f>
        <v>1</v>
      </c>
      <c r="D485" s="46">
        <f>IFERROR(__xludf.DUMMYFUNCTION("""COMPUTED_VALUE"""),0.75)</f>
        <v>0.75</v>
      </c>
    </row>
    <row r="486">
      <c r="A486" s="43" t="str">
        <f>IFERROR(__xludf.DUMMYFUNCTION("""COMPUTED_VALUE"""),"미등록&amp;팰리")</f>
        <v>미등록&amp;팰리</v>
      </c>
      <c r="B486" s="43">
        <f>IFERROR(__xludf.DUMMYFUNCTION("""COMPUTED_VALUE"""),3.0)</f>
        <v>3</v>
      </c>
      <c r="C486" s="43">
        <f>IFERROR(__xludf.DUMMYFUNCTION("""COMPUTED_VALUE"""),1.0)</f>
        <v>1</v>
      </c>
      <c r="D486" s="46">
        <f>IFERROR(__xludf.DUMMYFUNCTION("""COMPUTED_VALUE"""),0.75)</f>
        <v>0.75</v>
      </c>
    </row>
    <row r="487">
      <c r="A487" s="43" t="str">
        <f>IFERROR(__xludf.DUMMYFUNCTION("""COMPUTED_VALUE"""),"신형만&amp;제로스")</f>
        <v>신형만&amp;제로스</v>
      </c>
      <c r="B487" s="43">
        <f>IFERROR(__xludf.DUMMYFUNCTION("""COMPUTED_VALUE"""),3.0)</f>
        <v>3</v>
      </c>
      <c r="C487" s="43">
        <f>IFERROR(__xludf.DUMMYFUNCTION("""COMPUTED_VALUE"""),1.0)</f>
        <v>1</v>
      </c>
      <c r="D487" s="46">
        <f>IFERROR(__xludf.DUMMYFUNCTION("""COMPUTED_VALUE"""),0.75)</f>
        <v>0.75</v>
      </c>
    </row>
    <row r="488">
      <c r="A488" s="43" t="str">
        <f>IFERROR(__xludf.DUMMYFUNCTION("""COMPUTED_VALUE"""),"조심&amp;테리")</f>
        <v>조심&amp;테리</v>
      </c>
      <c r="B488" s="43">
        <f>IFERROR(__xludf.DUMMYFUNCTION("""COMPUTED_VALUE"""),3.0)</f>
        <v>3</v>
      </c>
      <c r="C488" s="43">
        <f>IFERROR(__xludf.DUMMYFUNCTION("""COMPUTED_VALUE"""),1.0)</f>
        <v>1</v>
      </c>
      <c r="D488" s="46">
        <f>IFERROR(__xludf.DUMMYFUNCTION("""COMPUTED_VALUE"""),0.75)</f>
        <v>0.75</v>
      </c>
    </row>
    <row r="489">
      <c r="A489" s="43" t="str">
        <f>IFERROR(__xludf.DUMMYFUNCTION("""COMPUTED_VALUE"""),"GYUL&amp;솔")</f>
        <v>GYUL&amp;솔</v>
      </c>
      <c r="B489" s="43">
        <f>IFERROR(__xludf.DUMMYFUNCTION("""COMPUTED_VALUE"""),3.0)</f>
        <v>3</v>
      </c>
      <c r="C489" s="43">
        <f>IFERROR(__xludf.DUMMYFUNCTION("""COMPUTED_VALUE"""),2.0)</f>
        <v>2</v>
      </c>
      <c r="D489" s="46">
        <f>IFERROR(__xludf.DUMMYFUNCTION("""COMPUTED_VALUE"""),0.6)</f>
        <v>0.6</v>
      </c>
    </row>
    <row r="490">
      <c r="A490" s="43" t="str">
        <f>IFERROR(__xludf.DUMMYFUNCTION("""COMPUTED_VALUE"""),"강화&amp;규식")</f>
        <v>강화&amp;규식</v>
      </c>
      <c r="B490" s="43">
        <f>IFERROR(__xludf.DUMMYFUNCTION("""COMPUTED_VALUE"""),3.0)</f>
        <v>3</v>
      </c>
      <c r="C490" s="43">
        <f>IFERROR(__xludf.DUMMYFUNCTION("""COMPUTED_VALUE"""),2.0)</f>
        <v>2</v>
      </c>
      <c r="D490" s="46">
        <f>IFERROR(__xludf.DUMMYFUNCTION("""COMPUTED_VALUE"""),0.6)</f>
        <v>0.6</v>
      </c>
    </row>
    <row r="491">
      <c r="A491" s="43" t="str">
        <f>IFERROR(__xludf.DUMMYFUNCTION("""COMPUTED_VALUE"""),"노인&amp;박서")</f>
        <v>노인&amp;박서</v>
      </c>
      <c r="B491" s="43">
        <f>IFERROR(__xludf.DUMMYFUNCTION("""COMPUTED_VALUE"""),3.0)</f>
        <v>3</v>
      </c>
      <c r="C491" s="43">
        <f>IFERROR(__xludf.DUMMYFUNCTION("""COMPUTED_VALUE"""),2.0)</f>
        <v>2</v>
      </c>
      <c r="D491" s="46">
        <f>IFERROR(__xludf.DUMMYFUNCTION("""COMPUTED_VALUE"""),0.6)</f>
        <v>0.6</v>
      </c>
    </row>
    <row r="492">
      <c r="A492" s="43" t="str">
        <f>IFERROR(__xludf.DUMMYFUNCTION("""COMPUTED_VALUE"""),"노픽업&amp;랄")</f>
        <v>노픽업&amp;랄</v>
      </c>
      <c r="B492" s="43">
        <f>IFERROR(__xludf.DUMMYFUNCTION("""COMPUTED_VALUE"""),3.0)</f>
        <v>3</v>
      </c>
      <c r="C492" s="43">
        <f>IFERROR(__xludf.DUMMYFUNCTION("""COMPUTED_VALUE"""),2.0)</f>
        <v>2</v>
      </c>
      <c r="D492" s="46">
        <f>IFERROR(__xludf.DUMMYFUNCTION("""COMPUTED_VALUE"""),0.6)</f>
        <v>0.6</v>
      </c>
    </row>
    <row r="493">
      <c r="A493" s="43" t="str">
        <f>IFERROR(__xludf.DUMMYFUNCTION("""COMPUTED_VALUE"""),"랄&amp;테리")</f>
        <v>랄&amp;테리</v>
      </c>
      <c r="B493" s="43">
        <f>IFERROR(__xludf.DUMMYFUNCTION("""COMPUTED_VALUE"""),3.0)</f>
        <v>3</v>
      </c>
      <c r="C493" s="43">
        <f>IFERROR(__xludf.DUMMYFUNCTION("""COMPUTED_VALUE"""),2.0)</f>
        <v>2</v>
      </c>
      <c r="D493" s="46">
        <f>IFERROR(__xludf.DUMMYFUNCTION("""COMPUTED_VALUE"""),0.6)</f>
        <v>0.6</v>
      </c>
    </row>
    <row r="494">
      <c r="A494" s="43" t="str">
        <f>IFERROR(__xludf.DUMMYFUNCTION("""COMPUTED_VALUE"""),"만두&amp;엘더")</f>
        <v>만두&amp;엘더</v>
      </c>
      <c r="B494" s="43">
        <f>IFERROR(__xludf.DUMMYFUNCTION("""COMPUTED_VALUE"""),3.0)</f>
        <v>3</v>
      </c>
      <c r="C494" s="43">
        <f>IFERROR(__xludf.DUMMYFUNCTION("""COMPUTED_VALUE"""),2.0)</f>
        <v>2</v>
      </c>
      <c r="D494" s="46">
        <f>IFERROR(__xludf.DUMMYFUNCTION("""COMPUTED_VALUE"""),0.6)</f>
        <v>0.6</v>
      </c>
    </row>
    <row r="495">
      <c r="A495" s="43" t="str">
        <f>IFERROR(__xludf.DUMMYFUNCTION("""COMPUTED_VALUE"""),"밍구&amp;테리")</f>
        <v>밍구&amp;테리</v>
      </c>
      <c r="B495" s="43">
        <f>IFERROR(__xludf.DUMMYFUNCTION("""COMPUTED_VALUE"""),3.0)</f>
        <v>3</v>
      </c>
      <c r="C495" s="43">
        <f>IFERROR(__xludf.DUMMYFUNCTION("""COMPUTED_VALUE"""),2.0)</f>
        <v>2</v>
      </c>
      <c r="D495" s="46">
        <f>IFERROR(__xludf.DUMMYFUNCTION("""COMPUTED_VALUE"""),0.6)</f>
        <v>0.6</v>
      </c>
    </row>
    <row r="496">
      <c r="A496" s="43" t="str">
        <f>IFERROR(__xludf.DUMMYFUNCTION("""COMPUTED_VALUE"""),"박서&amp;학생")</f>
        <v>박서&amp;학생</v>
      </c>
      <c r="B496" s="43">
        <f>IFERROR(__xludf.DUMMYFUNCTION("""COMPUTED_VALUE"""),3.0)</f>
        <v>3</v>
      </c>
      <c r="C496" s="43">
        <f>IFERROR(__xludf.DUMMYFUNCTION("""COMPUTED_VALUE"""),2.0)</f>
        <v>2</v>
      </c>
      <c r="D496" s="46">
        <f>IFERROR(__xludf.DUMMYFUNCTION("""COMPUTED_VALUE"""),0.6)</f>
        <v>0.6</v>
      </c>
    </row>
    <row r="497">
      <c r="A497" s="43" t="str">
        <f>IFERROR(__xludf.DUMMYFUNCTION("""COMPUTED_VALUE"""),"웅&amp;재명")</f>
        <v>웅&amp;재명</v>
      </c>
      <c r="B497" s="43">
        <f>IFERROR(__xludf.DUMMYFUNCTION("""COMPUTED_VALUE"""),3.0)</f>
        <v>3</v>
      </c>
      <c r="C497" s="43">
        <f>IFERROR(__xludf.DUMMYFUNCTION("""COMPUTED_VALUE"""),2.0)</f>
        <v>2</v>
      </c>
      <c r="D497" s="46">
        <f>IFERROR(__xludf.DUMMYFUNCTION("""COMPUTED_VALUE"""),0.6)</f>
        <v>0.6</v>
      </c>
    </row>
    <row r="498">
      <c r="A498" s="43" t="str">
        <f>IFERROR(__xludf.DUMMYFUNCTION("""COMPUTED_VALUE"""),"윈드&amp;테리")</f>
        <v>윈드&amp;테리</v>
      </c>
      <c r="B498" s="43">
        <f>IFERROR(__xludf.DUMMYFUNCTION("""COMPUTED_VALUE"""),3.0)</f>
        <v>3</v>
      </c>
      <c r="C498" s="43">
        <f>IFERROR(__xludf.DUMMYFUNCTION("""COMPUTED_VALUE"""),2.0)</f>
        <v>2</v>
      </c>
      <c r="D498" s="46">
        <f>IFERROR(__xludf.DUMMYFUNCTION("""COMPUTED_VALUE"""),0.6)</f>
        <v>0.6</v>
      </c>
    </row>
    <row r="499">
      <c r="A499" s="43" t="str">
        <f>IFERROR(__xludf.DUMMYFUNCTION("""COMPUTED_VALUE"""),"윙크&amp;짱구")</f>
        <v>윙크&amp;짱구</v>
      </c>
      <c r="B499" s="43">
        <f>IFERROR(__xludf.DUMMYFUNCTION("""COMPUTED_VALUE"""),3.0)</f>
        <v>3</v>
      </c>
      <c r="C499" s="43">
        <f>IFERROR(__xludf.DUMMYFUNCTION("""COMPUTED_VALUE"""),2.0)</f>
        <v>2</v>
      </c>
      <c r="D499" s="46">
        <f>IFERROR(__xludf.DUMMYFUNCTION("""COMPUTED_VALUE"""),0.6)</f>
        <v>0.6</v>
      </c>
    </row>
    <row r="500">
      <c r="A500" s="43" t="str">
        <f>IFERROR(__xludf.DUMMYFUNCTION("""COMPUTED_VALUE"""),"참치&amp;터미")</f>
        <v>참치&amp;터미</v>
      </c>
      <c r="B500" s="43">
        <f>IFERROR(__xludf.DUMMYFUNCTION("""COMPUTED_VALUE"""),3.0)</f>
        <v>3</v>
      </c>
      <c r="C500" s="43">
        <f>IFERROR(__xludf.DUMMYFUNCTION("""COMPUTED_VALUE"""),2.0)</f>
        <v>2</v>
      </c>
      <c r="D500" s="46">
        <f>IFERROR(__xludf.DUMMYFUNCTION("""COMPUTED_VALUE"""),0.6)</f>
        <v>0.6</v>
      </c>
    </row>
    <row r="501">
      <c r="A501" s="43" t="str">
        <f>IFERROR(__xludf.DUMMYFUNCTION("""COMPUTED_VALUE"""),"ACDC&amp;새출발")</f>
        <v>ACDC&amp;새출발</v>
      </c>
      <c r="B501" s="43">
        <f>IFERROR(__xludf.DUMMYFUNCTION("""COMPUTED_VALUE"""),3.0)</f>
        <v>3</v>
      </c>
      <c r="C501" s="43">
        <f>IFERROR(__xludf.DUMMYFUNCTION("""COMPUTED_VALUE"""),3.0)</f>
        <v>3</v>
      </c>
      <c r="D501" s="46">
        <f>IFERROR(__xludf.DUMMYFUNCTION("""COMPUTED_VALUE"""),0.5)</f>
        <v>0.5</v>
      </c>
    </row>
    <row r="502">
      <c r="A502" s="43" t="str">
        <f>IFERROR(__xludf.DUMMYFUNCTION("""COMPUTED_VALUE"""),"ACDC&amp;튜브")</f>
        <v>ACDC&amp;튜브</v>
      </c>
      <c r="B502" s="43">
        <f>IFERROR(__xludf.DUMMYFUNCTION("""COMPUTED_VALUE"""),3.0)</f>
        <v>3</v>
      </c>
      <c r="C502" s="43">
        <f>IFERROR(__xludf.DUMMYFUNCTION("""COMPUTED_VALUE"""),3.0)</f>
        <v>3</v>
      </c>
      <c r="D502" s="46">
        <f>IFERROR(__xludf.DUMMYFUNCTION("""COMPUTED_VALUE"""),0.5)</f>
        <v>0.5</v>
      </c>
    </row>
    <row r="503">
      <c r="A503" s="43" t="str">
        <f>IFERROR(__xludf.DUMMYFUNCTION("""COMPUTED_VALUE"""),"ovo&amp;노인")</f>
        <v>ovo&amp;노인</v>
      </c>
      <c r="B503" s="43">
        <f>IFERROR(__xludf.DUMMYFUNCTION("""COMPUTED_VALUE"""),3.0)</f>
        <v>3</v>
      </c>
      <c r="C503" s="43">
        <f>IFERROR(__xludf.DUMMYFUNCTION("""COMPUTED_VALUE"""),3.0)</f>
        <v>3</v>
      </c>
      <c r="D503" s="46">
        <f>IFERROR(__xludf.DUMMYFUNCTION("""COMPUTED_VALUE"""),0.5)</f>
        <v>0.5</v>
      </c>
    </row>
    <row r="504">
      <c r="A504" s="43" t="str">
        <f>IFERROR(__xludf.DUMMYFUNCTION("""COMPUTED_VALUE"""),"ovo&amp;짱구")</f>
        <v>ovo&amp;짱구</v>
      </c>
      <c r="B504" s="43">
        <f>IFERROR(__xludf.DUMMYFUNCTION("""COMPUTED_VALUE"""),3.0)</f>
        <v>3</v>
      </c>
      <c r="C504" s="43">
        <f>IFERROR(__xludf.DUMMYFUNCTION("""COMPUTED_VALUE"""),3.0)</f>
        <v>3</v>
      </c>
      <c r="D504" s="46">
        <f>IFERROR(__xludf.DUMMYFUNCTION("""COMPUTED_VALUE"""),0.5)</f>
        <v>0.5</v>
      </c>
    </row>
    <row r="505">
      <c r="A505" s="43" t="str">
        <f>IFERROR(__xludf.DUMMYFUNCTION("""COMPUTED_VALUE"""),"강화&amp;유즈")</f>
        <v>강화&amp;유즈</v>
      </c>
      <c r="B505" s="43">
        <f>IFERROR(__xludf.DUMMYFUNCTION("""COMPUTED_VALUE"""),3.0)</f>
        <v>3</v>
      </c>
      <c r="C505" s="43">
        <f>IFERROR(__xludf.DUMMYFUNCTION("""COMPUTED_VALUE"""),3.0)</f>
        <v>3</v>
      </c>
      <c r="D505" s="46">
        <f>IFERROR(__xludf.DUMMYFUNCTION("""COMPUTED_VALUE"""),0.5)</f>
        <v>0.5</v>
      </c>
    </row>
    <row r="506">
      <c r="A506" s="43" t="str">
        <f>IFERROR(__xludf.DUMMYFUNCTION("""COMPUTED_VALUE"""),"넘버&amp;따")</f>
        <v>넘버&amp;따</v>
      </c>
      <c r="B506" s="43">
        <f>IFERROR(__xludf.DUMMYFUNCTION("""COMPUTED_VALUE"""),3.0)</f>
        <v>3</v>
      </c>
      <c r="C506" s="43">
        <f>IFERROR(__xludf.DUMMYFUNCTION("""COMPUTED_VALUE"""),3.0)</f>
        <v>3</v>
      </c>
      <c r="D506" s="46">
        <f>IFERROR(__xludf.DUMMYFUNCTION("""COMPUTED_VALUE"""),0.5)</f>
        <v>0.5</v>
      </c>
    </row>
    <row r="507">
      <c r="A507" s="43" t="str">
        <f>IFERROR(__xludf.DUMMYFUNCTION("""COMPUTED_VALUE"""),"넘버&amp;키키")</f>
        <v>넘버&amp;키키</v>
      </c>
      <c r="B507" s="43">
        <f>IFERROR(__xludf.DUMMYFUNCTION("""COMPUTED_VALUE"""),3.0)</f>
        <v>3</v>
      </c>
      <c r="C507" s="43">
        <f>IFERROR(__xludf.DUMMYFUNCTION("""COMPUTED_VALUE"""),3.0)</f>
        <v>3</v>
      </c>
      <c r="D507" s="46">
        <f>IFERROR(__xludf.DUMMYFUNCTION("""COMPUTED_VALUE"""),0.5)</f>
        <v>0.5</v>
      </c>
    </row>
    <row r="508">
      <c r="A508" s="43" t="str">
        <f>IFERROR(__xludf.DUMMYFUNCTION("""COMPUTED_VALUE"""),"노픽업&amp;태식")</f>
        <v>노픽업&amp;태식</v>
      </c>
      <c r="B508" s="43">
        <f>IFERROR(__xludf.DUMMYFUNCTION("""COMPUTED_VALUE"""),3.0)</f>
        <v>3</v>
      </c>
      <c r="C508" s="43">
        <f>IFERROR(__xludf.DUMMYFUNCTION("""COMPUTED_VALUE"""),3.0)</f>
        <v>3</v>
      </c>
      <c r="D508" s="46">
        <f>IFERROR(__xludf.DUMMYFUNCTION("""COMPUTED_VALUE"""),0.5)</f>
        <v>0.5</v>
      </c>
    </row>
    <row r="509">
      <c r="A509" s="43" t="str">
        <f>IFERROR(__xludf.DUMMYFUNCTION("""COMPUTED_VALUE"""),"단수&amp;신형만")</f>
        <v>단수&amp;신형만</v>
      </c>
      <c r="B509" s="43">
        <f>IFERROR(__xludf.DUMMYFUNCTION("""COMPUTED_VALUE"""),3.0)</f>
        <v>3</v>
      </c>
      <c r="C509" s="43">
        <f>IFERROR(__xludf.DUMMYFUNCTION("""COMPUTED_VALUE"""),3.0)</f>
        <v>3</v>
      </c>
      <c r="D509" s="46">
        <f>IFERROR(__xludf.DUMMYFUNCTION("""COMPUTED_VALUE"""),0.5)</f>
        <v>0.5</v>
      </c>
    </row>
    <row r="510">
      <c r="A510" s="43" t="str">
        <f>IFERROR(__xludf.DUMMYFUNCTION("""COMPUTED_VALUE"""),"랄&amp;제로스")</f>
        <v>랄&amp;제로스</v>
      </c>
      <c r="B510" s="43">
        <f>IFERROR(__xludf.DUMMYFUNCTION("""COMPUTED_VALUE"""),3.0)</f>
        <v>3</v>
      </c>
      <c r="C510" s="43">
        <f>IFERROR(__xludf.DUMMYFUNCTION("""COMPUTED_VALUE"""),3.0)</f>
        <v>3</v>
      </c>
      <c r="D510" s="46">
        <f>IFERROR(__xludf.DUMMYFUNCTION("""COMPUTED_VALUE"""),0.5)</f>
        <v>0.5</v>
      </c>
    </row>
    <row r="511">
      <c r="A511" s="43" t="str">
        <f>IFERROR(__xludf.DUMMYFUNCTION("""COMPUTED_VALUE"""),"미르진&amp;전투쥐")</f>
        <v>미르진&amp;전투쥐</v>
      </c>
      <c r="B511" s="43">
        <f>IFERROR(__xludf.DUMMYFUNCTION("""COMPUTED_VALUE"""),3.0)</f>
        <v>3</v>
      </c>
      <c r="C511" s="43">
        <f>IFERROR(__xludf.DUMMYFUNCTION("""COMPUTED_VALUE"""),3.0)</f>
        <v>3</v>
      </c>
      <c r="D511" s="46">
        <f>IFERROR(__xludf.DUMMYFUNCTION("""COMPUTED_VALUE"""),0.5)</f>
        <v>0.5</v>
      </c>
    </row>
    <row r="512">
      <c r="A512" s="43" t="str">
        <f>IFERROR(__xludf.DUMMYFUNCTION("""COMPUTED_VALUE"""),"용이&amp;원")</f>
        <v>용이&amp;원</v>
      </c>
      <c r="B512" s="43">
        <f>IFERROR(__xludf.DUMMYFUNCTION("""COMPUTED_VALUE"""),3.0)</f>
        <v>3</v>
      </c>
      <c r="C512" s="43">
        <f>IFERROR(__xludf.DUMMYFUNCTION("""COMPUTED_VALUE"""),3.0)</f>
        <v>3</v>
      </c>
      <c r="D512" s="46">
        <f>IFERROR(__xludf.DUMMYFUNCTION("""COMPUTED_VALUE"""),0.5)</f>
        <v>0.5</v>
      </c>
    </row>
    <row r="513">
      <c r="A513" s="43" t="str">
        <f>IFERROR(__xludf.DUMMYFUNCTION("""COMPUTED_VALUE"""),"웅&amp;테리")</f>
        <v>웅&amp;테리</v>
      </c>
      <c r="B513" s="43">
        <f>IFERROR(__xludf.DUMMYFUNCTION("""COMPUTED_VALUE"""),3.0)</f>
        <v>3</v>
      </c>
      <c r="C513" s="43">
        <f>IFERROR(__xludf.DUMMYFUNCTION("""COMPUTED_VALUE"""),3.0)</f>
        <v>3</v>
      </c>
      <c r="D513" s="46">
        <f>IFERROR(__xludf.DUMMYFUNCTION("""COMPUTED_VALUE"""),0.5)</f>
        <v>0.5</v>
      </c>
    </row>
    <row r="514">
      <c r="A514" s="43" t="str">
        <f>IFERROR(__xludf.DUMMYFUNCTION("""COMPUTED_VALUE"""),"ACDC&amp;ovo")</f>
        <v>ACDC&amp;ovo</v>
      </c>
      <c r="B514" s="43">
        <f>IFERROR(__xludf.DUMMYFUNCTION("""COMPUTED_VALUE"""),3.0)</f>
        <v>3</v>
      </c>
      <c r="C514" s="43">
        <f>IFERROR(__xludf.DUMMYFUNCTION("""COMPUTED_VALUE"""),4.0)</f>
        <v>4</v>
      </c>
      <c r="D514" s="46">
        <f>IFERROR(__xludf.DUMMYFUNCTION("""COMPUTED_VALUE"""),0.42857142857142855)</f>
        <v>0.4285714286</v>
      </c>
    </row>
    <row r="515">
      <c r="A515" s="43" t="str">
        <f>IFERROR(__xludf.DUMMYFUNCTION("""COMPUTED_VALUE"""),"넘버&amp;단수")</f>
        <v>넘버&amp;단수</v>
      </c>
      <c r="B515" s="43">
        <f>IFERROR(__xludf.DUMMYFUNCTION("""COMPUTED_VALUE"""),3.0)</f>
        <v>3</v>
      </c>
      <c r="C515" s="43">
        <f>IFERROR(__xludf.DUMMYFUNCTION("""COMPUTED_VALUE"""),4.0)</f>
        <v>4</v>
      </c>
      <c r="D515" s="46">
        <f>IFERROR(__xludf.DUMMYFUNCTION("""COMPUTED_VALUE"""),0.42857142857142855)</f>
        <v>0.4285714286</v>
      </c>
    </row>
    <row r="516">
      <c r="A516" s="43" t="str">
        <f>IFERROR(__xludf.DUMMYFUNCTION("""COMPUTED_VALUE"""),"랄&amp;키키")</f>
        <v>랄&amp;키키</v>
      </c>
      <c r="B516" s="43">
        <f>IFERROR(__xludf.DUMMYFUNCTION("""COMPUTED_VALUE"""),3.0)</f>
        <v>3</v>
      </c>
      <c r="C516" s="43">
        <f>IFERROR(__xludf.DUMMYFUNCTION("""COMPUTED_VALUE"""),4.0)</f>
        <v>4</v>
      </c>
      <c r="D516" s="46">
        <f>IFERROR(__xludf.DUMMYFUNCTION("""COMPUTED_VALUE"""),0.42857142857142855)</f>
        <v>0.4285714286</v>
      </c>
    </row>
    <row r="517">
      <c r="A517" s="43" t="str">
        <f>IFERROR(__xludf.DUMMYFUNCTION("""COMPUTED_VALUE"""),"민우&amp;전투쥐")</f>
        <v>민우&amp;전투쥐</v>
      </c>
      <c r="B517" s="43">
        <f>IFERROR(__xludf.DUMMYFUNCTION("""COMPUTED_VALUE"""),3.0)</f>
        <v>3</v>
      </c>
      <c r="C517" s="43">
        <f>IFERROR(__xludf.DUMMYFUNCTION("""COMPUTED_VALUE"""),4.0)</f>
        <v>4</v>
      </c>
      <c r="D517" s="46">
        <f>IFERROR(__xludf.DUMMYFUNCTION("""COMPUTED_VALUE"""),0.42857142857142855)</f>
        <v>0.4285714286</v>
      </c>
    </row>
    <row r="518">
      <c r="A518" s="43" t="str">
        <f>IFERROR(__xludf.DUMMYFUNCTION("""COMPUTED_VALUE"""),"새출발&amp;테리")</f>
        <v>새출발&amp;테리</v>
      </c>
      <c r="B518" s="43">
        <f>IFERROR(__xludf.DUMMYFUNCTION("""COMPUTED_VALUE"""),3.0)</f>
        <v>3</v>
      </c>
      <c r="C518" s="43">
        <f>IFERROR(__xludf.DUMMYFUNCTION("""COMPUTED_VALUE"""),4.0)</f>
        <v>4</v>
      </c>
      <c r="D518" s="46">
        <f>IFERROR(__xludf.DUMMYFUNCTION("""COMPUTED_VALUE"""),0.42857142857142855)</f>
        <v>0.4285714286</v>
      </c>
    </row>
    <row r="519">
      <c r="A519" s="43" t="str">
        <f>IFERROR(__xludf.DUMMYFUNCTION("""COMPUTED_VALUE"""),"윙크&amp;재명")</f>
        <v>윙크&amp;재명</v>
      </c>
      <c r="B519" s="43">
        <f>IFERROR(__xludf.DUMMYFUNCTION("""COMPUTED_VALUE"""),3.0)</f>
        <v>3</v>
      </c>
      <c r="C519" s="43">
        <f>IFERROR(__xludf.DUMMYFUNCTION("""COMPUTED_VALUE"""),4.0)</f>
        <v>4</v>
      </c>
      <c r="D519" s="46">
        <f>IFERROR(__xludf.DUMMYFUNCTION("""COMPUTED_VALUE"""),0.42857142857142855)</f>
        <v>0.4285714286</v>
      </c>
    </row>
    <row r="520">
      <c r="A520" s="43" t="str">
        <f>IFERROR(__xludf.DUMMYFUNCTION("""COMPUTED_VALUE"""),"윙크&amp;재우")</f>
        <v>윙크&amp;재우</v>
      </c>
      <c r="B520" s="43">
        <f>IFERROR(__xludf.DUMMYFUNCTION("""COMPUTED_VALUE"""),3.0)</f>
        <v>3</v>
      </c>
      <c r="C520" s="43">
        <f>IFERROR(__xludf.DUMMYFUNCTION("""COMPUTED_VALUE"""),4.0)</f>
        <v>4</v>
      </c>
      <c r="D520" s="46">
        <f>IFERROR(__xludf.DUMMYFUNCTION("""COMPUTED_VALUE"""),0.42857142857142855)</f>
        <v>0.4285714286</v>
      </c>
    </row>
    <row r="521">
      <c r="A521" s="43" t="str">
        <f>IFERROR(__xludf.DUMMYFUNCTION("""COMPUTED_VALUE"""),"강화&amp;민우")</f>
        <v>강화&amp;민우</v>
      </c>
      <c r="B521" s="43">
        <f>IFERROR(__xludf.DUMMYFUNCTION("""COMPUTED_VALUE"""),3.0)</f>
        <v>3</v>
      </c>
      <c r="C521" s="43">
        <f>IFERROR(__xludf.DUMMYFUNCTION("""COMPUTED_VALUE"""),5.0)</f>
        <v>5</v>
      </c>
      <c r="D521" s="46">
        <f>IFERROR(__xludf.DUMMYFUNCTION("""COMPUTED_VALUE"""),0.375)</f>
        <v>0.375</v>
      </c>
    </row>
    <row r="522">
      <c r="A522" s="43" t="str">
        <f>IFERROR(__xludf.DUMMYFUNCTION("""COMPUTED_VALUE"""),"만두&amp;재명")</f>
        <v>만두&amp;재명</v>
      </c>
      <c r="B522" s="43">
        <f>IFERROR(__xludf.DUMMYFUNCTION("""COMPUTED_VALUE"""),3.0)</f>
        <v>3</v>
      </c>
      <c r="C522" s="43">
        <f>IFERROR(__xludf.DUMMYFUNCTION("""COMPUTED_VALUE"""),5.0)</f>
        <v>5</v>
      </c>
      <c r="D522" s="46">
        <f>IFERROR(__xludf.DUMMYFUNCTION("""COMPUTED_VALUE"""),0.375)</f>
        <v>0.375</v>
      </c>
    </row>
    <row r="523">
      <c r="A523" s="43" t="str">
        <f>IFERROR(__xludf.DUMMYFUNCTION("""COMPUTED_VALUE"""),"미르진&amp;조심")</f>
        <v>미르진&amp;조심</v>
      </c>
      <c r="B523" s="43">
        <f>IFERROR(__xludf.DUMMYFUNCTION("""COMPUTED_VALUE"""),3.0)</f>
        <v>3</v>
      </c>
      <c r="C523" s="43">
        <f>IFERROR(__xludf.DUMMYFUNCTION("""COMPUTED_VALUE"""),5.0)</f>
        <v>5</v>
      </c>
      <c r="D523" s="46">
        <f>IFERROR(__xludf.DUMMYFUNCTION("""COMPUTED_VALUE"""),0.375)</f>
        <v>0.375</v>
      </c>
    </row>
    <row r="524">
      <c r="A524" s="43" t="str">
        <f>IFERROR(__xludf.DUMMYFUNCTION("""COMPUTED_VALUE"""),"새출발&amp;한메")</f>
        <v>새출발&amp;한메</v>
      </c>
      <c r="B524" s="43">
        <f>IFERROR(__xludf.DUMMYFUNCTION("""COMPUTED_VALUE"""),3.0)</f>
        <v>3</v>
      </c>
      <c r="C524" s="43">
        <f>IFERROR(__xludf.DUMMYFUNCTION("""COMPUTED_VALUE"""),5.0)</f>
        <v>5</v>
      </c>
      <c r="D524" s="46">
        <f>IFERROR(__xludf.DUMMYFUNCTION("""COMPUTED_VALUE"""),0.375)</f>
        <v>0.375</v>
      </c>
    </row>
    <row r="525">
      <c r="A525" s="43" t="str">
        <f>IFERROR(__xludf.DUMMYFUNCTION("""COMPUTED_VALUE"""),"오딘&amp;찹쌀")</f>
        <v>오딘&amp;찹쌀</v>
      </c>
      <c r="B525" s="43">
        <f>IFERROR(__xludf.DUMMYFUNCTION("""COMPUTED_VALUE"""),3.0)</f>
        <v>3</v>
      </c>
      <c r="C525" s="43">
        <f>IFERROR(__xludf.DUMMYFUNCTION("""COMPUTED_VALUE"""),5.0)</f>
        <v>5</v>
      </c>
      <c r="D525" s="46">
        <f>IFERROR(__xludf.DUMMYFUNCTION("""COMPUTED_VALUE"""),0.375)</f>
        <v>0.375</v>
      </c>
    </row>
    <row r="526">
      <c r="A526" s="43" t="str">
        <f>IFERROR(__xludf.DUMMYFUNCTION("""COMPUTED_VALUE"""),"요즘&amp;조드")</f>
        <v>요즘&amp;조드</v>
      </c>
      <c r="B526" s="43">
        <f>IFERROR(__xludf.DUMMYFUNCTION("""COMPUTED_VALUE"""),3.0)</f>
        <v>3</v>
      </c>
      <c r="C526" s="43">
        <f>IFERROR(__xludf.DUMMYFUNCTION("""COMPUTED_VALUE"""),5.0)</f>
        <v>5</v>
      </c>
      <c r="D526" s="46">
        <f>IFERROR(__xludf.DUMMYFUNCTION("""COMPUTED_VALUE"""),0.375)</f>
        <v>0.375</v>
      </c>
    </row>
    <row r="527">
      <c r="A527" s="43" t="str">
        <f>IFERROR(__xludf.DUMMYFUNCTION("""COMPUTED_VALUE"""),"테리&amp;혀니")</f>
        <v>테리&amp;혀니</v>
      </c>
      <c r="B527" s="43">
        <f>IFERROR(__xludf.DUMMYFUNCTION("""COMPUTED_VALUE"""),3.0)</f>
        <v>3</v>
      </c>
      <c r="C527" s="43">
        <f>IFERROR(__xludf.DUMMYFUNCTION("""COMPUTED_VALUE"""),5.0)</f>
        <v>5</v>
      </c>
      <c r="D527" s="46">
        <f>IFERROR(__xludf.DUMMYFUNCTION("""COMPUTED_VALUE"""),0.375)</f>
        <v>0.375</v>
      </c>
    </row>
    <row r="528">
      <c r="A528" s="43" t="str">
        <f>IFERROR(__xludf.DUMMYFUNCTION("""COMPUTED_VALUE"""),"GYUL&amp;노인")</f>
        <v>GYUL&amp;노인</v>
      </c>
      <c r="B528" s="43">
        <f>IFERROR(__xludf.DUMMYFUNCTION("""COMPUTED_VALUE"""),3.0)</f>
        <v>3</v>
      </c>
      <c r="C528" s="43">
        <f>IFERROR(__xludf.DUMMYFUNCTION("""COMPUTED_VALUE"""),6.0)</f>
        <v>6</v>
      </c>
      <c r="D528" s="46">
        <f>IFERROR(__xludf.DUMMYFUNCTION("""COMPUTED_VALUE"""),0.3333333333333333)</f>
        <v>0.3333333333</v>
      </c>
    </row>
    <row r="529">
      <c r="A529" s="43" t="str">
        <f>IFERROR(__xludf.DUMMYFUNCTION("""COMPUTED_VALUE"""),"Leaf&amp;미등록")</f>
        <v>Leaf&amp;미등록</v>
      </c>
      <c r="B529" s="43">
        <f>IFERROR(__xludf.DUMMYFUNCTION("""COMPUTED_VALUE"""),3.0)</f>
        <v>3</v>
      </c>
      <c r="C529" s="43">
        <f>IFERROR(__xludf.DUMMYFUNCTION("""COMPUTED_VALUE"""),6.0)</f>
        <v>6</v>
      </c>
      <c r="D529" s="46">
        <f>IFERROR(__xludf.DUMMYFUNCTION("""COMPUTED_VALUE"""),0.3333333333333333)</f>
        <v>0.3333333333</v>
      </c>
    </row>
    <row r="530">
      <c r="A530" s="43" t="str">
        <f>IFERROR(__xludf.DUMMYFUNCTION("""COMPUTED_VALUE"""),"솔&amp;태식")</f>
        <v>솔&amp;태식</v>
      </c>
      <c r="B530" s="43">
        <f>IFERROR(__xludf.DUMMYFUNCTION("""COMPUTED_VALUE"""),3.0)</f>
        <v>3</v>
      </c>
      <c r="C530" s="43">
        <f>IFERROR(__xludf.DUMMYFUNCTION("""COMPUTED_VALUE"""),6.0)</f>
        <v>6</v>
      </c>
      <c r="D530" s="46">
        <f>IFERROR(__xludf.DUMMYFUNCTION("""COMPUTED_VALUE"""),0.3333333333333333)</f>
        <v>0.3333333333</v>
      </c>
    </row>
    <row r="531">
      <c r="A531" s="43" t="str">
        <f>IFERROR(__xludf.DUMMYFUNCTION("""COMPUTED_VALUE"""),"오딘&amp;원")</f>
        <v>오딘&amp;원</v>
      </c>
      <c r="B531" s="43">
        <f>IFERROR(__xludf.DUMMYFUNCTION("""COMPUTED_VALUE"""),3.0)</f>
        <v>3</v>
      </c>
      <c r="C531" s="43">
        <f>IFERROR(__xludf.DUMMYFUNCTION("""COMPUTED_VALUE"""),6.0)</f>
        <v>6</v>
      </c>
      <c r="D531" s="46">
        <f>IFERROR(__xludf.DUMMYFUNCTION("""COMPUTED_VALUE"""),0.3333333333333333)</f>
        <v>0.3333333333</v>
      </c>
    </row>
    <row r="532">
      <c r="A532" s="43" t="str">
        <f>IFERROR(__xludf.DUMMYFUNCTION("""COMPUTED_VALUE"""),"재명&amp;태식")</f>
        <v>재명&amp;태식</v>
      </c>
      <c r="B532" s="43">
        <f>IFERROR(__xludf.DUMMYFUNCTION("""COMPUTED_VALUE"""),3.0)</f>
        <v>3</v>
      </c>
      <c r="C532" s="43">
        <f>IFERROR(__xludf.DUMMYFUNCTION("""COMPUTED_VALUE"""),6.0)</f>
        <v>6</v>
      </c>
      <c r="D532" s="46">
        <f>IFERROR(__xludf.DUMMYFUNCTION("""COMPUTED_VALUE"""),0.3333333333333333)</f>
        <v>0.3333333333</v>
      </c>
    </row>
    <row r="533">
      <c r="A533" s="43" t="str">
        <f>IFERROR(__xludf.DUMMYFUNCTION("""COMPUTED_VALUE"""),"ACDC&amp;만두")</f>
        <v>ACDC&amp;만두</v>
      </c>
      <c r="B533" s="43">
        <f>IFERROR(__xludf.DUMMYFUNCTION("""COMPUTED_VALUE"""),3.0)</f>
        <v>3</v>
      </c>
      <c r="C533" s="43">
        <f>IFERROR(__xludf.DUMMYFUNCTION("""COMPUTED_VALUE"""),7.0)</f>
        <v>7</v>
      </c>
      <c r="D533" s="46">
        <f>IFERROR(__xludf.DUMMYFUNCTION("""COMPUTED_VALUE"""),0.3)</f>
        <v>0.3</v>
      </c>
    </row>
    <row r="534">
      <c r="A534" s="43" t="str">
        <f>IFERROR(__xludf.DUMMYFUNCTION("""COMPUTED_VALUE"""),"강화&amp;엘")</f>
        <v>강화&amp;엘</v>
      </c>
      <c r="B534" s="43">
        <f>IFERROR(__xludf.DUMMYFUNCTION("""COMPUTED_VALUE"""),3.0)</f>
        <v>3</v>
      </c>
      <c r="C534" s="43">
        <f>IFERROR(__xludf.DUMMYFUNCTION("""COMPUTED_VALUE"""),7.0)</f>
        <v>7</v>
      </c>
      <c r="D534" s="46">
        <f>IFERROR(__xludf.DUMMYFUNCTION("""COMPUTED_VALUE"""),0.3)</f>
        <v>0.3</v>
      </c>
    </row>
    <row r="535">
      <c r="A535" s="43" t="str">
        <f>IFERROR(__xludf.DUMMYFUNCTION("""COMPUTED_VALUE"""),"깡패&amp;단수")</f>
        <v>깡패&amp;단수</v>
      </c>
      <c r="B535" s="43">
        <f>IFERROR(__xludf.DUMMYFUNCTION("""COMPUTED_VALUE"""),3.0)</f>
        <v>3</v>
      </c>
      <c r="C535" s="43">
        <f>IFERROR(__xludf.DUMMYFUNCTION("""COMPUTED_VALUE"""),7.0)</f>
        <v>7</v>
      </c>
      <c r="D535" s="46">
        <f>IFERROR(__xludf.DUMMYFUNCTION("""COMPUTED_VALUE"""),0.3)</f>
        <v>0.3</v>
      </c>
    </row>
    <row r="536">
      <c r="A536" s="43" t="str">
        <f>IFERROR(__xludf.DUMMYFUNCTION("""COMPUTED_VALUE"""),"단수&amp;테리")</f>
        <v>단수&amp;테리</v>
      </c>
      <c r="B536" s="43">
        <f>IFERROR(__xludf.DUMMYFUNCTION("""COMPUTED_VALUE"""),3.0)</f>
        <v>3</v>
      </c>
      <c r="C536" s="43">
        <f>IFERROR(__xludf.DUMMYFUNCTION("""COMPUTED_VALUE"""),7.0)</f>
        <v>7</v>
      </c>
      <c r="D536" s="46">
        <f>IFERROR(__xludf.DUMMYFUNCTION("""COMPUTED_VALUE"""),0.3)</f>
        <v>0.3</v>
      </c>
    </row>
    <row r="537">
      <c r="A537" s="43" t="str">
        <f>IFERROR(__xludf.DUMMYFUNCTION("""COMPUTED_VALUE"""),"솔&amp;학생")</f>
        <v>솔&amp;학생</v>
      </c>
      <c r="B537" s="43">
        <f>IFERROR(__xludf.DUMMYFUNCTION("""COMPUTED_VALUE"""),3.0)</f>
        <v>3</v>
      </c>
      <c r="C537" s="43">
        <f>IFERROR(__xludf.DUMMYFUNCTION("""COMPUTED_VALUE"""),7.0)</f>
        <v>7</v>
      </c>
      <c r="D537" s="46">
        <f>IFERROR(__xludf.DUMMYFUNCTION("""COMPUTED_VALUE"""),0.3)</f>
        <v>0.3</v>
      </c>
    </row>
    <row r="538">
      <c r="A538" s="43" t="str">
        <f>IFERROR(__xludf.DUMMYFUNCTION("""COMPUTED_VALUE"""),"재명&amp;팰리")</f>
        <v>재명&amp;팰리</v>
      </c>
      <c r="B538" s="43">
        <f>IFERROR(__xludf.DUMMYFUNCTION("""COMPUTED_VALUE"""),3.0)</f>
        <v>3</v>
      </c>
      <c r="C538" s="43">
        <f>IFERROR(__xludf.DUMMYFUNCTION("""COMPUTED_VALUE"""),7.0)</f>
        <v>7</v>
      </c>
      <c r="D538" s="46">
        <f>IFERROR(__xludf.DUMMYFUNCTION("""COMPUTED_VALUE"""),0.3)</f>
        <v>0.3</v>
      </c>
    </row>
    <row r="539">
      <c r="A539" s="43" t="str">
        <f>IFERROR(__xludf.DUMMYFUNCTION("""COMPUTED_VALUE"""),"ACDC&amp;윈드")</f>
        <v>ACDC&amp;윈드</v>
      </c>
      <c r="B539" s="43">
        <f>IFERROR(__xludf.DUMMYFUNCTION("""COMPUTED_VALUE"""),3.0)</f>
        <v>3</v>
      </c>
      <c r="C539" s="43">
        <f>IFERROR(__xludf.DUMMYFUNCTION("""COMPUTED_VALUE"""),9.0)</f>
        <v>9</v>
      </c>
      <c r="D539" s="46">
        <f>IFERROR(__xludf.DUMMYFUNCTION("""COMPUTED_VALUE"""),0.25)</f>
        <v>0.25</v>
      </c>
    </row>
    <row r="540">
      <c r="A540" s="43" t="str">
        <f>IFERROR(__xludf.DUMMYFUNCTION("""COMPUTED_VALUE"""),"구리다&amp;조드")</f>
        <v>구리다&amp;조드</v>
      </c>
      <c r="B540" s="43">
        <f>IFERROR(__xludf.DUMMYFUNCTION("""COMPUTED_VALUE"""),3.0)</f>
        <v>3</v>
      </c>
      <c r="C540" s="43">
        <f>IFERROR(__xludf.DUMMYFUNCTION("""COMPUTED_VALUE"""),9.0)</f>
        <v>9</v>
      </c>
      <c r="D540" s="46">
        <f>IFERROR(__xludf.DUMMYFUNCTION("""COMPUTED_VALUE"""),0.25)</f>
        <v>0.25</v>
      </c>
    </row>
    <row r="541">
      <c r="A541" s="43" t="str">
        <f>IFERROR(__xludf.DUMMYFUNCTION("""COMPUTED_VALUE"""),"강화&amp;밍구")</f>
        <v>강화&amp;밍구</v>
      </c>
      <c r="B541" s="43">
        <f>IFERROR(__xludf.DUMMYFUNCTION("""COMPUTED_VALUE"""),3.0)</f>
        <v>3</v>
      </c>
      <c r="C541" s="43">
        <f>IFERROR(__xludf.DUMMYFUNCTION("""COMPUTED_VALUE"""),10.0)</f>
        <v>10</v>
      </c>
      <c r="D541" s="46">
        <f>IFERROR(__xludf.DUMMYFUNCTION("""COMPUTED_VALUE"""),0.23076923076923078)</f>
        <v>0.2307692308</v>
      </c>
    </row>
    <row r="542">
      <c r="A542" s="43" t="str">
        <f>IFERROR(__xludf.DUMMYFUNCTION("""COMPUTED_VALUE"""),"강화&amp;시아")</f>
        <v>강화&amp;시아</v>
      </c>
      <c r="B542" s="43">
        <f>IFERROR(__xludf.DUMMYFUNCTION("""COMPUTED_VALUE"""),3.0)</f>
        <v>3</v>
      </c>
      <c r="C542" s="43">
        <f>IFERROR(__xludf.DUMMYFUNCTION("""COMPUTED_VALUE"""),10.0)</f>
        <v>10</v>
      </c>
      <c r="D542" s="46">
        <f>IFERROR(__xludf.DUMMYFUNCTION("""COMPUTED_VALUE"""),0.23076923076923078)</f>
        <v>0.2307692308</v>
      </c>
    </row>
    <row r="543">
      <c r="A543" s="43" t="str">
        <f>IFERROR(__xludf.DUMMYFUNCTION("""COMPUTED_VALUE"""),"ACDC&amp;유즈")</f>
        <v>ACDC&amp;유즈</v>
      </c>
      <c r="B543" s="43">
        <f>IFERROR(__xludf.DUMMYFUNCTION("""COMPUTED_VALUE"""),3.0)</f>
        <v>3</v>
      </c>
      <c r="C543" s="43">
        <f>IFERROR(__xludf.DUMMYFUNCTION("""COMPUTED_VALUE"""),16.0)</f>
        <v>16</v>
      </c>
      <c r="D543" s="46">
        <f>IFERROR(__xludf.DUMMYFUNCTION("""COMPUTED_VALUE"""),0.15789473684210525)</f>
        <v>0.1578947368</v>
      </c>
    </row>
    <row r="544">
      <c r="A544" s="43" t="str">
        <f>IFERROR(__xludf.DUMMYFUNCTION("""COMPUTED_VALUE"""),"깡패&amp;밍구")</f>
        <v>깡패&amp;밍구</v>
      </c>
      <c r="B544" s="43">
        <f>IFERROR(__xludf.DUMMYFUNCTION("""COMPUTED_VALUE"""),3.0)</f>
        <v>3</v>
      </c>
      <c r="C544" s="43">
        <f>IFERROR(__xludf.DUMMYFUNCTION("""COMPUTED_VALUE"""),17.0)</f>
        <v>17</v>
      </c>
      <c r="D544" s="46">
        <f>IFERROR(__xludf.DUMMYFUNCTION("""COMPUTED_VALUE"""),0.15)</f>
        <v>0.15</v>
      </c>
    </row>
    <row r="545">
      <c r="A545" s="43" t="str">
        <f>IFERROR(__xludf.DUMMYFUNCTION("""COMPUTED_VALUE"""),"ACDC&amp;필찌")</f>
        <v>ACDC&amp;필찌</v>
      </c>
      <c r="B545" s="43">
        <f>IFERROR(__xludf.DUMMYFUNCTION("""COMPUTED_VALUE"""),3.0)</f>
        <v>3</v>
      </c>
      <c r="C545" s="43">
        <f>IFERROR(__xludf.DUMMYFUNCTION("""COMPUTED_VALUE"""),19.0)</f>
        <v>19</v>
      </c>
      <c r="D545" s="46">
        <f>IFERROR(__xludf.DUMMYFUNCTION("""COMPUTED_VALUE"""),0.13636363636363635)</f>
        <v>0.1363636364</v>
      </c>
    </row>
    <row r="546">
      <c r="A546" s="43" t="str">
        <f>IFERROR(__xludf.DUMMYFUNCTION("""COMPUTED_VALUE"""),"ACDC&amp;오딘")</f>
        <v>ACDC&amp;오딘</v>
      </c>
      <c r="B546" s="43">
        <f>IFERROR(__xludf.DUMMYFUNCTION("""COMPUTED_VALUE"""),3.0)</f>
        <v>3</v>
      </c>
      <c r="C546" s="43">
        <f>IFERROR(__xludf.DUMMYFUNCTION("""COMPUTED_VALUE"""),21.0)</f>
        <v>21</v>
      </c>
      <c r="D546" s="46">
        <f>IFERROR(__xludf.DUMMYFUNCTION("""COMPUTED_VALUE"""),0.125)</f>
        <v>0.125</v>
      </c>
    </row>
    <row r="547">
      <c r="A547" s="43" t="str">
        <f>IFERROR(__xludf.DUMMYFUNCTION("""COMPUTED_VALUE"""),"전투쥐&amp;태식")</f>
        <v>전투쥐&amp;태식</v>
      </c>
      <c r="B547" s="43">
        <f>IFERROR(__xludf.DUMMYFUNCTION("""COMPUTED_VALUE"""),3.0)</f>
        <v>3</v>
      </c>
      <c r="C547" s="43">
        <f>IFERROR(__xludf.DUMMYFUNCTION("""COMPUTED_VALUE"""),21.0)</f>
        <v>21</v>
      </c>
      <c r="D547" s="46">
        <f>IFERROR(__xludf.DUMMYFUNCTION("""COMPUTED_VALUE"""),0.125)</f>
        <v>0.125</v>
      </c>
    </row>
    <row r="548">
      <c r="A548" s="43" t="str">
        <f>IFERROR(__xludf.DUMMYFUNCTION("""COMPUTED_VALUE"""),"간달프&amp;신형만")</f>
        <v>간달프&amp;신형만</v>
      </c>
      <c r="B548" s="43">
        <f>IFERROR(__xludf.DUMMYFUNCTION("""COMPUTED_VALUE"""),2.0)</f>
        <v>2</v>
      </c>
      <c r="C548" s="43">
        <f>IFERROR(__xludf.DUMMYFUNCTION("""COMPUTED_VALUE"""),0.0)</f>
        <v>0</v>
      </c>
      <c r="D548" s="46">
        <f>IFERROR(__xludf.DUMMYFUNCTION("""COMPUTED_VALUE"""),1.0)</f>
        <v>1</v>
      </c>
    </row>
    <row r="549">
      <c r="A549" s="43" t="str">
        <f>IFERROR(__xludf.DUMMYFUNCTION("""COMPUTED_VALUE"""),"구리다&amp;웅")</f>
        <v>구리다&amp;웅</v>
      </c>
      <c r="B549" s="43">
        <f>IFERROR(__xludf.DUMMYFUNCTION("""COMPUTED_VALUE"""),2.0)</f>
        <v>2</v>
      </c>
      <c r="C549" s="43">
        <f>IFERROR(__xludf.DUMMYFUNCTION("""COMPUTED_VALUE"""),0.0)</f>
        <v>0</v>
      </c>
      <c r="D549" s="46">
        <f>IFERROR(__xludf.DUMMYFUNCTION("""COMPUTED_VALUE"""),1.0)</f>
        <v>1</v>
      </c>
    </row>
    <row r="550">
      <c r="A550" s="43" t="str">
        <f>IFERROR(__xludf.DUMMYFUNCTION("""COMPUTED_VALUE"""),"기재&amp;따")</f>
        <v>기재&amp;따</v>
      </c>
      <c r="B550" s="43">
        <f>IFERROR(__xludf.DUMMYFUNCTION("""COMPUTED_VALUE"""),2.0)</f>
        <v>2</v>
      </c>
      <c r="C550" s="43">
        <f>IFERROR(__xludf.DUMMYFUNCTION("""COMPUTED_VALUE"""),0.0)</f>
        <v>0</v>
      </c>
      <c r="D550" s="46">
        <f>IFERROR(__xludf.DUMMYFUNCTION("""COMPUTED_VALUE"""),1.0)</f>
        <v>1</v>
      </c>
    </row>
    <row r="551">
      <c r="A551" s="43" t="str">
        <f>IFERROR(__xludf.DUMMYFUNCTION("""COMPUTED_VALUE"""),"깡패&amp;롤")</f>
        <v>깡패&amp;롤</v>
      </c>
      <c r="B551" s="43">
        <f>IFERROR(__xludf.DUMMYFUNCTION("""COMPUTED_VALUE"""),2.0)</f>
        <v>2</v>
      </c>
      <c r="C551" s="43">
        <f>IFERROR(__xludf.DUMMYFUNCTION("""COMPUTED_VALUE"""),0.0)</f>
        <v>0</v>
      </c>
      <c r="D551" s="46">
        <f>IFERROR(__xludf.DUMMYFUNCTION("""COMPUTED_VALUE"""),1.0)</f>
        <v>1</v>
      </c>
    </row>
    <row r="552">
      <c r="A552" s="43" t="str">
        <f>IFERROR(__xludf.DUMMYFUNCTION("""COMPUTED_VALUE"""),"깡패&amp;재규어")</f>
        <v>깡패&amp;재규어</v>
      </c>
      <c r="B552" s="43">
        <f>IFERROR(__xludf.DUMMYFUNCTION("""COMPUTED_VALUE"""),2.0)</f>
        <v>2</v>
      </c>
      <c r="C552" s="43">
        <f>IFERROR(__xludf.DUMMYFUNCTION("""COMPUTED_VALUE"""),0.0)</f>
        <v>0</v>
      </c>
      <c r="D552" s="46">
        <f>IFERROR(__xludf.DUMMYFUNCTION("""COMPUTED_VALUE"""),1.0)</f>
        <v>1</v>
      </c>
    </row>
    <row r="553">
      <c r="A553" s="43" t="str">
        <f>IFERROR(__xludf.DUMMYFUNCTION("""COMPUTED_VALUE"""),"노인&amp;뼈해장국")</f>
        <v>노인&amp;뼈해장국</v>
      </c>
      <c r="B553" s="43">
        <f>IFERROR(__xludf.DUMMYFUNCTION("""COMPUTED_VALUE"""),2.0)</f>
        <v>2</v>
      </c>
      <c r="C553" s="43">
        <f>IFERROR(__xludf.DUMMYFUNCTION("""COMPUTED_VALUE"""),0.0)</f>
        <v>0</v>
      </c>
      <c r="D553" s="46">
        <f>IFERROR(__xludf.DUMMYFUNCTION("""COMPUTED_VALUE"""),1.0)</f>
        <v>1</v>
      </c>
    </row>
    <row r="554">
      <c r="A554" s="43" t="str">
        <f>IFERROR(__xludf.DUMMYFUNCTION("""COMPUTED_VALUE"""),"따&amp;키키")</f>
        <v>따&amp;키키</v>
      </c>
      <c r="B554" s="43">
        <f>IFERROR(__xludf.DUMMYFUNCTION("""COMPUTED_VALUE"""),2.0)</f>
        <v>2</v>
      </c>
      <c r="C554" s="43">
        <f>IFERROR(__xludf.DUMMYFUNCTION("""COMPUTED_VALUE"""),0.0)</f>
        <v>0</v>
      </c>
      <c r="D554" s="46">
        <f>IFERROR(__xludf.DUMMYFUNCTION("""COMPUTED_VALUE"""),1.0)</f>
        <v>1</v>
      </c>
    </row>
    <row r="555">
      <c r="A555" s="43" t="str">
        <f>IFERROR(__xludf.DUMMYFUNCTION("""COMPUTED_VALUE"""),"랄&amp;지피")</f>
        <v>랄&amp;지피</v>
      </c>
      <c r="B555" s="43">
        <f>IFERROR(__xludf.DUMMYFUNCTION("""COMPUTED_VALUE"""),2.0)</f>
        <v>2</v>
      </c>
      <c r="C555" s="43">
        <f>IFERROR(__xludf.DUMMYFUNCTION("""COMPUTED_VALUE"""),0.0)</f>
        <v>0</v>
      </c>
      <c r="D555" s="46">
        <f>IFERROR(__xludf.DUMMYFUNCTION("""COMPUTED_VALUE"""),1.0)</f>
        <v>1</v>
      </c>
    </row>
    <row r="556">
      <c r="A556" s="43" t="str">
        <f>IFERROR(__xludf.DUMMYFUNCTION("""COMPUTED_VALUE"""),"만두&amp;조드")</f>
        <v>만두&amp;조드</v>
      </c>
      <c r="B556" s="43">
        <f>IFERROR(__xludf.DUMMYFUNCTION("""COMPUTED_VALUE"""),2.0)</f>
        <v>2</v>
      </c>
      <c r="C556" s="43">
        <f>IFERROR(__xludf.DUMMYFUNCTION("""COMPUTED_VALUE"""),0.0)</f>
        <v>0</v>
      </c>
      <c r="D556" s="46">
        <f>IFERROR(__xludf.DUMMYFUNCTION("""COMPUTED_VALUE"""),1.0)</f>
        <v>1</v>
      </c>
    </row>
    <row r="557">
      <c r="A557" s="43" t="str">
        <f>IFERROR(__xludf.DUMMYFUNCTION("""COMPUTED_VALUE"""),"미등록&amp;엘더")</f>
        <v>미등록&amp;엘더</v>
      </c>
      <c r="B557" s="43">
        <f>IFERROR(__xludf.DUMMYFUNCTION("""COMPUTED_VALUE"""),2.0)</f>
        <v>2</v>
      </c>
      <c r="C557" s="43">
        <f>IFERROR(__xludf.DUMMYFUNCTION("""COMPUTED_VALUE"""),0.0)</f>
        <v>0</v>
      </c>
      <c r="D557" s="46">
        <f>IFERROR(__xludf.DUMMYFUNCTION("""COMPUTED_VALUE"""),1.0)</f>
        <v>1</v>
      </c>
    </row>
    <row r="558">
      <c r="A558" s="43" t="str">
        <f>IFERROR(__xludf.DUMMYFUNCTION("""COMPUTED_VALUE"""),"미등록&amp;윙크")</f>
        <v>미등록&amp;윙크</v>
      </c>
      <c r="B558" s="43">
        <f>IFERROR(__xludf.DUMMYFUNCTION("""COMPUTED_VALUE"""),2.0)</f>
        <v>2</v>
      </c>
      <c r="C558" s="43">
        <f>IFERROR(__xludf.DUMMYFUNCTION("""COMPUTED_VALUE"""),0.0)</f>
        <v>0</v>
      </c>
      <c r="D558" s="46">
        <f>IFERROR(__xludf.DUMMYFUNCTION("""COMPUTED_VALUE"""),1.0)</f>
        <v>1</v>
      </c>
    </row>
    <row r="559">
      <c r="A559" s="43" t="str">
        <f>IFERROR(__xludf.DUMMYFUNCTION("""COMPUTED_VALUE"""),"민우&amp;튜브")</f>
        <v>민우&amp;튜브</v>
      </c>
      <c r="B559" s="43">
        <f>IFERROR(__xludf.DUMMYFUNCTION("""COMPUTED_VALUE"""),2.0)</f>
        <v>2</v>
      </c>
      <c r="C559" s="43">
        <f>IFERROR(__xludf.DUMMYFUNCTION("""COMPUTED_VALUE"""),0.0)</f>
        <v>0</v>
      </c>
      <c r="D559" s="46">
        <f>IFERROR(__xludf.DUMMYFUNCTION("""COMPUTED_VALUE"""),1.0)</f>
        <v>1</v>
      </c>
    </row>
    <row r="560">
      <c r="A560" s="43" t="str">
        <f>IFERROR(__xludf.DUMMYFUNCTION("""COMPUTED_VALUE"""),"시아&amp;악동")</f>
        <v>시아&amp;악동</v>
      </c>
      <c r="B560" s="43">
        <f>IFERROR(__xludf.DUMMYFUNCTION("""COMPUTED_VALUE"""),2.0)</f>
        <v>2</v>
      </c>
      <c r="C560" s="43">
        <f>IFERROR(__xludf.DUMMYFUNCTION("""COMPUTED_VALUE"""),0.0)</f>
        <v>0</v>
      </c>
      <c r="D560" s="46">
        <f>IFERROR(__xludf.DUMMYFUNCTION("""COMPUTED_VALUE"""),1.0)</f>
        <v>1</v>
      </c>
    </row>
    <row r="561">
      <c r="A561" s="43" t="str">
        <f>IFERROR(__xludf.DUMMYFUNCTION("""COMPUTED_VALUE"""),"시아&amp;조드")</f>
        <v>시아&amp;조드</v>
      </c>
      <c r="B561" s="43">
        <f>IFERROR(__xludf.DUMMYFUNCTION("""COMPUTED_VALUE"""),2.0)</f>
        <v>2</v>
      </c>
      <c r="C561" s="43">
        <f>IFERROR(__xludf.DUMMYFUNCTION("""COMPUTED_VALUE"""),0.0)</f>
        <v>0</v>
      </c>
      <c r="D561" s="46">
        <f>IFERROR(__xludf.DUMMYFUNCTION("""COMPUTED_VALUE"""),1.0)</f>
        <v>1</v>
      </c>
    </row>
    <row r="562">
      <c r="A562" s="43" t="str">
        <f>IFERROR(__xludf.DUMMYFUNCTION("""COMPUTED_VALUE"""),"시아&amp;짱구")</f>
        <v>시아&amp;짱구</v>
      </c>
      <c r="B562" s="43">
        <f>IFERROR(__xludf.DUMMYFUNCTION("""COMPUTED_VALUE"""),2.0)</f>
        <v>2</v>
      </c>
      <c r="C562" s="43">
        <f>IFERROR(__xludf.DUMMYFUNCTION("""COMPUTED_VALUE"""),0.0)</f>
        <v>0</v>
      </c>
      <c r="D562" s="46">
        <f>IFERROR(__xludf.DUMMYFUNCTION("""COMPUTED_VALUE"""),1.0)</f>
        <v>1</v>
      </c>
    </row>
    <row r="563">
      <c r="A563" s="43" t="str">
        <f>IFERROR(__xludf.DUMMYFUNCTION("""COMPUTED_VALUE"""),"신형만&amp;용갈")</f>
        <v>신형만&amp;용갈</v>
      </c>
      <c r="B563" s="43">
        <f>IFERROR(__xludf.DUMMYFUNCTION("""COMPUTED_VALUE"""),2.0)</f>
        <v>2</v>
      </c>
      <c r="C563" s="43">
        <f>IFERROR(__xludf.DUMMYFUNCTION("""COMPUTED_VALUE"""),0.0)</f>
        <v>0</v>
      </c>
      <c r="D563" s="46">
        <f>IFERROR(__xludf.DUMMYFUNCTION("""COMPUTED_VALUE"""),1.0)</f>
        <v>1</v>
      </c>
    </row>
    <row r="564">
      <c r="A564" s="43" t="str">
        <f>IFERROR(__xludf.DUMMYFUNCTION("""COMPUTED_VALUE"""),"악동&amp;조드")</f>
        <v>악동&amp;조드</v>
      </c>
      <c r="B564" s="43">
        <f>IFERROR(__xludf.DUMMYFUNCTION("""COMPUTED_VALUE"""),2.0)</f>
        <v>2</v>
      </c>
      <c r="C564" s="43">
        <f>IFERROR(__xludf.DUMMYFUNCTION("""COMPUTED_VALUE"""),0.0)</f>
        <v>0</v>
      </c>
      <c r="D564" s="46">
        <f>IFERROR(__xludf.DUMMYFUNCTION("""COMPUTED_VALUE"""),1.0)</f>
        <v>1</v>
      </c>
    </row>
    <row r="565">
      <c r="A565" s="43" t="str">
        <f>IFERROR(__xludf.DUMMYFUNCTION("""COMPUTED_VALUE"""),"엘더&amp;웅")</f>
        <v>엘더&amp;웅</v>
      </c>
      <c r="B565" s="43">
        <f>IFERROR(__xludf.DUMMYFUNCTION("""COMPUTED_VALUE"""),2.0)</f>
        <v>2</v>
      </c>
      <c r="C565" s="43">
        <f>IFERROR(__xludf.DUMMYFUNCTION("""COMPUTED_VALUE"""),0.0)</f>
        <v>0</v>
      </c>
      <c r="D565" s="46">
        <f>IFERROR(__xludf.DUMMYFUNCTION("""COMPUTED_VALUE"""),1.0)</f>
        <v>1</v>
      </c>
    </row>
    <row r="566">
      <c r="A566" s="43" t="str">
        <f>IFERROR(__xludf.DUMMYFUNCTION("""COMPUTED_VALUE"""),"엘더&amp;윙크")</f>
        <v>엘더&amp;윙크</v>
      </c>
      <c r="B566" s="43">
        <f>IFERROR(__xludf.DUMMYFUNCTION("""COMPUTED_VALUE"""),2.0)</f>
        <v>2</v>
      </c>
      <c r="C566" s="43">
        <f>IFERROR(__xludf.DUMMYFUNCTION("""COMPUTED_VALUE"""),0.0)</f>
        <v>0</v>
      </c>
      <c r="D566" s="46">
        <f>IFERROR(__xludf.DUMMYFUNCTION("""COMPUTED_VALUE"""),1.0)</f>
        <v>1</v>
      </c>
    </row>
    <row r="567">
      <c r="A567" s="43" t="str">
        <f>IFERROR(__xludf.DUMMYFUNCTION("""COMPUTED_VALUE"""),"오크&amp;튜브")</f>
        <v>오크&amp;튜브</v>
      </c>
      <c r="B567" s="43">
        <f>IFERROR(__xludf.DUMMYFUNCTION("""COMPUTED_VALUE"""),2.0)</f>
        <v>2</v>
      </c>
      <c r="C567" s="43">
        <f>IFERROR(__xludf.DUMMYFUNCTION("""COMPUTED_VALUE"""),0.0)</f>
        <v>0</v>
      </c>
      <c r="D567" s="46">
        <f>IFERROR(__xludf.DUMMYFUNCTION("""COMPUTED_VALUE"""),1.0)</f>
        <v>1</v>
      </c>
    </row>
    <row r="568">
      <c r="A568" s="43" t="str">
        <f>IFERROR(__xludf.DUMMYFUNCTION("""COMPUTED_VALUE"""),"유즈&amp;전투쥐")</f>
        <v>유즈&amp;전투쥐</v>
      </c>
      <c r="B568" s="43">
        <f>IFERROR(__xludf.DUMMYFUNCTION("""COMPUTED_VALUE"""),2.0)</f>
        <v>2</v>
      </c>
      <c r="C568" s="43">
        <f>IFERROR(__xludf.DUMMYFUNCTION("""COMPUTED_VALUE"""),0.0)</f>
        <v>0</v>
      </c>
      <c r="D568" s="46">
        <f>IFERROR(__xludf.DUMMYFUNCTION("""COMPUTED_VALUE"""),1.0)</f>
        <v>1</v>
      </c>
    </row>
    <row r="569">
      <c r="A569" s="43" t="str">
        <f>IFERROR(__xludf.DUMMYFUNCTION("""COMPUTED_VALUE"""),"재규어&amp;조드")</f>
        <v>재규어&amp;조드</v>
      </c>
      <c r="B569" s="43">
        <f>IFERROR(__xludf.DUMMYFUNCTION("""COMPUTED_VALUE"""),2.0)</f>
        <v>2</v>
      </c>
      <c r="C569" s="43">
        <f>IFERROR(__xludf.DUMMYFUNCTION("""COMPUTED_VALUE"""),0.0)</f>
        <v>0</v>
      </c>
      <c r="D569" s="46">
        <f>IFERROR(__xludf.DUMMYFUNCTION("""COMPUTED_VALUE"""),1.0)</f>
        <v>1</v>
      </c>
    </row>
    <row r="570">
      <c r="A570" s="43" t="str">
        <f>IFERROR(__xludf.DUMMYFUNCTION("""COMPUTED_VALUE"""),"재우&amp;지피")</f>
        <v>재우&amp;지피</v>
      </c>
      <c r="B570" s="43">
        <f>IFERROR(__xludf.DUMMYFUNCTION("""COMPUTED_VALUE"""),2.0)</f>
        <v>2</v>
      </c>
      <c r="C570" s="43">
        <f>IFERROR(__xludf.DUMMYFUNCTION("""COMPUTED_VALUE"""),0.0)</f>
        <v>0</v>
      </c>
      <c r="D570" s="46">
        <f>IFERROR(__xludf.DUMMYFUNCTION("""COMPUTED_VALUE"""),1.0)</f>
        <v>1</v>
      </c>
    </row>
    <row r="571">
      <c r="A571" s="43" t="str">
        <f>IFERROR(__xludf.DUMMYFUNCTION("""COMPUTED_VALUE"""),"GYUL&amp;원")</f>
        <v>GYUL&amp;원</v>
      </c>
      <c r="B571" s="43">
        <f>IFERROR(__xludf.DUMMYFUNCTION("""COMPUTED_VALUE"""),2.0)</f>
        <v>2</v>
      </c>
      <c r="C571" s="43">
        <f>IFERROR(__xludf.DUMMYFUNCTION("""COMPUTED_VALUE"""),1.0)</f>
        <v>1</v>
      </c>
      <c r="D571" s="46">
        <f>IFERROR(__xludf.DUMMYFUNCTION("""COMPUTED_VALUE"""),0.6666666666666666)</f>
        <v>0.6666666667</v>
      </c>
    </row>
    <row r="572">
      <c r="A572" s="43" t="str">
        <f>IFERROR(__xludf.DUMMYFUNCTION("""COMPUTED_VALUE"""),"Leaf&amp;한메")</f>
        <v>Leaf&amp;한메</v>
      </c>
      <c r="B572" s="43">
        <f>IFERROR(__xludf.DUMMYFUNCTION("""COMPUTED_VALUE"""),2.0)</f>
        <v>2</v>
      </c>
      <c r="C572" s="43">
        <f>IFERROR(__xludf.DUMMYFUNCTION("""COMPUTED_VALUE"""),1.0)</f>
        <v>1</v>
      </c>
      <c r="D572" s="46">
        <f>IFERROR(__xludf.DUMMYFUNCTION("""COMPUTED_VALUE"""),0.6666666666666666)</f>
        <v>0.6666666667</v>
      </c>
    </row>
    <row r="573">
      <c r="A573" s="43" t="str">
        <f>IFERROR(__xludf.DUMMYFUNCTION("""COMPUTED_VALUE"""),"ovo&amp;민우")</f>
        <v>ovo&amp;민우</v>
      </c>
      <c r="B573" s="43">
        <f>IFERROR(__xludf.DUMMYFUNCTION("""COMPUTED_VALUE"""),2.0)</f>
        <v>2</v>
      </c>
      <c r="C573" s="43">
        <f>IFERROR(__xludf.DUMMYFUNCTION("""COMPUTED_VALUE"""),1.0)</f>
        <v>1</v>
      </c>
      <c r="D573" s="46">
        <f>IFERROR(__xludf.DUMMYFUNCTION("""COMPUTED_VALUE"""),0.6666666666666666)</f>
        <v>0.6666666667</v>
      </c>
    </row>
    <row r="574">
      <c r="A574" s="43" t="str">
        <f>IFERROR(__xludf.DUMMYFUNCTION("""COMPUTED_VALUE"""),"따&amp;박서")</f>
        <v>따&amp;박서</v>
      </c>
      <c r="B574" s="43">
        <f>IFERROR(__xludf.DUMMYFUNCTION("""COMPUTED_VALUE"""),2.0)</f>
        <v>2</v>
      </c>
      <c r="C574" s="43">
        <f>IFERROR(__xludf.DUMMYFUNCTION("""COMPUTED_VALUE"""),1.0)</f>
        <v>1</v>
      </c>
      <c r="D574" s="46">
        <f>IFERROR(__xludf.DUMMYFUNCTION("""COMPUTED_VALUE"""),0.6666666666666666)</f>
        <v>0.6666666667</v>
      </c>
    </row>
    <row r="575">
      <c r="A575" s="43" t="str">
        <f>IFERROR(__xludf.DUMMYFUNCTION("""COMPUTED_VALUE"""),"따&amp;재명")</f>
        <v>따&amp;재명</v>
      </c>
      <c r="B575" s="43">
        <f>IFERROR(__xludf.DUMMYFUNCTION("""COMPUTED_VALUE"""),2.0)</f>
        <v>2</v>
      </c>
      <c r="C575" s="43">
        <f>IFERROR(__xludf.DUMMYFUNCTION("""COMPUTED_VALUE"""),1.0)</f>
        <v>1</v>
      </c>
      <c r="D575" s="46">
        <f>IFERROR(__xludf.DUMMYFUNCTION("""COMPUTED_VALUE"""),0.6666666666666666)</f>
        <v>0.6666666667</v>
      </c>
    </row>
    <row r="576">
      <c r="A576" s="43" t="str">
        <f>IFERROR(__xludf.DUMMYFUNCTION("""COMPUTED_VALUE"""),"랄&amp;아이딘")</f>
        <v>랄&amp;아이딘</v>
      </c>
      <c r="B576" s="43">
        <f>IFERROR(__xludf.DUMMYFUNCTION("""COMPUTED_VALUE"""),2.0)</f>
        <v>2</v>
      </c>
      <c r="C576" s="43">
        <f>IFERROR(__xludf.DUMMYFUNCTION("""COMPUTED_VALUE"""),1.0)</f>
        <v>1</v>
      </c>
      <c r="D576" s="46">
        <f>IFERROR(__xludf.DUMMYFUNCTION("""COMPUTED_VALUE"""),0.6666666666666666)</f>
        <v>0.6666666667</v>
      </c>
    </row>
    <row r="577">
      <c r="A577" s="43" t="str">
        <f>IFERROR(__xludf.DUMMYFUNCTION("""COMPUTED_VALUE"""),"민우&amp;엘더")</f>
        <v>민우&amp;엘더</v>
      </c>
      <c r="B577" s="43">
        <f>IFERROR(__xludf.DUMMYFUNCTION("""COMPUTED_VALUE"""),2.0)</f>
        <v>2</v>
      </c>
      <c r="C577" s="43">
        <f>IFERROR(__xludf.DUMMYFUNCTION("""COMPUTED_VALUE"""),1.0)</f>
        <v>1</v>
      </c>
      <c r="D577" s="46">
        <f>IFERROR(__xludf.DUMMYFUNCTION("""COMPUTED_VALUE"""),0.6666666666666666)</f>
        <v>0.6666666667</v>
      </c>
    </row>
    <row r="578">
      <c r="A578" s="43" t="str">
        <f>IFERROR(__xludf.DUMMYFUNCTION("""COMPUTED_VALUE"""),"민우&amp;필찌")</f>
        <v>민우&amp;필찌</v>
      </c>
      <c r="B578" s="43">
        <f>IFERROR(__xludf.DUMMYFUNCTION("""COMPUTED_VALUE"""),2.0)</f>
        <v>2</v>
      </c>
      <c r="C578" s="43">
        <f>IFERROR(__xludf.DUMMYFUNCTION("""COMPUTED_VALUE"""),1.0)</f>
        <v>1</v>
      </c>
      <c r="D578" s="46">
        <f>IFERROR(__xludf.DUMMYFUNCTION("""COMPUTED_VALUE"""),0.6666666666666666)</f>
        <v>0.6666666667</v>
      </c>
    </row>
    <row r="579">
      <c r="A579" s="43" t="str">
        <f>IFERROR(__xludf.DUMMYFUNCTION("""COMPUTED_VALUE"""),"아이딘&amp;전투쥐")</f>
        <v>아이딘&amp;전투쥐</v>
      </c>
      <c r="B579" s="43">
        <f>IFERROR(__xludf.DUMMYFUNCTION("""COMPUTED_VALUE"""),2.0)</f>
        <v>2</v>
      </c>
      <c r="C579" s="43">
        <f>IFERROR(__xludf.DUMMYFUNCTION("""COMPUTED_VALUE"""),1.0)</f>
        <v>1</v>
      </c>
      <c r="D579" s="46">
        <f>IFERROR(__xludf.DUMMYFUNCTION("""COMPUTED_VALUE"""),0.6666666666666666)</f>
        <v>0.6666666667</v>
      </c>
    </row>
    <row r="580">
      <c r="A580" s="43" t="str">
        <f>IFERROR(__xludf.DUMMYFUNCTION("""COMPUTED_VALUE"""),"엘&amp;짱구")</f>
        <v>엘&amp;짱구</v>
      </c>
      <c r="B580" s="43">
        <f>IFERROR(__xludf.DUMMYFUNCTION("""COMPUTED_VALUE"""),2.0)</f>
        <v>2</v>
      </c>
      <c r="C580" s="43">
        <f>IFERROR(__xludf.DUMMYFUNCTION("""COMPUTED_VALUE"""),1.0)</f>
        <v>1</v>
      </c>
      <c r="D580" s="46">
        <f>IFERROR(__xludf.DUMMYFUNCTION("""COMPUTED_VALUE"""),0.6666666666666666)</f>
        <v>0.6666666667</v>
      </c>
    </row>
    <row r="581">
      <c r="A581" s="43" t="str">
        <f>IFERROR(__xludf.DUMMYFUNCTION("""COMPUTED_VALUE"""),"엘더&amp;요즘")</f>
        <v>엘더&amp;요즘</v>
      </c>
      <c r="B581" s="43">
        <f>IFERROR(__xludf.DUMMYFUNCTION("""COMPUTED_VALUE"""),2.0)</f>
        <v>2</v>
      </c>
      <c r="C581" s="43">
        <f>IFERROR(__xludf.DUMMYFUNCTION("""COMPUTED_VALUE"""),1.0)</f>
        <v>1</v>
      </c>
      <c r="D581" s="46">
        <f>IFERROR(__xludf.DUMMYFUNCTION("""COMPUTED_VALUE"""),0.6666666666666666)</f>
        <v>0.6666666667</v>
      </c>
    </row>
    <row r="582">
      <c r="A582" s="43" t="str">
        <f>IFERROR(__xludf.DUMMYFUNCTION("""COMPUTED_VALUE"""),"오크&amp;요즘")</f>
        <v>오크&amp;요즘</v>
      </c>
      <c r="B582" s="43">
        <f>IFERROR(__xludf.DUMMYFUNCTION("""COMPUTED_VALUE"""),2.0)</f>
        <v>2</v>
      </c>
      <c r="C582" s="43">
        <f>IFERROR(__xludf.DUMMYFUNCTION("""COMPUTED_VALUE"""),1.0)</f>
        <v>1</v>
      </c>
      <c r="D582" s="46">
        <f>IFERROR(__xludf.DUMMYFUNCTION("""COMPUTED_VALUE"""),0.6666666666666666)</f>
        <v>0.6666666667</v>
      </c>
    </row>
    <row r="583">
      <c r="A583" s="43" t="str">
        <f>IFERROR(__xludf.DUMMYFUNCTION("""COMPUTED_VALUE"""),"오크&amp;참치")</f>
        <v>오크&amp;참치</v>
      </c>
      <c r="B583" s="43">
        <f>IFERROR(__xludf.DUMMYFUNCTION("""COMPUTED_VALUE"""),2.0)</f>
        <v>2</v>
      </c>
      <c r="C583" s="43">
        <f>IFERROR(__xludf.DUMMYFUNCTION("""COMPUTED_VALUE"""),1.0)</f>
        <v>1</v>
      </c>
      <c r="D583" s="46">
        <f>IFERROR(__xludf.DUMMYFUNCTION("""COMPUTED_VALUE"""),0.6666666666666666)</f>
        <v>0.6666666667</v>
      </c>
    </row>
    <row r="584">
      <c r="A584" s="43" t="str">
        <f>IFERROR(__xludf.DUMMYFUNCTION("""COMPUTED_VALUE"""),"원&amp;혀니")</f>
        <v>원&amp;혀니</v>
      </c>
      <c r="B584" s="43">
        <f>IFERROR(__xludf.DUMMYFUNCTION("""COMPUTED_VALUE"""),2.0)</f>
        <v>2</v>
      </c>
      <c r="C584" s="43">
        <f>IFERROR(__xludf.DUMMYFUNCTION("""COMPUTED_VALUE"""),1.0)</f>
        <v>1</v>
      </c>
      <c r="D584" s="46">
        <f>IFERROR(__xludf.DUMMYFUNCTION("""COMPUTED_VALUE"""),0.6666666666666666)</f>
        <v>0.6666666667</v>
      </c>
    </row>
    <row r="585">
      <c r="A585" s="43" t="str">
        <f>IFERROR(__xludf.DUMMYFUNCTION("""COMPUTED_VALUE"""),"윈드&amp;조드")</f>
        <v>윈드&amp;조드</v>
      </c>
      <c r="B585" s="43">
        <f>IFERROR(__xludf.DUMMYFUNCTION("""COMPUTED_VALUE"""),2.0)</f>
        <v>2</v>
      </c>
      <c r="C585" s="43">
        <f>IFERROR(__xludf.DUMMYFUNCTION("""COMPUTED_VALUE"""),1.0)</f>
        <v>1</v>
      </c>
      <c r="D585" s="46">
        <f>IFERROR(__xludf.DUMMYFUNCTION("""COMPUTED_VALUE"""),0.6666666666666666)</f>
        <v>0.6666666667</v>
      </c>
    </row>
    <row r="586">
      <c r="A586" s="43" t="str">
        <f>IFERROR(__xludf.DUMMYFUNCTION("""COMPUTED_VALUE"""),"윙크&amp;팰리")</f>
        <v>윙크&amp;팰리</v>
      </c>
      <c r="B586" s="43">
        <f>IFERROR(__xludf.DUMMYFUNCTION("""COMPUTED_VALUE"""),2.0)</f>
        <v>2</v>
      </c>
      <c r="C586" s="43">
        <f>IFERROR(__xludf.DUMMYFUNCTION("""COMPUTED_VALUE"""),1.0)</f>
        <v>1</v>
      </c>
      <c r="D586" s="46">
        <f>IFERROR(__xludf.DUMMYFUNCTION("""COMPUTED_VALUE"""),0.6666666666666666)</f>
        <v>0.6666666667</v>
      </c>
    </row>
    <row r="587">
      <c r="A587" s="43" t="str">
        <f>IFERROR(__xludf.DUMMYFUNCTION("""COMPUTED_VALUE"""),"GYUL&amp;노픽업")</f>
        <v>GYUL&amp;노픽업</v>
      </c>
      <c r="B587" s="43">
        <f>IFERROR(__xludf.DUMMYFUNCTION("""COMPUTED_VALUE"""),2.0)</f>
        <v>2</v>
      </c>
      <c r="C587" s="43">
        <f>IFERROR(__xludf.DUMMYFUNCTION("""COMPUTED_VALUE"""),2.0)</f>
        <v>2</v>
      </c>
      <c r="D587" s="46">
        <f>IFERROR(__xludf.DUMMYFUNCTION("""COMPUTED_VALUE"""),0.5)</f>
        <v>0.5</v>
      </c>
    </row>
    <row r="588">
      <c r="A588" s="43" t="str">
        <f>IFERROR(__xludf.DUMMYFUNCTION("""COMPUTED_VALUE"""),"ovo&amp;기재")</f>
        <v>ovo&amp;기재</v>
      </c>
      <c r="B588" s="43">
        <f>IFERROR(__xludf.DUMMYFUNCTION("""COMPUTED_VALUE"""),2.0)</f>
        <v>2</v>
      </c>
      <c r="C588" s="43">
        <f>IFERROR(__xludf.DUMMYFUNCTION("""COMPUTED_VALUE"""),2.0)</f>
        <v>2</v>
      </c>
      <c r="D588" s="46">
        <f>IFERROR(__xludf.DUMMYFUNCTION("""COMPUTED_VALUE"""),0.5)</f>
        <v>0.5</v>
      </c>
    </row>
    <row r="589">
      <c r="A589" s="43" t="str">
        <f>IFERROR(__xludf.DUMMYFUNCTION("""COMPUTED_VALUE"""),"ovo&amp;한메")</f>
        <v>ovo&amp;한메</v>
      </c>
      <c r="B589" s="43">
        <f>IFERROR(__xludf.DUMMYFUNCTION("""COMPUTED_VALUE"""),2.0)</f>
        <v>2</v>
      </c>
      <c r="C589" s="43">
        <f>IFERROR(__xludf.DUMMYFUNCTION("""COMPUTED_VALUE"""),2.0)</f>
        <v>2</v>
      </c>
      <c r="D589" s="46">
        <f>IFERROR(__xludf.DUMMYFUNCTION("""COMPUTED_VALUE"""),0.5)</f>
        <v>0.5</v>
      </c>
    </row>
    <row r="590">
      <c r="A590" s="43" t="str">
        <f>IFERROR(__xludf.DUMMYFUNCTION("""COMPUTED_VALUE"""),"노인&amp;시아")</f>
        <v>노인&amp;시아</v>
      </c>
      <c r="B590" s="43">
        <f>IFERROR(__xludf.DUMMYFUNCTION("""COMPUTED_VALUE"""),2.0)</f>
        <v>2</v>
      </c>
      <c r="C590" s="43">
        <f>IFERROR(__xludf.DUMMYFUNCTION("""COMPUTED_VALUE"""),2.0)</f>
        <v>2</v>
      </c>
      <c r="D590" s="46">
        <f>IFERROR(__xludf.DUMMYFUNCTION("""COMPUTED_VALUE"""),0.5)</f>
        <v>0.5</v>
      </c>
    </row>
    <row r="591">
      <c r="A591" s="43" t="str">
        <f>IFERROR(__xludf.DUMMYFUNCTION("""COMPUTED_VALUE"""),"노인&amp;조심")</f>
        <v>노인&amp;조심</v>
      </c>
      <c r="B591" s="43">
        <f>IFERROR(__xludf.DUMMYFUNCTION("""COMPUTED_VALUE"""),2.0)</f>
        <v>2</v>
      </c>
      <c r="C591" s="43">
        <f>IFERROR(__xludf.DUMMYFUNCTION("""COMPUTED_VALUE"""),2.0)</f>
        <v>2</v>
      </c>
      <c r="D591" s="46">
        <f>IFERROR(__xludf.DUMMYFUNCTION("""COMPUTED_VALUE"""),0.5)</f>
        <v>0.5</v>
      </c>
    </row>
    <row r="592">
      <c r="A592" s="43" t="str">
        <f>IFERROR(__xludf.DUMMYFUNCTION("""COMPUTED_VALUE"""),"랄&amp;웅")</f>
        <v>랄&amp;웅</v>
      </c>
      <c r="B592" s="43">
        <f>IFERROR(__xludf.DUMMYFUNCTION("""COMPUTED_VALUE"""),2.0)</f>
        <v>2</v>
      </c>
      <c r="C592" s="43">
        <f>IFERROR(__xludf.DUMMYFUNCTION("""COMPUTED_VALUE"""),2.0)</f>
        <v>2</v>
      </c>
      <c r="D592" s="46">
        <f>IFERROR(__xludf.DUMMYFUNCTION("""COMPUTED_VALUE"""),0.5)</f>
        <v>0.5</v>
      </c>
    </row>
    <row r="593">
      <c r="A593" s="43" t="str">
        <f>IFERROR(__xludf.DUMMYFUNCTION("""COMPUTED_VALUE"""),"만두&amp;짱구")</f>
        <v>만두&amp;짱구</v>
      </c>
      <c r="B593" s="43">
        <f>IFERROR(__xludf.DUMMYFUNCTION("""COMPUTED_VALUE"""),2.0)</f>
        <v>2</v>
      </c>
      <c r="C593" s="43">
        <f>IFERROR(__xludf.DUMMYFUNCTION("""COMPUTED_VALUE"""),2.0)</f>
        <v>2</v>
      </c>
      <c r="D593" s="46">
        <f>IFERROR(__xludf.DUMMYFUNCTION("""COMPUTED_VALUE"""),0.5)</f>
        <v>0.5</v>
      </c>
    </row>
    <row r="594">
      <c r="A594" s="43" t="str">
        <f>IFERROR(__xludf.DUMMYFUNCTION("""COMPUTED_VALUE"""),"만두&amp;한메")</f>
        <v>만두&amp;한메</v>
      </c>
      <c r="B594" s="43">
        <f>IFERROR(__xludf.DUMMYFUNCTION("""COMPUTED_VALUE"""),2.0)</f>
        <v>2</v>
      </c>
      <c r="C594" s="43">
        <f>IFERROR(__xludf.DUMMYFUNCTION("""COMPUTED_VALUE"""),2.0)</f>
        <v>2</v>
      </c>
      <c r="D594" s="46">
        <f>IFERROR(__xludf.DUMMYFUNCTION("""COMPUTED_VALUE"""),0.5)</f>
        <v>0.5</v>
      </c>
    </row>
    <row r="595">
      <c r="A595" s="43" t="str">
        <f>IFERROR(__xludf.DUMMYFUNCTION("""COMPUTED_VALUE"""),"미등록&amp;시아")</f>
        <v>미등록&amp;시아</v>
      </c>
      <c r="B595" s="43">
        <f>IFERROR(__xludf.DUMMYFUNCTION("""COMPUTED_VALUE"""),2.0)</f>
        <v>2</v>
      </c>
      <c r="C595" s="43">
        <f>IFERROR(__xludf.DUMMYFUNCTION("""COMPUTED_VALUE"""),2.0)</f>
        <v>2</v>
      </c>
      <c r="D595" s="46">
        <f>IFERROR(__xludf.DUMMYFUNCTION("""COMPUTED_VALUE"""),0.5)</f>
        <v>0.5</v>
      </c>
    </row>
    <row r="596">
      <c r="A596" s="43" t="str">
        <f>IFERROR(__xludf.DUMMYFUNCTION("""COMPUTED_VALUE"""),"미등록&amp;원")</f>
        <v>미등록&amp;원</v>
      </c>
      <c r="B596" s="43">
        <f>IFERROR(__xludf.DUMMYFUNCTION("""COMPUTED_VALUE"""),2.0)</f>
        <v>2</v>
      </c>
      <c r="C596" s="43">
        <f>IFERROR(__xludf.DUMMYFUNCTION("""COMPUTED_VALUE"""),2.0)</f>
        <v>2</v>
      </c>
      <c r="D596" s="46">
        <f>IFERROR(__xludf.DUMMYFUNCTION("""COMPUTED_VALUE"""),0.5)</f>
        <v>0.5</v>
      </c>
    </row>
    <row r="597">
      <c r="A597" s="43" t="str">
        <f>IFERROR(__xludf.DUMMYFUNCTION("""COMPUTED_VALUE"""),"미등록&amp;전투쥐")</f>
        <v>미등록&amp;전투쥐</v>
      </c>
      <c r="B597" s="43">
        <f>IFERROR(__xludf.DUMMYFUNCTION("""COMPUTED_VALUE"""),2.0)</f>
        <v>2</v>
      </c>
      <c r="C597" s="43">
        <f>IFERROR(__xludf.DUMMYFUNCTION("""COMPUTED_VALUE"""),2.0)</f>
        <v>2</v>
      </c>
      <c r="D597" s="46">
        <f>IFERROR(__xludf.DUMMYFUNCTION("""COMPUTED_VALUE"""),0.5)</f>
        <v>0.5</v>
      </c>
    </row>
    <row r="598">
      <c r="A598" s="43" t="str">
        <f>IFERROR(__xludf.DUMMYFUNCTION("""COMPUTED_VALUE"""),"미르진&amp;조드")</f>
        <v>미르진&amp;조드</v>
      </c>
      <c r="B598" s="43">
        <f>IFERROR(__xludf.DUMMYFUNCTION("""COMPUTED_VALUE"""),2.0)</f>
        <v>2</v>
      </c>
      <c r="C598" s="43">
        <f>IFERROR(__xludf.DUMMYFUNCTION("""COMPUTED_VALUE"""),2.0)</f>
        <v>2</v>
      </c>
      <c r="D598" s="46">
        <f>IFERROR(__xludf.DUMMYFUNCTION("""COMPUTED_VALUE"""),0.5)</f>
        <v>0.5</v>
      </c>
    </row>
    <row r="599">
      <c r="A599" s="43" t="str">
        <f>IFERROR(__xludf.DUMMYFUNCTION("""COMPUTED_VALUE"""),"뼈해장국&amp;신형만")</f>
        <v>뼈해장국&amp;신형만</v>
      </c>
      <c r="B599" s="43">
        <f>IFERROR(__xludf.DUMMYFUNCTION("""COMPUTED_VALUE"""),2.0)</f>
        <v>2</v>
      </c>
      <c r="C599" s="43">
        <f>IFERROR(__xludf.DUMMYFUNCTION("""COMPUTED_VALUE"""),2.0)</f>
        <v>2</v>
      </c>
      <c r="D599" s="46">
        <f>IFERROR(__xludf.DUMMYFUNCTION("""COMPUTED_VALUE"""),0.5)</f>
        <v>0.5</v>
      </c>
    </row>
    <row r="600">
      <c r="A600" s="43" t="str">
        <f>IFERROR(__xludf.DUMMYFUNCTION("""COMPUTED_VALUE"""),"아이딘&amp;조심")</f>
        <v>아이딘&amp;조심</v>
      </c>
      <c r="B600" s="43">
        <f>IFERROR(__xludf.DUMMYFUNCTION("""COMPUTED_VALUE"""),2.0)</f>
        <v>2</v>
      </c>
      <c r="C600" s="43">
        <f>IFERROR(__xludf.DUMMYFUNCTION("""COMPUTED_VALUE"""),2.0)</f>
        <v>2</v>
      </c>
      <c r="D600" s="46">
        <f>IFERROR(__xludf.DUMMYFUNCTION("""COMPUTED_VALUE"""),0.5)</f>
        <v>0.5</v>
      </c>
    </row>
    <row r="601">
      <c r="A601" s="43" t="str">
        <f>IFERROR(__xludf.DUMMYFUNCTION("""COMPUTED_VALUE"""),"아이딘&amp;테리")</f>
        <v>아이딘&amp;테리</v>
      </c>
      <c r="B601" s="43">
        <f>IFERROR(__xludf.DUMMYFUNCTION("""COMPUTED_VALUE"""),2.0)</f>
        <v>2</v>
      </c>
      <c r="C601" s="43">
        <f>IFERROR(__xludf.DUMMYFUNCTION("""COMPUTED_VALUE"""),2.0)</f>
        <v>2</v>
      </c>
      <c r="D601" s="46">
        <f>IFERROR(__xludf.DUMMYFUNCTION("""COMPUTED_VALUE"""),0.5)</f>
        <v>0.5</v>
      </c>
    </row>
    <row r="602">
      <c r="A602" s="43" t="str">
        <f>IFERROR(__xludf.DUMMYFUNCTION("""COMPUTED_VALUE"""),"오딘&amp;재우")</f>
        <v>오딘&amp;재우</v>
      </c>
      <c r="B602" s="43">
        <f>IFERROR(__xludf.DUMMYFUNCTION("""COMPUTED_VALUE"""),2.0)</f>
        <v>2</v>
      </c>
      <c r="C602" s="43">
        <f>IFERROR(__xludf.DUMMYFUNCTION("""COMPUTED_VALUE"""),2.0)</f>
        <v>2</v>
      </c>
      <c r="D602" s="46">
        <f>IFERROR(__xludf.DUMMYFUNCTION("""COMPUTED_VALUE"""),0.5)</f>
        <v>0.5</v>
      </c>
    </row>
    <row r="603">
      <c r="A603" s="43" t="str">
        <f>IFERROR(__xludf.DUMMYFUNCTION("""COMPUTED_VALUE"""),"오크&amp;전투쥐")</f>
        <v>오크&amp;전투쥐</v>
      </c>
      <c r="B603" s="43">
        <f>IFERROR(__xludf.DUMMYFUNCTION("""COMPUTED_VALUE"""),2.0)</f>
        <v>2</v>
      </c>
      <c r="C603" s="43">
        <f>IFERROR(__xludf.DUMMYFUNCTION("""COMPUTED_VALUE"""),2.0)</f>
        <v>2</v>
      </c>
      <c r="D603" s="46">
        <f>IFERROR(__xludf.DUMMYFUNCTION("""COMPUTED_VALUE"""),0.5)</f>
        <v>0.5</v>
      </c>
    </row>
    <row r="604">
      <c r="A604" s="43" t="str">
        <f>IFERROR(__xludf.DUMMYFUNCTION("""COMPUTED_VALUE"""),"오크&amp;혀니")</f>
        <v>오크&amp;혀니</v>
      </c>
      <c r="B604" s="43">
        <f>IFERROR(__xludf.DUMMYFUNCTION("""COMPUTED_VALUE"""),2.0)</f>
        <v>2</v>
      </c>
      <c r="C604" s="43">
        <f>IFERROR(__xludf.DUMMYFUNCTION("""COMPUTED_VALUE"""),2.0)</f>
        <v>2</v>
      </c>
      <c r="D604" s="46">
        <f>IFERROR(__xludf.DUMMYFUNCTION("""COMPUTED_VALUE"""),0.5)</f>
        <v>0.5</v>
      </c>
    </row>
    <row r="605">
      <c r="A605" s="43" t="str">
        <f>IFERROR(__xludf.DUMMYFUNCTION("""COMPUTED_VALUE"""),"웅&amp;재우")</f>
        <v>웅&amp;재우</v>
      </c>
      <c r="B605" s="43">
        <f>IFERROR(__xludf.DUMMYFUNCTION("""COMPUTED_VALUE"""),2.0)</f>
        <v>2</v>
      </c>
      <c r="C605" s="43">
        <f>IFERROR(__xludf.DUMMYFUNCTION("""COMPUTED_VALUE"""),2.0)</f>
        <v>2</v>
      </c>
      <c r="D605" s="46">
        <f>IFERROR(__xludf.DUMMYFUNCTION("""COMPUTED_VALUE"""),0.5)</f>
        <v>0.5</v>
      </c>
    </row>
    <row r="606">
      <c r="A606" s="43" t="str">
        <f>IFERROR(__xludf.DUMMYFUNCTION("""COMPUTED_VALUE"""),"윙크&amp;키키")</f>
        <v>윙크&amp;키키</v>
      </c>
      <c r="B606" s="43">
        <f>IFERROR(__xludf.DUMMYFUNCTION("""COMPUTED_VALUE"""),2.0)</f>
        <v>2</v>
      </c>
      <c r="C606" s="43">
        <f>IFERROR(__xludf.DUMMYFUNCTION("""COMPUTED_VALUE"""),2.0)</f>
        <v>2</v>
      </c>
      <c r="D606" s="46">
        <f>IFERROR(__xludf.DUMMYFUNCTION("""COMPUTED_VALUE"""),0.5)</f>
        <v>0.5</v>
      </c>
    </row>
    <row r="607">
      <c r="A607" s="43" t="str">
        <f>IFERROR(__xludf.DUMMYFUNCTION("""COMPUTED_VALUE"""),"재규어&amp;조심")</f>
        <v>재규어&amp;조심</v>
      </c>
      <c r="B607" s="43">
        <f>IFERROR(__xludf.DUMMYFUNCTION("""COMPUTED_VALUE"""),2.0)</f>
        <v>2</v>
      </c>
      <c r="C607" s="43">
        <f>IFERROR(__xludf.DUMMYFUNCTION("""COMPUTED_VALUE"""),2.0)</f>
        <v>2</v>
      </c>
      <c r="D607" s="46">
        <f>IFERROR(__xludf.DUMMYFUNCTION("""COMPUTED_VALUE"""),0.5)</f>
        <v>0.5</v>
      </c>
    </row>
    <row r="608">
      <c r="A608" s="43" t="str">
        <f>IFERROR(__xludf.DUMMYFUNCTION("""COMPUTED_VALUE"""),"간달프&amp;강화")</f>
        <v>간달프&amp;강화</v>
      </c>
      <c r="B608" s="43">
        <f>IFERROR(__xludf.DUMMYFUNCTION("""COMPUTED_VALUE"""),2.0)</f>
        <v>2</v>
      </c>
      <c r="C608" s="43">
        <f>IFERROR(__xludf.DUMMYFUNCTION("""COMPUTED_VALUE"""),3.0)</f>
        <v>3</v>
      </c>
      <c r="D608" s="46">
        <f>IFERROR(__xludf.DUMMYFUNCTION("""COMPUTED_VALUE"""),0.4)</f>
        <v>0.4</v>
      </c>
    </row>
    <row r="609">
      <c r="A609" s="43" t="str">
        <f>IFERROR(__xludf.DUMMYFUNCTION("""COMPUTED_VALUE"""),"규식&amp;용이")</f>
        <v>규식&amp;용이</v>
      </c>
      <c r="B609" s="43">
        <f>IFERROR(__xludf.DUMMYFUNCTION("""COMPUTED_VALUE"""),2.0)</f>
        <v>2</v>
      </c>
      <c r="C609" s="43">
        <f>IFERROR(__xludf.DUMMYFUNCTION("""COMPUTED_VALUE"""),3.0)</f>
        <v>3</v>
      </c>
      <c r="D609" s="46">
        <f>IFERROR(__xludf.DUMMYFUNCTION("""COMPUTED_VALUE"""),0.4)</f>
        <v>0.4</v>
      </c>
    </row>
    <row r="610">
      <c r="A610" s="43" t="str">
        <f>IFERROR(__xludf.DUMMYFUNCTION("""COMPUTED_VALUE"""),"규식&amp;찹쌀")</f>
        <v>규식&amp;찹쌀</v>
      </c>
      <c r="B610" s="43">
        <f>IFERROR(__xludf.DUMMYFUNCTION("""COMPUTED_VALUE"""),2.0)</f>
        <v>2</v>
      </c>
      <c r="C610" s="43">
        <f>IFERROR(__xludf.DUMMYFUNCTION("""COMPUTED_VALUE"""),3.0)</f>
        <v>3</v>
      </c>
      <c r="D610" s="46">
        <f>IFERROR(__xludf.DUMMYFUNCTION("""COMPUTED_VALUE"""),0.4)</f>
        <v>0.4</v>
      </c>
    </row>
    <row r="611">
      <c r="A611" s="43" t="str">
        <f>IFERROR(__xludf.DUMMYFUNCTION("""COMPUTED_VALUE"""),"규식&amp;키키")</f>
        <v>규식&amp;키키</v>
      </c>
      <c r="B611" s="43">
        <f>IFERROR(__xludf.DUMMYFUNCTION("""COMPUTED_VALUE"""),2.0)</f>
        <v>2</v>
      </c>
      <c r="C611" s="43">
        <f>IFERROR(__xludf.DUMMYFUNCTION("""COMPUTED_VALUE"""),3.0)</f>
        <v>3</v>
      </c>
      <c r="D611" s="46">
        <f>IFERROR(__xludf.DUMMYFUNCTION("""COMPUTED_VALUE"""),0.4)</f>
        <v>0.4</v>
      </c>
    </row>
    <row r="612">
      <c r="A612" s="43" t="str">
        <f>IFERROR(__xludf.DUMMYFUNCTION("""COMPUTED_VALUE"""),"깡패&amp;혀니")</f>
        <v>깡패&amp;혀니</v>
      </c>
      <c r="B612" s="43">
        <f>IFERROR(__xludf.DUMMYFUNCTION("""COMPUTED_VALUE"""),2.0)</f>
        <v>2</v>
      </c>
      <c r="C612" s="43">
        <f>IFERROR(__xludf.DUMMYFUNCTION("""COMPUTED_VALUE"""),3.0)</f>
        <v>3</v>
      </c>
      <c r="D612" s="46">
        <f>IFERROR(__xludf.DUMMYFUNCTION("""COMPUTED_VALUE"""),0.4)</f>
        <v>0.4</v>
      </c>
    </row>
    <row r="613">
      <c r="A613" s="43" t="str">
        <f>IFERROR(__xludf.DUMMYFUNCTION("""COMPUTED_VALUE"""),"노인&amp;윈드")</f>
        <v>노인&amp;윈드</v>
      </c>
      <c r="B613" s="43">
        <f>IFERROR(__xludf.DUMMYFUNCTION("""COMPUTED_VALUE"""),2.0)</f>
        <v>2</v>
      </c>
      <c r="C613" s="43">
        <f>IFERROR(__xludf.DUMMYFUNCTION("""COMPUTED_VALUE"""),3.0)</f>
        <v>3</v>
      </c>
      <c r="D613" s="46">
        <f>IFERROR(__xludf.DUMMYFUNCTION("""COMPUTED_VALUE"""),0.4)</f>
        <v>0.4</v>
      </c>
    </row>
    <row r="614">
      <c r="A614" s="43" t="str">
        <f>IFERROR(__xludf.DUMMYFUNCTION("""COMPUTED_VALUE"""),"단수&amp;참치")</f>
        <v>단수&amp;참치</v>
      </c>
      <c r="B614" s="43">
        <f>IFERROR(__xludf.DUMMYFUNCTION("""COMPUTED_VALUE"""),2.0)</f>
        <v>2</v>
      </c>
      <c r="C614" s="43">
        <f>IFERROR(__xludf.DUMMYFUNCTION("""COMPUTED_VALUE"""),3.0)</f>
        <v>3</v>
      </c>
      <c r="D614" s="46">
        <f>IFERROR(__xludf.DUMMYFUNCTION("""COMPUTED_VALUE"""),0.4)</f>
        <v>0.4</v>
      </c>
    </row>
    <row r="615">
      <c r="A615" s="43" t="str">
        <f>IFERROR(__xludf.DUMMYFUNCTION("""COMPUTED_VALUE"""),"따&amp;조드")</f>
        <v>따&amp;조드</v>
      </c>
      <c r="B615" s="43">
        <f>IFERROR(__xludf.DUMMYFUNCTION("""COMPUTED_VALUE"""),2.0)</f>
        <v>2</v>
      </c>
      <c r="C615" s="43">
        <f>IFERROR(__xludf.DUMMYFUNCTION("""COMPUTED_VALUE"""),3.0)</f>
        <v>3</v>
      </c>
      <c r="D615" s="46">
        <f>IFERROR(__xludf.DUMMYFUNCTION("""COMPUTED_VALUE"""),0.4)</f>
        <v>0.4</v>
      </c>
    </row>
    <row r="616">
      <c r="A616" s="43" t="str">
        <f>IFERROR(__xludf.DUMMYFUNCTION("""COMPUTED_VALUE"""),"만두&amp;미등록")</f>
        <v>만두&amp;미등록</v>
      </c>
      <c r="B616" s="43">
        <f>IFERROR(__xludf.DUMMYFUNCTION("""COMPUTED_VALUE"""),2.0)</f>
        <v>2</v>
      </c>
      <c r="C616" s="43">
        <f>IFERROR(__xludf.DUMMYFUNCTION("""COMPUTED_VALUE"""),3.0)</f>
        <v>3</v>
      </c>
      <c r="D616" s="46">
        <f>IFERROR(__xludf.DUMMYFUNCTION("""COMPUTED_VALUE"""),0.4)</f>
        <v>0.4</v>
      </c>
    </row>
    <row r="617">
      <c r="A617" s="43" t="str">
        <f>IFERROR(__xludf.DUMMYFUNCTION("""COMPUTED_VALUE"""),"만두&amp;팰리")</f>
        <v>만두&amp;팰리</v>
      </c>
      <c r="B617" s="43">
        <f>IFERROR(__xludf.DUMMYFUNCTION("""COMPUTED_VALUE"""),2.0)</f>
        <v>2</v>
      </c>
      <c r="C617" s="43">
        <f>IFERROR(__xludf.DUMMYFUNCTION("""COMPUTED_VALUE"""),3.0)</f>
        <v>3</v>
      </c>
      <c r="D617" s="46">
        <f>IFERROR(__xludf.DUMMYFUNCTION("""COMPUTED_VALUE"""),0.4)</f>
        <v>0.4</v>
      </c>
    </row>
    <row r="618">
      <c r="A618" s="43" t="str">
        <f>IFERROR(__xludf.DUMMYFUNCTION("""COMPUTED_VALUE"""),"미등록&amp;엘")</f>
        <v>미등록&amp;엘</v>
      </c>
      <c r="B618" s="43">
        <f>IFERROR(__xludf.DUMMYFUNCTION("""COMPUTED_VALUE"""),2.0)</f>
        <v>2</v>
      </c>
      <c r="C618" s="43">
        <f>IFERROR(__xludf.DUMMYFUNCTION("""COMPUTED_VALUE"""),3.0)</f>
        <v>3</v>
      </c>
      <c r="D618" s="46">
        <f>IFERROR(__xludf.DUMMYFUNCTION("""COMPUTED_VALUE"""),0.4)</f>
        <v>0.4</v>
      </c>
    </row>
    <row r="619">
      <c r="A619" s="43" t="str">
        <f>IFERROR(__xludf.DUMMYFUNCTION("""COMPUTED_VALUE"""),"민우&amp;유즈")</f>
        <v>민우&amp;유즈</v>
      </c>
      <c r="B619" s="43">
        <f>IFERROR(__xludf.DUMMYFUNCTION("""COMPUTED_VALUE"""),2.0)</f>
        <v>2</v>
      </c>
      <c r="C619" s="43">
        <f>IFERROR(__xludf.DUMMYFUNCTION("""COMPUTED_VALUE"""),3.0)</f>
        <v>3</v>
      </c>
      <c r="D619" s="46">
        <f>IFERROR(__xludf.DUMMYFUNCTION("""COMPUTED_VALUE"""),0.4)</f>
        <v>0.4</v>
      </c>
    </row>
    <row r="620">
      <c r="A620" s="43" t="str">
        <f>IFERROR(__xludf.DUMMYFUNCTION("""COMPUTED_VALUE"""),"봉구&amp;짱구")</f>
        <v>봉구&amp;짱구</v>
      </c>
      <c r="B620" s="43">
        <f>IFERROR(__xludf.DUMMYFUNCTION("""COMPUTED_VALUE"""),2.0)</f>
        <v>2</v>
      </c>
      <c r="C620" s="43">
        <f>IFERROR(__xludf.DUMMYFUNCTION("""COMPUTED_VALUE"""),3.0)</f>
        <v>3</v>
      </c>
      <c r="D620" s="46">
        <f>IFERROR(__xludf.DUMMYFUNCTION("""COMPUTED_VALUE"""),0.4)</f>
        <v>0.4</v>
      </c>
    </row>
    <row r="621">
      <c r="A621" s="43" t="str">
        <f>IFERROR(__xludf.DUMMYFUNCTION("""COMPUTED_VALUE"""),"뼈해장국&amp;재우")</f>
        <v>뼈해장국&amp;재우</v>
      </c>
      <c r="B621" s="43">
        <f>IFERROR(__xludf.DUMMYFUNCTION("""COMPUTED_VALUE"""),2.0)</f>
        <v>2</v>
      </c>
      <c r="C621" s="43">
        <f>IFERROR(__xludf.DUMMYFUNCTION("""COMPUTED_VALUE"""),3.0)</f>
        <v>3</v>
      </c>
      <c r="D621" s="46">
        <f>IFERROR(__xludf.DUMMYFUNCTION("""COMPUTED_VALUE"""),0.4)</f>
        <v>0.4</v>
      </c>
    </row>
    <row r="622">
      <c r="A622" s="43" t="str">
        <f>IFERROR(__xludf.DUMMYFUNCTION("""COMPUTED_VALUE"""),"솔&amp;오딘")</f>
        <v>솔&amp;오딘</v>
      </c>
      <c r="B622" s="43">
        <f>IFERROR(__xludf.DUMMYFUNCTION("""COMPUTED_VALUE"""),2.0)</f>
        <v>2</v>
      </c>
      <c r="C622" s="43">
        <f>IFERROR(__xludf.DUMMYFUNCTION("""COMPUTED_VALUE"""),3.0)</f>
        <v>3</v>
      </c>
      <c r="D622" s="46">
        <f>IFERROR(__xludf.DUMMYFUNCTION("""COMPUTED_VALUE"""),0.4)</f>
        <v>0.4</v>
      </c>
    </row>
    <row r="623">
      <c r="A623" s="43" t="str">
        <f>IFERROR(__xludf.DUMMYFUNCTION("""COMPUTED_VALUE"""),"시아&amp;재우")</f>
        <v>시아&amp;재우</v>
      </c>
      <c r="B623" s="43">
        <f>IFERROR(__xludf.DUMMYFUNCTION("""COMPUTED_VALUE"""),2.0)</f>
        <v>2</v>
      </c>
      <c r="C623" s="43">
        <f>IFERROR(__xludf.DUMMYFUNCTION("""COMPUTED_VALUE"""),3.0)</f>
        <v>3</v>
      </c>
      <c r="D623" s="46">
        <f>IFERROR(__xludf.DUMMYFUNCTION("""COMPUTED_VALUE"""),0.4)</f>
        <v>0.4</v>
      </c>
    </row>
    <row r="624">
      <c r="A624" s="43" t="str">
        <f>IFERROR(__xludf.DUMMYFUNCTION("""COMPUTED_VALUE"""),"엘&amp;재우")</f>
        <v>엘&amp;재우</v>
      </c>
      <c r="B624" s="43">
        <f>IFERROR(__xludf.DUMMYFUNCTION("""COMPUTED_VALUE"""),2.0)</f>
        <v>2</v>
      </c>
      <c r="C624" s="43">
        <f>IFERROR(__xludf.DUMMYFUNCTION("""COMPUTED_VALUE"""),3.0)</f>
        <v>3</v>
      </c>
      <c r="D624" s="46">
        <f>IFERROR(__xludf.DUMMYFUNCTION("""COMPUTED_VALUE"""),0.4)</f>
        <v>0.4</v>
      </c>
    </row>
    <row r="625">
      <c r="A625" s="43" t="str">
        <f>IFERROR(__xludf.DUMMYFUNCTION("""COMPUTED_VALUE"""),"오딘&amp;유즈")</f>
        <v>오딘&amp;유즈</v>
      </c>
      <c r="B625" s="43">
        <f>IFERROR(__xludf.DUMMYFUNCTION("""COMPUTED_VALUE"""),2.0)</f>
        <v>2</v>
      </c>
      <c r="C625" s="43">
        <f>IFERROR(__xludf.DUMMYFUNCTION("""COMPUTED_VALUE"""),3.0)</f>
        <v>3</v>
      </c>
      <c r="D625" s="46">
        <f>IFERROR(__xludf.DUMMYFUNCTION("""COMPUTED_VALUE"""),0.4)</f>
        <v>0.4</v>
      </c>
    </row>
    <row r="626">
      <c r="A626" s="43" t="str">
        <f>IFERROR(__xludf.DUMMYFUNCTION("""COMPUTED_VALUE"""),"웅&amp;짱구")</f>
        <v>웅&amp;짱구</v>
      </c>
      <c r="B626" s="43">
        <f>IFERROR(__xludf.DUMMYFUNCTION("""COMPUTED_VALUE"""),2.0)</f>
        <v>2</v>
      </c>
      <c r="C626" s="43">
        <f>IFERROR(__xludf.DUMMYFUNCTION("""COMPUTED_VALUE"""),3.0)</f>
        <v>3</v>
      </c>
      <c r="D626" s="46">
        <f>IFERROR(__xludf.DUMMYFUNCTION("""COMPUTED_VALUE"""),0.4)</f>
        <v>0.4</v>
      </c>
    </row>
    <row r="627">
      <c r="A627" s="43" t="str">
        <f>IFERROR(__xludf.DUMMYFUNCTION("""COMPUTED_VALUE"""),"윈드&amp;재우")</f>
        <v>윈드&amp;재우</v>
      </c>
      <c r="B627" s="43">
        <f>IFERROR(__xludf.DUMMYFUNCTION("""COMPUTED_VALUE"""),2.0)</f>
        <v>2</v>
      </c>
      <c r="C627" s="43">
        <f>IFERROR(__xludf.DUMMYFUNCTION("""COMPUTED_VALUE"""),3.0)</f>
        <v>3</v>
      </c>
      <c r="D627" s="46">
        <f>IFERROR(__xludf.DUMMYFUNCTION("""COMPUTED_VALUE"""),0.4)</f>
        <v>0.4</v>
      </c>
    </row>
    <row r="628">
      <c r="A628" s="43" t="str">
        <f>IFERROR(__xludf.DUMMYFUNCTION("""COMPUTED_VALUE"""),"규식&amp;태식")</f>
        <v>규식&amp;태식</v>
      </c>
      <c r="B628" s="43">
        <f>IFERROR(__xludf.DUMMYFUNCTION("""COMPUTED_VALUE"""),2.0)</f>
        <v>2</v>
      </c>
      <c r="C628" s="43">
        <f>IFERROR(__xludf.DUMMYFUNCTION("""COMPUTED_VALUE"""),4.0)</f>
        <v>4</v>
      </c>
      <c r="D628" s="46">
        <f>IFERROR(__xludf.DUMMYFUNCTION("""COMPUTED_VALUE"""),0.3333333333333333)</f>
        <v>0.3333333333</v>
      </c>
    </row>
    <row r="629">
      <c r="A629" s="43" t="str">
        <f>IFERROR(__xludf.DUMMYFUNCTION("""COMPUTED_VALUE"""),"노픽업&amp;시아")</f>
        <v>노픽업&amp;시아</v>
      </c>
      <c r="B629" s="43">
        <f>IFERROR(__xludf.DUMMYFUNCTION("""COMPUTED_VALUE"""),2.0)</f>
        <v>2</v>
      </c>
      <c r="C629" s="43">
        <f>IFERROR(__xludf.DUMMYFUNCTION("""COMPUTED_VALUE"""),4.0)</f>
        <v>4</v>
      </c>
      <c r="D629" s="46">
        <f>IFERROR(__xludf.DUMMYFUNCTION("""COMPUTED_VALUE"""),0.3333333333333333)</f>
        <v>0.3333333333</v>
      </c>
    </row>
    <row r="630">
      <c r="A630" s="43" t="str">
        <f>IFERROR(__xludf.DUMMYFUNCTION("""COMPUTED_VALUE"""),"따&amp;유즈")</f>
        <v>따&amp;유즈</v>
      </c>
      <c r="B630" s="43">
        <f>IFERROR(__xludf.DUMMYFUNCTION("""COMPUTED_VALUE"""),2.0)</f>
        <v>2</v>
      </c>
      <c r="C630" s="43">
        <f>IFERROR(__xludf.DUMMYFUNCTION("""COMPUTED_VALUE"""),4.0)</f>
        <v>4</v>
      </c>
      <c r="D630" s="46">
        <f>IFERROR(__xludf.DUMMYFUNCTION("""COMPUTED_VALUE"""),0.3333333333333333)</f>
        <v>0.3333333333</v>
      </c>
    </row>
    <row r="631">
      <c r="A631" s="43" t="str">
        <f>IFERROR(__xludf.DUMMYFUNCTION("""COMPUTED_VALUE"""),"랄&amp;조심")</f>
        <v>랄&amp;조심</v>
      </c>
      <c r="B631" s="43">
        <f>IFERROR(__xludf.DUMMYFUNCTION("""COMPUTED_VALUE"""),2.0)</f>
        <v>2</v>
      </c>
      <c r="C631" s="43">
        <f>IFERROR(__xludf.DUMMYFUNCTION("""COMPUTED_VALUE"""),4.0)</f>
        <v>4</v>
      </c>
      <c r="D631" s="46">
        <f>IFERROR(__xludf.DUMMYFUNCTION("""COMPUTED_VALUE"""),0.3333333333333333)</f>
        <v>0.3333333333</v>
      </c>
    </row>
    <row r="632">
      <c r="A632" s="43" t="str">
        <f>IFERROR(__xludf.DUMMYFUNCTION("""COMPUTED_VALUE"""),"미등록&amp;민우")</f>
        <v>미등록&amp;민우</v>
      </c>
      <c r="B632" s="43">
        <f>IFERROR(__xludf.DUMMYFUNCTION("""COMPUTED_VALUE"""),2.0)</f>
        <v>2</v>
      </c>
      <c r="C632" s="43">
        <f>IFERROR(__xludf.DUMMYFUNCTION("""COMPUTED_VALUE"""),4.0)</f>
        <v>4</v>
      </c>
      <c r="D632" s="46">
        <f>IFERROR(__xludf.DUMMYFUNCTION("""COMPUTED_VALUE"""),0.3333333333333333)</f>
        <v>0.3333333333</v>
      </c>
    </row>
    <row r="633">
      <c r="A633" s="43" t="str">
        <f>IFERROR(__xludf.DUMMYFUNCTION("""COMPUTED_VALUE"""),"미르진&amp;제로스")</f>
        <v>미르진&amp;제로스</v>
      </c>
      <c r="B633" s="43">
        <f>IFERROR(__xludf.DUMMYFUNCTION("""COMPUTED_VALUE"""),2.0)</f>
        <v>2</v>
      </c>
      <c r="C633" s="43">
        <f>IFERROR(__xludf.DUMMYFUNCTION("""COMPUTED_VALUE"""),4.0)</f>
        <v>4</v>
      </c>
      <c r="D633" s="46">
        <f>IFERROR(__xludf.DUMMYFUNCTION("""COMPUTED_VALUE"""),0.3333333333333333)</f>
        <v>0.3333333333</v>
      </c>
    </row>
    <row r="634">
      <c r="A634" s="43" t="str">
        <f>IFERROR(__xludf.DUMMYFUNCTION("""COMPUTED_VALUE"""),"밍구&amp;조심")</f>
        <v>밍구&amp;조심</v>
      </c>
      <c r="B634" s="43">
        <f>IFERROR(__xludf.DUMMYFUNCTION("""COMPUTED_VALUE"""),2.0)</f>
        <v>2</v>
      </c>
      <c r="C634" s="43">
        <f>IFERROR(__xludf.DUMMYFUNCTION("""COMPUTED_VALUE"""),4.0)</f>
        <v>4</v>
      </c>
      <c r="D634" s="46">
        <f>IFERROR(__xludf.DUMMYFUNCTION("""COMPUTED_VALUE"""),0.3333333333333333)</f>
        <v>0.3333333333</v>
      </c>
    </row>
    <row r="635">
      <c r="A635" s="43" t="str">
        <f>IFERROR(__xludf.DUMMYFUNCTION("""COMPUTED_VALUE"""),"제로스&amp;한메")</f>
        <v>제로스&amp;한메</v>
      </c>
      <c r="B635" s="43">
        <f>IFERROR(__xludf.DUMMYFUNCTION("""COMPUTED_VALUE"""),2.0)</f>
        <v>2</v>
      </c>
      <c r="C635" s="43">
        <f>IFERROR(__xludf.DUMMYFUNCTION("""COMPUTED_VALUE"""),4.0)</f>
        <v>4</v>
      </c>
      <c r="D635" s="46">
        <f>IFERROR(__xludf.DUMMYFUNCTION("""COMPUTED_VALUE"""),0.3333333333333333)</f>
        <v>0.3333333333</v>
      </c>
    </row>
    <row r="636">
      <c r="A636" s="43" t="str">
        <f>IFERROR(__xludf.DUMMYFUNCTION("""COMPUTED_VALUE"""),"GYUL&amp;필찌")</f>
        <v>GYUL&amp;필찌</v>
      </c>
      <c r="B636" s="43">
        <f>IFERROR(__xludf.DUMMYFUNCTION("""COMPUTED_VALUE"""),2.0)</f>
        <v>2</v>
      </c>
      <c r="C636" s="43">
        <f>IFERROR(__xludf.DUMMYFUNCTION("""COMPUTED_VALUE"""),5.0)</f>
        <v>5</v>
      </c>
      <c r="D636" s="46">
        <f>IFERROR(__xludf.DUMMYFUNCTION("""COMPUTED_VALUE"""),0.2857142857142857)</f>
        <v>0.2857142857</v>
      </c>
    </row>
    <row r="637">
      <c r="A637" s="43" t="str">
        <f>IFERROR(__xludf.DUMMYFUNCTION("""COMPUTED_VALUE"""),"강화&amp;웅")</f>
        <v>강화&amp;웅</v>
      </c>
      <c r="B637" s="43">
        <f>IFERROR(__xludf.DUMMYFUNCTION("""COMPUTED_VALUE"""),2.0)</f>
        <v>2</v>
      </c>
      <c r="C637" s="43">
        <f>IFERROR(__xludf.DUMMYFUNCTION("""COMPUTED_VALUE"""),5.0)</f>
        <v>5</v>
      </c>
      <c r="D637" s="46">
        <f>IFERROR(__xludf.DUMMYFUNCTION("""COMPUTED_VALUE"""),0.2857142857142857)</f>
        <v>0.2857142857</v>
      </c>
    </row>
    <row r="638">
      <c r="A638" s="43" t="str">
        <f>IFERROR(__xludf.DUMMYFUNCTION("""COMPUTED_VALUE"""),"기재&amp;오딘")</f>
        <v>기재&amp;오딘</v>
      </c>
      <c r="B638" s="43">
        <f>IFERROR(__xludf.DUMMYFUNCTION("""COMPUTED_VALUE"""),2.0)</f>
        <v>2</v>
      </c>
      <c r="C638" s="43">
        <f>IFERROR(__xludf.DUMMYFUNCTION("""COMPUTED_VALUE"""),5.0)</f>
        <v>5</v>
      </c>
      <c r="D638" s="46">
        <f>IFERROR(__xludf.DUMMYFUNCTION("""COMPUTED_VALUE"""),0.2857142857142857)</f>
        <v>0.2857142857</v>
      </c>
    </row>
    <row r="639">
      <c r="A639" s="43" t="str">
        <f>IFERROR(__xludf.DUMMYFUNCTION("""COMPUTED_VALUE"""),"깡패&amp;뼈해장국")</f>
        <v>깡패&amp;뼈해장국</v>
      </c>
      <c r="B639" s="43">
        <f>IFERROR(__xludf.DUMMYFUNCTION("""COMPUTED_VALUE"""),2.0)</f>
        <v>2</v>
      </c>
      <c r="C639" s="43">
        <f>IFERROR(__xludf.DUMMYFUNCTION("""COMPUTED_VALUE"""),5.0)</f>
        <v>5</v>
      </c>
      <c r="D639" s="46">
        <f>IFERROR(__xludf.DUMMYFUNCTION("""COMPUTED_VALUE"""),0.2857142857142857)</f>
        <v>0.2857142857</v>
      </c>
    </row>
    <row r="640">
      <c r="A640" s="43" t="str">
        <f>IFERROR(__xludf.DUMMYFUNCTION("""COMPUTED_VALUE"""),"랄&amp;악동")</f>
        <v>랄&amp;악동</v>
      </c>
      <c r="B640" s="43">
        <f>IFERROR(__xludf.DUMMYFUNCTION("""COMPUTED_VALUE"""),2.0)</f>
        <v>2</v>
      </c>
      <c r="C640" s="43">
        <f>IFERROR(__xludf.DUMMYFUNCTION("""COMPUTED_VALUE"""),5.0)</f>
        <v>5</v>
      </c>
      <c r="D640" s="46">
        <f>IFERROR(__xludf.DUMMYFUNCTION("""COMPUTED_VALUE"""),0.2857142857142857)</f>
        <v>0.2857142857</v>
      </c>
    </row>
    <row r="641">
      <c r="A641" s="43" t="str">
        <f>IFERROR(__xludf.DUMMYFUNCTION("""COMPUTED_VALUE"""),"미르진&amp;오크")</f>
        <v>미르진&amp;오크</v>
      </c>
      <c r="B641" s="43">
        <f>IFERROR(__xludf.DUMMYFUNCTION("""COMPUTED_VALUE"""),2.0)</f>
        <v>2</v>
      </c>
      <c r="C641" s="43">
        <f>IFERROR(__xludf.DUMMYFUNCTION("""COMPUTED_VALUE"""),5.0)</f>
        <v>5</v>
      </c>
      <c r="D641" s="46">
        <f>IFERROR(__xludf.DUMMYFUNCTION("""COMPUTED_VALUE"""),0.2857142857142857)</f>
        <v>0.2857142857</v>
      </c>
    </row>
    <row r="642">
      <c r="A642" s="43" t="str">
        <f>IFERROR(__xludf.DUMMYFUNCTION("""COMPUTED_VALUE"""),"밍구&amp;조드")</f>
        <v>밍구&amp;조드</v>
      </c>
      <c r="B642" s="43">
        <f>IFERROR(__xludf.DUMMYFUNCTION("""COMPUTED_VALUE"""),2.0)</f>
        <v>2</v>
      </c>
      <c r="C642" s="43">
        <f>IFERROR(__xludf.DUMMYFUNCTION("""COMPUTED_VALUE"""),5.0)</f>
        <v>5</v>
      </c>
      <c r="D642" s="46">
        <f>IFERROR(__xludf.DUMMYFUNCTION("""COMPUTED_VALUE"""),0.2857142857142857)</f>
        <v>0.2857142857</v>
      </c>
    </row>
    <row r="643">
      <c r="A643" s="43" t="str">
        <f>IFERROR(__xludf.DUMMYFUNCTION("""COMPUTED_VALUE"""),"밍구&amp;짱구")</f>
        <v>밍구&amp;짱구</v>
      </c>
      <c r="B643" s="43">
        <f>IFERROR(__xludf.DUMMYFUNCTION("""COMPUTED_VALUE"""),2.0)</f>
        <v>2</v>
      </c>
      <c r="C643" s="43">
        <f>IFERROR(__xludf.DUMMYFUNCTION("""COMPUTED_VALUE"""),5.0)</f>
        <v>5</v>
      </c>
      <c r="D643" s="46">
        <f>IFERROR(__xludf.DUMMYFUNCTION("""COMPUTED_VALUE"""),0.2857142857142857)</f>
        <v>0.2857142857</v>
      </c>
    </row>
    <row r="644">
      <c r="A644" s="43" t="str">
        <f>IFERROR(__xludf.DUMMYFUNCTION("""COMPUTED_VALUE"""),"시아&amp;조심")</f>
        <v>시아&amp;조심</v>
      </c>
      <c r="B644" s="43">
        <f>IFERROR(__xludf.DUMMYFUNCTION("""COMPUTED_VALUE"""),2.0)</f>
        <v>2</v>
      </c>
      <c r="C644" s="43">
        <f>IFERROR(__xludf.DUMMYFUNCTION("""COMPUTED_VALUE"""),5.0)</f>
        <v>5</v>
      </c>
      <c r="D644" s="46">
        <f>IFERROR(__xludf.DUMMYFUNCTION("""COMPUTED_VALUE"""),0.2857142857142857)</f>
        <v>0.2857142857</v>
      </c>
    </row>
    <row r="645">
      <c r="A645" s="43" t="str">
        <f>IFERROR(__xludf.DUMMYFUNCTION("""COMPUTED_VALUE"""),"아이딘&amp;오크")</f>
        <v>아이딘&amp;오크</v>
      </c>
      <c r="B645" s="43">
        <f>IFERROR(__xludf.DUMMYFUNCTION("""COMPUTED_VALUE"""),2.0)</f>
        <v>2</v>
      </c>
      <c r="C645" s="43">
        <f>IFERROR(__xludf.DUMMYFUNCTION("""COMPUTED_VALUE"""),5.0)</f>
        <v>5</v>
      </c>
      <c r="D645" s="46">
        <f>IFERROR(__xludf.DUMMYFUNCTION("""COMPUTED_VALUE"""),0.2857142857142857)</f>
        <v>0.2857142857</v>
      </c>
    </row>
    <row r="646">
      <c r="A646" s="43" t="str">
        <f>IFERROR(__xludf.DUMMYFUNCTION("""COMPUTED_VALUE"""),"오크&amp;조심")</f>
        <v>오크&amp;조심</v>
      </c>
      <c r="B646" s="43">
        <f>IFERROR(__xludf.DUMMYFUNCTION("""COMPUTED_VALUE"""),2.0)</f>
        <v>2</v>
      </c>
      <c r="C646" s="43">
        <f>IFERROR(__xludf.DUMMYFUNCTION("""COMPUTED_VALUE"""),5.0)</f>
        <v>5</v>
      </c>
      <c r="D646" s="46">
        <f>IFERROR(__xludf.DUMMYFUNCTION("""COMPUTED_VALUE"""),0.2857142857142857)</f>
        <v>0.2857142857</v>
      </c>
    </row>
    <row r="647">
      <c r="A647" s="43" t="str">
        <f>IFERROR(__xludf.DUMMYFUNCTION("""COMPUTED_VALUE"""),"유즈&amp;짱구")</f>
        <v>유즈&amp;짱구</v>
      </c>
      <c r="B647" s="43">
        <f>IFERROR(__xludf.DUMMYFUNCTION("""COMPUTED_VALUE"""),2.0)</f>
        <v>2</v>
      </c>
      <c r="C647" s="43">
        <f>IFERROR(__xludf.DUMMYFUNCTION("""COMPUTED_VALUE"""),5.0)</f>
        <v>5</v>
      </c>
      <c r="D647" s="46">
        <f>IFERROR(__xludf.DUMMYFUNCTION("""COMPUTED_VALUE"""),0.2857142857142857)</f>
        <v>0.2857142857</v>
      </c>
    </row>
    <row r="648">
      <c r="A648" s="43" t="str">
        <f>IFERROR(__xludf.DUMMYFUNCTION("""COMPUTED_VALUE"""),"노인&amp;단수")</f>
        <v>노인&amp;단수</v>
      </c>
      <c r="B648" s="43">
        <f>IFERROR(__xludf.DUMMYFUNCTION("""COMPUTED_VALUE"""),2.0)</f>
        <v>2</v>
      </c>
      <c r="C648" s="43">
        <f>IFERROR(__xludf.DUMMYFUNCTION("""COMPUTED_VALUE"""),6.0)</f>
        <v>6</v>
      </c>
      <c r="D648" s="46">
        <f>IFERROR(__xludf.DUMMYFUNCTION("""COMPUTED_VALUE"""),0.25)</f>
        <v>0.25</v>
      </c>
    </row>
    <row r="649">
      <c r="A649" s="43" t="str">
        <f>IFERROR(__xludf.DUMMYFUNCTION("""COMPUTED_VALUE"""),"랄&amp;조드")</f>
        <v>랄&amp;조드</v>
      </c>
      <c r="B649" s="43">
        <f>IFERROR(__xludf.DUMMYFUNCTION("""COMPUTED_VALUE"""),2.0)</f>
        <v>2</v>
      </c>
      <c r="C649" s="43">
        <f>IFERROR(__xludf.DUMMYFUNCTION("""COMPUTED_VALUE"""),6.0)</f>
        <v>6</v>
      </c>
      <c r="D649" s="46">
        <f>IFERROR(__xludf.DUMMYFUNCTION("""COMPUTED_VALUE"""),0.25)</f>
        <v>0.25</v>
      </c>
    </row>
    <row r="650">
      <c r="A650" s="43" t="str">
        <f>IFERROR(__xludf.DUMMYFUNCTION("""COMPUTED_VALUE"""),"악동&amp;재우")</f>
        <v>악동&amp;재우</v>
      </c>
      <c r="B650" s="43">
        <f>IFERROR(__xludf.DUMMYFUNCTION("""COMPUTED_VALUE"""),2.0)</f>
        <v>2</v>
      </c>
      <c r="C650" s="43">
        <f>IFERROR(__xludf.DUMMYFUNCTION("""COMPUTED_VALUE"""),6.0)</f>
        <v>6</v>
      </c>
      <c r="D650" s="46">
        <f>IFERROR(__xludf.DUMMYFUNCTION("""COMPUTED_VALUE"""),0.25)</f>
        <v>0.25</v>
      </c>
    </row>
    <row r="651">
      <c r="A651" s="43" t="str">
        <f>IFERROR(__xludf.DUMMYFUNCTION("""COMPUTED_VALUE"""),"노픽업&amp;참치")</f>
        <v>노픽업&amp;참치</v>
      </c>
      <c r="B651" s="43">
        <f>IFERROR(__xludf.DUMMYFUNCTION("""COMPUTED_VALUE"""),2.0)</f>
        <v>2</v>
      </c>
      <c r="C651" s="43">
        <f>IFERROR(__xludf.DUMMYFUNCTION("""COMPUTED_VALUE"""),7.0)</f>
        <v>7</v>
      </c>
      <c r="D651" s="46">
        <f>IFERROR(__xludf.DUMMYFUNCTION("""COMPUTED_VALUE"""),0.2222222222222222)</f>
        <v>0.2222222222</v>
      </c>
    </row>
    <row r="652">
      <c r="A652" s="43" t="str">
        <f>IFERROR(__xludf.DUMMYFUNCTION("""COMPUTED_VALUE"""),"랄&amp;윙크")</f>
        <v>랄&amp;윙크</v>
      </c>
      <c r="B652" s="43">
        <f>IFERROR(__xludf.DUMMYFUNCTION("""COMPUTED_VALUE"""),2.0)</f>
        <v>2</v>
      </c>
      <c r="C652" s="43">
        <f>IFERROR(__xludf.DUMMYFUNCTION("""COMPUTED_VALUE"""),7.0)</f>
        <v>7</v>
      </c>
      <c r="D652" s="46">
        <f>IFERROR(__xludf.DUMMYFUNCTION("""COMPUTED_VALUE"""),0.2222222222222222)</f>
        <v>0.2222222222</v>
      </c>
    </row>
    <row r="653">
      <c r="A653" s="43" t="str">
        <f>IFERROR(__xludf.DUMMYFUNCTION("""COMPUTED_VALUE"""),"악동&amp;재명")</f>
        <v>악동&amp;재명</v>
      </c>
      <c r="B653" s="43">
        <f>IFERROR(__xludf.DUMMYFUNCTION("""COMPUTED_VALUE"""),2.0)</f>
        <v>2</v>
      </c>
      <c r="C653" s="43">
        <f>IFERROR(__xludf.DUMMYFUNCTION("""COMPUTED_VALUE"""),7.0)</f>
        <v>7</v>
      </c>
      <c r="D653" s="46">
        <f>IFERROR(__xludf.DUMMYFUNCTION("""COMPUTED_VALUE"""),0.2222222222222222)</f>
        <v>0.2222222222</v>
      </c>
    </row>
    <row r="654">
      <c r="A654" s="43" t="str">
        <f>IFERROR(__xludf.DUMMYFUNCTION("""COMPUTED_VALUE"""),"엘&amp;한메")</f>
        <v>엘&amp;한메</v>
      </c>
      <c r="B654" s="43">
        <f>IFERROR(__xludf.DUMMYFUNCTION("""COMPUTED_VALUE"""),2.0)</f>
        <v>2</v>
      </c>
      <c r="C654" s="43">
        <f>IFERROR(__xludf.DUMMYFUNCTION("""COMPUTED_VALUE"""),7.0)</f>
        <v>7</v>
      </c>
      <c r="D654" s="46">
        <f>IFERROR(__xludf.DUMMYFUNCTION("""COMPUTED_VALUE"""),0.2222222222222222)</f>
        <v>0.2222222222</v>
      </c>
    </row>
    <row r="655">
      <c r="A655" s="43" t="str">
        <f>IFERROR(__xludf.DUMMYFUNCTION("""COMPUTED_VALUE"""),"재우&amp;필찌")</f>
        <v>재우&amp;필찌</v>
      </c>
      <c r="B655" s="43">
        <f>IFERROR(__xludf.DUMMYFUNCTION("""COMPUTED_VALUE"""),2.0)</f>
        <v>2</v>
      </c>
      <c r="C655" s="43">
        <f>IFERROR(__xludf.DUMMYFUNCTION("""COMPUTED_VALUE"""),7.0)</f>
        <v>7</v>
      </c>
      <c r="D655" s="46">
        <f>IFERROR(__xludf.DUMMYFUNCTION("""COMPUTED_VALUE"""),0.2222222222222222)</f>
        <v>0.2222222222</v>
      </c>
    </row>
    <row r="656">
      <c r="A656" s="43" t="str">
        <f>IFERROR(__xludf.DUMMYFUNCTION("""COMPUTED_VALUE"""),"솔&amp;유즈")</f>
        <v>솔&amp;유즈</v>
      </c>
      <c r="B656" s="43">
        <f>IFERROR(__xludf.DUMMYFUNCTION("""COMPUTED_VALUE"""),2.0)</f>
        <v>2</v>
      </c>
      <c r="C656" s="43">
        <f>IFERROR(__xludf.DUMMYFUNCTION("""COMPUTED_VALUE"""),8.0)</f>
        <v>8</v>
      </c>
      <c r="D656" s="46">
        <f>IFERROR(__xludf.DUMMYFUNCTION("""COMPUTED_VALUE"""),0.2)</f>
        <v>0.2</v>
      </c>
    </row>
    <row r="657">
      <c r="A657" s="43" t="str">
        <f>IFERROR(__xludf.DUMMYFUNCTION("""COMPUTED_VALUE"""),"찹쌀&amp;한메")</f>
        <v>찹쌀&amp;한메</v>
      </c>
      <c r="B657" s="43">
        <f>IFERROR(__xludf.DUMMYFUNCTION("""COMPUTED_VALUE"""),2.0)</f>
        <v>2</v>
      </c>
      <c r="C657" s="43">
        <f>IFERROR(__xludf.DUMMYFUNCTION("""COMPUTED_VALUE"""),8.0)</f>
        <v>8</v>
      </c>
      <c r="D657" s="46">
        <f>IFERROR(__xludf.DUMMYFUNCTION("""COMPUTED_VALUE"""),0.2)</f>
        <v>0.2</v>
      </c>
    </row>
    <row r="658">
      <c r="A658" s="43" t="str">
        <f>IFERROR(__xludf.DUMMYFUNCTION("""COMPUTED_VALUE"""),"ACDC&amp;롤")</f>
        <v>ACDC&amp;롤</v>
      </c>
      <c r="B658" s="43">
        <f>IFERROR(__xludf.DUMMYFUNCTION("""COMPUTED_VALUE"""),1.0)</f>
        <v>1</v>
      </c>
      <c r="C658" s="43">
        <f>IFERROR(__xludf.DUMMYFUNCTION("""COMPUTED_VALUE"""),0.0)</f>
        <v>0</v>
      </c>
      <c r="D658" s="46">
        <f>IFERROR(__xludf.DUMMYFUNCTION("""COMPUTED_VALUE"""),1.0)</f>
        <v>1</v>
      </c>
    </row>
    <row r="659">
      <c r="A659" s="43" t="str">
        <f>IFERROR(__xludf.DUMMYFUNCTION("""COMPUTED_VALUE"""),"ACDC&amp;좀비")</f>
        <v>ACDC&amp;좀비</v>
      </c>
      <c r="B659" s="43">
        <f>IFERROR(__xludf.DUMMYFUNCTION("""COMPUTED_VALUE"""),1.0)</f>
        <v>1</v>
      </c>
      <c r="C659" s="43">
        <f>IFERROR(__xludf.DUMMYFUNCTION("""COMPUTED_VALUE"""),0.0)</f>
        <v>0</v>
      </c>
      <c r="D659" s="46">
        <f>IFERROR(__xludf.DUMMYFUNCTION("""COMPUTED_VALUE"""),1.0)</f>
        <v>1</v>
      </c>
    </row>
    <row r="660">
      <c r="A660" s="43" t="str">
        <f>IFERROR(__xludf.DUMMYFUNCTION("""COMPUTED_VALUE"""),"GYUL&amp;테리")</f>
        <v>GYUL&amp;테리</v>
      </c>
      <c r="B660" s="43">
        <f>IFERROR(__xludf.DUMMYFUNCTION("""COMPUTED_VALUE"""),1.0)</f>
        <v>1</v>
      </c>
      <c r="C660" s="43">
        <f>IFERROR(__xludf.DUMMYFUNCTION("""COMPUTED_VALUE"""),0.0)</f>
        <v>0</v>
      </c>
      <c r="D660" s="46">
        <f>IFERROR(__xludf.DUMMYFUNCTION("""COMPUTED_VALUE"""),1.0)</f>
        <v>1</v>
      </c>
    </row>
    <row r="661">
      <c r="A661" s="43" t="str">
        <f>IFERROR(__xludf.DUMMYFUNCTION("""COMPUTED_VALUE"""),"Leaf&amp;윙크")</f>
        <v>Leaf&amp;윙크</v>
      </c>
      <c r="B661" s="43">
        <f>IFERROR(__xludf.DUMMYFUNCTION("""COMPUTED_VALUE"""),1.0)</f>
        <v>1</v>
      </c>
      <c r="C661" s="43">
        <f>IFERROR(__xludf.DUMMYFUNCTION("""COMPUTED_VALUE"""),0.0)</f>
        <v>0</v>
      </c>
      <c r="D661" s="46">
        <f>IFERROR(__xludf.DUMMYFUNCTION("""COMPUTED_VALUE"""),1.0)</f>
        <v>1</v>
      </c>
    </row>
    <row r="662">
      <c r="A662" s="43" t="str">
        <f>IFERROR(__xludf.DUMMYFUNCTION("""COMPUTED_VALUE"""),"ovo&amp;랄")</f>
        <v>ovo&amp;랄</v>
      </c>
      <c r="B662" s="43">
        <f>IFERROR(__xludf.DUMMYFUNCTION("""COMPUTED_VALUE"""),1.0)</f>
        <v>1</v>
      </c>
      <c r="C662" s="43">
        <f>IFERROR(__xludf.DUMMYFUNCTION("""COMPUTED_VALUE"""),0.0)</f>
        <v>0</v>
      </c>
      <c r="D662" s="46">
        <f>IFERROR(__xludf.DUMMYFUNCTION("""COMPUTED_VALUE"""),1.0)</f>
        <v>1</v>
      </c>
    </row>
    <row r="663">
      <c r="A663" s="43" t="str">
        <f>IFERROR(__xludf.DUMMYFUNCTION("""COMPUTED_VALUE"""),"ovo&amp;솔")</f>
        <v>ovo&amp;솔</v>
      </c>
      <c r="B663" s="43">
        <f>IFERROR(__xludf.DUMMYFUNCTION("""COMPUTED_VALUE"""),1.0)</f>
        <v>1</v>
      </c>
      <c r="C663" s="43">
        <f>IFERROR(__xludf.DUMMYFUNCTION("""COMPUTED_VALUE"""),0.0)</f>
        <v>0</v>
      </c>
      <c r="D663" s="46">
        <f>IFERROR(__xludf.DUMMYFUNCTION("""COMPUTED_VALUE"""),1.0)</f>
        <v>1</v>
      </c>
    </row>
    <row r="664">
      <c r="A664" s="43" t="str">
        <f>IFERROR(__xludf.DUMMYFUNCTION("""COMPUTED_VALUE"""),"ovo&amp;재명")</f>
        <v>ovo&amp;재명</v>
      </c>
      <c r="B664" s="43">
        <f>IFERROR(__xludf.DUMMYFUNCTION("""COMPUTED_VALUE"""),1.0)</f>
        <v>1</v>
      </c>
      <c r="C664" s="43">
        <f>IFERROR(__xludf.DUMMYFUNCTION("""COMPUTED_VALUE"""),0.0)</f>
        <v>0</v>
      </c>
      <c r="D664" s="46">
        <f>IFERROR(__xludf.DUMMYFUNCTION("""COMPUTED_VALUE"""),1.0)</f>
        <v>1</v>
      </c>
    </row>
    <row r="665">
      <c r="A665" s="43" t="str">
        <f>IFERROR(__xludf.DUMMYFUNCTION("""COMPUTED_VALUE"""),"ovo&amp;재우")</f>
        <v>ovo&amp;재우</v>
      </c>
      <c r="B665" s="43">
        <f>IFERROR(__xludf.DUMMYFUNCTION("""COMPUTED_VALUE"""),1.0)</f>
        <v>1</v>
      </c>
      <c r="C665" s="43">
        <f>IFERROR(__xludf.DUMMYFUNCTION("""COMPUTED_VALUE"""),0.0)</f>
        <v>0</v>
      </c>
      <c r="D665" s="46">
        <f>IFERROR(__xludf.DUMMYFUNCTION("""COMPUTED_VALUE"""),1.0)</f>
        <v>1</v>
      </c>
    </row>
    <row r="666">
      <c r="A666" s="43" t="str">
        <f>IFERROR(__xludf.DUMMYFUNCTION("""COMPUTED_VALUE"""),"ovo&amp;혀니")</f>
        <v>ovo&amp;혀니</v>
      </c>
      <c r="B666" s="43">
        <f>IFERROR(__xludf.DUMMYFUNCTION("""COMPUTED_VALUE"""),1.0)</f>
        <v>1</v>
      </c>
      <c r="C666" s="43">
        <f>IFERROR(__xludf.DUMMYFUNCTION("""COMPUTED_VALUE"""),0.0)</f>
        <v>0</v>
      </c>
      <c r="D666" s="46">
        <f>IFERROR(__xludf.DUMMYFUNCTION("""COMPUTED_VALUE"""),1.0)</f>
        <v>1</v>
      </c>
    </row>
    <row r="667">
      <c r="A667" s="43" t="str">
        <f>IFERROR(__xludf.DUMMYFUNCTION("""COMPUTED_VALUE"""),"간달프&amp;만두")</f>
        <v>간달프&amp;만두</v>
      </c>
      <c r="B667" s="43">
        <f>IFERROR(__xludf.DUMMYFUNCTION("""COMPUTED_VALUE"""),1.0)</f>
        <v>1</v>
      </c>
      <c r="C667" s="43">
        <f>IFERROR(__xludf.DUMMYFUNCTION("""COMPUTED_VALUE"""),0.0)</f>
        <v>0</v>
      </c>
      <c r="D667" s="46">
        <f>IFERROR(__xludf.DUMMYFUNCTION("""COMPUTED_VALUE"""),1.0)</f>
        <v>1</v>
      </c>
    </row>
    <row r="668">
      <c r="A668" s="43" t="str">
        <f>IFERROR(__xludf.DUMMYFUNCTION("""COMPUTED_VALUE"""),"간달프&amp;조드")</f>
        <v>간달프&amp;조드</v>
      </c>
      <c r="B668" s="43">
        <f>IFERROR(__xludf.DUMMYFUNCTION("""COMPUTED_VALUE"""),1.0)</f>
        <v>1</v>
      </c>
      <c r="C668" s="43">
        <f>IFERROR(__xludf.DUMMYFUNCTION("""COMPUTED_VALUE"""),0.0)</f>
        <v>0</v>
      </c>
      <c r="D668" s="46">
        <f>IFERROR(__xludf.DUMMYFUNCTION("""COMPUTED_VALUE"""),1.0)</f>
        <v>1</v>
      </c>
    </row>
    <row r="669">
      <c r="A669" s="43" t="str">
        <f>IFERROR(__xludf.DUMMYFUNCTION("""COMPUTED_VALUE"""),"규식&amp;박서")</f>
        <v>규식&amp;박서</v>
      </c>
      <c r="B669" s="43">
        <f>IFERROR(__xludf.DUMMYFUNCTION("""COMPUTED_VALUE"""),1.0)</f>
        <v>1</v>
      </c>
      <c r="C669" s="43">
        <f>IFERROR(__xludf.DUMMYFUNCTION("""COMPUTED_VALUE"""),0.0)</f>
        <v>0</v>
      </c>
      <c r="D669" s="46">
        <f>IFERROR(__xludf.DUMMYFUNCTION("""COMPUTED_VALUE"""),1.0)</f>
        <v>1</v>
      </c>
    </row>
    <row r="670">
      <c r="A670" s="43" t="str">
        <f>IFERROR(__xludf.DUMMYFUNCTION("""COMPUTED_VALUE"""),"기재&amp;유망")</f>
        <v>기재&amp;유망</v>
      </c>
      <c r="B670" s="43">
        <f>IFERROR(__xludf.DUMMYFUNCTION("""COMPUTED_VALUE"""),1.0)</f>
        <v>1</v>
      </c>
      <c r="C670" s="43">
        <f>IFERROR(__xludf.DUMMYFUNCTION("""COMPUTED_VALUE"""),0.0)</f>
        <v>0</v>
      </c>
      <c r="D670" s="46">
        <f>IFERROR(__xludf.DUMMYFUNCTION("""COMPUTED_VALUE"""),1.0)</f>
        <v>1</v>
      </c>
    </row>
    <row r="671">
      <c r="A671" s="43" t="str">
        <f>IFERROR(__xludf.DUMMYFUNCTION("""COMPUTED_VALUE"""),"깡패&amp;덴")</f>
        <v>깡패&amp;덴</v>
      </c>
      <c r="B671" s="43">
        <f>IFERROR(__xludf.DUMMYFUNCTION("""COMPUTED_VALUE"""),1.0)</f>
        <v>1</v>
      </c>
      <c r="C671" s="43">
        <f>IFERROR(__xludf.DUMMYFUNCTION("""COMPUTED_VALUE"""),0.0)</f>
        <v>0</v>
      </c>
      <c r="D671" s="46">
        <f>IFERROR(__xludf.DUMMYFUNCTION("""COMPUTED_VALUE"""),1.0)</f>
        <v>1</v>
      </c>
    </row>
    <row r="672">
      <c r="A672" s="43" t="str">
        <f>IFERROR(__xludf.DUMMYFUNCTION("""COMPUTED_VALUE"""),"넘버&amp;덴")</f>
        <v>넘버&amp;덴</v>
      </c>
      <c r="B672" s="43">
        <f>IFERROR(__xludf.DUMMYFUNCTION("""COMPUTED_VALUE"""),1.0)</f>
        <v>1</v>
      </c>
      <c r="C672" s="43">
        <f>IFERROR(__xludf.DUMMYFUNCTION("""COMPUTED_VALUE"""),0.0)</f>
        <v>0</v>
      </c>
      <c r="D672" s="46">
        <f>IFERROR(__xludf.DUMMYFUNCTION("""COMPUTED_VALUE"""),1.0)</f>
        <v>1</v>
      </c>
    </row>
    <row r="673">
      <c r="A673" s="43" t="str">
        <f>IFERROR(__xludf.DUMMYFUNCTION("""COMPUTED_VALUE"""),"넘버&amp;반짝")</f>
        <v>넘버&amp;반짝</v>
      </c>
      <c r="B673" s="43">
        <f>IFERROR(__xludf.DUMMYFUNCTION("""COMPUTED_VALUE"""),1.0)</f>
        <v>1</v>
      </c>
      <c r="C673" s="43">
        <f>IFERROR(__xludf.DUMMYFUNCTION("""COMPUTED_VALUE"""),0.0)</f>
        <v>0</v>
      </c>
      <c r="D673" s="46">
        <f>IFERROR(__xludf.DUMMYFUNCTION("""COMPUTED_VALUE"""),1.0)</f>
        <v>1</v>
      </c>
    </row>
    <row r="674">
      <c r="A674" s="43" t="str">
        <f>IFERROR(__xludf.DUMMYFUNCTION("""COMPUTED_VALUE"""),"노인&amp;만두")</f>
        <v>노인&amp;만두</v>
      </c>
      <c r="B674" s="43">
        <f>IFERROR(__xludf.DUMMYFUNCTION("""COMPUTED_VALUE"""),1.0)</f>
        <v>1</v>
      </c>
      <c r="C674" s="43">
        <f>IFERROR(__xludf.DUMMYFUNCTION("""COMPUTED_VALUE"""),0.0)</f>
        <v>0</v>
      </c>
      <c r="D674" s="46">
        <f>IFERROR(__xludf.DUMMYFUNCTION("""COMPUTED_VALUE"""),1.0)</f>
        <v>1</v>
      </c>
    </row>
    <row r="675">
      <c r="A675" s="43" t="str">
        <f>IFERROR(__xludf.DUMMYFUNCTION("""COMPUTED_VALUE"""),"노인&amp;용갈")</f>
        <v>노인&amp;용갈</v>
      </c>
      <c r="B675" s="43">
        <f>IFERROR(__xludf.DUMMYFUNCTION("""COMPUTED_VALUE"""),1.0)</f>
        <v>1</v>
      </c>
      <c r="C675" s="43">
        <f>IFERROR(__xludf.DUMMYFUNCTION("""COMPUTED_VALUE"""),0.0)</f>
        <v>0</v>
      </c>
      <c r="D675" s="46">
        <f>IFERROR(__xludf.DUMMYFUNCTION("""COMPUTED_VALUE"""),1.0)</f>
        <v>1</v>
      </c>
    </row>
    <row r="676">
      <c r="A676" s="43" t="str">
        <f>IFERROR(__xludf.DUMMYFUNCTION("""COMPUTED_VALUE"""),"노픽업&amp;봉구")</f>
        <v>노픽업&amp;봉구</v>
      </c>
      <c r="B676" s="43">
        <f>IFERROR(__xludf.DUMMYFUNCTION("""COMPUTED_VALUE"""),1.0)</f>
        <v>1</v>
      </c>
      <c r="C676" s="43">
        <f>IFERROR(__xludf.DUMMYFUNCTION("""COMPUTED_VALUE"""),0.0)</f>
        <v>0</v>
      </c>
      <c r="D676" s="46">
        <f>IFERROR(__xludf.DUMMYFUNCTION("""COMPUTED_VALUE"""),1.0)</f>
        <v>1</v>
      </c>
    </row>
    <row r="677">
      <c r="A677" s="43" t="str">
        <f>IFERROR(__xludf.DUMMYFUNCTION("""COMPUTED_VALUE"""),"노픽업&amp;요즘")</f>
        <v>노픽업&amp;요즘</v>
      </c>
      <c r="B677" s="43">
        <f>IFERROR(__xludf.DUMMYFUNCTION("""COMPUTED_VALUE"""),1.0)</f>
        <v>1</v>
      </c>
      <c r="C677" s="43">
        <f>IFERROR(__xludf.DUMMYFUNCTION("""COMPUTED_VALUE"""),0.0)</f>
        <v>0</v>
      </c>
      <c r="D677" s="46">
        <f>IFERROR(__xludf.DUMMYFUNCTION("""COMPUTED_VALUE"""),1.0)</f>
        <v>1</v>
      </c>
    </row>
    <row r="678">
      <c r="A678" s="43" t="str">
        <f>IFERROR(__xludf.DUMMYFUNCTION("""COMPUTED_VALUE"""),"단수&amp;따")</f>
        <v>단수&amp;따</v>
      </c>
      <c r="B678" s="43">
        <f>IFERROR(__xludf.DUMMYFUNCTION("""COMPUTED_VALUE"""),1.0)</f>
        <v>1</v>
      </c>
      <c r="C678" s="43">
        <f>IFERROR(__xludf.DUMMYFUNCTION("""COMPUTED_VALUE"""),0.0)</f>
        <v>0</v>
      </c>
      <c r="D678" s="46">
        <f>IFERROR(__xludf.DUMMYFUNCTION("""COMPUTED_VALUE"""),1.0)</f>
        <v>1</v>
      </c>
    </row>
    <row r="679">
      <c r="A679" s="43" t="str">
        <f>IFERROR(__xludf.DUMMYFUNCTION("""COMPUTED_VALUE"""),"덴&amp;한메")</f>
        <v>덴&amp;한메</v>
      </c>
      <c r="B679" s="43">
        <f>IFERROR(__xludf.DUMMYFUNCTION("""COMPUTED_VALUE"""),1.0)</f>
        <v>1</v>
      </c>
      <c r="C679" s="43">
        <f>IFERROR(__xludf.DUMMYFUNCTION("""COMPUTED_VALUE"""),0.0)</f>
        <v>0</v>
      </c>
      <c r="D679" s="46">
        <f>IFERROR(__xludf.DUMMYFUNCTION("""COMPUTED_VALUE"""),1.0)</f>
        <v>1</v>
      </c>
    </row>
    <row r="680">
      <c r="A680" s="43" t="str">
        <f>IFERROR(__xludf.DUMMYFUNCTION("""COMPUTED_VALUE"""),"따&amp;롤")</f>
        <v>따&amp;롤</v>
      </c>
      <c r="B680" s="43">
        <f>IFERROR(__xludf.DUMMYFUNCTION("""COMPUTED_VALUE"""),1.0)</f>
        <v>1</v>
      </c>
      <c r="C680" s="43">
        <f>IFERROR(__xludf.DUMMYFUNCTION("""COMPUTED_VALUE"""),0.0)</f>
        <v>0</v>
      </c>
      <c r="D680" s="46">
        <f>IFERROR(__xludf.DUMMYFUNCTION("""COMPUTED_VALUE"""),1.0)</f>
        <v>1</v>
      </c>
    </row>
    <row r="681">
      <c r="A681" s="43" t="str">
        <f>IFERROR(__xludf.DUMMYFUNCTION("""COMPUTED_VALUE"""),"따&amp;미등록")</f>
        <v>따&amp;미등록</v>
      </c>
      <c r="B681" s="43">
        <f>IFERROR(__xludf.DUMMYFUNCTION("""COMPUTED_VALUE"""),1.0)</f>
        <v>1</v>
      </c>
      <c r="C681" s="43">
        <f>IFERROR(__xludf.DUMMYFUNCTION("""COMPUTED_VALUE"""),0.0)</f>
        <v>0</v>
      </c>
      <c r="D681" s="46">
        <f>IFERROR(__xludf.DUMMYFUNCTION("""COMPUTED_VALUE"""),1.0)</f>
        <v>1</v>
      </c>
    </row>
    <row r="682">
      <c r="A682" s="43" t="str">
        <f>IFERROR(__xludf.DUMMYFUNCTION("""COMPUTED_VALUE"""),"랄&amp;민우")</f>
        <v>랄&amp;민우</v>
      </c>
      <c r="B682" s="43">
        <f>IFERROR(__xludf.DUMMYFUNCTION("""COMPUTED_VALUE"""),1.0)</f>
        <v>1</v>
      </c>
      <c r="C682" s="43">
        <f>IFERROR(__xludf.DUMMYFUNCTION("""COMPUTED_VALUE"""),0.0)</f>
        <v>0</v>
      </c>
      <c r="D682" s="46">
        <f>IFERROR(__xludf.DUMMYFUNCTION("""COMPUTED_VALUE"""),1.0)</f>
        <v>1</v>
      </c>
    </row>
    <row r="683">
      <c r="A683" s="43" t="str">
        <f>IFERROR(__xludf.DUMMYFUNCTION("""COMPUTED_VALUE"""),"랄&amp;박서")</f>
        <v>랄&amp;박서</v>
      </c>
      <c r="B683" s="43">
        <f>IFERROR(__xludf.DUMMYFUNCTION("""COMPUTED_VALUE"""),1.0)</f>
        <v>1</v>
      </c>
      <c r="C683" s="43">
        <f>IFERROR(__xludf.DUMMYFUNCTION("""COMPUTED_VALUE"""),0.0)</f>
        <v>0</v>
      </c>
      <c r="D683" s="46">
        <f>IFERROR(__xludf.DUMMYFUNCTION("""COMPUTED_VALUE"""),1.0)</f>
        <v>1</v>
      </c>
    </row>
    <row r="684">
      <c r="A684" s="43" t="str">
        <f>IFERROR(__xludf.DUMMYFUNCTION("""COMPUTED_VALUE"""),"롤&amp;키키")</f>
        <v>롤&amp;키키</v>
      </c>
      <c r="B684" s="43">
        <f>IFERROR(__xludf.DUMMYFUNCTION("""COMPUTED_VALUE"""),1.0)</f>
        <v>1</v>
      </c>
      <c r="C684" s="43">
        <f>IFERROR(__xludf.DUMMYFUNCTION("""COMPUTED_VALUE"""),0.0)</f>
        <v>0</v>
      </c>
      <c r="D684" s="46">
        <f>IFERROR(__xludf.DUMMYFUNCTION("""COMPUTED_VALUE"""),1.0)</f>
        <v>1</v>
      </c>
    </row>
    <row r="685">
      <c r="A685" s="43" t="str">
        <f>IFERROR(__xludf.DUMMYFUNCTION("""COMPUTED_VALUE"""),"롤&amp;태식")</f>
        <v>롤&amp;태식</v>
      </c>
      <c r="B685" s="43">
        <f>IFERROR(__xludf.DUMMYFUNCTION("""COMPUTED_VALUE"""),1.0)</f>
        <v>1</v>
      </c>
      <c r="C685" s="43">
        <f>IFERROR(__xludf.DUMMYFUNCTION("""COMPUTED_VALUE"""),0.0)</f>
        <v>0</v>
      </c>
      <c r="D685" s="46">
        <f>IFERROR(__xludf.DUMMYFUNCTION("""COMPUTED_VALUE"""),1.0)</f>
        <v>1</v>
      </c>
    </row>
    <row r="686">
      <c r="A686" s="43" t="str">
        <f>IFERROR(__xludf.DUMMYFUNCTION("""COMPUTED_VALUE"""),"만두&amp;시아")</f>
        <v>만두&amp;시아</v>
      </c>
      <c r="B686" s="43">
        <f>IFERROR(__xludf.DUMMYFUNCTION("""COMPUTED_VALUE"""),1.0)</f>
        <v>1</v>
      </c>
      <c r="C686" s="43">
        <f>IFERROR(__xludf.DUMMYFUNCTION("""COMPUTED_VALUE"""),0.0)</f>
        <v>0</v>
      </c>
      <c r="D686" s="46">
        <f>IFERROR(__xludf.DUMMYFUNCTION("""COMPUTED_VALUE"""),1.0)</f>
        <v>1</v>
      </c>
    </row>
    <row r="687">
      <c r="A687" s="43" t="str">
        <f>IFERROR(__xludf.DUMMYFUNCTION("""COMPUTED_VALUE"""),"만두&amp;오크")</f>
        <v>만두&amp;오크</v>
      </c>
      <c r="B687" s="43">
        <f>IFERROR(__xludf.DUMMYFUNCTION("""COMPUTED_VALUE"""),1.0)</f>
        <v>1</v>
      </c>
      <c r="C687" s="43">
        <f>IFERROR(__xludf.DUMMYFUNCTION("""COMPUTED_VALUE"""),0.0)</f>
        <v>0</v>
      </c>
      <c r="D687" s="46">
        <f>IFERROR(__xludf.DUMMYFUNCTION("""COMPUTED_VALUE"""),1.0)</f>
        <v>1</v>
      </c>
    </row>
    <row r="688">
      <c r="A688" s="43" t="str">
        <f>IFERROR(__xludf.DUMMYFUNCTION("""COMPUTED_VALUE"""),"만두&amp;윙크")</f>
        <v>만두&amp;윙크</v>
      </c>
      <c r="B688" s="43">
        <f>IFERROR(__xludf.DUMMYFUNCTION("""COMPUTED_VALUE"""),1.0)</f>
        <v>1</v>
      </c>
      <c r="C688" s="43">
        <f>IFERROR(__xludf.DUMMYFUNCTION("""COMPUTED_VALUE"""),0.0)</f>
        <v>0</v>
      </c>
      <c r="D688" s="46">
        <f>IFERROR(__xludf.DUMMYFUNCTION("""COMPUTED_VALUE"""),1.0)</f>
        <v>1</v>
      </c>
    </row>
    <row r="689">
      <c r="A689" s="43" t="str">
        <f>IFERROR(__xludf.DUMMYFUNCTION("""COMPUTED_VALUE"""),"미등록&amp;밍구")</f>
        <v>미등록&amp;밍구</v>
      </c>
      <c r="B689" s="43">
        <f>IFERROR(__xludf.DUMMYFUNCTION("""COMPUTED_VALUE"""),1.0)</f>
        <v>1</v>
      </c>
      <c r="C689" s="43">
        <f>IFERROR(__xludf.DUMMYFUNCTION("""COMPUTED_VALUE"""),0.0)</f>
        <v>0</v>
      </c>
      <c r="D689" s="46">
        <f>IFERROR(__xludf.DUMMYFUNCTION("""COMPUTED_VALUE"""),1.0)</f>
        <v>1</v>
      </c>
    </row>
    <row r="690">
      <c r="A690" s="43" t="str">
        <f>IFERROR(__xludf.DUMMYFUNCTION("""COMPUTED_VALUE"""),"미르진&amp;키키")</f>
        <v>미르진&amp;키키</v>
      </c>
      <c r="B690" s="43">
        <f>IFERROR(__xludf.DUMMYFUNCTION("""COMPUTED_VALUE"""),1.0)</f>
        <v>1</v>
      </c>
      <c r="C690" s="43">
        <f>IFERROR(__xludf.DUMMYFUNCTION("""COMPUTED_VALUE"""),0.0)</f>
        <v>0</v>
      </c>
      <c r="D690" s="46">
        <f>IFERROR(__xludf.DUMMYFUNCTION("""COMPUTED_VALUE"""),1.0)</f>
        <v>1</v>
      </c>
    </row>
    <row r="691">
      <c r="A691" s="43" t="str">
        <f>IFERROR(__xludf.DUMMYFUNCTION("""COMPUTED_VALUE"""),"민우&amp;용갈")</f>
        <v>민우&amp;용갈</v>
      </c>
      <c r="B691" s="43">
        <f>IFERROR(__xludf.DUMMYFUNCTION("""COMPUTED_VALUE"""),1.0)</f>
        <v>1</v>
      </c>
      <c r="C691" s="43">
        <f>IFERROR(__xludf.DUMMYFUNCTION("""COMPUTED_VALUE"""),0.0)</f>
        <v>0</v>
      </c>
      <c r="D691" s="46">
        <f>IFERROR(__xludf.DUMMYFUNCTION("""COMPUTED_VALUE"""),1.0)</f>
        <v>1</v>
      </c>
    </row>
    <row r="692">
      <c r="A692" s="43" t="str">
        <f>IFERROR(__xludf.DUMMYFUNCTION("""COMPUTED_VALUE"""),"밍구&amp;팰리")</f>
        <v>밍구&amp;팰리</v>
      </c>
      <c r="B692" s="43">
        <f>IFERROR(__xludf.DUMMYFUNCTION("""COMPUTED_VALUE"""),1.0)</f>
        <v>1</v>
      </c>
      <c r="C692" s="43">
        <f>IFERROR(__xludf.DUMMYFUNCTION("""COMPUTED_VALUE"""),0.0)</f>
        <v>0</v>
      </c>
      <c r="D692" s="46">
        <f>IFERROR(__xludf.DUMMYFUNCTION("""COMPUTED_VALUE"""),1.0)</f>
        <v>1</v>
      </c>
    </row>
    <row r="693">
      <c r="A693" s="43" t="str">
        <f>IFERROR(__xludf.DUMMYFUNCTION("""COMPUTED_VALUE"""),"박서&amp;유망")</f>
        <v>박서&amp;유망</v>
      </c>
      <c r="B693" s="43">
        <f>IFERROR(__xludf.DUMMYFUNCTION("""COMPUTED_VALUE"""),1.0)</f>
        <v>1</v>
      </c>
      <c r="C693" s="43">
        <f>IFERROR(__xludf.DUMMYFUNCTION("""COMPUTED_VALUE"""),0.0)</f>
        <v>0</v>
      </c>
      <c r="D693" s="46">
        <f>IFERROR(__xludf.DUMMYFUNCTION("""COMPUTED_VALUE"""),1.0)</f>
        <v>1</v>
      </c>
    </row>
    <row r="694">
      <c r="A694" s="43" t="str">
        <f>IFERROR(__xludf.DUMMYFUNCTION("""COMPUTED_VALUE"""),"박서&amp;재우")</f>
        <v>박서&amp;재우</v>
      </c>
      <c r="B694" s="43">
        <f>IFERROR(__xludf.DUMMYFUNCTION("""COMPUTED_VALUE"""),1.0)</f>
        <v>1</v>
      </c>
      <c r="C694" s="43">
        <f>IFERROR(__xludf.DUMMYFUNCTION("""COMPUTED_VALUE"""),0.0)</f>
        <v>0</v>
      </c>
      <c r="D694" s="46">
        <f>IFERROR(__xludf.DUMMYFUNCTION("""COMPUTED_VALUE"""),1.0)</f>
        <v>1</v>
      </c>
    </row>
    <row r="695">
      <c r="A695" s="43" t="str">
        <f>IFERROR(__xludf.DUMMYFUNCTION("""COMPUTED_VALUE"""),"박서&amp;혀니")</f>
        <v>박서&amp;혀니</v>
      </c>
      <c r="B695" s="43">
        <f>IFERROR(__xludf.DUMMYFUNCTION("""COMPUTED_VALUE"""),1.0)</f>
        <v>1</v>
      </c>
      <c r="C695" s="43">
        <f>IFERROR(__xludf.DUMMYFUNCTION("""COMPUTED_VALUE"""),0.0)</f>
        <v>0</v>
      </c>
      <c r="D695" s="46">
        <f>IFERROR(__xludf.DUMMYFUNCTION("""COMPUTED_VALUE"""),1.0)</f>
        <v>1</v>
      </c>
    </row>
    <row r="696">
      <c r="A696" s="43" t="str">
        <f>IFERROR(__xludf.DUMMYFUNCTION("""COMPUTED_VALUE"""),"반짝&amp;테리")</f>
        <v>반짝&amp;테리</v>
      </c>
      <c r="B696" s="43">
        <f>IFERROR(__xludf.DUMMYFUNCTION("""COMPUTED_VALUE"""),1.0)</f>
        <v>1</v>
      </c>
      <c r="C696" s="43">
        <f>IFERROR(__xludf.DUMMYFUNCTION("""COMPUTED_VALUE"""),0.0)</f>
        <v>0</v>
      </c>
      <c r="D696" s="46">
        <f>IFERROR(__xludf.DUMMYFUNCTION("""COMPUTED_VALUE"""),1.0)</f>
        <v>1</v>
      </c>
    </row>
    <row r="697">
      <c r="A697" s="43" t="str">
        <f>IFERROR(__xludf.DUMMYFUNCTION("""COMPUTED_VALUE"""),"뼈해장국&amp;원")</f>
        <v>뼈해장국&amp;원</v>
      </c>
      <c r="B697" s="43">
        <f>IFERROR(__xludf.DUMMYFUNCTION("""COMPUTED_VALUE"""),1.0)</f>
        <v>1</v>
      </c>
      <c r="C697" s="43">
        <f>IFERROR(__xludf.DUMMYFUNCTION("""COMPUTED_VALUE"""),0.0)</f>
        <v>0</v>
      </c>
      <c r="D697" s="46">
        <f>IFERROR(__xludf.DUMMYFUNCTION("""COMPUTED_VALUE"""),1.0)</f>
        <v>1</v>
      </c>
    </row>
    <row r="698">
      <c r="A698" s="43" t="str">
        <f>IFERROR(__xludf.DUMMYFUNCTION("""COMPUTED_VALUE"""),"뼈해장국&amp;재명")</f>
        <v>뼈해장국&amp;재명</v>
      </c>
      <c r="B698" s="43">
        <f>IFERROR(__xludf.DUMMYFUNCTION("""COMPUTED_VALUE"""),1.0)</f>
        <v>1</v>
      </c>
      <c r="C698" s="43">
        <f>IFERROR(__xludf.DUMMYFUNCTION("""COMPUTED_VALUE"""),0.0)</f>
        <v>0</v>
      </c>
      <c r="D698" s="46">
        <f>IFERROR(__xludf.DUMMYFUNCTION("""COMPUTED_VALUE"""),1.0)</f>
        <v>1</v>
      </c>
    </row>
    <row r="699">
      <c r="A699" s="43" t="str">
        <f>IFERROR(__xludf.DUMMYFUNCTION("""COMPUTED_VALUE"""),"새출발&amp;유즈")</f>
        <v>새출발&amp;유즈</v>
      </c>
      <c r="B699" s="43">
        <f>IFERROR(__xludf.DUMMYFUNCTION("""COMPUTED_VALUE"""),1.0)</f>
        <v>1</v>
      </c>
      <c r="C699" s="43">
        <f>IFERROR(__xludf.DUMMYFUNCTION("""COMPUTED_VALUE"""),0.0)</f>
        <v>0</v>
      </c>
      <c r="D699" s="46">
        <f>IFERROR(__xludf.DUMMYFUNCTION("""COMPUTED_VALUE"""),1.0)</f>
        <v>1</v>
      </c>
    </row>
    <row r="700">
      <c r="A700" s="43" t="str">
        <f>IFERROR(__xludf.DUMMYFUNCTION("""COMPUTED_VALUE"""),"신형만&amp;퍼플")</f>
        <v>신형만&amp;퍼플</v>
      </c>
      <c r="B700" s="43">
        <f>IFERROR(__xludf.DUMMYFUNCTION("""COMPUTED_VALUE"""),1.0)</f>
        <v>1</v>
      </c>
      <c r="C700" s="43">
        <f>IFERROR(__xludf.DUMMYFUNCTION("""COMPUTED_VALUE"""),0.0)</f>
        <v>0</v>
      </c>
      <c r="D700" s="46">
        <f>IFERROR(__xludf.DUMMYFUNCTION("""COMPUTED_VALUE"""),1.0)</f>
        <v>1</v>
      </c>
    </row>
    <row r="701">
      <c r="A701" s="43" t="str">
        <f>IFERROR(__xludf.DUMMYFUNCTION("""COMPUTED_VALUE"""),"악동&amp;오딘")</f>
        <v>악동&amp;오딘</v>
      </c>
      <c r="B701" s="43">
        <f>IFERROR(__xludf.DUMMYFUNCTION("""COMPUTED_VALUE"""),1.0)</f>
        <v>1</v>
      </c>
      <c r="C701" s="43">
        <f>IFERROR(__xludf.DUMMYFUNCTION("""COMPUTED_VALUE"""),0.0)</f>
        <v>0</v>
      </c>
      <c r="D701" s="46">
        <f>IFERROR(__xludf.DUMMYFUNCTION("""COMPUTED_VALUE"""),1.0)</f>
        <v>1</v>
      </c>
    </row>
    <row r="702">
      <c r="A702" s="43" t="str">
        <f>IFERROR(__xludf.DUMMYFUNCTION("""COMPUTED_VALUE"""),"악동&amp;윙크")</f>
        <v>악동&amp;윙크</v>
      </c>
      <c r="B702" s="43">
        <f>IFERROR(__xludf.DUMMYFUNCTION("""COMPUTED_VALUE"""),1.0)</f>
        <v>1</v>
      </c>
      <c r="C702" s="43">
        <f>IFERROR(__xludf.DUMMYFUNCTION("""COMPUTED_VALUE"""),0.0)</f>
        <v>0</v>
      </c>
      <c r="D702" s="46">
        <f>IFERROR(__xludf.DUMMYFUNCTION("""COMPUTED_VALUE"""),1.0)</f>
        <v>1</v>
      </c>
    </row>
    <row r="703">
      <c r="A703" s="43" t="str">
        <f>IFERROR(__xludf.DUMMYFUNCTION("""COMPUTED_VALUE"""),"엘&amp;요즘")</f>
        <v>엘&amp;요즘</v>
      </c>
      <c r="B703" s="43">
        <f>IFERROR(__xludf.DUMMYFUNCTION("""COMPUTED_VALUE"""),1.0)</f>
        <v>1</v>
      </c>
      <c r="C703" s="43">
        <f>IFERROR(__xludf.DUMMYFUNCTION("""COMPUTED_VALUE"""),0.0)</f>
        <v>0</v>
      </c>
      <c r="D703" s="46">
        <f>IFERROR(__xludf.DUMMYFUNCTION("""COMPUTED_VALUE"""),1.0)</f>
        <v>1</v>
      </c>
    </row>
    <row r="704">
      <c r="A704" s="43" t="str">
        <f>IFERROR(__xludf.DUMMYFUNCTION("""COMPUTED_VALUE"""),"엘더&amp;지피")</f>
        <v>엘더&amp;지피</v>
      </c>
      <c r="B704" s="43">
        <f>IFERROR(__xludf.DUMMYFUNCTION("""COMPUTED_VALUE"""),1.0)</f>
        <v>1</v>
      </c>
      <c r="C704" s="43">
        <f>IFERROR(__xludf.DUMMYFUNCTION("""COMPUTED_VALUE"""),0.0)</f>
        <v>0</v>
      </c>
      <c r="D704" s="46">
        <f>IFERROR(__xludf.DUMMYFUNCTION("""COMPUTED_VALUE"""),1.0)</f>
        <v>1</v>
      </c>
    </row>
    <row r="705">
      <c r="A705" s="43" t="str">
        <f>IFERROR(__xludf.DUMMYFUNCTION("""COMPUTED_VALUE"""),"엘더&amp;키키")</f>
        <v>엘더&amp;키키</v>
      </c>
      <c r="B705" s="43">
        <f>IFERROR(__xludf.DUMMYFUNCTION("""COMPUTED_VALUE"""),1.0)</f>
        <v>1</v>
      </c>
      <c r="C705" s="43">
        <f>IFERROR(__xludf.DUMMYFUNCTION("""COMPUTED_VALUE"""),0.0)</f>
        <v>0</v>
      </c>
      <c r="D705" s="46">
        <f>IFERROR(__xludf.DUMMYFUNCTION("""COMPUTED_VALUE"""),1.0)</f>
        <v>1</v>
      </c>
    </row>
    <row r="706">
      <c r="A706" s="43" t="str">
        <f>IFERROR(__xludf.DUMMYFUNCTION("""COMPUTED_VALUE"""),"요즘&amp;참치")</f>
        <v>요즘&amp;참치</v>
      </c>
      <c r="B706" s="43">
        <f>IFERROR(__xludf.DUMMYFUNCTION("""COMPUTED_VALUE"""),1.0)</f>
        <v>1</v>
      </c>
      <c r="C706" s="43">
        <f>IFERROR(__xludf.DUMMYFUNCTION("""COMPUTED_VALUE"""),0.0)</f>
        <v>0</v>
      </c>
      <c r="D706" s="46">
        <f>IFERROR(__xludf.DUMMYFUNCTION("""COMPUTED_VALUE"""),1.0)</f>
        <v>1</v>
      </c>
    </row>
    <row r="707">
      <c r="A707" s="43" t="str">
        <f>IFERROR(__xludf.DUMMYFUNCTION("""COMPUTED_VALUE"""),"용갈&amp;한메")</f>
        <v>용갈&amp;한메</v>
      </c>
      <c r="B707" s="43">
        <f>IFERROR(__xludf.DUMMYFUNCTION("""COMPUTED_VALUE"""),1.0)</f>
        <v>1</v>
      </c>
      <c r="C707" s="43">
        <f>IFERROR(__xludf.DUMMYFUNCTION("""COMPUTED_VALUE"""),0.0)</f>
        <v>0</v>
      </c>
      <c r="D707" s="46">
        <f>IFERROR(__xludf.DUMMYFUNCTION("""COMPUTED_VALUE"""),1.0)</f>
        <v>1</v>
      </c>
    </row>
    <row r="708">
      <c r="A708" s="43" t="str">
        <f>IFERROR(__xludf.DUMMYFUNCTION("""COMPUTED_VALUE"""),"웅&amp;키키")</f>
        <v>웅&amp;키키</v>
      </c>
      <c r="B708" s="43">
        <f>IFERROR(__xludf.DUMMYFUNCTION("""COMPUTED_VALUE"""),1.0)</f>
        <v>1</v>
      </c>
      <c r="C708" s="43">
        <f>IFERROR(__xludf.DUMMYFUNCTION("""COMPUTED_VALUE"""),0.0)</f>
        <v>0</v>
      </c>
      <c r="D708" s="46">
        <f>IFERROR(__xludf.DUMMYFUNCTION("""COMPUTED_VALUE"""),1.0)</f>
        <v>1</v>
      </c>
    </row>
    <row r="709">
      <c r="A709" s="43" t="str">
        <f>IFERROR(__xludf.DUMMYFUNCTION("""COMPUTED_VALUE"""),"웅&amp;태식")</f>
        <v>웅&amp;태식</v>
      </c>
      <c r="B709" s="43">
        <f>IFERROR(__xludf.DUMMYFUNCTION("""COMPUTED_VALUE"""),1.0)</f>
        <v>1</v>
      </c>
      <c r="C709" s="43">
        <f>IFERROR(__xludf.DUMMYFUNCTION("""COMPUTED_VALUE"""),0.0)</f>
        <v>0</v>
      </c>
      <c r="D709" s="46">
        <f>IFERROR(__xludf.DUMMYFUNCTION("""COMPUTED_VALUE"""),1.0)</f>
        <v>1</v>
      </c>
    </row>
    <row r="710">
      <c r="A710" s="43" t="str">
        <f>IFERROR(__xludf.DUMMYFUNCTION("""COMPUTED_VALUE"""),"원&amp;재명")</f>
        <v>원&amp;재명</v>
      </c>
      <c r="B710" s="43">
        <f>IFERROR(__xludf.DUMMYFUNCTION("""COMPUTED_VALUE"""),1.0)</f>
        <v>1</v>
      </c>
      <c r="C710" s="43">
        <f>IFERROR(__xludf.DUMMYFUNCTION("""COMPUTED_VALUE"""),0.0)</f>
        <v>0</v>
      </c>
      <c r="D710" s="46">
        <f>IFERROR(__xludf.DUMMYFUNCTION("""COMPUTED_VALUE"""),1.0)</f>
        <v>1</v>
      </c>
    </row>
    <row r="711">
      <c r="A711" s="43" t="str">
        <f>IFERROR(__xludf.DUMMYFUNCTION("""COMPUTED_VALUE"""),"유망&amp;전투쥐")</f>
        <v>유망&amp;전투쥐</v>
      </c>
      <c r="B711" s="43">
        <f>IFERROR(__xludf.DUMMYFUNCTION("""COMPUTED_VALUE"""),1.0)</f>
        <v>1</v>
      </c>
      <c r="C711" s="43">
        <f>IFERROR(__xludf.DUMMYFUNCTION("""COMPUTED_VALUE"""),0.0)</f>
        <v>0</v>
      </c>
      <c r="D711" s="46">
        <f>IFERROR(__xludf.DUMMYFUNCTION("""COMPUTED_VALUE"""),1.0)</f>
        <v>1</v>
      </c>
    </row>
    <row r="712">
      <c r="A712" s="43" t="str">
        <f>IFERROR(__xludf.DUMMYFUNCTION("""COMPUTED_VALUE"""),"유즈&amp;키키")</f>
        <v>유즈&amp;키키</v>
      </c>
      <c r="B712" s="43">
        <f>IFERROR(__xludf.DUMMYFUNCTION("""COMPUTED_VALUE"""),1.0)</f>
        <v>1</v>
      </c>
      <c r="C712" s="43">
        <f>IFERROR(__xludf.DUMMYFUNCTION("""COMPUTED_VALUE"""),0.0)</f>
        <v>0</v>
      </c>
      <c r="D712" s="46">
        <f>IFERROR(__xludf.DUMMYFUNCTION("""COMPUTED_VALUE"""),1.0)</f>
        <v>1</v>
      </c>
    </row>
    <row r="713">
      <c r="A713" s="43" t="str">
        <f>IFERROR(__xludf.DUMMYFUNCTION("""COMPUTED_VALUE"""),"재명&amp;필찌")</f>
        <v>재명&amp;필찌</v>
      </c>
      <c r="B713" s="43">
        <f>IFERROR(__xludf.DUMMYFUNCTION("""COMPUTED_VALUE"""),1.0)</f>
        <v>1</v>
      </c>
      <c r="C713" s="43">
        <f>IFERROR(__xludf.DUMMYFUNCTION("""COMPUTED_VALUE"""),0.0)</f>
        <v>0</v>
      </c>
      <c r="D713" s="46">
        <f>IFERROR(__xludf.DUMMYFUNCTION("""COMPUTED_VALUE"""),1.0)</f>
        <v>1</v>
      </c>
    </row>
    <row r="714">
      <c r="A714" s="43" t="str">
        <f>IFERROR(__xludf.DUMMYFUNCTION("""COMPUTED_VALUE"""),"재우&amp;터미")</f>
        <v>재우&amp;터미</v>
      </c>
      <c r="B714" s="43">
        <f>IFERROR(__xludf.DUMMYFUNCTION("""COMPUTED_VALUE"""),1.0)</f>
        <v>1</v>
      </c>
      <c r="C714" s="43">
        <f>IFERROR(__xludf.DUMMYFUNCTION("""COMPUTED_VALUE"""),0.0)</f>
        <v>0</v>
      </c>
      <c r="D714" s="46">
        <f>IFERROR(__xludf.DUMMYFUNCTION("""COMPUTED_VALUE"""),1.0)</f>
        <v>1</v>
      </c>
    </row>
    <row r="715">
      <c r="A715" s="43" t="str">
        <f>IFERROR(__xludf.DUMMYFUNCTION("""COMPUTED_VALUE"""),"재우&amp;튜브")</f>
        <v>재우&amp;튜브</v>
      </c>
      <c r="B715" s="43">
        <f>IFERROR(__xludf.DUMMYFUNCTION("""COMPUTED_VALUE"""),1.0)</f>
        <v>1</v>
      </c>
      <c r="C715" s="43">
        <f>IFERROR(__xludf.DUMMYFUNCTION("""COMPUTED_VALUE"""),0.0)</f>
        <v>0</v>
      </c>
      <c r="D715" s="46">
        <f>IFERROR(__xludf.DUMMYFUNCTION("""COMPUTED_VALUE"""),1.0)</f>
        <v>1</v>
      </c>
    </row>
    <row r="716">
      <c r="A716" s="43" t="str">
        <f>IFERROR(__xludf.DUMMYFUNCTION("""COMPUTED_VALUE"""),"제로스&amp;짱구")</f>
        <v>제로스&amp;짱구</v>
      </c>
      <c r="B716" s="43">
        <f>IFERROR(__xludf.DUMMYFUNCTION("""COMPUTED_VALUE"""),1.0)</f>
        <v>1</v>
      </c>
      <c r="C716" s="43">
        <f>IFERROR(__xludf.DUMMYFUNCTION("""COMPUTED_VALUE"""),0.0)</f>
        <v>0</v>
      </c>
      <c r="D716" s="46">
        <f>IFERROR(__xludf.DUMMYFUNCTION("""COMPUTED_VALUE"""),1.0)</f>
        <v>1</v>
      </c>
    </row>
    <row r="717">
      <c r="A717" s="43" t="str">
        <f>IFERROR(__xludf.DUMMYFUNCTION("""COMPUTED_VALUE"""),"제로스&amp;키키")</f>
        <v>제로스&amp;키키</v>
      </c>
      <c r="B717" s="43">
        <f>IFERROR(__xludf.DUMMYFUNCTION("""COMPUTED_VALUE"""),1.0)</f>
        <v>1</v>
      </c>
      <c r="C717" s="43">
        <f>IFERROR(__xludf.DUMMYFUNCTION("""COMPUTED_VALUE"""),0.0)</f>
        <v>0</v>
      </c>
      <c r="D717" s="46">
        <f>IFERROR(__xludf.DUMMYFUNCTION("""COMPUTED_VALUE"""),1.0)</f>
        <v>1</v>
      </c>
    </row>
    <row r="718">
      <c r="A718" s="43" t="str">
        <f>IFERROR(__xludf.DUMMYFUNCTION("""COMPUTED_VALUE"""),"조드&amp;필찌")</f>
        <v>조드&amp;필찌</v>
      </c>
      <c r="B718" s="43">
        <f>IFERROR(__xludf.DUMMYFUNCTION("""COMPUTED_VALUE"""),1.0)</f>
        <v>1</v>
      </c>
      <c r="C718" s="43">
        <f>IFERROR(__xludf.DUMMYFUNCTION("""COMPUTED_VALUE"""),0.0)</f>
        <v>0</v>
      </c>
      <c r="D718" s="46">
        <f>IFERROR(__xludf.DUMMYFUNCTION("""COMPUTED_VALUE"""),1.0)</f>
        <v>1</v>
      </c>
    </row>
    <row r="719">
      <c r="A719" s="43" t="str">
        <f>IFERROR(__xludf.DUMMYFUNCTION("""COMPUTED_VALUE"""),"짱구&amp;킹")</f>
        <v>짱구&amp;킹</v>
      </c>
      <c r="B719" s="43">
        <f>IFERROR(__xludf.DUMMYFUNCTION("""COMPUTED_VALUE"""),1.0)</f>
        <v>1</v>
      </c>
      <c r="C719" s="43">
        <f>IFERROR(__xludf.DUMMYFUNCTION("""COMPUTED_VALUE"""),0.0)</f>
        <v>0</v>
      </c>
      <c r="D719" s="46">
        <f>IFERROR(__xludf.DUMMYFUNCTION("""COMPUTED_VALUE"""),1.0)</f>
        <v>1</v>
      </c>
    </row>
    <row r="720">
      <c r="A720" s="43" t="str">
        <f>IFERROR(__xludf.DUMMYFUNCTION("""COMPUTED_VALUE"""),"짱구&amp;퍼플")</f>
        <v>짱구&amp;퍼플</v>
      </c>
      <c r="B720" s="43">
        <f>IFERROR(__xludf.DUMMYFUNCTION("""COMPUTED_VALUE"""),1.0)</f>
        <v>1</v>
      </c>
      <c r="C720" s="43">
        <f>IFERROR(__xludf.DUMMYFUNCTION("""COMPUTED_VALUE"""),0.0)</f>
        <v>0</v>
      </c>
      <c r="D720" s="46">
        <f>IFERROR(__xludf.DUMMYFUNCTION("""COMPUTED_VALUE"""),1.0)</f>
        <v>1</v>
      </c>
    </row>
    <row r="721">
      <c r="A721" s="43" t="str">
        <f>IFERROR(__xludf.DUMMYFUNCTION("""COMPUTED_VALUE"""),"찹쌀&amp;필찌")</f>
        <v>찹쌀&amp;필찌</v>
      </c>
      <c r="B721" s="43">
        <f>IFERROR(__xludf.DUMMYFUNCTION("""COMPUTED_VALUE"""),1.0)</f>
        <v>1</v>
      </c>
      <c r="C721" s="43">
        <f>IFERROR(__xludf.DUMMYFUNCTION("""COMPUTED_VALUE"""),0.0)</f>
        <v>0</v>
      </c>
      <c r="D721" s="46">
        <f>IFERROR(__xludf.DUMMYFUNCTION("""COMPUTED_VALUE"""),1.0)</f>
        <v>1</v>
      </c>
    </row>
    <row r="722">
      <c r="A722" s="43" t="str">
        <f>IFERROR(__xludf.DUMMYFUNCTION("""COMPUTED_VALUE"""),"키키&amp;킹")</f>
        <v>키키&amp;킹</v>
      </c>
      <c r="B722" s="43">
        <f>IFERROR(__xludf.DUMMYFUNCTION("""COMPUTED_VALUE"""),1.0)</f>
        <v>1</v>
      </c>
      <c r="C722" s="43">
        <f>IFERROR(__xludf.DUMMYFUNCTION("""COMPUTED_VALUE"""),0.0)</f>
        <v>0</v>
      </c>
      <c r="D722" s="46">
        <f>IFERROR(__xludf.DUMMYFUNCTION("""COMPUTED_VALUE"""),1.0)</f>
        <v>1</v>
      </c>
    </row>
    <row r="723">
      <c r="A723" s="43" t="str">
        <f>IFERROR(__xludf.DUMMYFUNCTION("""COMPUTED_VALUE"""),"킹&amp;한메")</f>
        <v>킹&amp;한메</v>
      </c>
      <c r="B723" s="43">
        <f>IFERROR(__xludf.DUMMYFUNCTION("""COMPUTED_VALUE"""),1.0)</f>
        <v>1</v>
      </c>
      <c r="C723" s="43">
        <f>IFERROR(__xludf.DUMMYFUNCTION("""COMPUTED_VALUE"""),0.0)</f>
        <v>0</v>
      </c>
      <c r="D723" s="46">
        <f>IFERROR(__xludf.DUMMYFUNCTION("""COMPUTED_VALUE"""),1.0)</f>
        <v>1</v>
      </c>
    </row>
    <row r="724">
      <c r="A724" s="43" t="str">
        <f>IFERROR(__xludf.DUMMYFUNCTION("""COMPUTED_VALUE"""),"테리&amp;퍼플")</f>
        <v>테리&amp;퍼플</v>
      </c>
      <c r="B724" s="43">
        <f>IFERROR(__xludf.DUMMYFUNCTION("""COMPUTED_VALUE"""),1.0)</f>
        <v>1</v>
      </c>
      <c r="C724" s="43">
        <f>IFERROR(__xludf.DUMMYFUNCTION("""COMPUTED_VALUE"""),0.0)</f>
        <v>0</v>
      </c>
      <c r="D724" s="46">
        <f>IFERROR(__xludf.DUMMYFUNCTION("""COMPUTED_VALUE"""),1.0)</f>
        <v>1</v>
      </c>
    </row>
    <row r="725">
      <c r="A725" s="43" t="str">
        <f>IFERROR(__xludf.DUMMYFUNCTION("""COMPUTED_VALUE"""),"ACDC&amp;용이")</f>
        <v>ACDC&amp;용이</v>
      </c>
      <c r="B725" s="43">
        <f>IFERROR(__xludf.DUMMYFUNCTION("""COMPUTED_VALUE"""),1.0)</f>
        <v>1</v>
      </c>
      <c r="C725" s="43">
        <f>IFERROR(__xludf.DUMMYFUNCTION("""COMPUTED_VALUE"""),1.0)</f>
        <v>1</v>
      </c>
      <c r="D725" s="46">
        <f>IFERROR(__xludf.DUMMYFUNCTION("""COMPUTED_VALUE"""),0.5)</f>
        <v>0.5</v>
      </c>
    </row>
    <row r="726">
      <c r="A726" s="43" t="str">
        <f>IFERROR(__xludf.DUMMYFUNCTION("""COMPUTED_VALUE"""),"ACDC&amp;재규어")</f>
        <v>ACDC&amp;재규어</v>
      </c>
      <c r="B726" s="43">
        <f>IFERROR(__xludf.DUMMYFUNCTION("""COMPUTED_VALUE"""),1.0)</f>
        <v>1</v>
      </c>
      <c r="C726" s="43">
        <f>IFERROR(__xludf.DUMMYFUNCTION("""COMPUTED_VALUE"""),1.0)</f>
        <v>1</v>
      </c>
      <c r="D726" s="46">
        <f>IFERROR(__xludf.DUMMYFUNCTION("""COMPUTED_VALUE"""),0.5)</f>
        <v>0.5</v>
      </c>
    </row>
    <row r="727">
      <c r="A727" s="43" t="str">
        <f>IFERROR(__xludf.DUMMYFUNCTION("""COMPUTED_VALUE"""),"Leaf&amp;테리")</f>
        <v>Leaf&amp;테리</v>
      </c>
      <c r="B727" s="43">
        <f>IFERROR(__xludf.DUMMYFUNCTION("""COMPUTED_VALUE"""),1.0)</f>
        <v>1</v>
      </c>
      <c r="C727" s="43">
        <f>IFERROR(__xludf.DUMMYFUNCTION("""COMPUTED_VALUE"""),1.0)</f>
        <v>1</v>
      </c>
      <c r="D727" s="46">
        <f>IFERROR(__xludf.DUMMYFUNCTION("""COMPUTED_VALUE"""),0.5)</f>
        <v>0.5</v>
      </c>
    </row>
    <row r="728">
      <c r="A728" s="43" t="str">
        <f>IFERROR(__xludf.DUMMYFUNCTION("""COMPUTED_VALUE"""),"ovo&amp;넘버")</f>
        <v>ovo&amp;넘버</v>
      </c>
      <c r="B728" s="43">
        <f>IFERROR(__xludf.DUMMYFUNCTION("""COMPUTED_VALUE"""),1.0)</f>
        <v>1</v>
      </c>
      <c r="C728" s="43">
        <f>IFERROR(__xludf.DUMMYFUNCTION("""COMPUTED_VALUE"""),1.0)</f>
        <v>1</v>
      </c>
      <c r="D728" s="46">
        <f>IFERROR(__xludf.DUMMYFUNCTION("""COMPUTED_VALUE"""),0.5)</f>
        <v>0.5</v>
      </c>
    </row>
    <row r="729">
      <c r="A729" s="43" t="str">
        <f>IFERROR(__xludf.DUMMYFUNCTION("""COMPUTED_VALUE"""),"강화&amp;박서")</f>
        <v>강화&amp;박서</v>
      </c>
      <c r="B729" s="43">
        <f>IFERROR(__xludf.DUMMYFUNCTION("""COMPUTED_VALUE"""),1.0)</f>
        <v>1</v>
      </c>
      <c r="C729" s="43">
        <f>IFERROR(__xludf.DUMMYFUNCTION("""COMPUTED_VALUE"""),1.0)</f>
        <v>1</v>
      </c>
      <c r="D729" s="46">
        <f>IFERROR(__xludf.DUMMYFUNCTION("""COMPUTED_VALUE"""),0.5)</f>
        <v>0.5</v>
      </c>
    </row>
    <row r="730">
      <c r="A730" s="43" t="str">
        <f>IFERROR(__xludf.DUMMYFUNCTION("""COMPUTED_VALUE"""),"강화&amp;용갈")</f>
        <v>강화&amp;용갈</v>
      </c>
      <c r="B730" s="43">
        <f>IFERROR(__xludf.DUMMYFUNCTION("""COMPUTED_VALUE"""),1.0)</f>
        <v>1</v>
      </c>
      <c r="C730" s="43">
        <f>IFERROR(__xludf.DUMMYFUNCTION("""COMPUTED_VALUE"""),1.0)</f>
        <v>1</v>
      </c>
      <c r="D730" s="46">
        <f>IFERROR(__xludf.DUMMYFUNCTION("""COMPUTED_VALUE"""),0.5)</f>
        <v>0.5</v>
      </c>
    </row>
    <row r="731">
      <c r="A731" s="43" t="str">
        <f>IFERROR(__xludf.DUMMYFUNCTION("""COMPUTED_VALUE"""),"구리다&amp;봉구")</f>
        <v>구리다&amp;봉구</v>
      </c>
      <c r="B731" s="43">
        <f>IFERROR(__xludf.DUMMYFUNCTION("""COMPUTED_VALUE"""),1.0)</f>
        <v>1</v>
      </c>
      <c r="C731" s="43">
        <f>IFERROR(__xludf.DUMMYFUNCTION("""COMPUTED_VALUE"""),1.0)</f>
        <v>1</v>
      </c>
      <c r="D731" s="46">
        <f>IFERROR(__xludf.DUMMYFUNCTION("""COMPUTED_VALUE"""),0.5)</f>
        <v>0.5</v>
      </c>
    </row>
    <row r="732">
      <c r="A732" s="43" t="str">
        <f>IFERROR(__xludf.DUMMYFUNCTION("""COMPUTED_VALUE"""),"구리다&amp;시아")</f>
        <v>구리다&amp;시아</v>
      </c>
      <c r="B732" s="43">
        <f>IFERROR(__xludf.DUMMYFUNCTION("""COMPUTED_VALUE"""),1.0)</f>
        <v>1</v>
      </c>
      <c r="C732" s="43">
        <f>IFERROR(__xludf.DUMMYFUNCTION("""COMPUTED_VALUE"""),1.0)</f>
        <v>1</v>
      </c>
      <c r="D732" s="46">
        <f>IFERROR(__xludf.DUMMYFUNCTION("""COMPUTED_VALUE"""),0.5)</f>
        <v>0.5</v>
      </c>
    </row>
    <row r="733">
      <c r="A733" s="43" t="str">
        <f>IFERROR(__xludf.DUMMYFUNCTION("""COMPUTED_VALUE"""),"구리다&amp;요즘")</f>
        <v>구리다&amp;요즘</v>
      </c>
      <c r="B733" s="43">
        <f>IFERROR(__xludf.DUMMYFUNCTION("""COMPUTED_VALUE"""),1.0)</f>
        <v>1</v>
      </c>
      <c r="C733" s="43">
        <f>IFERROR(__xludf.DUMMYFUNCTION("""COMPUTED_VALUE"""),1.0)</f>
        <v>1</v>
      </c>
      <c r="D733" s="46">
        <f>IFERROR(__xludf.DUMMYFUNCTION("""COMPUTED_VALUE"""),0.5)</f>
        <v>0.5</v>
      </c>
    </row>
    <row r="734">
      <c r="A734" s="43" t="str">
        <f>IFERROR(__xludf.DUMMYFUNCTION("""COMPUTED_VALUE"""),"규식&amp;단수")</f>
        <v>규식&amp;단수</v>
      </c>
      <c r="B734" s="43">
        <f>IFERROR(__xludf.DUMMYFUNCTION("""COMPUTED_VALUE"""),1.0)</f>
        <v>1</v>
      </c>
      <c r="C734" s="43">
        <f>IFERROR(__xludf.DUMMYFUNCTION("""COMPUTED_VALUE"""),1.0)</f>
        <v>1</v>
      </c>
      <c r="D734" s="46">
        <f>IFERROR(__xludf.DUMMYFUNCTION("""COMPUTED_VALUE"""),0.5)</f>
        <v>0.5</v>
      </c>
    </row>
    <row r="735">
      <c r="A735" s="43" t="str">
        <f>IFERROR(__xludf.DUMMYFUNCTION("""COMPUTED_VALUE"""),"규식&amp;반짝")</f>
        <v>규식&amp;반짝</v>
      </c>
      <c r="B735" s="43">
        <f>IFERROR(__xludf.DUMMYFUNCTION("""COMPUTED_VALUE"""),1.0)</f>
        <v>1</v>
      </c>
      <c r="C735" s="43">
        <f>IFERROR(__xludf.DUMMYFUNCTION("""COMPUTED_VALUE"""),1.0)</f>
        <v>1</v>
      </c>
      <c r="D735" s="46">
        <f>IFERROR(__xludf.DUMMYFUNCTION("""COMPUTED_VALUE"""),0.5)</f>
        <v>0.5</v>
      </c>
    </row>
    <row r="736">
      <c r="A736" s="43" t="str">
        <f>IFERROR(__xludf.DUMMYFUNCTION("""COMPUTED_VALUE"""),"규식&amp;뼈해장국")</f>
        <v>규식&amp;뼈해장국</v>
      </c>
      <c r="B736" s="43">
        <f>IFERROR(__xludf.DUMMYFUNCTION("""COMPUTED_VALUE"""),1.0)</f>
        <v>1</v>
      </c>
      <c r="C736" s="43">
        <f>IFERROR(__xludf.DUMMYFUNCTION("""COMPUTED_VALUE"""),1.0)</f>
        <v>1</v>
      </c>
      <c r="D736" s="46">
        <f>IFERROR(__xludf.DUMMYFUNCTION("""COMPUTED_VALUE"""),0.5)</f>
        <v>0.5</v>
      </c>
    </row>
    <row r="737">
      <c r="A737" s="43" t="str">
        <f>IFERROR(__xludf.DUMMYFUNCTION("""COMPUTED_VALUE"""),"규식&amp;터미")</f>
        <v>규식&amp;터미</v>
      </c>
      <c r="B737" s="43">
        <f>IFERROR(__xludf.DUMMYFUNCTION("""COMPUTED_VALUE"""),1.0)</f>
        <v>1</v>
      </c>
      <c r="C737" s="43">
        <f>IFERROR(__xludf.DUMMYFUNCTION("""COMPUTED_VALUE"""),1.0)</f>
        <v>1</v>
      </c>
      <c r="D737" s="46">
        <f>IFERROR(__xludf.DUMMYFUNCTION("""COMPUTED_VALUE"""),0.5)</f>
        <v>0.5</v>
      </c>
    </row>
    <row r="738">
      <c r="A738" s="43" t="str">
        <f>IFERROR(__xludf.DUMMYFUNCTION("""COMPUTED_VALUE"""),"기재&amp;미등록")</f>
        <v>기재&amp;미등록</v>
      </c>
      <c r="B738" s="43">
        <f>IFERROR(__xludf.DUMMYFUNCTION("""COMPUTED_VALUE"""),1.0)</f>
        <v>1</v>
      </c>
      <c r="C738" s="43">
        <f>IFERROR(__xludf.DUMMYFUNCTION("""COMPUTED_VALUE"""),1.0)</f>
        <v>1</v>
      </c>
      <c r="D738" s="46">
        <f>IFERROR(__xludf.DUMMYFUNCTION("""COMPUTED_VALUE"""),0.5)</f>
        <v>0.5</v>
      </c>
    </row>
    <row r="739">
      <c r="A739" s="43" t="str">
        <f>IFERROR(__xludf.DUMMYFUNCTION("""COMPUTED_VALUE"""),"기재&amp;키키")</f>
        <v>기재&amp;키키</v>
      </c>
      <c r="B739" s="43">
        <f>IFERROR(__xludf.DUMMYFUNCTION("""COMPUTED_VALUE"""),1.0)</f>
        <v>1</v>
      </c>
      <c r="C739" s="43">
        <f>IFERROR(__xludf.DUMMYFUNCTION("""COMPUTED_VALUE"""),1.0)</f>
        <v>1</v>
      </c>
      <c r="D739" s="46">
        <f>IFERROR(__xludf.DUMMYFUNCTION("""COMPUTED_VALUE"""),0.5)</f>
        <v>0.5</v>
      </c>
    </row>
    <row r="740">
      <c r="A740" s="43" t="str">
        <f>IFERROR(__xludf.DUMMYFUNCTION("""COMPUTED_VALUE"""),"깡패&amp;제이호")</f>
        <v>깡패&amp;제이호</v>
      </c>
      <c r="B740" s="43">
        <f>IFERROR(__xludf.DUMMYFUNCTION("""COMPUTED_VALUE"""),1.0)</f>
        <v>1</v>
      </c>
      <c r="C740" s="43">
        <f>IFERROR(__xludf.DUMMYFUNCTION("""COMPUTED_VALUE"""),1.0)</f>
        <v>1</v>
      </c>
      <c r="D740" s="46">
        <f>IFERROR(__xludf.DUMMYFUNCTION("""COMPUTED_VALUE"""),0.5)</f>
        <v>0.5</v>
      </c>
    </row>
    <row r="741">
      <c r="A741" s="43" t="str">
        <f>IFERROR(__xludf.DUMMYFUNCTION("""COMPUTED_VALUE"""),"깡패&amp;퍼플")</f>
        <v>깡패&amp;퍼플</v>
      </c>
      <c r="B741" s="43">
        <f>IFERROR(__xludf.DUMMYFUNCTION("""COMPUTED_VALUE"""),1.0)</f>
        <v>1</v>
      </c>
      <c r="C741" s="43">
        <f>IFERROR(__xludf.DUMMYFUNCTION("""COMPUTED_VALUE"""),1.0)</f>
        <v>1</v>
      </c>
      <c r="D741" s="46">
        <f>IFERROR(__xludf.DUMMYFUNCTION("""COMPUTED_VALUE"""),0.5)</f>
        <v>0.5</v>
      </c>
    </row>
    <row r="742">
      <c r="A742" s="43" t="str">
        <f>IFERROR(__xludf.DUMMYFUNCTION("""COMPUTED_VALUE"""),"노인&amp;용이")</f>
        <v>노인&amp;용이</v>
      </c>
      <c r="B742" s="43">
        <f>IFERROR(__xludf.DUMMYFUNCTION("""COMPUTED_VALUE"""),1.0)</f>
        <v>1</v>
      </c>
      <c r="C742" s="43">
        <f>IFERROR(__xludf.DUMMYFUNCTION("""COMPUTED_VALUE"""),1.0)</f>
        <v>1</v>
      </c>
      <c r="D742" s="46">
        <f>IFERROR(__xludf.DUMMYFUNCTION("""COMPUTED_VALUE"""),0.5)</f>
        <v>0.5</v>
      </c>
    </row>
    <row r="743">
      <c r="A743" s="43" t="str">
        <f>IFERROR(__xludf.DUMMYFUNCTION("""COMPUTED_VALUE"""),"노인&amp;퍼플")</f>
        <v>노인&amp;퍼플</v>
      </c>
      <c r="B743" s="43">
        <f>IFERROR(__xludf.DUMMYFUNCTION("""COMPUTED_VALUE"""),1.0)</f>
        <v>1</v>
      </c>
      <c r="C743" s="43">
        <f>IFERROR(__xludf.DUMMYFUNCTION("""COMPUTED_VALUE"""),1.0)</f>
        <v>1</v>
      </c>
      <c r="D743" s="46">
        <f>IFERROR(__xludf.DUMMYFUNCTION("""COMPUTED_VALUE"""),0.5)</f>
        <v>0.5</v>
      </c>
    </row>
    <row r="744">
      <c r="A744" s="43" t="str">
        <f>IFERROR(__xludf.DUMMYFUNCTION("""COMPUTED_VALUE"""),"노픽업&amp;미등록")</f>
        <v>노픽업&amp;미등록</v>
      </c>
      <c r="B744" s="43">
        <f>IFERROR(__xludf.DUMMYFUNCTION("""COMPUTED_VALUE"""),1.0)</f>
        <v>1</v>
      </c>
      <c r="C744" s="43">
        <f>IFERROR(__xludf.DUMMYFUNCTION("""COMPUTED_VALUE"""),1.0)</f>
        <v>1</v>
      </c>
      <c r="D744" s="46">
        <f>IFERROR(__xludf.DUMMYFUNCTION("""COMPUTED_VALUE"""),0.5)</f>
        <v>0.5</v>
      </c>
    </row>
    <row r="745">
      <c r="A745" s="43" t="str">
        <f>IFERROR(__xludf.DUMMYFUNCTION("""COMPUTED_VALUE"""),"노픽업&amp;밍구")</f>
        <v>노픽업&amp;밍구</v>
      </c>
      <c r="B745" s="43">
        <f>IFERROR(__xludf.DUMMYFUNCTION("""COMPUTED_VALUE"""),1.0)</f>
        <v>1</v>
      </c>
      <c r="C745" s="43">
        <f>IFERROR(__xludf.DUMMYFUNCTION("""COMPUTED_VALUE"""),1.0)</f>
        <v>1</v>
      </c>
      <c r="D745" s="46">
        <f>IFERROR(__xludf.DUMMYFUNCTION("""COMPUTED_VALUE"""),0.5)</f>
        <v>0.5</v>
      </c>
    </row>
    <row r="746">
      <c r="A746" s="43" t="str">
        <f>IFERROR(__xludf.DUMMYFUNCTION("""COMPUTED_VALUE"""),"노픽업&amp;새출발")</f>
        <v>노픽업&amp;새출발</v>
      </c>
      <c r="B746" s="43">
        <f>IFERROR(__xludf.DUMMYFUNCTION("""COMPUTED_VALUE"""),1.0)</f>
        <v>1</v>
      </c>
      <c r="C746" s="43">
        <f>IFERROR(__xludf.DUMMYFUNCTION("""COMPUTED_VALUE"""),1.0)</f>
        <v>1</v>
      </c>
      <c r="D746" s="46">
        <f>IFERROR(__xludf.DUMMYFUNCTION("""COMPUTED_VALUE"""),0.5)</f>
        <v>0.5</v>
      </c>
    </row>
    <row r="747">
      <c r="A747" s="43" t="str">
        <f>IFERROR(__xludf.DUMMYFUNCTION("""COMPUTED_VALUE"""),"노픽업&amp;아이딘")</f>
        <v>노픽업&amp;아이딘</v>
      </c>
      <c r="B747" s="43">
        <f>IFERROR(__xludf.DUMMYFUNCTION("""COMPUTED_VALUE"""),1.0)</f>
        <v>1</v>
      </c>
      <c r="C747" s="43">
        <f>IFERROR(__xludf.DUMMYFUNCTION("""COMPUTED_VALUE"""),1.0)</f>
        <v>1</v>
      </c>
      <c r="D747" s="46">
        <f>IFERROR(__xludf.DUMMYFUNCTION("""COMPUTED_VALUE"""),0.5)</f>
        <v>0.5</v>
      </c>
    </row>
    <row r="748">
      <c r="A748" s="43" t="str">
        <f>IFERROR(__xludf.DUMMYFUNCTION("""COMPUTED_VALUE"""),"노픽업&amp;조드")</f>
        <v>노픽업&amp;조드</v>
      </c>
      <c r="B748" s="43">
        <f>IFERROR(__xludf.DUMMYFUNCTION("""COMPUTED_VALUE"""),1.0)</f>
        <v>1</v>
      </c>
      <c r="C748" s="43">
        <f>IFERROR(__xludf.DUMMYFUNCTION("""COMPUTED_VALUE"""),1.0)</f>
        <v>1</v>
      </c>
      <c r="D748" s="46">
        <f>IFERROR(__xludf.DUMMYFUNCTION("""COMPUTED_VALUE"""),0.5)</f>
        <v>0.5</v>
      </c>
    </row>
    <row r="749">
      <c r="A749" s="43" t="str">
        <f>IFERROR(__xludf.DUMMYFUNCTION("""COMPUTED_VALUE"""),"단수&amp;민우")</f>
        <v>단수&amp;민우</v>
      </c>
      <c r="B749" s="43">
        <f>IFERROR(__xludf.DUMMYFUNCTION("""COMPUTED_VALUE"""),1.0)</f>
        <v>1</v>
      </c>
      <c r="C749" s="43">
        <f>IFERROR(__xludf.DUMMYFUNCTION("""COMPUTED_VALUE"""),1.0)</f>
        <v>1</v>
      </c>
      <c r="D749" s="46">
        <f>IFERROR(__xludf.DUMMYFUNCTION("""COMPUTED_VALUE"""),0.5)</f>
        <v>0.5</v>
      </c>
    </row>
    <row r="750">
      <c r="A750" s="43" t="str">
        <f>IFERROR(__xludf.DUMMYFUNCTION("""COMPUTED_VALUE"""),"단수&amp;짱구")</f>
        <v>단수&amp;짱구</v>
      </c>
      <c r="B750" s="43">
        <f>IFERROR(__xludf.DUMMYFUNCTION("""COMPUTED_VALUE"""),1.0)</f>
        <v>1</v>
      </c>
      <c r="C750" s="43">
        <f>IFERROR(__xludf.DUMMYFUNCTION("""COMPUTED_VALUE"""),1.0)</f>
        <v>1</v>
      </c>
      <c r="D750" s="46">
        <f>IFERROR(__xludf.DUMMYFUNCTION("""COMPUTED_VALUE"""),0.5)</f>
        <v>0.5</v>
      </c>
    </row>
    <row r="751">
      <c r="A751" s="43" t="str">
        <f>IFERROR(__xludf.DUMMYFUNCTION("""COMPUTED_VALUE"""),"랄&amp;원")</f>
        <v>랄&amp;원</v>
      </c>
      <c r="B751" s="43">
        <f>IFERROR(__xludf.DUMMYFUNCTION("""COMPUTED_VALUE"""),1.0)</f>
        <v>1</v>
      </c>
      <c r="C751" s="43">
        <f>IFERROR(__xludf.DUMMYFUNCTION("""COMPUTED_VALUE"""),1.0)</f>
        <v>1</v>
      </c>
      <c r="D751" s="46">
        <f>IFERROR(__xludf.DUMMYFUNCTION("""COMPUTED_VALUE"""),0.5)</f>
        <v>0.5</v>
      </c>
    </row>
    <row r="752">
      <c r="A752" s="43" t="str">
        <f>IFERROR(__xludf.DUMMYFUNCTION("""COMPUTED_VALUE"""),"마법거북이&amp;신형만")</f>
        <v>마법거북이&amp;신형만</v>
      </c>
      <c r="B752" s="43">
        <f>IFERROR(__xludf.DUMMYFUNCTION("""COMPUTED_VALUE"""),1.0)</f>
        <v>1</v>
      </c>
      <c r="C752" s="43">
        <f>IFERROR(__xludf.DUMMYFUNCTION("""COMPUTED_VALUE"""),1.0)</f>
        <v>1</v>
      </c>
      <c r="D752" s="46">
        <f>IFERROR(__xludf.DUMMYFUNCTION("""COMPUTED_VALUE"""),0.5)</f>
        <v>0.5</v>
      </c>
    </row>
    <row r="753">
      <c r="A753" s="43" t="str">
        <f>IFERROR(__xludf.DUMMYFUNCTION("""COMPUTED_VALUE"""),"마법거북이&amp;테리")</f>
        <v>마법거북이&amp;테리</v>
      </c>
      <c r="B753" s="43">
        <f>IFERROR(__xludf.DUMMYFUNCTION("""COMPUTED_VALUE"""),1.0)</f>
        <v>1</v>
      </c>
      <c r="C753" s="43">
        <f>IFERROR(__xludf.DUMMYFUNCTION("""COMPUTED_VALUE"""),1.0)</f>
        <v>1</v>
      </c>
      <c r="D753" s="46">
        <f>IFERROR(__xludf.DUMMYFUNCTION("""COMPUTED_VALUE"""),0.5)</f>
        <v>0.5</v>
      </c>
    </row>
    <row r="754">
      <c r="A754" s="43" t="str">
        <f>IFERROR(__xludf.DUMMYFUNCTION("""COMPUTED_VALUE"""),"만두&amp;재우")</f>
        <v>만두&amp;재우</v>
      </c>
      <c r="B754" s="43">
        <f>IFERROR(__xludf.DUMMYFUNCTION("""COMPUTED_VALUE"""),1.0)</f>
        <v>1</v>
      </c>
      <c r="C754" s="43">
        <f>IFERROR(__xludf.DUMMYFUNCTION("""COMPUTED_VALUE"""),1.0)</f>
        <v>1</v>
      </c>
      <c r="D754" s="46">
        <f>IFERROR(__xludf.DUMMYFUNCTION("""COMPUTED_VALUE"""),0.5)</f>
        <v>0.5</v>
      </c>
    </row>
    <row r="755">
      <c r="A755" s="43" t="str">
        <f>IFERROR(__xludf.DUMMYFUNCTION("""COMPUTED_VALUE"""),"미등록&amp;태식")</f>
        <v>미등록&amp;태식</v>
      </c>
      <c r="B755" s="43">
        <f>IFERROR(__xludf.DUMMYFUNCTION("""COMPUTED_VALUE"""),1.0)</f>
        <v>1</v>
      </c>
      <c r="C755" s="43">
        <f>IFERROR(__xludf.DUMMYFUNCTION("""COMPUTED_VALUE"""),1.0)</f>
        <v>1</v>
      </c>
      <c r="D755" s="46">
        <f>IFERROR(__xludf.DUMMYFUNCTION("""COMPUTED_VALUE"""),0.5)</f>
        <v>0.5</v>
      </c>
    </row>
    <row r="756">
      <c r="A756" s="43" t="str">
        <f>IFERROR(__xludf.DUMMYFUNCTION("""COMPUTED_VALUE"""),"미르진&amp;윙크")</f>
        <v>미르진&amp;윙크</v>
      </c>
      <c r="B756" s="43">
        <f>IFERROR(__xludf.DUMMYFUNCTION("""COMPUTED_VALUE"""),1.0)</f>
        <v>1</v>
      </c>
      <c r="C756" s="43">
        <f>IFERROR(__xludf.DUMMYFUNCTION("""COMPUTED_VALUE"""),1.0)</f>
        <v>1</v>
      </c>
      <c r="D756" s="46">
        <f>IFERROR(__xludf.DUMMYFUNCTION("""COMPUTED_VALUE"""),0.5)</f>
        <v>0.5</v>
      </c>
    </row>
    <row r="757">
      <c r="A757" s="43" t="str">
        <f>IFERROR(__xludf.DUMMYFUNCTION("""COMPUTED_VALUE"""),"미르진&amp;지피")</f>
        <v>미르진&amp;지피</v>
      </c>
      <c r="B757" s="43">
        <f>IFERROR(__xludf.DUMMYFUNCTION("""COMPUTED_VALUE"""),1.0)</f>
        <v>1</v>
      </c>
      <c r="C757" s="43">
        <f>IFERROR(__xludf.DUMMYFUNCTION("""COMPUTED_VALUE"""),1.0)</f>
        <v>1</v>
      </c>
      <c r="D757" s="46">
        <f>IFERROR(__xludf.DUMMYFUNCTION("""COMPUTED_VALUE"""),0.5)</f>
        <v>0.5</v>
      </c>
    </row>
    <row r="758">
      <c r="A758" s="43" t="str">
        <f>IFERROR(__xludf.DUMMYFUNCTION("""COMPUTED_VALUE"""),"민우&amp;새출발")</f>
        <v>민우&amp;새출발</v>
      </c>
      <c r="B758" s="43">
        <f>IFERROR(__xludf.DUMMYFUNCTION("""COMPUTED_VALUE"""),1.0)</f>
        <v>1</v>
      </c>
      <c r="C758" s="43">
        <f>IFERROR(__xludf.DUMMYFUNCTION("""COMPUTED_VALUE"""),1.0)</f>
        <v>1</v>
      </c>
      <c r="D758" s="46">
        <f>IFERROR(__xludf.DUMMYFUNCTION("""COMPUTED_VALUE"""),0.5)</f>
        <v>0.5</v>
      </c>
    </row>
    <row r="759">
      <c r="A759" s="43" t="str">
        <f>IFERROR(__xludf.DUMMYFUNCTION("""COMPUTED_VALUE"""),"민우&amp;아이딘")</f>
        <v>민우&amp;아이딘</v>
      </c>
      <c r="B759" s="43">
        <f>IFERROR(__xludf.DUMMYFUNCTION("""COMPUTED_VALUE"""),1.0)</f>
        <v>1</v>
      </c>
      <c r="C759" s="43">
        <f>IFERROR(__xludf.DUMMYFUNCTION("""COMPUTED_VALUE"""),1.0)</f>
        <v>1</v>
      </c>
      <c r="D759" s="46">
        <f>IFERROR(__xludf.DUMMYFUNCTION("""COMPUTED_VALUE"""),0.5)</f>
        <v>0.5</v>
      </c>
    </row>
    <row r="760">
      <c r="A760" s="43" t="str">
        <f>IFERROR(__xludf.DUMMYFUNCTION("""COMPUTED_VALUE"""),"민우&amp;요즘")</f>
        <v>민우&amp;요즘</v>
      </c>
      <c r="B760" s="43">
        <f>IFERROR(__xludf.DUMMYFUNCTION("""COMPUTED_VALUE"""),1.0)</f>
        <v>1</v>
      </c>
      <c r="C760" s="43">
        <f>IFERROR(__xludf.DUMMYFUNCTION("""COMPUTED_VALUE"""),1.0)</f>
        <v>1</v>
      </c>
      <c r="D760" s="46">
        <f>IFERROR(__xludf.DUMMYFUNCTION("""COMPUTED_VALUE"""),0.5)</f>
        <v>0.5</v>
      </c>
    </row>
    <row r="761">
      <c r="A761" s="43" t="str">
        <f>IFERROR(__xludf.DUMMYFUNCTION("""COMPUTED_VALUE"""),"민우&amp;웅")</f>
        <v>민우&amp;웅</v>
      </c>
      <c r="B761" s="43">
        <f>IFERROR(__xludf.DUMMYFUNCTION("""COMPUTED_VALUE"""),1.0)</f>
        <v>1</v>
      </c>
      <c r="C761" s="43">
        <f>IFERROR(__xludf.DUMMYFUNCTION("""COMPUTED_VALUE"""),1.0)</f>
        <v>1</v>
      </c>
      <c r="D761" s="46">
        <f>IFERROR(__xludf.DUMMYFUNCTION("""COMPUTED_VALUE"""),0.5)</f>
        <v>0.5</v>
      </c>
    </row>
    <row r="762">
      <c r="A762" s="43" t="str">
        <f>IFERROR(__xludf.DUMMYFUNCTION("""COMPUTED_VALUE"""),"민우&amp;학생")</f>
        <v>민우&amp;학생</v>
      </c>
      <c r="B762" s="43">
        <f>IFERROR(__xludf.DUMMYFUNCTION("""COMPUTED_VALUE"""),1.0)</f>
        <v>1</v>
      </c>
      <c r="C762" s="43">
        <f>IFERROR(__xludf.DUMMYFUNCTION("""COMPUTED_VALUE"""),1.0)</f>
        <v>1</v>
      </c>
      <c r="D762" s="46">
        <f>IFERROR(__xludf.DUMMYFUNCTION("""COMPUTED_VALUE"""),0.5)</f>
        <v>0.5</v>
      </c>
    </row>
    <row r="763">
      <c r="A763" s="43" t="str">
        <f>IFERROR(__xludf.DUMMYFUNCTION("""COMPUTED_VALUE"""),"봉구&amp;시아")</f>
        <v>봉구&amp;시아</v>
      </c>
      <c r="B763" s="43">
        <f>IFERROR(__xludf.DUMMYFUNCTION("""COMPUTED_VALUE"""),1.0)</f>
        <v>1</v>
      </c>
      <c r="C763" s="43">
        <f>IFERROR(__xludf.DUMMYFUNCTION("""COMPUTED_VALUE"""),1.0)</f>
        <v>1</v>
      </c>
      <c r="D763" s="46">
        <f>IFERROR(__xludf.DUMMYFUNCTION("""COMPUTED_VALUE"""),0.5)</f>
        <v>0.5</v>
      </c>
    </row>
    <row r="764">
      <c r="A764" s="43" t="str">
        <f>IFERROR(__xludf.DUMMYFUNCTION("""COMPUTED_VALUE"""),"뼈해장국&amp;전투쥐")</f>
        <v>뼈해장국&amp;전투쥐</v>
      </c>
      <c r="B764" s="43">
        <f>IFERROR(__xludf.DUMMYFUNCTION("""COMPUTED_VALUE"""),1.0)</f>
        <v>1</v>
      </c>
      <c r="C764" s="43">
        <f>IFERROR(__xludf.DUMMYFUNCTION("""COMPUTED_VALUE"""),1.0)</f>
        <v>1</v>
      </c>
      <c r="D764" s="46">
        <f>IFERROR(__xludf.DUMMYFUNCTION("""COMPUTED_VALUE"""),0.5)</f>
        <v>0.5</v>
      </c>
    </row>
    <row r="765">
      <c r="A765" s="43" t="str">
        <f>IFERROR(__xludf.DUMMYFUNCTION("""COMPUTED_VALUE"""),"새출발&amp;오딘")</f>
        <v>새출발&amp;오딘</v>
      </c>
      <c r="B765" s="43">
        <f>IFERROR(__xludf.DUMMYFUNCTION("""COMPUTED_VALUE"""),1.0)</f>
        <v>1</v>
      </c>
      <c r="C765" s="43">
        <f>IFERROR(__xludf.DUMMYFUNCTION("""COMPUTED_VALUE"""),1.0)</f>
        <v>1</v>
      </c>
      <c r="D765" s="46">
        <f>IFERROR(__xludf.DUMMYFUNCTION("""COMPUTED_VALUE"""),0.5)</f>
        <v>0.5</v>
      </c>
    </row>
    <row r="766">
      <c r="A766" s="43" t="str">
        <f>IFERROR(__xludf.DUMMYFUNCTION("""COMPUTED_VALUE"""),"솔&amp;재우")</f>
        <v>솔&amp;재우</v>
      </c>
      <c r="B766" s="43">
        <f>IFERROR(__xludf.DUMMYFUNCTION("""COMPUTED_VALUE"""),1.0)</f>
        <v>1</v>
      </c>
      <c r="C766" s="43">
        <f>IFERROR(__xludf.DUMMYFUNCTION("""COMPUTED_VALUE"""),1.0)</f>
        <v>1</v>
      </c>
      <c r="D766" s="46">
        <f>IFERROR(__xludf.DUMMYFUNCTION("""COMPUTED_VALUE"""),0.5)</f>
        <v>0.5</v>
      </c>
    </row>
    <row r="767">
      <c r="A767" s="43" t="str">
        <f>IFERROR(__xludf.DUMMYFUNCTION("""COMPUTED_VALUE"""),"아이딘&amp;윙크")</f>
        <v>아이딘&amp;윙크</v>
      </c>
      <c r="B767" s="43">
        <f>IFERROR(__xludf.DUMMYFUNCTION("""COMPUTED_VALUE"""),1.0)</f>
        <v>1</v>
      </c>
      <c r="C767" s="43">
        <f>IFERROR(__xludf.DUMMYFUNCTION("""COMPUTED_VALUE"""),1.0)</f>
        <v>1</v>
      </c>
      <c r="D767" s="46">
        <f>IFERROR(__xludf.DUMMYFUNCTION("""COMPUTED_VALUE"""),0.5)</f>
        <v>0.5</v>
      </c>
    </row>
    <row r="768">
      <c r="A768" s="43" t="str">
        <f>IFERROR(__xludf.DUMMYFUNCTION("""COMPUTED_VALUE"""),"악동&amp;엘더")</f>
        <v>악동&amp;엘더</v>
      </c>
      <c r="B768" s="43">
        <f>IFERROR(__xludf.DUMMYFUNCTION("""COMPUTED_VALUE"""),1.0)</f>
        <v>1</v>
      </c>
      <c r="C768" s="43">
        <f>IFERROR(__xludf.DUMMYFUNCTION("""COMPUTED_VALUE"""),1.0)</f>
        <v>1</v>
      </c>
      <c r="D768" s="46">
        <f>IFERROR(__xludf.DUMMYFUNCTION("""COMPUTED_VALUE"""),0.5)</f>
        <v>0.5</v>
      </c>
    </row>
    <row r="769">
      <c r="A769" s="43" t="str">
        <f>IFERROR(__xludf.DUMMYFUNCTION("""COMPUTED_VALUE"""),"엘&amp;재명")</f>
        <v>엘&amp;재명</v>
      </c>
      <c r="B769" s="43">
        <f>IFERROR(__xludf.DUMMYFUNCTION("""COMPUTED_VALUE"""),1.0)</f>
        <v>1</v>
      </c>
      <c r="C769" s="43">
        <f>IFERROR(__xludf.DUMMYFUNCTION("""COMPUTED_VALUE"""),1.0)</f>
        <v>1</v>
      </c>
      <c r="D769" s="46">
        <f>IFERROR(__xludf.DUMMYFUNCTION("""COMPUTED_VALUE"""),0.5)</f>
        <v>0.5</v>
      </c>
    </row>
    <row r="770">
      <c r="A770" s="43" t="str">
        <f>IFERROR(__xludf.DUMMYFUNCTION("""COMPUTED_VALUE"""),"엘더&amp;조드")</f>
        <v>엘더&amp;조드</v>
      </c>
      <c r="B770" s="43">
        <f>IFERROR(__xludf.DUMMYFUNCTION("""COMPUTED_VALUE"""),1.0)</f>
        <v>1</v>
      </c>
      <c r="C770" s="43">
        <f>IFERROR(__xludf.DUMMYFUNCTION("""COMPUTED_VALUE"""),1.0)</f>
        <v>1</v>
      </c>
      <c r="D770" s="46">
        <f>IFERROR(__xludf.DUMMYFUNCTION("""COMPUTED_VALUE"""),0.5)</f>
        <v>0.5</v>
      </c>
    </row>
    <row r="771">
      <c r="A771" s="43" t="str">
        <f>IFERROR(__xludf.DUMMYFUNCTION("""COMPUTED_VALUE"""),"오크&amp;제이호")</f>
        <v>오크&amp;제이호</v>
      </c>
      <c r="B771" s="43">
        <f>IFERROR(__xludf.DUMMYFUNCTION("""COMPUTED_VALUE"""),1.0)</f>
        <v>1</v>
      </c>
      <c r="C771" s="43">
        <f>IFERROR(__xludf.DUMMYFUNCTION("""COMPUTED_VALUE"""),1.0)</f>
        <v>1</v>
      </c>
      <c r="D771" s="46">
        <f>IFERROR(__xludf.DUMMYFUNCTION("""COMPUTED_VALUE"""),0.5)</f>
        <v>0.5</v>
      </c>
    </row>
    <row r="772">
      <c r="A772" s="43" t="str">
        <f>IFERROR(__xludf.DUMMYFUNCTION("""COMPUTED_VALUE"""),"요즘&amp;윈드")</f>
        <v>요즘&amp;윈드</v>
      </c>
      <c r="B772" s="43">
        <f>IFERROR(__xludf.DUMMYFUNCTION("""COMPUTED_VALUE"""),1.0)</f>
        <v>1</v>
      </c>
      <c r="C772" s="43">
        <f>IFERROR(__xludf.DUMMYFUNCTION("""COMPUTED_VALUE"""),1.0)</f>
        <v>1</v>
      </c>
      <c r="D772" s="46">
        <f>IFERROR(__xludf.DUMMYFUNCTION("""COMPUTED_VALUE"""),0.5)</f>
        <v>0.5</v>
      </c>
    </row>
    <row r="773">
      <c r="A773" s="43" t="str">
        <f>IFERROR(__xludf.DUMMYFUNCTION("""COMPUTED_VALUE"""),"요즘&amp;지피")</f>
        <v>요즘&amp;지피</v>
      </c>
      <c r="B773" s="43">
        <f>IFERROR(__xludf.DUMMYFUNCTION("""COMPUTED_VALUE"""),1.0)</f>
        <v>1</v>
      </c>
      <c r="C773" s="43">
        <f>IFERROR(__xludf.DUMMYFUNCTION("""COMPUTED_VALUE"""),1.0)</f>
        <v>1</v>
      </c>
      <c r="D773" s="46">
        <f>IFERROR(__xludf.DUMMYFUNCTION("""COMPUTED_VALUE"""),0.5)</f>
        <v>0.5</v>
      </c>
    </row>
    <row r="774">
      <c r="A774" s="43" t="str">
        <f>IFERROR(__xludf.DUMMYFUNCTION("""COMPUTED_VALUE"""),"원&amp;윈드")</f>
        <v>원&amp;윈드</v>
      </c>
      <c r="B774" s="43">
        <f>IFERROR(__xludf.DUMMYFUNCTION("""COMPUTED_VALUE"""),1.0)</f>
        <v>1</v>
      </c>
      <c r="C774" s="43">
        <f>IFERROR(__xludf.DUMMYFUNCTION("""COMPUTED_VALUE"""),1.0)</f>
        <v>1</v>
      </c>
      <c r="D774" s="46">
        <f>IFERROR(__xludf.DUMMYFUNCTION("""COMPUTED_VALUE"""),0.5)</f>
        <v>0.5</v>
      </c>
    </row>
    <row r="775">
      <c r="A775" s="43" t="str">
        <f>IFERROR(__xludf.DUMMYFUNCTION("""COMPUTED_VALUE"""),"윈드&amp;필찌")</f>
        <v>윈드&amp;필찌</v>
      </c>
      <c r="B775" s="43">
        <f>IFERROR(__xludf.DUMMYFUNCTION("""COMPUTED_VALUE"""),1.0)</f>
        <v>1</v>
      </c>
      <c r="C775" s="43">
        <f>IFERROR(__xludf.DUMMYFUNCTION("""COMPUTED_VALUE"""),1.0)</f>
        <v>1</v>
      </c>
      <c r="D775" s="46">
        <f>IFERROR(__xludf.DUMMYFUNCTION("""COMPUTED_VALUE"""),0.5)</f>
        <v>0.5</v>
      </c>
    </row>
    <row r="776">
      <c r="A776" s="43" t="str">
        <f>IFERROR(__xludf.DUMMYFUNCTION("""COMPUTED_VALUE"""),"윙크&amp;전투쥐")</f>
        <v>윙크&amp;전투쥐</v>
      </c>
      <c r="B776" s="43">
        <f>IFERROR(__xludf.DUMMYFUNCTION("""COMPUTED_VALUE"""),1.0)</f>
        <v>1</v>
      </c>
      <c r="C776" s="43">
        <f>IFERROR(__xludf.DUMMYFUNCTION("""COMPUTED_VALUE"""),1.0)</f>
        <v>1</v>
      </c>
      <c r="D776" s="46">
        <f>IFERROR(__xludf.DUMMYFUNCTION("""COMPUTED_VALUE"""),0.5)</f>
        <v>0.5</v>
      </c>
    </row>
    <row r="777">
      <c r="A777" s="43" t="str">
        <f>IFERROR(__xludf.DUMMYFUNCTION("""COMPUTED_VALUE"""),"윙크&amp;제로스")</f>
        <v>윙크&amp;제로스</v>
      </c>
      <c r="B777" s="43">
        <f>IFERROR(__xludf.DUMMYFUNCTION("""COMPUTED_VALUE"""),1.0)</f>
        <v>1</v>
      </c>
      <c r="C777" s="43">
        <f>IFERROR(__xludf.DUMMYFUNCTION("""COMPUTED_VALUE"""),1.0)</f>
        <v>1</v>
      </c>
      <c r="D777" s="46">
        <f>IFERROR(__xludf.DUMMYFUNCTION("""COMPUTED_VALUE"""),0.5)</f>
        <v>0.5</v>
      </c>
    </row>
    <row r="778">
      <c r="A778" s="43" t="str">
        <f>IFERROR(__xludf.DUMMYFUNCTION("""COMPUTED_VALUE"""),"윙크&amp;조심")</f>
        <v>윙크&amp;조심</v>
      </c>
      <c r="B778" s="43">
        <f>IFERROR(__xludf.DUMMYFUNCTION("""COMPUTED_VALUE"""),1.0)</f>
        <v>1</v>
      </c>
      <c r="C778" s="43">
        <f>IFERROR(__xludf.DUMMYFUNCTION("""COMPUTED_VALUE"""),1.0)</f>
        <v>1</v>
      </c>
      <c r="D778" s="46">
        <f>IFERROR(__xludf.DUMMYFUNCTION("""COMPUTED_VALUE"""),0.5)</f>
        <v>0.5</v>
      </c>
    </row>
    <row r="779">
      <c r="A779" s="43" t="str">
        <f>IFERROR(__xludf.DUMMYFUNCTION("""COMPUTED_VALUE"""),"윙크&amp;튜브")</f>
        <v>윙크&amp;튜브</v>
      </c>
      <c r="B779" s="43">
        <f>IFERROR(__xludf.DUMMYFUNCTION("""COMPUTED_VALUE"""),1.0)</f>
        <v>1</v>
      </c>
      <c r="C779" s="43">
        <f>IFERROR(__xludf.DUMMYFUNCTION("""COMPUTED_VALUE"""),1.0)</f>
        <v>1</v>
      </c>
      <c r="D779" s="46">
        <f>IFERROR(__xludf.DUMMYFUNCTION("""COMPUTED_VALUE"""),0.5)</f>
        <v>0.5</v>
      </c>
    </row>
    <row r="780">
      <c r="A780" s="43" t="str">
        <f>IFERROR(__xludf.DUMMYFUNCTION("""COMPUTED_VALUE"""),"유망&amp;터미")</f>
        <v>유망&amp;터미</v>
      </c>
      <c r="B780" s="43">
        <f>IFERROR(__xludf.DUMMYFUNCTION("""COMPUTED_VALUE"""),1.0)</f>
        <v>1</v>
      </c>
      <c r="C780" s="43">
        <f>IFERROR(__xludf.DUMMYFUNCTION("""COMPUTED_VALUE"""),1.0)</f>
        <v>1</v>
      </c>
      <c r="D780" s="46">
        <f>IFERROR(__xludf.DUMMYFUNCTION("""COMPUTED_VALUE"""),0.5)</f>
        <v>0.5</v>
      </c>
    </row>
    <row r="781">
      <c r="A781" s="43" t="str">
        <f>IFERROR(__xludf.DUMMYFUNCTION("""COMPUTED_VALUE"""),"재명&amp;좀비")</f>
        <v>재명&amp;좀비</v>
      </c>
      <c r="B781" s="43">
        <f>IFERROR(__xludf.DUMMYFUNCTION("""COMPUTED_VALUE"""),1.0)</f>
        <v>1</v>
      </c>
      <c r="C781" s="43">
        <f>IFERROR(__xludf.DUMMYFUNCTION("""COMPUTED_VALUE"""),1.0)</f>
        <v>1</v>
      </c>
      <c r="D781" s="46">
        <f>IFERROR(__xludf.DUMMYFUNCTION("""COMPUTED_VALUE"""),0.5)</f>
        <v>0.5</v>
      </c>
    </row>
    <row r="782">
      <c r="A782" s="43" t="str">
        <f>IFERROR(__xludf.DUMMYFUNCTION("""COMPUTED_VALUE"""),"재우&amp;제로스")</f>
        <v>재우&amp;제로스</v>
      </c>
      <c r="B782" s="43">
        <f>IFERROR(__xludf.DUMMYFUNCTION("""COMPUTED_VALUE"""),1.0)</f>
        <v>1</v>
      </c>
      <c r="C782" s="43">
        <f>IFERROR(__xludf.DUMMYFUNCTION("""COMPUTED_VALUE"""),1.0)</f>
        <v>1</v>
      </c>
      <c r="D782" s="46">
        <f>IFERROR(__xludf.DUMMYFUNCTION("""COMPUTED_VALUE"""),0.5)</f>
        <v>0.5</v>
      </c>
    </row>
    <row r="783">
      <c r="A783" s="43" t="str">
        <f>IFERROR(__xludf.DUMMYFUNCTION("""COMPUTED_VALUE"""),"전투쥐&amp;키키")</f>
        <v>전투쥐&amp;키키</v>
      </c>
      <c r="B783" s="43">
        <f>IFERROR(__xludf.DUMMYFUNCTION("""COMPUTED_VALUE"""),1.0)</f>
        <v>1</v>
      </c>
      <c r="C783" s="43">
        <f>IFERROR(__xludf.DUMMYFUNCTION("""COMPUTED_VALUE"""),1.0)</f>
        <v>1</v>
      </c>
      <c r="D783" s="46">
        <f>IFERROR(__xludf.DUMMYFUNCTION("""COMPUTED_VALUE"""),0.5)</f>
        <v>0.5</v>
      </c>
    </row>
    <row r="784">
      <c r="A784" s="43" t="str">
        <f>IFERROR(__xludf.DUMMYFUNCTION("""COMPUTED_VALUE"""),"조드&amp;튜브")</f>
        <v>조드&amp;튜브</v>
      </c>
      <c r="B784" s="43">
        <f>IFERROR(__xludf.DUMMYFUNCTION("""COMPUTED_VALUE"""),1.0)</f>
        <v>1</v>
      </c>
      <c r="C784" s="43">
        <f>IFERROR(__xludf.DUMMYFUNCTION("""COMPUTED_VALUE"""),1.0)</f>
        <v>1</v>
      </c>
      <c r="D784" s="46">
        <f>IFERROR(__xludf.DUMMYFUNCTION("""COMPUTED_VALUE"""),0.5)</f>
        <v>0.5</v>
      </c>
    </row>
    <row r="785">
      <c r="A785" s="43" t="str">
        <f>IFERROR(__xludf.DUMMYFUNCTION("""COMPUTED_VALUE"""),"좀비&amp;한메")</f>
        <v>좀비&amp;한메</v>
      </c>
      <c r="B785" s="43">
        <f>IFERROR(__xludf.DUMMYFUNCTION("""COMPUTED_VALUE"""),1.0)</f>
        <v>1</v>
      </c>
      <c r="C785" s="43">
        <f>IFERROR(__xludf.DUMMYFUNCTION("""COMPUTED_VALUE"""),1.0)</f>
        <v>1</v>
      </c>
      <c r="D785" s="46">
        <f>IFERROR(__xludf.DUMMYFUNCTION("""COMPUTED_VALUE"""),0.5)</f>
        <v>0.5</v>
      </c>
    </row>
    <row r="786">
      <c r="A786" s="43" t="str">
        <f>IFERROR(__xludf.DUMMYFUNCTION("""COMPUTED_VALUE"""),"키키&amp;튜브")</f>
        <v>키키&amp;튜브</v>
      </c>
      <c r="B786" s="43">
        <f>IFERROR(__xludf.DUMMYFUNCTION("""COMPUTED_VALUE"""),1.0)</f>
        <v>1</v>
      </c>
      <c r="C786" s="43">
        <f>IFERROR(__xludf.DUMMYFUNCTION("""COMPUTED_VALUE"""),1.0)</f>
        <v>1</v>
      </c>
      <c r="D786" s="46">
        <f>IFERROR(__xludf.DUMMYFUNCTION("""COMPUTED_VALUE"""),0.5)</f>
        <v>0.5</v>
      </c>
    </row>
    <row r="787">
      <c r="A787" s="43" t="str">
        <f>IFERROR(__xludf.DUMMYFUNCTION("""COMPUTED_VALUE"""),"키키&amp;필찌")</f>
        <v>키키&amp;필찌</v>
      </c>
      <c r="B787" s="43">
        <f>IFERROR(__xludf.DUMMYFUNCTION("""COMPUTED_VALUE"""),1.0)</f>
        <v>1</v>
      </c>
      <c r="C787" s="43">
        <f>IFERROR(__xludf.DUMMYFUNCTION("""COMPUTED_VALUE"""),1.0)</f>
        <v>1</v>
      </c>
      <c r="D787" s="46">
        <f>IFERROR(__xludf.DUMMYFUNCTION("""COMPUTED_VALUE"""),0.5)</f>
        <v>0.5</v>
      </c>
    </row>
    <row r="788">
      <c r="A788" s="43" t="str">
        <f>IFERROR(__xludf.DUMMYFUNCTION("""COMPUTED_VALUE"""),"터미&amp;필찌")</f>
        <v>터미&amp;필찌</v>
      </c>
      <c r="B788" s="43">
        <f>IFERROR(__xludf.DUMMYFUNCTION("""COMPUTED_VALUE"""),1.0)</f>
        <v>1</v>
      </c>
      <c r="C788" s="43">
        <f>IFERROR(__xludf.DUMMYFUNCTION("""COMPUTED_VALUE"""),1.0)</f>
        <v>1</v>
      </c>
      <c r="D788" s="46">
        <f>IFERROR(__xludf.DUMMYFUNCTION("""COMPUTED_VALUE"""),0.5)</f>
        <v>0.5</v>
      </c>
    </row>
    <row r="789">
      <c r="A789" s="43" t="str">
        <f>IFERROR(__xludf.DUMMYFUNCTION("""COMPUTED_VALUE"""),"터미&amp;학생")</f>
        <v>터미&amp;학생</v>
      </c>
      <c r="B789" s="43">
        <f>IFERROR(__xludf.DUMMYFUNCTION("""COMPUTED_VALUE"""),1.0)</f>
        <v>1</v>
      </c>
      <c r="C789" s="43">
        <f>IFERROR(__xludf.DUMMYFUNCTION("""COMPUTED_VALUE"""),1.0)</f>
        <v>1</v>
      </c>
      <c r="D789" s="46">
        <f>IFERROR(__xludf.DUMMYFUNCTION("""COMPUTED_VALUE"""),0.5)</f>
        <v>0.5</v>
      </c>
    </row>
    <row r="790">
      <c r="A790" s="43" t="str">
        <f>IFERROR(__xludf.DUMMYFUNCTION("""COMPUTED_VALUE"""),"ACDC&amp;지피")</f>
        <v>ACDC&amp;지피</v>
      </c>
      <c r="B790" s="43">
        <f>IFERROR(__xludf.DUMMYFUNCTION("""COMPUTED_VALUE"""),1.0)</f>
        <v>1</v>
      </c>
      <c r="C790" s="43">
        <f>IFERROR(__xludf.DUMMYFUNCTION("""COMPUTED_VALUE"""),2.0)</f>
        <v>2</v>
      </c>
      <c r="D790" s="46">
        <f>IFERROR(__xludf.DUMMYFUNCTION("""COMPUTED_VALUE"""),0.3333333333333333)</f>
        <v>0.3333333333</v>
      </c>
    </row>
    <row r="791">
      <c r="A791" s="43" t="str">
        <f>IFERROR(__xludf.DUMMYFUNCTION("""COMPUTED_VALUE"""),"GYUL&amp;용이")</f>
        <v>GYUL&amp;용이</v>
      </c>
      <c r="B791" s="43">
        <f>IFERROR(__xludf.DUMMYFUNCTION("""COMPUTED_VALUE"""),1.0)</f>
        <v>1</v>
      </c>
      <c r="C791" s="43">
        <f>IFERROR(__xludf.DUMMYFUNCTION("""COMPUTED_VALUE"""),2.0)</f>
        <v>2</v>
      </c>
      <c r="D791" s="46">
        <f>IFERROR(__xludf.DUMMYFUNCTION("""COMPUTED_VALUE"""),0.3333333333333333)</f>
        <v>0.3333333333</v>
      </c>
    </row>
    <row r="792">
      <c r="A792" s="43" t="str">
        <f>IFERROR(__xludf.DUMMYFUNCTION("""COMPUTED_VALUE"""),"ovo&amp;퍼플")</f>
        <v>ovo&amp;퍼플</v>
      </c>
      <c r="B792" s="43">
        <f>IFERROR(__xludf.DUMMYFUNCTION("""COMPUTED_VALUE"""),1.0)</f>
        <v>1</v>
      </c>
      <c r="C792" s="43">
        <f>IFERROR(__xludf.DUMMYFUNCTION("""COMPUTED_VALUE"""),2.0)</f>
        <v>2</v>
      </c>
      <c r="D792" s="46">
        <f>IFERROR(__xludf.DUMMYFUNCTION("""COMPUTED_VALUE"""),0.3333333333333333)</f>
        <v>0.3333333333</v>
      </c>
    </row>
    <row r="793">
      <c r="A793" s="43" t="str">
        <f>IFERROR(__xludf.DUMMYFUNCTION("""COMPUTED_VALUE"""),"강화&amp;튜브")</f>
        <v>강화&amp;튜브</v>
      </c>
      <c r="B793" s="43">
        <f>IFERROR(__xludf.DUMMYFUNCTION("""COMPUTED_VALUE"""),1.0)</f>
        <v>1</v>
      </c>
      <c r="C793" s="43">
        <f>IFERROR(__xludf.DUMMYFUNCTION("""COMPUTED_VALUE"""),2.0)</f>
        <v>2</v>
      </c>
      <c r="D793" s="46">
        <f>IFERROR(__xludf.DUMMYFUNCTION("""COMPUTED_VALUE"""),0.3333333333333333)</f>
        <v>0.3333333333</v>
      </c>
    </row>
    <row r="794">
      <c r="A794" s="43" t="str">
        <f>IFERROR(__xludf.DUMMYFUNCTION("""COMPUTED_VALUE"""),"강화&amp;혀니")</f>
        <v>강화&amp;혀니</v>
      </c>
      <c r="B794" s="43">
        <f>IFERROR(__xludf.DUMMYFUNCTION("""COMPUTED_VALUE"""),1.0)</f>
        <v>1</v>
      </c>
      <c r="C794" s="43">
        <f>IFERROR(__xludf.DUMMYFUNCTION("""COMPUTED_VALUE"""),2.0)</f>
        <v>2</v>
      </c>
      <c r="D794" s="46">
        <f>IFERROR(__xludf.DUMMYFUNCTION("""COMPUTED_VALUE"""),0.3333333333333333)</f>
        <v>0.3333333333</v>
      </c>
    </row>
    <row r="795">
      <c r="A795" s="43" t="str">
        <f>IFERROR(__xludf.DUMMYFUNCTION("""COMPUTED_VALUE"""),"구리다&amp;재규어")</f>
        <v>구리다&amp;재규어</v>
      </c>
      <c r="B795" s="43">
        <f>IFERROR(__xludf.DUMMYFUNCTION("""COMPUTED_VALUE"""),1.0)</f>
        <v>1</v>
      </c>
      <c r="C795" s="43">
        <f>IFERROR(__xludf.DUMMYFUNCTION("""COMPUTED_VALUE"""),2.0)</f>
        <v>2</v>
      </c>
      <c r="D795" s="46">
        <f>IFERROR(__xludf.DUMMYFUNCTION("""COMPUTED_VALUE"""),0.3333333333333333)</f>
        <v>0.3333333333</v>
      </c>
    </row>
    <row r="796">
      <c r="A796" s="43" t="str">
        <f>IFERROR(__xludf.DUMMYFUNCTION("""COMPUTED_VALUE"""),"기재&amp;민우")</f>
        <v>기재&amp;민우</v>
      </c>
      <c r="B796" s="43">
        <f>IFERROR(__xludf.DUMMYFUNCTION("""COMPUTED_VALUE"""),1.0)</f>
        <v>1</v>
      </c>
      <c r="C796" s="43">
        <f>IFERROR(__xludf.DUMMYFUNCTION("""COMPUTED_VALUE"""),2.0)</f>
        <v>2</v>
      </c>
      <c r="D796" s="46">
        <f>IFERROR(__xludf.DUMMYFUNCTION("""COMPUTED_VALUE"""),0.3333333333333333)</f>
        <v>0.3333333333</v>
      </c>
    </row>
    <row r="797">
      <c r="A797" s="43" t="str">
        <f>IFERROR(__xludf.DUMMYFUNCTION("""COMPUTED_VALUE"""),"기재&amp;태식")</f>
        <v>기재&amp;태식</v>
      </c>
      <c r="B797" s="43">
        <f>IFERROR(__xludf.DUMMYFUNCTION("""COMPUTED_VALUE"""),1.0)</f>
        <v>1</v>
      </c>
      <c r="C797" s="43">
        <f>IFERROR(__xludf.DUMMYFUNCTION("""COMPUTED_VALUE"""),2.0)</f>
        <v>2</v>
      </c>
      <c r="D797" s="46">
        <f>IFERROR(__xludf.DUMMYFUNCTION("""COMPUTED_VALUE"""),0.3333333333333333)</f>
        <v>0.3333333333</v>
      </c>
    </row>
    <row r="798">
      <c r="A798" s="43" t="str">
        <f>IFERROR(__xludf.DUMMYFUNCTION("""COMPUTED_VALUE"""),"깡패&amp;마법거북이")</f>
        <v>깡패&amp;마법거북이</v>
      </c>
      <c r="B798" s="43">
        <f>IFERROR(__xludf.DUMMYFUNCTION("""COMPUTED_VALUE"""),1.0)</f>
        <v>1</v>
      </c>
      <c r="C798" s="43">
        <f>IFERROR(__xludf.DUMMYFUNCTION("""COMPUTED_VALUE"""),2.0)</f>
        <v>2</v>
      </c>
      <c r="D798" s="46">
        <f>IFERROR(__xludf.DUMMYFUNCTION("""COMPUTED_VALUE"""),0.3333333333333333)</f>
        <v>0.3333333333</v>
      </c>
    </row>
    <row r="799">
      <c r="A799" s="43" t="str">
        <f>IFERROR(__xludf.DUMMYFUNCTION("""COMPUTED_VALUE"""),"넘버&amp;재명")</f>
        <v>넘버&amp;재명</v>
      </c>
      <c r="B799" s="43">
        <f>IFERROR(__xludf.DUMMYFUNCTION("""COMPUTED_VALUE"""),1.0)</f>
        <v>1</v>
      </c>
      <c r="C799" s="43">
        <f>IFERROR(__xludf.DUMMYFUNCTION("""COMPUTED_VALUE"""),2.0)</f>
        <v>2</v>
      </c>
      <c r="D799" s="46">
        <f>IFERROR(__xludf.DUMMYFUNCTION("""COMPUTED_VALUE"""),0.3333333333333333)</f>
        <v>0.3333333333</v>
      </c>
    </row>
    <row r="800">
      <c r="A800" s="43" t="str">
        <f>IFERROR(__xludf.DUMMYFUNCTION("""COMPUTED_VALUE"""),"넘버&amp;조드")</f>
        <v>넘버&amp;조드</v>
      </c>
      <c r="B800" s="43">
        <f>IFERROR(__xludf.DUMMYFUNCTION("""COMPUTED_VALUE"""),1.0)</f>
        <v>1</v>
      </c>
      <c r="C800" s="43">
        <f>IFERROR(__xludf.DUMMYFUNCTION("""COMPUTED_VALUE"""),2.0)</f>
        <v>2</v>
      </c>
      <c r="D800" s="46">
        <f>IFERROR(__xludf.DUMMYFUNCTION("""COMPUTED_VALUE"""),0.3333333333333333)</f>
        <v>0.3333333333</v>
      </c>
    </row>
    <row r="801">
      <c r="A801" s="43" t="str">
        <f>IFERROR(__xludf.DUMMYFUNCTION("""COMPUTED_VALUE"""),"노픽업&amp;전투쥐")</f>
        <v>노픽업&amp;전투쥐</v>
      </c>
      <c r="B801" s="43">
        <f>IFERROR(__xludf.DUMMYFUNCTION("""COMPUTED_VALUE"""),1.0)</f>
        <v>1</v>
      </c>
      <c r="C801" s="43">
        <f>IFERROR(__xludf.DUMMYFUNCTION("""COMPUTED_VALUE"""),2.0)</f>
        <v>2</v>
      </c>
      <c r="D801" s="46">
        <f>IFERROR(__xludf.DUMMYFUNCTION("""COMPUTED_VALUE"""),0.3333333333333333)</f>
        <v>0.3333333333</v>
      </c>
    </row>
    <row r="802">
      <c r="A802" s="43" t="str">
        <f>IFERROR(__xludf.DUMMYFUNCTION("""COMPUTED_VALUE"""),"노픽업&amp;조심")</f>
        <v>노픽업&amp;조심</v>
      </c>
      <c r="B802" s="43">
        <f>IFERROR(__xludf.DUMMYFUNCTION("""COMPUTED_VALUE"""),1.0)</f>
        <v>1</v>
      </c>
      <c r="C802" s="43">
        <f>IFERROR(__xludf.DUMMYFUNCTION("""COMPUTED_VALUE"""),2.0)</f>
        <v>2</v>
      </c>
      <c r="D802" s="46">
        <f>IFERROR(__xludf.DUMMYFUNCTION("""COMPUTED_VALUE"""),0.3333333333333333)</f>
        <v>0.3333333333</v>
      </c>
    </row>
    <row r="803">
      <c r="A803" s="43" t="str">
        <f>IFERROR(__xludf.DUMMYFUNCTION("""COMPUTED_VALUE"""),"랄&amp;만두")</f>
        <v>랄&amp;만두</v>
      </c>
      <c r="B803" s="43">
        <f>IFERROR(__xludf.DUMMYFUNCTION("""COMPUTED_VALUE"""),1.0)</f>
        <v>1</v>
      </c>
      <c r="C803" s="43">
        <f>IFERROR(__xludf.DUMMYFUNCTION("""COMPUTED_VALUE"""),2.0)</f>
        <v>2</v>
      </c>
      <c r="D803" s="46">
        <f>IFERROR(__xludf.DUMMYFUNCTION("""COMPUTED_VALUE"""),0.3333333333333333)</f>
        <v>0.3333333333</v>
      </c>
    </row>
    <row r="804">
      <c r="A804" s="43" t="str">
        <f>IFERROR(__xludf.DUMMYFUNCTION("""COMPUTED_VALUE"""),"랄&amp;봉구")</f>
        <v>랄&amp;봉구</v>
      </c>
      <c r="B804" s="43">
        <f>IFERROR(__xludf.DUMMYFUNCTION("""COMPUTED_VALUE"""),1.0)</f>
        <v>1</v>
      </c>
      <c r="C804" s="43">
        <f>IFERROR(__xludf.DUMMYFUNCTION("""COMPUTED_VALUE"""),2.0)</f>
        <v>2</v>
      </c>
      <c r="D804" s="46">
        <f>IFERROR(__xludf.DUMMYFUNCTION("""COMPUTED_VALUE"""),0.3333333333333333)</f>
        <v>0.3333333333</v>
      </c>
    </row>
    <row r="805">
      <c r="A805" s="43" t="str">
        <f>IFERROR(__xludf.DUMMYFUNCTION("""COMPUTED_VALUE"""),"랄&amp;오딘")</f>
        <v>랄&amp;오딘</v>
      </c>
      <c r="B805" s="43">
        <f>IFERROR(__xludf.DUMMYFUNCTION("""COMPUTED_VALUE"""),1.0)</f>
        <v>1</v>
      </c>
      <c r="C805" s="43">
        <f>IFERROR(__xludf.DUMMYFUNCTION("""COMPUTED_VALUE"""),2.0)</f>
        <v>2</v>
      </c>
      <c r="D805" s="46">
        <f>IFERROR(__xludf.DUMMYFUNCTION("""COMPUTED_VALUE"""),0.3333333333333333)</f>
        <v>0.3333333333</v>
      </c>
    </row>
    <row r="806">
      <c r="A806" s="43" t="str">
        <f>IFERROR(__xludf.DUMMYFUNCTION("""COMPUTED_VALUE"""),"랄&amp;튜브")</f>
        <v>랄&amp;튜브</v>
      </c>
      <c r="B806" s="43">
        <f>IFERROR(__xludf.DUMMYFUNCTION("""COMPUTED_VALUE"""),1.0)</f>
        <v>1</v>
      </c>
      <c r="C806" s="43">
        <f>IFERROR(__xludf.DUMMYFUNCTION("""COMPUTED_VALUE"""),2.0)</f>
        <v>2</v>
      </c>
      <c r="D806" s="46">
        <f>IFERROR(__xludf.DUMMYFUNCTION("""COMPUTED_VALUE"""),0.3333333333333333)</f>
        <v>0.3333333333</v>
      </c>
    </row>
    <row r="807">
      <c r="A807" s="43" t="str">
        <f>IFERROR(__xludf.DUMMYFUNCTION("""COMPUTED_VALUE"""),"랄&amp;팰리")</f>
        <v>랄&amp;팰리</v>
      </c>
      <c r="B807" s="43">
        <f>IFERROR(__xludf.DUMMYFUNCTION("""COMPUTED_VALUE"""),1.0)</f>
        <v>1</v>
      </c>
      <c r="C807" s="43">
        <f>IFERROR(__xludf.DUMMYFUNCTION("""COMPUTED_VALUE"""),2.0)</f>
        <v>2</v>
      </c>
      <c r="D807" s="46">
        <f>IFERROR(__xludf.DUMMYFUNCTION("""COMPUTED_VALUE"""),0.3333333333333333)</f>
        <v>0.3333333333</v>
      </c>
    </row>
    <row r="808">
      <c r="A808" s="43" t="str">
        <f>IFERROR(__xludf.DUMMYFUNCTION("""COMPUTED_VALUE"""),"만두&amp;미르진")</f>
        <v>만두&amp;미르진</v>
      </c>
      <c r="B808" s="43">
        <f>IFERROR(__xludf.DUMMYFUNCTION("""COMPUTED_VALUE"""),1.0)</f>
        <v>1</v>
      </c>
      <c r="C808" s="43">
        <f>IFERROR(__xludf.DUMMYFUNCTION("""COMPUTED_VALUE"""),2.0)</f>
        <v>2</v>
      </c>
      <c r="D808" s="46">
        <f>IFERROR(__xludf.DUMMYFUNCTION("""COMPUTED_VALUE"""),0.3333333333333333)</f>
        <v>0.3333333333</v>
      </c>
    </row>
    <row r="809">
      <c r="A809" s="43" t="str">
        <f>IFERROR(__xludf.DUMMYFUNCTION("""COMPUTED_VALUE"""),"만두&amp;아이딘")</f>
        <v>만두&amp;아이딘</v>
      </c>
      <c r="B809" s="43">
        <f>IFERROR(__xludf.DUMMYFUNCTION("""COMPUTED_VALUE"""),1.0)</f>
        <v>1</v>
      </c>
      <c r="C809" s="43">
        <f>IFERROR(__xludf.DUMMYFUNCTION("""COMPUTED_VALUE"""),2.0)</f>
        <v>2</v>
      </c>
      <c r="D809" s="46">
        <f>IFERROR(__xludf.DUMMYFUNCTION("""COMPUTED_VALUE"""),0.3333333333333333)</f>
        <v>0.3333333333</v>
      </c>
    </row>
    <row r="810">
      <c r="A810" s="43" t="str">
        <f>IFERROR(__xludf.DUMMYFUNCTION("""COMPUTED_VALUE"""),"만두&amp;전투쥐")</f>
        <v>만두&amp;전투쥐</v>
      </c>
      <c r="B810" s="43">
        <f>IFERROR(__xludf.DUMMYFUNCTION("""COMPUTED_VALUE"""),1.0)</f>
        <v>1</v>
      </c>
      <c r="C810" s="43">
        <f>IFERROR(__xludf.DUMMYFUNCTION("""COMPUTED_VALUE"""),2.0)</f>
        <v>2</v>
      </c>
      <c r="D810" s="46">
        <f>IFERROR(__xludf.DUMMYFUNCTION("""COMPUTED_VALUE"""),0.3333333333333333)</f>
        <v>0.3333333333</v>
      </c>
    </row>
    <row r="811">
      <c r="A811" s="43" t="str">
        <f>IFERROR(__xludf.DUMMYFUNCTION("""COMPUTED_VALUE"""),"미등록&amp;오크")</f>
        <v>미등록&amp;오크</v>
      </c>
      <c r="B811" s="43">
        <f>IFERROR(__xludf.DUMMYFUNCTION("""COMPUTED_VALUE"""),1.0)</f>
        <v>1</v>
      </c>
      <c r="C811" s="43">
        <f>IFERROR(__xludf.DUMMYFUNCTION("""COMPUTED_VALUE"""),2.0)</f>
        <v>2</v>
      </c>
      <c r="D811" s="46">
        <f>IFERROR(__xludf.DUMMYFUNCTION("""COMPUTED_VALUE"""),0.3333333333333333)</f>
        <v>0.3333333333</v>
      </c>
    </row>
    <row r="812">
      <c r="A812" s="43" t="str">
        <f>IFERROR(__xludf.DUMMYFUNCTION("""COMPUTED_VALUE"""),"미르진&amp;악동")</f>
        <v>미르진&amp;악동</v>
      </c>
      <c r="B812" s="43">
        <f>IFERROR(__xludf.DUMMYFUNCTION("""COMPUTED_VALUE"""),1.0)</f>
        <v>1</v>
      </c>
      <c r="C812" s="43">
        <f>IFERROR(__xludf.DUMMYFUNCTION("""COMPUTED_VALUE"""),2.0)</f>
        <v>2</v>
      </c>
      <c r="D812" s="46">
        <f>IFERROR(__xludf.DUMMYFUNCTION("""COMPUTED_VALUE"""),0.3333333333333333)</f>
        <v>0.3333333333</v>
      </c>
    </row>
    <row r="813">
      <c r="A813" s="43" t="str">
        <f>IFERROR(__xludf.DUMMYFUNCTION("""COMPUTED_VALUE"""),"밍구&amp;아이딘")</f>
        <v>밍구&amp;아이딘</v>
      </c>
      <c r="B813" s="43">
        <f>IFERROR(__xludf.DUMMYFUNCTION("""COMPUTED_VALUE"""),1.0)</f>
        <v>1</v>
      </c>
      <c r="C813" s="43">
        <f>IFERROR(__xludf.DUMMYFUNCTION("""COMPUTED_VALUE"""),2.0)</f>
        <v>2</v>
      </c>
      <c r="D813" s="46">
        <f>IFERROR(__xludf.DUMMYFUNCTION("""COMPUTED_VALUE"""),0.3333333333333333)</f>
        <v>0.3333333333</v>
      </c>
    </row>
    <row r="814">
      <c r="A814" s="43" t="str">
        <f>IFERROR(__xludf.DUMMYFUNCTION("""COMPUTED_VALUE"""),"밍구&amp;악동")</f>
        <v>밍구&amp;악동</v>
      </c>
      <c r="B814" s="43">
        <f>IFERROR(__xludf.DUMMYFUNCTION("""COMPUTED_VALUE"""),1.0)</f>
        <v>1</v>
      </c>
      <c r="C814" s="43">
        <f>IFERROR(__xludf.DUMMYFUNCTION("""COMPUTED_VALUE"""),2.0)</f>
        <v>2</v>
      </c>
      <c r="D814" s="46">
        <f>IFERROR(__xludf.DUMMYFUNCTION("""COMPUTED_VALUE"""),0.3333333333333333)</f>
        <v>0.3333333333</v>
      </c>
    </row>
    <row r="815">
      <c r="A815" s="43" t="str">
        <f>IFERROR(__xludf.DUMMYFUNCTION("""COMPUTED_VALUE"""),"뼈해장국&amp;짱구")</f>
        <v>뼈해장국&amp;짱구</v>
      </c>
      <c r="B815" s="43">
        <f>IFERROR(__xludf.DUMMYFUNCTION("""COMPUTED_VALUE"""),1.0)</f>
        <v>1</v>
      </c>
      <c r="C815" s="43">
        <f>IFERROR(__xludf.DUMMYFUNCTION("""COMPUTED_VALUE"""),2.0)</f>
        <v>2</v>
      </c>
      <c r="D815" s="46">
        <f>IFERROR(__xludf.DUMMYFUNCTION("""COMPUTED_VALUE"""),0.3333333333333333)</f>
        <v>0.3333333333</v>
      </c>
    </row>
    <row r="816">
      <c r="A816" s="43" t="str">
        <f>IFERROR(__xludf.DUMMYFUNCTION("""COMPUTED_VALUE"""),"뼈해장국&amp;참치")</f>
        <v>뼈해장국&amp;참치</v>
      </c>
      <c r="B816" s="43">
        <f>IFERROR(__xludf.DUMMYFUNCTION("""COMPUTED_VALUE"""),1.0)</f>
        <v>1</v>
      </c>
      <c r="C816" s="43">
        <f>IFERROR(__xludf.DUMMYFUNCTION("""COMPUTED_VALUE"""),2.0)</f>
        <v>2</v>
      </c>
      <c r="D816" s="46">
        <f>IFERROR(__xludf.DUMMYFUNCTION("""COMPUTED_VALUE"""),0.3333333333333333)</f>
        <v>0.3333333333</v>
      </c>
    </row>
    <row r="817">
      <c r="A817" s="43" t="str">
        <f>IFERROR(__xludf.DUMMYFUNCTION("""COMPUTED_VALUE"""),"새출발&amp;짱구")</f>
        <v>새출발&amp;짱구</v>
      </c>
      <c r="B817" s="43">
        <f>IFERROR(__xludf.DUMMYFUNCTION("""COMPUTED_VALUE"""),1.0)</f>
        <v>1</v>
      </c>
      <c r="C817" s="43">
        <f>IFERROR(__xludf.DUMMYFUNCTION("""COMPUTED_VALUE"""),2.0)</f>
        <v>2</v>
      </c>
      <c r="D817" s="46">
        <f>IFERROR(__xludf.DUMMYFUNCTION("""COMPUTED_VALUE"""),0.3333333333333333)</f>
        <v>0.3333333333</v>
      </c>
    </row>
    <row r="818">
      <c r="A818" s="43" t="str">
        <f>IFERROR(__xludf.DUMMYFUNCTION("""COMPUTED_VALUE"""),"신형만&amp;엘")</f>
        <v>신형만&amp;엘</v>
      </c>
      <c r="B818" s="43">
        <f>IFERROR(__xludf.DUMMYFUNCTION("""COMPUTED_VALUE"""),1.0)</f>
        <v>1</v>
      </c>
      <c r="C818" s="43">
        <f>IFERROR(__xludf.DUMMYFUNCTION("""COMPUTED_VALUE"""),2.0)</f>
        <v>2</v>
      </c>
      <c r="D818" s="46">
        <f>IFERROR(__xludf.DUMMYFUNCTION("""COMPUTED_VALUE"""),0.3333333333333333)</f>
        <v>0.3333333333</v>
      </c>
    </row>
    <row r="819">
      <c r="A819" s="43" t="str">
        <f>IFERROR(__xludf.DUMMYFUNCTION("""COMPUTED_VALUE"""),"아이딘&amp;재우")</f>
        <v>아이딘&amp;재우</v>
      </c>
      <c r="B819" s="43">
        <f>IFERROR(__xludf.DUMMYFUNCTION("""COMPUTED_VALUE"""),1.0)</f>
        <v>1</v>
      </c>
      <c r="C819" s="43">
        <f>IFERROR(__xludf.DUMMYFUNCTION("""COMPUTED_VALUE"""),2.0)</f>
        <v>2</v>
      </c>
      <c r="D819" s="46">
        <f>IFERROR(__xludf.DUMMYFUNCTION("""COMPUTED_VALUE"""),0.3333333333333333)</f>
        <v>0.3333333333</v>
      </c>
    </row>
    <row r="820">
      <c r="A820" s="43" t="str">
        <f>IFERROR(__xludf.DUMMYFUNCTION("""COMPUTED_VALUE"""),"악동&amp;오크")</f>
        <v>악동&amp;오크</v>
      </c>
      <c r="B820" s="43">
        <f>IFERROR(__xludf.DUMMYFUNCTION("""COMPUTED_VALUE"""),1.0)</f>
        <v>1</v>
      </c>
      <c r="C820" s="43">
        <f>IFERROR(__xludf.DUMMYFUNCTION("""COMPUTED_VALUE"""),2.0)</f>
        <v>2</v>
      </c>
      <c r="D820" s="46">
        <f>IFERROR(__xludf.DUMMYFUNCTION("""COMPUTED_VALUE"""),0.3333333333333333)</f>
        <v>0.3333333333</v>
      </c>
    </row>
    <row r="821">
      <c r="A821" s="43" t="str">
        <f>IFERROR(__xludf.DUMMYFUNCTION("""COMPUTED_VALUE"""),"악동&amp;테리")</f>
        <v>악동&amp;테리</v>
      </c>
      <c r="B821" s="43">
        <f>IFERROR(__xludf.DUMMYFUNCTION("""COMPUTED_VALUE"""),1.0)</f>
        <v>1</v>
      </c>
      <c r="C821" s="43">
        <f>IFERROR(__xludf.DUMMYFUNCTION("""COMPUTED_VALUE"""),2.0)</f>
        <v>2</v>
      </c>
      <c r="D821" s="46">
        <f>IFERROR(__xludf.DUMMYFUNCTION("""COMPUTED_VALUE"""),0.3333333333333333)</f>
        <v>0.3333333333</v>
      </c>
    </row>
    <row r="822">
      <c r="A822" s="43" t="str">
        <f>IFERROR(__xludf.DUMMYFUNCTION("""COMPUTED_VALUE"""),"오딘&amp;조심")</f>
        <v>오딘&amp;조심</v>
      </c>
      <c r="B822" s="43">
        <f>IFERROR(__xludf.DUMMYFUNCTION("""COMPUTED_VALUE"""),1.0)</f>
        <v>1</v>
      </c>
      <c r="C822" s="43">
        <f>IFERROR(__xludf.DUMMYFUNCTION("""COMPUTED_VALUE"""),2.0)</f>
        <v>2</v>
      </c>
      <c r="D822" s="46">
        <f>IFERROR(__xludf.DUMMYFUNCTION("""COMPUTED_VALUE"""),0.3333333333333333)</f>
        <v>0.3333333333</v>
      </c>
    </row>
    <row r="823">
      <c r="A823" s="43" t="str">
        <f>IFERROR(__xludf.DUMMYFUNCTION("""COMPUTED_VALUE"""),"오크&amp;팰리")</f>
        <v>오크&amp;팰리</v>
      </c>
      <c r="B823" s="43">
        <f>IFERROR(__xludf.DUMMYFUNCTION("""COMPUTED_VALUE"""),1.0)</f>
        <v>1</v>
      </c>
      <c r="C823" s="43">
        <f>IFERROR(__xludf.DUMMYFUNCTION("""COMPUTED_VALUE"""),2.0)</f>
        <v>2</v>
      </c>
      <c r="D823" s="46">
        <f>IFERROR(__xludf.DUMMYFUNCTION("""COMPUTED_VALUE"""),0.3333333333333333)</f>
        <v>0.3333333333</v>
      </c>
    </row>
    <row r="824">
      <c r="A824" s="43" t="str">
        <f>IFERROR(__xludf.DUMMYFUNCTION("""COMPUTED_VALUE"""),"웅&amp;원")</f>
        <v>웅&amp;원</v>
      </c>
      <c r="B824" s="43">
        <f>IFERROR(__xludf.DUMMYFUNCTION("""COMPUTED_VALUE"""),1.0)</f>
        <v>1</v>
      </c>
      <c r="C824" s="43">
        <f>IFERROR(__xludf.DUMMYFUNCTION("""COMPUTED_VALUE"""),2.0)</f>
        <v>2</v>
      </c>
      <c r="D824" s="46">
        <f>IFERROR(__xludf.DUMMYFUNCTION("""COMPUTED_VALUE"""),0.3333333333333333)</f>
        <v>0.3333333333</v>
      </c>
    </row>
    <row r="825">
      <c r="A825" s="43" t="str">
        <f>IFERROR(__xludf.DUMMYFUNCTION("""COMPUTED_VALUE"""),"웅&amp;전투쥐")</f>
        <v>웅&amp;전투쥐</v>
      </c>
      <c r="B825" s="43">
        <f>IFERROR(__xludf.DUMMYFUNCTION("""COMPUTED_VALUE"""),1.0)</f>
        <v>1</v>
      </c>
      <c r="C825" s="43">
        <f>IFERROR(__xludf.DUMMYFUNCTION("""COMPUTED_VALUE"""),2.0)</f>
        <v>2</v>
      </c>
      <c r="D825" s="46">
        <f>IFERROR(__xludf.DUMMYFUNCTION("""COMPUTED_VALUE"""),0.3333333333333333)</f>
        <v>0.3333333333</v>
      </c>
    </row>
    <row r="826">
      <c r="A826" s="43" t="str">
        <f>IFERROR(__xludf.DUMMYFUNCTION("""COMPUTED_VALUE"""),"윈드&amp;재명")</f>
        <v>윈드&amp;재명</v>
      </c>
      <c r="B826" s="43">
        <f>IFERROR(__xludf.DUMMYFUNCTION("""COMPUTED_VALUE"""),1.0)</f>
        <v>1</v>
      </c>
      <c r="C826" s="43">
        <f>IFERROR(__xludf.DUMMYFUNCTION("""COMPUTED_VALUE"""),2.0)</f>
        <v>2</v>
      </c>
      <c r="D826" s="46">
        <f>IFERROR(__xludf.DUMMYFUNCTION("""COMPUTED_VALUE"""),0.3333333333333333)</f>
        <v>0.3333333333</v>
      </c>
    </row>
    <row r="827">
      <c r="A827" s="43" t="str">
        <f>IFERROR(__xludf.DUMMYFUNCTION("""COMPUTED_VALUE"""),"윙크&amp;제이호")</f>
        <v>윙크&amp;제이호</v>
      </c>
      <c r="B827" s="43">
        <f>IFERROR(__xludf.DUMMYFUNCTION("""COMPUTED_VALUE"""),1.0)</f>
        <v>1</v>
      </c>
      <c r="C827" s="43">
        <f>IFERROR(__xludf.DUMMYFUNCTION("""COMPUTED_VALUE"""),2.0)</f>
        <v>2</v>
      </c>
      <c r="D827" s="46">
        <f>IFERROR(__xludf.DUMMYFUNCTION("""COMPUTED_VALUE"""),0.3333333333333333)</f>
        <v>0.3333333333</v>
      </c>
    </row>
    <row r="828">
      <c r="A828" s="43" t="str">
        <f>IFERROR(__xludf.DUMMYFUNCTION("""COMPUTED_VALUE"""),"재명&amp;조심")</f>
        <v>재명&amp;조심</v>
      </c>
      <c r="B828" s="43">
        <f>IFERROR(__xludf.DUMMYFUNCTION("""COMPUTED_VALUE"""),1.0)</f>
        <v>1</v>
      </c>
      <c r="C828" s="43">
        <f>IFERROR(__xludf.DUMMYFUNCTION("""COMPUTED_VALUE"""),2.0)</f>
        <v>2</v>
      </c>
      <c r="D828" s="46">
        <f>IFERROR(__xludf.DUMMYFUNCTION("""COMPUTED_VALUE"""),0.3333333333333333)</f>
        <v>0.3333333333</v>
      </c>
    </row>
    <row r="829">
      <c r="A829" s="43" t="str">
        <f>IFERROR(__xludf.DUMMYFUNCTION("""COMPUTED_VALUE"""),"재명&amp;참치")</f>
        <v>재명&amp;참치</v>
      </c>
      <c r="B829" s="43">
        <f>IFERROR(__xludf.DUMMYFUNCTION("""COMPUTED_VALUE"""),1.0)</f>
        <v>1</v>
      </c>
      <c r="C829" s="43">
        <f>IFERROR(__xludf.DUMMYFUNCTION("""COMPUTED_VALUE"""),2.0)</f>
        <v>2</v>
      </c>
      <c r="D829" s="46">
        <f>IFERROR(__xludf.DUMMYFUNCTION("""COMPUTED_VALUE"""),0.3333333333333333)</f>
        <v>0.3333333333</v>
      </c>
    </row>
    <row r="830">
      <c r="A830" s="43" t="str">
        <f>IFERROR(__xludf.DUMMYFUNCTION("""COMPUTED_VALUE"""),"재명&amp;터미")</f>
        <v>재명&amp;터미</v>
      </c>
      <c r="B830" s="43">
        <f>IFERROR(__xludf.DUMMYFUNCTION("""COMPUTED_VALUE"""),1.0)</f>
        <v>1</v>
      </c>
      <c r="C830" s="43">
        <f>IFERROR(__xludf.DUMMYFUNCTION("""COMPUTED_VALUE"""),2.0)</f>
        <v>2</v>
      </c>
      <c r="D830" s="46">
        <f>IFERROR(__xludf.DUMMYFUNCTION("""COMPUTED_VALUE"""),0.3333333333333333)</f>
        <v>0.3333333333</v>
      </c>
    </row>
    <row r="831">
      <c r="A831" s="43" t="str">
        <f>IFERROR(__xludf.DUMMYFUNCTION("""COMPUTED_VALUE"""),"전투쥐&amp;터미")</f>
        <v>전투쥐&amp;터미</v>
      </c>
      <c r="B831" s="43">
        <f>IFERROR(__xludf.DUMMYFUNCTION("""COMPUTED_VALUE"""),1.0)</f>
        <v>1</v>
      </c>
      <c r="C831" s="43">
        <f>IFERROR(__xludf.DUMMYFUNCTION("""COMPUTED_VALUE"""),2.0)</f>
        <v>2</v>
      </c>
      <c r="D831" s="46">
        <f>IFERROR(__xludf.DUMMYFUNCTION("""COMPUTED_VALUE"""),0.3333333333333333)</f>
        <v>0.3333333333</v>
      </c>
    </row>
    <row r="832">
      <c r="A832" s="43" t="str">
        <f>IFERROR(__xludf.DUMMYFUNCTION("""COMPUTED_VALUE"""),"참치&amp;찹쌀")</f>
        <v>참치&amp;찹쌀</v>
      </c>
      <c r="B832" s="43">
        <f>IFERROR(__xludf.DUMMYFUNCTION("""COMPUTED_VALUE"""),1.0)</f>
        <v>1</v>
      </c>
      <c r="C832" s="43">
        <f>IFERROR(__xludf.DUMMYFUNCTION("""COMPUTED_VALUE"""),2.0)</f>
        <v>2</v>
      </c>
      <c r="D832" s="46">
        <f>IFERROR(__xludf.DUMMYFUNCTION("""COMPUTED_VALUE"""),0.3333333333333333)</f>
        <v>0.3333333333</v>
      </c>
    </row>
    <row r="833">
      <c r="A833" s="43" t="str">
        <f>IFERROR(__xludf.DUMMYFUNCTION("""COMPUTED_VALUE"""),"찹쌀&amp;키키")</f>
        <v>찹쌀&amp;키키</v>
      </c>
      <c r="B833" s="43">
        <f>IFERROR(__xludf.DUMMYFUNCTION("""COMPUTED_VALUE"""),1.0)</f>
        <v>1</v>
      </c>
      <c r="C833" s="43">
        <f>IFERROR(__xludf.DUMMYFUNCTION("""COMPUTED_VALUE"""),2.0)</f>
        <v>2</v>
      </c>
      <c r="D833" s="46">
        <f>IFERROR(__xludf.DUMMYFUNCTION("""COMPUTED_VALUE"""),0.3333333333333333)</f>
        <v>0.3333333333</v>
      </c>
    </row>
    <row r="834">
      <c r="A834" s="43" t="str">
        <f>IFERROR(__xludf.DUMMYFUNCTION("""COMPUTED_VALUE"""),"테리&amp;튜브")</f>
        <v>테리&amp;튜브</v>
      </c>
      <c r="B834" s="43">
        <f>IFERROR(__xludf.DUMMYFUNCTION("""COMPUTED_VALUE"""),1.0)</f>
        <v>1</v>
      </c>
      <c r="C834" s="43">
        <f>IFERROR(__xludf.DUMMYFUNCTION("""COMPUTED_VALUE"""),2.0)</f>
        <v>2</v>
      </c>
      <c r="D834" s="46">
        <f>IFERROR(__xludf.DUMMYFUNCTION("""COMPUTED_VALUE"""),0.3333333333333333)</f>
        <v>0.3333333333</v>
      </c>
    </row>
    <row r="835">
      <c r="A835" s="43" t="str">
        <f>IFERROR(__xludf.DUMMYFUNCTION("""COMPUTED_VALUE"""),"학생&amp;혀니")</f>
        <v>학생&amp;혀니</v>
      </c>
      <c r="B835" s="43">
        <f>IFERROR(__xludf.DUMMYFUNCTION("""COMPUTED_VALUE"""),1.0)</f>
        <v>1</v>
      </c>
      <c r="C835" s="43">
        <f>IFERROR(__xludf.DUMMYFUNCTION("""COMPUTED_VALUE"""),2.0)</f>
        <v>2</v>
      </c>
      <c r="D835" s="46">
        <f>IFERROR(__xludf.DUMMYFUNCTION("""COMPUTED_VALUE"""),0.3333333333333333)</f>
        <v>0.3333333333</v>
      </c>
    </row>
    <row r="836">
      <c r="A836" s="43" t="str">
        <f>IFERROR(__xludf.DUMMYFUNCTION("""COMPUTED_VALUE"""),"ACDC&amp;Leaf")</f>
        <v>ACDC&amp;Leaf</v>
      </c>
      <c r="B836" s="43">
        <f>IFERROR(__xludf.DUMMYFUNCTION("""COMPUTED_VALUE"""),1.0)</f>
        <v>1</v>
      </c>
      <c r="C836" s="43">
        <f>IFERROR(__xludf.DUMMYFUNCTION("""COMPUTED_VALUE"""),3.0)</f>
        <v>3</v>
      </c>
      <c r="D836" s="46">
        <f>IFERROR(__xludf.DUMMYFUNCTION("""COMPUTED_VALUE"""),0.25)</f>
        <v>0.25</v>
      </c>
    </row>
    <row r="837">
      <c r="A837" s="43" t="str">
        <f>IFERROR(__xludf.DUMMYFUNCTION("""COMPUTED_VALUE"""),"GYUL&amp;재우")</f>
        <v>GYUL&amp;재우</v>
      </c>
      <c r="B837" s="43">
        <f>IFERROR(__xludf.DUMMYFUNCTION("""COMPUTED_VALUE"""),1.0)</f>
        <v>1</v>
      </c>
      <c r="C837" s="43">
        <f>IFERROR(__xludf.DUMMYFUNCTION("""COMPUTED_VALUE"""),3.0)</f>
        <v>3</v>
      </c>
      <c r="D837" s="46">
        <f>IFERROR(__xludf.DUMMYFUNCTION("""COMPUTED_VALUE"""),0.25)</f>
        <v>0.25</v>
      </c>
    </row>
    <row r="838">
      <c r="A838" s="43" t="str">
        <f>IFERROR(__xludf.DUMMYFUNCTION("""COMPUTED_VALUE"""),"Leaf&amp;신형만")</f>
        <v>Leaf&amp;신형만</v>
      </c>
      <c r="B838" s="43">
        <f>IFERROR(__xludf.DUMMYFUNCTION("""COMPUTED_VALUE"""),1.0)</f>
        <v>1</v>
      </c>
      <c r="C838" s="43">
        <f>IFERROR(__xludf.DUMMYFUNCTION("""COMPUTED_VALUE"""),3.0)</f>
        <v>3</v>
      </c>
      <c r="D838" s="46">
        <f>IFERROR(__xludf.DUMMYFUNCTION("""COMPUTED_VALUE"""),0.25)</f>
        <v>0.25</v>
      </c>
    </row>
    <row r="839">
      <c r="A839" s="43" t="str">
        <f>IFERROR(__xludf.DUMMYFUNCTION("""COMPUTED_VALUE"""),"ovo&amp;학생")</f>
        <v>ovo&amp;학생</v>
      </c>
      <c r="B839" s="43">
        <f>IFERROR(__xludf.DUMMYFUNCTION("""COMPUTED_VALUE"""),1.0)</f>
        <v>1</v>
      </c>
      <c r="C839" s="43">
        <f>IFERROR(__xludf.DUMMYFUNCTION("""COMPUTED_VALUE"""),3.0)</f>
        <v>3</v>
      </c>
      <c r="D839" s="46">
        <f>IFERROR(__xludf.DUMMYFUNCTION("""COMPUTED_VALUE"""),0.25)</f>
        <v>0.25</v>
      </c>
    </row>
    <row r="840">
      <c r="A840" s="43" t="str">
        <f>IFERROR(__xludf.DUMMYFUNCTION("""COMPUTED_VALUE"""),"강화&amp;제로스")</f>
        <v>강화&amp;제로스</v>
      </c>
      <c r="B840" s="43">
        <f>IFERROR(__xludf.DUMMYFUNCTION("""COMPUTED_VALUE"""),1.0)</f>
        <v>1</v>
      </c>
      <c r="C840" s="43">
        <f>IFERROR(__xludf.DUMMYFUNCTION("""COMPUTED_VALUE"""),3.0)</f>
        <v>3</v>
      </c>
      <c r="D840" s="46">
        <f>IFERROR(__xludf.DUMMYFUNCTION("""COMPUTED_VALUE"""),0.25)</f>
        <v>0.25</v>
      </c>
    </row>
    <row r="841">
      <c r="A841" s="43" t="str">
        <f>IFERROR(__xludf.DUMMYFUNCTION("""COMPUTED_VALUE"""),"강화&amp;터미")</f>
        <v>강화&amp;터미</v>
      </c>
      <c r="B841" s="43">
        <f>IFERROR(__xludf.DUMMYFUNCTION("""COMPUTED_VALUE"""),1.0)</f>
        <v>1</v>
      </c>
      <c r="C841" s="43">
        <f>IFERROR(__xludf.DUMMYFUNCTION("""COMPUTED_VALUE"""),3.0)</f>
        <v>3</v>
      </c>
      <c r="D841" s="46">
        <f>IFERROR(__xludf.DUMMYFUNCTION("""COMPUTED_VALUE"""),0.25)</f>
        <v>0.25</v>
      </c>
    </row>
    <row r="842">
      <c r="A842" s="43" t="str">
        <f>IFERROR(__xludf.DUMMYFUNCTION("""COMPUTED_VALUE"""),"강화&amp;필찌")</f>
        <v>강화&amp;필찌</v>
      </c>
      <c r="B842" s="43">
        <f>IFERROR(__xludf.DUMMYFUNCTION("""COMPUTED_VALUE"""),1.0)</f>
        <v>1</v>
      </c>
      <c r="C842" s="43">
        <f>IFERROR(__xludf.DUMMYFUNCTION("""COMPUTED_VALUE"""),3.0)</f>
        <v>3</v>
      </c>
      <c r="D842" s="46">
        <f>IFERROR(__xludf.DUMMYFUNCTION("""COMPUTED_VALUE"""),0.25)</f>
        <v>0.25</v>
      </c>
    </row>
    <row r="843">
      <c r="A843" s="43" t="str">
        <f>IFERROR(__xludf.DUMMYFUNCTION("""COMPUTED_VALUE"""),"기재&amp;용이")</f>
        <v>기재&amp;용이</v>
      </c>
      <c r="B843" s="43">
        <f>IFERROR(__xludf.DUMMYFUNCTION("""COMPUTED_VALUE"""),1.0)</f>
        <v>1</v>
      </c>
      <c r="C843" s="43">
        <f>IFERROR(__xludf.DUMMYFUNCTION("""COMPUTED_VALUE"""),3.0)</f>
        <v>3</v>
      </c>
      <c r="D843" s="46">
        <f>IFERROR(__xludf.DUMMYFUNCTION("""COMPUTED_VALUE"""),0.25)</f>
        <v>0.25</v>
      </c>
    </row>
    <row r="844">
      <c r="A844" s="43" t="str">
        <f>IFERROR(__xludf.DUMMYFUNCTION("""COMPUTED_VALUE"""),"넘버&amp;웅")</f>
        <v>넘버&amp;웅</v>
      </c>
      <c r="B844" s="43">
        <f>IFERROR(__xludf.DUMMYFUNCTION("""COMPUTED_VALUE"""),1.0)</f>
        <v>1</v>
      </c>
      <c r="C844" s="43">
        <f>IFERROR(__xludf.DUMMYFUNCTION("""COMPUTED_VALUE"""),3.0)</f>
        <v>3</v>
      </c>
      <c r="D844" s="46">
        <f>IFERROR(__xludf.DUMMYFUNCTION("""COMPUTED_VALUE"""),0.25)</f>
        <v>0.25</v>
      </c>
    </row>
    <row r="845">
      <c r="A845" s="43" t="str">
        <f>IFERROR(__xludf.DUMMYFUNCTION("""COMPUTED_VALUE"""),"노픽업&amp;터미")</f>
        <v>노픽업&amp;터미</v>
      </c>
      <c r="B845" s="43">
        <f>IFERROR(__xludf.DUMMYFUNCTION("""COMPUTED_VALUE"""),1.0)</f>
        <v>1</v>
      </c>
      <c r="C845" s="43">
        <f>IFERROR(__xludf.DUMMYFUNCTION("""COMPUTED_VALUE"""),3.0)</f>
        <v>3</v>
      </c>
      <c r="D845" s="46">
        <f>IFERROR(__xludf.DUMMYFUNCTION("""COMPUTED_VALUE"""),0.25)</f>
        <v>0.25</v>
      </c>
    </row>
    <row r="846">
      <c r="A846" s="43" t="str">
        <f>IFERROR(__xludf.DUMMYFUNCTION("""COMPUTED_VALUE"""),"따&amp;시아")</f>
        <v>따&amp;시아</v>
      </c>
      <c r="B846" s="43">
        <f>IFERROR(__xludf.DUMMYFUNCTION("""COMPUTED_VALUE"""),1.0)</f>
        <v>1</v>
      </c>
      <c r="C846" s="43">
        <f>IFERROR(__xludf.DUMMYFUNCTION("""COMPUTED_VALUE"""),3.0)</f>
        <v>3</v>
      </c>
      <c r="D846" s="46">
        <f>IFERROR(__xludf.DUMMYFUNCTION("""COMPUTED_VALUE"""),0.25)</f>
        <v>0.25</v>
      </c>
    </row>
    <row r="847">
      <c r="A847" s="43" t="str">
        <f>IFERROR(__xludf.DUMMYFUNCTION("""COMPUTED_VALUE"""),"밍구&amp;오딘")</f>
        <v>밍구&amp;오딘</v>
      </c>
      <c r="B847" s="43">
        <f>IFERROR(__xludf.DUMMYFUNCTION("""COMPUTED_VALUE"""),1.0)</f>
        <v>1</v>
      </c>
      <c r="C847" s="43">
        <f>IFERROR(__xludf.DUMMYFUNCTION("""COMPUTED_VALUE"""),3.0)</f>
        <v>3</v>
      </c>
      <c r="D847" s="46">
        <f>IFERROR(__xludf.DUMMYFUNCTION("""COMPUTED_VALUE"""),0.25)</f>
        <v>0.25</v>
      </c>
    </row>
    <row r="848">
      <c r="A848" s="43" t="str">
        <f>IFERROR(__xludf.DUMMYFUNCTION("""COMPUTED_VALUE"""),"봉구&amp;재우")</f>
        <v>봉구&amp;재우</v>
      </c>
      <c r="B848" s="43">
        <f>IFERROR(__xludf.DUMMYFUNCTION("""COMPUTED_VALUE"""),1.0)</f>
        <v>1</v>
      </c>
      <c r="C848" s="43">
        <f>IFERROR(__xludf.DUMMYFUNCTION("""COMPUTED_VALUE"""),3.0)</f>
        <v>3</v>
      </c>
      <c r="D848" s="46">
        <f>IFERROR(__xludf.DUMMYFUNCTION("""COMPUTED_VALUE"""),0.25)</f>
        <v>0.25</v>
      </c>
    </row>
    <row r="849">
      <c r="A849" s="43" t="str">
        <f>IFERROR(__xludf.DUMMYFUNCTION("""COMPUTED_VALUE"""),"새출발&amp;찹쌀")</f>
        <v>새출발&amp;찹쌀</v>
      </c>
      <c r="B849" s="43">
        <f>IFERROR(__xludf.DUMMYFUNCTION("""COMPUTED_VALUE"""),1.0)</f>
        <v>1</v>
      </c>
      <c r="C849" s="43">
        <f>IFERROR(__xludf.DUMMYFUNCTION("""COMPUTED_VALUE"""),3.0)</f>
        <v>3</v>
      </c>
      <c r="D849" s="46">
        <f>IFERROR(__xludf.DUMMYFUNCTION("""COMPUTED_VALUE"""),0.25)</f>
        <v>0.25</v>
      </c>
    </row>
    <row r="850">
      <c r="A850" s="43" t="str">
        <f>IFERROR(__xludf.DUMMYFUNCTION("""COMPUTED_VALUE"""),"새출발&amp;필찌")</f>
        <v>새출발&amp;필찌</v>
      </c>
      <c r="B850" s="43">
        <f>IFERROR(__xludf.DUMMYFUNCTION("""COMPUTED_VALUE"""),1.0)</f>
        <v>1</v>
      </c>
      <c r="C850" s="43">
        <f>IFERROR(__xludf.DUMMYFUNCTION("""COMPUTED_VALUE"""),3.0)</f>
        <v>3</v>
      </c>
      <c r="D850" s="46">
        <f>IFERROR(__xludf.DUMMYFUNCTION("""COMPUTED_VALUE"""),0.25)</f>
        <v>0.25</v>
      </c>
    </row>
    <row r="851">
      <c r="A851" s="43" t="str">
        <f>IFERROR(__xludf.DUMMYFUNCTION("""COMPUTED_VALUE"""),"시아&amp;윙크")</f>
        <v>시아&amp;윙크</v>
      </c>
      <c r="B851" s="43">
        <f>IFERROR(__xludf.DUMMYFUNCTION("""COMPUTED_VALUE"""),1.0)</f>
        <v>1</v>
      </c>
      <c r="C851" s="43">
        <f>IFERROR(__xludf.DUMMYFUNCTION("""COMPUTED_VALUE"""),3.0)</f>
        <v>3</v>
      </c>
      <c r="D851" s="46">
        <f>IFERROR(__xludf.DUMMYFUNCTION("""COMPUTED_VALUE"""),0.25)</f>
        <v>0.25</v>
      </c>
    </row>
    <row r="852">
      <c r="A852" s="43" t="str">
        <f>IFERROR(__xludf.DUMMYFUNCTION("""COMPUTED_VALUE"""),"악동&amp;키키")</f>
        <v>악동&amp;키키</v>
      </c>
      <c r="B852" s="43">
        <f>IFERROR(__xludf.DUMMYFUNCTION("""COMPUTED_VALUE"""),1.0)</f>
        <v>1</v>
      </c>
      <c r="C852" s="43">
        <f>IFERROR(__xludf.DUMMYFUNCTION("""COMPUTED_VALUE"""),3.0)</f>
        <v>3</v>
      </c>
      <c r="D852" s="46">
        <f>IFERROR(__xludf.DUMMYFUNCTION("""COMPUTED_VALUE"""),0.25)</f>
        <v>0.25</v>
      </c>
    </row>
    <row r="853">
      <c r="A853" s="43" t="str">
        <f>IFERROR(__xludf.DUMMYFUNCTION("""COMPUTED_VALUE"""),"원&amp;찹쌀")</f>
        <v>원&amp;찹쌀</v>
      </c>
      <c r="B853" s="43">
        <f>IFERROR(__xludf.DUMMYFUNCTION("""COMPUTED_VALUE"""),1.0)</f>
        <v>1</v>
      </c>
      <c r="C853" s="43">
        <f>IFERROR(__xludf.DUMMYFUNCTION("""COMPUTED_VALUE"""),3.0)</f>
        <v>3</v>
      </c>
      <c r="D853" s="46">
        <f>IFERROR(__xludf.DUMMYFUNCTION("""COMPUTED_VALUE"""),0.25)</f>
        <v>0.25</v>
      </c>
    </row>
    <row r="854">
      <c r="A854" s="43" t="str">
        <f>IFERROR(__xludf.DUMMYFUNCTION("""COMPUTED_VALUE"""),"짱구&amp;혀니")</f>
        <v>짱구&amp;혀니</v>
      </c>
      <c r="B854" s="43">
        <f>IFERROR(__xludf.DUMMYFUNCTION("""COMPUTED_VALUE"""),1.0)</f>
        <v>1</v>
      </c>
      <c r="C854" s="43">
        <f>IFERROR(__xludf.DUMMYFUNCTION("""COMPUTED_VALUE"""),3.0)</f>
        <v>3</v>
      </c>
      <c r="D854" s="46">
        <f>IFERROR(__xludf.DUMMYFUNCTION("""COMPUTED_VALUE"""),0.25)</f>
        <v>0.25</v>
      </c>
    </row>
    <row r="855">
      <c r="A855" s="43" t="str">
        <f>IFERROR(__xludf.DUMMYFUNCTION("""COMPUTED_VALUE"""),"GYUL&amp;한메")</f>
        <v>GYUL&amp;한메</v>
      </c>
      <c r="B855" s="43">
        <f>IFERROR(__xludf.DUMMYFUNCTION("""COMPUTED_VALUE"""),1.0)</f>
        <v>1</v>
      </c>
      <c r="C855" s="43">
        <f>IFERROR(__xludf.DUMMYFUNCTION("""COMPUTED_VALUE"""),4.0)</f>
        <v>4</v>
      </c>
      <c r="D855" s="46">
        <f>IFERROR(__xludf.DUMMYFUNCTION("""COMPUTED_VALUE"""),0.2)</f>
        <v>0.2</v>
      </c>
    </row>
    <row r="856">
      <c r="A856" s="43" t="str">
        <f>IFERROR(__xludf.DUMMYFUNCTION("""COMPUTED_VALUE"""),"ovo&amp;참치")</f>
        <v>ovo&amp;참치</v>
      </c>
      <c r="B856" s="43">
        <f>IFERROR(__xludf.DUMMYFUNCTION("""COMPUTED_VALUE"""),1.0)</f>
        <v>1</v>
      </c>
      <c r="C856" s="43">
        <f>IFERROR(__xludf.DUMMYFUNCTION("""COMPUTED_VALUE"""),4.0)</f>
        <v>4</v>
      </c>
      <c r="D856" s="46">
        <f>IFERROR(__xludf.DUMMYFUNCTION("""COMPUTED_VALUE"""),0.2)</f>
        <v>0.2</v>
      </c>
    </row>
    <row r="857">
      <c r="A857" s="43" t="str">
        <f>IFERROR(__xludf.DUMMYFUNCTION("""COMPUTED_VALUE"""),"구리다&amp;오크")</f>
        <v>구리다&amp;오크</v>
      </c>
      <c r="B857" s="43">
        <f>IFERROR(__xludf.DUMMYFUNCTION("""COMPUTED_VALUE"""),1.0)</f>
        <v>1</v>
      </c>
      <c r="C857" s="43">
        <f>IFERROR(__xludf.DUMMYFUNCTION("""COMPUTED_VALUE"""),4.0)</f>
        <v>4</v>
      </c>
      <c r="D857" s="46">
        <f>IFERROR(__xludf.DUMMYFUNCTION("""COMPUTED_VALUE"""),0.2)</f>
        <v>0.2</v>
      </c>
    </row>
    <row r="858">
      <c r="A858" s="43" t="str">
        <f>IFERROR(__xludf.DUMMYFUNCTION("""COMPUTED_VALUE"""),"규식&amp;새출발")</f>
        <v>규식&amp;새출발</v>
      </c>
      <c r="B858" s="43">
        <f>IFERROR(__xludf.DUMMYFUNCTION("""COMPUTED_VALUE"""),1.0)</f>
        <v>1</v>
      </c>
      <c r="C858" s="43">
        <f>IFERROR(__xludf.DUMMYFUNCTION("""COMPUTED_VALUE"""),4.0)</f>
        <v>4</v>
      </c>
      <c r="D858" s="46">
        <f>IFERROR(__xludf.DUMMYFUNCTION("""COMPUTED_VALUE"""),0.2)</f>
        <v>0.2</v>
      </c>
    </row>
    <row r="859">
      <c r="A859" s="43" t="str">
        <f>IFERROR(__xludf.DUMMYFUNCTION("""COMPUTED_VALUE"""),"노인&amp;웅")</f>
        <v>노인&amp;웅</v>
      </c>
      <c r="B859" s="43">
        <f>IFERROR(__xludf.DUMMYFUNCTION("""COMPUTED_VALUE"""),1.0)</f>
        <v>1</v>
      </c>
      <c r="C859" s="43">
        <f>IFERROR(__xludf.DUMMYFUNCTION("""COMPUTED_VALUE"""),4.0)</f>
        <v>4</v>
      </c>
      <c r="D859" s="46">
        <f>IFERROR(__xludf.DUMMYFUNCTION("""COMPUTED_VALUE"""),0.2)</f>
        <v>0.2</v>
      </c>
    </row>
    <row r="860">
      <c r="A860" s="43" t="str">
        <f>IFERROR(__xludf.DUMMYFUNCTION("""COMPUTED_VALUE"""),"노픽업&amp;웅")</f>
        <v>노픽업&amp;웅</v>
      </c>
      <c r="B860" s="43">
        <f>IFERROR(__xludf.DUMMYFUNCTION("""COMPUTED_VALUE"""),1.0)</f>
        <v>1</v>
      </c>
      <c r="C860" s="43">
        <f>IFERROR(__xludf.DUMMYFUNCTION("""COMPUTED_VALUE"""),4.0)</f>
        <v>4</v>
      </c>
      <c r="D860" s="46">
        <f>IFERROR(__xludf.DUMMYFUNCTION("""COMPUTED_VALUE"""),0.2)</f>
        <v>0.2</v>
      </c>
    </row>
    <row r="861">
      <c r="A861" s="43" t="str">
        <f>IFERROR(__xludf.DUMMYFUNCTION("""COMPUTED_VALUE"""),"단수&amp;솔")</f>
        <v>단수&amp;솔</v>
      </c>
      <c r="B861" s="43">
        <f>IFERROR(__xludf.DUMMYFUNCTION("""COMPUTED_VALUE"""),1.0)</f>
        <v>1</v>
      </c>
      <c r="C861" s="43">
        <f>IFERROR(__xludf.DUMMYFUNCTION("""COMPUTED_VALUE"""),4.0)</f>
        <v>4</v>
      </c>
      <c r="D861" s="46">
        <f>IFERROR(__xludf.DUMMYFUNCTION("""COMPUTED_VALUE"""),0.2)</f>
        <v>0.2</v>
      </c>
    </row>
    <row r="862">
      <c r="A862" s="43" t="str">
        <f>IFERROR(__xludf.DUMMYFUNCTION("""COMPUTED_VALUE"""),"미르진&amp;엘")</f>
        <v>미르진&amp;엘</v>
      </c>
      <c r="B862" s="43">
        <f>IFERROR(__xludf.DUMMYFUNCTION("""COMPUTED_VALUE"""),1.0)</f>
        <v>1</v>
      </c>
      <c r="C862" s="43">
        <f>IFERROR(__xludf.DUMMYFUNCTION("""COMPUTED_VALUE"""),4.0)</f>
        <v>4</v>
      </c>
      <c r="D862" s="46">
        <f>IFERROR(__xludf.DUMMYFUNCTION("""COMPUTED_VALUE"""),0.2)</f>
        <v>0.2</v>
      </c>
    </row>
    <row r="863">
      <c r="A863" s="43" t="str">
        <f>IFERROR(__xludf.DUMMYFUNCTION("""COMPUTED_VALUE"""),"밍구&amp;오크")</f>
        <v>밍구&amp;오크</v>
      </c>
      <c r="B863" s="43">
        <f>IFERROR(__xludf.DUMMYFUNCTION("""COMPUTED_VALUE"""),1.0)</f>
        <v>1</v>
      </c>
      <c r="C863" s="43">
        <f>IFERROR(__xludf.DUMMYFUNCTION("""COMPUTED_VALUE"""),4.0)</f>
        <v>4</v>
      </c>
      <c r="D863" s="46">
        <f>IFERROR(__xludf.DUMMYFUNCTION("""COMPUTED_VALUE"""),0.2)</f>
        <v>0.2</v>
      </c>
    </row>
    <row r="864">
      <c r="A864" s="43" t="str">
        <f>IFERROR(__xludf.DUMMYFUNCTION("""COMPUTED_VALUE"""),"신형만&amp;혀니")</f>
        <v>신형만&amp;혀니</v>
      </c>
      <c r="B864" s="43">
        <f>IFERROR(__xludf.DUMMYFUNCTION("""COMPUTED_VALUE"""),1.0)</f>
        <v>1</v>
      </c>
      <c r="C864" s="43">
        <f>IFERROR(__xludf.DUMMYFUNCTION("""COMPUTED_VALUE"""),4.0)</f>
        <v>4</v>
      </c>
      <c r="D864" s="46">
        <f>IFERROR(__xludf.DUMMYFUNCTION("""COMPUTED_VALUE"""),0.2)</f>
        <v>0.2</v>
      </c>
    </row>
    <row r="865">
      <c r="A865" s="43" t="str">
        <f>IFERROR(__xludf.DUMMYFUNCTION("""COMPUTED_VALUE"""),"오딘&amp;재명")</f>
        <v>오딘&amp;재명</v>
      </c>
      <c r="B865" s="43">
        <f>IFERROR(__xludf.DUMMYFUNCTION("""COMPUTED_VALUE"""),1.0)</f>
        <v>1</v>
      </c>
      <c r="C865" s="43">
        <f>IFERROR(__xludf.DUMMYFUNCTION("""COMPUTED_VALUE"""),4.0)</f>
        <v>4</v>
      </c>
      <c r="D865" s="46">
        <f>IFERROR(__xludf.DUMMYFUNCTION("""COMPUTED_VALUE"""),0.2)</f>
        <v>0.2</v>
      </c>
    </row>
    <row r="866">
      <c r="A866" s="43" t="str">
        <f>IFERROR(__xludf.DUMMYFUNCTION("""COMPUTED_VALUE"""),"용이&amp;필찌")</f>
        <v>용이&amp;필찌</v>
      </c>
      <c r="B866" s="43">
        <f>IFERROR(__xludf.DUMMYFUNCTION("""COMPUTED_VALUE"""),1.0)</f>
        <v>1</v>
      </c>
      <c r="C866" s="43">
        <f>IFERROR(__xludf.DUMMYFUNCTION("""COMPUTED_VALUE"""),4.0)</f>
        <v>4</v>
      </c>
      <c r="D866" s="46">
        <f>IFERROR(__xludf.DUMMYFUNCTION("""COMPUTED_VALUE"""),0.2)</f>
        <v>0.2</v>
      </c>
    </row>
    <row r="867">
      <c r="A867" s="43" t="str">
        <f>IFERROR(__xludf.DUMMYFUNCTION("""COMPUTED_VALUE"""),"유즈&amp;태식")</f>
        <v>유즈&amp;태식</v>
      </c>
      <c r="B867" s="43">
        <f>IFERROR(__xludf.DUMMYFUNCTION("""COMPUTED_VALUE"""),1.0)</f>
        <v>1</v>
      </c>
      <c r="C867" s="43">
        <f>IFERROR(__xludf.DUMMYFUNCTION("""COMPUTED_VALUE"""),4.0)</f>
        <v>4</v>
      </c>
      <c r="D867" s="46">
        <f>IFERROR(__xludf.DUMMYFUNCTION("""COMPUTED_VALUE"""),0.2)</f>
        <v>0.2</v>
      </c>
    </row>
    <row r="868">
      <c r="A868" s="43" t="str">
        <f>IFERROR(__xludf.DUMMYFUNCTION("""COMPUTED_VALUE"""),"짱구&amp;찹쌀")</f>
        <v>짱구&amp;찹쌀</v>
      </c>
      <c r="B868" s="43">
        <f>IFERROR(__xludf.DUMMYFUNCTION("""COMPUTED_VALUE"""),1.0)</f>
        <v>1</v>
      </c>
      <c r="C868" s="43">
        <f>IFERROR(__xludf.DUMMYFUNCTION("""COMPUTED_VALUE"""),4.0)</f>
        <v>4</v>
      </c>
      <c r="D868" s="46">
        <f>IFERROR(__xludf.DUMMYFUNCTION("""COMPUTED_VALUE"""),0.2)</f>
        <v>0.2</v>
      </c>
    </row>
    <row r="869">
      <c r="A869" s="43" t="str">
        <f>IFERROR(__xludf.DUMMYFUNCTION("""COMPUTED_VALUE"""),"튜브&amp;한메")</f>
        <v>튜브&amp;한메</v>
      </c>
      <c r="B869" s="43">
        <f>IFERROR(__xludf.DUMMYFUNCTION("""COMPUTED_VALUE"""),1.0)</f>
        <v>1</v>
      </c>
      <c r="C869" s="43">
        <f>IFERROR(__xludf.DUMMYFUNCTION("""COMPUTED_VALUE"""),4.0)</f>
        <v>4</v>
      </c>
      <c r="D869" s="46">
        <f>IFERROR(__xludf.DUMMYFUNCTION("""COMPUTED_VALUE"""),0.2)</f>
        <v>0.2</v>
      </c>
    </row>
    <row r="870">
      <c r="A870" s="43" t="str">
        <f>IFERROR(__xludf.DUMMYFUNCTION("""COMPUTED_VALUE"""),"ovo&amp;노픽업")</f>
        <v>ovo&amp;노픽업</v>
      </c>
      <c r="B870" s="43">
        <f>IFERROR(__xludf.DUMMYFUNCTION("""COMPUTED_VALUE"""),1.0)</f>
        <v>1</v>
      </c>
      <c r="C870" s="43">
        <f>IFERROR(__xludf.DUMMYFUNCTION("""COMPUTED_VALUE"""),5.0)</f>
        <v>5</v>
      </c>
      <c r="D870" s="46">
        <f>IFERROR(__xludf.DUMMYFUNCTION("""COMPUTED_VALUE"""),0.16666666666666666)</f>
        <v>0.1666666667</v>
      </c>
    </row>
    <row r="871">
      <c r="A871" s="43" t="str">
        <f>IFERROR(__xludf.DUMMYFUNCTION("""COMPUTED_VALUE"""),"구리다&amp;밍구")</f>
        <v>구리다&amp;밍구</v>
      </c>
      <c r="B871" s="43">
        <f>IFERROR(__xludf.DUMMYFUNCTION("""COMPUTED_VALUE"""),1.0)</f>
        <v>1</v>
      </c>
      <c r="C871" s="43">
        <f>IFERROR(__xludf.DUMMYFUNCTION("""COMPUTED_VALUE"""),5.0)</f>
        <v>5</v>
      </c>
      <c r="D871" s="46">
        <f>IFERROR(__xludf.DUMMYFUNCTION("""COMPUTED_VALUE"""),0.16666666666666666)</f>
        <v>0.1666666667</v>
      </c>
    </row>
    <row r="872">
      <c r="A872" s="43" t="str">
        <f>IFERROR(__xludf.DUMMYFUNCTION("""COMPUTED_VALUE"""),"구리다&amp;악동")</f>
        <v>구리다&amp;악동</v>
      </c>
      <c r="B872" s="43">
        <f>IFERROR(__xludf.DUMMYFUNCTION("""COMPUTED_VALUE"""),1.0)</f>
        <v>1</v>
      </c>
      <c r="C872" s="43">
        <f>IFERROR(__xludf.DUMMYFUNCTION("""COMPUTED_VALUE"""),5.0)</f>
        <v>5</v>
      </c>
      <c r="D872" s="46">
        <f>IFERROR(__xludf.DUMMYFUNCTION("""COMPUTED_VALUE"""),0.16666666666666666)</f>
        <v>0.1666666667</v>
      </c>
    </row>
    <row r="873">
      <c r="A873" s="43" t="str">
        <f>IFERROR(__xludf.DUMMYFUNCTION("""COMPUTED_VALUE"""),"넘버&amp;찹쌀")</f>
        <v>넘버&amp;찹쌀</v>
      </c>
      <c r="B873" s="43">
        <f>IFERROR(__xludf.DUMMYFUNCTION("""COMPUTED_VALUE"""),1.0)</f>
        <v>1</v>
      </c>
      <c r="C873" s="43">
        <f>IFERROR(__xludf.DUMMYFUNCTION("""COMPUTED_VALUE"""),5.0)</f>
        <v>5</v>
      </c>
      <c r="D873" s="46">
        <f>IFERROR(__xludf.DUMMYFUNCTION("""COMPUTED_VALUE"""),0.16666666666666666)</f>
        <v>0.1666666667</v>
      </c>
    </row>
    <row r="874">
      <c r="A874" s="43" t="str">
        <f>IFERROR(__xludf.DUMMYFUNCTION("""COMPUTED_VALUE"""),"노인&amp;봉구")</f>
        <v>노인&amp;봉구</v>
      </c>
      <c r="B874" s="43">
        <f>IFERROR(__xludf.DUMMYFUNCTION("""COMPUTED_VALUE"""),1.0)</f>
        <v>1</v>
      </c>
      <c r="C874" s="43">
        <f>IFERROR(__xludf.DUMMYFUNCTION("""COMPUTED_VALUE"""),5.0)</f>
        <v>5</v>
      </c>
      <c r="D874" s="46">
        <f>IFERROR(__xludf.DUMMYFUNCTION("""COMPUTED_VALUE"""),0.16666666666666666)</f>
        <v>0.1666666667</v>
      </c>
    </row>
    <row r="875">
      <c r="A875" s="43" t="str">
        <f>IFERROR(__xludf.DUMMYFUNCTION("""COMPUTED_VALUE"""),"새출발&amp;솔")</f>
        <v>새출발&amp;솔</v>
      </c>
      <c r="B875" s="43">
        <f>IFERROR(__xludf.DUMMYFUNCTION("""COMPUTED_VALUE"""),1.0)</f>
        <v>1</v>
      </c>
      <c r="C875" s="43">
        <f>IFERROR(__xludf.DUMMYFUNCTION("""COMPUTED_VALUE"""),5.0)</f>
        <v>5</v>
      </c>
      <c r="D875" s="46">
        <f>IFERROR(__xludf.DUMMYFUNCTION("""COMPUTED_VALUE"""),0.16666666666666666)</f>
        <v>0.1666666667</v>
      </c>
    </row>
    <row r="876">
      <c r="A876" s="43" t="str">
        <f>IFERROR(__xludf.DUMMYFUNCTION("""COMPUTED_VALUE"""),"오딘&amp;학생")</f>
        <v>오딘&amp;학생</v>
      </c>
      <c r="B876" s="43">
        <f>IFERROR(__xludf.DUMMYFUNCTION("""COMPUTED_VALUE"""),1.0)</f>
        <v>1</v>
      </c>
      <c r="C876" s="43">
        <f>IFERROR(__xludf.DUMMYFUNCTION("""COMPUTED_VALUE"""),5.0)</f>
        <v>5</v>
      </c>
      <c r="D876" s="46">
        <f>IFERROR(__xludf.DUMMYFUNCTION("""COMPUTED_VALUE"""),0.16666666666666666)</f>
        <v>0.1666666667</v>
      </c>
    </row>
    <row r="877">
      <c r="A877" s="43" t="str">
        <f>IFERROR(__xludf.DUMMYFUNCTION("""COMPUTED_VALUE"""),"오크&amp;조드")</f>
        <v>오크&amp;조드</v>
      </c>
      <c r="B877" s="43">
        <f>IFERROR(__xludf.DUMMYFUNCTION("""COMPUTED_VALUE"""),1.0)</f>
        <v>1</v>
      </c>
      <c r="C877" s="43">
        <f>IFERROR(__xludf.DUMMYFUNCTION("""COMPUTED_VALUE"""),5.0)</f>
        <v>5</v>
      </c>
      <c r="D877" s="46">
        <f>IFERROR(__xludf.DUMMYFUNCTION("""COMPUTED_VALUE"""),0.16666666666666666)</f>
        <v>0.1666666667</v>
      </c>
    </row>
    <row r="878">
      <c r="A878" s="43" t="str">
        <f>IFERROR(__xludf.DUMMYFUNCTION("""COMPUTED_VALUE"""),"윈드&amp;한메")</f>
        <v>윈드&amp;한메</v>
      </c>
      <c r="B878" s="43">
        <f>IFERROR(__xludf.DUMMYFUNCTION("""COMPUTED_VALUE"""),1.0)</f>
        <v>1</v>
      </c>
      <c r="C878" s="43">
        <f>IFERROR(__xludf.DUMMYFUNCTION("""COMPUTED_VALUE"""),5.0)</f>
        <v>5</v>
      </c>
      <c r="D878" s="46">
        <f>IFERROR(__xludf.DUMMYFUNCTION("""COMPUTED_VALUE"""),0.16666666666666666)</f>
        <v>0.1666666667</v>
      </c>
    </row>
    <row r="879">
      <c r="A879" s="43" t="str">
        <f>IFERROR(__xludf.DUMMYFUNCTION("""COMPUTED_VALUE"""),"유즈&amp;참치")</f>
        <v>유즈&amp;참치</v>
      </c>
      <c r="B879" s="43">
        <f>IFERROR(__xludf.DUMMYFUNCTION("""COMPUTED_VALUE"""),1.0)</f>
        <v>1</v>
      </c>
      <c r="C879" s="43">
        <f>IFERROR(__xludf.DUMMYFUNCTION("""COMPUTED_VALUE"""),5.0)</f>
        <v>5</v>
      </c>
      <c r="D879" s="46">
        <f>IFERROR(__xludf.DUMMYFUNCTION("""COMPUTED_VALUE"""),0.16666666666666666)</f>
        <v>0.1666666667</v>
      </c>
    </row>
    <row r="880">
      <c r="A880" s="43" t="str">
        <f>IFERROR(__xludf.DUMMYFUNCTION("""COMPUTED_VALUE"""),"재명&amp;지피")</f>
        <v>재명&amp;지피</v>
      </c>
      <c r="B880" s="43">
        <f>IFERROR(__xludf.DUMMYFUNCTION("""COMPUTED_VALUE"""),1.0)</f>
        <v>1</v>
      </c>
      <c r="C880" s="43">
        <f>IFERROR(__xludf.DUMMYFUNCTION("""COMPUTED_VALUE"""),5.0)</f>
        <v>5</v>
      </c>
      <c r="D880" s="46">
        <f>IFERROR(__xludf.DUMMYFUNCTION("""COMPUTED_VALUE"""),0.16666666666666666)</f>
        <v>0.1666666667</v>
      </c>
    </row>
    <row r="881">
      <c r="A881" s="43" t="str">
        <f>IFERROR(__xludf.DUMMYFUNCTION("""COMPUTED_VALUE"""),"강화&amp;봉구")</f>
        <v>강화&amp;봉구</v>
      </c>
      <c r="B881" s="43">
        <f>IFERROR(__xludf.DUMMYFUNCTION("""COMPUTED_VALUE"""),1.0)</f>
        <v>1</v>
      </c>
      <c r="C881" s="43">
        <f>IFERROR(__xludf.DUMMYFUNCTION("""COMPUTED_VALUE"""),6.0)</f>
        <v>6</v>
      </c>
      <c r="D881" s="46">
        <f>IFERROR(__xludf.DUMMYFUNCTION("""COMPUTED_VALUE"""),0.14285714285714285)</f>
        <v>0.1428571429</v>
      </c>
    </row>
    <row r="882">
      <c r="A882" s="43" t="str">
        <f>IFERROR(__xludf.DUMMYFUNCTION("""COMPUTED_VALUE"""),"노픽업&amp;학생")</f>
        <v>노픽업&amp;학생</v>
      </c>
      <c r="B882" s="43">
        <f>IFERROR(__xludf.DUMMYFUNCTION("""COMPUTED_VALUE"""),1.0)</f>
        <v>1</v>
      </c>
      <c r="C882" s="43">
        <f>IFERROR(__xludf.DUMMYFUNCTION("""COMPUTED_VALUE"""),6.0)</f>
        <v>6</v>
      </c>
      <c r="D882" s="46">
        <f>IFERROR(__xludf.DUMMYFUNCTION("""COMPUTED_VALUE"""),0.14285714285714285)</f>
        <v>0.1428571429</v>
      </c>
    </row>
    <row r="883">
      <c r="A883" s="43" t="str">
        <f>IFERROR(__xludf.DUMMYFUNCTION("""COMPUTED_VALUE"""),"단수&amp;새출발")</f>
        <v>단수&amp;새출발</v>
      </c>
      <c r="B883" s="43">
        <f>IFERROR(__xludf.DUMMYFUNCTION("""COMPUTED_VALUE"""),1.0)</f>
        <v>1</v>
      </c>
      <c r="C883" s="43">
        <f>IFERROR(__xludf.DUMMYFUNCTION("""COMPUTED_VALUE"""),6.0)</f>
        <v>6</v>
      </c>
      <c r="D883" s="46">
        <f>IFERROR(__xludf.DUMMYFUNCTION("""COMPUTED_VALUE"""),0.14285714285714285)</f>
        <v>0.1428571429</v>
      </c>
    </row>
    <row r="884">
      <c r="A884" s="43" t="str">
        <f>IFERROR(__xludf.DUMMYFUNCTION("""COMPUTED_VALUE"""),"봉구&amp;조드")</f>
        <v>봉구&amp;조드</v>
      </c>
      <c r="B884" s="43">
        <f>IFERROR(__xludf.DUMMYFUNCTION("""COMPUTED_VALUE"""),1.0)</f>
        <v>1</v>
      </c>
      <c r="C884" s="43">
        <f>IFERROR(__xludf.DUMMYFUNCTION("""COMPUTED_VALUE"""),6.0)</f>
        <v>6</v>
      </c>
      <c r="D884" s="46">
        <f>IFERROR(__xludf.DUMMYFUNCTION("""COMPUTED_VALUE"""),0.14285714285714285)</f>
        <v>0.1428571429</v>
      </c>
    </row>
    <row r="885">
      <c r="A885" s="43" t="str">
        <f>IFERROR(__xludf.DUMMYFUNCTION("""COMPUTED_VALUE"""),"신형만&amp;용이")</f>
        <v>신형만&amp;용이</v>
      </c>
      <c r="B885" s="43">
        <f>IFERROR(__xludf.DUMMYFUNCTION("""COMPUTED_VALUE"""),1.0)</f>
        <v>1</v>
      </c>
      <c r="C885" s="43">
        <f>IFERROR(__xludf.DUMMYFUNCTION("""COMPUTED_VALUE"""),6.0)</f>
        <v>6</v>
      </c>
      <c r="D885" s="46">
        <f>IFERROR(__xludf.DUMMYFUNCTION("""COMPUTED_VALUE"""),0.14285714285714285)</f>
        <v>0.1428571429</v>
      </c>
    </row>
    <row r="886">
      <c r="A886" s="43" t="str">
        <f>IFERROR(__xludf.DUMMYFUNCTION("""COMPUTED_VALUE"""),"구리다&amp;윙크")</f>
        <v>구리다&amp;윙크</v>
      </c>
      <c r="B886" s="43">
        <f>IFERROR(__xludf.DUMMYFUNCTION("""COMPUTED_VALUE"""),1.0)</f>
        <v>1</v>
      </c>
      <c r="C886" s="43">
        <f>IFERROR(__xludf.DUMMYFUNCTION("""COMPUTED_VALUE"""),7.0)</f>
        <v>7</v>
      </c>
      <c r="D886" s="46">
        <f>IFERROR(__xludf.DUMMYFUNCTION("""COMPUTED_VALUE"""),0.125)</f>
        <v>0.125</v>
      </c>
    </row>
    <row r="887">
      <c r="A887" s="43" t="str">
        <f>IFERROR(__xludf.DUMMYFUNCTION("""COMPUTED_VALUE"""),"노인&amp;찹쌀")</f>
        <v>노인&amp;찹쌀</v>
      </c>
      <c r="B887" s="43">
        <f>IFERROR(__xludf.DUMMYFUNCTION("""COMPUTED_VALUE"""),1.0)</f>
        <v>1</v>
      </c>
      <c r="C887" s="43">
        <f>IFERROR(__xludf.DUMMYFUNCTION("""COMPUTED_VALUE"""),7.0)</f>
        <v>7</v>
      </c>
      <c r="D887" s="46">
        <f>IFERROR(__xludf.DUMMYFUNCTION("""COMPUTED_VALUE"""),0.125)</f>
        <v>0.125</v>
      </c>
    </row>
    <row r="888">
      <c r="A888" s="43" t="str">
        <f>IFERROR(__xludf.DUMMYFUNCTION("""COMPUTED_VALUE"""),"ACDC&amp;찹쌀")</f>
        <v>ACDC&amp;찹쌀</v>
      </c>
      <c r="B888" s="43">
        <f>IFERROR(__xludf.DUMMYFUNCTION("""COMPUTED_VALUE"""),1.0)</f>
        <v>1</v>
      </c>
      <c r="C888" s="43">
        <f>IFERROR(__xludf.DUMMYFUNCTION("""COMPUTED_VALUE"""),8.0)</f>
        <v>8</v>
      </c>
      <c r="D888" s="46">
        <f>IFERROR(__xludf.DUMMYFUNCTION("""COMPUTED_VALUE"""),0.1111111111111111)</f>
        <v>0.1111111111</v>
      </c>
    </row>
    <row r="889">
      <c r="A889" s="43" t="str">
        <f>IFERROR(__xludf.DUMMYFUNCTION("""COMPUTED_VALUE"""),"강화&amp;오딘")</f>
        <v>강화&amp;오딘</v>
      </c>
      <c r="B889" s="43">
        <f>IFERROR(__xludf.DUMMYFUNCTION("""COMPUTED_VALUE"""),1.0)</f>
        <v>1</v>
      </c>
      <c r="C889" s="43">
        <f>IFERROR(__xludf.DUMMYFUNCTION("""COMPUTED_VALUE"""),8.0)</f>
        <v>8</v>
      </c>
      <c r="D889" s="46">
        <f>IFERROR(__xludf.DUMMYFUNCTION("""COMPUTED_VALUE"""),0.1111111111111111)</f>
        <v>0.1111111111</v>
      </c>
    </row>
    <row r="890">
      <c r="A890" s="43" t="str">
        <f>IFERROR(__xludf.DUMMYFUNCTION("""COMPUTED_VALUE"""),"노픽업&amp;오딘")</f>
        <v>노픽업&amp;오딘</v>
      </c>
      <c r="B890" s="43">
        <f>IFERROR(__xludf.DUMMYFUNCTION("""COMPUTED_VALUE"""),1.0)</f>
        <v>1</v>
      </c>
      <c r="C890" s="43">
        <f>IFERROR(__xludf.DUMMYFUNCTION("""COMPUTED_VALUE"""),8.0)</f>
        <v>8</v>
      </c>
      <c r="D890" s="46">
        <f>IFERROR(__xludf.DUMMYFUNCTION("""COMPUTED_VALUE"""),0.1111111111111111)</f>
        <v>0.1111111111</v>
      </c>
    </row>
    <row r="891">
      <c r="A891" s="43" t="str">
        <f>IFERROR(__xludf.DUMMYFUNCTION("""COMPUTED_VALUE"""),"미르진&amp;아이딘")</f>
        <v>미르진&amp;아이딘</v>
      </c>
      <c r="B891" s="43">
        <f>IFERROR(__xludf.DUMMYFUNCTION("""COMPUTED_VALUE"""),1.0)</f>
        <v>1</v>
      </c>
      <c r="C891" s="43">
        <f>IFERROR(__xludf.DUMMYFUNCTION("""COMPUTED_VALUE"""),8.0)</f>
        <v>8</v>
      </c>
      <c r="D891" s="46">
        <f>IFERROR(__xludf.DUMMYFUNCTION("""COMPUTED_VALUE"""),0.1111111111111111)</f>
        <v>0.1111111111</v>
      </c>
    </row>
    <row r="892">
      <c r="A892" s="43" t="str">
        <f>IFERROR(__xludf.DUMMYFUNCTION("""COMPUTED_VALUE"""),"봉구&amp;요즘")</f>
        <v>봉구&amp;요즘</v>
      </c>
      <c r="B892" s="43">
        <f>IFERROR(__xludf.DUMMYFUNCTION("""COMPUTED_VALUE"""),1.0)</f>
        <v>1</v>
      </c>
      <c r="C892" s="43">
        <f>IFERROR(__xludf.DUMMYFUNCTION("""COMPUTED_VALUE"""),8.0)</f>
        <v>8</v>
      </c>
      <c r="D892" s="46">
        <f>IFERROR(__xludf.DUMMYFUNCTION("""COMPUTED_VALUE"""),0.1111111111111111)</f>
        <v>0.1111111111</v>
      </c>
    </row>
    <row r="893">
      <c r="A893" s="43" t="str">
        <f>IFERROR(__xludf.DUMMYFUNCTION("""COMPUTED_VALUE"""),"아이딘&amp;악동")</f>
        <v>아이딘&amp;악동</v>
      </c>
      <c r="B893" s="43">
        <f>IFERROR(__xludf.DUMMYFUNCTION("""COMPUTED_VALUE"""),1.0)</f>
        <v>1</v>
      </c>
      <c r="C893" s="43">
        <f>IFERROR(__xludf.DUMMYFUNCTION("""COMPUTED_VALUE"""),8.0)</f>
        <v>8</v>
      </c>
      <c r="D893" s="46">
        <f>IFERROR(__xludf.DUMMYFUNCTION("""COMPUTED_VALUE"""),0.1111111111111111)</f>
        <v>0.1111111111</v>
      </c>
    </row>
    <row r="894">
      <c r="A894" s="43" t="str">
        <f>IFERROR(__xludf.DUMMYFUNCTION("""COMPUTED_VALUE"""),"미등록&amp;악동")</f>
        <v>미등록&amp;악동</v>
      </c>
      <c r="B894" s="43">
        <f>IFERROR(__xludf.DUMMYFUNCTION("""COMPUTED_VALUE"""),1.0)</f>
        <v>1</v>
      </c>
      <c r="C894" s="43">
        <f>IFERROR(__xludf.DUMMYFUNCTION("""COMPUTED_VALUE"""),10.0)</f>
        <v>10</v>
      </c>
      <c r="D894" s="46">
        <f>IFERROR(__xludf.DUMMYFUNCTION("""COMPUTED_VALUE"""),0.09090909090909091)</f>
        <v>0.09090909091</v>
      </c>
    </row>
    <row r="895">
      <c r="A895" s="43" t="str">
        <f>IFERROR(__xludf.DUMMYFUNCTION("""COMPUTED_VALUE"""),"재명&amp;전투쥐")</f>
        <v>재명&amp;전투쥐</v>
      </c>
      <c r="B895" s="43">
        <f>IFERROR(__xludf.DUMMYFUNCTION("""COMPUTED_VALUE"""),1.0)</f>
        <v>1</v>
      </c>
      <c r="C895" s="43">
        <f>IFERROR(__xludf.DUMMYFUNCTION("""COMPUTED_VALUE"""),10.0)</f>
        <v>10</v>
      </c>
      <c r="D895" s="46">
        <f>IFERROR(__xludf.DUMMYFUNCTION("""COMPUTED_VALUE"""),0.09090909090909091)</f>
        <v>0.09090909091</v>
      </c>
    </row>
    <row r="896">
      <c r="A896" s="43" t="str">
        <f>IFERROR(__xludf.DUMMYFUNCTION("""COMPUTED_VALUE"""),"ACDC&amp;제이호")</f>
        <v>ACDC&amp;제이호</v>
      </c>
      <c r="B896" s="43">
        <f>IFERROR(__xludf.DUMMYFUNCTION("""COMPUTED_VALUE"""),0.0)</f>
        <v>0</v>
      </c>
      <c r="C896" s="43">
        <f>IFERROR(__xludf.DUMMYFUNCTION("""COMPUTED_VALUE"""),1.0)</f>
        <v>1</v>
      </c>
      <c r="D896" s="46">
        <f>IFERROR(__xludf.DUMMYFUNCTION("""COMPUTED_VALUE"""),0.0)</f>
        <v>0</v>
      </c>
    </row>
    <row r="897">
      <c r="A897" s="43" t="str">
        <f>IFERROR(__xludf.DUMMYFUNCTION("""COMPUTED_VALUE"""),"ACDC&amp;조네")</f>
        <v>ACDC&amp;조네</v>
      </c>
      <c r="B897" s="43">
        <f>IFERROR(__xludf.DUMMYFUNCTION("""COMPUTED_VALUE"""),0.0)</f>
        <v>0</v>
      </c>
      <c r="C897" s="43">
        <f>IFERROR(__xludf.DUMMYFUNCTION("""COMPUTED_VALUE"""),1.0)</f>
        <v>1</v>
      </c>
      <c r="D897" s="46">
        <f>IFERROR(__xludf.DUMMYFUNCTION("""COMPUTED_VALUE"""),0.0)</f>
        <v>0</v>
      </c>
    </row>
    <row r="898">
      <c r="A898" s="43" t="str">
        <f>IFERROR(__xludf.DUMMYFUNCTION("""COMPUTED_VALUE"""),"ACDC&amp;하리보")</f>
        <v>ACDC&amp;하리보</v>
      </c>
      <c r="B898" s="43">
        <f>IFERROR(__xludf.DUMMYFUNCTION("""COMPUTED_VALUE"""),0.0)</f>
        <v>0</v>
      </c>
      <c r="C898" s="43">
        <f>IFERROR(__xludf.DUMMYFUNCTION("""COMPUTED_VALUE"""),1.0)</f>
        <v>1</v>
      </c>
      <c r="D898" s="46">
        <f>IFERROR(__xludf.DUMMYFUNCTION("""COMPUTED_VALUE"""),0.0)</f>
        <v>0</v>
      </c>
    </row>
    <row r="899">
      <c r="A899" s="43" t="str">
        <f>IFERROR(__xludf.DUMMYFUNCTION("""COMPUTED_VALUE"""),"ACDC&amp;해죽")</f>
        <v>ACDC&amp;해죽</v>
      </c>
      <c r="B899" s="43">
        <f>IFERROR(__xludf.DUMMYFUNCTION("""COMPUTED_VALUE"""),0.0)</f>
        <v>0</v>
      </c>
      <c r="C899" s="43">
        <f>IFERROR(__xludf.DUMMYFUNCTION("""COMPUTED_VALUE"""),1.0)</f>
        <v>1</v>
      </c>
      <c r="D899" s="46">
        <f>IFERROR(__xludf.DUMMYFUNCTION("""COMPUTED_VALUE"""),0.0)</f>
        <v>0</v>
      </c>
    </row>
    <row r="900">
      <c r="A900" s="43" t="str">
        <f>IFERROR(__xludf.DUMMYFUNCTION("""COMPUTED_VALUE"""),"GYUL&amp;참치")</f>
        <v>GYUL&amp;참치</v>
      </c>
      <c r="B900" s="43">
        <f>IFERROR(__xludf.DUMMYFUNCTION("""COMPUTED_VALUE"""),0.0)</f>
        <v>0</v>
      </c>
      <c r="C900" s="43">
        <f>IFERROR(__xludf.DUMMYFUNCTION("""COMPUTED_VALUE"""),1.0)</f>
        <v>1</v>
      </c>
      <c r="D900" s="46">
        <f>IFERROR(__xludf.DUMMYFUNCTION("""COMPUTED_VALUE"""),0.0)</f>
        <v>0</v>
      </c>
    </row>
    <row r="901">
      <c r="A901" s="43" t="str">
        <f>IFERROR(__xludf.DUMMYFUNCTION("""COMPUTED_VALUE"""),"GYUL&amp;학생")</f>
        <v>GYUL&amp;학생</v>
      </c>
      <c r="B901" s="43">
        <f>IFERROR(__xludf.DUMMYFUNCTION("""COMPUTED_VALUE"""),0.0)</f>
        <v>0</v>
      </c>
      <c r="C901" s="43">
        <f>IFERROR(__xludf.DUMMYFUNCTION("""COMPUTED_VALUE"""),1.0)</f>
        <v>1</v>
      </c>
      <c r="D901" s="46">
        <f>IFERROR(__xludf.DUMMYFUNCTION("""COMPUTED_VALUE"""),0.0)</f>
        <v>0</v>
      </c>
    </row>
    <row r="902">
      <c r="A902" s="43" t="str">
        <f>IFERROR(__xludf.DUMMYFUNCTION("""COMPUTED_VALUE"""),"Leaf&amp;랄")</f>
        <v>Leaf&amp;랄</v>
      </c>
      <c r="B902" s="43">
        <f>IFERROR(__xludf.DUMMYFUNCTION("""COMPUTED_VALUE"""),0.0)</f>
        <v>0</v>
      </c>
      <c r="C902" s="43">
        <f>IFERROR(__xludf.DUMMYFUNCTION("""COMPUTED_VALUE"""),1.0)</f>
        <v>1</v>
      </c>
      <c r="D902" s="46">
        <f>IFERROR(__xludf.DUMMYFUNCTION("""COMPUTED_VALUE"""),0.0)</f>
        <v>0</v>
      </c>
    </row>
    <row r="903">
      <c r="A903" s="43" t="str">
        <f>IFERROR(__xludf.DUMMYFUNCTION("""COMPUTED_VALUE"""),"Leaf&amp;재명")</f>
        <v>Leaf&amp;재명</v>
      </c>
      <c r="B903" s="43">
        <f>IFERROR(__xludf.DUMMYFUNCTION("""COMPUTED_VALUE"""),0.0)</f>
        <v>0</v>
      </c>
      <c r="C903" s="43">
        <f>IFERROR(__xludf.DUMMYFUNCTION("""COMPUTED_VALUE"""),1.0)</f>
        <v>1</v>
      </c>
      <c r="D903" s="46">
        <f>IFERROR(__xludf.DUMMYFUNCTION("""COMPUTED_VALUE"""),0.0)</f>
        <v>0</v>
      </c>
    </row>
    <row r="904">
      <c r="A904" s="43" t="str">
        <f>IFERROR(__xludf.DUMMYFUNCTION("""COMPUTED_VALUE"""),"Leaf&amp;키키")</f>
        <v>Leaf&amp;키키</v>
      </c>
      <c r="B904" s="43">
        <f>IFERROR(__xludf.DUMMYFUNCTION("""COMPUTED_VALUE"""),0.0)</f>
        <v>0</v>
      </c>
      <c r="C904" s="43">
        <f>IFERROR(__xludf.DUMMYFUNCTION("""COMPUTED_VALUE"""),1.0)</f>
        <v>1</v>
      </c>
      <c r="D904" s="46">
        <f>IFERROR(__xludf.DUMMYFUNCTION("""COMPUTED_VALUE"""),0.0)</f>
        <v>0</v>
      </c>
    </row>
    <row r="905">
      <c r="A905" s="43" t="str">
        <f>IFERROR(__xludf.DUMMYFUNCTION("""COMPUTED_VALUE"""),"ovo&amp;강화")</f>
        <v>ovo&amp;강화</v>
      </c>
      <c r="B905" s="43">
        <f>IFERROR(__xludf.DUMMYFUNCTION("""COMPUTED_VALUE"""),0.0)</f>
        <v>0</v>
      </c>
      <c r="C905" s="43">
        <f>IFERROR(__xludf.DUMMYFUNCTION("""COMPUTED_VALUE"""),1.0)</f>
        <v>1</v>
      </c>
      <c r="D905" s="46">
        <f>IFERROR(__xludf.DUMMYFUNCTION("""COMPUTED_VALUE"""),0.0)</f>
        <v>0</v>
      </c>
    </row>
    <row r="906">
      <c r="A906" s="43" t="str">
        <f>IFERROR(__xludf.DUMMYFUNCTION("""COMPUTED_VALUE"""),"ovo&amp;조네")</f>
        <v>ovo&amp;조네</v>
      </c>
      <c r="B906" s="43">
        <f>IFERROR(__xludf.DUMMYFUNCTION("""COMPUTED_VALUE"""),0.0)</f>
        <v>0</v>
      </c>
      <c r="C906" s="43">
        <f>IFERROR(__xludf.DUMMYFUNCTION("""COMPUTED_VALUE"""),1.0)</f>
        <v>1</v>
      </c>
      <c r="D906" s="46">
        <f>IFERROR(__xludf.DUMMYFUNCTION("""COMPUTED_VALUE"""),0.0)</f>
        <v>0</v>
      </c>
    </row>
    <row r="907">
      <c r="A907" s="43" t="str">
        <f>IFERROR(__xludf.DUMMYFUNCTION("""COMPUTED_VALUE"""),"qwer&amp;노인")</f>
        <v>qwer&amp;노인</v>
      </c>
      <c r="B907" s="43">
        <f>IFERROR(__xludf.DUMMYFUNCTION("""COMPUTED_VALUE"""),0.0)</f>
        <v>0</v>
      </c>
      <c r="C907" s="43">
        <f>IFERROR(__xludf.DUMMYFUNCTION("""COMPUTED_VALUE"""),1.0)</f>
        <v>1</v>
      </c>
      <c r="D907" s="46">
        <f>IFERROR(__xludf.DUMMYFUNCTION("""COMPUTED_VALUE"""),0.0)</f>
        <v>0</v>
      </c>
    </row>
    <row r="908">
      <c r="A908" s="43" t="str">
        <f>IFERROR(__xludf.DUMMYFUNCTION("""COMPUTED_VALUE"""),"qwer&amp;터미")</f>
        <v>qwer&amp;터미</v>
      </c>
      <c r="B908" s="43">
        <f>IFERROR(__xludf.DUMMYFUNCTION("""COMPUTED_VALUE"""),0.0)</f>
        <v>0</v>
      </c>
      <c r="C908" s="43">
        <f>IFERROR(__xludf.DUMMYFUNCTION("""COMPUTED_VALUE"""),1.0)</f>
        <v>1</v>
      </c>
      <c r="D908" s="46">
        <f>IFERROR(__xludf.DUMMYFUNCTION("""COMPUTED_VALUE"""),0.0)</f>
        <v>0</v>
      </c>
    </row>
    <row r="909">
      <c r="A909" s="43" t="str">
        <f>IFERROR(__xludf.DUMMYFUNCTION("""COMPUTED_VALUE"""),"qwer&amp;테리")</f>
        <v>qwer&amp;테리</v>
      </c>
      <c r="B909" s="43">
        <f>IFERROR(__xludf.DUMMYFUNCTION("""COMPUTED_VALUE"""),0.0)</f>
        <v>0</v>
      </c>
      <c r="C909" s="43">
        <f>IFERROR(__xludf.DUMMYFUNCTION("""COMPUTED_VALUE"""),1.0)</f>
        <v>1</v>
      </c>
      <c r="D909" s="46">
        <f>IFERROR(__xludf.DUMMYFUNCTION("""COMPUTED_VALUE"""),0.0)</f>
        <v>0</v>
      </c>
    </row>
    <row r="910">
      <c r="A910" s="43" t="str">
        <f>IFERROR(__xludf.DUMMYFUNCTION("""COMPUTED_VALUE"""),"간달프&amp;재규어")</f>
        <v>간달프&amp;재규어</v>
      </c>
      <c r="B910" s="43">
        <f>IFERROR(__xludf.DUMMYFUNCTION("""COMPUTED_VALUE"""),0.0)</f>
        <v>0</v>
      </c>
      <c r="C910" s="43">
        <f>IFERROR(__xludf.DUMMYFUNCTION("""COMPUTED_VALUE"""),1.0)</f>
        <v>1</v>
      </c>
      <c r="D910" s="46">
        <f>IFERROR(__xludf.DUMMYFUNCTION("""COMPUTED_VALUE"""),0.0)</f>
        <v>0</v>
      </c>
    </row>
    <row r="911">
      <c r="A911" s="43" t="str">
        <f>IFERROR(__xludf.DUMMYFUNCTION("""COMPUTED_VALUE"""),"강화&amp;원정")</f>
        <v>강화&amp;원정</v>
      </c>
      <c r="B911" s="43">
        <f>IFERROR(__xludf.DUMMYFUNCTION("""COMPUTED_VALUE"""),0.0)</f>
        <v>0</v>
      </c>
      <c r="C911" s="43">
        <f>IFERROR(__xludf.DUMMYFUNCTION("""COMPUTED_VALUE"""),1.0)</f>
        <v>1</v>
      </c>
      <c r="D911" s="46">
        <f>IFERROR(__xludf.DUMMYFUNCTION("""COMPUTED_VALUE"""),0.0)</f>
        <v>0</v>
      </c>
    </row>
    <row r="912">
      <c r="A912" s="43" t="str">
        <f>IFERROR(__xludf.DUMMYFUNCTION("""COMPUTED_VALUE"""),"구리다&amp;따")</f>
        <v>구리다&amp;따</v>
      </c>
      <c r="B912" s="43">
        <f>IFERROR(__xludf.DUMMYFUNCTION("""COMPUTED_VALUE"""),0.0)</f>
        <v>0</v>
      </c>
      <c r="C912" s="43">
        <f>IFERROR(__xludf.DUMMYFUNCTION("""COMPUTED_VALUE"""),1.0)</f>
        <v>1</v>
      </c>
      <c r="D912" s="46">
        <f>IFERROR(__xludf.DUMMYFUNCTION("""COMPUTED_VALUE"""),0.0)</f>
        <v>0</v>
      </c>
    </row>
    <row r="913">
      <c r="A913" s="43" t="str">
        <f>IFERROR(__xludf.DUMMYFUNCTION("""COMPUTED_VALUE"""),"구리다&amp;만두")</f>
        <v>구리다&amp;만두</v>
      </c>
      <c r="B913" s="43">
        <f>IFERROR(__xludf.DUMMYFUNCTION("""COMPUTED_VALUE"""),0.0)</f>
        <v>0</v>
      </c>
      <c r="C913" s="43">
        <f>IFERROR(__xludf.DUMMYFUNCTION("""COMPUTED_VALUE"""),1.0)</f>
        <v>1</v>
      </c>
      <c r="D913" s="46">
        <f>IFERROR(__xludf.DUMMYFUNCTION("""COMPUTED_VALUE"""),0.0)</f>
        <v>0</v>
      </c>
    </row>
    <row r="914">
      <c r="A914" s="43" t="str">
        <f>IFERROR(__xludf.DUMMYFUNCTION("""COMPUTED_VALUE"""),"구리다&amp;오딘")</f>
        <v>구리다&amp;오딘</v>
      </c>
      <c r="B914" s="43">
        <f>IFERROR(__xludf.DUMMYFUNCTION("""COMPUTED_VALUE"""),0.0)</f>
        <v>0</v>
      </c>
      <c r="C914" s="43">
        <f>IFERROR(__xludf.DUMMYFUNCTION("""COMPUTED_VALUE"""),1.0)</f>
        <v>1</v>
      </c>
      <c r="D914" s="46">
        <f>IFERROR(__xludf.DUMMYFUNCTION("""COMPUTED_VALUE"""),0.0)</f>
        <v>0</v>
      </c>
    </row>
    <row r="915">
      <c r="A915" s="43" t="str">
        <f>IFERROR(__xludf.DUMMYFUNCTION("""COMPUTED_VALUE"""),"구리다&amp;태식")</f>
        <v>구리다&amp;태식</v>
      </c>
      <c r="B915" s="43">
        <f>IFERROR(__xludf.DUMMYFUNCTION("""COMPUTED_VALUE"""),0.0)</f>
        <v>0</v>
      </c>
      <c r="C915" s="43">
        <f>IFERROR(__xludf.DUMMYFUNCTION("""COMPUTED_VALUE"""),1.0)</f>
        <v>1</v>
      </c>
      <c r="D915" s="46">
        <f>IFERROR(__xludf.DUMMYFUNCTION("""COMPUTED_VALUE"""),0.0)</f>
        <v>0</v>
      </c>
    </row>
    <row r="916">
      <c r="A916" s="43" t="str">
        <f>IFERROR(__xludf.DUMMYFUNCTION("""COMPUTED_VALUE"""),"규식&amp;재명")</f>
        <v>규식&amp;재명</v>
      </c>
      <c r="B916" s="43">
        <f>IFERROR(__xludf.DUMMYFUNCTION("""COMPUTED_VALUE"""),0.0)</f>
        <v>0</v>
      </c>
      <c r="C916" s="43">
        <f>IFERROR(__xludf.DUMMYFUNCTION("""COMPUTED_VALUE"""),1.0)</f>
        <v>1</v>
      </c>
      <c r="D916" s="46">
        <f>IFERROR(__xludf.DUMMYFUNCTION("""COMPUTED_VALUE"""),0.0)</f>
        <v>0</v>
      </c>
    </row>
    <row r="917">
      <c r="A917" s="43" t="str">
        <f>IFERROR(__xludf.DUMMYFUNCTION("""COMPUTED_VALUE"""),"규식&amp;조네")</f>
        <v>규식&amp;조네</v>
      </c>
      <c r="B917" s="43">
        <f>IFERROR(__xludf.DUMMYFUNCTION("""COMPUTED_VALUE"""),0.0)</f>
        <v>0</v>
      </c>
      <c r="C917" s="43">
        <f>IFERROR(__xludf.DUMMYFUNCTION("""COMPUTED_VALUE"""),1.0)</f>
        <v>1</v>
      </c>
      <c r="D917" s="46">
        <f>IFERROR(__xludf.DUMMYFUNCTION("""COMPUTED_VALUE"""),0.0)</f>
        <v>0</v>
      </c>
    </row>
    <row r="918">
      <c r="A918" s="43" t="str">
        <f>IFERROR(__xludf.DUMMYFUNCTION("""COMPUTED_VALUE"""),"기재&amp;박서")</f>
        <v>기재&amp;박서</v>
      </c>
      <c r="B918" s="43">
        <f>IFERROR(__xludf.DUMMYFUNCTION("""COMPUTED_VALUE"""),0.0)</f>
        <v>0</v>
      </c>
      <c r="C918" s="43">
        <f>IFERROR(__xludf.DUMMYFUNCTION("""COMPUTED_VALUE"""),1.0)</f>
        <v>1</v>
      </c>
      <c r="D918" s="46">
        <f>IFERROR(__xludf.DUMMYFUNCTION("""COMPUTED_VALUE"""),0.0)</f>
        <v>0</v>
      </c>
    </row>
    <row r="919">
      <c r="A919" s="43" t="str">
        <f>IFERROR(__xludf.DUMMYFUNCTION("""COMPUTED_VALUE"""),"기재&amp;웅")</f>
        <v>기재&amp;웅</v>
      </c>
      <c r="B919" s="43">
        <f>IFERROR(__xludf.DUMMYFUNCTION("""COMPUTED_VALUE"""),0.0)</f>
        <v>0</v>
      </c>
      <c r="C919" s="43">
        <f>IFERROR(__xludf.DUMMYFUNCTION("""COMPUTED_VALUE"""),1.0)</f>
        <v>1</v>
      </c>
      <c r="D919" s="46">
        <f>IFERROR(__xludf.DUMMYFUNCTION("""COMPUTED_VALUE"""),0.0)</f>
        <v>0</v>
      </c>
    </row>
    <row r="920">
      <c r="A920" s="43" t="str">
        <f>IFERROR(__xludf.DUMMYFUNCTION("""COMPUTED_VALUE"""),"기재&amp;재우")</f>
        <v>기재&amp;재우</v>
      </c>
      <c r="B920" s="43">
        <f>IFERROR(__xludf.DUMMYFUNCTION("""COMPUTED_VALUE"""),0.0)</f>
        <v>0</v>
      </c>
      <c r="C920" s="43">
        <f>IFERROR(__xludf.DUMMYFUNCTION("""COMPUTED_VALUE"""),1.0)</f>
        <v>1</v>
      </c>
      <c r="D920" s="46">
        <f>IFERROR(__xludf.DUMMYFUNCTION("""COMPUTED_VALUE"""),0.0)</f>
        <v>0</v>
      </c>
    </row>
    <row r="921">
      <c r="A921" s="43" t="str">
        <f>IFERROR(__xludf.DUMMYFUNCTION("""COMPUTED_VALUE"""),"기재&amp;찹쌀")</f>
        <v>기재&amp;찹쌀</v>
      </c>
      <c r="B921" s="43">
        <f>IFERROR(__xludf.DUMMYFUNCTION("""COMPUTED_VALUE"""),0.0)</f>
        <v>0</v>
      </c>
      <c r="C921" s="43">
        <f>IFERROR(__xludf.DUMMYFUNCTION("""COMPUTED_VALUE"""),1.0)</f>
        <v>1</v>
      </c>
      <c r="D921" s="46">
        <f>IFERROR(__xludf.DUMMYFUNCTION("""COMPUTED_VALUE"""),0.0)</f>
        <v>0</v>
      </c>
    </row>
    <row r="922">
      <c r="A922" s="43" t="str">
        <f>IFERROR(__xludf.DUMMYFUNCTION("""COMPUTED_VALUE"""),"깡패&amp;수련")</f>
        <v>깡패&amp;수련</v>
      </c>
      <c r="B922" s="43">
        <f>IFERROR(__xludf.DUMMYFUNCTION("""COMPUTED_VALUE"""),0.0)</f>
        <v>0</v>
      </c>
      <c r="C922" s="43">
        <f>IFERROR(__xludf.DUMMYFUNCTION("""COMPUTED_VALUE"""),1.0)</f>
        <v>1</v>
      </c>
      <c r="D922" s="46">
        <f>IFERROR(__xludf.DUMMYFUNCTION("""COMPUTED_VALUE"""),0.0)</f>
        <v>0</v>
      </c>
    </row>
    <row r="923">
      <c r="A923" s="43" t="str">
        <f>IFERROR(__xludf.DUMMYFUNCTION("""COMPUTED_VALUE"""),"깡패&amp;엘")</f>
        <v>깡패&amp;엘</v>
      </c>
      <c r="B923" s="43">
        <f>IFERROR(__xludf.DUMMYFUNCTION("""COMPUTED_VALUE"""),0.0)</f>
        <v>0</v>
      </c>
      <c r="C923" s="43">
        <f>IFERROR(__xludf.DUMMYFUNCTION("""COMPUTED_VALUE"""),1.0)</f>
        <v>1</v>
      </c>
      <c r="D923" s="46">
        <f>IFERROR(__xludf.DUMMYFUNCTION("""COMPUTED_VALUE"""),0.0)</f>
        <v>0</v>
      </c>
    </row>
    <row r="924">
      <c r="A924" s="43" t="str">
        <f>IFERROR(__xludf.DUMMYFUNCTION("""COMPUTED_VALUE"""),"깡패&amp;용이")</f>
        <v>깡패&amp;용이</v>
      </c>
      <c r="B924" s="43">
        <f>IFERROR(__xludf.DUMMYFUNCTION("""COMPUTED_VALUE"""),0.0)</f>
        <v>0</v>
      </c>
      <c r="C924" s="43">
        <f>IFERROR(__xludf.DUMMYFUNCTION("""COMPUTED_VALUE"""),1.0)</f>
        <v>1</v>
      </c>
      <c r="D924" s="46">
        <f>IFERROR(__xludf.DUMMYFUNCTION("""COMPUTED_VALUE"""),0.0)</f>
        <v>0</v>
      </c>
    </row>
    <row r="925">
      <c r="A925" s="43" t="str">
        <f>IFERROR(__xludf.DUMMYFUNCTION("""COMPUTED_VALUE"""),"깡패&amp;테슬라")</f>
        <v>깡패&amp;테슬라</v>
      </c>
      <c r="B925" s="43">
        <f>IFERROR(__xludf.DUMMYFUNCTION("""COMPUTED_VALUE"""),0.0)</f>
        <v>0</v>
      </c>
      <c r="C925" s="43">
        <f>IFERROR(__xludf.DUMMYFUNCTION("""COMPUTED_VALUE"""),1.0)</f>
        <v>1</v>
      </c>
      <c r="D925" s="46">
        <f>IFERROR(__xludf.DUMMYFUNCTION("""COMPUTED_VALUE"""),0.0)</f>
        <v>0</v>
      </c>
    </row>
    <row r="926">
      <c r="A926" s="43" t="str">
        <f>IFERROR(__xludf.DUMMYFUNCTION("""COMPUTED_VALUE"""),"넘버&amp;만두")</f>
        <v>넘버&amp;만두</v>
      </c>
      <c r="B926" s="43">
        <f>IFERROR(__xludf.DUMMYFUNCTION("""COMPUTED_VALUE"""),0.0)</f>
        <v>0</v>
      </c>
      <c r="C926" s="43">
        <f>IFERROR(__xludf.DUMMYFUNCTION("""COMPUTED_VALUE"""),1.0)</f>
        <v>1</v>
      </c>
      <c r="D926" s="46">
        <f>IFERROR(__xludf.DUMMYFUNCTION("""COMPUTED_VALUE"""),0.0)</f>
        <v>0</v>
      </c>
    </row>
    <row r="927">
      <c r="A927" s="43" t="str">
        <f>IFERROR(__xludf.DUMMYFUNCTION("""COMPUTED_VALUE"""),"노인&amp;아이딘")</f>
        <v>노인&amp;아이딘</v>
      </c>
      <c r="B927" s="43">
        <f>IFERROR(__xludf.DUMMYFUNCTION("""COMPUTED_VALUE"""),0.0)</f>
        <v>0</v>
      </c>
      <c r="C927" s="43">
        <f>IFERROR(__xludf.DUMMYFUNCTION("""COMPUTED_VALUE"""),1.0)</f>
        <v>1</v>
      </c>
      <c r="D927" s="46">
        <f>IFERROR(__xludf.DUMMYFUNCTION("""COMPUTED_VALUE"""),0.0)</f>
        <v>0</v>
      </c>
    </row>
    <row r="928">
      <c r="A928" s="43" t="str">
        <f>IFERROR(__xludf.DUMMYFUNCTION("""COMPUTED_VALUE"""),"노인&amp;조네")</f>
        <v>노인&amp;조네</v>
      </c>
      <c r="B928" s="43">
        <f>IFERROR(__xludf.DUMMYFUNCTION("""COMPUTED_VALUE"""),0.0)</f>
        <v>0</v>
      </c>
      <c r="C928" s="43">
        <f>IFERROR(__xludf.DUMMYFUNCTION("""COMPUTED_VALUE"""),1.0)</f>
        <v>1</v>
      </c>
      <c r="D928" s="46">
        <f>IFERROR(__xludf.DUMMYFUNCTION("""COMPUTED_VALUE"""),0.0)</f>
        <v>0</v>
      </c>
    </row>
    <row r="929">
      <c r="A929" s="43" t="str">
        <f>IFERROR(__xludf.DUMMYFUNCTION("""COMPUTED_VALUE"""),"노인&amp;킹")</f>
        <v>노인&amp;킹</v>
      </c>
      <c r="B929" s="43">
        <f>IFERROR(__xludf.DUMMYFUNCTION("""COMPUTED_VALUE"""),0.0)</f>
        <v>0</v>
      </c>
      <c r="C929" s="43">
        <f>IFERROR(__xludf.DUMMYFUNCTION("""COMPUTED_VALUE"""),1.0)</f>
        <v>1</v>
      </c>
      <c r="D929" s="46">
        <f>IFERROR(__xludf.DUMMYFUNCTION("""COMPUTED_VALUE"""),0.0)</f>
        <v>0</v>
      </c>
    </row>
    <row r="930">
      <c r="A930" s="43" t="str">
        <f>IFERROR(__xludf.DUMMYFUNCTION("""COMPUTED_VALUE"""),"노픽업&amp;단수")</f>
        <v>노픽업&amp;단수</v>
      </c>
      <c r="B930" s="43">
        <f>IFERROR(__xludf.DUMMYFUNCTION("""COMPUTED_VALUE"""),0.0)</f>
        <v>0</v>
      </c>
      <c r="C930" s="43">
        <f>IFERROR(__xludf.DUMMYFUNCTION("""COMPUTED_VALUE"""),1.0)</f>
        <v>1</v>
      </c>
      <c r="D930" s="46">
        <f>IFERROR(__xludf.DUMMYFUNCTION("""COMPUTED_VALUE"""),0.0)</f>
        <v>0</v>
      </c>
    </row>
    <row r="931">
      <c r="A931" s="43" t="str">
        <f>IFERROR(__xludf.DUMMYFUNCTION("""COMPUTED_VALUE"""),"노픽업&amp;반짝")</f>
        <v>노픽업&amp;반짝</v>
      </c>
      <c r="B931" s="43">
        <f>IFERROR(__xludf.DUMMYFUNCTION("""COMPUTED_VALUE"""),0.0)</f>
        <v>0</v>
      </c>
      <c r="C931" s="43">
        <f>IFERROR(__xludf.DUMMYFUNCTION("""COMPUTED_VALUE"""),1.0)</f>
        <v>1</v>
      </c>
      <c r="D931" s="46">
        <f>IFERROR(__xludf.DUMMYFUNCTION("""COMPUTED_VALUE"""),0.0)</f>
        <v>0</v>
      </c>
    </row>
    <row r="932">
      <c r="A932" s="43" t="str">
        <f>IFERROR(__xludf.DUMMYFUNCTION("""COMPUTED_VALUE"""),"단수&amp;오딘")</f>
        <v>단수&amp;오딘</v>
      </c>
      <c r="B932" s="43">
        <f>IFERROR(__xludf.DUMMYFUNCTION("""COMPUTED_VALUE"""),0.0)</f>
        <v>0</v>
      </c>
      <c r="C932" s="43">
        <f>IFERROR(__xludf.DUMMYFUNCTION("""COMPUTED_VALUE"""),1.0)</f>
        <v>1</v>
      </c>
      <c r="D932" s="46">
        <f>IFERROR(__xludf.DUMMYFUNCTION("""COMPUTED_VALUE"""),0.0)</f>
        <v>0</v>
      </c>
    </row>
    <row r="933">
      <c r="A933" s="43" t="str">
        <f>IFERROR(__xludf.DUMMYFUNCTION("""COMPUTED_VALUE"""),"단수&amp;필찌")</f>
        <v>단수&amp;필찌</v>
      </c>
      <c r="B933" s="43">
        <f>IFERROR(__xludf.DUMMYFUNCTION("""COMPUTED_VALUE"""),0.0)</f>
        <v>0</v>
      </c>
      <c r="C933" s="43">
        <f>IFERROR(__xludf.DUMMYFUNCTION("""COMPUTED_VALUE"""),1.0)</f>
        <v>1</v>
      </c>
      <c r="D933" s="46">
        <f>IFERROR(__xludf.DUMMYFUNCTION("""COMPUTED_VALUE"""),0.0)</f>
        <v>0</v>
      </c>
    </row>
    <row r="934">
      <c r="A934" s="43" t="str">
        <f>IFERROR(__xludf.DUMMYFUNCTION("""COMPUTED_VALUE"""),"따&amp;엘더")</f>
        <v>따&amp;엘더</v>
      </c>
      <c r="B934" s="43">
        <f>IFERROR(__xludf.DUMMYFUNCTION("""COMPUTED_VALUE"""),0.0)</f>
        <v>0</v>
      </c>
      <c r="C934" s="43">
        <f>IFERROR(__xludf.DUMMYFUNCTION("""COMPUTED_VALUE"""),1.0)</f>
        <v>1</v>
      </c>
      <c r="D934" s="46">
        <f>IFERROR(__xludf.DUMMYFUNCTION("""COMPUTED_VALUE"""),0.0)</f>
        <v>0</v>
      </c>
    </row>
    <row r="935">
      <c r="A935" s="43" t="str">
        <f>IFERROR(__xludf.DUMMYFUNCTION("""COMPUTED_VALUE"""),"따&amp;오크")</f>
        <v>따&amp;오크</v>
      </c>
      <c r="B935" s="43">
        <f>IFERROR(__xludf.DUMMYFUNCTION("""COMPUTED_VALUE"""),0.0)</f>
        <v>0</v>
      </c>
      <c r="C935" s="43">
        <f>IFERROR(__xludf.DUMMYFUNCTION("""COMPUTED_VALUE"""),1.0)</f>
        <v>1</v>
      </c>
      <c r="D935" s="46">
        <f>IFERROR(__xludf.DUMMYFUNCTION("""COMPUTED_VALUE"""),0.0)</f>
        <v>0</v>
      </c>
    </row>
    <row r="936">
      <c r="A936" s="43" t="str">
        <f>IFERROR(__xludf.DUMMYFUNCTION("""COMPUTED_VALUE"""),"따&amp;웅")</f>
        <v>따&amp;웅</v>
      </c>
      <c r="B936" s="43">
        <f>IFERROR(__xludf.DUMMYFUNCTION("""COMPUTED_VALUE"""),0.0)</f>
        <v>0</v>
      </c>
      <c r="C936" s="43">
        <f>IFERROR(__xludf.DUMMYFUNCTION("""COMPUTED_VALUE"""),1.0)</f>
        <v>1</v>
      </c>
      <c r="D936" s="46">
        <f>IFERROR(__xludf.DUMMYFUNCTION("""COMPUTED_VALUE"""),0.0)</f>
        <v>0</v>
      </c>
    </row>
    <row r="937">
      <c r="A937" s="43" t="str">
        <f>IFERROR(__xludf.DUMMYFUNCTION("""COMPUTED_VALUE"""),"따&amp;킹")</f>
        <v>따&amp;킹</v>
      </c>
      <c r="B937" s="43">
        <f>IFERROR(__xludf.DUMMYFUNCTION("""COMPUTED_VALUE"""),0.0)</f>
        <v>0</v>
      </c>
      <c r="C937" s="43">
        <f>IFERROR(__xludf.DUMMYFUNCTION("""COMPUTED_VALUE"""),1.0)</f>
        <v>1</v>
      </c>
      <c r="D937" s="46">
        <f>IFERROR(__xludf.DUMMYFUNCTION("""COMPUTED_VALUE"""),0.0)</f>
        <v>0</v>
      </c>
    </row>
    <row r="938">
      <c r="A938" s="43" t="str">
        <f>IFERROR(__xludf.DUMMYFUNCTION("""COMPUTED_VALUE"""),"따&amp;필찌")</f>
        <v>따&amp;필찌</v>
      </c>
      <c r="B938" s="43">
        <f>IFERROR(__xludf.DUMMYFUNCTION("""COMPUTED_VALUE"""),0.0)</f>
        <v>0</v>
      </c>
      <c r="C938" s="43">
        <f>IFERROR(__xludf.DUMMYFUNCTION("""COMPUTED_VALUE"""),1.0)</f>
        <v>1</v>
      </c>
      <c r="D938" s="46">
        <f>IFERROR(__xludf.DUMMYFUNCTION("""COMPUTED_VALUE"""),0.0)</f>
        <v>0</v>
      </c>
    </row>
    <row r="939">
      <c r="A939" s="43" t="str">
        <f>IFERROR(__xludf.DUMMYFUNCTION("""COMPUTED_VALUE"""),"랄&amp;전투쥐")</f>
        <v>랄&amp;전투쥐</v>
      </c>
      <c r="B939" s="43">
        <f>IFERROR(__xludf.DUMMYFUNCTION("""COMPUTED_VALUE"""),0.0)</f>
        <v>0</v>
      </c>
      <c r="C939" s="43">
        <f>IFERROR(__xludf.DUMMYFUNCTION("""COMPUTED_VALUE"""),1.0)</f>
        <v>1</v>
      </c>
      <c r="D939" s="46">
        <f>IFERROR(__xludf.DUMMYFUNCTION("""COMPUTED_VALUE"""),0.0)</f>
        <v>0</v>
      </c>
    </row>
    <row r="940">
      <c r="A940" s="43" t="str">
        <f>IFERROR(__xludf.DUMMYFUNCTION("""COMPUTED_VALUE"""),"랄&amp;제이호")</f>
        <v>랄&amp;제이호</v>
      </c>
      <c r="B940" s="43">
        <f>IFERROR(__xludf.DUMMYFUNCTION("""COMPUTED_VALUE"""),0.0)</f>
        <v>0</v>
      </c>
      <c r="C940" s="43">
        <f>IFERROR(__xludf.DUMMYFUNCTION("""COMPUTED_VALUE"""),1.0)</f>
        <v>1</v>
      </c>
      <c r="D940" s="46">
        <f>IFERROR(__xludf.DUMMYFUNCTION("""COMPUTED_VALUE"""),0.0)</f>
        <v>0</v>
      </c>
    </row>
    <row r="941">
      <c r="A941" s="43" t="str">
        <f>IFERROR(__xludf.DUMMYFUNCTION("""COMPUTED_VALUE"""),"랄&amp;태식")</f>
        <v>랄&amp;태식</v>
      </c>
      <c r="B941" s="43">
        <f>IFERROR(__xludf.DUMMYFUNCTION("""COMPUTED_VALUE"""),0.0)</f>
        <v>0</v>
      </c>
      <c r="C941" s="43">
        <f>IFERROR(__xludf.DUMMYFUNCTION("""COMPUTED_VALUE"""),1.0)</f>
        <v>1</v>
      </c>
      <c r="D941" s="46">
        <f>IFERROR(__xludf.DUMMYFUNCTION("""COMPUTED_VALUE"""),0.0)</f>
        <v>0</v>
      </c>
    </row>
    <row r="942">
      <c r="A942" s="43" t="str">
        <f>IFERROR(__xludf.DUMMYFUNCTION("""COMPUTED_VALUE"""),"랄&amp;터미")</f>
        <v>랄&amp;터미</v>
      </c>
      <c r="B942" s="43">
        <f>IFERROR(__xludf.DUMMYFUNCTION("""COMPUTED_VALUE"""),0.0)</f>
        <v>0</v>
      </c>
      <c r="C942" s="43">
        <f>IFERROR(__xludf.DUMMYFUNCTION("""COMPUTED_VALUE"""),1.0)</f>
        <v>1</v>
      </c>
      <c r="D942" s="46">
        <f>IFERROR(__xludf.DUMMYFUNCTION("""COMPUTED_VALUE"""),0.0)</f>
        <v>0</v>
      </c>
    </row>
    <row r="943">
      <c r="A943" s="43" t="str">
        <f>IFERROR(__xludf.DUMMYFUNCTION("""COMPUTED_VALUE"""),"마법거북이&amp;새출발")</f>
        <v>마법거북이&amp;새출발</v>
      </c>
      <c r="B943" s="43">
        <f>IFERROR(__xludf.DUMMYFUNCTION("""COMPUTED_VALUE"""),0.0)</f>
        <v>0</v>
      </c>
      <c r="C943" s="43">
        <f>IFERROR(__xludf.DUMMYFUNCTION("""COMPUTED_VALUE"""),1.0)</f>
        <v>1</v>
      </c>
      <c r="D943" s="46">
        <f>IFERROR(__xludf.DUMMYFUNCTION("""COMPUTED_VALUE"""),0.0)</f>
        <v>0</v>
      </c>
    </row>
    <row r="944">
      <c r="A944" s="43" t="str">
        <f>IFERROR(__xludf.DUMMYFUNCTION("""COMPUTED_VALUE"""),"만두&amp;요즘")</f>
        <v>만두&amp;요즘</v>
      </c>
      <c r="B944" s="43">
        <f>IFERROR(__xludf.DUMMYFUNCTION("""COMPUTED_VALUE"""),0.0)</f>
        <v>0</v>
      </c>
      <c r="C944" s="43">
        <f>IFERROR(__xludf.DUMMYFUNCTION("""COMPUTED_VALUE"""),1.0)</f>
        <v>1</v>
      </c>
      <c r="D944" s="46">
        <f>IFERROR(__xludf.DUMMYFUNCTION("""COMPUTED_VALUE"""),0.0)</f>
        <v>0</v>
      </c>
    </row>
    <row r="945">
      <c r="A945" s="43" t="str">
        <f>IFERROR(__xludf.DUMMYFUNCTION("""COMPUTED_VALUE"""),"만두&amp;조심")</f>
        <v>만두&amp;조심</v>
      </c>
      <c r="B945" s="43">
        <f>IFERROR(__xludf.DUMMYFUNCTION("""COMPUTED_VALUE"""),0.0)</f>
        <v>0</v>
      </c>
      <c r="C945" s="43">
        <f>IFERROR(__xludf.DUMMYFUNCTION("""COMPUTED_VALUE"""),1.0)</f>
        <v>1</v>
      </c>
      <c r="D945" s="46">
        <f>IFERROR(__xludf.DUMMYFUNCTION("""COMPUTED_VALUE"""),0.0)</f>
        <v>0</v>
      </c>
    </row>
    <row r="946">
      <c r="A946" s="43" t="str">
        <f>IFERROR(__xludf.DUMMYFUNCTION("""COMPUTED_VALUE"""),"만두&amp;터미")</f>
        <v>만두&amp;터미</v>
      </c>
      <c r="B946" s="43">
        <f>IFERROR(__xludf.DUMMYFUNCTION("""COMPUTED_VALUE"""),0.0)</f>
        <v>0</v>
      </c>
      <c r="C946" s="43">
        <f>IFERROR(__xludf.DUMMYFUNCTION("""COMPUTED_VALUE"""),1.0)</f>
        <v>1</v>
      </c>
      <c r="D946" s="46">
        <f>IFERROR(__xludf.DUMMYFUNCTION("""COMPUTED_VALUE"""),0.0)</f>
        <v>0</v>
      </c>
    </row>
    <row r="947">
      <c r="A947" s="43" t="str">
        <f>IFERROR(__xludf.DUMMYFUNCTION("""COMPUTED_VALUE"""),"만두&amp;튜브")</f>
        <v>만두&amp;튜브</v>
      </c>
      <c r="B947" s="43">
        <f>IFERROR(__xludf.DUMMYFUNCTION("""COMPUTED_VALUE"""),0.0)</f>
        <v>0</v>
      </c>
      <c r="C947" s="43">
        <f>IFERROR(__xludf.DUMMYFUNCTION("""COMPUTED_VALUE"""),1.0)</f>
        <v>1</v>
      </c>
      <c r="D947" s="46">
        <f>IFERROR(__xludf.DUMMYFUNCTION("""COMPUTED_VALUE"""),0.0)</f>
        <v>0</v>
      </c>
    </row>
    <row r="948">
      <c r="A948" s="43" t="str">
        <f>IFERROR(__xludf.DUMMYFUNCTION("""COMPUTED_VALUE"""),"미등록&amp;봉구")</f>
        <v>미등록&amp;봉구</v>
      </c>
      <c r="B948" s="43">
        <f>IFERROR(__xludf.DUMMYFUNCTION("""COMPUTED_VALUE"""),0.0)</f>
        <v>0</v>
      </c>
      <c r="C948" s="43">
        <f>IFERROR(__xludf.DUMMYFUNCTION("""COMPUTED_VALUE"""),1.0)</f>
        <v>1</v>
      </c>
      <c r="D948" s="46">
        <f>IFERROR(__xludf.DUMMYFUNCTION("""COMPUTED_VALUE"""),0.0)</f>
        <v>0</v>
      </c>
    </row>
    <row r="949">
      <c r="A949" s="43" t="str">
        <f>IFERROR(__xludf.DUMMYFUNCTION("""COMPUTED_VALUE"""),"미등록&amp;용갈")</f>
        <v>미등록&amp;용갈</v>
      </c>
      <c r="B949" s="43">
        <f>IFERROR(__xludf.DUMMYFUNCTION("""COMPUTED_VALUE"""),0.0)</f>
        <v>0</v>
      </c>
      <c r="C949" s="43">
        <f>IFERROR(__xludf.DUMMYFUNCTION("""COMPUTED_VALUE"""),1.0)</f>
        <v>1</v>
      </c>
      <c r="D949" s="46">
        <f>IFERROR(__xludf.DUMMYFUNCTION("""COMPUTED_VALUE"""),0.0)</f>
        <v>0</v>
      </c>
    </row>
    <row r="950">
      <c r="A950" s="43" t="str">
        <f>IFERROR(__xludf.DUMMYFUNCTION("""COMPUTED_VALUE"""),"미등록&amp;유즈")</f>
        <v>미등록&amp;유즈</v>
      </c>
      <c r="B950" s="43">
        <f>IFERROR(__xludf.DUMMYFUNCTION("""COMPUTED_VALUE"""),0.0)</f>
        <v>0</v>
      </c>
      <c r="C950" s="43">
        <f>IFERROR(__xludf.DUMMYFUNCTION("""COMPUTED_VALUE"""),1.0)</f>
        <v>1</v>
      </c>
      <c r="D950" s="46">
        <f>IFERROR(__xludf.DUMMYFUNCTION("""COMPUTED_VALUE"""),0.0)</f>
        <v>0</v>
      </c>
    </row>
    <row r="951">
      <c r="A951" s="43" t="str">
        <f>IFERROR(__xludf.DUMMYFUNCTION("""COMPUTED_VALUE"""),"미등록&amp;튜브")</f>
        <v>미등록&amp;튜브</v>
      </c>
      <c r="B951" s="43">
        <f>IFERROR(__xludf.DUMMYFUNCTION("""COMPUTED_VALUE"""),0.0)</f>
        <v>0</v>
      </c>
      <c r="C951" s="43">
        <f>IFERROR(__xludf.DUMMYFUNCTION("""COMPUTED_VALUE"""),1.0)</f>
        <v>1</v>
      </c>
      <c r="D951" s="46">
        <f>IFERROR(__xludf.DUMMYFUNCTION("""COMPUTED_VALUE"""),0.0)</f>
        <v>0</v>
      </c>
    </row>
    <row r="952">
      <c r="A952" s="43" t="str">
        <f>IFERROR(__xludf.DUMMYFUNCTION("""COMPUTED_VALUE"""),"미르진&amp;민우")</f>
        <v>미르진&amp;민우</v>
      </c>
      <c r="B952" s="43">
        <f>IFERROR(__xludf.DUMMYFUNCTION("""COMPUTED_VALUE"""),0.0)</f>
        <v>0</v>
      </c>
      <c r="C952" s="43">
        <f>IFERROR(__xludf.DUMMYFUNCTION("""COMPUTED_VALUE"""),1.0)</f>
        <v>1</v>
      </c>
      <c r="D952" s="46">
        <f>IFERROR(__xludf.DUMMYFUNCTION("""COMPUTED_VALUE"""),0.0)</f>
        <v>0</v>
      </c>
    </row>
    <row r="953">
      <c r="A953" s="43" t="str">
        <f>IFERROR(__xludf.DUMMYFUNCTION("""COMPUTED_VALUE"""),"미르진&amp;오딘")</f>
        <v>미르진&amp;오딘</v>
      </c>
      <c r="B953" s="43">
        <f>IFERROR(__xludf.DUMMYFUNCTION("""COMPUTED_VALUE"""),0.0)</f>
        <v>0</v>
      </c>
      <c r="C953" s="43">
        <f>IFERROR(__xludf.DUMMYFUNCTION("""COMPUTED_VALUE"""),1.0)</f>
        <v>1</v>
      </c>
      <c r="D953" s="46">
        <f>IFERROR(__xludf.DUMMYFUNCTION("""COMPUTED_VALUE"""),0.0)</f>
        <v>0</v>
      </c>
    </row>
    <row r="954">
      <c r="A954" s="43" t="str">
        <f>IFERROR(__xludf.DUMMYFUNCTION("""COMPUTED_VALUE"""),"미르진&amp;웅")</f>
        <v>미르진&amp;웅</v>
      </c>
      <c r="B954" s="43">
        <f>IFERROR(__xludf.DUMMYFUNCTION("""COMPUTED_VALUE"""),0.0)</f>
        <v>0</v>
      </c>
      <c r="C954" s="43">
        <f>IFERROR(__xludf.DUMMYFUNCTION("""COMPUTED_VALUE"""),1.0)</f>
        <v>1</v>
      </c>
      <c r="D954" s="46">
        <f>IFERROR(__xludf.DUMMYFUNCTION("""COMPUTED_VALUE"""),0.0)</f>
        <v>0</v>
      </c>
    </row>
    <row r="955">
      <c r="A955" s="43" t="str">
        <f>IFERROR(__xludf.DUMMYFUNCTION("""COMPUTED_VALUE"""),"민우&amp;수련")</f>
        <v>민우&amp;수련</v>
      </c>
      <c r="B955" s="43">
        <f>IFERROR(__xludf.DUMMYFUNCTION("""COMPUTED_VALUE"""),0.0)</f>
        <v>0</v>
      </c>
      <c r="C955" s="43">
        <f>IFERROR(__xludf.DUMMYFUNCTION("""COMPUTED_VALUE"""),1.0)</f>
        <v>1</v>
      </c>
      <c r="D955" s="46">
        <f>IFERROR(__xludf.DUMMYFUNCTION("""COMPUTED_VALUE"""),0.0)</f>
        <v>0</v>
      </c>
    </row>
    <row r="956">
      <c r="A956" s="43" t="str">
        <f>IFERROR(__xludf.DUMMYFUNCTION("""COMPUTED_VALUE"""),"민우&amp;조네")</f>
        <v>민우&amp;조네</v>
      </c>
      <c r="B956" s="43">
        <f>IFERROR(__xludf.DUMMYFUNCTION("""COMPUTED_VALUE"""),0.0)</f>
        <v>0</v>
      </c>
      <c r="C956" s="43">
        <f>IFERROR(__xludf.DUMMYFUNCTION("""COMPUTED_VALUE"""),1.0)</f>
        <v>1</v>
      </c>
      <c r="D956" s="46">
        <f>IFERROR(__xludf.DUMMYFUNCTION("""COMPUTED_VALUE"""),0.0)</f>
        <v>0</v>
      </c>
    </row>
    <row r="957">
      <c r="A957" s="43" t="str">
        <f>IFERROR(__xludf.DUMMYFUNCTION("""COMPUTED_VALUE"""),"민우&amp;퍼플")</f>
        <v>민우&amp;퍼플</v>
      </c>
      <c r="B957" s="43">
        <f>IFERROR(__xludf.DUMMYFUNCTION("""COMPUTED_VALUE"""),0.0)</f>
        <v>0</v>
      </c>
      <c r="C957" s="43">
        <f>IFERROR(__xludf.DUMMYFUNCTION("""COMPUTED_VALUE"""),1.0)</f>
        <v>1</v>
      </c>
      <c r="D957" s="46">
        <f>IFERROR(__xludf.DUMMYFUNCTION("""COMPUTED_VALUE"""),0.0)</f>
        <v>0</v>
      </c>
    </row>
    <row r="958">
      <c r="A958" s="43" t="str">
        <f>IFERROR(__xludf.DUMMYFUNCTION("""COMPUTED_VALUE"""),"민우&amp;하리보")</f>
        <v>민우&amp;하리보</v>
      </c>
      <c r="B958" s="43">
        <f>IFERROR(__xludf.DUMMYFUNCTION("""COMPUTED_VALUE"""),0.0)</f>
        <v>0</v>
      </c>
      <c r="C958" s="43">
        <f>IFERROR(__xludf.DUMMYFUNCTION("""COMPUTED_VALUE"""),1.0)</f>
        <v>1</v>
      </c>
      <c r="D958" s="46">
        <f>IFERROR(__xludf.DUMMYFUNCTION("""COMPUTED_VALUE"""),0.0)</f>
        <v>0</v>
      </c>
    </row>
    <row r="959">
      <c r="A959" s="43" t="str">
        <f>IFERROR(__xludf.DUMMYFUNCTION("""COMPUTED_VALUE"""),"민우&amp;혀니")</f>
        <v>민우&amp;혀니</v>
      </c>
      <c r="B959" s="43">
        <f>IFERROR(__xludf.DUMMYFUNCTION("""COMPUTED_VALUE"""),0.0)</f>
        <v>0</v>
      </c>
      <c r="C959" s="43">
        <f>IFERROR(__xludf.DUMMYFUNCTION("""COMPUTED_VALUE"""),1.0)</f>
        <v>1</v>
      </c>
      <c r="D959" s="46">
        <f>IFERROR(__xludf.DUMMYFUNCTION("""COMPUTED_VALUE"""),0.0)</f>
        <v>0</v>
      </c>
    </row>
    <row r="960">
      <c r="A960" s="43" t="str">
        <f>IFERROR(__xludf.DUMMYFUNCTION("""COMPUTED_VALUE"""),"밍구&amp;용갈")</f>
        <v>밍구&amp;용갈</v>
      </c>
      <c r="B960" s="43">
        <f>IFERROR(__xludf.DUMMYFUNCTION("""COMPUTED_VALUE"""),0.0)</f>
        <v>0</v>
      </c>
      <c r="C960" s="43">
        <f>IFERROR(__xludf.DUMMYFUNCTION("""COMPUTED_VALUE"""),1.0)</f>
        <v>1</v>
      </c>
      <c r="D960" s="46">
        <f>IFERROR(__xludf.DUMMYFUNCTION("""COMPUTED_VALUE"""),0.0)</f>
        <v>0</v>
      </c>
    </row>
    <row r="961">
      <c r="A961" s="43" t="str">
        <f>IFERROR(__xludf.DUMMYFUNCTION("""COMPUTED_VALUE"""),"반짝&amp;오딘")</f>
        <v>반짝&amp;오딘</v>
      </c>
      <c r="B961" s="43">
        <f>IFERROR(__xludf.DUMMYFUNCTION("""COMPUTED_VALUE"""),0.0)</f>
        <v>0</v>
      </c>
      <c r="C961" s="43">
        <f>IFERROR(__xludf.DUMMYFUNCTION("""COMPUTED_VALUE"""),1.0)</f>
        <v>1</v>
      </c>
      <c r="D961" s="46">
        <f>IFERROR(__xludf.DUMMYFUNCTION("""COMPUTED_VALUE"""),0.0)</f>
        <v>0</v>
      </c>
    </row>
    <row r="962">
      <c r="A962" s="43" t="str">
        <f>IFERROR(__xludf.DUMMYFUNCTION("""COMPUTED_VALUE"""),"봉구&amp;오크")</f>
        <v>봉구&amp;오크</v>
      </c>
      <c r="B962" s="43">
        <f>IFERROR(__xludf.DUMMYFUNCTION("""COMPUTED_VALUE"""),0.0)</f>
        <v>0</v>
      </c>
      <c r="C962" s="43">
        <f>IFERROR(__xludf.DUMMYFUNCTION("""COMPUTED_VALUE"""),1.0)</f>
        <v>1</v>
      </c>
      <c r="D962" s="46">
        <f>IFERROR(__xludf.DUMMYFUNCTION("""COMPUTED_VALUE"""),0.0)</f>
        <v>0</v>
      </c>
    </row>
    <row r="963">
      <c r="A963" s="43" t="str">
        <f>IFERROR(__xludf.DUMMYFUNCTION("""COMPUTED_VALUE"""),"봉구&amp;팰리")</f>
        <v>봉구&amp;팰리</v>
      </c>
      <c r="B963" s="43">
        <f>IFERROR(__xludf.DUMMYFUNCTION("""COMPUTED_VALUE"""),0.0)</f>
        <v>0</v>
      </c>
      <c r="C963" s="43">
        <f>IFERROR(__xludf.DUMMYFUNCTION("""COMPUTED_VALUE"""),1.0)</f>
        <v>1</v>
      </c>
      <c r="D963" s="46">
        <f>IFERROR(__xludf.DUMMYFUNCTION("""COMPUTED_VALUE"""),0.0)</f>
        <v>0</v>
      </c>
    </row>
    <row r="964">
      <c r="A964" s="43" t="str">
        <f>IFERROR(__xludf.DUMMYFUNCTION("""COMPUTED_VALUE"""),"솔&amp;웅")</f>
        <v>솔&amp;웅</v>
      </c>
      <c r="B964" s="43">
        <f>IFERROR(__xludf.DUMMYFUNCTION("""COMPUTED_VALUE"""),0.0)</f>
        <v>0</v>
      </c>
      <c r="C964" s="43">
        <f>IFERROR(__xludf.DUMMYFUNCTION("""COMPUTED_VALUE"""),1.0)</f>
        <v>1</v>
      </c>
      <c r="D964" s="46">
        <f>IFERROR(__xludf.DUMMYFUNCTION("""COMPUTED_VALUE"""),0.0)</f>
        <v>0</v>
      </c>
    </row>
    <row r="965">
      <c r="A965" s="43" t="str">
        <f>IFERROR(__xludf.DUMMYFUNCTION("""COMPUTED_VALUE"""),"솔&amp;키키")</f>
        <v>솔&amp;키키</v>
      </c>
      <c r="B965" s="43">
        <f>IFERROR(__xludf.DUMMYFUNCTION("""COMPUTED_VALUE"""),0.0)</f>
        <v>0</v>
      </c>
      <c r="C965" s="43">
        <f>IFERROR(__xludf.DUMMYFUNCTION("""COMPUTED_VALUE"""),1.0)</f>
        <v>1</v>
      </c>
      <c r="D965" s="46">
        <f>IFERROR(__xludf.DUMMYFUNCTION("""COMPUTED_VALUE"""),0.0)</f>
        <v>0</v>
      </c>
    </row>
    <row r="966">
      <c r="A966" s="43" t="str">
        <f>IFERROR(__xludf.DUMMYFUNCTION("""COMPUTED_VALUE"""),"수련&amp;신형만")</f>
        <v>수련&amp;신형만</v>
      </c>
      <c r="B966" s="43">
        <f>IFERROR(__xludf.DUMMYFUNCTION("""COMPUTED_VALUE"""),0.0)</f>
        <v>0</v>
      </c>
      <c r="C966" s="43">
        <f>IFERROR(__xludf.DUMMYFUNCTION("""COMPUTED_VALUE"""),1.0)</f>
        <v>1</v>
      </c>
      <c r="D966" s="46">
        <f>IFERROR(__xludf.DUMMYFUNCTION("""COMPUTED_VALUE"""),0.0)</f>
        <v>0</v>
      </c>
    </row>
    <row r="967">
      <c r="A967" s="43" t="str">
        <f>IFERROR(__xludf.DUMMYFUNCTION("""COMPUTED_VALUE"""),"수련&amp;학생")</f>
        <v>수련&amp;학생</v>
      </c>
      <c r="B967" s="43">
        <f>IFERROR(__xludf.DUMMYFUNCTION("""COMPUTED_VALUE"""),0.0)</f>
        <v>0</v>
      </c>
      <c r="C967" s="43">
        <f>IFERROR(__xludf.DUMMYFUNCTION("""COMPUTED_VALUE"""),1.0)</f>
        <v>1</v>
      </c>
      <c r="D967" s="46">
        <f>IFERROR(__xludf.DUMMYFUNCTION("""COMPUTED_VALUE"""),0.0)</f>
        <v>0</v>
      </c>
    </row>
    <row r="968">
      <c r="A968" s="43" t="str">
        <f>IFERROR(__xludf.DUMMYFUNCTION("""COMPUTED_VALUE"""),"시아&amp;엘")</f>
        <v>시아&amp;엘</v>
      </c>
      <c r="B968" s="43">
        <f>IFERROR(__xludf.DUMMYFUNCTION("""COMPUTED_VALUE"""),0.0)</f>
        <v>0</v>
      </c>
      <c r="C968" s="43">
        <f>IFERROR(__xludf.DUMMYFUNCTION("""COMPUTED_VALUE"""),1.0)</f>
        <v>1</v>
      </c>
      <c r="D968" s="46">
        <f>IFERROR(__xludf.DUMMYFUNCTION("""COMPUTED_VALUE"""),0.0)</f>
        <v>0</v>
      </c>
    </row>
    <row r="969">
      <c r="A969" s="43" t="str">
        <f>IFERROR(__xludf.DUMMYFUNCTION("""COMPUTED_VALUE"""),"신형만&amp;원정")</f>
        <v>신형만&amp;원정</v>
      </c>
      <c r="B969" s="43">
        <f>IFERROR(__xludf.DUMMYFUNCTION("""COMPUTED_VALUE"""),0.0)</f>
        <v>0</v>
      </c>
      <c r="C969" s="43">
        <f>IFERROR(__xludf.DUMMYFUNCTION("""COMPUTED_VALUE"""),1.0)</f>
        <v>1</v>
      </c>
      <c r="D969" s="46">
        <f>IFERROR(__xludf.DUMMYFUNCTION("""COMPUTED_VALUE"""),0.0)</f>
        <v>0</v>
      </c>
    </row>
    <row r="970">
      <c r="A970" s="43" t="str">
        <f>IFERROR(__xludf.DUMMYFUNCTION("""COMPUTED_VALUE"""),"신형만&amp;제이호")</f>
        <v>신형만&amp;제이호</v>
      </c>
      <c r="B970" s="43">
        <f>IFERROR(__xludf.DUMMYFUNCTION("""COMPUTED_VALUE"""),0.0)</f>
        <v>0</v>
      </c>
      <c r="C970" s="43">
        <f>IFERROR(__xludf.DUMMYFUNCTION("""COMPUTED_VALUE"""),1.0)</f>
        <v>1</v>
      </c>
      <c r="D970" s="46">
        <f>IFERROR(__xludf.DUMMYFUNCTION("""COMPUTED_VALUE"""),0.0)</f>
        <v>0</v>
      </c>
    </row>
    <row r="971">
      <c r="A971" s="43" t="str">
        <f>IFERROR(__xludf.DUMMYFUNCTION("""COMPUTED_VALUE"""),"신형만&amp;지피")</f>
        <v>신형만&amp;지피</v>
      </c>
      <c r="B971" s="43">
        <f>IFERROR(__xludf.DUMMYFUNCTION("""COMPUTED_VALUE"""),0.0)</f>
        <v>0</v>
      </c>
      <c r="C971" s="43">
        <f>IFERROR(__xludf.DUMMYFUNCTION("""COMPUTED_VALUE"""),1.0)</f>
        <v>1</v>
      </c>
      <c r="D971" s="46">
        <f>IFERROR(__xludf.DUMMYFUNCTION("""COMPUTED_VALUE"""),0.0)</f>
        <v>0</v>
      </c>
    </row>
    <row r="972">
      <c r="A972" s="43" t="str">
        <f>IFERROR(__xludf.DUMMYFUNCTION("""COMPUTED_VALUE"""),"아이딘&amp;웅")</f>
        <v>아이딘&amp;웅</v>
      </c>
      <c r="B972" s="43">
        <f>IFERROR(__xludf.DUMMYFUNCTION("""COMPUTED_VALUE"""),0.0)</f>
        <v>0</v>
      </c>
      <c r="C972" s="43">
        <f>IFERROR(__xludf.DUMMYFUNCTION("""COMPUTED_VALUE"""),1.0)</f>
        <v>1</v>
      </c>
      <c r="D972" s="46">
        <f>IFERROR(__xludf.DUMMYFUNCTION("""COMPUTED_VALUE"""),0.0)</f>
        <v>0</v>
      </c>
    </row>
    <row r="973">
      <c r="A973" s="43" t="str">
        <f>IFERROR(__xludf.DUMMYFUNCTION("""COMPUTED_VALUE"""),"아이딘&amp;조드")</f>
        <v>아이딘&amp;조드</v>
      </c>
      <c r="B973" s="43">
        <f>IFERROR(__xludf.DUMMYFUNCTION("""COMPUTED_VALUE"""),0.0)</f>
        <v>0</v>
      </c>
      <c r="C973" s="43">
        <f>IFERROR(__xludf.DUMMYFUNCTION("""COMPUTED_VALUE"""),1.0)</f>
        <v>1</v>
      </c>
      <c r="D973" s="46">
        <f>IFERROR(__xludf.DUMMYFUNCTION("""COMPUTED_VALUE"""),0.0)</f>
        <v>0</v>
      </c>
    </row>
    <row r="974">
      <c r="A974" s="43" t="str">
        <f>IFERROR(__xludf.DUMMYFUNCTION("""COMPUTED_VALUE"""),"아이딘&amp;튜브")</f>
        <v>아이딘&amp;튜브</v>
      </c>
      <c r="B974" s="43">
        <f>IFERROR(__xludf.DUMMYFUNCTION("""COMPUTED_VALUE"""),0.0)</f>
        <v>0</v>
      </c>
      <c r="C974" s="43">
        <f>IFERROR(__xludf.DUMMYFUNCTION("""COMPUTED_VALUE"""),1.0)</f>
        <v>1</v>
      </c>
      <c r="D974" s="46">
        <f>IFERROR(__xludf.DUMMYFUNCTION("""COMPUTED_VALUE"""),0.0)</f>
        <v>0</v>
      </c>
    </row>
    <row r="975">
      <c r="A975" s="43" t="str">
        <f>IFERROR(__xludf.DUMMYFUNCTION("""COMPUTED_VALUE"""),"아이딘&amp;해죽")</f>
        <v>아이딘&amp;해죽</v>
      </c>
      <c r="B975" s="43">
        <f>IFERROR(__xludf.DUMMYFUNCTION("""COMPUTED_VALUE"""),0.0)</f>
        <v>0</v>
      </c>
      <c r="C975" s="43">
        <f>IFERROR(__xludf.DUMMYFUNCTION("""COMPUTED_VALUE"""),1.0)</f>
        <v>1</v>
      </c>
      <c r="D975" s="46">
        <f>IFERROR(__xludf.DUMMYFUNCTION("""COMPUTED_VALUE"""),0.0)</f>
        <v>0</v>
      </c>
    </row>
    <row r="976">
      <c r="A976" s="43" t="str">
        <f>IFERROR(__xludf.DUMMYFUNCTION("""COMPUTED_VALUE"""),"악동&amp;엘")</f>
        <v>악동&amp;엘</v>
      </c>
      <c r="B976" s="43">
        <f>IFERROR(__xludf.DUMMYFUNCTION("""COMPUTED_VALUE"""),0.0)</f>
        <v>0</v>
      </c>
      <c r="C976" s="43">
        <f>IFERROR(__xludf.DUMMYFUNCTION("""COMPUTED_VALUE"""),1.0)</f>
        <v>1</v>
      </c>
      <c r="D976" s="46">
        <f>IFERROR(__xludf.DUMMYFUNCTION("""COMPUTED_VALUE"""),0.0)</f>
        <v>0</v>
      </c>
    </row>
    <row r="977">
      <c r="A977" s="43" t="str">
        <f>IFERROR(__xludf.DUMMYFUNCTION("""COMPUTED_VALUE"""),"엘더&amp;오딘")</f>
        <v>엘더&amp;오딘</v>
      </c>
      <c r="B977" s="43">
        <f>IFERROR(__xludf.DUMMYFUNCTION("""COMPUTED_VALUE"""),0.0)</f>
        <v>0</v>
      </c>
      <c r="C977" s="43">
        <f>IFERROR(__xludf.DUMMYFUNCTION("""COMPUTED_VALUE"""),1.0)</f>
        <v>1</v>
      </c>
      <c r="D977" s="46">
        <f>IFERROR(__xludf.DUMMYFUNCTION("""COMPUTED_VALUE"""),0.0)</f>
        <v>0</v>
      </c>
    </row>
    <row r="978">
      <c r="A978" s="43" t="str">
        <f>IFERROR(__xludf.DUMMYFUNCTION("""COMPUTED_VALUE"""),"오딘&amp;유망")</f>
        <v>오딘&amp;유망</v>
      </c>
      <c r="B978" s="43">
        <f>IFERROR(__xludf.DUMMYFUNCTION("""COMPUTED_VALUE"""),0.0)</f>
        <v>0</v>
      </c>
      <c r="C978" s="43">
        <f>IFERROR(__xludf.DUMMYFUNCTION("""COMPUTED_VALUE"""),1.0)</f>
        <v>1</v>
      </c>
      <c r="D978" s="46">
        <f>IFERROR(__xludf.DUMMYFUNCTION("""COMPUTED_VALUE"""),0.0)</f>
        <v>0</v>
      </c>
    </row>
    <row r="979">
      <c r="A979" s="43" t="str">
        <f>IFERROR(__xludf.DUMMYFUNCTION("""COMPUTED_VALUE"""),"오딘&amp;태식")</f>
        <v>오딘&amp;태식</v>
      </c>
      <c r="B979" s="43">
        <f>IFERROR(__xludf.DUMMYFUNCTION("""COMPUTED_VALUE"""),0.0)</f>
        <v>0</v>
      </c>
      <c r="C979" s="43">
        <f>IFERROR(__xludf.DUMMYFUNCTION("""COMPUTED_VALUE"""),1.0)</f>
        <v>1</v>
      </c>
      <c r="D979" s="46">
        <f>IFERROR(__xludf.DUMMYFUNCTION("""COMPUTED_VALUE"""),0.0)</f>
        <v>0</v>
      </c>
    </row>
    <row r="980">
      <c r="A980" s="43" t="str">
        <f>IFERROR(__xludf.DUMMYFUNCTION("""COMPUTED_VALUE"""),"오크&amp;태식")</f>
        <v>오크&amp;태식</v>
      </c>
      <c r="B980" s="43">
        <f>IFERROR(__xludf.DUMMYFUNCTION("""COMPUTED_VALUE"""),0.0)</f>
        <v>0</v>
      </c>
      <c r="C980" s="43">
        <f>IFERROR(__xludf.DUMMYFUNCTION("""COMPUTED_VALUE"""),1.0)</f>
        <v>1</v>
      </c>
      <c r="D980" s="46">
        <f>IFERROR(__xludf.DUMMYFUNCTION("""COMPUTED_VALUE"""),0.0)</f>
        <v>0</v>
      </c>
    </row>
    <row r="981">
      <c r="A981" s="43" t="str">
        <f>IFERROR(__xludf.DUMMYFUNCTION("""COMPUTED_VALUE"""),"요즘&amp;원")</f>
        <v>요즘&amp;원</v>
      </c>
      <c r="B981" s="43">
        <f>IFERROR(__xludf.DUMMYFUNCTION("""COMPUTED_VALUE"""),0.0)</f>
        <v>0</v>
      </c>
      <c r="C981" s="43">
        <f>IFERROR(__xludf.DUMMYFUNCTION("""COMPUTED_VALUE"""),1.0)</f>
        <v>1</v>
      </c>
      <c r="D981" s="46">
        <f>IFERROR(__xludf.DUMMYFUNCTION("""COMPUTED_VALUE"""),0.0)</f>
        <v>0</v>
      </c>
    </row>
    <row r="982">
      <c r="A982" s="43" t="str">
        <f>IFERROR(__xludf.DUMMYFUNCTION("""COMPUTED_VALUE"""),"요즘&amp;태식")</f>
        <v>요즘&amp;태식</v>
      </c>
      <c r="B982" s="43">
        <f>IFERROR(__xludf.DUMMYFUNCTION("""COMPUTED_VALUE"""),0.0)</f>
        <v>0</v>
      </c>
      <c r="C982" s="43">
        <f>IFERROR(__xludf.DUMMYFUNCTION("""COMPUTED_VALUE"""),1.0)</f>
        <v>1</v>
      </c>
      <c r="D982" s="46">
        <f>IFERROR(__xludf.DUMMYFUNCTION("""COMPUTED_VALUE"""),0.0)</f>
        <v>0</v>
      </c>
    </row>
    <row r="983">
      <c r="A983" s="43" t="str">
        <f>IFERROR(__xludf.DUMMYFUNCTION("""COMPUTED_VALUE"""),"요즘&amp;필찌")</f>
        <v>요즘&amp;필찌</v>
      </c>
      <c r="B983" s="43">
        <f>IFERROR(__xludf.DUMMYFUNCTION("""COMPUTED_VALUE"""),0.0)</f>
        <v>0</v>
      </c>
      <c r="C983" s="43">
        <f>IFERROR(__xludf.DUMMYFUNCTION("""COMPUTED_VALUE"""),1.0)</f>
        <v>1</v>
      </c>
      <c r="D983" s="46">
        <f>IFERROR(__xludf.DUMMYFUNCTION("""COMPUTED_VALUE"""),0.0)</f>
        <v>0</v>
      </c>
    </row>
    <row r="984">
      <c r="A984" s="43" t="str">
        <f>IFERROR(__xludf.DUMMYFUNCTION("""COMPUTED_VALUE"""),"용갈&amp;짱구")</f>
        <v>용갈&amp;짱구</v>
      </c>
      <c r="B984" s="43">
        <f>IFERROR(__xludf.DUMMYFUNCTION("""COMPUTED_VALUE"""),0.0)</f>
        <v>0</v>
      </c>
      <c r="C984" s="43">
        <f>IFERROR(__xludf.DUMMYFUNCTION("""COMPUTED_VALUE"""),1.0)</f>
        <v>1</v>
      </c>
      <c r="D984" s="46">
        <f>IFERROR(__xludf.DUMMYFUNCTION("""COMPUTED_VALUE"""),0.0)</f>
        <v>0</v>
      </c>
    </row>
    <row r="985">
      <c r="A985" s="43" t="str">
        <f>IFERROR(__xludf.DUMMYFUNCTION("""COMPUTED_VALUE"""),"용갈&amp;태식")</f>
        <v>용갈&amp;태식</v>
      </c>
      <c r="B985" s="43">
        <f>IFERROR(__xludf.DUMMYFUNCTION("""COMPUTED_VALUE"""),0.0)</f>
        <v>0</v>
      </c>
      <c r="C985" s="43">
        <f>IFERROR(__xludf.DUMMYFUNCTION("""COMPUTED_VALUE"""),1.0)</f>
        <v>1</v>
      </c>
      <c r="D985" s="46">
        <f>IFERROR(__xludf.DUMMYFUNCTION("""COMPUTED_VALUE"""),0.0)</f>
        <v>0</v>
      </c>
    </row>
    <row r="986">
      <c r="A986" s="43" t="str">
        <f>IFERROR(__xludf.DUMMYFUNCTION("""COMPUTED_VALUE"""),"용갈&amp;테리")</f>
        <v>용갈&amp;테리</v>
      </c>
      <c r="B986" s="43">
        <f>IFERROR(__xludf.DUMMYFUNCTION("""COMPUTED_VALUE"""),0.0)</f>
        <v>0</v>
      </c>
      <c r="C986" s="43">
        <f>IFERROR(__xludf.DUMMYFUNCTION("""COMPUTED_VALUE"""),1.0)</f>
        <v>1</v>
      </c>
      <c r="D986" s="46">
        <f>IFERROR(__xludf.DUMMYFUNCTION("""COMPUTED_VALUE"""),0.0)</f>
        <v>0</v>
      </c>
    </row>
    <row r="987">
      <c r="A987" s="43" t="str">
        <f>IFERROR(__xludf.DUMMYFUNCTION("""COMPUTED_VALUE"""),"용이&amp;테리")</f>
        <v>용이&amp;테리</v>
      </c>
      <c r="B987" s="43">
        <f>IFERROR(__xludf.DUMMYFUNCTION("""COMPUTED_VALUE"""),0.0)</f>
        <v>0</v>
      </c>
      <c r="C987" s="43">
        <f>IFERROR(__xludf.DUMMYFUNCTION("""COMPUTED_VALUE"""),1.0)</f>
        <v>1</v>
      </c>
      <c r="D987" s="46">
        <f>IFERROR(__xludf.DUMMYFUNCTION("""COMPUTED_VALUE"""),0.0)</f>
        <v>0</v>
      </c>
    </row>
    <row r="988">
      <c r="A988" s="43" t="str">
        <f>IFERROR(__xludf.DUMMYFUNCTION("""COMPUTED_VALUE"""),"용이&amp;퍼플")</f>
        <v>용이&amp;퍼플</v>
      </c>
      <c r="B988" s="43">
        <f>IFERROR(__xludf.DUMMYFUNCTION("""COMPUTED_VALUE"""),0.0)</f>
        <v>0</v>
      </c>
      <c r="C988" s="43">
        <f>IFERROR(__xludf.DUMMYFUNCTION("""COMPUTED_VALUE"""),1.0)</f>
        <v>1</v>
      </c>
      <c r="D988" s="46">
        <f>IFERROR(__xludf.DUMMYFUNCTION("""COMPUTED_VALUE"""),0.0)</f>
        <v>0</v>
      </c>
    </row>
    <row r="989">
      <c r="A989" s="43" t="str">
        <f>IFERROR(__xludf.DUMMYFUNCTION("""COMPUTED_VALUE"""),"웅&amp;참치")</f>
        <v>웅&amp;참치</v>
      </c>
      <c r="B989" s="43">
        <f>IFERROR(__xludf.DUMMYFUNCTION("""COMPUTED_VALUE"""),0.0)</f>
        <v>0</v>
      </c>
      <c r="C989" s="43">
        <f>IFERROR(__xludf.DUMMYFUNCTION("""COMPUTED_VALUE"""),1.0)</f>
        <v>1</v>
      </c>
      <c r="D989" s="46">
        <f>IFERROR(__xludf.DUMMYFUNCTION("""COMPUTED_VALUE"""),0.0)</f>
        <v>0</v>
      </c>
    </row>
    <row r="990">
      <c r="A990" s="43" t="str">
        <f>IFERROR(__xludf.DUMMYFUNCTION("""COMPUTED_VALUE"""),"웅&amp;터미")</f>
        <v>웅&amp;터미</v>
      </c>
      <c r="B990" s="43">
        <f>IFERROR(__xludf.DUMMYFUNCTION("""COMPUTED_VALUE"""),0.0)</f>
        <v>0</v>
      </c>
      <c r="C990" s="43">
        <f>IFERROR(__xludf.DUMMYFUNCTION("""COMPUTED_VALUE"""),1.0)</f>
        <v>1</v>
      </c>
      <c r="D990" s="46">
        <f>IFERROR(__xludf.DUMMYFUNCTION("""COMPUTED_VALUE"""),0.0)</f>
        <v>0</v>
      </c>
    </row>
    <row r="991">
      <c r="A991" s="43" t="str">
        <f>IFERROR(__xludf.DUMMYFUNCTION("""COMPUTED_VALUE"""),"웅&amp;혀니")</f>
        <v>웅&amp;혀니</v>
      </c>
      <c r="B991" s="43">
        <f>IFERROR(__xludf.DUMMYFUNCTION("""COMPUTED_VALUE"""),0.0)</f>
        <v>0</v>
      </c>
      <c r="C991" s="43">
        <f>IFERROR(__xludf.DUMMYFUNCTION("""COMPUTED_VALUE"""),1.0)</f>
        <v>1</v>
      </c>
      <c r="D991" s="46">
        <f>IFERROR(__xludf.DUMMYFUNCTION("""COMPUTED_VALUE"""),0.0)</f>
        <v>0</v>
      </c>
    </row>
    <row r="992">
      <c r="A992" s="43" t="str">
        <f>IFERROR(__xludf.DUMMYFUNCTION("""COMPUTED_VALUE"""),"원정&amp;테리")</f>
        <v>원정&amp;테리</v>
      </c>
      <c r="B992" s="43">
        <f>IFERROR(__xludf.DUMMYFUNCTION("""COMPUTED_VALUE"""),0.0)</f>
        <v>0</v>
      </c>
      <c r="C992" s="43">
        <f>IFERROR(__xludf.DUMMYFUNCTION("""COMPUTED_VALUE"""),1.0)</f>
        <v>1</v>
      </c>
      <c r="D992" s="46">
        <f>IFERROR(__xludf.DUMMYFUNCTION("""COMPUTED_VALUE"""),0.0)</f>
        <v>0</v>
      </c>
    </row>
    <row r="993">
      <c r="A993" s="43" t="str">
        <f>IFERROR(__xludf.DUMMYFUNCTION("""COMPUTED_VALUE"""),"윙크&amp;지피")</f>
        <v>윙크&amp;지피</v>
      </c>
      <c r="B993" s="43">
        <f>IFERROR(__xludf.DUMMYFUNCTION("""COMPUTED_VALUE"""),0.0)</f>
        <v>0</v>
      </c>
      <c r="C993" s="43">
        <f>IFERROR(__xludf.DUMMYFUNCTION("""COMPUTED_VALUE"""),1.0)</f>
        <v>1</v>
      </c>
      <c r="D993" s="46">
        <f>IFERROR(__xludf.DUMMYFUNCTION("""COMPUTED_VALUE"""),0.0)</f>
        <v>0</v>
      </c>
    </row>
    <row r="994">
      <c r="A994" s="43" t="str">
        <f>IFERROR(__xludf.DUMMYFUNCTION("""COMPUTED_VALUE"""),"유망&amp;재명")</f>
        <v>유망&amp;재명</v>
      </c>
      <c r="B994" s="43">
        <f>IFERROR(__xludf.DUMMYFUNCTION("""COMPUTED_VALUE"""),0.0)</f>
        <v>0</v>
      </c>
      <c r="C994" s="43">
        <f>IFERROR(__xludf.DUMMYFUNCTION("""COMPUTED_VALUE"""),1.0)</f>
        <v>1</v>
      </c>
      <c r="D994" s="46">
        <f>IFERROR(__xludf.DUMMYFUNCTION("""COMPUTED_VALUE"""),0.0)</f>
        <v>0</v>
      </c>
    </row>
    <row r="995">
      <c r="A995" s="43" t="str">
        <f>IFERROR(__xludf.DUMMYFUNCTION("""COMPUTED_VALUE"""),"유즈&amp;재명")</f>
        <v>유즈&amp;재명</v>
      </c>
      <c r="B995" s="43">
        <f>IFERROR(__xludf.DUMMYFUNCTION("""COMPUTED_VALUE"""),0.0)</f>
        <v>0</v>
      </c>
      <c r="C995" s="43">
        <f>IFERROR(__xludf.DUMMYFUNCTION("""COMPUTED_VALUE"""),1.0)</f>
        <v>1</v>
      </c>
      <c r="D995" s="46">
        <f>IFERROR(__xludf.DUMMYFUNCTION("""COMPUTED_VALUE"""),0.0)</f>
        <v>0</v>
      </c>
    </row>
    <row r="996">
      <c r="A996" s="43" t="str">
        <f>IFERROR(__xludf.DUMMYFUNCTION("""COMPUTED_VALUE"""),"유즈&amp;학생")</f>
        <v>유즈&amp;학생</v>
      </c>
      <c r="B996" s="43">
        <f>IFERROR(__xludf.DUMMYFUNCTION("""COMPUTED_VALUE"""),0.0)</f>
        <v>0</v>
      </c>
      <c r="C996" s="43">
        <f>IFERROR(__xludf.DUMMYFUNCTION("""COMPUTED_VALUE"""),1.0)</f>
        <v>1</v>
      </c>
      <c r="D996" s="46">
        <f>IFERROR(__xludf.DUMMYFUNCTION("""COMPUTED_VALUE"""),0.0)</f>
        <v>0</v>
      </c>
    </row>
    <row r="997">
      <c r="A997" s="43" t="str">
        <f>IFERROR(__xludf.DUMMYFUNCTION("""COMPUTED_VALUE"""),"재규어&amp;짱구")</f>
        <v>재규어&amp;짱구</v>
      </c>
      <c r="B997" s="43">
        <f>IFERROR(__xludf.DUMMYFUNCTION("""COMPUTED_VALUE"""),0.0)</f>
        <v>0</v>
      </c>
      <c r="C997" s="43">
        <f>IFERROR(__xludf.DUMMYFUNCTION("""COMPUTED_VALUE"""),1.0)</f>
        <v>1</v>
      </c>
      <c r="D997" s="46">
        <f>IFERROR(__xludf.DUMMYFUNCTION("""COMPUTED_VALUE"""),0.0)</f>
        <v>0</v>
      </c>
    </row>
    <row r="998">
      <c r="A998" s="43" t="str">
        <f>IFERROR(__xludf.DUMMYFUNCTION("""COMPUTED_VALUE"""),"재우&amp;찹쌀")</f>
        <v>재우&amp;찹쌀</v>
      </c>
      <c r="B998" s="43">
        <f>IFERROR(__xludf.DUMMYFUNCTION("""COMPUTED_VALUE"""),0.0)</f>
        <v>0</v>
      </c>
      <c r="C998" s="43">
        <f>IFERROR(__xludf.DUMMYFUNCTION("""COMPUTED_VALUE"""),1.0)</f>
        <v>1</v>
      </c>
      <c r="D998" s="46">
        <f>IFERROR(__xludf.DUMMYFUNCTION("""COMPUTED_VALUE"""),0.0)</f>
        <v>0</v>
      </c>
    </row>
    <row r="999">
      <c r="A999" s="43" t="str">
        <f>IFERROR(__xludf.DUMMYFUNCTION("""COMPUTED_VALUE"""),"전투쥐&amp;조심")</f>
        <v>전투쥐&amp;조심</v>
      </c>
      <c r="B999" s="43">
        <f>IFERROR(__xludf.DUMMYFUNCTION("""COMPUTED_VALUE"""),0.0)</f>
        <v>0</v>
      </c>
      <c r="C999" s="43">
        <f>IFERROR(__xludf.DUMMYFUNCTION("""COMPUTED_VALUE"""),1.0)</f>
        <v>1</v>
      </c>
      <c r="D999" s="46">
        <f>IFERROR(__xludf.DUMMYFUNCTION("""COMPUTED_VALUE"""),0.0)</f>
        <v>0</v>
      </c>
    </row>
    <row r="1000">
      <c r="A1000" s="43" t="str">
        <f>IFERROR(__xludf.DUMMYFUNCTION("""COMPUTED_VALUE"""),"전투쥐&amp;참치")</f>
        <v>전투쥐&amp;참치</v>
      </c>
      <c r="B1000" s="43">
        <f>IFERROR(__xludf.DUMMYFUNCTION("""COMPUTED_VALUE"""),0.0)</f>
        <v>0</v>
      </c>
      <c r="C1000" s="43">
        <f>IFERROR(__xludf.DUMMYFUNCTION("""COMPUTED_VALUE"""),1.0)</f>
        <v>1</v>
      </c>
      <c r="D1000" s="46">
        <f>IFERROR(__xludf.DUMMYFUNCTION("""COMPUTED_VALUE"""),0.0)</f>
        <v>0</v>
      </c>
    </row>
    <row r="1001">
      <c r="A1001" s="43" t="str">
        <f>IFERROR(__xludf.DUMMYFUNCTION("""COMPUTED_VALUE"""),"전투쥐&amp;퍼플")</f>
        <v>전투쥐&amp;퍼플</v>
      </c>
      <c r="B1001" s="43">
        <f>IFERROR(__xludf.DUMMYFUNCTION("""COMPUTED_VALUE"""),0.0)</f>
        <v>0</v>
      </c>
      <c r="C1001" s="43">
        <f>IFERROR(__xludf.DUMMYFUNCTION("""COMPUTED_VALUE"""),1.0)</f>
        <v>1</v>
      </c>
      <c r="D1001" s="46">
        <f>IFERROR(__xludf.DUMMYFUNCTION("""COMPUTED_VALUE"""),0.0)</f>
        <v>0</v>
      </c>
    </row>
    <row r="1002">
      <c r="A1002" s="43" t="str">
        <f>IFERROR(__xludf.DUMMYFUNCTION("""COMPUTED_VALUE"""),"전투쥐&amp;해죽")</f>
        <v>전투쥐&amp;해죽</v>
      </c>
      <c r="B1002" s="43">
        <f>IFERROR(__xludf.DUMMYFUNCTION("""COMPUTED_VALUE"""),0.0)</f>
        <v>0</v>
      </c>
      <c r="C1002" s="43">
        <f>IFERROR(__xludf.DUMMYFUNCTION("""COMPUTED_VALUE"""),1.0)</f>
        <v>1</v>
      </c>
      <c r="D1002" s="46">
        <f>IFERROR(__xludf.DUMMYFUNCTION("""COMPUTED_VALUE"""),0.0)</f>
        <v>0</v>
      </c>
    </row>
    <row r="1003">
      <c r="A1003" s="43" t="str">
        <f>IFERROR(__xludf.DUMMYFUNCTION("""COMPUTED_VALUE"""),"제로스&amp;조드")</f>
        <v>제로스&amp;조드</v>
      </c>
      <c r="B1003" s="43">
        <f>IFERROR(__xludf.DUMMYFUNCTION("""COMPUTED_VALUE"""),0.0)</f>
        <v>0</v>
      </c>
      <c r="C1003" s="43">
        <f>IFERROR(__xludf.DUMMYFUNCTION("""COMPUTED_VALUE"""),1.0)</f>
        <v>1</v>
      </c>
      <c r="D1003" s="46">
        <f>IFERROR(__xludf.DUMMYFUNCTION("""COMPUTED_VALUE"""),0.0)</f>
        <v>0</v>
      </c>
    </row>
    <row r="1004">
      <c r="A1004" s="43" t="str">
        <f>IFERROR(__xludf.DUMMYFUNCTION("""COMPUTED_VALUE"""),"제이호&amp;팰리")</f>
        <v>제이호&amp;팰리</v>
      </c>
      <c r="B1004" s="43">
        <f>IFERROR(__xludf.DUMMYFUNCTION("""COMPUTED_VALUE"""),0.0)</f>
        <v>0</v>
      </c>
      <c r="C1004" s="43">
        <f>IFERROR(__xludf.DUMMYFUNCTION("""COMPUTED_VALUE"""),1.0)</f>
        <v>1</v>
      </c>
      <c r="D1004" s="46">
        <f>IFERROR(__xludf.DUMMYFUNCTION("""COMPUTED_VALUE"""),0.0)</f>
        <v>0</v>
      </c>
    </row>
    <row r="1005">
      <c r="A1005" s="43" t="str">
        <f>IFERROR(__xludf.DUMMYFUNCTION("""COMPUTED_VALUE"""),"조네&amp;찹쌀")</f>
        <v>조네&amp;찹쌀</v>
      </c>
      <c r="B1005" s="43">
        <f>IFERROR(__xludf.DUMMYFUNCTION("""COMPUTED_VALUE"""),0.0)</f>
        <v>0</v>
      </c>
      <c r="C1005" s="43">
        <f>IFERROR(__xludf.DUMMYFUNCTION("""COMPUTED_VALUE"""),1.0)</f>
        <v>1</v>
      </c>
      <c r="D1005" s="46">
        <f>IFERROR(__xludf.DUMMYFUNCTION("""COMPUTED_VALUE"""),0.0)</f>
        <v>0</v>
      </c>
    </row>
    <row r="1006">
      <c r="A1006" s="43" t="str">
        <f>IFERROR(__xludf.DUMMYFUNCTION("""COMPUTED_VALUE"""),"조드&amp;참치")</f>
        <v>조드&amp;참치</v>
      </c>
      <c r="B1006" s="43">
        <f>IFERROR(__xludf.DUMMYFUNCTION("""COMPUTED_VALUE"""),0.0)</f>
        <v>0</v>
      </c>
      <c r="C1006" s="43">
        <f>IFERROR(__xludf.DUMMYFUNCTION("""COMPUTED_VALUE"""),1.0)</f>
        <v>1</v>
      </c>
      <c r="D1006" s="46">
        <f>IFERROR(__xludf.DUMMYFUNCTION("""COMPUTED_VALUE"""),0.0)</f>
        <v>0</v>
      </c>
    </row>
    <row r="1007">
      <c r="A1007" s="43" t="str">
        <f>IFERROR(__xludf.DUMMYFUNCTION("""COMPUTED_VALUE"""),"조드&amp;킹")</f>
        <v>조드&amp;킹</v>
      </c>
      <c r="B1007" s="43">
        <f>IFERROR(__xludf.DUMMYFUNCTION("""COMPUTED_VALUE"""),0.0)</f>
        <v>0</v>
      </c>
      <c r="C1007" s="43">
        <f>IFERROR(__xludf.DUMMYFUNCTION("""COMPUTED_VALUE"""),1.0)</f>
        <v>1</v>
      </c>
      <c r="D1007" s="46">
        <f>IFERROR(__xludf.DUMMYFUNCTION("""COMPUTED_VALUE"""),0.0)</f>
        <v>0</v>
      </c>
    </row>
    <row r="1008">
      <c r="A1008" s="43" t="str">
        <f>IFERROR(__xludf.DUMMYFUNCTION("""COMPUTED_VALUE"""),"조심&amp;지피")</f>
        <v>조심&amp;지피</v>
      </c>
      <c r="B1008" s="43">
        <f>IFERROR(__xludf.DUMMYFUNCTION("""COMPUTED_VALUE"""),0.0)</f>
        <v>0</v>
      </c>
      <c r="C1008" s="43">
        <f>IFERROR(__xludf.DUMMYFUNCTION("""COMPUTED_VALUE"""),1.0)</f>
        <v>1</v>
      </c>
      <c r="D1008" s="46">
        <f>IFERROR(__xludf.DUMMYFUNCTION("""COMPUTED_VALUE"""),0.0)</f>
        <v>0</v>
      </c>
    </row>
    <row r="1009">
      <c r="A1009" s="43" t="str">
        <f>IFERROR(__xludf.DUMMYFUNCTION("""COMPUTED_VALUE"""),"지피&amp;짱구")</f>
        <v>지피&amp;짱구</v>
      </c>
      <c r="B1009" s="43">
        <f>IFERROR(__xludf.DUMMYFUNCTION("""COMPUTED_VALUE"""),0.0)</f>
        <v>0</v>
      </c>
      <c r="C1009" s="43">
        <f>IFERROR(__xludf.DUMMYFUNCTION("""COMPUTED_VALUE"""),1.0)</f>
        <v>1</v>
      </c>
      <c r="D1009" s="46">
        <f>IFERROR(__xludf.DUMMYFUNCTION("""COMPUTED_VALUE"""),0.0)</f>
        <v>0</v>
      </c>
    </row>
    <row r="1010">
      <c r="A1010" s="43" t="str">
        <f>IFERROR(__xludf.DUMMYFUNCTION("""COMPUTED_VALUE"""),"참치&amp;킹")</f>
        <v>참치&amp;킹</v>
      </c>
      <c r="B1010" s="43">
        <f>IFERROR(__xludf.DUMMYFUNCTION("""COMPUTED_VALUE"""),0.0)</f>
        <v>0</v>
      </c>
      <c r="C1010" s="43">
        <f>IFERROR(__xludf.DUMMYFUNCTION("""COMPUTED_VALUE"""),1.0)</f>
        <v>1</v>
      </c>
      <c r="D1010" s="46">
        <f>IFERROR(__xludf.DUMMYFUNCTION("""COMPUTED_VALUE"""),0.0)</f>
        <v>0</v>
      </c>
    </row>
    <row r="1011">
      <c r="A1011" s="43" t="str">
        <f>IFERROR(__xludf.DUMMYFUNCTION("""COMPUTED_VALUE"""),"참치&amp;하리보")</f>
        <v>참치&amp;하리보</v>
      </c>
      <c r="B1011" s="43">
        <f>IFERROR(__xludf.DUMMYFUNCTION("""COMPUTED_VALUE"""),0.0)</f>
        <v>0</v>
      </c>
      <c r="C1011" s="43">
        <f>IFERROR(__xludf.DUMMYFUNCTION("""COMPUTED_VALUE"""),1.0)</f>
        <v>1</v>
      </c>
      <c r="D1011" s="46">
        <f>IFERROR(__xludf.DUMMYFUNCTION("""COMPUTED_VALUE"""),0.0)</f>
        <v>0</v>
      </c>
    </row>
    <row r="1012">
      <c r="A1012" s="43" t="str">
        <f>IFERROR(__xludf.DUMMYFUNCTION("""COMPUTED_VALUE"""),"키키&amp;테슬라")</f>
        <v>키키&amp;테슬라</v>
      </c>
      <c r="B1012" s="43">
        <f>IFERROR(__xludf.DUMMYFUNCTION("""COMPUTED_VALUE"""),0.0)</f>
        <v>0</v>
      </c>
      <c r="C1012" s="43">
        <f>IFERROR(__xludf.DUMMYFUNCTION("""COMPUTED_VALUE"""),1.0)</f>
        <v>1</v>
      </c>
      <c r="D1012" s="46">
        <f>IFERROR(__xludf.DUMMYFUNCTION("""COMPUTED_VALUE"""),0.0)</f>
        <v>0</v>
      </c>
    </row>
    <row r="1013">
      <c r="A1013" s="43" t="str">
        <f>IFERROR(__xludf.DUMMYFUNCTION("""COMPUTED_VALUE"""),"태식&amp;필찌")</f>
        <v>태식&amp;필찌</v>
      </c>
      <c r="B1013" s="43">
        <f>IFERROR(__xludf.DUMMYFUNCTION("""COMPUTED_VALUE"""),0.0)</f>
        <v>0</v>
      </c>
      <c r="C1013" s="43">
        <f>IFERROR(__xludf.DUMMYFUNCTION("""COMPUTED_VALUE"""),1.0)</f>
        <v>1</v>
      </c>
      <c r="D1013" s="46">
        <f>IFERROR(__xludf.DUMMYFUNCTION("""COMPUTED_VALUE"""),0.0)</f>
        <v>0</v>
      </c>
    </row>
    <row r="1014">
      <c r="A1014" s="43" t="str">
        <f>IFERROR(__xludf.DUMMYFUNCTION("""COMPUTED_VALUE"""),"태식&amp;학생")</f>
        <v>태식&amp;학생</v>
      </c>
      <c r="B1014" s="43">
        <f>IFERROR(__xludf.DUMMYFUNCTION("""COMPUTED_VALUE"""),0.0)</f>
        <v>0</v>
      </c>
      <c r="C1014" s="43">
        <f>IFERROR(__xludf.DUMMYFUNCTION("""COMPUTED_VALUE"""),1.0)</f>
        <v>1</v>
      </c>
      <c r="D1014" s="46">
        <f>IFERROR(__xludf.DUMMYFUNCTION("""COMPUTED_VALUE"""),0.0)</f>
        <v>0</v>
      </c>
    </row>
    <row r="1015">
      <c r="A1015" s="43" t="str">
        <f>IFERROR(__xludf.DUMMYFUNCTION("""COMPUTED_VALUE"""),"터미&amp;혀니")</f>
        <v>터미&amp;혀니</v>
      </c>
      <c r="B1015" s="43">
        <f>IFERROR(__xludf.DUMMYFUNCTION("""COMPUTED_VALUE"""),0.0)</f>
        <v>0</v>
      </c>
      <c r="C1015" s="43">
        <f>IFERROR(__xludf.DUMMYFUNCTION("""COMPUTED_VALUE"""),1.0)</f>
        <v>1</v>
      </c>
      <c r="D1015" s="46">
        <f>IFERROR(__xludf.DUMMYFUNCTION("""COMPUTED_VALUE"""),0.0)</f>
        <v>0</v>
      </c>
    </row>
    <row r="1016">
      <c r="A1016" s="43" t="str">
        <f>IFERROR(__xludf.DUMMYFUNCTION("""COMPUTED_VALUE"""),"테리&amp;팰리")</f>
        <v>테리&amp;팰리</v>
      </c>
      <c r="B1016" s="43">
        <f>IFERROR(__xludf.DUMMYFUNCTION("""COMPUTED_VALUE"""),0.0)</f>
        <v>0</v>
      </c>
      <c r="C1016" s="43">
        <f>IFERROR(__xludf.DUMMYFUNCTION("""COMPUTED_VALUE"""),1.0)</f>
        <v>1</v>
      </c>
      <c r="D1016" s="46">
        <f>IFERROR(__xludf.DUMMYFUNCTION("""COMPUTED_VALUE"""),0.0)</f>
        <v>0</v>
      </c>
    </row>
    <row r="1017">
      <c r="A1017" s="43" t="str">
        <f>IFERROR(__xludf.DUMMYFUNCTION("""COMPUTED_VALUE"""),"테슬라&amp;한메")</f>
        <v>테슬라&amp;한메</v>
      </c>
      <c r="B1017" s="43">
        <f>IFERROR(__xludf.DUMMYFUNCTION("""COMPUTED_VALUE"""),0.0)</f>
        <v>0</v>
      </c>
      <c r="C1017" s="43">
        <f>IFERROR(__xludf.DUMMYFUNCTION("""COMPUTED_VALUE"""),1.0)</f>
        <v>1</v>
      </c>
      <c r="D1017" s="46">
        <f>IFERROR(__xludf.DUMMYFUNCTION("""COMPUTED_VALUE"""),0.0)</f>
        <v>0</v>
      </c>
    </row>
    <row r="1018">
      <c r="A1018" s="43" t="str">
        <f>IFERROR(__xludf.DUMMYFUNCTION("""COMPUTED_VALUE"""),"하리보&amp;한메")</f>
        <v>하리보&amp;한메</v>
      </c>
      <c r="B1018" s="43">
        <f>IFERROR(__xludf.DUMMYFUNCTION("""COMPUTED_VALUE"""),0.0)</f>
        <v>0</v>
      </c>
      <c r="C1018" s="43">
        <f>IFERROR(__xludf.DUMMYFUNCTION("""COMPUTED_VALUE"""),1.0)</f>
        <v>1</v>
      </c>
      <c r="D1018" s="46">
        <f>IFERROR(__xludf.DUMMYFUNCTION("""COMPUTED_VALUE"""),0.0)</f>
        <v>0</v>
      </c>
    </row>
    <row r="1019">
      <c r="A1019" s="43" t="str">
        <f>IFERROR(__xludf.DUMMYFUNCTION("""COMPUTED_VALUE"""),"ACDC&amp;마법거북이")</f>
        <v>ACDC&amp;마법거북이</v>
      </c>
      <c r="B1019" s="43">
        <f>IFERROR(__xludf.DUMMYFUNCTION("""COMPUTED_VALUE"""),0.0)</f>
        <v>0</v>
      </c>
      <c r="C1019" s="43">
        <f>IFERROR(__xludf.DUMMYFUNCTION("""COMPUTED_VALUE"""),2.0)</f>
        <v>2</v>
      </c>
      <c r="D1019" s="46">
        <f>IFERROR(__xludf.DUMMYFUNCTION("""COMPUTED_VALUE"""),0.0)</f>
        <v>0</v>
      </c>
    </row>
    <row r="1020">
      <c r="A1020" s="43" t="str">
        <f>IFERROR(__xludf.DUMMYFUNCTION("""COMPUTED_VALUE"""),"ACDC&amp;뼈해장국")</f>
        <v>ACDC&amp;뼈해장국</v>
      </c>
      <c r="B1020" s="43">
        <f>IFERROR(__xludf.DUMMYFUNCTION("""COMPUTED_VALUE"""),0.0)</f>
        <v>0</v>
      </c>
      <c r="C1020" s="43">
        <f>IFERROR(__xludf.DUMMYFUNCTION("""COMPUTED_VALUE"""),2.0)</f>
        <v>2</v>
      </c>
      <c r="D1020" s="46">
        <f>IFERROR(__xludf.DUMMYFUNCTION("""COMPUTED_VALUE"""),0.0)</f>
        <v>0</v>
      </c>
    </row>
    <row r="1021">
      <c r="A1021" s="43" t="str">
        <f>IFERROR(__xludf.DUMMYFUNCTION("""COMPUTED_VALUE"""),"ACDC&amp;테슬라")</f>
        <v>ACDC&amp;테슬라</v>
      </c>
      <c r="B1021" s="43">
        <f>IFERROR(__xludf.DUMMYFUNCTION("""COMPUTED_VALUE"""),0.0)</f>
        <v>0</v>
      </c>
      <c r="C1021" s="43">
        <f>IFERROR(__xludf.DUMMYFUNCTION("""COMPUTED_VALUE"""),2.0)</f>
        <v>2</v>
      </c>
      <c r="D1021" s="46">
        <f>IFERROR(__xludf.DUMMYFUNCTION("""COMPUTED_VALUE"""),0.0)</f>
        <v>0</v>
      </c>
    </row>
    <row r="1022">
      <c r="A1022" s="43" t="str">
        <f>IFERROR(__xludf.DUMMYFUNCTION("""COMPUTED_VALUE"""),"ACDC&amp;퍼플")</f>
        <v>ACDC&amp;퍼플</v>
      </c>
      <c r="B1022" s="43">
        <f>IFERROR(__xludf.DUMMYFUNCTION("""COMPUTED_VALUE"""),0.0)</f>
        <v>0</v>
      </c>
      <c r="C1022" s="43">
        <f>IFERROR(__xludf.DUMMYFUNCTION("""COMPUTED_VALUE"""),2.0)</f>
        <v>2</v>
      </c>
      <c r="D1022" s="46">
        <f>IFERROR(__xludf.DUMMYFUNCTION("""COMPUTED_VALUE"""),0.0)</f>
        <v>0</v>
      </c>
    </row>
    <row r="1023">
      <c r="A1023" s="43" t="str">
        <f>IFERROR(__xludf.DUMMYFUNCTION("""COMPUTED_VALUE"""),"GYUL&amp;오딘")</f>
        <v>GYUL&amp;오딘</v>
      </c>
      <c r="B1023" s="43">
        <f>IFERROR(__xludf.DUMMYFUNCTION("""COMPUTED_VALUE"""),0.0)</f>
        <v>0</v>
      </c>
      <c r="C1023" s="43">
        <f>IFERROR(__xludf.DUMMYFUNCTION("""COMPUTED_VALUE"""),2.0)</f>
        <v>2</v>
      </c>
      <c r="D1023" s="46">
        <f>IFERROR(__xludf.DUMMYFUNCTION("""COMPUTED_VALUE"""),0.0)</f>
        <v>0</v>
      </c>
    </row>
    <row r="1024">
      <c r="A1024" s="43" t="str">
        <f>IFERROR(__xludf.DUMMYFUNCTION("""COMPUTED_VALUE"""),"Leaf&amp;구리다")</f>
        <v>Leaf&amp;구리다</v>
      </c>
      <c r="B1024" s="43">
        <f>IFERROR(__xludf.DUMMYFUNCTION("""COMPUTED_VALUE"""),0.0)</f>
        <v>0</v>
      </c>
      <c r="C1024" s="43">
        <f>IFERROR(__xludf.DUMMYFUNCTION("""COMPUTED_VALUE"""),2.0)</f>
        <v>2</v>
      </c>
      <c r="D1024" s="46">
        <f>IFERROR(__xludf.DUMMYFUNCTION("""COMPUTED_VALUE"""),0.0)</f>
        <v>0</v>
      </c>
    </row>
    <row r="1025">
      <c r="A1025" s="43" t="str">
        <f>IFERROR(__xludf.DUMMYFUNCTION("""COMPUTED_VALUE"""),"Leaf&amp;재우")</f>
        <v>Leaf&amp;재우</v>
      </c>
      <c r="B1025" s="43">
        <f>IFERROR(__xludf.DUMMYFUNCTION("""COMPUTED_VALUE"""),0.0)</f>
        <v>0</v>
      </c>
      <c r="C1025" s="43">
        <f>IFERROR(__xludf.DUMMYFUNCTION("""COMPUTED_VALUE"""),2.0)</f>
        <v>2</v>
      </c>
      <c r="D1025" s="46">
        <f>IFERROR(__xludf.DUMMYFUNCTION("""COMPUTED_VALUE"""),0.0)</f>
        <v>0</v>
      </c>
    </row>
    <row r="1026">
      <c r="A1026" s="43" t="str">
        <f>IFERROR(__xludf.DUMMYFUNCTION("""COMPUTED_VALUE"""),"Leaf&amp;튜브")</f>
        <v>Leaf&amp;튜브</v>
      </c>
      <c r="B1026" s="43">
        <f>IFERROR(__xludf.DUMMYFUNCTION("""COMPUTED_VALUE"""),0.0)</f>
        <v>0</v>
      </c>
      <c r="C1026" s="43">
        <f>IFERROR(__xludf.DUMMYFUNCTION("""COMPUTED_VALUE"""),2.0)</f>
        <v>2</v>
      </c>
      <c r="D1026" s="46">
        <f>IFERROR(__xludf.DUMMYFUNCTION("""COMPUTED_VALUE"""),0.0)</f>
        <v>0</v>
      </c>
    </row>
    <row r="1027">
      <c r="A1027" s="43" t="str">
        <f>IFERROR(__xludf.DUMMYFUNCTION("""COMPUTED_VALUE"""),"ovo&amp;용이")</f>
        <v>ovo&amp;용이</v>
      </c>
      <c r="B1027" s="43">
        <f>IFERROR(__xludf.DUMMYFUNCTION("""COMPUTED_VALUE"""),0.0)</f>
        <v>0</v>
      </c>
      <c r="C1027" s="43">
        <f>IFERROR(__xludf.DUMMYFUNCTION("""COMPUTED_VALUE"""),2.0)</f>
        <v>2</v>
      </c>
      <c r="D1027" s="46">
        <f>IFERROR(__xludf.DUMMYFUNCTION("""COMPUTED_VALUE"""),0.0)</f>
        <v>0</v>
      </c>
    </row>
    <row r="1028">
      <c r="A1028" s="43" t="str">
        <f>IFERROR(__xludf.DUMMYFUNCTION("""COMPUTED_VALUE"""),"강화&amp;만두")</f>
        <v>강화&amp;만두</v>
      </c>
      <c r="B1028" s="43">
        <f>IFERROR(__xludf.DUMMYFUNCTION("""COMPUTED_VALUE"""),0.0)</f>
        <v>0</v>
      </c>
      <c r="C1028" s="43">
        <f>IFERROR(__xludf.DUMMYFUNCTION("""COMPUTED_VALUE"""),2.0)</f>
        <v>2</v>
      </c>
      <c r="D1028" s="46">
        <f>IFERROR(__xludf.DUMMYFUNCTION("""COMPUTED_VALUE"""),0.0)</f>
        <v>0</v>
      </c>
    </row>
    <row r="1029">
      <c r="A1029" s="43" t="str">
        <f>IFERROR(__xludf.DUMMYFUNCTION("""COMPUTED_VALUE"""),"강화&amp;재규어")</f>
        <v>강화&amp;재규어</v>
      </c>
      <c r="B1029" s="43">
        <f>IFERROR(__xludf.DUMMYFUNCTION("""COMPUTED_VALUE"""),0.0)</f>
        <v>0</v>
      </c>
      <c r="C1029" s="43">
        <f>IFERROR(__xludf.DUMMYFUNCTION("""COMPUTED_VALUE"""),2.0)</f>
        <v>2</v>
      </c>
      <c r="D1029" s="46">
        <f>IFERROR(__xludf.DUMMYFUNCTION("""COMPUTED_VALUE"""),0.0)</f>
        <v>0</v>
      </c>
    </row>
    <row r="1030">
      <c r="A1030" s="43" t="str">
        <f>IFERROR(__xludf.DUMMYFUNCTION("""COMPUTED_VALUE"""),"구리다&amp;팰리")</f>
        <v>구리다&amp;팰리</v>
      </c>
      <c r="B1030" s="43">
        <f>IFERROR(__xludf.DUMMYFUNCTION("""COMPUTED_VALUE"""),0.0)</f>
        <v>0</v>
      </c>
      <c r="C1030" s="43">
        <f>IFERROR(__xludf.DUMMYFUNCTION("""COMPUTED_VALUE"""),2.0)</f>
        <v>2</v>
      </c>
      <c r="D1030" s="46">
        <f>IFERROR(__xludf.DUMMYFUNCTION("""COMPUTED_VALUE"""),0.0)</f>
        <v>0</v>
      </c>
    </row>
    <row r="1031">
      <c r="A1031" s="43" t="str">
        <f>IFERROR(__xludf.DUMMYFUNCTION("""COMPUTED_VALUE"""),"규식&amp;미등록")</f>
        <v>규식&amp;미등록</v>
      </c>
      <c r="B1031" s="43">
        <f>IFERROR(__xludf.DUMMYFUNCTION("""COMPUTED_VALUE"""),0.0)</f>
        <v>0</v>
      </c>
      <c r="C1031" s="43">
        <f>IFERROR(__xludf.DUMMYFUNCTION("""COMPUTED_VALUE"""),2.0)</f>
        <v>2</v>
      </c>
      <c r="D1031" s="46">
        <f>IFERROR(__xludf.DUMMYFUNCTION("""COMPUTED_VALUE"""),0.0)</f>
        <v>0</v>
      </c>
    </row>
    <row r="1032">
      <c r="A1032" s="43" t="str">
        <f>IFERROR(__xludf.DUMMYFUNCTION("""COMPUTED_VALUE"""),"규식&amp;웅")</f>
        <v>규식&amp;웅</v>
      </c>
      <c r="B1032" s="43">
        <f>IFERROR(__xludf.DUMMYFUNCTION("""COMPUTED_VALUE"""),0.0)</f>
        <v>0</v>
      </c>
      <c r="C1032" s="43">
        <f>IFERROR(__xludf.DUMMYFUNCTION("""COMPUTED_VALUE"""),2.0)</f>
        <v>2</v>
      </c>
      <c r="D1032" s="46">
        <f>IFERROR(__xludf.DUMMYFUNCTION("""COMPUTED_VALUE"""),0.0)</f>
        <v>0</v>
      </c>
    </row>
    <row r="1033">
      <c r="A1033" s="43" t="str">
        <f>IFERROR(__xludf.DUMMYFUNCTION("""COMPUTED_VALUE"""),"기재&amp;새출발")</f>
        <v>기재&amp;새출발</v>
      </c>
      <c r="B1033" s="43">
        <f>IFERROR(__xludf.DUMMYFUNCTION("""COMPUTED_VALUE"""),0.0)</f>
        <v>0</v>
      </c>
      <c r="C1033" s="43">
        <f>IFERROR(__xludf.DUMMYFUNCTION("""COMPUTED_VALUE"""),2.0)</f>
        <v>2</v>
      </c>
      <c r="D1033" s="46">
        <f>IFERROR(__xludf.DUMMYFUNCTION("""COMPUTED_VALUE"""),0.0)</f>
        <v>0</v>
      </c>
    </row>
    <row r="1034">
      <c r="A1034" s="43" t="str">
        <f>IFERROR(__xludf.DUMMYFUNCTION("""COMPUTED_VALUE"""),"깡패&amp;킹")</f>
        <v>깡패&amp;킹</v>
      </c>
      <c r="B1034" s="43">
        <f>IFERROR(__xludf.DUMMYFUNCTION("""COMPUTED_VALUE"""),0.0)</f>
        <v>0</v>
      </c>
      <c r="C1034" s="43">
        <f>IFERROR(__xludf.DUMMYFUNCTION("""COMPUTED_VALUE"""),2.0)</f>
        <v>2</v>
      </c>
      <c r="D1034" s="46">
        <f>IFERROR(__xludf.DUMMYFUNCTION("""COMPUTED_VALUE"""),0.0)</f>
        <v>0</v>
      </c>
    </row>
    <row r="1035">
      <c r="A1035" s="43" t="str">
        <f>IFERROR(__xludf.DUMMYFUNCTION("""COMPUTED_VALUE"""),"깡패&amp;하리보")</f>
        <v>깡패&amp;하리보</v>
      </c>
      <c r="B1035" s="43">
        <f>IFERROR(__xludf.DUMMYFUNCTION("""COMPUTED_VALUE"""),0.0)</f>
        <v>0</v>
      </c>
      <c r="C1035" s="43">
        <f>IFERROR(__xludf.DUMMYFUNCTION("""COMPUTED_VALUE"""),2.0)</f>
        <v>2</v>
      </c>
      <c r="D1035" s="46">
        <f>IFERROR(__xludf.DUMMYFUNCTION("""COMPUTED_VALUE"""),0.0)</f>
        <v>0</v>
      </c>
    </row>
    <row r="1036">
      <c r="A1036" s="43" t="str">
        <f>IFERROR(__xludf.DUMMYFUNCTION("""COMPUTED_VALUE"""),"노인&amp;밍구")</f>
        <v>노인&amp;밍구</v>
      </c>
      <c r="B1036" s="43">
        <f>IFERROR(__xludf.DUMMYFUNCTION("""COMPUTED_VALUE"""),0.0)</f>
        <v>0</v>
      </c>
      <c r="C1036" s="43">
        <f>IFERROR(__xludf.DUMMYFUNCTION("""COMPUTED_VALUE"""),2.0)</f>
        <v>2</v>
      </c>
      <c r="D1036" s="46">
        <f>IFERROR(__xludf.DUMMYFUNCTION("""COMPUTED_VALUE"""),0.0)</f>
        <v>0</v>
      </c>
    </row>
    <row r="1037">
      <c r="A1037" s="43" t="str">
        <f>IFERROR(__xludf.DUMMYFUNCTION("""COMPUTED_VALUE"""),"노픽업&amp;따")</f>
        <v>노픽업&amp;따</v>
      </c>
      <c r="B1037" s="43">
        <f>IFERROR(__xludf.DUMMYFUNCTION("""COMPUTED_VALUE"""),0.0)</f>
        <v>0</v>
      </c>
      <c r="C1037" s="43">
        <f>IFERROR(__xludf.DUMMYFUNCTION("""COMPUTED_VALUE"""),2.0)</f>
        <v>2</v>
      </c>
      <c r="D1037" s="46">
        <f>IFERROR(__xludf.DUMMYFUNCTION("""COMPUTED_VALUE"""),0.0)</f>
        <v>0</v>
      </c>
    </row>
    <row r="1038">
      <c r="A1038" s="43" t="str">
        <f>IFERROR(__xludf.DUMMYFUNCTION("""COMPUTED_VALUE"""),"노픽업&amp;윙크")</f>
        <v>노픽업&amp;윙크</v>
      </c>
      <c r="B1038" s="43">
        <f>IFERROR(__xludf.DUMMYFUNCTION("""COMPUTED_VALUE"""),0.0)</f>
        <v>0</v>
      </c>
      <c r="C1038" s="43">
        <f>IFERROR(__xludf.DUMMYFUNCTION("""COMPUTED_VALUE"""),2.0)</f>
        <v>2</v>
      </c>
      <c r="D1038" s="46">
        <f>IFERROR(__xludf.DUMMYFUNCTION("""COMPUTED_VALUE"""),0.0)</f>
        <v>0</v>
      </c>
    </row>
    <row r="1039">
      <c r="A1039" s="43" t="str">
        <f>IFERROR(__xludf.DUMMYFUNCTION("""COMPUTED_VALUE"""),"노픽업&amp;조네")</f>
        <v>노픽업&amp;조네</v>
      </c>
      <c r="B1039" s="43">
        <f>IFERROR(__xludf.DUMMYFUNCTION("""COMPUTED_VALUE"""),0.0)</f>
        <v>0</v>
      </c>
      <c r="C1039" s="43">
        <f>IFERROR(__xludf.DUMMYFUNCTION("""COMPUTED_VALUE"""),2.0)</f>
        <v>2</v>
      </c>
      <c r="D1039" s="46">
        <f>IFERROR(__xludf.DUMMYFUNCTION("""COMPUTED_VALUE"""),0.0)</f>
        <v>0</v>
      </c>
    </row>
    <row r="1040">
      <c r="A1040" s="43" t="str">
        <f>IFERROR(__xludf.DUMMYFUNCTION("""COMPUTED_VALUE"""),"노픽업&amp;팰리")</f>
        <v>노픽업&amp;팰리</v>
      </c>
      <c r="B1040" s="43">
        <f>IFERROR(__xludf.DUMMYFUNCTION("""COMPUTED_VALUE"""),0.0)</f>
        <v>0</v>
      </c>
      <c r="C1040" s="43">
        <f>IFERROR(__xludf.DUMMYFUNCTION("""COMPUTED_VALUE"""),2.0)</f>
        <v>2</v>
      </c>
      <c r="D1040" s="46">
        <f>IFERROR(__xludf.DUMMYFUNCTION("""COMPUTED_VALUE"""),0.0)</f>
        <v>0</v>
      </c>
    </row>
    <row r="1041">
      <c r="A1041" s="43" t="str">
        <f>IFERROR(__xludf.DUMMYFUNCTION("""COMPUTED_VALUE"""),"단수&amp;유망")</f>
        <v>단수&amp;유망</v>
      </c>
      <c r="B1041" s="43">
        <f>IFERROR(__xludf.DUMMYFUNCTION("""COMPUTED_VALUE"""),0.0)</f>
        <v>0</v>
      </c>
      <c r="C1041" s="43">
        <f>IFERROR(__xludf.DUMMYFUNCTION("""COMPUTED_VALUE"""),2.0)</f>
        <v>2</v>
      </c>
      <c r="D1041" s="46">
        <f>IFERROR(__xludf.DUMMYFUNCTION("""COMPUTED_VALUE"""),0.0)</f>
        <v>0</v>
      </c>
    </row>
    <row r="1042">
      <c r="A1042" s="43" t="str">
        <f>IFERROR(__xludf.DUMMYFUNCTION("""COMPUTED_VALUE"""),"랄&amp;밍구")</f>
        <v>랄&amp;밍구</v>
      </c>
      <c r="B1042" s="43">
        <f>IFERROR(__xludf.DUMMYFUNCTION("""COMPUTED_VALUE"""),0.0)</f>
        <v>0</v>
      </c>
      <c r="C1042" s="43">
        <f>IFERROR(__xludf.DUMMYFUNCTION("""COMPUTED_VALUE"""),2.0)</f>
        <v>2</v>
      </c>
      <c r="D1042" s="46">
        <f>IFERROR(__xludf.DUMMYFUNCTION("""COMPUTED_VALUE"""),0.0)</f>
        <v>0</v>
      </c>
    </row>
    <row r="1043">
      <c r="A1043" s="43" t="str">
        <f>IFERROR(__xludf.DUMMYFUNCTION("""COMPUTED_VALUE"""),"랄&amp;새출발")</f>
        <v>랄&amp;새출발</v>
      </c>
      <c r="B1043" s="43">
        <f>IFERROR(__xludf.DUMMYFUNCTION("""COMPUTED_VALUE"""),0.0)</f>
        <v>0</v>
      </c>
      <c r="C1043" s="43">
        <f>IFERROR(__xludf.DUMMYFUNCTION("""COMPUTED_VALUE"""),2.0)</f>
        <v>2</v>
      </c>
      <c r="D1043" s="46">
        <f>IFERROR(__xludf.DUMMYFUNCTION("""COMPUTED_VALUE"""),0.0)</f>
        <v>0</v>
      </c>
    </row>
    <row r="1044">
      <c r="A1044" s="43" t="str">
        <f>IFERROR(__xludf.DUMMYFUNCTION("""COMPUTED_VALUE"""),"랄&amp;엘")</f>
        <v>랄&amp;엘</v>
      </c>
      <c r="B1044" s="43">
        <f>IFERROR(__xludf.DUMMYFUNCTION("""COMPUTED_VALUE"""),0.0)</f>
        <v>0</v>
      </c>
      <c r="C1044" s="43">
        <f>IFERROR(__xludf.DUMMYFUNCTION("""COMPUTED_VALUE"""),2.0)</f>
        <v>2</v>
      </c>
      <c r="D1044" s="46">
        <f>IFERROR(__xludf.DUMMYFUNCTION("""COMPUTED_VALUE"""),0.0)</f>
        <v>0</v>
      </c>
    </row>
    <row r="1045">
      <c r="A1045" s="43" t="str">
        <f>IFERROR(__xludf.DUMMYFUNCTION("""COMPUTED_VALUE"""),"랄&amp;참치")</f>
        <v>랄&amp;참치</v>
      </c>
      <c r="B1045" s="43">
        <f>IFERROR(__xludf.DUMMYFUNCTION("""COMPUTED_VALUE"""),0.0)</f>
        <v>0</v>
      </c>
      <c r="C1045" s="43">
        <f>IFERROR(__xludf.DUMMYFUNCTION("""COMPUTED_VALUE"""),2.0)</f>
        <v>2</v>
      </c>
      <c r="D1045" s="46">
        <f>IFERROR(__xludf.DUMMYFUNCTION("""COMPUTED_VALUE"""),0.0)</f>
        <v>0</v>
      </c>
    </row>
    <row r="1046">
      <c r="A1046" s="43" t="str">
        <f>IFERROR(__xludf.DUMMYFUNCTION("""COMPUTED_VALUE"""),"마법거북이&amp;오딘")</f>
        <v>마법거북이&amp;오딘</v>
      </c>
      <c r="B1046" s="43">
        <f>IFERROR(__xludf.DUMMYFUNCTION("""COMPUTED_VALUE"""),0.0)</f>
        <v>0</v>
      </c>
      <c r="C1046" s="43">
        <f>IFERROR(__xludf.DUMMYFUNCTION("""COMPUTED_VALUE"""),2.0)</f>
        <v>2</v>
      </c>
      <c r="D1046" s="46">
        <f>IFERROR(__xludf.DUMMYFUNCTION("""COMPUTED_VALUE"""),0.0)</f>
        <v>0</v>
      </c>
    </row>
    <row r="1047">
      <c r="A1047" s="43" t="str">
        <f>IFERROR(__xludf.DUMMYFUNCTION("""COMPUTED_VALUE"""),"미등록&amp;제로스")</f>
        <v>미등록&amp;제로스</v>
      </c>
      <c r="B1047" s="43">
        <f>IFERROR(__xludf.DUMMYFUNCTION("""COMPUTED_VALUE"""),0.0)</f>
        <v>0</v>
      </c>
      <c r="C1047" s="43">
        <f>IFERROR(__xludf.DUMMYFUNCTION("""COMPUTED_VALUE"""),2.0)</f>
        <v>2</v>
      </c>
      <c r="D1047" s="46">
        <f>IFERROR(__xludf.DUMMYFUNCTION("""COMPUTED_VALUE"""),0.0)</f>
        <v>0</v>
      </c>
    </row>
    <row r="1048">
      <c r="A1048" s="43" t="str">
        <f>IFERROR(__xludf.DUMMYFUNCTION("""COMPUTED_VALUE"""),"미등록&amp;조네")</f>
        <v>미등록&amp;조네</v>
      </c>
      <c r="B1048" s="43">
        <f>IFERROR(__xludf.DUMMYFUNCTION("""COMPUTED_VALUE"""),0.0)</f>
        <v>0</v>
      </c>
      <c r="C1048" s="43">
        <f>IFERROR(__xludf.DUMMYFUNCTION("""COMPUTED_VALUE"""),2.0)</f>
        <v>2</v>
      </c>
      <c r="D1048" s="46">
        <f>IFERROR(__xludf.DUMMYFUNCTION("""COMPUTED_VALUE"""),0.0)</f>
        <v>0</v>
      </c>
    </row>
    <row r="1049">
      <c r="A1049" s="43" t="str">
        <f>IFERROR(__xludf.DUMMYFUNCTION("""COMPUTED_VALUE"""),"미르진&amp;시아")</f>
        <v>미르진&amp;시아</v>
      </c>
      <c r="B1049" s="43">
        <f>IFERROR(__xludf.DUMMYFUNCTION("""COMPUTED_VALUE"""),0.0)</f>
        <v>0</v>
      </c>
      <c r="C1049" s="43">
        <f>IFERROR(__xludf.DUMMYFUNCTION("""COMPUTED_VALUE"""),2.0)</f>
        <v>2</v>
      </c>
      <c r="D1049" s="46">
        <f>IFERROR(__xludf.DUMMYFUNCTION("""COMPUTED_VALUE"""),0.0)</f>
        <v>0</v>
      </c>
    </row>
    <row r="1050">
      <c r="A1050" s="43" t="str">
        <f>IFERROR(__xludf.DUMMYFUNCTION("""COMPUTED_VALUE"""),"미르진&amp;좀비")</f>
        <v>미르진&amp;좀비</v>
      </c>
      <c r="B1050" s="43">
        <f>IFERROR(__xludf.DUMMYFUNCTION("""COMPUTED_VALUE"""),0.0)</f>
        <v>0</v>
      </c>
      <c r="C1050" s="43">
        <f>IFERROR(__xludf.DUMMYFUNCTION("""COMPUTED_VALUE"""),2.0)</f>
        <v>2</v>
      </c>
      <c r="D1050" s="46">
        <f>IFERROR(__xludf.DUMMYFUNCTION("""COMPUTED_VALUE"""),0.0)</f>
        <v>0</v>
      </c>
    </row>
    <row r="1051">
      <c r="A1051" s="43" t="str">
        <f>IFERROR(__xludf.DUMMYFUNCTION("""COMPUTED_VALUE"""),"민우&amp;터미")</f>
        <v>민우&amp;터미</v>
      </c>
      <c r="B1051" s="43">
        <f>IFERROR(__xludf.DUMMYFUNCTION("""COMPUTED_VALUE"""),0.0)</f>
        <v>0</v>
      </c>
      <c r="C1051" s="43">
        <f>IFERROR(__xludf.DUMMYFUNCTION("""COMPUTED_VALUE"""),2.0)</f>
        <v>2</v>
      </c>
      <c r="D1051" s="46">
        <f>IFERROR(__xludf.DUMMYFUNCTION("""COMPUTED_VALUE"""),0.0)</f>
        <v>0</v>
      </c>
    </row>
    <row r="1052">
      <c r="A1052" s="43" t="str">
        <f>IFERROR(__xludf.DUMMYFUNCTION("""COMPUTED_VALUE"""),"뼈해장국&amp;필찌")</f>
        <v>뼈해장국&amp;필찌</v>
      </c>
      <c r="B1052" s="43">
        <f>IFERROR(__xludf.DUMMYFUNCTION("""COMPUTED_VALUE"""),0.0)</f>
        <v>0</v>
      </c>
      <c r="C1052" s="43">
        <f>IFERROR(__xludf.DUMMYFUNCTION("""COMPUTED_VALUE"""),2.0)</f>
        <v>2</v>
      </c>
      <c r="D1052" s="46">
        <f>IFERROR(__xludf.DUMMYFUNCTION("""COMPUTED_VALUE"""),0.0)</f>
        <v>0</v>
      </c>
    </row>
    <row r="1053">
      <c r="A1053" s="43" t="str">
        <f>IFERROR(__xludf.DUMMYFUNCTION("""COMPUTED_VALUE"""),"뼈해장국&amp;한메")</f>
        <v>뼈해장국&amp;한메</v>
      </c>
      <c r="B1053" s="43">
        <f>IFERROR(__xludf.DUMMYFUNCTION("""COMPUTED_VALUE"""),0.0)</f>
        <v>0</v>
      </c>
      <c r="C1053" s="43">
        <f>IFERROR(__xludf.DUMMYFUNCTION("""COMPUTED_VALUE"""),2.0)</f>
        <v>2</v>
      </c>
      <c r="D1053" s="46">
        <f>IFERROR(__xludf.DUMMYFUNCTION("""COMPUTED_VALUE"""),0.0)</f>
        <v>0</v>
      </c>
    </row>
    <row r="1054">
      <c r="A1054" s="43" t="str">
        <f>IFERROR(__xludf.DUMMYFUNCTION("""COMPUTED_VALUE"""),"솔&amp;전투쥐")</f>
        <v>솔&amp;전투쥐</v>
      </c>
      <c r="B1054" s="43">
        <f>IFERROR(__xludf.DUMMYFUNCTION("""COMPUTED_VALUE"""),0.0)</f>
        <v>0</v>
      </c>
      <c r="C1054" s="43">
        <f>IFERROR(__xludf.DUMMYFUNCTION("""COMPUTED_VALUE"""),2.0)</f>
        <v>2</v>
      </c>
      <c r="D1054" s="46">
        <f>IFERROR(__xludf.DUMMYFUNCTION("""COMPUTED_VALUE"""),0.0)</f>
        <v>0</v>
      </c>
    </row>
    <row r="1055">
      <c r="A1055" s="43" t="str">
        <f>IFERROR(__xludf.DUMMYFUNCTION("""COMPUTED_VALUE"""),"수련&amp;짱구")</f>
        <v>수련&amp;짱구</v>
      </c>
      <c r="B1055" s="43">
        <f>IFERROR(__xludf.DUMMYFUNCTION("""COMPUTED_VALUE"""),0.0)</f>
        <v>0</v>
      </c>
      <c r="C1055" s="43">
        <f>IFERROR(__xludf.DUMMYFUNCTION("""COMPUTED_VALUE"""),2.0)</f>
        <v>2</v>
      </c>
      <c r="D1055" s="46">
        <f>IFERROR(__xludf.DUMMYFUNCTION("""COMPUTED_VALUE"""),0.0)</f>
        <v>0</v>
      </c>
    </row>
    <row r="1056">
      <c r="A1056" s="43" t="str">
        <f>IFERROR(__xludf.DUMMYFUNCTION("""COMPUTED_VALUE"""),"신형만&amp;조네")</f>
        <v>신형만&amp;조네</v>
      </c>
      <c r="B1056" s="43">
        <f>IFERROR(__xludf.DUMMYFUNCTION("""COMPUTED_VALUE"""),0.0)</f>
        <v>0</v>
      </c>
      <c r="C1056" s="43">
        <f>IFERROR(__xludf.DUMMYFUNCTION("""COMPUTED_VALUE"""),2.0)</f>
        <v>2</v>
      </c>
      <c r="D1056" s="46">
        <f>IFERROR(__xludf.DUMMYFUNCTION("""COMPUTED_VALUE"""),0.0)</f>
        <v>0</v>
      </c>
    </row>
    <row r="1057">
      <c r="A1057" s="43" t="str">
        <f>IFERROR(__xludf.DUMMYFUNCTION("""COMPUTED_VALUE"""),"신형만&amp;킹")</f>
        <v>신형만&amp;킹</v>
      </c>
      <c r="B1057" s="43">
        <f>IFERROR(__xludf.DUMMYFUNCTION("""COMPUTED_VALUE"""),0.0)</f>
        <v>0</v>
      </c>
      <c r="C1057" s="43">
        <f>IFERROR(__xludf.DUMMYFUNCTION("""COMPUTED_VALUE"""),2.0)</f>
        <v>2</v>
      </c>
      <c r="D1057" s="46">
        <f>IFERROR(__xludf.DUMMYFUNCTION("""COMPUTED_VALUE"""),0.0)</f>
        <v>0</v>
      </c>
    </row>
    <row r="1058">
      <c r="A1058" s="43" t="str">
        <f>IFERROR(__xludf.DUMMYFUNCTION("""COMPUTED_VALUE"""),"아이딘&amp;엘")</f>
        <v>아이딘&amp;엘</v>
      </c>
      <c r="B1058" s="43">
        <f>IFERROR(__xludf.DUMMYFUNCTION("""COMPUTED_VALUE"""),0.0)</f>
        <v>0</v>
      </c>
      <c r="C1058" s="43">
        <f>IFERROR(__xludf.DUMMYFUNCTION("""COMPUTED_VALUE"""),2.0)</f>
        <v>2</v>
      </c>
      <c r="D1058" s="46">
        <f>IFERROR(__xludf.DUMMYFUNCTION("""COMPUTED_VALUE"""),0.0)</f>
        <v>0</v>
      </c>
    </row>
    <row r="1059">
      <c r="A1059" s="43" t="str">
        <f>IFERROR(__xludf.DUMMYFUNCTION("""COMPUTED_VALUE"""),"아이딘&amp;지피")</f>
        <v>아이딘&amp;지피</v>
      </c>
      <c r="B1059" s="43">
        <f>IFERROR(__xludf.DUMMYFUNCTION("""COMPUTED_VALUE"""),0.0)</f>
        <v>0</v>
      </c>
      <c r="C1059" s="43">
        <f>IFERROR(__xludf.DUMMYFUNCTION("""COMPUTED_VALUE"""),2.0)</f>
        <v>2</v>
      </c>
      <c r="D1059" s="46">
        <f>IFERROR(__xludf.DUMMYFUNCTION("""COMPUTED_VALUE"""),0.0)</f>
        <v>0</v>
      </c>
    </row>
    <row r="1060">
      <c r="A1060" s="43" t="str">
        <f>IFERROR(__xludf.DUMMYFUNCTION("""COMPUTED_VALUE"""),"아이딘&amp;팰리")</f>
        <v>아이딘&amp;팰리</v>
      </c>
      <c r="B1060" s="43">
        <f>IFERROR(__xludf.DUMMYFUNCTION("""COMPUTED_VALUE"""),0.0)</f>
        <v>0</v>
      </c>
      <c r="C1060" s="43">
        <f>IFERROR(__xludf.DUMMYFUNCTION("""COMPUTED_VALUE"""),2.0)</f>
        <v>2</v>
      </c>
      <c r="D1060" s="46">
        <f>IFERROR(__xludf.DUMMYFUNCTION("""COMPUTED_VALUE"""),0.0)</f>
        <v>0</v>
      </c>
    </row>
    <row r="1061">
      <c r="A1061" s="43" t="str">
        <f>IFERROR(__xludf.DUMMYFUNCTION("""COMPUTED_VALUE"""),"오딘&amp;참치")</f>
        <v>오딘&amp;참치</v>
      </c>
      <c r="B1061" s="43">
        <f>IFERROR(__xludf.DUMMYFUNCTION("""COMPUTED_VALUE"""),0.0)</f>
        <v>0</v>
      </c>
      <c r="C1061" s="43">
        <f>IFERROR(__xludf.DUMMYFUNCTION("""COMPUTED_VALUE"""),2.0)</f>
        <v>2</v>
      </c>
      <c r="D1061" s="46">
        <f>IFERROR(__xludf.DUMMYFUNCTION("""COMPUTED_VALUE"""),0.0)</f>
        <v>0</v>
      </c>
    </row>
    <row r="1062">
      <c r="A1062" s="43" t="str">
        <f>IFERROR(__xludf.DUMMYFUNCTION("""COMPUTED_VALUE"""),"오크&amp;윈드")</f>
        <v>오크&amp;윈드</v>
      </c>
      <c r="B1062" s="43">
        <f>IFERROR(__xludf.DUMMYFUNCTION("""COMPUTED_VALUE"""),0.0)</f>
        <v>0</v>
      </c>
      <c r="C1062" s="43">
        <f>IFERROR(__xludf.DUMMYFUNCTION("""COMPUTED_VALUE"""),2.0)</f>
        <v>2</v>
      </c>
      <c r="D1062" s="46">
        <f>IFERROR(__xludf.DUMMYFUNCTION("""COMPUTED_VALUE"""),0.0)</f>
        <v>0</v>
      </c>
    </row>
    <row r="1063">
      <c r="A1063" s="43" t="str">
        <f>IFERROR(__xludf.DUMMYFUNCTION("""COMPUTED_VALUE"""),"오크&amp;터미")</f>
        <v>오크&amp;터미</v>
      </c>
      <c r="B1063" s="43">
        <f>IFERROR(__xludf.DUMMYFUNCTION("""COMPUTED_VALUE"""),0.0)</f>
        <v>0</v>
      </c>
      <c r="C1063" s="43">
        <f>IFERROR(__xludf.DUMMYFUNCTION("""COMPUTED_VALUE"""),2.0)</f>
        <v>2</v>
      </c>
      <c r="D1063" s="46">
        <f>IFERROR(__xludf.DUMMYFUNCTION("""COMPUTED_VALUE"""),0.0)</f>
        <v>0</v>
      </c>
    </row>
    <row r="1064">
      <c r="A1064" s="43" t="str">
        <f>IFERROR(__xludf.DUMMYFUNCTION("""COMPUTED_VALUE"""),"용이&amp;짱구")</f>
        <v>용이&amp;짱구</v>
      </c>
      <c r="B1064" s="43">
        <f>IFERROR(__xludf.DUMMYFUNCTION("""COMPUTED_VALUE"""),0.0)</f>
        <v>0</v>
      </c>
      <c r="C1064" s="43">
        <f>IFERROR(__xludf.DUMMYFUNCTION("""COMPUTED_VALUE"""),2.0)</f>
        <v>2</v>
      </c>
      <c r="D1064" s="46">
        <f>IFERROR(__xludf.DUMMYFUNCTION("""COMPUTED_VALUE"""),0.0)</f>
        <v>0</v>
      </c>
    </row>
    <row r="1065">
      <c r="A1065" s="43" t="str">
        <f>IFERROR(__xludf.DUMMYFUNCTION("""COMPUTED_VALUE"""),"웅&amp;학생")</f>
        <v>웅&amp;학생</v>
      </c>
      <c r="B1065" s="43">
        <f>IFERROR(__xludf.DUMMYFUNCTION("""COMPUTED_VALUE"""),0.0)</f>
        <v>0</v>
      </c>
      <c r="C1065" s="43">
        <f>IFERROR(__xludf.DUMMYFUNCTION("""COMPUTED_VALUE"""),2.0)</f>
        <v>2</v>
      </c>
      <c r="D1065" s="46">
        <f>IFERROR(__xludf.DUMMYFUNCTION("""COMPUTED_VALUE"""),0.0)</f>
        <v>0</v>
      </c>
    </row>
    <row r="1066">
      <c r="A1066" s="43" t="str">
        <f>IFERROR(__xludf.DUMMYFUNCTION("""COMPUTED_VALUE"""),"유즈&amp;터미")</f>
        <v>유즈&amp;터미</v>
      </c>
      <c r="B1066" s="43">
        <f>IFERROR(__xludf.DUMMYFUNCTION("""COMPUTED_VALUE"""),0.0)</f>
        <v>0</v>
      </c>
      <c r="C1066" s="43">
        <f>IFERROR(__xludf.DUMMYFUNCTION("""COMPUTED_VALUE"""),2.0)</f>
        <v>2</v>
      </c>
      <c r="D1066" s="46">
        <f>IFERROR(__xludf.DUMMYFUNCTION("""COMPUTED_VALUE"""),0.0)</f>
        <v>0</v>
      </c>
    </row>
    <row r="1067">
      <c r="A1067" s="43" t="str">
        <f>IFERROR(__xludf.DUMMYFUNCTION("""COMPUTED_VALUE"""),"재규어&amp;한메")</f>
        <v>재규어&amp;한메</v>
      </c>
      <c r="B1067" s="43">
        <f>IFERROR(__xludf.DUMMYFUNCTION("""COMPUTED_VALUE"""),0.0)</f>
        <v>0</v>
      </c>
      <c r="C1067" s="43">
        <f>IFERROR(__xludf.DUMMYFUNCTION("""COMPUTED_VALUE"""),2.0)</f>
        <v>2</v>
      </c>
      <c r="D1067" s="46">
        <f>IFERROR(__xludf.DUMMYFUNCTION("""COMPUTED_VALUE"""),0.0)</f>
        <v>0</v>
      </c>
    </row>
    <row r="1068">
      <c r="A1068" s="43" t="str">
        <f>IFERROR(__xludf.DUMMYFUNCTION("""COMPUTED_VALUE"""),"재명&amp;제로스")</f>
        <v>재명&amp;제로스</v>
      </c>
      <c r="B1068" s="43">
        <f>IFERROR(__xludf.DUMMYFUNCTION("""COMPUTED_VALUE"""),0.0)</f>
        <v>0</v>
      </c>
      <c r="C1068" s="43">
        <f>IFERROR(__xludf.DUMMYFUNCTION("""COMPUTED_VALUE"""),2.0)</f>
        <v>2</v>
      </c>
      <c r="D1068" s="46">
        <f>IFERROR(__xludf.DUMMYFUNCTION("""COMPUTED_VALUE"""),0.0)</f>
        <v>0</v>
      </c>
    </row>
    <row r="1069">
      <c r="A1069" s="43" t="str">
        <f>IFERROR(__xludf.DUMMYFUNCTION("""COMPUTED_VALUE"""),"재명&amp;테슬라")</f>
        <v>재명&amp;테슬라</v>
      </c>
      <c r="B1069" s="43">
        <f>IFERROR(__xludf.DUMMYFUNCTION("""COMPUTED_VALUE"""),0.0)</f>
        <v>0</v>
      </c>
      <c r="C1069" s="43">
        <f>IFERROR(__xludf.DUMMYFUNCTION("""COMPUTED_VALUE"""),2.0)</f>
        <v>2</v>
      </c>
      <c r="D1069" s="46">
        <f>IFERROR(__xludf.DUMMYFUNCTION("""COMPUTED_VALUE"""),0.0)</f>
        <v>0</v>
      </c>
    </row>
    <row r="1070">
      <c r="A1070" s="43" t="str">
        <f>IFERROR(__xludf.DUMMYFUNCTION("""COMPUTED_VALUE"""),"재명&amp;혀니")</f>
        <v>재명&amp;혀니</v>
      </c>
      <c r="B1070" s="43">
        <f>IFERROR(__xludf.DUMMYFUNCTION("""COMPUTED_VALUE"""),0.0)</f>
        <v>0</v>
      </c>
      <c r="C1070" s="43">
        <f>IFERROR(__xludf.DUMMYFUNCTION("""COMPUTED_VALUE"""),2.0)</f>
        <v>2</v>
      </c>
      <c r="D1070" s="46">
        <f>IFERROR(__xludf.DUMMYFUNCTION("""COMPUTED_VALUE"""),0.0)</f>
        <v>0</v>
      </c>
    </row>
    <row r="1071">
      <c r="A1071" s="43" t="str">
        <f>IFERROR(__xludf.DUMMYFUNCTION("""COMPUTED_VALUE"""),"좀비&amp;팰리")</f>
        <v>좀비&amp;팰리</v>
      </c>
      <c r="B1071" s="43">
        <f>IFERROR(__xludf.DUMMYFUNCTION("""COMPUTED_VALUE"""),0.0)</f>
        <v>0</v>
      </c>
      <c r="C1071" s="43">
        <f>IFERROR(__xludf.DUMMYFUNCTION("""COMPUTED_VALUE"""),2.0)</f>
        <v>2</v>
      </c>
      <c r="D1071" s="46">
        <f>IFERROR(__xludf.DUMMYFUNCTION("""COMPUTED_VALUE"""),0.0)</f>
        <v>0</v>
      </c>
    </row>
    <row r="1072">
      <c r="A1072" s="43" t="str">
        <f>IFERROR(__xludf.DUMMYFUNCTION("""COMPUTED_VALUE"""),"짱구&amp;테슬라")</f>
        <v>짱구&amp;테슬라</v>
      </c>
      <c r="B1072" s="43">
        <f>IFERROR(__xludf.DUMMYFUNCTION("""COMPUTED_VALUE"""),0.0)</f>
        <v>0</v>
      </c>
      <c r="C1072" s="43">
        <f>IFERROR(__xludf.DUMMYFUNCTION("""COMPUTED_VALUE"""),2.0)</f>
        <v>2</v>
      </c>
      <c r="D1072" s="46">
        <f>IFERROR(__xludf.DUMMYFUNCTION("""COMPUTED_VALUE"""),0.0)</f>
        <v>0</v>
      </c>
    </row>
    <row r="1073">
      <c r="A1073" s="43" t="str">
        <f>IFERROR(__xludf.DUMMYFUNCTION("""COMPUTED_VALUE"""),"참치&amp;필찌")</f>
        <v>참치&amp;필찌</v>
      </c>
      <c r="B1073" s="43">
        <f>IFERROR(__xludf.DUMMYFUNCTION("""COMPUTED_VALUE"""),0.0)</f>
        <v>0</v>
      </c>
      <c r="C1073" s="43">
        <f>IFERROR(__xludf.DUMMYFUNCTION("""COMPUTED_VALUE"""),2.0)</f>
        <v>2</v>
      </c>
      <c r="D1073" s="46">
        <f>IFERROR(__xludf.DUMMYFUNCTION("""COMPUTED_VALUE"""),0.0)</f>
        <v>0</v>
      </c>
    </row>
    <row r="1074">
      <c r="A1074" s="43" t="str">
        <f>IFERROR(__xludf.DUMMYFUNCTION("""COMPUTED_VALUE"""),"키키&amp;태식")</f>
        <v>키키&amp;태식</v>
      </c>
      <c r="B1074" s="43">
        <f>IFERROR(__xludf.DUMMYFUNCTION("""COMPUTED_VALUE"""),0.0)</f>
        <v>0</v>
      </c>
      <c r="C1074" s="43">
        <f>IFERROR(__xludf.DUMMYFUNCTION("""COMPUTED_VALUE"""),2.0)</f>
        <v>2</v>
      </c>
      <c r="D1074" s="46">
        <f>IFERROR(__xludf.DUMMYFUNCTION("""COMPUTED_VALUE"""),0.0)</f>
        <v>0</v>
      </c>
    </row>
    <row r="1075">
      <c r="A1075" s="43" t="str">
        <f>IFERROR(__xludf.DUMMYFUNCTION("""COMPUTED_VALUE"""),"킹&amp;태식")</f>
        <v>킹&amp;태식</v>
      </c>
      <c r="B1075" s="43">
        <f>IFERROR(__xludf.DUMMYFUNCTION("""COMPUTED_VALUE"""),0.0)</f>
        <v>0</v>
      </c>
      <c r="C1075" s="43">
        <f>IFERROR(__xludf.DUMMYFUNCTION("""COMPUTED_VALUE"""),2.0)</f>
        <v>2</v>
      </c>
      <c r="D1075" s="46">
        <f>IFERROR(__xludf.DUMMYFUNCTION("""COMPUTED_VALUE"""),0.0)</f>
        <v>0</v>
      </c>
    </row>
    <row r="1076">
      <c r="A1076" s="43" t="str">
        <f>IFERROR(__xludf.DUMMYFUNCTION("""COMPUTED_VALUE"""),"ACDC&amp;박서")</f>
        <v>ACDC&amp;박서</v>
      </c>
      <c r="B1076" s="43">
        <f>IFERROR(__xludf.DUMMYFUNCTION("""COMPUTED_VALUE"""),0.0)</f>
        <v>0</v>
      </c>
      <c r="C1076" s="43">
        <f>IFERROR(__xludf.DUMMYFUNCTION("""COMPUTED_VALUE"""),3.0)</f>
        <v>3</v>
      </c>
      <c r="D1076" s="46">
        <f>IFERROR(__xludf.DUMMYFUNCTION("""COMPUTED_VALUE"""),0.0)</f>
        <v>0</v>
      </c>
    </row>
    <row r="1077">
      <c r="A1077" s="43" t="str">
        <f>IFERROR(__xludf.DUMMYFUNCTION("""COMPUTED_VALUE"""),"ACDC&amp;혀니")</f>
        <v>ACDC&amp;혀니</v>
      </c>
      <c r="B1077" s="43">
        <f>IFERROR(__xludf.DUMMYFUNCTION("""COMPUTED_VALUE"""),0.0)</f>
        <v>0</v>
      </c>
      <c r="C1077" s="43">
        <f>IFERROR(__xludf.DUMMYFUNCTION("""COMPUTED_VALUE"""),3.0)</f>
        <v>3</v>
      </c>
      <c r="D1077" s="46">
        <f>IFERROR(__xludf.DUMMYFUNCTION("""COMPUTED_VALUE"""),0.0)</f>
        <v>0</v>
      </c>
    </row>
    <row r="1078">
      <c r="A1078" s="43" t="str">
        <f>IFERROR(__xludf.DUMMYFUNCTION("""COMPUTED_VALUE"""),"Leaf&amp;악동")</f>
        <v>Leaf&amp;악동</v>
      </c>
      <c r="B1078" s="43">
        <f>IFERROR(__xludf.DUMMYFUNCTION("""COMPUTED_VALUE"""),0.0)</f>
        <v>0</v>
      </c>
      <c r="C1078" s="43">
        <f>IFERROR(__xludf.DUMMYFUNCTION("""COMPUTED_VALUE"""),3.0)</f>
        <v>3</v>
      </c>
      <c r="D1078" s="46">
        <f>IFERROR(__xludf.DUMMYFUNCTION("""COMPUTED_VALUE"""),0.0)</f>
        <v>0</v>
      </c>
    </row>
    <row r="1079">
      <c r="A1079" s="43" t="str">
        <f>IFERROR(__xludf.DUMMYFUNCTION("""COMPUTED_VALUE"""),"강화&amp;뼈해장국")</f>
        <v>강화&amp;뼈해장국</v>
      </c>
      <c r="B1079" s="43">
        <f>IFERROR(__xludf.DUMMYFUNCTION("""COMPUTED_VALUE"""),0.0)</f>
        <v>0</v>
      </c>
      <c r="C1079" s="43">
        <f>IFERROR(__xludf.DUMMYFUNCTION("""COMPUTED_VALUE"""),3.0)</f>
        <v>3</v>
      </c>
      <c r="D1079" s="46">
        <f>IFERROR(__xludf.DUMMYFUNCTION("""COMPUTED_VALUE"""),0.0)</f>
        <v>0</v>
      </c>
    </row>
    <row r="1080">
      <c r="A1080" s="43" t="str">
        <f>IFERROR(__xludf.DUMMYFUNCTION("""COMPUTED_VALUE"""),"강화&amp;지피")</f>
        <v>강화&amp;지피</v>
      </c>
      <c r="B1080" s="43">
        <f>IFERROR(__xludf.DUMMYFUNCTION("""COMPUTED_VALUE"""),0.0)</f>
        <v>0</v>
      </c>
      <c r="C1080" s="43">
        <f>IFERROR(__xludf.DUMMYFUNCTION("""COMPUTED_VALUE"""),3.0)</f>
        <v>3</v>
      </c>
      <c r="D1080" s="46">
        <f>IFERROR(__xludf.DUMMYFUNCTION("""COMPUTED_VALUE"""),0.0)</f>
        <v>0</v>
      </c>
    </row>
    <row r="1081">
      <c r="A1081" s="43" t="str">
        <f>IFERROR(__xludf.DUMMYFUNCTION("""COMPUTED_VALUE"""),"강화&amp;찹쌀")</f>
        <v>강화&amp;찹쌀</v>
      </c>
      <c r="B1081" s="43">
        <f>IFERROR(__xludf.DUMMYFUNCTION("""COMPUTED_VALUE"""),0.0)</f>
        <v>0</v>
      </c>
      <c r="C1081" s="43">
        <f>IFERROR(__xludf.DUMMYFUNCTION("""COMPUTED_VALUE"""),3.0)</f>
        <v>3</v>
      </c>
      <c r="D1081" s="46">
        <f>IFERROR(__xludf.DUMMYFUNCTION("""COMPUTED_VALUE"""),0.0)</f>
        <v>0</v>
      </c>
    </row>
    <row r="1082">
      <c r="A1082" s="43" t="str">
        <f>IFERROR(__xludf.DUMMYFUNCTION("""COMPUTED_VALUE"""),"구리다&amp;아이딘")</f>
        <v>구리다&amp;아이딘</v>
      </c>
      <c r="B1082" s="43">
        <f>IFERROR(__xludf.DUMMYFUNCTION("""COMPUTED_VALUE"""),0.0)</f>
        <v>0</v>
      </c>
      <c r="C1082" s="43">
        <f>IFERROR(__xludf.DUMMYFUNCTION("""COMPUTED_VALUE"""),3.0)</f>
        <v>3</v>
      </c>
      <c r="D1082" s="46">
        <f>IFERROR(__xludf.DUMMYFUNCTION("""COMPUTED_VALUE"""),0.0)</f>
        <v>0</v>
      </c>
    </row>
    <row r="1083">
      <c r="A1083" s="43" t="str">
        <f>IFERROR(__xludf.DUMMYFUNCTION("""COMPUTED_VALUE"""),"구리다&amp;제로스")</f>
        <v>구리다&amp;제로스</v>
      </c>
      <c r="B1083" s="43">
        <f>IFERROR(__xludf.DUMMYFUNCTION("""COMPUTED_VALUE"""),0.0)</f>
        <v>0</v>
      </c>
      <c r="C1083" s="43">
        <f>IFERROR(__xludf.DUMMYFUNCTION("""COMPUTED_VALUE"""),3.0)</f>
        <v>3</v>
      </c>
      <c r="D1083" s="46">
        <f>IFERROR(__xludf.DUMMYFUNCTION("""COMPUTED_VALUE"""),0.0)</f>
        <v>0</v>
      </c>
    </row>
    <row r="1084">
      <c r="A1084" s="43" t="str">
        <f>IFERROR(__xludf.DUMMYFUNCTION("""COMPUTED_VALUE"""),"기재&amp;퍼플")</f>
        <v>기재&amp;퍼플</v>
      </c>
      <c r="B1084" s="43">
        <f>IFERROR(__xludf.DUMMYFUNCTION("""COMPUTED_VALUE"""),0.0)</f>
        <v>0</v>
      </c>
      <c r="C1084" s="43">
        <f>IFERROR(__xludf.DUMMYFUNCTION("""COMPUTED_VALUE"""),3.0)</f>
        <v>3</v>
      </c>
      <c r="D1084" s="46">
        <f>IFERROR(__xludf.DUMMYFUNCTION("""COMPUTED_VALUE"""),0.0)</f>
        <v>0</v>
      </c>
    </row>
    <row r="1085">
      <c r="A1085" s="43" t="str">
        <f>IFERROR(__xludf.DUMMYFUNCTION("""COMPUTED_VALUE"""),"깡패&amp;지피")</f>
        <v>깡패&amp;지피</v>
      </c>
      <c r="B1085" s="43">
        <f>IFERROR(__xludf.DUMMYFUNCTION("""COMPUTED_VALUE"""),0.0)</f>
        <v>0</v>
      </c>
      <c r="C1085" s="43">
        <f>IFERROR(__xludf.DUMMYFUNCTION("""COMPUTED_VALUE"""),3.0)</f>
        <v>3</v>
      </c>
      <c r="D1085" s="46">
        <f>IFERROR(__xludf.DUMMYFUNCTION("""COMPUTED_VALUE"""),0.0)</f>
        <v>0</v>
      </c>
    </row>
    <row r="1086">
      <c r="A1086" s="43" t="str">
        <f>IFERROR(__xludf.DUMMYFUNCTION("""COMPUTED_VALUE"""),"넘버&amp;랄")</f>
        <v>넘버&amp;랄</v>
      </c>
      <c r="B1086" s="43">
        <f>IFERROR(__xludf.DUMMYFUNCTION("""COMPUTED_VALUE"""),0.0)</f>
        <v>0</v>
      </c>
      <c r="C1086" s="43">
        <f>IFERROR(__xludf.DUMMYFUNCTION("""COMPUTED_VALUE"""),3.0)</f>
        <v>3</v>
      </c>
      <c r="D1086" s="46">
        <f>IFERROR(__xludf.DUMMYFUNCTION("""COMPUTED_VALUE"""),0.0)</f>
        <v>0</v>
      </c>
    </row>
    <row r="1087">
      <c r="A1087" s="43" t="str">
        <f>IFERROR(__xludf.DUMMYFUNCTION("""COMPUTED_VALUE"""),"노인&amp;엘")</f>
        <v>노인&amp;엘</v>
      </c>
      <c r="B1087" s="43">
        <f>IFERROR(__xludf.DUMMYFUNCTION("""COMPUTED_VALUE"""),0.0)</f>
        <v>0</v>
      </c>
      <c r="C1087" s="43">
        <f>IFERROR(__xludf.DUMMYFUNCTION("""COMPUTED_VALUE"""),3.0)</f>
        <v>3</v>
      </c>
      <c r="D1087" s="46">
        <f>IFERROR(__xludf.DUMMYFUNCTION("""COMPUTED_VALUE"""),0.0)</f>
        <v>0</v>
      </c>
    </row>
    <row r="1088">
      <c r="A1088" s="43" t="str">
        <f>IFERROR(__xludf.DUMMYFUNCTION("""COMPUTED_VALUE"""),"노인&amp;하리보")</f>
        <v>노인&amp;하리보</v>
      </c>
      <c r="B1088" s="43">
        <f>IFERROR(__xludf.DUMMYFUNCTION("""COMPUTED_VALUE"""),0.0)</f>
        <v>0</v>
      </c>
      <c r="C1088" s="43">
        <f>IFERROR(__xludf.DUMMYFUNCTION("""COMPUTED_VALUE"""),3.0)</f>
        <v>3</v>
      </c>
      <c r="D1088" s="46">
        <f>IFERROR(__xludf.DUMMYFUNCTION("""COMPUTED_VALUE"""),0.0)</f>
        <v>0</v>
      </c>
    </row>
    <row r="1089">
      <c r="A1089" s="43" t="str">
        <f>IFERROR(__xludf.DUMMYFUNCTION("""COMPUTED_VALUE"""),"노픽업&amp;찹쌀")</f>
        <v>노픽업&amp;찹쌀</v>
      </c>
      <c r="B1089" s="43">
        <f>IFERROR(__xludf.DUMMYFUNCTION("""COMPUTED_VALUE"""),0.0)</f>
        <v>0</v>
      </c>
      <c r="C1089" s="43">
        <f>IFERROR(__xludf.DUMMYFUNCTION("""COMPUTED_VALUE"""),3.0)</f>
        <v>3</v>
      </c>
      <c r="D1089" s="46">
        <f>IFERROR(__xludf.DUMMYFUNCTION("""COMPUTED_VALUE"""),0.0)</f>
        <v>0</v>
      </c>
    </row>
    <row r="1090">
      <c r="A1090" s="43" t="str">
        <f>IFERROR(__xludf.DUMMYFUNCTION("""COMPUTED_VALUE"""),"단수&amp;랄")</f>
        <v>단수&amp;랄</v>
      </c>
      <c r="B1090" s="43">
        <f>IFERROR(__xludf.DUMMYFUNCTION("""COMPUTED_VALUE"""),0.0)</f>
        <v>0</v>
      </c>
      <c r="C1090" s="43">
        <f>IFERROR(__xludf.DUMMYFUNCTION("""COMPUTED_VALUE"""),3.0)</f>
        <v>3</v>
      </c>
      <c r="D1090" s="46">
        <f>IFERROR(__xludf.DUMMYFUNCTION("""COMPUTED_VALUE"""),0.0)</f>
        <v>0</v>
      </c>
    </row>
    <row r="1091">
      <c r="A1091" s="43" t="str">
        <f>IFERROR(__xludf.DUMMYFUNCTION("""COMPUTED_VALUE"""),"마법거북이&amp;찹쌀")</f>
        <v>마법거북이&amp;찹쌀</v>
      </c>
      <c r="B1091" s="43">
        <f>IFERROR(__xludf.DUMMYFUNCTION("""COMPUTED_VALUE"""),0.0)</f>
        <v>0</v>
      </c>
      <c r="C1091" s="43">
        <f>IFERROR(__xludf.DUMMYFUNCTION("""COMPUTED_VALUE"""),3.0)</f>
        <v>3</v>
      </c>
      <c r="D1091" s="46">
        <f>IFERROR(__xludf.DUMMYFUNCTION("""COMPUTED_VALUE"""),0.0)</f>
        <v>0</v>
      </c>
    </row>
    <row r="1092">
      <c r="A1092" s="43" t="str">
        <f>IFERROR(__xludf.DUMMYFUNCTION("""COMPUTED_VALUE"""),"밍구&amp;웅")</f>
        <v>밍구&amp;웅</v>
      </c>
      <c r="B1092" s="43">
        <f>IFERROR(__xludf.DUMMYFUNCTION("""COMPUTED_VALUE"""),0.0)</f>
        <v>0</v>
      </c>
      <c r="C1092" s="43">
        <f>IFERROR(__xludf.DUMMYFUNCTION("""COMPUTED_VALUE"""),3.0)</f>
        <v>3</v>
      </c>
      <c r="D1092" s="46">
        <f>IFERROR(__xludf.DUMMYFUNCTION("""COMPUTED_VALUE"""),0.0)</f>
        <v>0</v>
      </c>
    </row>
    <row r="1093">
      <c r="A1093" s="43" t="str">
        <f>IFERROR(__xludf.DUMMYFUNCTION("""COMPUTED_VALUE"""),"밍구&amp;윙크")</f>
        <v>밍구&amp;윙크</v>
      </c>
      <c r="B1093" s="43">
        <f>IFERROR(__xludf.DUMMYFUNCTION("""COMPUTED_VALUE"""),0.0)</f>
        <v>0</v>
      </c>
      <c r="C1093" s="43">
        <f>IFERROR(__xludf.DUMMYFUNCTION("""COMPUTED_VALUE"""),3.0)</f>
        <v>3</v>
      </c>
      <c r="D1093" s="46">
        <f>IFERROR(__xludf.DUMMYFUNCTION("""COMPUTED_VALUE"""),0.0)</f>
        <v>0</v>
      </c>
    </row>
    <row r="1094">
      <c r="A1094" s="43" t="str">
        <f>IFERROR(__xludf.DUMMYFUNCTION("""COMPUTED_VALUE"""),"봉구&amp;재명")</f>
        <v>봉구&amp;재명</v>
      </c>
      <c r="B1094" s="43">
        <f>IFERROR(__xludf.DUMMYFUNCTION("""COMPUTED_VALUE"""),0.0)</f>
        <v>0</v>
      </c>
      <c r="C1094" s="43">
        <f>IFERROR(__xludf.DUMMYFUNCTION("""COMPUTED_VALUE"""),3.0)</f>
        <v>3</v>
      </c>
      <c r="D1094" s="46">
        <f>IFERROR(__xludf.DUMMYFUNCTION("""COMPUTED_VALUE"""),0.0)</f>
        <v>0</v>
      </c>
    </row>
    <row r="1095">
      <c r="A1095" s="43" t="str">
        <f>IFERROR(__xludf.DUMMYFUNCTION("""COMPUTED_VALUE"""),"봉구&amp;키키")</f>
        <v>봉구&amp;키키</v>
      </c>
      <c r="B1095" s="43">
        <f>IFERROR(__xludf.DUMMYFUNCTION("""COMPUTED_VALUE"""),0.0)</f>
        <v>0</v>
      </c>
      <c r="C1095" s="43">
        <f>IFERROR(__xludf.DUMMYFUNCTION("""COMPUTED_VALUE"""),3.0)</f>
        <v>3</v>
      </c>
      <c r="D1095" s="46">
        <f>IFERROR(__xludf.DUMMYFUNCTION("""COMPUTED_VALUE"""),0.0)</f>
        <v>0</v>
      </c>
    </row>
    <row r="1096">
      <c r="A1096" s="43" t="str">
        <f>IFERROR(__xludf.DUMMYFUNCTION("""COMPUTED_VALUE"""),"신형만&amp;하리보")</f>
        <v>신형만&amp;하리보</v>
      </c>
      <c r="B1096" s="43">
        <f>IFERROR(__xludf.DUMMYFUNCTION("""COMPUTED_VALUE"""),0.0)</f>
        <v>0</v>
      </c>
      <c r="C1096" s="43">
        <f>IFERROR(__xludf.DUMMYFUNCTION("""COMPUTED_VALUE"""),3.0)</f>
        <v>3</v>
      </c>
      <c r="D1096" s="46">
        <f>IFERROR(__xludf.DUMMYFUNCTION("""COMPUTED_VALUE"""),0.0)</f>
        <v>0</v>
      </c>
    </row>
    <row r="1097">
      <c r="A1097" s="43" t="str">
        <f>IFERROR(__xludf.DUMMYFUNCTION("""COMPUTED_VALUE"""),"아이딘&amp;키키")</f>
        <v>아이딘&amp;키키</v>
      </c>
      <c r="B1097" s="43">
        <f>IFERROR(__xludf.DUMMYFUNCTION("""COMPUTED_VALUE"""),0.0)</f>
        <v>0</v>
      </c>
      <c r="C1097" s="43">
        <f>IFERROR(__xludf.DUMMYFUNCTION("""COMPUTED_VALUE"""),3.0)</f>
        <v>3</v>
      </c>
      <c r="D1097" s="46">
        <f>IFERROR(__xludf.DUMMYFUNCTION("""COMPUTED_VALUE"""),0.0)</f>
        <v>0</v>
      </c>
    </row>
    <row r="1098">
      <c r="A1098" s="43" t="str">
        <f>IFERROR(__xludf.DUMMYFUNCTION("""COMPUTED_VALUE"""),"재명&amp;튜브")</f>
        <v>재명&amp;튜브</v>
      </c>
      <c r="B1098" s="43">
        <f>IFERROR(__xludf.DUMMYFUNCTION("""COMPUTED_VALUE"""),0.0)</f>
        <v>0</v>
      </c>
      <c r="C1098" s="43">
        <f>IFERROR(__xludf.DUMMYFUNCTION("""COMPUTED_VALUE"""),3.0)</f>
        <v>3</v>
      </c>
      <c r="D1098" s="46">
        <f>IFERROR(__xludf.DUMMYFUNCTION("""COMPUTED_VALUE"""),0.0)</f>
        <v>0</v>
      </c>
    </row>
    <row r="1099">
      <c r="A1099" s="43" t="str">
        <f>IFERROR(__xludf.DUMMYFUNCTION("""COMPUTED_VALUE"""),"한메&amp;혀니")</f>
        <v>한메&amp;혀니</v>
      </c>
      <c r="B1099" s="43">
        <f>IFERROR(__xludf.DUMMYFUNCTION("""COMPUTED_VALUE"""),0.0)</f>
        <v>0</v>
      </c>
      <c r="C1099" s="43">
        <f>IFERROR(__xludf.DUMMYFUNCTION("""COMPUTED_VALUE"""),3.0)</f>
        <v>3</v>
      </c>
      <c r="D1099" s="46">
        <f>IFERROR(__xludf.DUMMYFUNCTION("""COMPUTED_VALUE"""),0.0)</f>
        <v>0</v>
      </c>
    </row>
    <row r="1100">
      <c r="A1100" s="43" t="str">
        <f>IFERROR(__xludf.DUMMYFUNCTION("""COMPUTED_VALUE"""),"Leaf&amp;강화")</f>
        <v>Leaf&amp;강화</v>
      </c>
      <c r="B1100" s="43">
        <f>IFERROR(__xludf.DUMMYFUNCTION("""COMPUTED_VALUE"""),0.0)</f>
        <v>0</v>
      </c>
      <c r="C1100" s="43">
        <f>IFERROR(__xludf.DUMMYFUNCTION("""COMPUTED_VALUE"""),4.0)</f>
        <v>4</v>
      </c>
      <c r="D1100" s="46">
        <f>IFERROR(__xludf.DUMMYFUNCTION("""COMPUTED_VALUE"""),0.0)</f>
        <v>0</v>
      </c>
    </row>
    <row r="1101">
      <c r="A1101" s="43" t="str">
        <f>IFERROR(__xludf.DUMMYFUNCTION("""COMPUTED_VALUE"""),"강화&amp;제이호")</f>
        <v>강화&amp;제이호</v>
      </c>
      <c r="B1101" s="43">
        <f>IFERROR(__xludf.DUMMYFUNCTION("""COMPUTED_VALUE"""),0.0)</f>
        <v>0</v>
      </c>
      <c r="C1101" s="43">
        <f>IFERROR(__xludf.DUMMYFUNCTION("""COMPUTED_VALUE"""),4.0)</f>
        <v>4</v>
      </c>
      <c r="D1101" s="46">
        <f>IFERROR(__xludf.DUMMYFUNCTION("""COMPUTED_VALUE"""),0.0)</f>
        <v>0</v>
      </c>
    </row>
    <row r="1102">
      <c r="A1102" s="43" t="str">
        <f>IFERROR(__xludf.DUMMYFUNCTION("""COMPUTED_VALUE"""),"구리다&amp;엘")</f>
        <v>구리다&amp;엘</v>
      </c>
      <c r="B1102" s="43">
        <f>IFERROR(__xludf.DUMMYFUNCTION("""COMPUTED_VALUE"""),0.0)</f>
        <v>0</v>
      </c>
      <c r="C1102" s="43">
        <f>IFERROR(__xludf.DUMMYFUNCTION("""COMPUTED_VALUE"""),4.0)</f>
        <v>4</v>
      </c>
      <c r="D1102" s="46">
        <f>IFERROR(__xludf.DUMMYFUNCTION("""COMPUTED_VALUE"""),0.0)</f>
        <v>0</v>
      </c>
    </row>
    <row r="1103">
      <c r="A1103" s="43" t="str">
        <f>IFERROR(__xludf.DUMMYFUNCTION("""COMPUTED_VALUE"""),"밍구&amp;엘더")</f>
        <v>밍구&amp;엘더</v>
      </c>
      <c r="B1103" s="43">
        <f>IFERROR(__xludf.DUMMYFUNCTION("""COMPUTED_VALUE"""),0.0)</f>
        <v>0</v>
      </c>
      <c r="C1103" s="43">
        <f>IFERROR(__xludf.DUMMYFUNCTION("""COMPUTED_VALUE"""),4.0)</f>
        <v>4</v>
      </c>
      <c r="D1103" s="46">
        <f>IFERROR(__xludf.DUMMYFUNCTION("""COMPUTED_VALUE"""),0.0)</f>
        <v>0</v>
      </c>
    </row>
    <row r="1104">
      <c r="A1104" s="43" t="str">
        <f>IFERROR(__xludf.DUMMYFUNCTION("""COMPUTED_VALUE"""),"시아&amp;전투쥐")</f>
        <v>시아&amp;전투쥐</v>
      </c>
      <c r="B1104" s="43">
        <f>IFERROR(__xludf.DUMMYFUNCTION("""COMPUTED_VALUE"""),0.0)</f>
        <v>0</v>
      </c>
      <c r="C1104" s="43">
        <f>IFERROR(__xludf.DUMMYFUNCTION("""COMPUTED_VALUE"""),4.0)</f>
        <v>4</v>
      </c>
      <c r="D1104" s="46">
        <f>IFERROR(__xludf.DUMMYFUNCTION("""COMPUTED_VALUE"""),0.0)</f>
        <v>0</v>
      </c>
    </row>
    <row r="1105">
      <c r="A1105" s="43" t="str">
        <f>IFERROR(__xludf.DUMMYFUNCTION("""COMPUTED_VALUE"""),"시아&amp;태식")</f>
        <v>시아&amp;태식</v>
      </c>
      <c r="B1105" s="43">
        <f>IFERROR(__xludf.DUMMYFUNCTION("""COMPUTED_VALUE"""),0.0)</f>
        <v>0</v>
      </c>
      <c r="C1105" s="43">
        <f>IFERROR(__xludf.DUMMYFUNCTION("""COMPUTED_VALUE"""),4.0)</f>
        <v>4</v>
      </c>
      <c r="D1105" s="46">
        <f>IFERROR(__xludf.DUMMYFUNCTION("""COMPUTED_VALUE"""),0.0)</f>
        <v>0</v>
      </c>
    </row>
    <row r="1106">
      <c r="A1106" s="43" t="str">
        <f>IFERROR(__xludf.DUMMYFUNCTION("""COMPUTED_VALUE"""),"엘&amp;웅")</f>
        <v>엘&amp;웅</v>
      </c>
      <c r="B1106" s="43">
        <f>IFERROR(__xludf.DUMMYFUNCTION("""COMPUTED_VALUE"""),0.0)</f>
        <v>0</v>
      </c>
      <c r="C1106" s="43">
        <f>IFERROR(__xludf.DUMMYFUNCTION("""COMPUTED_VALUE"""),4.0)</f>
        <v>4</v>
      </c>
      <c r="D1106" s="46">
        <f>IFERROR(__xludf.DUMMYFUNCTION("""COMPUTED_VALUE"""),0.0)</f>
        <v>0</v>
      </c>
    </row>
    <row r="1107">
      <c r="A1107" s="43" t="str">
        <f>IFERROR(__xludf.DUMMYFUNCTION("""COMPUTED_VALUE"""),"오딘&amp;용이")</f>
        <v>오딘&amp;용이</v>
      </c>
      <c r="B1107" s="43">
        <f>IFERROR(__xludf.DUMMYFUNCTION("""COMPUTED_VALUE"""),0.0)</f>
        <v>0</v>
      </c>
      <c r="C1107" s="43">
        <f>IFERROR(__xludf.DUMMYFUNCTION("""COMPUTED_VALUE"""),4.0)</f>
        <v>4</v>
      </c>
      <c r="D1107" s="46">
        <f>IFERROR(__xludf.DUMMYFUNCTION("""COMPUTED_VALUE"""),0.0)</f>
        <v>0</v>
      </c>
    </row>
    <row r="1108">
      <c r="A1108" s="43" t="str">
        <f>IFERROR(__xludf.DUMMYFUNCTION("""COMPUTED_VALUE"""),"유즈&amp;필찌")</f>
        <v>유즈&amp;필찌</v>
      </c>
      <c r="B1108" s="43">
        <f>IFERROR(__xludf.DUMMYFUNCTION("""COMPUTED_VALUE"""),0.0)</f>
        <v>0</v>
      </c>
      <c r="C1108" s="43">
        <f>IFERROR(__xludf.DUMMYFUNCTION("""COMPUTED_VALUE"""),4.0)</f>
        <v>4</v>
      </c>
      <c r="D1108" s="46">
        <f>IFERROR(__xludf.DUMMYFUNCTION("""COMPUTED_VALUE"""),0.0)</f>
        <v>0</v>
      </c>
    </row>
    <row r="1109">
      <c r="A1109" s="43" t="str">
        <f>IFERROR(__xludf.DUMMYFUNCTION("""COMPUTED_VALUE"""),"전투쥐&amp;필찌")</f>
        <v>전투쥐&amp;필찌</v>
      </c>
      <c r="B1109" s="43">
        <f>IFERROR(__xludf.DUMMYFUNCTION("""COMPUTED_VALUE"""),0.0)</f>
        <v>0</v>
      </c>
      <c r="C1109" s="43">
        <f>IFERROR(__xludf.DUMMYFUNCTION("""COMPUTED_VALUE"""),4.0)</f>
        <v>4</v>
      </c>
      <c r="D1109" s="46">
        <f>IFERROR(__xludf.DUMMYFUNCTION("""COMPUTED_VALUE"""),0.0)</f>
        <v>0</v>
      </c>
    </row>
    <row r="1110">
      <c r="A1110" s="43" t="str">
        <f>IFERROR(__xludf.DUMMYFUNCTION("""COMPUTED_VALUE"""),"ACDC&amp;GYUL")</f>
        <v>ACDC&amp;GYUL</v>
      </c>
      <c r="B1110" s="43">
        <f>IFERROR(__xludf.DUMMYFUNCTION("""COMPUTED_VALUE"""),0.0)</f>
        <v>0</v>
      </c>
      <c r="C1110" s="43">
        <f>IFERROR(__xludf.DUMMYFUNCTION("""COMPUTED_VALUE"""),5.0)</f>
        <v>5</v>
      </c>
      <c r="D1110" s="46">
        <f>IFERROR(__xludf.DUMMYFUNCTION("""COMPUTED_VALUE"""),0.0)</f>
        <v>0</v>
      </c>
    </row>
    <row r="1111">
      <c r="A1111" s="43" t="str">
        <f>IFERROR(__xludf.DUMMYFUNCTION("""COMPUTED_VALUE"""),"ACDC&amp;엘")</f>
        <v>ACDC&amp;엘</v>
      </c>
      <c r="B1111" s="43">
        <f>IFERROR(__xludf.DUMMYFUNCTION("""COMPUTED_VALUE"""),0.0)</f>
        <v>0</v>
      </c>
      <c r="C1111" s="43">
        <f>IFERROR(__xludf.DUMMYFUNCTION("""COMPUTED_VALUE"""),5.0)</f>
        <v>5</v>
      </c>
      <c r="D1111" s="46">
        <f>IFERROR(__xludf.DUMMYFUNCTION("""COMPUTED_VALUE"""),0.0)</f>
        <v>0</v>
      </c>
    </row>
    <row r="1112">
      <c r="A1112" s="43" t="str">
        <f>IFERROR(__xludf.DUMMYFUNCTION("""COMPUTED_VALUE"""),"ACDC&amp;제로스")</f>
        <v>ACDC&amp;제로스</v>
      </c>
      <c r="B1112" s="43">
        <f>IFERROR(__xludf.DUMMYFUNCTION("""COMPUTED_VALUE"""),0.0)</f>
        <v>0</v>
      </c>
      <c r="C1112" s="43">
        <f>IFERROR(__xludf.DUMMYFUNCTION("""COMPUTED_VALUE"""),5.0)</f>
        <v>5</v>
      </c>
      <c r="D1112" s="46">
        <f>IFERROR(__xludf.DUMMYFUNCTION("""COMPUTED_VALUE"""),0.0)</f>
        <v>0</v>
      </c>
    </row>
    <row r="1113">
      <c r="A1113" s="43" t="str">
        <f>IFERROR(__xludf.DUMMYFUNCTION("""COMPUTED_VALUE"""),"ACDC&amp;킹")</f>
        <v>ACDC&amp;킹</v>
      </c>
      <c r="B1113" s="43">
        <f>IFERROR(__xludf.DUMMYFUNCTION("""COMPUTED_VALUE"""),0.0)</f>
        <v>0</v>
      </c>
      <c r="C1113" s="43">
        <f>IFERROR(__xludf.DUMMYFUNCTION("""COMPUTED_VALUE"""),5.0)</f>
        <v>5</v>
      </c>
      <c r="D1113" s="46">
        <f>IFERROR(__xludf.DUMMYFUNCTION("""COMPUTED_VALUE"""),0.0)</f>
        <v>0</v>
      </c>
    </row>
    <row r="1114">
      <c r="A1114" s="43" t="str">
        <f>IFERROR(__xludf.DUMMYFUNCTION("""COMPUTED_VALUE"""),"단수&amp;한메")</f>
        <v>단수&amp;한메</v>
      </c>
      <c r="B1114" s="43">
        <f>IFERROR(__xludf.DUMMYFUNCTION("""COMPUTED_VALUE"""),0.0)</f>
        <v>0</v>
      </c>
      <c r="C1114" s="43">
        <f>IFERROR(__xludf.DUMMYFUNCTION("""COMPUTED_VALUE"""),5.0)</f>
        <v>5</v>
      </c>
      <c r="D1114" s="46">
        <f>IFERROR(__xludf.DUMMYFUNCTION("""COMPUTED_VALUE"""),0.0)</f>
        <v>0</v>
      </c>
    </row>
    <row r="1115">
      <c r="A1115" s="43" t="str">
        <f>IFERROR(__xludf.DUMMYFUNCTION("""COMPUTED_VALUE"""),"미등록&amp;찹쌀")</f>
        <v>미등록&amp;찹쌀</v>
      </c>
      <c r="B1115" s="43">
        <f>IFERROR(__xludf.DUMMYFUNCTION("""COMPUTED_VALUE"""),0.0)</f>
        <v>0</v>
      </c>
      <c r="C1115" s="43">
        <f>IFERROR(__xludf.DUMMYFUNCTION("""COMPUTED_VALUE"""),5.0)</f>
        <v>5</v>
      </c>
      <c r="D1115" s="46">
        <f>IFERROR(__xludf.DUMMYFUNCTION("""COMPUTED_VALUE"""),0.0)</f>
        <v>0</v>
      </c>
    </row>
    <row r="1116">
      <c r="A1116" s="43" t="str">
        <f>IFERROR(__xludf.DUMMYFUNCTION("""COMPUTED_VALUE"""),"시아&amp;요즘")</f>
        <v>시아&amp;요즘</v>
      </c>
      <c r="B1116" s="43">
        <f>IFERROR(__xludf.DUMMYFUNCTION("""COMPUTED_VALUE"""),0.0)</f>
        <v>0</v>
      </c>
      <c r="C1116" s="43">
        <f>IFERROR(__xludf.DUMMYFUNCTION("""COMPUTED_VALUE"""),5.0)</f>
        <v>5</v>
      </c>
      <c r="D1116" s="46">
        <f>IFERROR(__xludf.DUMMYFUNCTION("""COMPUTED_VALUE"""),0.0)</f>
        <v>0</v>
      </c>
    </row>
    <row r="1117">
      <c r="A1117" s="43" t="str">
        <f>IFERROR(__xludf.DUMMYFUNCTION("""COMPUTED_VALUE"""),"웅&amp;유망")</f>
        <v>웅&amp;유망</v>
      </c>
      <c r="B1117" s="43">
        <f>IFERROR(__xludf.DUMMYFUNCTION("""COMPUTED_VALUE"""),0.0)</f>
        <v>0</v>
      </c>
      <c r="C1117" s="43">
        <f>IFERROR(__xludf.DUMMYFUNCTION("""COMPUTED_VALUE"""),5.0)</f>
        <v>5</v>
      </c>
      <c r="D1117" s="46">
        <f>IFERROR(__xludf.DUMMYFUNCTION("""COMPUTED_VALUE"""),0.0)</f>
        <v>0</v>
      </c>
    </row>
    <row r="1118">
      <c r="A1118" s="43" t="str">
        <f>IFERROR(__xludf.DUMMYFUNCTION("""COMPUTED_VALUE"""),"Leaf&amp;깡패")</f>
        <v>Leaf&amp;깡패</v>
      </c>
      <c r="B1118" s="43">
        <f>IFERROR(__xludf.DUMMYFUNCTION("""COMPUTED_VALUE"""),0.0)</f>
        <v>0</v>
      </c>
      <c r="C1118" s="43">
        <f>IFERROR(__xludf.DUMMYFUNCTION("""COMPUTED_VALUE"""),6.0)</f>
        <v>6</v>
      </c>
      <c r="D1118" s="46">
        <f>IFERROR(__xludf.DUMMYFUNCTION("""COMPUTED_VALUE"""),0.0)</f>
        <v>0</v>
      </c>
    </row>
    <row r="1119">
      <c r="A1119" s="43" t="str">
        <f>IFERROR(__xludf.DUMMYFUNCTION("""COMPUTED_VALUE"""),"깡패&amp;웅")</f>
        <v>깡패&amp;웅</v>
      </c>
      <c r="B1119" s="43">
        <f>IFERROR(__xludf.DUMMYFUNCTION("""COMPUTED_VALUE"""),0.0)</f>
        <v>0</v>
      </c>
      <c r="C1119" s="43">
        <f>IFERROR(__xludf.DUMMYFUNCTION("""COMPUTED_VALUE"""),6.0)</f>
        <v>6</v>
      </c>
      <c r="D1119" s="46">
        <f>IFERROR(__xludf.DUMMYFUNCTION("""COMPUTED_VALUE"""),0.0)</f>
        <v>0</v>
      </c>
    </row>
    <row r="1120">
      <c r="A1120" s="43" t="str">
        <f>IFERROR(__xludf.DUMMYFUNCTION("""COMPUTED_VALUE"""),"노픽업&amp;용이")</f>
        <v>노픽업&amp;용이</v>
      </c>
      <c r="B1120" s="43">
        <f>IFERROR(__xludf.DUMMYFUNCTION("""COMPUTED_VALUE"""),0.0)</f>
        <v>0</v>
      </c>
      <c r="C1120" s="43">
        <f>IFERROR(__xludf.DUMMYFUNCTION("""COMPUTED_VALUE"""),6.0)</f>
        <v>6</v>
      </c>
      <c r="D1120" s="46">
        <f>IFERROR(__xludf.DUMMYFUNCTION("""COMPUTED_VALUE"""),0.0)</f>
        <v>0</v>
      </c>
    </row>
    <row r="1121">
      <c r="A1121" s="43" t="str">
        <f>IFERROR(__xludf.DUMMYFUNCTION("""COMPUTED_VALUE"""),"랄&amp;시아")</f>
        <v>랄&amp;시아</v>
      </c>
      <c r="B1121" s="43">
        <f>IFERROR(__xludf.DUMMYFUNCTION("""COMPUTED_VALUE"""),0.0)</f>
        <v>0</v>
      </c>
      <c r="C1121" s="43">
        <f>IFERROR(__xludf.DUMMYFUNCTION("""COMPUTED_VALUE"""),6.0)</f>
        <v>6</v>
      </c>
      <c r="D1121" s="46">
        <f>IFERROR(__xludf.DUMMYFUNCTION("""COMPUTED_VALUE"""),0.0)</f>
        <v>0</v>
      </c>
    </row>
    <row r="1122">
      <c r="A1122" s="43" t="str">
        <f>IFERROR(__xludf.DUMMYFUNCTION("""COMPUTED_VALUE"""),"ACDC&amp;단수")</f>
        <v>ACDC&amp;단수</v>
      </c>
      <c r="B1122" s="43">
        <f>IFERROR(__xludf.DUMMYFUNCTION("""COMPUTED_VALUE"""),0.0)</f>
        <v>0</v>
      </c>
      <c r="C1122" s="43">
        <f>IFERROR(__xludf.DUMMYFUNCTION("""COMPUTED_VALUE"""),7.0)</f>
        <v>7</v>
      </c>
      <c r="D1122" s="46">
        <f>IFERROR(__xludf.DUMMYFUNCTION("""COMPUTED_VALUE"""),0.0)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6.63"/>
    <col customWidth="1" min="6" max="6" width="15.63"/>
    <col customWidth="1" min="7" max="7" width="18.88"/>
  </cols>
  <sheetData>
    <row r="1">
      <c r="A1" s="47" t="s">
        <v>62</v>
      </c>
      <c r="B1" s="48" t="s">
        <v>63</v>
      </c>
      <c r="C1" s="47" t="s">
        <v>9604</v>
      </c>
      <c r="D1" s="47" t="s">
        <v>9605</v>
      </c>
      <c r="E1" s="49" t="s">
        <v>69</v>
      </c>
      <c r="F1" s="50" t="s">
        <v>9606</v>
      </c>
    </row>
    <row r="2">
      <c r="A2" s="47">
        <f t="shared" ref="A2:A211" si="1">Row()-1</f>
        <v>1</v>
      </c>
      <c r="B2" s="51" t="s">
        <v>80</v>
      </c>
      <c r="C2" s="52" t="s">
        <v>26</v>
      </c>
      <c r="D2" s="52">
        <v>1316.0</v>
      </c>
      <c r="E2" s="53" t="s">
        <v>83</v>
      </c>
      <c r="F2" s="54" t="s">
        <v>79</v>
      </c>
    </row>
    <row r="3">
      <c r="A3" s="47">
        <f t="shared" si="1"/>
        <v>2</v>
      </c>
      <c r="B3" s="51" t="s">
        <v>80</v>
      </c>
      <c r="C3" s="52" t="s">
        <v>28</v>
      </c>
      <c r="D3" s="52">
        <v>1279.0</v>
      </c>
      <c r="E3" s="53" t="s">
        <v>83</v>
      </c>
      <c r="F3" s="54" t="s">
        <v>79</v>
      </c>
    </row>
    <row r="4">
      <c r="A4" s="47">
        <f t="shared" si="1"/>
        <v>3</v>
      </c>
      <c r="B4" s="51" t="s">
        <v>80</v>
      </c>
      <c r="C4" s="52" t="s">
        <v>32</v>
      </c>
      <c r="D4" s="52">
        <v>1189.0</v>
      </c>
      <c r="E4" s="53" t="s">
        <v>83</v>
      </c>
      <c r="F4" s="54" t="s">
        <v>79</v>
      </c>
    </row>
    <row r="5">
      <c r="A5" s="47">
        <f t="shared" si="1"/>
        <v>4</v>
      </c>
      <c r="B5" s="51" t="s">
        <v>80</v>
      </c>
      <c r="C5" s="52" t="s">
        <v>30</v>
      </c>
      <c r="D5" s="52">
        <v>1204.0</v>
      </c>
      <c r="E5" s="53" t="s">
        <v>83</v>
      </c>
      <c r="F5" s="54" t="s">
        <v>79</v>
      </c>
    </row>
    <row r="6">
      <c r="A6" s="47">
        <f t="shared" si="1"/>
        <v>5</v>
      </c>
      <c r="B6" s="51" t="s">
        <v>86</v>
      </c>
      <c r="C6" s="52" t="s">
        <v>30</v>
      </c>
      <c r="D6" s="52">
        <v>1182.0</v>
      </c>
      <c r="E6" s="53" t="s">
        <v>83</v>
      </c>
      <c r="F6" s="54" t="s">
        <v>85</v>
      </c>
    </row>
    <row r="7">
      <c r="A7" s="47">
        <f t="shared" si="1"/>
        <v>6</v>
      </c>
      <c r="B7" s="51" t="s">
        <v>86</v>
      </c>
      <c r="C7" s="52" t="s">
        <v>26</v>
      </c>
      <c r="D7" s="52">
        <v>1332.0</v>
      </c>
      <c r="E7" s="53" t="s">
        <v>83</v>
      </c>
      <c r="F7" s="54" t="s">
        <v>85</v>
      </c>
    </row>
    <row r="8">
      <c r="A8" s="47">
        <f t="shared" si="1"/>
        <v>7</v>
      </c>
      <c r="B8" s="51" t="s">
        <v>86</v>
      </c>
      <c r="C8" s="52" t="s">
        <v>27</v>
      </c>
      <c r="D8" s="52">
        <v>1297.0</v>
      </c>
      <c r="E8" s="53" t="s">
        <v>83</v>
      </c>
      <c r="F8" s="54" t="s">
        <v>85</v>
      </c>
    </row>
    <row r="9">
      <c r="A9" s="47">
        <f t="shared" si="1"/>
        <v>8</v>
      </c>
      <c r="B9" s="51" t="s">
        <v>86</v>
      </c>
      <c r="C9" s="52" t="s">
        <v>32</v>
      </c>
      <c r="D9" s="52">
        <v>1166.0</v>
      </c>
      <c r="E9" s="53" t="s">
        <v>83</v>
      </c>
      <c r="F9" s="54" t="s">
        <v>85</v>
      </c>
    </row>
    <row r="10">
      <c r="A10" s="47">
        <f t="shared" si="1"/>
        <v>9</v>
      </c>
      <c r="B10" s="51" t="s">
        <v>90</v>
      </c>
      <c r="C10" s="52" t="s">
        <v>27</v>
      </c>
      <c r="D10" s="52">
        <v>1279.0</v>
      </c>
      <c r="E10" s="53" t="s">
        <v>83</v>
      </c>
      <c r="F10" s="54" t="s">
        <v>89</v>
      </c>
    </row>
    <row r="11">
      <c r="A11" s="47">
        <f t="shared" si="1"/>
        <v>10</v>
      </c>
      <c r="B11" s="51" t="s">
        <v>90</v>
      </c>
      <c r="C11" s="52" t="s">
        <v>26</v>
      </c>
      <c r="D11" s="52">
        <v>1351.0</v>
      </c>
      <c r="E11" s="53" t="s">
        <v>83</v>
      </c>
      <c r="F11" s="54" t="s">
        <v>89</v>
      </c>
    </row>
    <row r="12">
      <c r="A12" s="47">
        <f t="shared" si="1"/>
        <v>11</v>
      </c>
      <c r="B12" s="51" t="s">
        <v>90</v>
      </c>
      <c r="C12" s="52" t="s">
        <v>32</v>
      </c>
      <c r="D12" s="52">
        <v>1139.0</v>
      </c>
      <c r="E12" s="53" t="s">
        <v>83</v>
      </c>
      <c r="F12" s="54" t="s">
        <v>89</v>
      </c>
    </row>
    <row r="13">
      <c r="A13" s="47">
        <f t="shared" si="1"/>
        <v>12</v>
      </c>
      <c r="B13" s="51" t="s">
        <v>90</v>
      </c>
      <c r="C13" s="52" t="s">
        <v>30</v>
      </c>
      <c r="D13" s="52">
        <v>1199.0</v>
      </c>
      <c r="E13" s="53" t="s">
        <v>83</v>
      </c>
      <c r="F13" s="54" t="s">
        <v>89</v>
      </c>
    </row>
    <row r="14">
      <c r="A14" s="47">
        <f t="shared" si="1"/>
        <v>13</v>
      </c>
      <c r="B14" s="51" t="s">
        <v>94</v>
      </c>
      <c r="C14" s="52" t="s">
        <v>30</v>
      </c>
      <c r="D14" s="52">
        <v>1172.0</v>
      </c>
      <c r="E14" s="53" t="s">
        <v>83</v>
      </c>
      <c r="F14" s="54" t="s">
        <v>93</v>
      </c>
    </row>
    <row r="15">
      <c r="A15" s="47">
        <f t="shared" si="1"/>
        <v>14</v>
      </c>
      <c r="B15" s="51" t="s">
        <v>94</v>
      </c>
      <c r="C15" s="52" t="s">
        <v>26</v>
      </c>
      <c r="D15" s="52">
        <v>1364.0</v>
      </c>
      <c r="E15" s="53" t="s">
        <v>83</v>
      </c>
      <c r="F15" s="54" t="s">
        <v>93</v>
      </c>
    </row>
    <row r="16">
      <c r="A16" s="47">
        <f t="shared" si="1"/>
        <v>15</v>
      </c>
      <c r="B16" s="51" t="s">
        <v>94</v>
      </c>
      <c r="C16" s="52" t="s">
        <v>32</v>
      </c>
      <c r="D16" s="52">
        <v>1110.0</v>
      </c>
      <c r="E16" s="53" t="s">
        <v>83</v>
      </c>
      <c r="F16" s="54" t="s">
        <v>93</v>
      </c>
    </row>
    <row r="17">
      <c r="A17" s="47">
        <f t="shared" si="1"/>
        <v>16</v>
      </c>
      <c r="B17" s="51" t="s">
        <v>94</v>
      </c>
      <c r="C17" s="52" t="s">
        <v>27</v>
      </c>
      <c r="D17" s="52">
        <v>1291.0</v>
      </c>
      <c r="E17" s="53" t="s">
        <v>83</v>
      </c>
      <c r="F17" s="54" t="s">
        <v>93</v>
      </c>
    </row>
    <row r="18">
      <c r="A18" s="47">
        <f t="shared" si="1"/>
        <v>17</v>
      </c>
      <c r="B18" s="51" t="s">
        <v>98</v>
      </c>
      <c r="C18" s="52" t="s">
        <v>33</v>
      </c>
      <c r="D18" s="52">
        <v>1177.0</v>
      </c>
      <c r="E18" s="53" t="s">
        <v>83</v>
      </c>
      <c r="F18" s="54" t="s">
        <v>97</v>
      </c>
    </row>
    <row r="19">
      <c r="A19" s="47">
        <f t="shared" si="1"/>
        <v>18</v>
      </c>
      <c r="B19" s="51" t="s">
        <v>98</v>
      </c>
      <c r="C19" s="52" t="s">
        <v>32</v>
      </c>
      <c r="D19" s="52">
        <v>1124.0</v>
      </c>
      <c r="E19" s="53" t="s">
        <v>83</v>
      </c>
      <c r="F19" s="54" t="s">
        <v>97</v>
      </c>
    </row>
    <row r="20">
      <c r="A20" s="47">
        <f t="shared" si="1"/>
        <v>19</v>
      </c>
      <c r="B20" s="51" t="s">
        <v>98</v>
      </c>
      <c r="C20" s="52" t="s">
        <v>28</v>
      </c>
      <c r="D20" s="52">
        <v>1263.0</v>
      </c>
      <c r="E20" s="53" t="s">
        <v>83</v>
      </c>
      <c r="F20" s="54" t="s">
        <v>97</v>
      </c>
    </row>
    <row r="21">
      <c r="A21" s="47">
        <f t="shared" si="1"/>
        <v>20</v>
      </c>
      <c r="B21" s="51" t="s">
        <v>98</v>
      </c>
      <c r="C21" s="52" t="s">
        <v>26</v>
      </c>
      <c r="D21" s="52">
        <v>1381.0</v>
      </c>
      <c r="E21" s="53" t="s">
        <v>83</v>
      </c>
      <c r="F21" s="54" t="s">
        <v>97</v>
      </c>
    </row>
    <row r="22">
      <c r="A22" s="47">
        <f t="shared" si="1"/>
        <v>21</v>
      </c>
      <c r="B22" s="51" t="s">
        <v>98</v>
      </c>
      <c r="C22" s="52" t="s">
        <v>27</v>
      </c>
      <c r="D22" s="52">
        <v>1273.0</v>
      </c>
      <c r="E22" s="53" t="s">
        <v>83</v>
      </c>
      <c r="F22" s="54" t="s">
        <v>97</v>
      </c>
    </row>
    <row r="23">
      <c r="A23" s="47">
        <f t="shared" si="1"/>
        <v>22</v>
      </c>
      <c r="B23" s="51" t="s">
        <v>103</v>
      </c>
      <c r="C23" s="52" t="s">
        <v>32</v>
      </c>
      <c r="D23" s="52">
        <v>1139.0</v>
      </c>
      <c r="E23" s="53" t="s">
        <v>83</v>
      </c>
      <c r="F23" s="54" t="s">
        <v>102</v>
      </c>
    </row>
    <row r="24">
      <c r="A24" s="47">
        <f t="shared" si="1"/>
        <v>23</v>
      </c>
      <c r="B24" s="51" t="s">
        <v>103</v>
      </c>
      <c r="C24" s="52" t="s">
        <v>27</v>
      </c>
      <c r="D24" s="52">
        <v>1257.0</v>
      </c>
      <c r="E24" s="53" t="s">
        <v>83</v>
      </c>
      <c r="F24" s="54" t="s">
        <v>102</v>
      </c>
    </row>
    <row r="25">
      <c r="A25" s="47">
        <f t="shared" si="1"/>
        <v>24</v>
      </c>
      <c r="B25" s="51" t="s">
        <v>103</v>
      </c>
      <c r="C25" s="52" t="s">
        <v>33</v>
      </c>
      <c r="D25" s="52">
        <v>1193.0</v>
      </c>
      <c r="E25" s="53" t="s">
        <v>83</v>
      </c>
      <c r="F25" s="54" t="s">
        <v>102</v>
      </c>
    </row>
    <row r="26">
      <c r="A26" s="47">
        <f t="shared" si="1"/>
        <v>25</v>
      </c>
      <c r="B26" s="51" t="s">
        <v>103</v>
      </c>
      <c r="C26" s="52" t="s">
        <v>28</v>
      </c>
      <c r="D26" s="52">
        <v>1246.0</v>
      </c>
      <c r="E26" s="53" t="s">
        <v>83</v>
      </c>
      <c r="F26" s="54" t="s">
        <v>102</v>
      </c>
    </row>
    <row r="27">
      <c r="A27" s="47">
        <f t="shared" si="1"/>
        <v>26</v>
      </c>
      <c r="B27" s="51" t="s">
        <v>103</v>
      </c>
      <c r="C27" s="52" t="s">
        <v>26</v>
      </c>
      <c r="D27" s="52">
        <v>1365.0</v>
      </c>
      <c r="E27" s="53" t="s">
        <v>83</v>
      </c>
      <c r="F27" s="54" t="s">
        <v>102</v>
      </c>
    </row>
    <row r="28">
      <c r="A28" s="47">
        <f t="shared" si="1"/>
        <v>27</v>
      </c>
      <c r="B28" s="51" t="s">
        <v>107</v>
      </c>
      <c r="C28" s="52" t="s">
        <v>32</v>
      </c>
      <c r="D28" s="52">
        <v>996.0</v>
      </c>
      <c r="E28" s="53" t="s">
        <v>83</v>
      </c>
      <c r="F28" s="54" t="s">
        <v>106</v>
      </c>
    </row>
    <row r="29">
      <c r="A29" s="47">
        <f t="shared" si="1"/>
        <v>28</v>
      </c>
      <c r="B29" s="51" t="s">
        <v>107</v>
      </c>
      <c r="C29" s="52" t="s">
        <v>35</v>
      </c>
      <c r="D29" s="52">
        <v>884.0</v>
      </c>
      <c r="E29" s="53" t="s">
        <v>83</v>
      </c>
      <c r="F29" s="54" t="s">
        <v>106</v>
      </c>
    </row>
    <row r="30">
      <c r="A30" s="47">
        <f t="shared" si="1"/>
        <v>29</v>
      </c>
      <c r="B30" s="51" t="s">
        <v>107</v>
      </c>
      <c r="C30" s="52" t="s">
        <v>26</v>
      </c>
      <c r="D30" s="52">
        <v>1097.0</v>
      </c>
      <c r="E30" s="53" t="s">
        <v>83</v>
      </c>
      <c r="F30" s="54" t="s">
        <v>106</v>
      </c>
    </row>
    <row r="31">
      <c r="A31" s="47">
        <f t="shared" si="1"/>
        <v>30</v>
      </c>
      <c r="B31" s="51" t="s">
        <v>107</v>
      </c>
      <c r="C31" s="52" t="s">
        <v>34</v>
      </c>
      <c r="D31" s="52">
        <v>952.0</v>
      </c>
      <c r="E31" s="53" t="s">
        <v>83</v>
      </c>
      <c r="F31" s="54" t="s">
        <v>106</v>
      </c>
    </row>
    <row r="32">
      <c r="A32" s="47">
        <f t="shared" si="1"/>
        <v>31</v>
      </c>
      <c r="B32" s="51" t="s">
        <v>107</v>
      </c>
      <c r="C32" s="52" t="s">
        <v>30</v>
      </c>
      <c r="D32" s="52">
        <v>995.0</v>
      </c>
      <c r="E32" s="53" t="s">
        <v>83</v>
      </c>
      <c r="F32" s="54" t="s">
        <v>106</v>
      </c>
    </row>
    <row r="33">
      <c r="A33" s="47">
        <f t="shared" si="1"/>
        <v>32</v>
      </c>
      <c r="B33" s="51" t="s">
        <v>107</v>
      </c>
      <c r="C33" s="52" t="s">
        <v>29</v>
      </c>
      <c r="D33" s="52">
        <v>1220.0</v>
      </c>
      <c r="E33" s="53" t="s">
        <v>83</v>
      </c>
      <c r="F33" s="54" t="s">
        <v>106</v>
      </c>
    </row>
    <row r="34">
      <c r="A34" s="47">
        <f t="shared" si="1"/>
        <v>33</v>
      </c>
      <c r="B34" s="51" t="s">
        <v>112</v>
      </c>
      <c r="C34" s="52" t="s">
        <v>30</v>
      </c>
      <c r="D34" s="52">
        <v>970.0</v>
      </c>
      <c r="E34" s="53" t="s">
        <v>83</v>
      </c>
      <c r="F34" s="54" t="s">
        <v>111</v>
      </c>
    </row>
    <row r="35">
      <c r="A35" s="47">
        <f t="shared" si="1"/>
        <v>34</v>
      </c>
      <c r="B35" s="51" t="s">
        <v>112</v>
      </c>
      <c r="C35" s="52" t="s">
        <v>35</v>
      </c>
      <c r="D35" s="52">
        <v>900.0</v>
      </c>
      <c r="E35" s="53" t="s">
        <v>83</v>
      </c>
      <c r="F35" s="54" t="s">
        <v>111</v>
      </c>
    </row>
    <row r="36">
      <c r="A36" s="47">
        <f t="shared" si="1"/>
        <v>35</v>
      </c>
      <c r="B36" s="51" t="s">
        <v>112</v>
      </c>
      <c r="C36" s="52" t="s">
        <v>26</v>
      </c>
      <c r="D36" s="52">
        <v>1076.0</v>
      </c>
      <c r="E36" s="53" t="s">
        <v>83</v>
      </c>
      <c r="F36" s="54" t="s">
        <v>111</v>
      </c>
    </row>
    <row r="37">
      <c r="A37" s="47">
        <f t="shared" si="1"/>
        <v>36</v>
      </c>
      <c r="B37" s="51" t="s">
        <v>112</v>
      </c>
      <c r="C37" s="52" t="s">
        <v>32</v>
      </c>
      <c r="D37" s="52">
        <v>1014.0</v>
      </c>
      <c r="E37" s="53" t="s">
        <v>83</v>
      </c>
      <c r="F37" s="54" t="s">
        <v>111</v>
      </c>
    </row>
    <row r="38">
      <c r="A38" s="47">
        <f t="shared" si="1"/>
        <v>37</v>
      </c>
      <c r="B38" s="51" t="s">
        <v>112</v>
      </c>
      <c r="C38" s="52" t="s">
        <v>34</v>
      </c>
      <c r="D38" s="52">
        <v>930.0</v>
      </c>
      <c r="E38" s="53" t="s">
        <v>83</v>
      </c>
      <c r="F38" s="54" t="s">
        <v>111</v>
      </c>
    </row>
    <row r="39">
      <c r="A39" s="47">
        <f t="shared" si="1"/>
        <v>38</v>
      </c>
      <c r="B39" s="51" t="s">
        <v>116</v>
      </c>
      <c r="C39" s="52" t="s">
        <v>34</v>
      </c>
      <c r="D39" s="52">
        <v>907.0</v>
      </c>
      <c r="E39" s="53" t="s">
        <v>83</v>
      </c>
      <c r="F39" s="54" t="s">
        <v>115</v>
      </c>
    </row>
    <row r="40">
      <c r="A40" s="47">
        <f t="shared" si="1"/>
        <v>39</v>
      </c>
      <c r="B40" s="51" t="s">
        <v>116</v>
      </c>
      <c r="C40" s="52" t="s">
        <v>30</v>
      </c>
      <c r="D40" s="52">
        <v>980.0</v>
      </c>
      <c r="E40" s="53" t="s">
        <v>83</v>
      </c>
      <c r="F40" s="54" t="s">
        <v>115</v>
      </c>
    </row>
    <row r="41">
      <c r="A41" s="47">
        <f t="shared" si="1"/>
        <v>40</v>
      </c>
      <c r="B41" s="51" t="s">
        <v>116</v>
      </c>
      <c r="C41" s="52" t="s">
        <v>26</v>
      </c>
      <c r="D41" s="52">
        <v>1087.0</v>
      </c>
      <c r="E41" s="53" t="s">
        <v>83</v>
      </c>
      <c r="F41" s="54" t="s">
        <v>115</v>
      </c>
    </row>
    <row r="42">
      <c r="A42" s="47">
        <f t="shared" si="1"/>
        <v>41</v>
      </c>
      <c r="B42" s="51" t="s">
        <v>116</v>
      </c>
      <c r="C42" s="52" t="s">
        <v>35</v>
      </c>
      <c r="D42" s="52">
        <v>910.0</v>
      </c>
      <c r="E42" s="53" t="s">
        <v>83</v>
      </c>
      <c r="F42" s="54" t="s">
        <v>115</v>
      </c>
    </row>
    <row r="43">
      <c r="A43" s="47">
        <f t="shared" si="1"/>
        <v>42</v>
      </c>
      <c r="B43" s="51" t="s">
        <v>116</v>
      </c>
      <c r="C43" s="52" t="s">
        <v>28</v>
      </c>
      <c r="D43" s="52">
        <v>982.0</v>
      </c>
      <c r="E43" s="53" t="s">
        <v>83</v>
      </c>
      <c r="F43" s="54" t="s">
        <v>115</v>
      </c>
    </row>
    <row r="44">
      <c r="A44" s="47">
        <f t="shared" si="1"/>
        <v>43</v>
      </c>
      <c r="B44" s="51" t="s">
        <v>116</v>
      </c>
      <c r="C44" s="52" t="s">
        <v>32</v>
      </c>
      <c r="D44" s="52">
        <v>989.0</v>
      </c>
      <c r="E44" s="53" t="s">
        <v>83</v>
      </c>
      <c r="F44" s="54" t="s">
        <v>115</v>
      </c>
    </row>
    <row r="45">
      <c r="A45" s="47">
        <f t="shared" si="1"/>
        <v>44</v>
      </c>
      <c r="B45" s="51" t="s">
        <v>116</v>
      </c>
      <c r="C45" s="52" t="s">
        <v>27</v>
      </c>
      <c r="D45" s="52">
        <v>1070.0</v>
      </c>
      <c r="E45" s="53" t="s">
        <v>83</v>
      </c>
      <c r="F45" s="54" t="s">
        <v>115</v>
      </c>
    </row>
    <row r="46">
      <c r="A46" s="47">
        <f t="shared" si="1"/>
        <v>45</v>
      </c>
      <c r="B46" s="51" t="s">
        <v>121</v>
      </c>
      <c r="C46" s="52" t="s">
        <v>26</v>
      </c>
      <c r="D46" s="52">
        <v>1106.0</v>
      </c>
      <c r="E46" s="53" t="s">
        <v>83</v>
      </c>
      <c r="F46" s="54" t="s">
        <v>120</v>
      </c>
    </row>
    <row r="47">
      <c r="A47" s="47">
        <f t="shared" si="1"/>
        <v>46</v>
      </c>
      <c r="B47" s="51" t="s">
        <v>121</v>
      </c>
      <c r="C47" s="52" t="s">
        <v>33</v>
      </c>
      <c r="D47" s="52">
        <v>1171.0</v>
      </c>
      <c r="E47" s="53" t="s">
        <v>83</v>
      </c>
      <c r="F47" s="54" t="s">
        <v>120</v>
      </c>
    </row>
    <row r="48">
      <c r="A48" s="47">
        <f t="shared" si="1"/>
        <v>47</v>
      </c>
      <c r="B48" s="51" t="s">
        <v>121</v>
      </c>
      <c r="C48" s="52" t="s">
        <v>30</v>
      </c>
      <c r="D48" s="52">
        <v>997.0</v>
      </c>
      <c r="E48" s="53" t="s">
        <v>83</v>
      </c>
      <c r="F48" s="54" t="s">
        <v>120</v>
      </c>
    </row>
    <row r="49">
      <c r="A49" s="47">
        <f t="shared" si="1"/>
        <v>48</v>
      </c>
      <c r="B49" s="51" t="s">
        <v>121</v>
      </c>
      <c r="C49" s="52" t="s">
        <v>32</v>
      </c>
      <c r="D49" s="52">
        <v>964.0</v>
      </c>
      <c r="E49" s="53" t="s">
        <v>83</v>
      </c>
      <c r="F49" s="54" t="s">
        <v>120</v>
      </c>
    </row>
    <row r="50">
      <c r="A50" s="47">
        <f t="shared" si="1"/>
        <v>49</v>
      </c>
      <c r="B50" s="51" t="s">
        <v>121</v>
      </c>
      <c r="C50" s="52" t="s">
        <v>34</v>
      </c>
      <c r="D50" s="52">
        <v>923.0</v>
      </c>
      <c r="E50" s="53" t="s">
        <v>83</v>
      </c>
      <c r="F50" s="54" t="s">
        <v>120</v>
      </c>
    </row>
    <row r="51">
      <c r="A51" s="47">
        <f t="shared" si="1"/>
        <v>50</v>
      </c>
      <c r="B51" s="51" t="s">
        <v>121</v>
      </c>
      <c r="C51" s="52" t="s">
        <v>35</v>
      </c>
      <c r="D51" s="52">
        <v>927.0</v>
      </c>
      <c r="E51" s="53" t="s">
        <v>83</v>
      </c>
      <c r="F51" s="54" t="s">
        <v>120</v>
      </c>
    </row>
    <row r="52">
      <c r="A52" s="47">
        <f t="shared" si="1"/>
        <v>51</v>
      </c>
      <c r="B52" s="51" t="s">
        <v>121</v>
      </c>
      <c r="C52" s="52" t="s">
        <v>27</v>
      </c>
      <c r="D52" s="52">
        <v>1052.0</v>
      </c>
      <c r="E52" s="53" t="s">
        <v>83</v>
      </c>
      <c r="F52" s="54" t="s">
        <v>120</v>
      </c>
    </row>
    <row r="53">
      <c r="A53" s="47">
        <f t="shared" si="1"/>
        <v>52</v>
      </c>
      <c r="B53" s="51" t="s">
        <v>125</v>
      </c>
      <c r="C53" s="52" t="s">
        <v>33</v>
      </c>
      <c r="D53" s="52">
        <v>1160.0</v>
      </c>
      <c r="E53" s="53" t="s">
        <v>83</v>
      </c>
      <c r="F53" s="54" t="s">
        <v>124</v>
      </c>
    </row>
    <row r="54">
      <c r="A54" s="47">
        <f t="shared" si="1"/>
        <v>53</v>
      </c>
      <c r="B54" s="51" t="s">
        <v>125</v>
      </c>
      <c r="C54" s="52" t="s">
        <v>32</v>
      </c>
      <c r="D54" s="52">
        <v>982.0</v>
      </c>
      <c r="E54" s="53" t="s">
        <v>83</v>
      </c>
      <c r="F54" s="54" t="s">
        <v>124</v>
      </c>
    </row>
    <row r="55">
      <c r="A55" s="47">
        <f t="shared" si="1"/>
        <v>54</v>
      </c>
      <c r="B55" s="51" t="s">
        <v>125</v>
      </c>
      <c r="C55" s="52" t="s">
        <v>34</v>
      </c>
      <c r="D55" s="52">
        <v>897.0</v>
      </c>
      <c r="E55" s="53" t="s">
        <v>83</v>
      </c>
      <c r="F55" s="54" t="s">
        <v>124</v>
      </c>
    </row>
    <row r="56">
      <c r="A56" s="47">
        <f t="shared" si="1"/>
        <v>55</v>
      </c>
      <c r="B56" s="51" t="s">
        <v>125</v>
      </c>
      <c r="C56" s="52" t="s">
        <v>30</v>
      </c>
      <c r="D56" s="52">
        <v>1015.0</v>
      </c>
      <c r="E56" s="53" t="s">
        <v>83</v>
      </c>
      <c r="F56" s="54" t="s">
        <v>124</v>
      </c>
    </row>
    <row r="57">
      <c r="A57" s="47">
        <f t="shared" si="1"/>
        <v>56</v>
      </c>
      <c r="B57" s="51" t="s">
        <v>125</v>
      </c>
      <c r="C57" s="52" t="s">
        <v>35</v>
      </c>
      <c r="D57" s="52">
        <v>895.0</v>
      </c>
      <c r="E57" s="53" t="s">
        <v>83</v>
      </c>
      <c r="F57" s="54" t="s">
        <v>124</v>
      </c>
    </row>
    <row r="58">
      <c r="A58" s="47">
        <f t="shared" si="1"/>
        <v>57</v>
      </c>
      <c r="B58" s="51" t="s">
        <v>125</v>
      </c>
      <c r="C58" s="52" t="s">
        <v>27</v>
      </c>
      <c r="D58" s="52">
        <v>1030.0</v>
      </c>
      <c r="E58" s="53" t="s">
        <v>83</v>
      </c>
      <c r="F58" s="54" t="s">
        <v>124</v>
      </c>
    </row>
    <row r="59">
      <c r="A59" s="47">
        <f t="shared" si="1"/>
        <v>58</v>
      </c>
      <c r="B59" s="51" t="s">
        <v>125</v>
      </c>
      <c r="C59" s="52" t="s">
        <v>26</v>
      </c>
      <c r="D59" s="52">
        <v>1126.0</v>
      </c>
      <c r="E59" s="53" t="s">
        <v>83</v>
      </c>
      <c r="F59" s="54" t="s">
        <v>124</v>
      </c>
    </row>
    <row r="60">
      <c r="A60" s="47">
        <f t="shared" si="1"/>
        <v>59</v>
      </c>
      <c r="B60" s="51" t="s">
        <v>129</v>
      </c>
      <c r="C60" s="52" t="s">
        <v>34</v>
      </c>
      <c r="D60" s="52">
        <v>914.0</v>
      </c>
      <c r="E60" s="53" t="s">
        <v>83</v>
      </c>
      <c r="F60" s="54" t="s">
        <v>128</v>
      </c>
    </row>
    <row r="61">
      <c r="A61" s="47">
        <f t="shared" si="1"/>
        <v>60</v>
      </c>
      <c r="B61" s="51" t="s">
        <v>129</v>
      </c>
      <c r="C61" s="52" t="s">
        <v>30</v>
      </c>
      <c r="D61" s="52">
        <v>988.0</v>
      </c>
      <c r="E61" s="53" t="s">
        <v>83</v>
      </c>
      <c r="F61" s="54" t="s">
        <v>128</v>
      </c>
    </row>
    <row r="62">
      <c r="A62" s="47">
        <f t="shared" si="1"/>
        <v>61</v>
      </c>
      <c r="B62" s="51" t="s">
        <v>129</v>
      </c>
      <c r="C62" s="52" t="s">
        <v>26</v>
      </c>
      <c r="D62" s="52">
        <v>1103.0</v>
      </c>
      <c r="E62" s="53" t="s">
        <v>83</v>
      </c>
      <c r="F62" s="54" t="s">
        <v>128</v>
      </c>
    </row>
    <row r="63">
      <c r="A63" s="47">
        <f t="shared" si="1"/>
        <v>62</v>
      </c>
      <c r="B63" s="51" t="s">
        <v>129</v>
      </c>
      <c r="C63" s="52" t="s">
        <v>32</v>
      </c>
      <c r="D63" s="52">
        <v>1000.0</v>
      </c>
      <c r="E63" s="53" t="s">
        <v>83</v>
      </c>
      <c r="F63" s="54" t="s">
        <v>128</v>
      </c>
    </row>
    <row r="64">
      <c r="A64" s="47">
        <f t="shared" si="1"/>
        <v>63</v>
      </c>
      <c r="B64" s="51" t="s">
        <v>129</v>
      </c>
      <c r="C64" s="52" t="s">
        <v>27</v>
      </c>
      <c r="D64" s="52">
        <v>1008.0</v>
      </c>
      <c r="E64" s="53" t="s">
        <v>83</v>
      </c>
      <c r="F64" s="54" t="s">
        <v>128</v>
      </c>
    </row>
    <row r="65">
      <c r="A65" s="47">
        <f t="shared" si="1"/>
        <v>64</v>
      </c>
      <c r="B65" s="51" t="s">
        <v>129</v>
      </c>
      <c r="C65" s="52" t="s">
        <v>35</v>
      </c>
      <c r="D65" s="52">
        <v>863.0</v>
      </c>
      <c r="E65" s="53" t="s">
        <v>83</v>
      </c>
      <c r="F65" s="54" t="s">
        <v>128</v>
      </c>
    </row>
    <row r="66">
      <c r="A66" s="47">
        <f t="shared" si="1"/>
        <v>65</v>
      </c>
      <c r="B66" s="51" t="s">
        <v>133</v>
      </c>
      <c r="C66" s="52" t="s">
        <v>32</v>
      </c>
      <c r="D66" s="52">
        <v>972.0</v>
      </c>
      <c r="E66" s="53" t="s">
        <v>83</v>
      </c>
      <c r="F66" s="54" t="s">
        <v>132</v>
      </c>
    </row>
    <row r="67">
      <c r="A67" s="47">
        <f t="shared" si="1"/>
        <v>66</v>
      </c>
      <c r="B67" s="51" t="s">
        <v>133</v>
      </c>
      <c r="C67" s="52" t="s">
        <v>30</v>
      </c>
      <c r="D67" s="52">
        <v>1006.0</v>
      </c>
      <c r="E67" s="53" t="s">
        <v>83</v>
      </c>
      <c r="F67" s="54" t="s">
        <v>132</v>
      </c>
    </row>
    <row r="68">
      <c r="A68" s="47">
        <f t="shared" si="1"/>
        <v>67</v>
      </c>
      <c r="B68" s="51" t="s">
        <v>133</v>
      </c>
      <c r="C68" s="52" t="s">
        <v>26</v>
      </c>
      <c r="D68" s="52">
        <v>1123.0</v>
      </c>
      <c r="E68" s="53" t="s">
        <v>83</v>
      </c>
      <c r="F68" s="54" t="s">
        <v>132</v>
      </c>
    </row>
    <row r="69">
      <c r="A69" s="47">
        <f t="shared" si="1"/>
        <v>68</v>
      </c>
      <c r="B69" s="51" t="s">
        <v>133</v>
      </c>
      <c r="C69" s="52" t="s">
        <v>24</v>
      </c>
      <c r="D69" s="52">
        <v>1195.0</v>
      </c>
      <c r="E69" s="53" t="s">
        <v>83</v>
      </c>
      <c r="F69" s="54" t="s">
        <v>132</v>
      </c>
    </row>
    <row r="70">
      <c r="A70" s="47">
        <f t="shared" si="1"/>
        <v>69</v>
      </c>
      <c r="B70" s="51" t="s">
        <v>138</v>
      </c>
      <c r="C70" s="52" t="s">
        <v>24</v>
      </c>
      <c r="D70" s="52">
        <v>1176.0</v>
      </c>
      <c r="E70" s="53" t="s">
        <v>83</v>
      </c>
      <c r="F70" s="54" t="s">
        <v>137</v>
      </c>
    </row>
    <row r="71">
      <c r="A71" s="47">
        <f t="shared" si="1"/>
        <v>70</v>
      </c>
      <c r="B71" s="51" t="s">
        <v>138</v>
      </c>
      <c r="C71" s="52" t="s">
        <v>32</v>
      </c>
      <c r="D71" s="52">
        <v>982.0</v>
      </c>
      <c r="E71" s="53" t="s">
        <v>83</v>
      </c>
      <c r="F71" s="54" t="s">
        <v>137</v>
      </c>
    </row>
    <row r="72">
      <c r="A72" s="47">
        <f t="shared" si="1"/>
        <v>71</v>
      </c>
      <c r="B72" s="51" t="s">
        <v>138</v>
      </c>
      <c r="C72" s="52" t="s">
        <v>30</v>
      </c>
      <c r="D72" s="52">
        <v>1016.0</v>
      </c>
      <c r="E72" s="53" t="s">
        <v>83</v>
      </c>
      <c r="F72" s="54" t="s">
        <v>137</v>
      </c>
    </row>
    <row r="73">
      <c r="A73" s="47">
        <f t="shared" si="1"/>
        <v>72</v>
      </c>
      <c r="B73" s="51" t="s">
        <v>138</v>
      </c>
      <c r="C73" s="52" t="s">
        <v>26</v>
      </c>
      <c r="D73" s="52">
        <v>1101.0</v>
      </c>
      <c r="E73" s="53" t="s">
        <v>83</v>
      </c>
      <c r="F73" s="54" t="s">
        <v>137</v>
      </c>
    </row>
    <row r="74">
      <c r="A74" s="47">
        <f t="shared" si="1"/>
        <v>73</v>
      </c>
      <c r="B74" s="51" t="s">
        <v>138</v>
      </c>
      <c r="C74" s="52" t="s">
        <v>27</v>
      </c>
      <c r="D74" s="52">
        <v>985.0</v>
      </c>
      <c r="E74" s="53" t="s">
        <v>83</v>
      </c>
      <c r="F74" s="54" t="s">
        <v>137</v>
      </c>
    </row>
    <row r="75">
      <c r="A75" s="47">
        <f t="shared" si="1"/>
        <v>74</v>
      </c>
      <c r="B75" s="51" t="s">
        <v>142</v>
      </c>
      <c r="C75" s="52" t="s">
        <v>35</v>
      </c>
      <c r="D75" s="52">
        <v>830.0</v>
      </c>
      <c r="E75" s="53" t="s">
        <v>83</v>
      </c>
      <c r="F75" s="54" t="s">
        <v>141</v>
      </c>
    </row>
    <row r="76">
      <c r="A76" s="47">
        <f t="shared" si="1"/>
        <v>75</v>
      </c>
      <c r="B76" s="51" t="s">
        <v>142</v>
      </c>
      <c r="C76" s="52" t="s">
        <v>32</v>
      </c>
      <c r="D76" s="52">
        <v>996.0</v>
      </c>
      <c r="E76" s="53" t="s">
        <v>83</v>
      </c>
      <c r="F76" s="54" t="s">
        <v>141</v>
      </c>
    </row>
    <row r="77">
      <c r="A77" s="47">
        <f t="shared" si="1"/>
        <v>76</v>
      </c>
      <c r="B77" s="51" t="s">
        <v>142</v>
      </c>
      <c r="C77" s="52" t="s">
        <v>30</v>
      </c>
      <c r="D77" s="52">
        <v>989.0</v>
      </c>
      <c r="E77" s="53" t="s">
        <v>83</v>
      </c>
      <c r="F77" s="54" t="s">
        <v>141</v>
      </c>
    </row>
    <row r="78">
      <c r="A78" s="47">
        <f t="shared" si="1"/>
        <v>77</v>
      </c>
      <c r="B78" s="51" t="s">
        <v>142</v>
      </c>
      <c r="C78" s="52" t="s">
        <v>26</v>
      </c>
      <c r="D78" s="52">
        <v>1078.0</v>
      </c>
      <c r="E78" s="53" t="s">
        <v>83</v>
      </c>
      <c r="F78" s="54" t="s">
        <v>141</v>
      </c>
    </row>
    <row r="79">
      <c r="A79" s="47">
        <f t="shared" si="1"/>
        <v>78</v>
      </c>
      <c r="B79" s="51" t="s">
        <v>142</v>
      </c>
      <c r="C79" s="52" t="s">
        <v>27</v>
      </c>
      <c r="D79" s="52">
        <v>962.0</v>
      </c>
      <c r="E79" s="53" t="s">
        <v>83</v>
      </c>
      <c r="F79" s="54" t="s">
        <v>141</v>
      </c>
    </row>
    <row r="80">
      <c r="A80" s="47">
        <f t="shared" si="1"/>
        <v>79</v>
      </c>
      <c r="B80" s="51" t="s">
        <v>142</v>
      </c>
      <c r="C80" s="52" t="s">
        <v>24</v>
      </c>
      <c r="D80" s="52">
        <v>1192.0</v>
      </c>
      <c r="E80" s="53" t="s">
        <v>83</v>
      </c>
      <c r="F80" s="54" t="s">
        <v>141</v>
      </c>
    </row>
    <row r="81">
      <c r="A81" s="47">
        <f t="shared" si="1"/>
        <v>80</v>
      </c>
      <c r="B81" s="51" t="s">
        <v>147</v>
      </c>
      <c r="C81" s="52" t="s">
        <v>30</v>
      </c>
      <c r="D81" s="52">
        <v>999.0</v>
      </c>
      <c r="E81" s="53" t="s">
        <v>83</v>
      </c>
      <c r="F81" s="54" t="s">
        <v>146</v>
      </c>
    </row>
    <row r="82">
      <c r="A82" s="47">
        <f t="shared" si="1"/>
        <v>81</v>
      </c>
      <c r="B82" s="51" t="s">
        <v>147</v>
      </c>
      <c r="C82" s="52" t="s">
        <v>27</v>
      </c>
      <c r="D82" s="52">
        <v>940.0</v>
      </c>
      <c r="E82" s="53" t="s">
        <v>83</v>
      </c>
      <c r="F82" s="54" t="s">
        <v>146</v>
      </c>
    </row>
    <row r="83">
      <c r="A83" s="47">
        <f t="shared" si="1"/>
        <v>82</v>
      </c>
      <c r="B83" s="51" t="s">
        <v>147</v>
      </c>
      <c r="C83" s="52" t="s">
        <v>35</v>
      </c>
      <c r="D83" s="52">
        <v>839.0</v>
      </c>
      <c r="E83" s="53" t="s">
        <v>83</v>
      </c>
      <c r="F83" s="54" t="s">
        <v>146</v>
      </c>
    </row>
    <row r="84">
      <c r="A84" s="47">
        <f t="shared" si="1"/>
        <v>83</v>
      </c>
      <c r="B84" s="51" t="s">
        <v>147</v>
      </c>
      <c r="C84" s="52" t="s">
        <v>24</v>
      </c>
      <c r="D84" s="52">
        <v>1175.0</v>
      </c>
      <c r="E84" s="53" t="s">
        <v>83</v>
      </c>
      <c r="F84" s="54" t="s">
        <v>146</v>
      </c>
    </row>
    <row r="85">
      <c r="A85" s="47">
        <f t="shared" si="1"/>
        <v>84</v>
      </c>
      <c r="B85" s="51" t="s">
        <v>147</v>
      </c>
      <c r="C85" s="52" t="s">
        <v>26</v>
      </c>
      <c r="D85" s="52">
        <v>1056.0</v>
      </c>
      <c r="E85" s="53" t="s">
        <v>83</v>
      </c>
      <c r="F85" s="54" t="s">
        <v>146</v>
      </c>
    </row>
    <row r="86">
      <c r="A86" s="47">
        <f t="shared" si="1"/>
        <v>85</v>
      </c>
      <c r="B86" s="51" t="s">
        <v>147</v>
      </c>
      <c r="C86" s="52" t="s">
        <v>32</v>
      </c>
      <c r="D86" s="52">
        <v>1007.0</v>
      </c>
      <c r="E86" s="53" t="s">
        <v>83</v>
      </c>
      <c r="F86" s="54" t="s">
        <v>146</v>
      </c>
    </row>
    <row r="87">
      <c r="A87" s="47">
        <f t="shared" si="1"/>
        <v>86</v>
      </c>
      <c r="B87" s="51" t="s">
        <v>151</v>
      </c>
      <c r="C87" s="52" t="s">
        <v>31</v>
      </c>
      <c r="D87" s="52">
        <v>1204.0</v>
      </c>
      <c r="E87" s="53" t="s">
        <v>83</v>
      </c>
      <c r="F87" s="54" t="s">
        <v>150</v>
      </c>
    </row>
    <row r="88">
      <c r="A88" s="47">
        <f t="shared" si="1"/>
        <v>87</v>
      </c>
      <c r="B88" s="51" t="s">
        <v>151</v>
      </c>
      <c r="C88" s="52" t="s">
        <v>35</v>
      </c>
      <c r="D88" s="52">
        <v>1030.0</v>
      </c>
      <c r="E88" s="53" t="s">
        <v>83</v>
      </c>
      <c r="F88" s="54" t="s">
        <v>150</v>
      </c>
    </row>
    <row r="89">
      <c r="A89" s="47">
        <f t="shared" si="1"/>
        <v>88</v>
      </c>
      <c r="B89" s="51" t="s">
        <v>151</v>
      </c>
      <c r="C89" s="52" t="s">
        <v>32</v>
      </c>
      <c r="D89" s="52">
        <v>1164.0</v>
      </c>
      <c r="E89" s="53" t="s">
        <v>83</v>
      </c>
      <c r="F89" s="54" t="s">
        <v>150</v>
      </c>
    </row>
    <row r="90">
      <c r="A90" s="47">
        <f t="shared" si="1"/>
        <v>89</v>
      </c>
      <c r="B90" s="51" t="s">
        <v>151</v>
      </c>
      <c r="C90" s="52" t="s">
        <v>24</v>
      </c>
      <c r="D90" s="52">
        <v>1339.0</v>
      </c>
      <c r="E90" s="53" t="s">
        <v>83</v>
      </c>
      <c r="F90" s="54" t="s">
        <v>150</v>
      </c>
    </row>
    <row r="91">
      <c r="A91" s="47">
        <f t="shared" si="1"/>
        <v>90</v>
      </c>
      <c r="B91" s="51" t="s">
        <v>151</v>
      </c>
      <c r="C91" s="52" t="s">
        <v>34</v>
      </c>
      <c r="D91" s="52">
        <v>1111.0</v>
      </c>
      <c r="E91" s="53" t="s">
        <v>83</v>
      </c>
      <c r="F91" s="54" t="s">
        <v>150</v>
      </c>
    </row>
    <row r="92">
      <c r="A92" s="47">
        <f t="shared" si="1"/>
        <v>91</v>
      </c>
      <c r="B92" s="51" t="s">
        <v>151</v>
      </c>
      <c r="C92" s="52" t="s">
        <v>30</v>
      </c>
      <c r="D92" s="52">
        <v>1191.0</v>
      </c>
      <c r="E92" s="53" t="s">
        <v>83</v>
      </c>
      <c r="F92" s="54" t="s">
        <v>150</v>
      </c>
    </row>
    <row r="93">
      <c r="A93" s="47">
        <f t="shared" si="1"/>
        <v>92</v>
      </c>
      <c r="B93" s="51" t="s">
        <v>151</v>
      </c>
      <c r="C93" s="52" t="s">
        <v>27</v>
      </c>
      <c r="D93" s="52">
        <v>1132.0</v>
      </c>
      <c r="E93" s="53" t="s">
        <v>83</v>
      </c>
      <c r="F93" s="54" t="s">
        <v>150</v>
      </c>
    </row>
    <row r="94">
      <c r="A94" s="47">
        <f t="shared" si="1"/>
        <v>93</v>
      </c>
      <c r="B94" s="51" t="s">
        <v>156</v>
      </c>
      <c r="C94" s="52" t="s">
        <v>31</v>
      </c>
      <c r="D94" s="52">
        <v>1224.0</v>
      </c>
      <c r="E94" s="53" t="s">
        <v>83</v>
      </c>
      <c r="F94" s="54" t="s">
        <v>155</v>
      </c>
    </row>
    <row r="95">
      <c r="A95" s="47">
        <f t="shared" si="1"/>
        <v>94</v>
      </c>
      <c r="B95" s="51" t="s">
        <v>156</v>
      </c>
      <c r="C95" s="52" t="s">
        <v>28</v>
      </c>
      <c r="D95" s="52">
        <v>1141.0</v>
      </c>
      <c r="E95" s="53" t="s">
        <v>83</v>
      </c>
      <c r="F95" s="54" t="s">
        <v>155</v>
      </c>
    </row>
    <row r="96">
      <c r="A96" s="47">
        <f t="shared" si="1"/>
        <v>95</v>
      </c>
      <c r="B96" s="51" t="s">
        <v>156</v>
      </c>
      <c r="C96" s="52" t="s">
        <v>32</v>
      </c>
      <c r="D96" s="52">
        <v>1183.0</v>
      </c>
      <c r="E96" s="53" t="s">
        <v>83</v>
      </c>
      <c r="F96" s="54" t="s">
        <v>155</v>
      </c>
    </row>
    <row r="97">
      <c r="A97" s="47">
        <f t="shared" si="1"/>
        <v>96</v>
      </c>
      <c r="B97" s="51" t="s">
        <v>156</v>
      </c>
      <c r="C97" s="52" t="s">
        <v>24</v>
      </c>
      <c r="D97" s="52">
        <v>1300.0</v>
      </c>
      <c r="E97" s="53" t="s">
        <v>83</v>
      </c>
      <c r="F97" s="54" t="s">
        <v>155</v>
      </c>
    </row>
    <row r="98">
      <c r="A98" s="47">
        <f t="shared" si="1"/>
        <v>97</v>
      </c>
      <c r="B98" s="51" t="s">
        <v>156</v>
      </c>
      <c r="C98" s="52" t="s">
        <v>27</v>
      </c>
      <c r="D98" s="52">
        <v>1108.0</v>
      </c>
      <c r="E98" s="53" t="s">
        <v>83</v>
      </c>
      <c r="F98" s="54" t="s">
        <v>155</v>
      </c>
    </row>
    <row r="99">
      <c r="A99" s="47">
        <f t="shared" si="1"/>
        <v>98</v>
      </c>
      <c r="B99" s="51" t="s">
        <v>156</v>
      </c>
      <c r="C99" s="52" t="s">
        <v>30</v>
      </c>
      <c r="D99" s="52">
        <v>1165.0</v>
      </c>
      <c r="E99" s="53" t="s">
        <v>83</v>
      </c>
      <c r="F99" s="54" t="s">
        <v>155</v>
      </c>
    </row>
    <row r="100">
      <c r="A100" s="47">
        <f t="shared" si="1"/>
        <v>99</v>
      </c>
      <c r="B100" s="51" t="s">
        <v>156</v>
      </c>
      <c r="C100" s="52" t="s">
        <v>35</v>
      </c>
      <c r="D100" s="52">
        <v>1047.0</v>
      </c>
      <c r="E100" s="53" t="s">
        <v>83</v>
      </c>
      <c r="F100" s="54" t="s">
        <v>155</v>
      </c>
    </row>
    <row r="101">
      <c r="A101" s="47">
        <f t="shared" si="1"/>
        <v>100</v>
      </c>
      <c r="B101" s="51" t="s">
        <v>160</v>
      </c>
      <c r="C101" s="52" t="s">
        <v>30</v>
      </c>
      <c r="D101" s="52">
        <v>1139.0</v>
      </c>
      <c r="E101" s="53" t="s">
        <v>83</v>
      </c>
      <c r="F101" s="54" t="s">
        <v>159</v>
      </c>
    </row>
    <row r="102">
      <c r="A102" s="47">
        <f t="shared" si="1"/>
        <v>101</v>
      </c>
      <c r="B102" s="51" t="s">
        <v>160</v>
      </c>
      <c r="C102" s="52" t="s">
        <v>35</v>
      </c>
      <c r="D102" s="52">
        <v>1016.0</v>
      </c>
      <c r="E102" s="53" t="s">
        <v>83</v>
      </c>
      <c r="F102" s="54" t="s">
        <v>159</v>
      </c>
    </row>
    <row r="103">
      <c r="A103" s="47">
        <f t="shared" si="1"/>
        <v>102</v>
      </c>
      <c r="B103" s="51" t="s">
        <v>160</v>
      </c>
      <c r="C103" s="52" t="s">
        <v>31</v>
      </c>
      <c r="D103" s="52">
        <v>1200.0</v>
      </c>
      <c r="E103" s="53" t="s">
        <v>83</v>
      </c>
      <c r="F103" s="54" t="s">
        <v>159</v>
      </c>
    </row>
    <row r="104">
      <c r="A104" s="47">
        <f t="shared" si="1"/>
        <v>103</v>
      </c>
      <c r="B104" s="51" t="s">
        <v>160</v>
      </c>
      <c r="C104" s="52" t="s">
        <v>28</v>
      </c>
      <c r="D104" s="52">
        <v>1159.0</v>
      </c>
      <c r="E104" s="53" t="s">
        <v>83</v>
      </c>
      <c r="F104" s="54" t="s">
        <v>159</v>
      </c>
    </row>
    <row r="105">
      <c r="A105" s="47">
        <f t="shared" si="1"/>
        <v>104</v>
      </c>
      <c r="B105" s="51" t="s">
        <v>160</v>
      </c>
      <c r="C105" s="52" t="s">
        <v>32</v>
      </c>
      <c r="D105" s="52">
        <v>1202.0</v>
      </c>
      <c r="E105" s="53" t="s">
        <v>83</v>
      </c>
      <c r="F105" s="54" t="s">
        <v>159</v>
      </c>
    </row>
    <row r="106">
      <c r="A106" s="47">
        <f t="shared" si="1"/>
        <v>105</v>
      </c>
      <c r="B106" s="51" t="s">
        <v>160</v>
      </c>
      <c r="C106" s="52" t="s">
        <v>27</v>
      </c>
      <c r="D106" s="52">
        <v>1085.0</v>
      </c>
      <c r="E106" s="53" t="s">
        <v>83</v>
      </c>
      <c r="F106" s="54" t="s">
        <v>159</v>
      </c>
    </row>
    <row r="107">
      <c r="A107" s="47">
        <f t="shared" si="1"/>
        <v>106</v>
      </c>
      <c r="B107" s="51" t="s">
        <v>164</v>
      </c>
      <c r="C107" s="52" t="s">
        <v>30</v>
      </c>
      <c r="D107" s="52">
        <v>1150.0</v>
      </c>
      <c r="E107" s="53" t="s">
        <v>83</v>
      </c>
      <c r="F107" s="54" t="s">
        <v>163</v>
      </c>
    </row>
    <row r="108">
      <c r="A108" s="47">
        <f t="shared" si="1"/>
        <v>107</v>
      </c>
      <c r="B108" s="51" t="s">
        <v>164</v>
      </c>
      <c r="C108" s="52" t="s">
        <v>34</v>
      </c>
      <c r="D108" s="52">
        <v>1087.0</v>
      </c>
      <c r="E108" s="53" t="s">
        <v>83</v>
      </c>
      <c r="F108" s="54" t="s">
        <v>163</v>
      </c>
    </row>
    <row r="109">
      <c r="A109" s="47">
        <f t="shared" si="1"/>
        <v>108</v>
      </c>
      <c r="B109" s="51" t="s">
        <v>164</v>
      </c>
      <c r="C109" s="52" t="s">
        <v>27</v>
      </c>
      <c r="D109" s="52">
        <v>1063.0</v>
      </c>
      <c r="E109" s="53" t="s">
        <v>83</v>
      </c>
      <c r="F109" s="54" t="s">
        <v>163</v>
      </c>
    </row>
    <row r="110">
      <c r="A110" s="47">
        <f t="shared" si="1"/>
        <v>109</v>
      </c>
      <c r="B110" s="51" t="s">
        <v>164</v>
      </c>
      <c r="C110" s="52" t="s">
        <v>28</v>
      </c>
      <c r="D110" s="52">
        <v>1139.0</v>
      </c>
      <c r="E110" s="53" t="s">
        <v>83</v>
      </c>
      <c r="F110" s="54" t="s">
        <v>163</v>
      </c>
    </row>
    <row r="111">
      <c r="A111" s="47">
        <f t="shared" si="1"/>
        <v>110</v>
      </c>
      <c r="B111" s="51" t="s">
        <v>164</v>
      </c>
      <c r="C111" s="52" t="s">
        <v>32</v>
      </c>
      <c r="D111" s="52">
        <v>1180.0</v>
      </c>
      <c r="E111" s="53" t="s">
        <v>83</v>
      </c>
      <c r="F111" s="54" t="s">
        <v>163</v>
      </c>
    </row>
    <row r="112">
      <c r="A112" s="47">
        <f t="shared" si="1"/>
        <v>111</v>
      </c>
      <c r="B112" s="51" t="s">
        <v>169</v>
      </c>
      <c r="C112" s="52" t="s">
        <v>34</v>
      </c>
      <c r="D112" s="52">
        <v>1099.0</v>
      </c>
      <c r="E112" s="53" t="s">
        <v>83</v>
      </c>
      <c r="F112" s="54" t="s">
        <v>168</v>
      </c>
    </row>
    <row r="113">
      <c r="A113" s="47">
        <f t="shared" si="1"/>
        <v>112</v>
      </c>
      <c r="B113" s="51" t="s">
        <v>169</v>
      </c>
      <c r="C113" s="52" t="s">
        <v>27</v>
      </c>
      <c r="D113" s="52">
        <v>1075.0</v>
      </c>
      <c r="E113" s="53" t="s">
        <v>83</v>
      </c>
      <c r="F113" s="54" t="s">
        <v>168</v>
      </c>
    </row>
    <row r="114">
      <c r="A114" s="47">
        <f t="shared" si="1"/>
        <v>113</v>
      </c>
      <c r="B114" s="51" t="s">
        <v>169</v>
      </c>
      <c r="C114" s="52" t="s">
        <v>32</v>
      </c>
      <c r="D114" s="52">
        <v>1157.0</v>
      </c>
      <c r="E114" s="53" t="s">
        <v>83</v>
      </c>
      <c r="F114" s="54" t="s">
        <v>168</v>
      </c>
    </row>
    <row r="115">
      <c r="A115" s="47">
        <f t="shared" si="1"/>
        <v>114</v>
      </c>
      <c r="B115" s="51" t="s">
        <v>169</v>
      </c>
      <c r="C115" s="52" t="s">
        <v>30</v>
      </c>
      <c r="D115" s="52">
        <v>1162.0</v>
      </c>
      <c r="E115" s="53" t="s">
        <v>83</v>
      </c>
      <c r="F115" s="54" t="s">
        <v>168</v>
      </c>
    </row>
    <row r="116">
      <c r="A116" s="47">
        <f t="shared" si="1"/>
        <v>115</v>
      </c>
      <c r="B116" s="51" t="s">
        <v>174</v>
      </c>
      <c r="C116" s="52" t="s">
        <v>32</v>
      </c>
      <c r="D116" s="52">
        <v>1134.0</v>
      </c>
      <c r="E116" s="53" t="s">
        <v>83</v>
      </c>
      <c r="F116" s="54" t="s">
        <v>173</v>
      </c>
    </row>
    <row r="117">
      <c r="A117" s="47">
        <f t="shared" si="1"/>
        <v>116</v>
      </c>
      <c r="B117" s="51" t="s">
        <v>174</v>
      </c>
      <c r="C117" s="52" t="s">
        <v>30</v>
      </c>
      <c r="D117" s="52">
        <v>1139.0</v>
      </c>
      <c r="E117" s="53" t="s">
        <v>83</v>
      </c>
      <c r="F117" s="54" t="s">
        <v>173</v>
      </c>
    </row>
    <row r="118">
      <c r="A118" s="47">
        <f t="shared" si="1"/>
        <v>117</v>
      </c>
      <c r="B118" s="51" t="s">
        <v>174</v>
      </c>
      <c r="C118" s="52" t="s">
        <v>27</v>
      </c>
      <c r="D118" s="52">
        <v>1089.0</v>
      </c>
      <c r="E118" s="53" t="s">
        <v>83</v>
      </c>
      <c r="F118" s="54" t="s">
        <v>173</v>
      </c>
    </row>
    <row r="119">
      <c r="A119" s="47">
        <f t="shared" si="1"/>
        <v>118</v>
      </c>
      <c r="B119" s="51" t="s">
        <v>174</v>
      </c>
      <c r="C119" s="52" t="s">
        <v>34</v>
      </c>
      <c r="D119" s="52">
        <v>1113.0</v>
      </c>
      <c r="E119" s="53" t="s">
        <v>83</v>
      </c>
      <c r="F119" s="54" t="s">
        <v>173</v>
      </c>
    </row>
    <row r="120">
      <c r="A120" s="47">
        <f t="shared" si="1"/>
        <v>119</v>
      </c>
      <c r="B120" s="51" t="s">
        <v>178</v>
      </c>
      <c r="C120" s="52" t="s">
        <v>34</v>
      </c>
      <c r="D120" s="52">
        <v>1086.0</v>
      </c>
      <c r="E120" s="53" t="s">
        <v>83</v>
      </c>
      <c r="F120" s="54" t="s">
        <v>177</v>
      </c>
    </row>
    <row r="121">
      <c r="A121" s="47">
        <f t="shared" si="1"/>
        <v>120</v>
      </c>
      <c r="B121" s="51" t="s">
        <v>178</v>
      </c>
      <c r="C121" s="52" t="s">
        <v>32</v>
      </c>
      <c r="D121" s="52">
        <v>1153.0</v>
      </c>
      <c r="E121" s="53" t="s">
        <v>83</v>
      </c>
      <c r="F121" s="54" t="s">
        <v>177</v>
      </c>
    </row>
    <row r="122">
      <c r="A122" s="47">
        <f t="shared" si="1"/>
        <v>121</v>
      </c>
      <c r="B122" s="51" t="s">
        <v>178</v>
      </c>
      <c r="C122" s="52" t="s">
        <v>30</v>
      </c>
      <c r="D122" s="52">
        <v>1113.0</v>
      </c>
      <c r="E122" s="53" t="s">
        <v>83</v>
      </c>
      <c r="F122" s="54" t="s">
        <v>177</v>
      </c>
    </row>
    <row r="123">
      <c r="A123" s="47">
        <f t="shared" si="1"/>
        <v>122</v>
      </c>
      <c r="B123" s="51" t="s">
        <v>178</v>
      </c>
      <c r="C123" s="52" t="s">
        <v>27</v>
      </c>
      <c r="D123" s="52">
        <v>1066.0</v>
      </c>
      <c r="E123" s="53" t="s">
        <v>83</v>
      </c>
      <c r="F123" s="54" t="s">
        <v>177</v>
      </c>
    </row>
    <row r="124">
      <c r="A124" s="47">
        <f t="shared" si="1"/>
        <v>123</v>
      </c>
      <c r="B124" s="51" t="s">
        <v>182</v>
      </c>
      <c r="C124" s="52" t="s">
        <v>28</v>
      </c>
      <c r="D124" s="52">
        <v>1209.0</v>
      </c>
      <c r="E124" s="53" t="s">
        <v>83</v>
      </c>
      <c r="F124" s="54" t="s">
        <v>181</v>
      </c>
    </row>
    <row r="125">
      <c r="A125" s="47">
        <f t="shared" si="1"/>
        <v>124</v>
      </c>
      <c r="B125" s="51" t="s">
        <v>182</v>
      </c>
      <c r="C125" s="52" t="s">
        <v>27</v>
      </c>
      <c r="D125" s="52">
        <v>1134.0</v>
      </c>
      <c r="E125" s="53" t="s">
        <v>83</v>
      </c>
      <c r="F125" s="54" t="s">
        <v>181</v>
      </c>
    </row>
    <row r="126">
      <c r="A126" s="47">
        <f t="shared" si="1"/>
        <v>125</v>
      </c>
      <c r="B126" s="51" t="s">
        <v>182</v>
      </c>
      <c r="C126" s="52" t="s">
        <v>26</v>
      </c>
      <c r="D126" s="52">
        <v>1305.0</v>
      </c>
      <c r="E126" s="53" t="s">
        <v>83</v>
      </c>
      <c r="F126" s="54" t="s">
        <v>181</v>
      </c>
    </row>
    <row r="127">
      <c r="A127" s="47">
        <f t="shared" si="1"/>
        <v>126</v>
      </c>
      <c r="B127" s="51" t="s">
        <v>182</v>
      </c>
      <c r="C127" s="52" t="s">
        <v>32</v>
      </c>
      <c r="D127" s="52">
        <v>1262.0</v>
      </c>
      <c r="E127" s="53" t="s">
        <v>83</v>
      </c>
      <c r="F127" s="54" t="s">
        <v>181</v>
      </c>
    </row>
    <row r="128">
      <c r="A128" s="47">
        <f t="shared" si="1"/>
        <v>127</v>
      </c>
      <c r="B128" s="51" t="s">
        <v>182</v>
      </c>
      <c r="C128" s="52" t="s">
        <v>34</v>
      </c>
      <c r="D128" s="52">
        <v>1194.0</v>
      </c>
      <c r="E128" s="53" t="s">
        <v>83</v>
      </c>
      <c r="F128" s="54" t="s">
        <v>181</v>
      </c>
    </row>
    <row r="129">
      <c r="A129" s="47">
        <f t="shared" si="1"/>
        <v>128</v>
      </c>
      <c r="B129" s="51" t="s">
        <v>187</v>
      </c>
      <c r="C129" s="52" t="s">
        <v>28</v>
      </c>
      <c r="D129" s="52">
        <v>1222.0</v>
      </c>
      <c r="E129" s="53" t="s">
        <v>83</v>
      </c>
      <c r="F129" s="54" t="s">
        <v>186</v>
      </c>
    </row>
    <row r="130">
      <c r="A130" s="47">
        <f t="shared" si="1"/>
        <v>129</v>
      </c>
      <c r="B130" s="51" t="s">
        <v>187</v>
      </c>
      <c r="C130" s="52" t="s">
        <v>34</v>
      </c>
      <c r="D130" s="52">
        <v>1169.0</v>
      </c>
      <c r="E130" s="53" t="s">
        <v>83</v>
      </c>
      <c r="F130" s="54" t="s">
        <v>186</v>
      </c>
    </row>
    <row r="131">
      <c r="A131" s="47">
        <f t="shared" si="1"/>
        <v>130</v>
      </c>
      <c r="B131" s="51" t="s">
        <v>187</v>
      </c>
      <c r="C131" s="52" t="s">
        <v>27</v>
      </c>
      <c r="D131" s="52">
        <v>1146.0</v>
      </c>
      <c r="E131" s="53" t="s">
        <v>83</v>
      </c>
      <c r="F131" s="54" t="s">
        <v>186</v>
      </c>
    </row>
    <row r="132">
      <c r="A132" s="47">
        <f t="shared" si="1"/>
        <v>131</v>
      </c>
      <c r="B132" s="51" t="s">
        <v>187</v>
      </c>
      <c r="C132" s="52" t="s">
        <v>26</v>
      </c>
      <c r="D132" s="52">
        <v>1285.0</v>
      </c>
      <c r="E132" s="53" t="s">
        <v>83</v>
      </c>
      <c r="F132" s="54" t="s">
        <v>186</v>
      </c>
    </row>
    <row r="133">
      <c r="A133" s="47">
        <f t="shared" si="1"/>
        <v>132</v>
      </c>
      <c r="B133" s="51" t="s">
        <v>187</v>
      </c>
      <c r="C133" s="52" t="s">
        <v>32</v>
      </c>
      <c r="D133" s="52">
        <v>1240.0</v>
      </c>
      <c r="E133" s="53" t="s">
        <v>83</v>
      </c>
      <c r="F133" s="54" t="s">
        <v>186</v>
      </c>
    </row>
    <row r="134">
      <c r="A134" s="47">
        <f t="shared" si="1"/>
        <v>133</v>
      </c>
      <c r="B134" s="51" t="s">
        <v>191</v>
      </c>
      <c r="C134" s="52" t="s">
        <v>30</v>
      </c>
      <c r="D134" s="52">
        <v>1178.0</v>
      </c>
      <c r="E134" s="53" t="s">
        <v>83</v>
      </c>
      <c r="F134" s="54" t="s">
        <v>190</v>
      </c>
    </row>
    <row r="135">
      <c r="A135" s="47">
        <f t="shared" si="1"/>
        <v>134</v>
      </c>
      <c r="B135" s="51" t="s">
        <v>191</v>
      </c>
      <c r="C135" s="52" t="s">
        <v>27</v>
      </c>
      <c r="D135" s="52">
        <v>1158.0</v>
      </c>
      <c r="E135" s="53" t="s">
        <v>83</v>
      </c>
      <c r="F135" s="54" t="s">
        <v>190</v>
      </c>
    </row>
    <row r="136">
      <c r="A136" s="47">
        <f t="shared" si="1"/>
        <v>135</v>
      </c>
      <c r="B136" s="51" t="s">
        <v>191</v>
      </c>
      <c r="C136" s="52" t="s">
        <v>32</v>
      </c>
      <c r="D136" s="52">
        <v>1217.0</v>
      </c>
      <c r="E136" s="53" t="s">
        <v>83</v>
      </c>
      <c r="F136" s="54" t="s">
        <v>190</v>
      </c>
    </row>
    <row r="137">
      <c r="A137" s="47">
        <f t="shared" si="1"/>
        <v>136</v>
      </c>
      <c r="B137" s="51" t="s">
        <v>191</v>
      </c>
      <c r="C137" s="52" t="s">
        <v>35</v>
      </c>
      <c r="D137" s="52">
        <v>1116.0</v>
      </c>
      <c r="E137" s="53" t="s">
        <v>83</v>
      </c>
      <c r="F137" s="54" t="s">
        <v>190</v>
      </c>
    </row>
    <row r="138">
      <c r="A138" s="47">
        <f t="shared" si="1"/>
        <v>137</v>
      </c>
      <c r="B138" s="51" t="s">
        <v>191</v>
      </c>
      <c r="C138" s="52" t="s">
        <v>26</v>
      </c>
      <c r="D138" s="52">
        <v>1264.0</v>
      </c>
      <c r="E138" s="53" t="s">
        <v>83</v>
      </c>
      <c r="F138" s="54" t="s">
        <v>190</v>
      </c>
    </row>
    <row r="139">
      <c r="A139" s="47">
        <f t="shared" si="1"/>
        <v>138</v>
      </c>
      <c r="B139" s="51" t="s">
        <v>191</v>
      </c>
      <c r="C139" s="52" t="s">
        <v>34</v>
      </c>
      <c r="D139" s="52">
        <v>1181.0</v>
      </c>
      <c r="E139" s="53" t="s">
        <v>83</v>
      </c>
      <c r="F139" s="54" t="s">
        <v>190</v>
      </c>
    </row>
    <row r="140">
      <c r="A140" s="47">
        <f t="shared" si="1"/>
        <v>139</v>
      </c>
      <c r="B140" s="51" t="s">
        <v>196</v>
      </c>
      <c r="C140" s="52" t="s">
        <v>26</v>
      </c>
      <c r="D140" s="52">
        <v>1242.0</v>
      </c>
      <c r="E140" s="53" t="s">
        <v>83</v>
      </c>
      <c r="F140" s="54" t="s">
        <v>195</v>
      </c>
    </row>
    <row r="141">
      <c r="A141" s="47">
        <f t="shared" si="1"/>
        <v>140</v>
      </c>
      <c r="B141" s="51" t="s">
        <v>196</v>
      </c>
      <c r="C141" s="52" t="s">
        <v>30</v>
      </c>
      <c r="D141" s="52">
        <v>1191.0</v>
      </c>
      <c r="E141" s="53" t="s">
        <v>83</v>
      </c>
      <c r="F141" s="54" t="s">
        <v>195</v>
      </c>
    </row>
    <row r="142">
      <c r="A142" s="47">
        <f t="shared" si="1"/>
        <v>141</v>
      </c>
      <c r="B142" s="51" t="s">
        <v>196</v>
      </c>
      <c r="C142" s="52" t="s">
        <v>32</v>
      </c>
      <c r="D142" s="52">
        <v>1230.0</v>
      </c>
      <c r="E142" s="53" t="s">
        <v>83</v>
      </c>
      <c r="F142" s="54" t="s">
        <v>195</v>
      </c>
    </row>
    <row r="143">
      <c r="A143" s="47">
        <f t="shared" si="1"/>
        <v>142</v>
      </c>
      <c r="B143" s="51" t="s">
        <v>196</v>
      </c>
      <c r="C143" s="52" t="s">
        <v>34</v>
      </c>
      <c r="D143" s="52">
        <v>1160.0</v>
      </c>
      <c r="E143" s="53" t="s">
        <v>83</v>
      </c>
      <c r="F143" s="54" t="s">
        <v>195</v>
      </c>
    </row>
    <row r="144">
      <c r="A144" s="47">
        <f t="shared" si="1"/>
        <v>143</v>
      </c>
      <c r="B144" s="51" t="s">
        <v>196</v>
      </c>
      <c r="C144" s="52" t="s">
        <v>35</v>
      </c>
      <c r="D144" s="52">
        <v>1088.0</v>
      </c>
      <c r="E144" s="53" t="s">
        <v>83</v>
      </c>
      <c r="F144" s="54" t="s">
        <v>195</v>
      </c>
    </row>
    <row r="145">
      <c r="A145" s="47">
        <f t="shared" si="1"/>
        <v>144</v>
      </c>
      <c r="B145" s="51" t="s">
        <v>196</v>
      </c>
      <c r="C145" s="52" t="s">
        <v>27</v>
      </c>
      <c r="D145" s="52">
        <v>1171.0</v>
      </c>
      <c r="E145" s="53" t="s">
        <v>83</v>
      </c>
      <c r="F145" s="54" t="s">
        <v>195</v>
      </c>
    </row>
    <row r="146">
      <c r="A146" s="47">
        <f t="shared" si="1"/>
        <v>145</v>
      </c>
      <c r="B146" s="51" t="s">
        <v>201</v>
      </c>
      <c r="C146" s="52" t="s">
        <v>35</v>
      </c>
      <c r="D146" s="52">
        <v>1058.0</v>
      </c>
      <c r="E146" s="53" t="s">
        <v>83</v>
      </c>
      <c r="F146" s="54" t="s">
        <v>200</v>
      </c>
    </row>
    <row r="147">
      <c r="A147" s="47">
        <f t="shared" si="1"/>
        <v>146</v>
      </c>
      <c r="B147" s="51" t="s">
        <v>201</v>
      </c>
      <c r="C147" s="52" t="s">
        <v>27</v>
      </c>
      <c r="D147" s="52">
        <v>1149.0</v>
      </c>
      <c r="E147" s="53" t="s">
        <v>83</v>
      </c>
      <c r="F147" s="54" t="s">
        <v>200</v>
      </c>
    </row>
    <row r="148">
      <c r="A148" s="47">
        <f t="shared" si="1"/>
        <v>147</v>
      </c>
      <c r="B148" s="51" t="s">
        <v>201</v>
      </c>
      <c r="C148" s="52" t="s">
        <v>32</v>
      </c>
      <c r="D148" s="52">
        <v>1248.0</v>
      </c>
      <c r="E148" s="53" t="s">
        <v>83</v>
      </c>
      <c r="F148" s="54" t="s">
        <v>200</v>
      </c>
    </row>
    <row r="149">
      <c r="A149" s="47">
        <f t="shared" si="1"/>
        <v>148</v>
      </c>
      <c r="B149" s="51" t="s">
        <v>201</v>
      </c>
      <c r="C149" s="52" t="s">
        <v>30</v>
      </c>
      <c r="D149" s="52">
        <v>1209.0</v>
      </c>
      <c r="E149" s="53" t="s">
        <v>83</v>
      </c>
      <c r="F149" s="54" t="s">
        <v>200</v>
      </c>
    </row>
    <row r="150">
      <c r="A150" s="47">
        <f t="shared" si="1"/>
        <v>149</v>
      </c>
      <c r="B150" s="51" t="s">
        <v>201</v>
      </c>
      <c r="C150" s="52" t="s">
        <v>34</v>
      </c>
      <c r="D150" s="52">
        <v>1133.0</v>
      </c>
      <c r="E150" s="53" t="s">
        <v>83</v>
      </c>
      <c r="F150" s="54" t="s">
        <v>200</v>
      </c>
    </row>
    <row r="151">
      <c r="A151" s="47">
        <f t="shared" si="1"/>
        <v>150</v>
      </c>
      <c r="B151" s="51" t="s">
        <v>201</v>
      </c>
      <c r="C151" s="52" t="s">
        <v>26</v>
      </c>
      <c r="D151" s="52">
        <v>1260.0</v>
      </c>
      <c r="E151" s="53" t="s">
        <v>83</v>
      </c>
      <c r="F151" s="54" t="s">
        <v>200</v>
      </c>
    </row>
    <row r="152">
      <c r="A152" s="47">
        <f t="shared" si="1"/>
        <v>151</v>
      </c>
      <c r="B152" s="51" t="s">
        <v>205</v>
      </c>
      <c r="C152" s="52" t="s">
        <v>34</v>
      </c>
      <c r="D152" s="52">
        <v>1106.0</v>
      </c>
      <c r="E152" s="53" t="s">
        <v>83</v>
      </c>
      <c r="F152" s="54" t="s">
        <v>204</v>
      </c>
    </row>
    <row r="153">
      <c r="A153" s="47">
        <f t="shared" si="1"/>
        <v>152</v>
      </c>
      <c r="B153" s="51" t="s">
        <v>205</v>
      </c>
      <c r="C153" s="52" t="s">
        <v>26</v>
      </c>
      <c r="D153" s="52">
        <v>1238.0</v>
      </c>
      <c r="E153" s="53" t="s">
        <v>83</v>
      </c>
      <c r="F153" s="54" t="s">
        <v>204</v>
      </c>
    </row>
    <row r="154">
      <c r="A154" s="47">
        <f t="shared" si="1"/>
        <v>153</v>
      </c>
      <c r="B154" s="51" t="s">
        <v>205</v>
      </c>
      <c r="C154" s="52" t="s">
        <v>35</v>
      </c>
      <c r="D154" s="52">
        <v>1070.0</v>
      </c>
      <c r="E154" s="53" t="s">
        <v>83</v>
      </c>
      <c r="F154" s="54" t="s">
        <v>204</v>
      </c>
    </row>
    <row r="155">
      <c r="A155" s="47">
        <f t="shared" si="1"/>
        <v>154</v>
      </c>
      <c r="B155" s="51" t="s">
        <v>205</v>
      </c>
      <c r="C155" s="52" t="s">
        <v>27</v>
      </c>
      <c r="D155" s="52">
        <v>1162.0</v>
      </c>
      <c r="E155" s="53" t="s">
        <v>83</v>
      </c>
      <c r="F155" s="54" t="s">
        <v>204</v>
      </c>
    </row>
    <row r="156">
      <c r="A156" s="47">
        <f t="shared" si="1"/>
        <v>155</v>
      </c>
      <c r="B156" s="51" t="s">
        <v>205</v>
      </c>
      <c r="C156" s="52" t="s">
        <v>32</v>
      </c>
      <c r="D156" s="52">
        <v>1262.0</v>
      </c>
      <c r="E156" s="53" t="s">
        <v>83</v>
      </c>
      <c r="F156" s="54" t="s">
        <v>204</v>
      </c>
    </row>
    <row r="157">
      <c r="A157" s="47">
        <f t="shared" si="1"/>
        <v>156</v>
      </c>
      <c r="B157" s="51" t="s">
        <v>210</v>
      </c>
      <c r="C157" s="52" t="s">
        <v>32</v>
      </c>
      <c r="D157" s="52">
        <v>1241.0</v>
      </c>
      <c r="E157" s="53" t="s">
        <v>83</v>
      </c>
      <c r="F157" s="54" t="s">
        <v>209</v>
      </c>
    </row>
    <row r="158">
      <c r="A158" s="47">
        <f t="shared" si="1"/>
        <v>157</v>
      </c>
      <c r="B158" s="51" t="s">
        <v>210</v>
      </c>
      <c r="C158" s="52" t="s">
        <v>27</v>
      </c>
      <c r="D158" s="52">
        <v>1173.0</v>
      </c>
      <c r="E158" s="53" t="s">
        <v>83</v>
      </c>
      <c r="F158" s="54" t="s">
        <v>209</v>
      </c>
    </row>
    <row r="159">
      <c r="A159" s="47">
        <f t="shared" si="1"/>
        <v>158</v>
      </c>
      <c r="B159" s="51" t="s">
        <v>210</v>
      </c>
      <c r="C159" s="52" t="s">
        <v>34</v>
      </c>
      <c r="D159" s="52">
        <v>1117.0</v>
      </c>
      <c r="E159" s="53" t="s">
        <v>83</v>
      </c>
      <c r="F159" s="54" t="s">
        <v>209</v>
      </c>
    </row>
    <row r="160">
      <c r="A160" s="47">
        <f t="shared" si="1"/>
        <v>159</v>
      </c>
      <c r="B160" s="51" t="s">
        <v>210</v>
      </c>
      <c r="C160" s="52" t="s">
        <v>35</v>
      </c>
      <c r="D160" s="52">
        <v>1080.0</v>
      </c>
      <c r="E160" s="53" t="s">
        <v>83</v>
      </c>
      <c r="F160" s="54" t="s">
        <v>209</v>
      </c>
    </row>
    <row r="161">
      <c r="A161" s="47">
        <f t="shared" si="1"/>
        <v>160</v>
      </c>
      <c r="B161" s="51" t="s">
        <v>210</v>
      </c>
      <c r="C161" s="52" t="s">
        <v>26</v>
      </c>
      <c r="D161" s="52">
        <v>1250.0</v>
      </c>
      <c r="E161" s="53" t="s">
        <v>83</v>
      </c>
      <c r="F161" s="54" t="s">
        <v>209</v>
      </c>
    </row>
    <row r="162">
      <c r="A162" s="47">
        <f t="shared" si="1"/>
        <v>161</v>
      </c>
      <c r="B162" s="51" t="s">
        <v>210</v>
      </c>
      <c r="C162" s="52" t="s">
        <v>30</v>
      </c>
      <c r="D162" s="52">
        <v>1223.0</v>
      </c>
      <c r="E162" s="53" t="s">
        <v>83</v>
      </c>
      <c r="F162" s="54" t="s">
        <v>209</v>
      </c>
    </row>
    <row r="163">
      <c r="A163" s="47">
        <f t="shared" si="1"/>
        <v>162</v>
      </c>
      <c r="B163" s="51" t="s">
        <v>215</v>
      </c>
      <c r="C163" s="52" t="s">
        <v>30</v>
      </c>
      <c r="D163" s="52">
        <v>1200.0</v>
      </c>
      <c r="E163" s="53" t="s">
        <v>83</v>
      </c>
      <c r="F163" s="54" t="s">
        <v>214</v>
      </c>
    </row>
    <row r="164">
      <c r="A164" s="47">
        <f t="shared" si="1"/>
        <v>163</v>
      </c>
      <c r="B164" s="51" t="s">
        <v>215</v>
      </c>
      <c r="C164" s="52" t="s">
        <v>32</v>
      </c>
      <c r="D164" s="52">
        <v>1258.0</v>
      </c>
      <c r="E164" s="53" t="s">
        <v>83</v>
      </c>
      <c r="F164" s="54" t="s">
        <v>214</v>
      </c>
    </row>
    <row r="165">
      <c r="A165" s="47">
        <f t="shared" si="1"/>
        <v>164</v>
      </c>
      <c r="B165" s="51" t="s">
        <v>215</v>
      </c>
      <c r="C165" s="52" t="s">
        <v>26</v>
      </c>
      <c r="D165" s="52">
        <v>1229.0</v>
      </c>
      <c r="E165" s="53" t="s">
        <v>83</v>
      </c>
      <c r="F165" s="54" t="s">
        <v>214</v>
      </c>
    </row>
    <row r="166">
      <c r="A166" s="47">
        <f t="shared" si="1"/>
        <v>165</v>
      </c>
      <c r="B166" s="51" t="s">
        <v>215</v>
      </c>
      <c r="C166" s="52" t="s">
        <v>27</v>
      </c>
      <c r="D166" s="52">
        <v>1190.0</v>
      </c>
      <c r="E166" s="53" t="s">
        <v>83</v>
      </c>
      <c r="F166" s="54" t="s">
        <v>214</v>
      </c>
    </row>
    <row r="167">
      <c r="A167" s="47">
        <f t="shared" si="1"/>
        <v>166</v>
      </c>
      <c r="B167" s="51" t="s">
        <v>215</v>
      </c>
      <c r="C167" s="52" t="s">
        <v>34</v>
      </c>
      <c r="D167" s="52">
        <v>1133.0</v>
      </c>
      <c r="E167" s="53" t="s">
        <v>83</v>
      </c>
      <c r="F167" s="54" t="s">
        <v>214</v>
      </c>
    </row>
    <row r="168">
      <c r="A168" s="47">
        <f t="shared" si="1"/>
        <v>167</v>
      </c>
      <c r="B168" s="51" t="s">
        <v>220</v>
      </c>
      <c r="C168" s="52" t="s">
        <v>32</v>
      </c>
      <c r="D168" s="52">
        <v>1272.0</v>
      </c>
      <c r="E168" s="53" t="s">
        <v>83</v>
      </c>
      <c r="F168" s="54" t="s">
        <v>219</v>
      </c>
    </row>
    <row r="169">
      <c r="A169" s="47">
        <f t="shared" si="1"/>
        <v>168</v>
      </c>
      <c r="B169" s="51" t="s">
        <v>220</v>
      </c>
      <c r="C169" s="52" t="s">
        <v>27</v>
      </c>
      <c r="D169" s="52">
        <v>1170.0</v>
      </c>
      <c r="E169" s="53" t="s">
        <v>83</v>
      </c>
      <c r="F169" s="54" t="s">
        <v>219</v>
      </c>
    </row>
    <row r="170">
      <c r="A170" s="47">
        <f t="shared" si="1"/>
        <v>169</v>
      </c>
      <c r="B170" s="51" t="s">
        <v>220</v>
      </c>
      <c r="C170" s="52" t="s">
        <v>34</v>
      </c>
      <c r="D170" s="52">
        <v>1106.0</v>
      </c>
      <c r="E170" s="53" t="s">
        <v>83</v>
      </c>
      <c r="F170" s="54" t="s">
        <v>219</v>
      </c>
    </row>
    <row r="171">
      <c r="A171" s="47">
        <f t="shared" si="1"/>
        <v>170</v>
      </c>
      <c r="B171" s="51" t="s">
        <v>220</v>
      </c>
      <c r="C171" s="52" t="s">
        <v>30</v>
      </c>
      <c r="D171" s="52">
        <v>1213.0</v>
      </c>
      <c r="E171" s="53" t="s">
        <v>83</v>
      </c>
      <c r="F171" s="54" t="s">
        <v>219</v>
      </c>
    </row>
    <row r="172">
      <c r="A172" s="47">
        <f t="shared" si="1"/>
        <v>171</v>
      </c>
      <c r="B172" s="51" t="s">
        <v>220</v>
      </c>
      <c r="C172" s="52" t="s">
        <v>26</v>
      </c>
      <c r="D172" s="52">
        <v>1206.0</v>
      </c>
      <c r="E172" s="53" t="s">
        <v>83</v>
      </c>
      <c r="F172" s="54" t="s">
        <v>219</v>
      </c>
    </row>
    <row r="173">
      <c r="A173" s="47">
        <f t="shared" si="1"/>
        <v>172</v>
      </c>
      <c r="B173" s="51" t="s">
        <v>225</v>
      </c>
      <c r="C173" s="52" t="s">
        <v>26</v>
      </c>
      <c r="D173" s="52">
        <v>1182.0</v>
      </c>
      <c r="E173" s="53" t="s">
        <v>83</v>
      </c>
      <c r="F173" s="54" t="s">
        <v>224</v>
      </c>
    </row>
    <row r="174">
      <c r="A174" s="47">
        <f t="shared" si="1"/>
        <v>173</v>
      </c>
      <c r="B174" s="51" t="s">
        <v>225</v>
      </c>
      <c r="C174" s="52" t="s">
        <v>30</v>
      </c>
      <c r="D174" s="52">
        <v>1190.0</v>
      </c>
      <c r="E174" s="53" t="s">
        <v>83</v>
      </c>
      <c r="F174" s="54" t="s">
        <v>224</v>
      </c>
    </row>
    <row r="175">
      <c r="A175" s="47">
        <f t="shared" si="1"/>
        <v>174</v>
      </c>
      <c r="B175" s="51" t="s">
        <v>225</v>
      </c>
      <c r="C175" s="52" t="s">
        <v>32</v>
      </c>
      <c r="D175" s="52">
        <v>1240.0</v>
      </c>
      <c r="E175" s="53" t="s">
        <v>83</v>
      </c>
      <c r="F175" s="54" t="s">
        <v>224</v>
      </c>
    </row>
    <row r="176">
      <c r="A176" s="47">
        <f t="shared" si="1"/>
        <v>175</v>
      </c>
      <c r="B176" s="51" t="s">
        <v>225</v>
      </c>
      <c r="C176" s="52" t="s">
        <v>27</v>
      </c>
      <c r="D176" s="52">
        <v>1185.0</v>
      </c>
      <c r="E176" s="53" t="s">
        <v>83</v>
      </c>
      <c r="F176" s="54" t="s">
        <v>224</v>
      </c>
    </row>
    <row r="177">
      <c r="A177" s="47">
        <f t="shared" si="1"/>
        <v>176</v>
      </c>
      <c r="B177" s="51" t="s">
        <v>225</v>
      </c>
      <c r="C177" s="52" t="s">
        <v>34</v>
      </c>
      <c r="D177" s="52">
        <v>1078.0</v>
      </c>
      <c r="E177" s="53" t="s">
        <v>83</v>
      </c>
      <c r="F177" s="54" t="s">
        <v>224</v>
      </c>
    </row>
    <row r="178">
      <c r="A178" s="47">
        <f t="shared" si="1"/>
        <v>177</v>
      </c>
      <c r="B178" s="51" t="s">
        <v>229</v>
      </c>
      <c r="C178" s="52" t="s">
        <v>34</v>
      </c>
      <c r="D178" s="52">
        <v>1051.0</v>
      </c>
      <c r="E178" s="53" t="s">
        <v>83</v>
      </c>
      <c r="F178" s="54" t="s">
        <v>228</v>
      </c>
    </row>
    <row r="179">
      <c r="A179" s="47">
        <f t="shared" si="1"/>
        <v>178</v>
      </c>
      <c r="B179" s="51" t="s">
        <v>229</v>
      </c>
      <c r="C179" s="52" t="s">
        <v>27</v>
      </c>
      <c r="D179" s="52">
        <v>1166.0</v>
      </c>
      <c r="E179" s="53" t="s">
        <v>83</v>
      </c>
      <c r="F179" s="54" t="s">
        <v>228</v>
      </c>
    </row>
    <row r="180">
      <c r="A180" s="47">
        <f t="shared" si="1"/>
        <v>179</v>
      </c>
      <c r="B180" s="51" t="s">
        <v>229</v>
      </c>
      <c r="C180" s="52" t="s">
        <v>26</v>
      </c>
      <c r="D180" s="52">
        <v>1201.0</v>
      </c>
      <c r="E180" s="53" t="s">
        <v>83</v>
      </c>
      <c r="F180" s="54" t="s">
        <v>228</v>
      </c>
    </row>
    <row r="181">
      <c r="A181" s="47">
        <f t="shared" si="1"/>
        <v>180</v>
      </c>
      <c r="B181" s="51" t="s">
        <v>229</v>
      </c>
      <c r="C181" s="52" t="s">
        <v>30</v>
      </c>
      <c r="D181" s="52">
        <v>1168.0</v>
      </c>
      <c r="E181" s="53" t="s">
        <v>83</v>
      </c>
      <c r="F181" s="54" t="s">
        <v>228</v>
      </c>
    </row>
    <row r="182">
      <c r="A182" s="47">
        <f t="shared" si="1"/>
        <v>181</v>
      </c>
      <c r="B182" s="51" t="s">
        <v>233</v>
      </c>
      <c r="C182" s="52" t="s">
        <v>34</v>
      </c>
      <c r="D182" s="52">
        <v>1151.0</v>
      </c>
      <c r="E182" s="53" t="s">
        <v>83</v>
      </c>
      <c r="F182" s="54" t="s">
        <v>232</v>
      </c>
    </row>
    <row r="183">
      <c r="A183" s="47">
        <f t="shared" si="1"/>
        <v>182</v>
      </c>
      <c r="B183" s="51" t="s">
        <v>233</v>
      </c>
      <c r="C183" s="52" t="s">
        <v>26</v>
      </c>
      <c r="D183" s="52">
        <v>1270.0</v>
      </c>
      <c r="E183" s="53" t="s">
        <v>83</v>
      </c>
      <c r="F183" s="54" t="s">
        <v>232</v>
      </c>
    </row>
    <row r="184">
      <c r="A184" s="47">
        <f t="shared" si="1"/>
        <v>183</v>
      </c>
      <c r="B184" s="51" t="s">
        <v>233</v>
      </c>
      <c r="C184" s="52" t="s">
        <v>35</v>
      </c>
      <c r="D184" s="52">
        <v>1142.0</v>
      </c>
      <c r="E184" s="53" t="s">
        <v>83</v>
      </c>
      <c r="F184" s="54" t="s">
        <v>232</v>
      </c>
    </row>
    <row r="185">
      <c r="A185" s="47">
        <f t="shared" si="1"/>
        <v>184</v>
      </c>
      <c r="B185" s="51" t="s">
        <v>233</v>
      </c>
      <c r="C185" s="52" t="s">
        <v>28</v>
      </c>
      <c r="D185" s="52">
        <v>1325.0</v>
      </c>
      <c r="E185" s="53" t="s">
        <v>83</v>
      </c>
      <c r="F185" s="54" t="s">
        <v>232</v>
      </c>
    </row>
    <row r="186">
      <c r="A186" s="47">
        <f t="shared" si="1"/>
        <v>185</v>
      </c>
      <c r="B186" s="51" t="s">
        <v>233</v>
      </c>
      <c r="C186" s="52" t="s">
        <v>30</v>
      </c>
      <c r="D186" s="52">
        <v>1236.0</v>
      </c>
      <c r="E186" s="53" t="s">
        <v>83</v>
      </c>
      <c r="F186" s="54" t="s">
        <v>232</v>
      </c>
    </row>
    <row r="187">
      <c r="A187" s="47">
        <f t="shared" si="1"/>
        <v>186</v>
      </c>
      <c r="B187" s="51" t="s">
        <v>233</v>
      </c>
      <c r="C187" s="52" t="s">
        <v>27</v>
      </c>
      <c r="D187" s="52">
        <v>1267.0</v>
      </c>
      <c r="E187" s="53" t="s">
        <v>83</v>
      </c>
      <c r="F187" s="54" t="s">
        <v>232</v>
      </c>
    </row>
    <row r="188">
      <c r="A188" s="47">
        <f t="shared" si="1"/>
        <v>187</v>
      </c>
      <c r="B188" s="51" t="s">
        <v>238</v>
      </c>
      <c r="C188" s="52" t="s">
        <v>28</v>
      </c>
      <c r="D188" s="52">
        <v>1260.0</v>
      </c>
      <c r="E188" s="53" t="s">
        <v>83</v>
      </c>
      <c r="F188" s="54" t="s">
        <v>237</v>
      </c>
    </row>
    <row r="189">
      <c r="A189" s="47">
        <f t="shared" si="1"/>
        <v>188</v>
      </c>
      <c r="B189" s="51" t="s">
        <v>238</v>
      </c>
      <c r="C189" s="52" t="s">
        <v>35</v>
      </c>
      <c r="D189" s="52">
        <v>1152.0</v>
      </c>
      <c r="E189" s="53" t="s">
        <v>83</v>
      </c>
      <c r="F189" s="54" t="s">
        <v>237</v>
      </c>
    </row>
    <row r="190">
      <c r="A190" s="47">
        <f t="shared" si="1"/>
        <v>189</v>
      </c>
      <c r="B190" s="51" t="s">
        <v>238</v>
      </c>
      <c r="C190" s="52" t="s">
        <v>34</v>
      </c>
      <c r="D190" s="52">
        <v>1162.0</v>
      </c>
      <c r="E190" s="53" t="s">
        <v>83</v>
      </c>
      <c r="F190" s="54" t="s">
        <v>237</v>
      </c>
    </row>
    <row r="191">
      <c r="A191" s="47">
        <f t="shared" si="1"/>
        <v>190</v>
      </c>
      <c r="B191" s="51" t="s">
        <v>238</v>
      </c>
      <c r="C191" s="52" t="s">
        <v>27</v>
      </c>
      <c r="D191" s="52">
        <v>1248.0</v>
      </c>
      <c r="E191" s="53" t="s">
        <v>83</v>
      </c>
      <c r="F191" s="54" t="s">
        <v>237</v>
      </c>
    </row>
    <row r="192">
      <c r="A192" s="47">
        <f t="shared" si="1"/>
        <v>191</v>
      </c>
      <c r="B192" s="51" t="s">
        <v>238</v>
      </c>
      <c r="C192" s="52" t="s">
        <v>30</v>
      </c>
      <c r="D192" s="52">
        <v>1212.0</v>
      </c>
      <c r="E192" s="53" t="s">
        <v>83</v>
      </c>
      <c r="F192" s="54" t="s">
        <v>237</v>
      </c>
    </row>
    <row r="193">
      <c r="A193" s="47">
        <f t="shared" si="1"/>
        <v>192</v>
      </c>
      <c r="B193" s="51" t="s">
        <v>243</v>
      </c>
      <c r="C193" s="52" t="s">
        <v>30</v>
      </c>
      <c r="D193" s="52">
        <v>1189.0</v>
      </c>
      <c r="E193" s="53" t="s">
        <v>83</v>
      </c>
      <c r="F193" s="54" t="s">
        <v>242</v>
      </c>
    </row>
    <row r="194">
      <c r="A194" s="47">
        <f t="shared" si="1"/>
        <v>193</v>
      </c>
      <c r="B194" s="51" t="s">
        <v>243</v>
      </c>
      <c r="C194" s="52" t="s">
        <v>35</v>
      </c>
      <c r="D194" s="52">
        <v>1170.0</v>
      </c>
      <c r="E194" s="53" t="s">
        <v>83</v>
      </c>
      <c r="F194" s="54" t="s">
        <v>242</v>
      </c>
    </row>
    <row r="195">
      <c r="A195" s="47">
        <f t="shared" si="1"/>
        <v>194</v>
      </c>
      <c r="B195" s="51" t="s">
        <v>243</v>
      </c>
      <c r="C195" s="52" t="s">
        <v>34</v>
      </c>
      <c r="D195" s="52">
        <v>1137.0</v>
      </c>
      <c r="E195" s="53" t="s">
        <v>83</v>
      </c>
      <c r="F195" s="54" t="s">
        <v>242</v>
      </c>
    </row>
    <row r="196">
      <c r="A196" s="47">
        <f t="shared" si="1"/>
        <v>195</v>
      </c>
      <c r="B196" s="51" t="s">
        <v>243</v>
      </c>
      <c r="C196" s="52" t="s">
        <v>27</v>
      </c>
      <c r="D196" s="52">
        <v>1230.0</v>
      </c>
      <c r="E196" s="53" t="s">
        <v>83</v>
      </c>
      <c r="F196" s="54" t="s">
        <v>242</v>
      </c>
    </row>
    <row r="197">
      <c r="A197" s="47">
        <f t="shared" si="1"/>
        <v>196</v>
      </c>
      <c r="B197" s="51" t="s">
        <v>247</v>
      </c>
      <c r="C197" s="52" t="s">
        <v>26</v>
      </c>
      <c r="D197" s="52">
        <v>1282.0</v>
      </c>
      <c r="E197" s="53" t="s">
        <v>83</v>
      </c>
      <c r="F197" s="54" t="s">
        <v>246</v>
      </c>
    </row>
    <row r="198">
      <c r="A198" s="47">
        <f t="shared" si="1"/>
        <v>197</v>
      </c>
      <c r="B198" s="51" t="s">
        <v>247</v>
      </c>
      <c r="C198" s="52" t="s">
        <v>30</v>
      </c>
      <c r="D198" s="52">
        <v>1202.0</v>
      </c>
      <c r="E198" s="53" t="s">
        <v>83</v>
      </c>
      <c r="F198" s="54" t="s">
        <v>246</v>
      </c>
    </row>
    <row r="199">
      <c r="A199" s="47">
        <f t="shared" si="1"/>
        <v>198</v>
      </c>
      <c r="B199" s="51" t="s">
        <v>247</v>
      </c>
      <c r="C199" s="52" t="s">
        <v>27</v>
      </c>
      <c r="D199" s="52">
        <v>1213.0</v>
      </c>
      <c r="E199" s="53" t="s">
        <v>83</v>
      </c>
      <c r="F199" s="54" t="s">
        <v>246</v>
      </c>
    </row>
    <row r="200">
      <c r="A200" s="47">
        <f t="shared" si="1"/>
        <v>199</v>
      </c>
      <c r="B200" s="51" t="s">
        <v>252</v>
      </c>
      <c r="C200" s="52" t="s">
        <v>30</v>
      </c>
      <c r="D200" s="52">
        <v>1179.0</v>
      </c>
      <c r="E200" s="53" t="s">
        <v>83</v>
      </c>
      <c r="F200" s="54" t="s">
        <v>251</v>
      </c>
    </row>
    <row r="201">
      <c r="A201" s="47">
        <f t="shared" si="1"/>
        <v>200</v>
      </c>
      <c r="B201" s="51" t="s">
        <v>252</v>
      </c>
      <c r="C201" s="52" t="s">
        <v>27</v>
      </c>
      <c r="D201" s="52">
        <v>1194.0</v>
      </c>
      <c r="E201" s="53" t="s">
        <v>83</v>
      </c>
      <c r="F201" s="54" t="s">
        <v>251</v>
      </c>
    </row>
    <row r="202">
      <c r="A202" s="47">
        <f t="shared" si="1"/>
        <v>201</v>
      </c>
      <c r="B202" s="51" t="s">
        <v>252</v>
      </c>
      <c r="C202" s="52" t="s">
        <v>26</v>
      </c>
      <c r="D202" s="52">
        <v>1294.0</v>
      </c>
      <c r="E202" s="53" t="s">
        <v>83</v>
      </c>
      <c r="F202" s="54" t="s">
        <v>251</v>
      </c>
    </row>
    <row r="203">
      <c r="A203" s="47">
        <f t="shared" si="1"/>
        <v>202</v>
      </c>
      <c r="B203" s="51" t="s">
        <v>256</v>
      </c>
      <c r="C203" s="52" t="s">
        <v>34</v>
      </c>
      <c r="D203" s="52">
        <v>1113.0</v>
      </c>
      <c r="E203" s="53" t="s">
        <v>83</v>
      </c>
      <c r="F203" s="54" t="s">
        <v>255</v>
      </c>
    </row>
    <row r="204">
      <c r="A204" s="47">
        <f t="shared" si="1"/>
        <v>203</v>
      </c>
      <c r="B204" s="51" t="s">
        <v>256</v>
      </c>
      <c r="C204" s="52" t="s">
        <v>27</v>
      </c>
      <c r="D204" s="52">
        <v>1174.0</v>
      </c>
      <c r="E204" s="53" t="s">
        <v>83</v>
      </c>
      <c r="F204" s="54" t="s">
        <v>255</v>
      </c>
    </row>
    <row r="205">
      <c r="A205" s="47">
        <f t="shared" si="1"/>
        <v>204</v>
      </c>
      <c r="B205" s="51" t="s">
        <v>256</v>
      </c>
      <c r="C205" s="52" t="s">
        <v>26</v>
      </c>
      <c r="D205" s="52">
        <v>1274.0</v>
      </c>
      <c r="E205" s="53" t="s">
        <v>83</v>
      </c>
      <c r="F205" s="54" t="s">
        <v>255</v>
      </c>
    </row>
    <row r="206">
      <c r="A206" s="47">
        <f t="shared" si="1"/>
        <v>205</v>
      </c>
      <c r="B206" s="51" t="s">
        <v>256</v>
      </c>
      <c r="C206" s="52" t="s">
        <v>30</v>
      </c>
      <c r="D206" s="52">
        <v>1193.0</v>
      </c>
      <c r="E206" s="53" t="s">
        <v>83</v>
      </c>
      <c r="F206" s="54" t="s">
        <v>255</v>
      </c>
    </row>
    <row r="207">
      <c r="A207" s="47">
        <f t="shared" si="1"/>
        <v>206</v>
      </c>
      <c r="B207" s="51" t="s">
        <v>261</v>
      </c>
      <c r="C207" s="52" t="s">
        <v>27</v>
      </c>
      <c r="D207" s="52">
        <v>1187.0</v>
      </c>
      <c r="E207" s="53" t="s">
        <v>83</v>
      </c>
      <c r="F207" s="54" t="s">
        <v>260</v>
      </c>
    </row>
    <row r="208">
      <c r="A208" s="47">
        <f t="shared" si="1"/>
        <v>207</v>
      </c>
      <c r="B208" s="51" t="s">
        <v>261</v>
      </c>
      <c r="C208" s="52" t="s">
        <v>35</v>
      </c>
      <c r="D208" s="52">
        <v>1147.0</v>
      </c>
      <c r="E208" s="53" t="s">
        <v>83</v>
      </c>
      <c r="F208" s="54" t="s">
        <v>260</v>
      </c>
    </row>
    <row r="209">
      <c r="A209" s="47">
        <f t="shared" si="1"/>
        <v>208</v>
      </c>
      <c r="B209" s="51" t="s">
        <v>261</v>
      </c>
      <c r="C209" s="52" t="s">
        <v>30</v>
      </c>
      <c r="D209" s="52">
        <v>1140.0</v>
      </c>
      <c r="E209" s="53" t="s">
        <v>83</v>
      </c>
      <c r="F209" s="54" t="s">
        <v>260</v>
      </c>
    </row>
    <row r="210">
      <c r="A210" s="47">
        <f t="shared" si="1"/>
        <v>209</v>
      </c>
      <c r="B210" s="51" t="s">
        <v>261</v>
      </c>
      <c r="C210" s="52" t="s">
        <v>34</v>
      </c>
      <c r="D210" s="52">
        <v>1126.0</v>
      </c>
      <c r="E210" s="53" t="s">
        <v>83</v>
      </c>
      <c r="F210" s="54" t="s">
        <v>260</v>
      </c>
    </row>
    <row r="211">
      <c r="A211" s="47">
        <f t="shared" si="1"/>
        <v>210</v>
      </c>
      <c r="B211" s="51" t="s">
        <v>261</v>
      </c>
      <c r="C211" s="52" t="s">
        <v>26</v>
      </c>
      <c r="D211" s="52">
        <v>1288.0</v>
      </c>
      <c r="E211" s="53" t="s">
        <v>83</v>
      </c>
      <c r="F211" s="54" t="s">
        <v>260</v>
      </c>
    </row>
    <row r="212">
      <c r="A212" s="55">
        <f t="shared" ref="A212:A2788" si="2">Row()-1</f>
        <v>211</v>
      </c>
      <c r="B212" s="56" t="s">
        <v>265</v>
      </c>
      <c r="C212" s="55" t="s">
        <v>27</v>
      </c>
      <c r="D212" s="55">
        <v>1240.0</v>
      </c>
      <c r="E212" s="57" t="s">
        <v>83</v>
      </c>
      <c r="F212" s="2" t="s">
        <v>264</v>
      </c>
    </row>
    <row r="213">
      <c r="A213" s="55">
        <f t="shared" si="2"/>
        <v>212</v>
      </c>
      <c r="B213" s="56" t="s">
        <v>265</v>
      </c>
      <c r="C213" s="55" t="s">
        <v>35</v>
      </c>
      <c r="D213" s="55">
        <v>1200.0</v>
      </c>
      <c r="E213" s="57" t="s">
        <v>83</v>
      </c>
      <c r="F213" s="2" t="s">
        <v>264</v>
      </c>
    </row>
    <row r="214">
      <c r="A214" s="55">
        <f t="shared" si="2"/>
        <v>213</v>
      </c>
      <c r="B214" s="56" t="s">
        <v>265</v>
      </c>
      <c r="C214" s="55" t="s">
        <v>26</v>
      </c>
      <c r="D214" s="55">
        <v>1240.0</v>
      </c>
      <c r="E214" s="57" t="s">
        <v>83</v>
      </c>
      <c r="F214" s="2" t="s">
        <v>264</v>
      </c>
    </row>
    <row r="215">
      <c r="A215" s="55">
        <f t="shared" si="2"/>
        <v>214</v>
      </c>
      <c r="B215" s="56" t="s">
        <v>270</v>
      </c>
      <c r="C215" s="55" t="s">
        <v>35</v>
      </c>
      <c r="D215" s="55">
        <v>1200.0</v>
      </c>
      <c r="E215" s="57" t="s">
        <v>83</v>
      </c>
      <c r="F215" s="2" t="s">
        <v>269</v>
      </c>
    </row>
    <row r="216">
      <c r="A216" s="55">
        <f t="shared" si="2"/>
        <v>215</v>
      </c>
      <c r="B216" s="56" t="s">
        <v>270</v>
      </c>
      <c r="C216" s="55" t="s">
        <v>34</v>
      </c>
      <c r="D216" s="55">
        <v>1140.0</v>
      </c>
      <c r="E216" s="57" t="s">
        <v>83</v>
      </c>
      <c r="F216" s="2" t="s">
        <v>269</v>
      </c>
    </row>
    <row r="217">
      <c r="A217" s="55">
        <f t="shared" si="2"/>
        <v>216</v>
      </c>
      <c r="B217" s="56" t="s">
        <v>270</v>
      </c>
      <c r="C217" s="55" t="s">
        <v>26</v>
      </c>
      <c r="D217" s="55">
        <v>1240.0</v>
      </c>
      <c r="E217" s="57" t="s">
        <v>83</v>
      </c>
      <c r="F217" s="2" t="s">
        <v>269</v>
      </c>
    </row>
    <row r="218">
      <c r="A218" s="55">
        <f t="shared" si="2"/>
        <v>217</v>
      </c>
      <c r="B218" s="56" t="s">
        <v>270</v>
      </c>
      <c r="C218" s="55" t="s">
        <v>27</v>
      </c>
      <c r="D218" s="55">
        <v>1240.0</v>
      </c>
      <c r="E218" s="57" t="s">
        <v>83</v>
      </c>
      <c r="F218" s="2" t="s">
        <v>269</v>
      </c>
    </row>
    <row r="219">
      <c r="A219" s="55">
        <f t="shared" si="2"/>
        <v>218</v>
      </c>
      <c r="B219" s="56" t="s">
        <v>275</v>
      </c>
      <c r="C219" s="55" t="s">
        <v>34</v>
      </c>
      <c r="D219" s="55">
        <v>1140.0</v>
      </c>
      <c r="E219" s="57" t="s">
        <v>83</v>
      </c>
      <c r="F219" s="2" t="s">
        <v>274</v>
      </c>
    </row>
    <row r="220">
      <c r="A220" s="55">
        <f t="shared" si="2"/>
        <v>219</v>
      </c>
      <c r="B220" s="56" t="s">
        <v>275</v>
      </c>
      <c r="C220" s="55" t="s">
        <v>26</v>
      </c>
      <c r="D220" s="55">
        <v>1240.0</v>
      </c>
      <c r="E220" s="57" t="s">
        <v>83</v>
      </c>
      <c r="F220" s="2" t="s">
        <v>274</v>
      </c>
    </row>
    <row r="221">
      <c r="A221" s="55">
        <f t="shared" si="2"/>
        <v>220</v>
      </c>
      <c r="B221" s="56" t="s">
        <v>280</v>
      </c>
      <c r="C221" s="55" t="s">
        <v>34</v>
      </c>
      <c r="D221" s="55">
        <v>1140.0</v>
      </c>
      <c r="E221" s="57" t="s">
        <v>83</v>
      </c>
      <c r="F221" s="2" t="s">
        <v>279</v>
      </c>
    </row>
    <row r="222">
      <c r="A222" s="55">
        <f t="shared" si="2"/>
        <v>221</v>
      </c>
      <c r="B222" s="56" t="s">
        <v>280</v>
      </c>
      <c r="C222" s="55" t="s">
        <v>27</v>
      </c>
      <c r="D222" s="55">
        <v>1240.0</v>
      </c>
      <c r="E222" s="57" t="s">
        <v>83</v>
      </c>
      <c r="F222" s="2" t="s">
        <v>279</v>
      </c>
    </row>
    <row r="223">
      <c r="A223" s="55">
        <f t="shared" si="2"/>
        <v>222</v>
      </c>
      <c r="B223" s="56" t="s">
        <v>284</v>
      </c>
      <c r="C223" s="55" t="s">
        <v>27</v>
      </c>
      <c r="D223" s="55">
        <v>1240.0</v>
      </c>
      <c r="E223" s="57" t="s">
        <v>83</v>
      </c>
      <c r="F223" s="2" t="s">
        <v>283</v>
      </c>
    </row>
    <row r="224">
      <c r="A224" s="55">
        <f t="shared" si="2"/>
        <v>223</v>
      </c>
      <c r="B224" s="56" t="s">
        <v>376</v>
      </c>
      <c r="C224" s="55" t="s">
        <v>28</v>
      </c>
      <c r="D224" s="55">
        <v>1592.0</v>
      </c>
      <c r="E224" s="57" t="s">
        <v>379</v>
      </c>
      <c r="F224" s="2" t="s">
        <v>375</v>
      </c>
    </row>
    <row r="225">
      <c r="A225" s="55">
        <f t="shared" si="2"/>
        <v>224</v>
      </c>
      <c r="B225" s="56" t="s">
        <v>376</v>
      </c>
      <c r="C225" s="55" t="s">
        <v>35</v>
      </c>
      <c r="D225" s="55">
        <v>1554.0</v>
      </c>
      <c r="E225" s="57" t="s">
        <v>379</v>
      </c>
      <c r="F225" s="2" t="s">
        <v>375</v>
      </c>
    </row>
    <row r="226">
      <c r="A226" s="55">
        <f t="shared" si="2"/>
        <v>225</v>
      </c>
      <c r="B226" s="56" t="s">
        <v>376</v>
      </c>
      <c r="C226" s="55" t="s">
        <v>45</v>
      </c>
      <c r="D226" s="55">
        <v>1169.0</v>
      </c>
      <c r="E226" s="57" t="s">
        <v>379</v>
      </c>
      <c r="F226" s="2" t="s">
        <v>375</v>
      </c>
    </row>
    <row r="227">
      <c r="A227" s="55">
        <f t="shared" si="2"/>
        <v>226</v>
      </c>
      <c r="B227" s="56" t="s">
        <v>376</v>
      </c>
      <c r="C227" s="55" t="s">
        <v>27</v>
      </c>
      <c r="D227" s="55">
        <v>1691.0</v>
      </c>
      <c r="E227" s="57" t="s">
        <v>379</v>
      </c>
      <c r="F227" s="2" t="s">
        <v>375</v>
      </c>
    </row>
    <row r="228">
      <c r="A228" s="55">
        <f t="shared" si="2"/>
        <v>227</v>
      </c>
      <c r="B228" s="56" t="s">
        <v>376</v>
      </c>
      <c r="C228" s="55" t="s">
        <v>26</v>
      </c>
      <c r="D228" s="55">
        <v>1724.0</v>
      </c>
      <c r="E228" s="57" t="s">
        <v>379</v>
      </c>
      <c r="F228" s="2" t="s">
        <v>375</v>
      </c>
    </row>
    <row r="229">
      <c r="A229" s="55">
        <f t="shared" si="2"/>
        <v>228</v>
      </c>
      <c r="B229" s="56" t="s">
        <v>376</v>
      </c>
      <c r="C229" s="55" t="s">
        <v>24</v>
      </c>
      <c r="D229" s="55">
        <v>1652.0</v>
      </c>
      <c r="E229" s="57" t="s">
        <v>379</v>
      </c>
      <c r="F229" s="2" t="s">
        <v>375</v>
      </c>
    </row>
    <row r="230">
      <c r="A230" s="55">
        <f t="shared" si="2"/>
        <v>229</v>
      </c>
      <c r="B230" s="56" t="s">
        <v>376</v>
      </c>
      <c r="C230" s="55" t="s">
        <v>30</v>
      </c>
      <c r="D230" s="55">
        <v>1460.0</v>
      </c>
      <c r="E230" s="57" t="s">
        <v>379</v>
      </c>
      <c r="F230" s="2" t="s">
        <v>375</v>
      </c>
    </row>
    <row r="231">
      <c r="A231" s="55">
        <f t="shared" si="2"/>
        <v>230</v>
      </c>
      <c r="B231" s="56" t="s">
        <v>376</v>
      </c>
      <c r="C231" s="55" t="s">
        <v>31</v>
      </c>
      <c r="D231" s="55">
        <v>1693.0</v>
      </c>
      <c r="E231" s="57" t="s">
        <v>379</v>
      </c>
      <c r="F231" s="2" t="s">
        <v>375</v>
      </c>
    </row>
    <row r="232">
      <c r="A232" s="55">
        <f t="shared" si="2"/>
        <v>231</v>
      </c>
      <c r="B232" s="56" t="s">
        <v>382</v>
      </c>
      <c r="C232" s="55" t="s">
        <v>45</v>
      </c>
      <c r="D232" s="55">
        <v>1179.0</v>
      </c>
      <c r="E232" s="57" t="s">
        <v>379</v>
      </c>
      <c r="F232" s="2" t="s">
        <v>381</v>
      </c>
    </row>
    <row r="233">
      <c r="A233" s="55">
        <f t="shared" si="2"/>
        <v>232</v>
      </c>
      <c r="B233" s="56" t="s">
        <v>382</v>
      </c>
      <c r="C233" s="55" t="s">
        <v>30</v>
      </c>
      <c r="D233" s="55">
        <v>1432.0</v>
      </c>
      <c r="E233" s="57" t="s">
        <v>379</v>
      </c>
      <c r="F233" s="2" t="s">
        <v>381</v>
      </c>
    </row>
    <row r="234">
      <c r="A234" s="55">
        <f t="shared" si="2"/>
        <v>233</v>
      </c>
      <c r="B234" s="56" t="s">
        <v>382</v>
      </c>
      <c r="C234" s="55" t="s">
        <v>28</v>
      </c>
      <c r="D234" s="55">
        <v>1606.0</v>
      </c>
      <c r="E234" s="57" t="s">
        <v>379</v>
      </c>
      <c r="F234" s="2" t="s">
        <v>381</v>
      </c>
    </row>
    <row r="235">
      <c r="A235" s="55">
        <f t="shared" si="2"/>
        <v>234</v>
      </c>
      <c r="B235" s="56" t="s">
        <v>382</v>
      </c>
      <c r="C235" s="55" t="s">
        <v>39</v>
      </c>
      <c r="D235" s="55">
        <v>1631.0</v>
      </c>
      <c r="E235" s="57" t="s">
        <v>379</v>
      </c>
      <c r="F235" s="2" t="s">
        <v>381</v>
      </c>
    </row>
    <row r="236">
      <c r="A236" s="55">
        <f t="shared" si="2"/>
        <v>235</v>
      </c>
      <c r="B236" s="56" t="s">
        <v>382</v>
      </c>
      <c r="C236" s="55" t="s">
        <v>35</v>
      </c>
      <c r="D236" s="55">
        <v>1568.0</v>
      </c>
      <c r="E236" s="57" t="s">
        <v>379</v>
      </c>
      <c r="F236" s="2" t="s">
        <v>381</v>
      </c>
    </row>
    <row r="237">
      <c r="A237" s="55">
        <f t="shared" si="2"/>
        <v>236</v>
      </c>
      <c r="B237" s="56" t="s">
        <v>382</v>
      </c>
      <c r="C237" s="55" t="s">
        <v>27</v>
      </c>
      <c r="D237" s="55">
        <v>1706.0</v>
      </c>
      <c r="E237" s="57" t="s">
        <v>379</v>
      </c>
      <c r="F237" s="2" t="s">
        <v>381</v>
      </c>
    </row>
    <row r="238">
      <c r="A238" s="55">
        <f t="shared" si="2"/>
        <v>237</v>
      </c>
      <c r="B238" s="56" t="s">
        <v>382</v>
      </c>
      <c r="C238" s="55" t="s">
        <v>24</v>
      </c>
      <c r="D238" s="55">
        <v>1632.0</v>
      </c>
      <c r="E238" s="57" t="s">
        <v>379</v>
      </c>
      <c r="F238" s="2" t="s">
        <v>381</v>
      </c>
    </row>
    <row r="239">
      <c r="A239" s="55">
        <f t="shared" si="2"/>
        <v>238</v>
      </c>
      <c r="B239" s="56" t="s">
        <v>382</v>
      </c>
      <c r="C239" s="55" t="s">
        <v>26</v>
      </c>
      <c r="D239" s="55">
        <v>1707.0</v>
      </c>
      <c r="E239" s="57" t="s">
        <v>379</v>
      </c>
      <c r="F239" s="2" t="s">
        <v>381</v>
      </c>
    </row>
    <row r="240">
      <c r="A240" s="55">
        <f t="shared" si="2"/>
        <v>239</v>
      </c>
      <c r="B240" s="56" t="s">
        <v>387</v>
      </c>
      <c r="C240" s="55" t="s">
        <v>45</v>
      </c>
      <c r="D240" s="55">
        <v>1190.0</v>
      </c>
      <c r="E240" s="57" t="s">
        <v>379</v>
      </c>
      <c r="F240" s="2" t="s">
        <v>386</v>
      </c>
    </row>
    <row r="241">
      <c r="A241" s="55">
        <f t="shared" si="2"/>
        <v>240</v>
      </c>
      <c r="B241" s="56" t="s">
        <v>387</v>
      </c>
      <c r="C241" s="55" t="s">
        <v>33</v>
      </c>
      <c r="D241" s="55">
        <v>1475.0</v>
      </c>
      <c r="E241" s="57" t="s">
        <v>379</v>
      </c>
      <c r="F241" s="2" t="s">
        <v>386</v>
      </c>
    </row>
    <row r="242">
      <c r="A242" s="55">
        <f t="shared" si="2"/>
        <v>241</v>
      </c>
      <c r="B242" s="56" t="s">
        <v>387</v>
      </c>
      <c r="C242" s="55" t="s">
        <v>35</v>
      </c>
      <c r="D242" s="55">
        <v>1550.0</v>
      </c>
      <c r="E242" s="57" t="s">
        <v>379</v>
      </c>
      <c r="F242" s="2" t="s">
        <v>386</v>
      </c>
    </row>
    <row r="243">
      <c r="A243" s="55">
        <f t="shared" si="2"/>
        <v>242</v>
      </c>
      <c r="B243" s="56" t="s">
        <v>387</v>
      </c>
      <c r="C243" s="55" t="s">
        <v>26</v>
      </c>
      <c r="D243" s="55">
        <v>1691.0</v>
      </c>
      <c r="E243" s="57" t="s">
        <v>379</v>
      </c>
      <c r="F243" s="2" t="s">
        <v>386</v>
      </c>
    </row>
    <row r="244">
      <c r="A244" s="55">
        <f t="shared" si="2"/>
        <v>243</v>
      </c>
      <c r="B244" s="56" t="s">
        <v>387</v>
      </c>
      <c r="C244" s="55" t="s">
        <v>30</v>
      </c>
      <c r="D244" s="55">
        <v>1446.0</v>
      </c>
      <c r="E244" s="57" t="s">
        <v>379</v>
      </c>
      <c r="F244" s="2" t="s">
        <v>386</v>
      </c>
    </row>
    <row r="245">
      <c r="A245" s="55">
        <f t="shared" si="2"/>
        <v>244</v>
      </c>
      <c r="B245" s="56" t="s">
        <v>387</v>
      </c>
      <c r="C245" s="55" t="s">
        <v>27</v>
      </c>
      <c r="D245" s="55">
        <v>1692.0</v>
      </c>
      <c r="E245" s="57" t="s">
        <v>379</v>
      </c>
      <c r="F245" s="2" t="s">
        <v>386</v>
      </c>
    </row>
    <row r="246">
      <c r="A246" s="55">
        <f t="shared" si="2"/>
        <v>245</v>
      </c>
      <c r="B246" s="56" t="s">
        <v>387</v>
      </c>
      <c r="C246" s="55" t="s">
        <v>24</v>
      </c>
      <c r="D246" s="55">
        <v>1613.0</v>
      </c>
      <c r="E246" s="57" t="s">
        <v>379</v>
      </c>
      <c r="F246" s="2" t="s">
        <v>386</v>
      </c>
    </row>
    <row r="247">
      <c r="A247" s="55">
        <f t="shared" si="2"/>
        <v>246</v>
      </c>
      <c r="B247" s="56" t="s">
        <v>387</v>
      </c>
      <c r="C247" s="55" t="s">
        <v>39</v>
      </c>
      <c r="D247" s="55">
        <v>1647.0</v>
      </c>
      <c r="E247" s="57" t="s">
        <v>379</v>
      </c>
      <c r="F247" s="2" t="s">
        <v>386</v>
      </c>
    </row>
    <row r="248">
      <c r="A248" s="55">
        <f t="shared" si="2"/>
        <v>247</v>
      </c>
      <c r="B248" s="56" t="s">
        <v>391</v>
      </c>
      <c r="C248" s="55" t="s">
        <v>33</v>
      </c>
      <c r="D248" s="55">
        <v>1488.0</v>
      </c>
      <c r="E248" s="57" t="s">
        <v>379</v>
      </c>
      <c r="F248" s="2" t="s">
        <v>390</v>
      </c>
    </row>
    <row r="249">
      <c r="A249" s="55">
        <f t="shared" si="2"/>
        <v>248</v>
      </c>
      <c r="B249" s="56" t="s">
        <v>391</v>
      </c>
      <c r="C249" s="55" t="s">
        <v>24</v>
      </c>
      <c r="D249" s="55">
        <v>1592.0</v>
      </c>
      <c r="E249" s="57" t="s">
        <v>379</v>
      </c>
      <c r="F249" s="2" t="s">
        <v>390</v>
      </c>
    </row>
    <row r="250">
      <c r="A250" s="55">
        <f t="shared" si="2"/>
        <v>249</v>
      </c>
      <c r="B250" s="56" t="s">
        <v>391</v>
      </c>
      <c r="C250" s="55" t="s">
        <v>45</v>
      </c>
      <c r="D250" s="55">
        <v>1200.0</v>
      </c>
      <c r="E250" s="57" t="s">
        <v>379</v>
      </c>
      <c r="F250" s="2" t="s">
        <v>390</v>
      </c>
    </row>
    <row r="251">
      <c r="A251" s="55">
        <f t="shared" si="2"/>
        <v>250</v>
      </c>
      <c r="B251" s="56" t="s">
        <v>391</v>
      </c>
      <c r="C251" s="55" t="s">
        <v>30</v>
      </c>
      <c r="D251" s="55">
        <v>1419.0</v>
      </c>
      <c r="E251" s="57" t="s">
        <v>379</v>
      </c>
      <c r="F251" s="2" t="s">
        <v>390</v>
      </c>
    </row>
    <row r="252">
      <c r="A252" s="55">
        <f t="shared" si="2"/>
        <v>251</v>
      </c>
      <c r="B252" s="56" t="s">
        <v>391</v>
      </c>
      <c r="C252" s="55" t="s">
        <v>35</v>
      </c>
      <c r="D252" s="55">
        <v>1564.0</v>
      </c>
      <c r="E252" s="57" t="s">
        <v>379</v>
      </c>
      <c r="F252" s="2" t="s">
        <v>390</v>
      </c>
    </row>
    <row r="253">
      <c r="A253" s="55">
        <f t="shared" si="2"/>
        <v>252</v>
      </c>
      <c r="B253" s="56" t="s">
        <v>391</v>
      </c>
      <c r="C253" s="55" t="s">
        <v>39</v>
      </c>
      <c r="D253" s="55">
        <v>1628.0</v>
      </c>
      <c r="E253" s="57" t="s">
        <v>379</v>
      </c>
      <c r="F253" s="2" t="s">
        <v>390</v>
      </c>
    </row>
    <row r="254">
      <c r="A254" s="55">
        <f t="shared" si="2"/>
        <v>253</v>
      </c>
      <c r="B254" s="56" t="s">
        <v>391</v>
      </c>
      <c r="C254" s="55" t="s">
        <v>26</v>
      </c>
      <c r="D254" s="55">
        <v>1707.0</v>
      </c>
      <c r="E254" s="57" t="s">
        <v>379</v>
      </c>
      <c r="F254" s="2" t="s">
        <v>390</v>
      </c>
    </row>
    <row r="255">
      <c r="A255" s="55">
        <f t="shared" si="2"/>
        <v>254</v>
      </c>
      <c r="B255" s="56" t="s">
        <v>391</v>
      </c>
      <c r="C255" s="55" t="s">
        <v>27</v>
      </c>
      <c r="D255" s="55">
        <v>1678.0</v>
      </c>
      <c r="E255" s="57" t="s">
        <v>379</v>
      </c>
      <c r="F255" s="2" t="s">
        <v>390</v>
      </c>
    </row>
    <row r="256">
      <c r="A256" s="55">
        <f t="shared" si="2"/>
        <v>255</v>
      </c>
      <c r="B256" s="56" t="s">
        <v>395</v>
      </c>
      <c r="C256" s="55" t="s">
        <v>24</v>
      </c>
      <c r="D256" s="55">
        <v>1604.0</v>
      </c>
      <c r="E256" s="57" t="s">
        <v>379</v>
      </c>
      <c r="F256" s="2" t="s">
        <v>394</v>
      </c>
    </row>
    <row r="257">
      <c r="A257" s="55">
        <f t="shared" si="2"/>
        <v>256</v>
      </c>
      <c r="B257" s="56" t="s">
        <v>395</v>
      </c>
      <c r="C257" s="55" t="s">
        <v>45</v>
      </c>
      <c r="D257" s="55">
        <v>1209.0</v>
      </c>
      <c r="E257" s="57" t="s">
        <v>379</v>
      </c>
      <c r="F257" s="2" t="s">
        <v>394</v>
      </c>
    </row>
    <row r="258">
      <c r="A258" s="55">
        <f t="shared" si="2"/>
        <v>257</v>
      </c>
      <c r="B258" s="56" t="s">
        <v>395</v>
      </c>
      <c r="C258" s="55" t="s">
        <v>27</v>
      </c>
      <c r="D258" s="55">
        <v>1665.0</v>
      </c>
      <c r="E258" s="57" t="s">
        <v>379</v>
      </c>
      <c r="F258" s="2" t="s">
        <v>394</v>
      </c>
    </row>
    <row r="259">
      <c r="A259" s="55">
        <f t="shared" si="2"/>
        <v>258</v>
      </c>
      <c r="B259" s="56" t="s">
        <v>395</v>
      </c>
      <c r="C259" s="55" t="s">
        <v>26</v>
      </c>
      <c r="D259" s="55">
        <v>1692.0</v>
      </c>
      <c r="E259" s="57" t="s">
        <v>379</v>
      </c>
      <c r="F259" s="2" t="s">
        <v>394</v>
      </c>
    </row>
    <row r="260">
      <c r="A260" s="55">
        <f t="shared" si="2"/>
        <v>259</v>
      </c>
      <c r="B260" s="56" t="s">
        <v>395</v>
      </c>
      <c r="C260" s="55" t="s">
        <v>30</v>
      </c>
      <c r="D260" s="55">
        <v>1430.0</v>
      </c>
      <c r="E260" s="57" t="s">
        <v>379</v>
      </c>
      <c r="F260" s="2" t="s">
        <v>394</v>
      </c>
    </row>
    <row r="261">
      <c r="A261" s="55">
        <f t="shared" si="2"/>
        <v>260</v>
      </c>
      <c r="B261" s="56" t="s">
        <v>395</v>
      </c>
      <c r="C261" s="55" t="s">
        <v>33</v>
      </c>
      <c r="D261" s="55">
        <v>1499.0</v>
      </c>
      <c r="E261" s="57" t="s">
        <v>379</v>
      </c>
      <c r="F261" s="2" t="s">
        <v>394</v>
      </c>
    </row>
    <row r="262">
      <c r="A262" s="55">
        <f t="shared" si="2"/>
        <v>261</v>
      </c>
      <c r="B262" s="56" t="s">
        <v>395</v>
      </c>
      <c r="C262" s="55" t="s">
        <v>35</v>
      </c>
      <c r="D262" s="55">
        <v>1547.0</v>
      </c>
      <c r="E262" s="57" t="s">
        <v>379</v>
      </c>
      <c r="F262" s="2" t="s">
        <v>394</v>
      </c>
    </row>
    <row r="263">
      <c r="A263" s="55">
        <f t="shared" si="2"/>
        <v>262</v>
      </c>
      <c r="B263" s="56" t="s">
        <v>395</v>
      </c>
      <c r="C263" s="55" t="s">
        <v>39</v>
      </c>
      <c r="D263" s="55">
        <v>1610.0</v>
      </c>
      <c r="E263" s="57" t="s">
        <v>379</v>
      </c>
      <c r="F263" s="2" t="s">
        <v>394</v>
      </c>
    </row>
    <row r="264">
      <c r="A264" s="55">
        <f t="shared" si="2"/>
        <v>263</v>
      </c>
      <c r="B264" s="56" t="s">
        <v>399</v>
      </c>
      <c r="C264" s="55" t="s">
        <v>35</v>
      </c>
      <c r="D264" s="55">
        <v>1525.0</v>
      </c>
      <c r="E264" s="57" t="s">
        <v>379</v>
      </c>
      <c r="F264" s="2" t="s">
        <v>398</v>
      </c>
    </row>
    <row r="265">
      <c r="A265" s="55">
        <f t="shared" si="2"/>
        <v>264</v>
      </c>
      <c r="B265" s="56" t="s">
        <v>399</v>
      </c>
      <c r="C265" s="55" t="s">
        <v>26</v>
      </c>
      <c r="D265" s="55">
        <v>1707.0</v>
      </c>
      <c r="E265" s="57" t="s">
        <v>379</v>
      </c>
      <c r="F265" s="2" t="s">
        <v>398</v>
      </c>
    </row>
    <row r="266">
      <c r="A266" s="55">
        <f t="shared" si="2"/>
        <v>265</v>
      </c>
      <c r="B266" s="56" t="s">
        <v>399</v>
      </c>
      <c r="C266" s="55" t="s">
        <v>30</v>
      </c>
      <c r="D266" s="55">
        <v>1399.0</v>
      </c>
      <c r="E266" s="57" t="s">
        <v>379</v>
      </c>
      <c r="F266" s="2" t="s">
        <v>398</v>
      </c>
    </row>
    <row r="267">
      <c r="A267" s="55">
        <f t="shared" si="2"/>
        <v>266</v>
      </c>
      <c r="B267" s="56" t="s">
        <v>399</v>
      </c>
      <c r="C267" s="55" t="s">
        <v>27</v>
      </c>
      <c r="D267" s="55">
        <v>1679.0</v>
      </c>
      <c r="E267" s="57" t="s">
        <v>379</v>
      </c>
      <c r="F267" s="2" t="s">
        <v>398</v>
      </c>
    </row>
    <row r="268">
      <c r="A268" s="55">
        <f t="shared" si="2"/>
        <v>267</v>
      </c>
      <c r="B268" s="56" t="s">
        <v>399</v>
      </c>
      <c r="C268" s="55" t="s">
        <v>45</v>
      </c>
      <c r="D268" s="55">
        <v>1219.0</v>
      </c>
      <c r="E268" s="57" t="s">
        <v>379</v>
      </c>
      <c r="F268" s="2" t="s">
        <v>398</v>
      </c>
    </row>
    <row r="269">
      <c r="A269" s="55">
        <f t="shared" si="2"/>
        <v>268</v>
      </c>
      <c r="B269" s="56" t="s">
        <v>399</v>
      </c>
      <c r="C269" s="55" t="s">
        <v>24</v>
      </c>
      <c r="D269" s="55">
        <v>1618.0</v>
      </c>
      <c r="E269" s="57" t="s">
        <v>379</v>
      </c>
      <c r="F269" s="2" t="s">
        <v>398</v>
      </c>
    </row>
    <row r="270">
      <c r="A270" s="55">
        <f t="shared" si="2"/>
        <v>269</v>
      </c>
      <c r="B270" s="56" t="s">
        <v>399</v>
      </c>
      <c r="C270" s="55" t="s">
        <v>39</v>
      </c>
      <c r="D270" s="55">
        <v>1587.0</v>
      </c>
      <c r="E270" s="57" t="s">
        <v>379</v>
      </c>
      <c r="F270" s="2" t="s">
        <v>398</v>
      </c>
    </row>
    <row r="271">
      <c r="A271" s="55">
        <f t="shared" si="2"/>
        <v>270</v>
      </c>
      <c r="B271" s="56" t="s">
        <v>399</v>
      </c>
      <c r="C271" s="55" t="s">
        <v>33</v>
      </c>
      <c r="D271" s="55">
        <v>1476.0</v>
      </c>
      <c r="E271" s="57" t="s">
        <v>379</v>
      </c>
      <c r="F271" s="2" t="s">
        <v>398</v>
      </c>
    </row>
    <row r="272">
      <c r="A272" s="55">
        <f t="shared" si="2"/>
        <v>271</v>
      </c>
      <c r="B272" s="56" t="s">
        <v>403</v>
      </c>
      <c r="C272" s="55" t="s">
        <v>45</v>
      </c>
      <c r="D272" s="55">
        <v>1187.0</v>
      </c>
      <c r="E272" s="57" t="s">
        <v>379</v>
      </c>
      <c r="F272" s="2" t="s">
        <v>402</v>
      </c>
    </row>
    <row r="273">
      <c r="A273" s="55">
        <f t="shared" si="2"/>
        <v>272</v>
      </c>
      <c r="B273" s="56" t="s">
        <v>403</v>
      </c>
      <c r="C273" s="55" t="s">
        <v>52</v>
      </c>
      <c r="D273" s="55">
        <v>1253.0</v>
      </c>
      <c r="E273" s="57" t="s">
        <v>379</v>
      </c>
      <c r="F273" s="2" t="s">
        <v>402</v>
      </c>
    </row>
    <row r="274">
      <c r="A274" s="55">
        <f t="shared" si="2"/>
        <v>273</v>
      </c>
      <c r="B274" s="56" t="s">
        <v>403</v>
      </c>
      <c r="C274" s="55" t="s">
        <v>31</v>
      </c>
      <c r="D274" s="55">
        <v>1675.0</v>
      </c>
      <c r="E274" s="57" t="s">
        <v>379</v>
      </c>
      <c r="F274" s="2" t="s">
        <v>402</v>
      </c>
    </row>
    <row r="275">
      <c r="A275" s="55">
        <f t="shared" si="2"/>
        <v>274</v>
      </c>
      <c r="B275" s="56" t="s">
        <v>403</v>
      </c>
      <c r="C275" s="55" t="s">
        <v>33</v>
      </c>
      <c r="D275" s="55">
        <v>1451.0</v>
      </c>
      <c r="E275" s="57" t="s">
        <v>379</v>
      </c>
      <c r="F275" s="2" t="s">
        <v>402</v>
      </c>
    </row>
    <row r="276">
      <c r="A276" s="55">
        <f t="shared" si="2"/>
        <v>275</v>
      </c>
      <c r="B276" s="56" t="s">
        <v>403</v>
      </c>
      <c r="C276" s="55" t="s">
        <v>30</v>
      </c>
      <c r="D276" s="55">
        <v>1415.0</v>
      </c>
      <c r="E276" s="57" t="s">
        <v>379</v>
      </c>
      <c r="F276" s="2" t="s">
        <v>402</v>
      </c>
    </row>
    <row r="277">
      <c r="A277" s="55">
        <f t="shared" si="2"/>
        <v>276</v>
      </c>
      <c r="B277" s="56" t="s">
        <v>403</v>
      </c>
      <c r="C277" s="55" t="s">
        <v>28</v>
      </c>
      <c r="D277" s="55">
        <v>1622.0</v>
      </c>
      <c r="E277" s="57" t="s">
        <v>379</v>
      </c>
      <c r="F277" s="2" t="s">
        <v>402</v>
      </c>
    </row>
    <row r="278">
      <c r="A278" s="55">
        <f t="shared" si="2"/>
        <v>277</v>
      </c>
      <c r="B278" s="56" t="s">
        <v>408</v>
      </c>
      <c r="C278" s="55" t="s">
        <v>45</v>
      </c>
      <c r="D278" s="55">
        <v>1196.0</v>
      </c>
      <c r="E278" s="57" t="s">
        <v>379</v>
      </c>
      <c r="F278" s="2" t="s">
        <v>407</v>
      </c>
    </row>
    <row r="279">
      <c r="A279" s="55">
        <f t="shared" si="2"/>
        <v>278</v>
      </c>
      <c r="B279" s="56" t="s">
        <v>408</v>
      </c>
      <c r="C279" s="55" t="s">
        <v>30</v>
      </c>
      <c r="D279" s="55">
        <v>1394.0</v>
      </c>
      <c r="E279" s="57" t="s">
        <v>379</v>
      </c>
      <c r="F279" s="2" t="s">
        <v>407</v>
      </c>
    </row>
    <row r="280">
      <c r="A280" s="55">
        <f t="shared" si="2"/>
        <v>279</v>
      </c>
      <c r="B280" s="56" t="s">
        <v>408</v>
      </c>
      <c r="C280" s="55" t="s">
        <v>52</v>
      </c>
      <c r="D280" s="55">
        <v>1263.0</v>
      </c>
      <c r="E280" s="57" t="s">
        <v>379</v>
      </c>
      <c r="F280" s="2" t="s">
        <v>407</v>
      </c>
    </row>
    <row r="281">
      <c r="A281" s="55">
        <f t="shared" si="2"/>
        <v>280</v>
      </c>
      <c r="B281" s="56" t="s">
        <v>408</v>
      </c>
      <c r="C281" s="55" t="s">
        <v>28</v>
      </c>
      <c r="D281" s="55">
        <v>1611.0</v>
      </c>
      <c r="E281" s="57" t="s">
        <v>379</v>
      </c>
      <c r="F281" s="2" t="s">
        <v>407</v>
      </c>
    </row>
    <row r="282">
      <c r="A282" s="55">
        <f t="shared" si="2"/>
        <v>281</v>
      </c>
      <c r="B282" s="56" t="s">
        <v>408</v>
      </c>
      <c r="C282" s="55" t="s">
        <v>31</v>
      </c>
      <c r="D282" s="55">
        <v>1688.0</v>
      </c>
      <c r="E282" s="57" t="s">
        <v>379</v>
      </c>
      <c r="F282" s="2" t="s">
        <v>407</v>
      </c>
    </row>
    <row r="283">
      <c r="A283" s="55">
        <f t="shared" si="2"/>
        <v>282</v>
      </c>
      <c r="B283" s="56" t="s">
        <v>408</v>
      </c>
      <c r="C283" s="55" t="s">
        <v>33</v>
      </c>
      <c r="D283" s="55">
        <v>1434.0</v>
      </c>
      <c r="E283" s="57" t="s">
        <v>379</v>
      </c>
      <c r="F283" s="2" t="s">
        <v>407</v>
      </c>
    </row>
    <row r="284">
      <c r="A284" s="55">
        <f t="shared" si="2"/>
        <v>283</v>
      </c>
      <c r="B284" s="56" t="s">
        <v>412</v>
      </c>
      <c r="C284" s="55" t="s">
        <v>35</v>
      </c>
      <c r="D284" s="55">
        <v>1542.0</v>
      </c>
      <c r="E284" s="57" t="s">
        <v>379</v>
      </c>
      <c r="F284" s="2" t="s">
        <v>411</v>
      </c>
    </row>
    <row r="285">
      <c r="A285" s="55">
        <f t="shared" si="2"/>
        <v>284</v>
      </c>
      <c r="B285" s="56" t="s">
        <v>412</v>
      </c>
      <c r="C285" s="55" t="s">
        <v>39</v>
      </c>
      <c r="D285" s="55">
        <v>1561.0</v>
      </c>
      <c r="E285" s="57" t="s">
        <v>379</v>
      </c>
      <c r="F285" s="2" t="s">
        <v>411</v>
      </c>
    </row>
    <row r="286">
      <c r="A286" s="55">
        <f t="shared" si="2"/>
        <v>285</v>
      </c>
      <c r="B286" s="56" t="s">
        <v>412</v>
      </c>
      <c r="C286" s="55" t="s">
        <v>30</v>
      </c>
      <c r="D286" s="55">
        <v>1411.0</v>
      </c>
      <c r="E286" s="57" t="s">
        <v>379</v>
      </c>
      <c r="F286" s="2" t="s">
        <v>411</v>
      </c>
    </row>
    <row r="287">
      <c r="A287" s="55">
        <f t="shared" si="2"/>
        <v>286</v>
      </c>
      <c r="B287" s="56" t="s">
        <v>412</v>
      </c>
      <c r="C287" s="55" t="s">
        <v>26</v>
      </c>
      <c r="D287" s="55">
        <v>1727.0</v>
      </c>
      <c r="E287" s="57" t="s">
        <v>379</v>
      </c>
      <c r="F287" s="2" t="s">
        <v>411</v>
      </c>
    </row>
    <row r="288">
      <c r="A288" s="55">
        <f t="shared" si="2"/>
        <v>287</v>
      </c>
      <c r="B288" s="56" t="s">
        <v>412</v>
      </c>
      <c r="C288" s="55" t="s">
        <v>28</v>
      </c>
      <c r="D288" s="55">
        <v>1602.0</v>
      </c>
      <c r="E288" s="57" t="s">
        <v>379</v>
      </c>
      <c r="F288" s="2" t="s">
        <v>411</v>
      </c>
    </row>
    <row r="289">
      <c r="A289" s="55">
        <f t="shared" si="2"/>
        <v>288</v>
      </c>
      <c r="B289" s="56" t="s">
        <v>412</v>
      </c>
      <c r="C289" s="55" t="s">
        <v>34</v>
      </c>
      <c r="D289" s="55">
        <v>1241.0</v>
      </c>
      <c r="E289" s="57" t="s">
        <v>379</v>
      </c>
      <c r="F289" s="2" t="s">
        <v>411</v>
      </c>
    </row>
    <row r="290">
      <c r="A290" s="55">
        <f t="shared" si="2"/>
        <v>289</v>
      </c>
      <c r="B290" s="56" t="s">
        <v>412</v>
      </c>
      <c r="C290" s="55" t="s">
        <v>32</v>
      </c>
      <c r="D290" s="55">
        <v>1246.0</v>
      </c>
      <c r="E290" s="57" t="s">
        <v>379</v>
      </c>
      <c r="F290" s="2" t="s">
        <v>411</v>
      </c>
    </row>
    <row r="291">
      <c r="A291" s="55">
        <f t="shared" si="2"/>
        <v>290</v>
      </c>
      <c r="B291" s="56" t="s">
        <v>412</v>
      </c>
      <c r="C291" s="55" t="s">
        <v>31</v>
      </c>
      <c r="D291" s="55">
        <v>1679.0</v>
      </c>
      <c r="E291" s="57" t="s">
        <v>379</v>
      </c>
      <c r="F291" s="2" t="s">
        <v>411</v>
      </c>
    </row>
    <row r="292">
      <c r="A292" s="55">
        <f t="shared" si="2"/>
        <v>291</v>
      </c>
      <c r="B292" s="56" t="s">
        <v>417</v>
      </c>
      <c r="C292" s="55" t="s">
        <v>31</v>
      </c>
      <c r="D292" s="55">
        <v>1658.0</v>
      </c>
      <c r="E292" s="57" t="s">
        <v>379</v>
      </c>
      <c r="F292" s="2" t="s">
        <v>416</v>
      </c>
    </row>
    <row r="293">
      <c r="A293" s="55">
        <f t="shared" si="2"/>
        <v>292</v>
      </c>
      <c r="B293" s="56" t="s">
        <v>417</v>
      </c>
      <c r="C293" s="55" t="s">
        <v>35</v>
      </c>
      <c r="D293" s="55">
        <v>1558.0</v>
      </c>
      <c r="E293" s="57" t="s">
        <v>379</v>
      </c>
      <c r="F293" s="2" t="s">
        <v>416</v>
      </c>
    </row>
    <row r="294">
      <c r="A294" s="55">
        <f t="shared" si="2"/>
        <v>293</v>
      </c>
      <c r="B294" s="56" t="s">
        <v>417</v>
      </c>
      <c r="C294" s="55" t="s">
        <v>34</v>
      </c>
      <c r="D294" s="55">
        <v>1210.0</v>
      </c>
      <c r="E294" s="57" t="s">
        <v>379</v>
      </c>
      <c r="F294" s="2" t="s">
        <v>416</v>
      </c>
    </row>
    <row r="295">
      <c r="A295" s="55">
        <f t="shared" si="2"/>
        <v>294</v>
      </c>
      <c r="B295" s="56" t="s">
        <v>417</v>
      </c>
      <c r="C295" s="55" t="s">
        <v>39</v>
      </c>
      <c r="D295" s="55">
        <v>1577.0</v>
      </c>
      <c r="E295" s="57" t="s">
        <v>379</v>
      </c>
      <c r="F295" s="2" t="s">
        <v>416</v>
      </c>
    </row>
    <row r="296">
      <c r="A296" s="55">
        <f t="shared" si="2"/>
        <v>295</v>
      </c>
      <c r="B296" s="56" t="s">
        <v>417</v>
      </c>
      <c r="C296" s="55" t="s">
        <v>32</v>
      </c>
      <c r="D296" s="55">
        <v>1215.0</v>
      </c>
      <c r="E296" s="57" t="s">
        <v>379</v>
      </c>
      <c r="F296" s="2" t="s">
        <v>416</v>
      </c>
    </row>
    <row r="297">
      <c r="A297" s="55">
        <f t="shared" si="2"/>
        <v>296</v>
      </c>
      <c r="B297" s="56" t="s">
        <v>417</v>
      </c>
      <c r="C297" s="55" t="s">
        <v>28</v>
      </c>
      <c r="D297" s="55">
        <v>1582.0</v>
      </c>
      <c r="E297" s="57" t="s">
        <v>379</v>
      </c>
      <c r="F297" s="2" t="s">
        <v>416</v>
      </c>
    </row>
    <row r="298">
      <c r="A298" s="55">
        <f t="shared" si="2"/>
        <v>297</v>
      </c>
      <c r="B298" s="56" t="s">
        <v>417</v>
      </c>
      <c r="C298" s="55" t="s">
        <v>26</v>
      </c>
      <c r="D298" s="55">
        <v>1745.0</v>
      </c>
      <c r="E298" s="57" t="s">
        <v>379</v>
      </c>
      <c r="F298" s="2" t="s">
        <v>416</v>
      </c>
    </row>
    <row r="299">
      <c r="A299" s="55">
        <f t="shared" si="2"/>
        <v>298</v>
      </c>
      <c r="B299" s="56" t="s">
        <v>417</v>
      </c>
      <c r="C299" s="55" t="s">
        <v>30</v>
      </c>
      <c r="D299" s="55">
        <v>1425.0</v>
      </c>
      <c r="E299" s="57" t="s">
        <v>379</v>
      </c>
      <c r="F299" s="2" t="s">
        <v>416</v>
      </c>
    </row>
    <row r="300">
      <c r="A300" s="55">
        <f t="shared" si="2"/>
        <v>299</v>
      </c>
      <c r="B300" s="56" t="s">
        <v>421</v>
      </c>
      <c r="C300" s="55" t="s">
        <v>30</v>
      </c>
      <c r="D300" s="55">
        <v>1396.0</v>
      </c>
      <c r="E300" s="57" t="s">
        <v>379</v>
      </c>
      <c r="F300" s="2" t="s">
        <v>420</v>
      </c>
    </row>
    <row r="301">
      <c r="A301" s="55">
        <f t="shared" si="2"/>
        <v>300</v>
      </c>
      <c r="B301" s="56" t="s">
        <v>421</v>
      </c>
      <c r="C301" s="55" t="s">
        <v>34</v>
      </c>
      <c r="D301" s="55">
        <v>1223.0</v>
      </c>
      <c r="E301" s="57" t="s">
        <v>379</v>
      </c>
      <c r="F301" s="2" t="s">
        <v>420</v>
      </c>
    </row>
    <row r="302">
      <c r="A302" s="55">
        <f t="shared" si="2"/>
        <v>301</v>
      </c>
      <c r="B302" s="56" t="s">
        <v>421</v>
      </c>
      <c r="C302" s="55" t="s">
        <v>50</v>
      </c>
      <c r="D302" s="55">
        <v>1171.0</v>
      </c>
      <c r="E302" s="57" t="s">
        <v>379</v>
      </c>
      <c r="F302" s="2" t="s">
        <v>420</v>
      </c>
    </row>
    <row r="303">
      <c r="A303" s="55">
        <f t="shared" si="2"/>
        <v>302</v>
      </c>
      <c r="B303" s="56" t="s">
        <v>421</v>
      </c>
      <c r="C303" s="55" t="s">
        <v>39</v>
      </c>
      <c r="D303" s="55">
        <v>1595.0</v>
      </c>
      <c r="E303" s="57" t="s">
        <v>379</v>
      </c>
      <c r="F303" s="2" t="s">
        <v>420</v>
      </c>
    </row>
    <row r="304">
      <c r="A304" s="55">
        <f t="shared" si="2"/>
        <v>303</v>
      </c>
      <c r="B304" s="56" t="s">
        <v>421</v>
      </c>
      <c r="C304" s="55" t="s">
        <v>26</v>
      </c>
      <c r="D304" s="55">
        <v>1729.0</v>
      </c>
      <c r="E304" s="57" t="s">
        <v>379</v>
      </c>
      <c r="F304" s="2" t="s">
        <v>420</v>
      </c>
    </row>
    <row r="305">
      <c r="A305" s="55">
        <f t="shared" si="2"/>
        <v>304</v>
      </c>
      <c r="B305" s="56" t="s">
        <v>421</v>
      </c>
      <c r="C305" s="55" t="s">
        <v>27</v>
      </c>
      <c r="D305" s="55">
        <v>1698.0</v>
      </c>
      <c r="E305" s="57" t="s">
        <v>379</v>
      </c>
      <c r="F305" s="2" t="s">
        <v>420</v>
      </c>
    </row>
    <row r="306">
      <c r="A306" s="55">
        <f t="shared" si="2"/>
        <v>305</v>
      </c>
      <c r="B306" s="56" t="s">
        <v>421</v>
      </c>
      <c r="C306" s="55" t="s">
        <v>35</v>
      </c>
      <c r="D306" s="55">
        <v>1576.0</v>
      </c>
      <c r="E306" s="57" t="s">
        <v>379</v>
      </c>
      <c r="F306" s="2" t="s">
        <v>420</v>
      </c>
    </row>
    <row r="307">
      <c r="A307" s="55">
        <f t="shared" si="2"/>
        <v>306</v>
      </c>
      <c r="B307" s="56" t="s">
        <v>421</v>
      </c>
      <c r="C307" s="55" t="s">
        <v>36</v>
      </c>
      <c r="D307" s="55">
        <v>1424.0</v>
      </c>
      <c r="E307" s="57" t="s">
        <v>379</v>
      </c>
      <c r="F307" s="2" t="s">
        <v>420</v>
      </c>
    </row>
    <row r="308">
      <c r="A308" s="55">
        <f t="shared" si="2"/>
        <v>307</v>
      </c>
      <c r="B308" s="56" t="s">
        <v>426</v>
      </c>
      <c r="C308" s="55" t="s">
        <v>33</v>
      </c>
      <c r="D308" s="55">
        <v>1420.0</v>
      </c>
      <c r="E308" s="57" t="s">
        <v>379</v>
      </c>
      <c r="F308" s="2" t="s">
        <v>425</v>
      </c>
    </row>
    <row r="309">
      <c r="A309" s="55">
        <f t="shared" si="2"/>
        <v>308</v>
      </c>
      <c r="B309" s="56" t="s">
        <v>426</v>
      </c>
      <c r="C309" s="55" t="s">
        <v>36</v>
      </c>
      <c r="D309" s="55">
        <v>1405.0</v>
      </c>
      <c r="E309" s="57" t="s">
        <v>379</v>
      </c>
      <c r="F309" s="2" t="s">
        <v>425</v>
      </c>
    </row>
    <row r="310">
      <c r="A310" s="55">
        <f t="shared" si="2"/>
        <v>309</v>
      </c>
      <c r="B310" s="56" t="s">
        <v>426</v>
      </c>
      <c r="C310" s="55" t="s">
        <v>39</v>
      </c>
      <c r="D310" s="55">
        <v>1608.0</v>
      </c>
      <c r="E310" s="57" t="s">
        <v>379</v>
      </c>
      <c r="F310" s="2" t="s">
        <v>425</v>
      </c>
    </row>
    <row r="311">
      <c r="A311" s="55">
        <f t="shared" si="2"/>
        <v>310</v>
      </c>
      <c r="B311" s="56" t="s">
        <v>426</v>
      </c>
      <c r="C311" s="55" t="s">
        <v>50</v>
      </c>
      <c r="D311" s="55">
        <v>1180.0</v>
      </c>
      <c r="E311" s="57" t="s">
        <v>379</v>
      </c>
      <c r="F311" s="2" t="s">
        <v>425</v>
      </c>
    </row>
    <row r="312">
      <c r="A312" s="55">
        <f t="shared" si="2"/>
        <v>311</v>
      </c>
      <c r="B312" s="56" t="s">
        <v>426</v>
      </c>
      <c r="C312" s="55" t="s">
        <v>35</v>
      </c>
      <c r="D312" s="55">
        <v>1562.0</v>
      </c>
      <c r="E312" s="57" t="s">
        <v>379</v>
      </c>
      <c r="F312" s="2" t="s">
        <v>425</v>
      </c>
    </row>
    <row r="313">
      <c r="A313" s="55">
        <f t="shared" si="2"/>
        <v>312</v>
      </c>
      <c r="B313" s="56" t="s">
        <v>426</v>
      </c>
      <c r="C313" s="55" t="s">
        <v>26</v>
      </c>
      <c r="D313" s="55">
        <v>1717.0</v>
      </c>
      <c r="E313" s="57" t="s">
        <v>379</v>
      </c>
      <c r="F313" s="2" t="s">
        <v>425</v>
      </c>
    </row>
    <row r="314">
      <c r="A314" s="55">
        <f t="shared" si="2"/>
        <v>313</v>
      </c>
      <c r="B314" s="56" t="s">
        <v>426</v>
      </c>
      <c r="C314" s="55" t="s">
        <v>30</v>
      </c>
      <c r="D314" s="55">
        <v>1407.0</v>
      </c>
      <c r="E314" s="57" t="s">
        <v>379</v>
      </c>
      <c r="F314" s="2" t="s">
        <v>425</v>
      </c>
    </row>
    <row r="315">
      <c r="A315" s="55">
        <f t="shared" si="2"/>
        <v>314</v>
      </c>
      <c r="B315" s="56" t="s">
        <v>426</v>
      </c>
      <c r="C315" s="55" t="s">
        <v>34</v>
      </c>
      <c r="D315" s="55">
        <v>1232.0</v>
      </c>
      <c r="E315" s="57" t="s">
        <v>379</v>
      </c>
      <c r="F315" s="2" t="s">
        <v>425</v>
      </c>
    </row>
    <row r="316">
      <c r="A316" s="55">
        <f t="shared" si="2"/>
        <v>315</v>
      </c>
      <c r="B316" s="56" t="s">
        <v>430</v>
      </c>
      <c r="C316" s="55" t="s">
        <v>28</v>
      </c>
      <c r="D316" s="55">
        <v>1563.0</v>
      </c>
      <c r="E316" s="57" t="s">
        <v>379</v>
      </c>
      <c r="F316" s="2" t="s">
        <v>429</v>
      </c>
    </row>
    <row r="317">
      <c r="A317" s="55">
        <f t="shared" si="2"/>
        <v>316</v>
      </c>
      <c r="B317" s="56" t="s">
        <v>430</v>
      </c>
      <c r="C317" s="55" t="s">
        <v>31</v>
      </c>
      <c r="D317" s="55">
        <v>1677.0</v>
      </c>
      <c r="E317" s="57" t="s">
        <v>379</v>
      </c>
      <c r="F317" s="2" t="s">
        <v>429</v>
      </c>
    </row>
    <row r="318">
      <c r="A318" s="55">
        <f t="shared" si="2"/>
        <v>317</v>
      </c>
      <c r="B318" s="56" t="s">
        <v>430</v>
      </c>
      <c r="C318" s="55" t="s">
        <v>27</v>
      </c>
      <c r="D318" s="55">
        <v>1687.0</v>
      </c>
      <c r="E318" s="57" t="s">
        <v>379</v>
      </c>
      <c r="F318" s="2" t="s">
        <v>429</v>
      </c>
    </row>
    <row r="319">
      <c r="A319" s="55">
        <f t="shared" si="2"/>
        <v>318</v>
      </c>
      <c r="B319" s="56" t="s">
        <v>430</v>
      </c>
      <c r="C319" s="55" t="s">
        <v>33</v>
      </c>
      <c r="D319" s="55">
        <v>1432.0</v>
      </c>
      <c r="E319" s="57" t="s">
        <v>379</v>
      </c>
      <c r="F319" s="2" t="s">
        <v>429</v>
      </c>
    </row>
    <row r="320">
      <c r="A320" s="55">
        <f t="shared" si="2"/>
        <v>319</v>
      </c>
      <c r="B320" s="56" t="s">
        <v>430</v>
      </c>
      <c r="C320" s="55" t="s">
        <v>30</v>
      </c>
      <c r="D320" s="55">
        <v>1381.0</v>
      </c>
      <c r="E320" s="57" t="s">
        <v>379</v>
      </c>
      <c r="F320" s="2" t="s">
        <v>429</v>
      </c>
    </row>
    <row r="321">
      <c r="A321" s="55">
        <f t="shared" si="2"/>
        <v>320</v>
      </c>
      <c r="B321" s="56" t="s">
        <v>430</v>
      </c>
      <c r="C321" s="55" t="s">
        <v>26</v>
      </c>
      <c r="D321" s="55">
        <v>1703.0</v>
      </c>
      <c r="E321" s="57" t="s">
        <v>379</v>
      </c>
      <c r="F321" s="2" t="s">
        <v>429</v>
      </c>
    </row>
    <row r="322">
      <c r="A322" s="55">
        <f t="shared" si="2"/>
        <v>321</v>
      </c>
      <c r="B322" s="56" t="s">
        <v>430</v>
      </c>
      <c r="C322" s="55" t="s">
        <v>35</v>
      </c>
      <c r="D322" s="55">
        <v>1546.0</v>
      </c>
      <c r="E322" s="57" t="s">
        <v>379</v>
      </c>
      <c r="F322" s="2" t="s">
        <v>429</v>
      </c>
    </row>
    <row r="323">
      <c r="A323" s="55">
        <f t="shared" si="2"/>
        <v>322</v>
      </c>
      <c r="B323" s="56" t="s">
        <v>430</v>
      </c>
      <c r="C323" s="55" t="s">
        <v>42</v>
      </c>
      <c r="D323" s="55">
        <v>1546.0</v>
      </c>
      <c r="E323" s="57" t="s">
        <v>379</v>
      </c>
      <c r="F323" s="2" t="s">
        <v>429</v>
      </c>
    </row>
    <row r="324">
      <c r="A324" s="55">
        <f t="shared" si="2"/>
        <v>323</v>
      </c>
      <c r="B324" s="56" t="s">
        <v>435</v>
      </c>
      <c r="C324" s="55" t="s">
        <v>33</v>
      </c>
      <c r="D324" s="55">
        <v>1442.0</v>
      </c>
      <c r="E324" s="57" t="s">
        <v>379</v>
      </c>
      <c r="F324" s="2" t="s">
        <v>434</v>
      </c>
    </row>
    <row r="325">
      <c r="A325" s="55">
        <f t="shared" si="2"/>
        <v>324</v>
      </c>
      <c r="B325" s="56" t="s">
        <v>435</v>
      </c>
      <c r="C325" s="55" t="s">
        <v>28</v>
      </c>
      <c r="D325" s="55">
        <v>1574.0</v>
      </c>
      <c r="E325" s="57" t="s">
        <v>379</v>
      </c>
      <c r="F325" s="2" t="s">
        <v>434</v>
      </c>
    </row>
    <row r="326">
      <c r="A326" s="55">
        <f t="shared" si="2"/>
        <v>325</v>
      </c>
      <c r="B326" s="56" t="s">
        <v>435</v>
      </c>
      <c r="C326" s="55" t="s">
        <v>30</v>
      </c>
      <c r="D326" s="55">
        <v>1347.0</v>
      </c>
      <c r="E326" s="57" t="s">
        <v>379</v>
      </c>
      <c r="F326" s="2" t="s">
        <v>434</v>
      </c>
    </row>
    <row r="327">
      <c r="A327" s="55">
        <f t="shared" si="2"/>
        <v>326</v>
      </c>
      <c r="B327" s="56" t="s">
        <v>435</v>
      </c>
      <c r="C327" s="55" t="s">
        <v>26</v>
      </c>
      <c r="D327" s="55">
        <v>1682.0</v>
      </c>
      <c r="E327" s="57" t="s">
        <v>379</v>
      </c>
      <c r="F327" s="2" t="s">
        <v>434</v>
      </c>
    </row>
    <row r="328">
      <c r="A328" s="55">
        <f t="shared" si="2"/>
        <v>327</v>
      </c>
      <c r="B328" s="56" t="s">
        <v>435</v>
      </c>
      <c r="C328" s="55" t="s">
        <v>31</v>
      </c>
      <c r="D328" s="55">
        <v>1689.0</v>
      </c>
      <c r="E328" s="57" t="s">
        <v>379</v>
      </c>
      <c r="F328" s="2" t="s">
        <v>434</v>
      </c>
    </row>
    <row r="329">
      <c r="A329" s="55">
        <f t="shared" si="2"/>
        <v>328</v>
      </c>
      <c r="B329" s="56" t="s">
        <v>435</v>
      </c>
      <c r="C329" s="55" t="s">
        <v>35</v>
      </c>
      <c r="D329" s="55">
        <v>1523.0</v>
      </c>
      <c r="E329" s="57" t="s">
        <v>379</v>
      </c>
      <c r="F329" s="2" t="s">
        <v>434</v>
      </c>
    </row>
    <row r="330">
      <c r="A330" s="55">
        <f t="shared" si="2"/>
        <v>329</v>
      </c>
      <c r="B330" s="56" t="s">
        <v>435</v>
      </c>
      <c r="C330" s="55" t="s">
        <v>42</v>
      </c>
      <c r="D330" s="55">
        <v>1523.0</v>
      </c>
      <c r="E330" s="57" t="s">
        <v>379</v>
      </c>
      <c r="F330" s="2" t="s">
        <v>434</v>
      </c>
    </row>
    <row r="331">
      <c r="A331" s="55">
        <f t="shared" si="2"/>
        <v>330</v>
      </c>
      <c r="B331" s="56" t="s">
        <v>435</v>
      </c>
      <c r="C331" s="55" t="s">
        <v>27</v>
      </c>
      <c r="D331" s="55">
        <v>1699.0</v>
      </c>
      <c r="E331" s="57" t="s">
        <v>379</v>
      </c>
      <c r="F331" s="2" t="s">
        <v>434</v>
      </c>
    </row>
    <row r="332">
      <c r="A332" s="55">
        <f t="shared" si="2"/>
        <v>331</v>
      </c>
      <c r="B332" s="56" t="s">
        <v>439</v>
      </c>
      <c r="C332" s="55" t="s">
        <v>35</v>
      </c>
      <c r="D332" s="55">
        <v>1502.0</v>
      </c>
      <c r="E332" s="57" t="s">
        <v>379</v>
      </c>
      <c r="F332" s="2" t="s">
        <v>438</v>
      </c>
    </row>
    <row r="333">
      <c r="A333" s="55">
        <f t="shared" si="2"/>
        <v>332</v>
      </c>
      <c r="B333" s="56" t="s">
        <v>439</v>
      </c>
      <c r="C333" s="55" t="s">
        <v>45</v>
      </c>
      <c r="D333" s="55">
        <v>1210.0</v>
      </c>
      <c r="E333" s="57" t="s">
        <v>379</v>
      </c>
      <c r="F333" s="2" t="s">
        <v>438</v>
      </c>
    </row>
    <row r="334">
      <c r="A334" s="55">
        <f t="shared" si="2"/>
        <v>333</v>
      </c>
      <c r="B334" s="56" t="s">
        <v>439</v>
      </c>
      <c r="C334" s="55" t="s">
        <v>32</v>
      </c>
      <c r="D334" s="55">
        <v>1185.0</v>
      </c>
      <c r="E334" s="57" t="s">
        <v>379</v>
      </c>
      <c r="F334" s="2" t="s">
        <v>438</v>
      </c>
    </row>
    <row r="335">
      <c r="A335" s="55">
        <f t="shared" si="2"/>
        <v>334</v>
      </c>
      <c r="B335" s="56" t="s">
        <v>439</v>
      </c>
      <c r="C335" s="55" t="s">
        <v>30</v>
      </c>
      <c r="D335" s="55">
        <v>1362.0</v>
      </c>
      <c r="E335" s="57" t="s">
        <v>379</v>
      </c>
      <c r="F335" s="2" t="s">
        <v>438</v>
      </c>
    </row>
    <row r="336">
      <c r="A336" s="55">
        <f t="shared" si="2"/>
        <v>335</v>
      </c>
      <c r="B336" s="56" t="s">
        <v>439</v>
      </c>
      <c r="C336" s="55" t="s">
        <v>26</v>
      </c>
      <c r="D336" s="55">
        <v>1702.0</v>
      </c>
      <c r="E336" s="57" t="s">
        <v>379</v>
      </c>
      <c r="F336" s="2" t="s">
        <v>438</v>
      </c>
    </row>
    <row r="337">
      <c r="A337" s="55">
        <f t="shared" si="2"/>
        <v>336</v>
      </c>
      <c r="B337" s="56" t="s">
        <v>439</v>
      </c>
      <c r="C337" s="55" t="s">
        <v>39</v>
      </c>
      <c r="D337" s="55">
        <v>1622.0</v>
      </c>
      <c r="E337" s="57" t="s">
        <v>379</v>
      </c>
      <c r="F337" s="2" t="s">
        <v>438</v>
      </c>
    </row>
    <row r="338">
      <c r="A338" s="55">
        <f t="shared" si="2"/>
        <v>337</v>
      </c>
      <c r="B338" s="56" t="s">
        <v>443</v>
      </c>
      <c r="C338" s="55" t="s">
        <v>32</v>
      </c>
      <c r="D338" s="55">
        <v>1196.0</v>
      </c>
      <c r="E338" s="57" t="s">
        <v>379</v>
      </c>
      <c r="F338" s="2" t="s">
        <v>442</v>
      </c>
    </row>
    <row r="339">
      <c r="A339" s="55">
        <f t="shared" si="2"/>
        <v>338</v>
      </c>
      <c r="B339" s="56" t="s">
        <v>443</v>
      </c>
      <c r="C339" s="55" t="s">
        <v>26</v>
      </c>
      <c r="D339" s="55">
        <v>1690.0</v>
      </c>
      <c r="E339" s="57" t="s">
        <v>379</v>
      </c>
      <c r="F339" s="2" t="s">
        <v>442</v>
      </c>
    </row>
    <row r="340">
      <c r="A340" s="55">
        <f t="shared" si="2"/>
        <v>339</v>
      </c>
      <c r="B340" s="56" t="s">
        <v>443</v>
      </c>
      <c r="C340" s="55" t="s">
        <v>45</v>
      </c>
      <c r="D340" s="55">
        <v>1221.0</v>
      </c>
      <c r="E340" s="57" t="s">
        <v>379</v>
      </c>
      <c r="F340" s="2" t="s">
        <v>442</v>
      </c>
    </row>
    <row r="341">
      <c r="A341" s="55">
        <f t="shared" si="2"/>
        <v>340</v>
      </c>
      <c r="B341" s="56" t="s">
        <v>443</v>
      </c>
      <c r="C341" s="55" t="s">
        <v>35</v>
      </c>
      <c r="D341" s="55">
        <v>1516.0</v>
      </c>
      <c r="E341" s="57" t="s">
        <v>379</v>
      </c>
      <c r="F341" s="2" t="s">
        <v>442</v>
      </c>
    </row>
    <row r="342">
      <c r="A342" s="55">
        <f t="shared" si="2"/>
        <v>341</v>
      </c>
      <c r="B342" s="56" t="s">
        <v>443</v>
      </c>
      <c r="C342" s="55" t="s">
        <v>30</v>
      </c>
      <c r="D342" s="55">
        <v>1375.0</v>
      </c>
      <c r="E342" s="57" t="s">
        <v>379</v>
      </c>
      <c r="F342" s="2" t="s">
        <v>442</v>
      </c>
    </row>
    <row r="343">
      <c r="A343" s="55">
        <f t="shared" si="2"/>
        <v>342</v>
      </c>
      <c r="B343" s="56" t="s">
        <v>443</v>
      </c>
      <c r="C343" s="55" t="s">
        <v>39</v>
      </c>
      <c r="D343" s="55">
        <v>1608.0</v>
      </c>
      <c r="E343" s="57" t="s">
        <v>379</v>
      </c>
      <c r="F343" s="2" t="s">
        <v>442</v>
      </c>
    </row>
    <row r="344">
      <c r="A344" s="55">
        <f t="shared" si="2"/>
        <v>343</v>
      </c>
      <c r="B344" s="56" t="s">
        <v>447</v>
      </c>
      <c r="C344" s="55" t="s">
        <v>26</v>
      </c>
      <c r="D344" s="55">
        <v>1703.0</v>
      </c>
      <c r="E344" s="57" t="s">
        <v>379</v>
      </c>
      <c r="F344" s="2" t="s">
        <v>446</v>
      </c>
    </row>
    <row r="345">
      <c r="A345" s="55">
        <f t="shared" si="2"/>
        <v>344</v>
      </c>
      <c r="B345" s="56" t="s">
        <v>447</v>
      </c>
      <c r="C345" s="55" t="s">
        <v>45</v>
      </c>
      <c r="D345" s="55">
        <v>1230.0</v>
      </c>
      <c r="E345" s="57" t="s">
        <v>379</v>
      </c>
      <c r="F345" s="2" t="s">
        <v>446</v>
      </c>
    </row>
    <row r="346">
      <c r="A346" s="55">
        <f t="shared" si="2"/>
        <v>345</v>
      </c>
      <c r="B346" s="56" t="s">
        <v>447</v>
      </c>
      <c r="C346" s="55" t="s">
        <v>32</v>
      </c>
      <c r="D346" s="55">
        <v>1205.0</v>
      </c>
      <c r="E346" s="57" t="s">
        <v>379</v>
      </c>
      <c r="F346" s="2" t="s">
        <v>446</v>
      </c>
    </row>
    <row r="347">
      <c r="A347" s="55">
        <f t="shared" si="2"/>
        <v>346</v>
      </c>
      <c r="B347" s="56" t="s">
        <v>447</v>
      </c>
      <c r="C347" s="55" t="s">
        <v>31</v>
      </c>
      <c r="D347" s="55">
        <v>1670.0</v>
      </c>
      <c r="E347" s="57" t="s">
        <v>379</v>
      </c>
      <c r="F347" s="2" t="s">
        <v>446</v>
      </c>
    </row>
    <row r="348">
      <c r="A348" s="55">
        <f t="shared" si="2"/>
        <v>347</v>
      </c>
      <c r="B348" s="56" t="s">
        <v>447</v>
      </c>
      <c r="C348" s="55" t="s">
        <v>39</v>
      </c>
      <c r="D348" s="55">
        <v>1594.0</v>
      </c>
      <c r="E348" s="57" t="s">
        <v>379</v>
      </c>
      <c r="F348" s="2" t="s">
        <v>446</v>
      </c>
    </row>
    <row r="349">
      <c r="A349" s="55">
        <f t="shared" si="2"/>
        <v>348</v>
      </c>
      <c r="B349" s="56" t="s">
        <v>447</v>
      </c>
      <c r="C349" s="55" t="s">
        <v>27</v>
      </c>
      <c r="D349" s="55">
        <v>1684.0</v>
      </c>
      <c r="E349" s="57" t="s">
        <v>379</v>
      </c>
      <c r="F349" s="2" t="s">
        <v>446</v>
      </c>
    </row>
    <row r="350">
      <c r="A350" s="55">
        <f t="shared" si="2"/>
        <v>349</v>
      </c>
      <c r="B350" s="56" t="s">
        <v>447</v>
      </c>
      <c r="C350" s="55" t="s">
        <v>35</v>
      </c>
      <c r="D350" s="55">
        <v>1502.0</v>
      </c>
      <c r="E350" s="57" t="s">
        <v>379</v>
      </c>
      <c r="F350" s="2" t="s">
        <v>446</v>
      </c>
    </row>
    <row r="351">
      <c r="A351" s="55">
        <f t="shared" si="2"/>
        <v>350</v>
      </c>
      <c r="B351" s="56" t="s">
        <v>447</v>
      </c>
      <c r="C351" s="55" t="s">
        <v>30</v>
      </c>
      <c r="D351" s="55">
        <v>1352.0</v>
      </c>
      <c r="E351" s="57" t="s">
        <v>379</v>
      </c>
      <c r="F351" s="2" t="s">
        <v>446</v>
      </c>
    </row>
    <row r="352">
      <c r="A352" s="55">
        <f t="shared" si="2"/>
        <v>351</v>
      </c>
      <c r="B352" s="56" t="s">
        <v>451</v>
      </c>
      <c r="C352" s="55" t="s">
        <v>31</v>
      </c>
      <c r="D352" s="55">
        <v>1684.0</v>
      </c>
      <c r="E352" s="57" t="s">
        <v>379</v>
      </c>
      <c r="F352" s="2" t="s">
        <v>450</v>
      </c>
    </row>
    <row r="353">
      <c r="A353" s="55">
        <f t="shared" si="2"/>
        <v>352</v>
      </c>
      <c r="B353" s="56" t="s">
        <v>451</v>
      </c>
      <c r="C353" s="55" t="s">
        <v>32</v>
      </c>
      <c r="D353" s="55">
        <v>1215.0</v>
      </c>
      <c r="E353" s="57" t="s">
        <v>379</v>
      </c>
      <c r="F353" s="2" t="s">
        <v>450</v>
      </c>
    </row>
    <row r="354">
      <c r="A354" s="55">
        <f t="shared" si="2"/>
        <v>353</v>
      </c>
      <c r="B354" s="56" t="s">
        <v>451</v>
      </c>
      <c r="C354" s="55" t="s">
        <v>45</v>
      </c>
      <c r="D354" s="55">
        <v>1240.0</v>
      </c>
      <c r="E354" s="57" t="s">
        <v>379</v>
      </c>
      <c r="F354" s="2" t="s">
        <v>450</v>
      </c>
    </row>
    <row r="355">
      <c r="A355" s="55">
        <f t="shared" si="2"/>
        <v>354</v>
      </c>
      <c r="B355" s="56" t="s">
        <v>451</v>
      </c>
      <c r="C355" s="55" t="s">
        <v>39</v>
      </c>
      <c r="D355" s="55">
        <v>1574.0</v>
      </c>
      <c r="E355" s="57" t="s">
        <v>379</v>
      </c>
      <c r="F355" s="2" t="s">
        <v>450</v>
      </c>
    </row>
    <row r="356">
      <c r="A356" s="55">
        <f t="shared" si="2"/>
        <v>355</v>
      </c>
      <c r="B356" s="56" t="s">
        <v>451</v>
      </c>
      <c r="C356" s="55" t="s">
        <v>26</v>
      </c>
      <c r="D356" s="55">
        <v>1718.0</v>
      </c>
      <c r="E356" s="57" t="s">
        <v>379</v>
      </c>
      <c r="F356" s="2" t="s">
        <v>450</v>
      </c>
    </row>
    <row r="357">
      <c r="A357" s="55">
        <f t="shared" si="2"/>
        <v>356</v>
      </c>
      <c r="B357" s="56" t="s">
        <v>451</v>
      </c>
      <c r="C357" s="55" t="s">
        <v>33</v>
      </c>
      <c r="D357" s="55">
        <v>1458.0</v>
      </c>
      <c r="E357" s="57" t="s">
        <v>379</v>
      </c>
      <c r="F357" s="2" t="s">
        <v>450</v>
      </c>
    </row>
    <row r="358">
      <c r="A358" s="55">
        <f t="shared" si="2"/>
        <v>357</v>
      </c>
      <c r="B358" s="56" t="s">
        <v>451</v>
      </c>
      <c r="C358" s="55" t="s">
        <v>29</v>
      </c>
      <c r="D358" s="55">
        <v>1435.0</v>
      </c>
      <c r="E358" s="57" t="s">
        <v>379</v>
      </c>
      <c r="F358" s="2" t="s">
        <v>450</v>
      </c>
    </row>
    <row r="359">
      <c r="A359" s="55">
        <f t="shared" si="2"/>
        <v>358</v>
      </c>
      <c r="B359" s="56" t="s">
        <v>451</v>
      </c>
      <c r="C359" s="55" t="s">
        <v>30</v>
      </c>
      <c r="D359" s="55">
        <v>1322.0</v>
      </c>
      <c r="E359" s="57" t="s">
        <v>379</v>
      </c>
      <c r="F359" s="2" t="s">
        <v>450</v>
      </c>
    </row>
    <row r="360">
      <c r="A360" s="55">
        <f t="shared" si="2"/>
        <v>359</v>
      </c>
      <c r="B360" s="56" t="s">
        <v>456</v>
      </c>
      <c r="C360" s="55" t="s">
        <v>39</v>
      </c>
      <c r="D360" s="55">
        <v>1594.0</v>
      </c>
      <c r="E360" s="57" t="s">
        <v>379</v>
      </c>
      <c r="F360" s="2" t="s">
        <v>455</v>
      </c>
    </row>
    <row r="361">
      <c r="A361" s="55">
        <f t="shared" si="2"/>
        <v>360</v>
      </c>
      <c r="B361" s="56" t="s">
        <v>456</v>
      </c>
      <c r="C361" s="55" t="s">
        <v>33</v>
      </c>
      <c r="D361" s="55">
        <v>1437.0</v>
      </c>
      <c r="E361" s="57" t="s">
        <v>379</v>
      </c>
      <c r="F361" s="2" t="s">
        <v>455</v>
      </c>
    </row>
    <row r="362">
      <c r="A362" s="55">
        <f t="shared" si="2"/>
        <v>361</v>
      </c>
      <c r="B362" s="56" t="s">
        <v>456</v>
      </c>
      <c r="C362" s="55" t="s">
        <v>27</v>
      </c>
      <c r="D362" s="55">
        <v>1670.0</v>
      </c>
      <c r="E362" s="57" t="s">
        <v>379</v>
      </c>
      <c r="F362" s="2" t="s">
        <v>455</v>
      </c>
    </row>
    <row r="363">
      <c r="A363" s="55">
        <f t="shared" si="2"/>
        <v>362</v>
      </c>
      <c r="B363" s="56" t="s">
        <v>456</v>
      </c>
      <c r="C363" s="55" t="s">
        <v>26</v>
      </c>
      <c r="D363" s="55">
        <v>1703.0</v>
      </c>
      <c r="E363" s="57" t="s">
        <v>379</v>
      </c>
      <c r="F363" s="2" t="s">
        <v>455</v>
      </c>
    </row>
    <row r="364">
      <c r="A364" s="55">
        <f t="shared" si="2"/>
        <v>363</v>
      </c>
      <c r="B364" s="56" t="s">
        <v>456</v>
      </c>
      <c r="C364" s="55" t="s">
        <v>31</v>
      </c>
      <c r="D364" s="55">
        <v>1705.0</v>
      </c>
      <c r="E364" s="57" t="s">
        <v>379</v>
      </c>
      <c r="F364" s="2" t="s">
        <v>455</v>
      </c>
    </row>
    <row r="365">
      <c r="A365" s="55">
        <f t="shared" si="2"/>
        <v>364</v>
      </c>
      <c r="B365" s="56" t="s">
        <v>456</v>
      </c>
      <c r="C365" s="55" t="s">
        <v>28</v>
      </c>
      <c r="D365" s="55">
        <v>1592.0</v>
      </c>
      <c r="E365" s="57" t="s">
        <v>379</v>
      </c>
      <c r="F365" s="2" t="s">
        <v>455</v>
      </c>
    </row>
    <row r="366">
      <c r="A366" s="55">
        <f t="shared" si="2"/>
        <v>365</v>
      </c>
      <c r="B366" s="56" t="s">
        <v>456</v>
      </c>
      <c r="C366" s="55" t="s">
        <v>29</v>
      </c>
      <c r="D366" s="55">
        <v>1409.0</v>
      </c>
      <c r="E366" s="57" t="s">
        <v>379</v>
      </c>
      <c r="F366" s="2" t="s">
        <v>455</v>
      </c>
    </row>
    <row r="367">
      <c r="A367" s="55">
        <f t="shared" si="2"/>
        <v>366</v>
      </c>
      <c r="B367" s="56" t="s">
        <v>456</v>
      </c>
      <c r="C367" s="55" t="s">
        <v>30</v>
      </c>
      <c r="D367" s="55">
        <v>1292.0</v>
      </c>
      <c r="E367" s="57" t="s">
        <v>379</v>
      </c>
      <c r="F367" s="2" t="s">
        <v>455</v>
      </c>
    </row>
    <row r="368">
      <c r="A368" s="55">
        <f t="shared" si="2"/>
        <v>367</v>
      </c>
      <c r="B368" s="56" t="s">
        <v>460</v>
      </c>
      <c r="C368" s="55" t="s">
        <v>29</v>
      </c>
      <c r="D368" s="55">
        <v>1375.0</v>
      </c>
      <c r="E368" s="57" t="s">
        <v>379</v>
      </c>
      <c r="F368" s="2" t="s">
        <v>459</v>
      </c>
    </row>
    <row r="369">
      <c r="A369" s="55">
        <f t="shared" si="2"/>
        <v>368</v>
      </c>
      <c r="B369" s="56" t="s">
        <v>460</v>
      </c>
      <c r="C369" s="55" t="s">
        <v>30</v>
      </c>
      <c r="D369" s="55">
        <v>1255.0</v>
      </c>
      <c r="E369" s="57" t="s">
        <v>379</v>
      </c>
      <c r="F369" s="2" t="s">
        <v>459</v>
      </c>
    </row>
    <row r="370">
      <c r="A370" s="55">
        <f t="shared" si="2"/>
        <v>369</v>
      </c>
      <c r="B370" s="56" t="s">
        <v>460</v>
      </c>
      <c r="C370" s="55" t="s">
        <v>34</v>
      </c>
      <c r="D370" s="55">
        <v>1205.0</v>
      </c>
      <c r="E370" s="57" t="s">
        <v>379</v>
      </c>
      <c r="F370" s="2" t="s">
        <v>459</v>
      </c>
    </row>
    <row r="371">
      <c r="A371" s="55">
        <f t="shared" si="2"/>
        <v>370</v>
      </c>
      <c r="B371" s="56" t="s">
        <v>460</v>
      </c>
      <c r="C371" s="55" t="s">
        <v>33</v>
      </c>
      <c r="D371" s="55">
        <v>1449.0</v>
      </c>
      <c r="E371" s="57" t="s">
        <v>379</v>
      </c>
      <c r="F371" s="2" t="s">
        <v>459</v>
      </c>
    </row>
    <row r="372">
      <c r="A372" s="55">
        <f t="shared" si="2"/>
        <v>371</v>
      </c>
      <c r="B372" s="56" t="s">
        <v>460</v>
      </c>
      <c r="C372" s="55" t="s">
        <v>26</v>
      </c>
      <c r="D372" s="55">
        <v>1718.0</v>
      </c>
      <c r="E372" s="57" t="s">
        <v>379</v>
      </c>
      <c r="F372" s="2" t="s">
        <v>459</v>
      </c>
    </row>
    <row r="373">
      <c r="A373" s="55">
        <f t="shared" si="2"/>
        <v>372</v>
      </c>
      <c r="B373" s="56" t="s">
        <v>460</v>
      </c>
      <c r="C373" s="55" t="s">
        <v>31</v>
      </c>
      <c r="D373" s="55">
        <v>1683.0</v>
      </c>
      <c r="E373" s="57" t="s">
        <v>379</v>
      </c>
      <c r="F373" s="2" t="s">
        <v>459</v>
      </c>
    </row>
    <row r="374">
      <c r="A374" s="55">
        <f t="shared" si="2"/>
        <v>373</v>
      </c>
      <c r="B374" s="56" t="s">
        <v>460</v>
      </c>
      <c r="C374" s="55" t="s">
        <v>28</v>
      </c>
      <c r="D374" s="55">
        <v>1570.0</v>
      </c>
      <c r="E374" s="57" t="s">
        <v>379</v>
      </c>
      <c r="F374" s="2" t="s">
        <v>459</v>
      </c>
    </row>
    <row r="375">
      <c r="A375" s="55">
        <f t="shared" si="2"/>
        <v>374</v>
      </c>
      <c r="B375" s="56" t="s">
        <v>460</v>
      </c>
      <c r="C375" s="55" t="s">
        <v>39</v>
      </c>
      <c r="D375" s="55">
        <v>1608.0</v>
      </c>
      <c r="E375" s="57" t="s">
        <v>379</v>
      </c>
      <c r="F375" s="2" t="s">
        <v>459</v>
      </c>
    </row>
    <row r="376">
      <c r="A376" s="55">
        <f t="shared" si="2"/>
        <v>375</v>
      </c>
      <c r="B376" s="56" t="s">
        <v>464</v>
      </c>
      <c r="C376" s="55" t="s">
        <v>39</v>
      </c>
      <c r="D376" s="55">
        <v>1593.0</v>
      </c>
      <c r="E376" s="57" t="s">
        <v>379</v>
      </c>
      <c r="F376" s="2" t="s">
        <v>463</v>
      </c>
    </row>
    <row r="377">
      <c r="A377" s="55">
        <f t="shared" si="2"/>
        <v>376</v>
      </c>
      <c r="B377" s="56" t="s">
        <v>464</v>
      </c>
      <c r="C377" s="55" t="s">
        <v>28</v>
      </c>
      <c r="D377" s="55">
        <v>1557.0</v>
      </c>
      <c r="E377" s="57" t="s">
        <v>379</v>
      </c>
      <c r="F377" s="2" t="s">
        <v>463</v>
      </c>
    </row>
    <row r="378">
      <c r="A378" s="55">
        <f t="shared" si="2"/>
        <v>377</v>
      </c>
      <c r="B378" s="56" t="s">
        <v>464</v>
      </c>
      <c r="C378" s="55" t="s">
        <v>30</v>
      </c>
      <c r="D378" s="55">
        <v>1267.0</v>
      </c>
      <c r="E378" s="57" t="s">
        <v>379</v>
      </c>
      <c r="F378" s="2" t="s">
        <v>463</v>
      </c>
    </row>
    <row r="379">
      <c r="A379" s="55">
        <f t="shared" si="2"/>
        <v>378</v>
      </c>
      <c r="B379" s="56" t="s">
        <v>464</v>
      </c>
      <c r="C379" s="55" t="s">
        <v>29</v>
      </c>
      <c r="D379" s="55">
        <v>1388.0</v>
      </c>
      <c r="E379" s="57" t="s">
        <v>379</v>
      </c>
      <c r="F379" s="2" t="s">
        <v>463</v>
      </c>
    </row>
    <row r="380">
      <c r="A380" s="55">
        <f t="shared" si="2"/>
        <v>379</v>
      </c>
      <c r="B380" s="56" t="s">
        <v>464</v>
      </c>
      <c r="C380" s="55" t="s">
        <v>33</v>
      </c>
      <c r="D380" s="55">
        <v>1463.0</v>
      </c>
      <c r="E380" s="57" t="s">
        <v>379</v>
      </c>
      <c r="F380" s="2" t="s">
        <v>463</v>
      </c>
    </row>
    <row r="381">
      <c r="A381" s="55">
        <f t="shared" si="2"/>
        <v>380</v>
      </c>
      <c r="B381" s="56" t="s">
        <v>464</v>
      </c>
      <c r="C381" s="55" t="s">
        <v>34</v>
      </c>
      <c r="D381" s="55">
        <v>1216.0</v>
      </c>
      <c r="E381" s="57" t="s">
        <v>379</v>
      </c>
      <c r="F381" s="2" t="s">
        <v>463</v>
      </c>
    </row>
    <row r="382">
      <c r="A382" s="55">
        <f t="shared" si="2"/>
        <v>381</v>
      </c>
      <c r="B382" s="56" t="s">
        <v>464</v>
      </c>
      <c r="C382" s="55" t="s">
        <v>24</v>
      </c>
      <c r="D382" s="55">
        <v>1593.0</v>
      </c>
      <c r="E382" s="57" t="s">
        <v>379</v>
      </c>
      <c r="F382" s="2" t="s">
        <v>463</v>
      </c>
    </row>
    <row r="383">
      <c r="A383" s="55">
        <f t="shared" si="2"/>
        <v>382</v>
      </c>
      <c r="B383" s="56" t="s">
        <v>464</v>
      </c>
      <c r="C383" s="55" t="s">
        <v>26</v>
      </c>
      <c r="D383" s="55">
        <v>1707.0</v>
      </c>
      <c r="E383" s="57" t="s">
        <v>379</v>
      </c>
      <c r="F383" s="2" t="s">
        <v>463</v>
      </c>
    </row>
    <row r="384">
      <c r="A384" s="55">
        <f t="shared" si="2"/>
        <v>383</v>
      </c>
      <c r="B384" s="56" t="s">
        <v>469</v>
      </c>
      <c r="C384" s="55" t="s">
        <v>35</v>
      </c>
      <c r="D384" s="55">
        <v>1482.0</v>
      </c>
      <c r="E384" s="57" t="s">
        <v>379</v>
      </c>
      <c r="F384" s="2" t="s">
        <v>468</v>
      </c>
    </row>
    <row r="385">
      <c r="A385" s="55">
        <f t="shared" si="2"/>
        <v>384</v>
      </c>
      <c r="B385" s="56" t="s">
        <v>469</v>
      </c>
      <c r="C385" s="55" t="s">
        <v>36</v>
      </c>
      <c r="D385" s="55">
        <v>1417.0</v>
      </c>
      <c r="E385" s="57" t="s">
        <v>379</v>
      </c>
      <c r="F385" s="2" t="s">
        <v>468</v>
      </c>
    </row>
    <row r="386">
      <c r="A386" s="55">
        <f t="shared" si="2"/>
        <v>385</v>
      </c>
      <c r="B386" s="56" t="s">
        <v>469</v>
      </c>
      <c r="C386" s="55" t="s">
        <v>27</v>
      </c>
      <c r="D386" s="55">
        <v>1685.0</v>
      </c>
      <c r="E386" s="57" t="s">
        <v>379</v>
      </c>
      <c r="F386" s="2" t="s">
        <v>468</v>
      </c>
    </row>
    <row r="387">
      <c r="A387" s="55">
        <f t="shared" si="2"/>
        <v>386</v>
      </c>
      <c r="B387" s="56" t="s">
        <v>469</v>
      </c>
      <c r="C387" s="55" t="s">
        <v>33</v>
      </c>
      <c r="D387" s="55">
        <v>1442.0</v>
      </c>
      <c r="E387" s="57" t="s">
        <v>379</v>
      </c>
      <c r="F387" s="2" t="s">
        <v>468</v>
      </c>
    </row>
    <row r="388">
      <c r="A388" s="55">
        <f t="shared" si="2"/>
        <v>387</v>
      </c>
      <c r="B388" s="56" t="s">
        <v>469</v>
      </c>
      <c r="C388" s="55" t="s">
        <v>24</v>
      </c>
      <c r="D388" s="55">
        <v>1573.0</v>
      </c>
      <c r="E388" s="57" t="s">
        <v>379</v>
      </c>
      <c r="F388" s="2" t="s">
        <v>468</v>
      </c>
    </row>
    <row r="389">
      <c r="A389" s="55">
        <f t="shared" si="2"/>
        <v>388</v>
      </c>
      <c r="B389" s="56" t="s">
        <v>469</v>
      </c>
      <c r="C389" s="55" t="s">
        <v>29</v>
      </c>
      <c r="D389" s="55">
        <v>1403.0</v>
      </c>
      <c r="E389" s="57" t="s">
        <v>379</v>
      </c>
      <c r="F389" s="2" t="s">
        <v>468</v>
      </c>
    </row>
    <row r="390">
      <c r="A390" s="55">
        <f t="shared" si="2"/>
        <v>389</v>
      </c>
      <c r="B390" s="56" t="s">
        <v>469</v>
      </c>
      <c r="C390" s="55" t="s">
        <v>39</v>
      </c>
      <c r="D390" s="55">
        <v>1611.0</v>
      </c>
      <c r="E390" s="57" t="s">
        <v>379</v>
      </c>
      <c r="F390" s="2" t="s">
        <v>468</v>
      </c>
    </row>
    <row r="391">
      <c r="A391" s="55">
        <f t="shared" si="2"/>
        <v>390</v>
      </c>
      <c r="B391" s="56" t="s">
        <v>469</v>
      </c>
      <c r="C391" s="55" t="s">
        <v>34</v>
      </c>
      <c r="D391" s="55">
        <v>1187.0</v>
      </c>
      <c r="E391" s="57" t="s">
        <v>379</v>
      </c>
      <c r="F391" s="2" t="s">
        <v>468</v>
      </c>
    </row>
    <row r="392">
      <c r="A392" s="55">
        <f t="shared" si="2"/>
        <v>391</v>
      </c>
      <c r="B392" s="56" t="s">
        <v>474</v>
      </c>
      <c r="C392" s="55" t="s">
        <v>39</v>
      </c>
      <c r="D392" s="55">
        <v>1589.0</v>
      </c>
      <c r="E392" s="57" t="s">
        <v>379</v>
      </c>
      <c r="F392" s="2" t="s">
        <v>473</v>
      </c>
    </row>
    <row r="393">
      <c r="A393" s="55">
        <f t="shared" si="2"/>
        <v>392</v>
      </c>
      <c r="B393" s="56" t="s">
        <v>474</v>
      </c>
      <c r="C393" s="55" t="s">
        <v>34</v>
      </c>
      <c r="D393" s="55">
        <v>1156.0</v>
      </c>
      <c r="E393" s="57" t="s">
        <v>379</v>
      </c>
      <c r="F393" s="2" t="s">
        <v>473</v>
      </c>
    </row>
    <row r="394">
      <c r="A394" s="55">
        <f t="shared" si="2"/>
        <v>393</v>
      </c>
      <c r="B394" s="56" t="s">
        <v>474</v>
      </c>
      <c r="C394" s="55" t="s">
        <v>35</v>
      </c>
      <c r="D394" s="55">
        <v>1497.0</v>
      </c>
      <c r="E394" s="57" t="s">
        <v>379</v>
      </c>
      <c r="F394" s="2" t="s">
        <v>473</v>
      </c>
    </row>
    <row r="395">
      <c r="A395" s="55">
        <f t="shared" si="2"/>
        <v>394</v>
      </c>
      <c r="B395" s="56" t="s">
        <v>474</v>
      </c>
      <c r="C395" s="55" t="s">
        <v>33</v>
      </c>
      <c r="D395" s="55">
        <v>1457.0</v>
      </c>
      <c r="E395" s="57" t="s">
        <v>379</v>
      </c>
      <c r="F395" s="2" t="s">
        <v>473</v>
      </c>
    </row>
    <row r="396">
      <c r="A396" s="55">
        <f t="shared" si="2"/>
        <v>395</v>
      </c>
      <c r="B396" s="56" t="s">
        <v>474</v>
      </c>
      <c r="C396" s="55" t="s">
        <v>29</v>
      </c>
      <c r="D396" s="55">
        <v>1373.0</v>
      </c>
      <c r="E396" s="57" t="s">
        <v>379</v>
      </c>
      <c r="F396" s="2" t="s">
        <v>473</v>
      </c>
    </row>
    <row r="397">
      <c r="A397" s="55">
        <f t="shared" si="2"/>
        <v>396</v>
      </c>
      <c r="B397" s="56" t="s">
        <v>474</v>
      </c>
      <c r="C397" s="55" t="s">
        <v>36</v>
      </c>
      <c r="D397" s="55">
        <v>1432.0</v>
      </c>
      <c r="E397" s="57" t="s">
        <v>379</v>
      </c>
      <c r="F397" s="2" t="s">
        <v>473</v>
      </c>
    </row>
    <row r="398">
      <c r="A398" s="55">
        <f t="shared" si="2"/>
        <v>397</v>
      </c>
      <c r="B398" s="56" t="s">
        <v>474</v>
      </c>
      <c r="C398" s="55" t="s">
        <v>31</v>
      </c>
      <c r="D398" s="55">
        <v>1671.0</v>
      </c>
      <c r="E398" s="57" t="s">
        <v>379</v>
      </c>
      <c r="F398" s="2" t="s">
        <v>473</v>
      </c>
    </row>
    <row r="399">
      <c r="A399" s="55">
        <f t="shared" si="2"/>
        <v>398</v>
      </c>
      <c r="B399" s="56" t="s">
        <v>474</v>
      </c>
      <c r="C399" s="55" t="s">
        <v>27</v>
      </c>
      <c r="D399" s="55">
        <v>1703.0</v>
      </c>
      <c r="E399" s="57" t="s">
        <v>379</v>
      </c>
      <c r="F399" s="2" t="s">
        <v>473</v>
      </c>
    </row>
    <row r="400">
      <c r="A400" s="55">
        <f t="shared" si="2"/>
        <v>399</v>
      </c>
      <c r="B400" s="56" t="s">
        <v>479</v>
      </c>
      <c r="C400" s="55" t="s">
        <v>29</v>
      </c>
      <c r="D400" s="55">
        <v>1345.0</v>
      </c>
      <c r="E400" s="57" t="s">
        <v>379</v>
      </c>
      <c r="F400" s="2" t="s">
        <v>478</v>
      </c>
    </row>
    <row r="401">
      <c r="A401" s="55">
        <f t="shared" si="2"/>
        <v>400</v>
      </c>
      <c r="B401" s="56" t="s">
        <v>479</v>
      </c>
      <c r="C401" s="55" t="s">
        <v>31</v>
      </c>
      <c r="D401" s="55">
        <v>1655.0</v>
      </c>
      <c r="E401" s="57" t="s">
        <v>379</v>
      </c>
      <c r="F401" s="2" t="s">
        <v>478</v>
      </c>
    </row>
    <row r="402">
      <c r="A402" s="55">
        <f t="shared" si="2"/>
        <v>401</v>
      </c>
      <c r="B402" s="56" t="s">
        <v>479</v>
      </c>
      <c r="C402" s="55" t="s">
        <v>34</v>
      </c>
      <c r="D402" s="55">
        <v>1168.0</v>
      </c>
      <c r="E402" s="57" t="s">
        <v>379</v>
      </c>
      <c r="F402" s="2" t="s">
        <v>478</v>
      </c>
    </row>
    <row r="403">
      <c r="A403" s="55">
        <f t="shared" si="2"/>
        <v>402</v>
      </c>
      <c r="B403" s="56" t="s">
        <v>479</v>
      </c>
      <c r="C403" s="55" t="s">
        <v>39</v>
      </c>
      <c r="D403" s="55">
        <v>1606.0</v>
      </c>
      <c r="E403" s="57" t="s">
        <v>379</v>
      </c>
      <c r="F403" s="2" t="s">
        <v>478</v>
      </c>
    </row>
    <row r="404">
      <c r="A404" s="55">
        <f t="shared" si="2"/>
        <v>403</v>
      </c>
      <c r="B404" s="56" t="s">
        <v>479</v>
      </c>
      <c r="C404" s="55" t="s">
        <v>36</v>
      </c>
      <c r="D404" s="55">
        <v>1411.0</v>
      </c>
      <c r="E404" s="57" t="s">
        <v>379</v>
      </c>
      <c r="F404" s="2" t="s">
        <v>478</v>
      </c>
    </row>
    <row r="405">
      <c r="A405" s="55">
        <f t="shared" si="2"/>
        <v>404</v>
      </c>
      <c r="B405" s="56" t="s">
        <v>479</v>
      </c>
      <c r="C405" s="55" t="s">
        <v>33</v>
      </c>
      <c r="D405" s="55">
        <v>1473.0</v>
      </c>
      <c r="E405" s="57" t="s">
        <v>379</v>
      </c>
      <c r="F405" s="2" t="s">
        <v>478</v>
      </c>
    </row>
    <row r="406">
      <c r="A406" s="55">
        <f t="shared" si="2"/>
        <v>405</v>
      </c>
      <c r="B406" s="56" t="s">
        <v>479</v>
      </c>
      <c r="C406" s="55" t="s">
        <v>35</v>
      </c>
      <c r="D406" s="55">
        <v>1513.0</v>
      </c>
      <c r="E406" s="57" t="s">
        <v>379</v>
      </c>
      <c r="F406" s="2" t="s">
        <v>478</v>
      </c>
    </row>
    <row r="407">
      <c r="A407" s="55">
        <f t="shared" si="2"/>
        <v>406</v>
      </c>
      <c r="B407" s="56" t="s">
        <v>479</v>
      </c>
      <c r="C407" s="55" t="s">
        <v>27</v>
      </c>
      <c r="D407" s="55">
        <v>1690.0</v>
      </c>
      <c r="E407" s="57" t="s">
        <v>379</v>
      </c>
      <c r="F407" s="2" t="s">
        <v>478</v>
      </c>
    </row>
    <row r="408">
      <c r="A408" s="55">
        <f t="shared" si="2"/>
        <v>407</v>
      </c>
      <c r="B408" s="56" t="s">
        <v>484</v>
      </c>
      <c r="C408" s="55" t="s">
        <v>45</v>
      </c>
      <c r="D408" s="55">
        <v>1255.0</v>
      </c>
      <c r="E408" s="57" t="s">
        <v>379</v>
      </c>
      <c r="F408" s="2" t="s">
        <v>483</v>
      </c>
    </row>
    <row r="409">
      <c r="A409" s="55">
        <f t="shared" si="2"/>
        <v>408</v>
      </c>
      <c r="B409" s="56" t="s">
        <v>484</v>
      </c>
      <c r="C409" s="55" t="s">
        <v>34</v>
      </c>
      <c r="D409" s="55">
        <v>1176.0</v>
      </c>
      <c r="E409" s="57" t="s">
        <v>379</v>
      </c>
      <c r="F409" s="2" t="s">
        <v>483</v>
      </c>
    </row>
    <row r="410">
      <c r="A410" s="55">
        <f t="shared" si="2"/>
        <v>409</v>
      </c>
      <c r="B410" s="56" t="s">
        <v>484</v>
      </c>
      <c r="C410" s="55" t="s">
        <v>26</v>
      </c>
      <c r="D410" s="55">
        <v>1691.0</v>
      </c>
      <c r="E410" s="57" t="s">
        <v>379</v>
      </c>
      <c r="F410" s="2" t="s">
        <v>483</v>
      </c>
    </row>
    <row r="411">
      <c r="A411" s="55">
        <f t="shared" si="2"/>
        <v>410</v>
      </c>
      <c r="B411" s="56" t="s">
        <v>484</v>
      </c>
      <c r="C411" s="55" t="s">
        <v>30</v>
      </c>
      <c r="D411" s="55">
        <v>1281.0</v>
      </c>
      <c r="E411" s="57" t="s">
        <v>379</v>
      </c>
      <c r="F411" s="2" t="s">
        <v>483</v>
      </c>
    </row>
    <row r="412">
      <c r="A412" s="55">
        <f t="shared" si="2"/>
        <v>411</v>
      </c>
      <c r="B412" s="56" t="s">
        <v>484</v>
      </c>
      <c r="C412" s="55" t="s">
        <v>35</v>
      </c>
      <c r="D412" s="55">
        <v>1494.0</v>
      </c>
      <c r="E412" s="57" t="s">
        <v>379</v>
      </c>
      <c r="F412" s="2" t="s">
        <v>483</v>
      </c>
    </row>
    <row r="413">
      <c r="A413" s="55">
        <f t="shared" si="2"/>
        <v>412</v>
      </c>
      <c r="B413" s="56" t="s">
        <v>484</v>
      </c>
      <c r="C413" s="55" t="s">
        <v>33</v>
      </c>
      <c r="D413" s="55">
        <v>1452.0</v>
      </c>
      <c r="E413" s="57" t="s">
        <v>379</v>
      </c>
      <c r="F413" s="2" t="s">
        <v>483</v>
      </c>
    </row>
    <row r="414">
      <c r="A414" s="55">
        <f t="shared" si="2"/>
        <v>413</v>
      </c>
      <c r="B414" s="56" t="s">
        <v>484</v>
      </c>
      <c r="C414" s="55" t="s">
        <v>31</v>
      </c>
      <c r="D414" s="55">
        <v>1667.0</v>
      </c>
      <c r="E414" s="57" t="s">
        <v>379</v>
      </c>
      <c r="F414" s="2" t="s">
        <v>483</v>
      </c>
    </row>
    <row r="415">
      <c r="A415" s="55">
        <f t="shared" si="2"/>
        <v>414</v>
      </c>
      <c r="B415" s="56" t="s">
        <v>484</v>
      </c>
      <c r="C415" s="55" t="s">
        <v>39</v>
      </c>
      <c r="D415" s="55">
        <v>1618.0</v>
      </c>
      <c r="E415" s="57" t="s">
        <v>379</v>
      </c>
      <c r="F415" s="2" t="s">
        <v>483</v>
      </c>
    </row>
    <row r="416">
      <c r="A416" s="55">
        <f t="shared" si="2"/>
        <v>415</v>
      </c>
      <c r="B416" s="56" t="s">
        <v>489</v>
      </c>
      <c r="C416" s="55" t="s">
        <v>26</v>
      </c>
      <c r="D416" s="55">
        <v>1703.0</v>
      </c>
      <c r="E416" s="57" t="s">
        <v>379</v>
      </c>
      <c r="F416" s="2" t="s">
        <v>488</v>
      </c>
    </row>
    <row r="417">
      <c r="A417" s="55">
        <f t="shared" si="2"/>
        <v>416</v>
      </c>
      <c r="B417" s="56" t="s">
        <v>489</v>
      </c>
      <c r="C417" s="55" t="s">
        <v>30</v>
      </c>
      <c r="D417" s="55">
        <v>1290.0</v>
      </c>
      <c r="E417" s="57" t="s">
        <v>379</v>
      </c>
      <c r="F417" s="2" t="s">
        <v>488</v>
      </c>
    </row>
    <row r="418">
      <c r="A418" s="55">
        <f t="shared" si="2"/>
        <v>417</v>
      </c>
      <c r="B418" s="56" t="s">
        <v>489</v>
      </c>
      <c r="C418" s="55" t="s">
        <v>42</v>
      </c>
      <c r="D418" s="55">
        <v>1502.0</v>
      </c>
      <c r="E418" s="57" t="s">
        <v>379</v>
      </c>
      <c r="F418" s="2" t="s">
        <v>488</v>
      </c>
    </row>
    <row r="419">
      <c r="A419" s="55">
        <f t="shared" si="2"/>
        <v>418</v>
      </c>
      <c r="B419" s="56" t="s">
        <v>489</v>
      </c>
      <c r="C419" s="55" t="s">
        <v>31</v>
      </c>
      <c r="D419" s="55">
        <v>1653.0</v>
      </c>
      <c r="E419" s="57" t="s">
        <v>379</v>
      </c>
      <c r="F419" s="2" t="s">
        <v>488</v>
      </c>
    </row>
    <row r="420">
      <c r="A420" s="55">
        <f t="shared" si="2"/>
        <v>419</v>
      </c>
      <c r="B420" s="56" t="s">
        <v>489</v>
      </c>
      <c r="C420" s="55" t="s">
        <v>33</v>
      </c>
      <c r="D420" s="55">
        <v>1434.0</v>
      </c>
      <c r="E420" s="57" t="s">
        <v>379</v>
      </c>
      <c r="F420" s="2" t="s">
        <v>488</v>
      </c>
    </row>
    <row r="421">
      <c r="A421" s="55">
        <f t="shared" si="2"/>
        <v>420</v>
      </c>
      <c r="B421" s="56" t="s">
        <v>489</v>
      </c>
      <c r="C421" s="55" t="s">
        <v>45</v>
      </c>
      <c r="D421" s="55">
        <v>1264.0</v>
      </c>
      <c r="E421" s="57" t="s">
        <v>379</v>
      </c>
      <c r="F421" s="2" t="s">
        <v>488</v>
      </c>
    </row>
    <row r="422">
      <c r="A422" s="55">
        <f t="shared" si="2"/>
        <v>421</v>
      </c>
      <c r="B422" s="56" t="s">
        <v>489</v>
      </c>
      <c r="C422" s="55" t="s">
        <v>35</v>
      </c>
      <c r="D422" s="55">
        <v>1477.0</v>
      </c>
      <c r="E422" s="57" t="s">
        <v>379</v>
      </c>
      <c r="F422" s="2" t="s">
        <v>488</v>
      </c>
    </row>
    <row r="423">
      <c r="A423" s="55">
        <f t="shared" si="2"/>
        <v>422</v>
      </c>
      <c r="B423" s="56" t="s">
        <v>489</v>
      </c>
      <c r="C423" s="55" t="s">
        <v>34</v>
      </c>
      <c r="D423" s="55">
        <v>1184.0</v>
      </c>
      <c r="E423" s="57" t="s">
        <v>379</v>
      </c>
      <c r="F423" s="2" t="s">
        <v>488</v>
      </c>
    </row>
    <row r="424">
      <c r="A424" s="55">
        <f t="shared" si="2"/>
        <v>423</v>
      </c>
      <c r="B424" s="56" t="s">
        <v>494</v>
      </c>
      <c r="C424" s="55" t="s">
        <v>35</v>
      </c>
      <c r="D424" s="55">
        <v>1453.0</v>
      </c>
      <c r="E424" s="57" t="s">
        <v>379</v>
      </c>
      <c r="F424" s="2" t="s">
        <v>493</v>
      </c>
    </row>
    <row r="425">
      <c r="A425" s="55">
        <f t="shared" si="2"/>
        <v>424</v>
      </c>
      <c r="B425" s="56" t="s">
        <v>494</v>
      </c>
      <c r="C425" s="55" t="s">
        <v>33</v>
      </c>
      <c r="D425" s="55">
        <v>1409.0</v>
      </c>
      <c r="E425" s="57" t="s">
        <v>379</v>
      </c>
      <c r="F425" s="2" t="s">
        <v>493</v>
      </c>
    </row>
    <row r="426">
      <c r="A426" s="55">
        <f t="shared" si="2"/>
        <v>425</v>
      </c>
      <c r="B426" s="56" t="s">
        <v>494</v>
      </c>
      <c r="C426" s="55" t="s">
        <v>42</v>
      </c>
      <c r="D426" s="55">
        <v>1517.0</v>
      </c>
      <c r="E426" s="57" t="s">
        <v>379</v>
      </c>
      <c r="F426" s="2" t="s">
        <v>493</v>
      </c>
    </row>
    <row r="427">
      <c r="A427" s="55">
        <f t="shared" si="2"/>
        <v>426</v>
      </c>
      <c r="B427" s="56" t="s">
        <v>494</v>
      </c>
      <c r="C427" s="55" t="s">
        <v>39</v>
      </c>
      <c r="D427" s="55">
        <v>1603.0</v>
      </c>
      <c r="E427" s="57" t="s">
        <v>379</v>
      </c>
      <c r="F427" s="2" t="s">
        <v>493</v>
      </c>
    </row>
    <row r="428">
      <c r="A428" s="55">
        <f t="shared" si="2"/>
        <v>427</v>
      </c>
      <c r="B428" s="56" t="s">
        <v>494</v>
      </c>
      <c r="C428" s="55" t="s">
        <v>30</v>
      </c>
      <c r="D428" s="55">
        <v>1303.0</v>
      </c>
      <c r="E428" s="57" t="s">
        <v>379</v>
      </c>
      <c r="F428" s="2" t="s">
        <v>493</v>
      </c>
    </row>
    <row r="429">
      <c r="A429" s="55">
        <f t="shared" si="2"/>
        <v>428</v>
      </c>
      <c r="B429" s="56" t="s">
        <v>494</v>
      </c>
      <c r="C429" s="55" t="s">
        <v>32</v>
      </c>
      <c r="D429" s="55">
        <v>1230.0</v>
      </c>
      <c r="E429" s="57" t="s">
        <v>379</v>
      </c>
      <c r="F429" s="2" t="s">
        <v>493</v>
      </c>
    </row>
    <row r="430">
      <c r="A430" s="55">
        <f t="shared" si="2"/>
        <v>429</v>
      </c>
      <c r="B430" s="56" t="s">
        <v>494</v>
      </c>
      <c r="C430" s="55" t="s">
        <v>26</v>
      </c>
      <c r="D430" s="55">
        <v>1719.0</v>
      </c>
      <c r="E430" s="57" t="s">
        <v>379</v>
      </c>
      <c r="F430" s="2" t="s">
        <v>493</v>
      </c>
    </row>
    <row r="431">
      <c r="A431" s="55">
        <f t="shared" si="2"/>
        <v>430</v>
      </c>
      <c r="B431" s="56" t="s">
        <v>494</v>
      </c>
      <c r="C431" s="55" t="s">
        <v>34</v>
      </c>
      <c r="D431" s="55">
        <v>1152.0</v>
      </c>
      <c r="E431" s="57" t="s">
        <v>379</v>
      </c>
      <c r="F431" s="2" t="s">
        <v>493</v>
      </c>
    </row>
    <row r="432">
      <c r="A432" s="55">
        <f t="shared" si="2"/>
        <v>431</v>
      </c>
      <c r="B432" s="56" t="s">
        <v>498</v>
      </c>
      <c r="C432" s="55" t="s">
        <v>33</v>
      </c>
      <c r="D432" s="55">
        <v>1425.0</v>
      </c>
      <c r="E432" s="57" t="s">
        <v>379</v>
      </c>
      <c r="F432" s="2" t="s">
        <v>497</v>
      </c>
    </row>
    <row r="433">
      <c r="A433" s="55">
        <f t="shared" si="2"/>
        <v>432</v>
      </c>
      <c r="B433" s="56" t="s">
        <v>498</v>
      </c>
      <c r="C433" s="55" t="s">
        <v>34</v>
      </c>
      <c r="D433" s="55">
        <v>1120.0</v>
      </c>
      <c r="E433" s="57" t="s">
        <v>379</v>
      </c>
      <c r="F433" s="2" t="s">
        <v>497</v>
      </c>
    </row>
    <row r="434">
      <c r="A434" s="55">
        <f t="shared" si="2"/>
        <v>433</v>
      </c>
      <c r="B434" s="56" t="s">
        <v>498</v>
      </c>
      <c r="C434" s="55" t="s">
        <v>35</v>
      </c>
      <c r="D434" s="55">
        <v>1469.0</v>
      </c>
      <c r="E434" s="57" t="s">
        <v>379</v>
      </c>
      <c r="F434" s="2" t="s">
        <v>497</v>
      </c>
    </row>
    <row r="435">
      <c r="A435" s="55">
        <f t="shared" si="2"/>
        <v>434</v>
      </c>
      <c r="B435" s="56" t="s">
        <v>498</v>
      </c>
      <c r="C435" s="55" t="s">
        <v>30</v>
      </c>
      <c r="D435" s="55">
        <v>1269.0</v>
      </c>
      <c r="E435" s="57" t="s">
        <v>379</v>
      </c>
      <c r="F435" s="2" t="s">
        <v>497</v>
      </c>
    </row>
    <row r="436">
      <c r="A436" s="55">
        <f t="shared" si="2"/>
        <v>435</v>
      </c>
      <c r="B436" s="56" t="s">
        <v>498</v>
      </c>
      <c r="C436" s="55" t="s">
        <v>26</v>
      </c>
      <c r="D436" s="55">
        <v>1702.0</v>
      </c>
      <c r="E436" s="57" t="s">
        <v>379</v>
      </c>
      <c r="F436" s="2" t="s">
        <v>497</v>
      </c>
    </row>
    <row r="437">
      <c r="A437" s="55">
        <f t="shared" si="2"/>
        <v>436</v>
      </c>
      <c r="B437" s="56" t="s">
        <v>498</v>
      </c>
      <c r="C437" s="55" t="s">
        <v>39</v>
      </c>
      <c r="D437" s="55">
        <v>1621.0</v>
      </c>
      <c r="E437" s="57" t="s">
        <v>379</v>
      </c>
      <c r="F437" s="2" t="s">
        <v>497</v>
      </c>
    </row>
    <row r="438">
      <c r="A438" s="55">
        <f t="shared" si="2"/>
        <v>437</v>
      </c>
      <c r="B438" s="56" t="s">
        <v>498</v>
      </c>
      <c r="C438" s="55" t="s">
        <v>32</v>
      </c>
      <c r="D438" s="55">
        <v>1200.0</v>
      </c>
      <c r="E438" s="57" t="s">
        <v>379</v>
      </c>
      <c r="F438" s="2" t="s">
        <v>497</v>
      </c>
    </row>
    <row r="439">
      <c r="A439" s="55">
        <f t="shared" si="2"/>
        <v>438</v>
      </c>
      <c r="B439" s="56" t="s">
        <v>498</v>
      </c>
      <c r="C439" s="55" t="s">
        <v>42</v>
      </c>
      <c r="D439" s="55">
        <v>1534.0</v>
      </c>
      <c r="E439" s="57" t="s">
        <v>379</v>
      </c>
      <c r="F439" s="2" t="s">
        <v>497</v>
      </c>
    </row>
    <row r="440">
      <c r="A440" s="55">
        <f t="shared" si="2"/>
        <v>439</v>
      </c>
      <c r="B440" s="56" t="s">
        <v>502</v>
      </c>
      <c r="C440" s="55" t="s">
        <v>30</v>
      </c>
      <c r="D440" s="55">
        <v>1281.0</v>
      </c>
      <c r="E440" s="57" t="s">
        <v>379</v>
      </c>
      <c r="F440" s="2" t="s">
        <v>501</v>
      </c>
    </row>
    <row r="441">
      <c r="A441" s="55">
        <f t="shared" si="2"/>
        <v>440</v>
      </c>
      <c r="B441" s="56" t="s">
        <v>502</v>
      </c>
      <c r="C441" s="55" t="s">
        <v>34</v>
      </c>
      <c r="D441" s="55">
        <v>1130.0</v>
      </c>
      <c r="E441" s="57" t="s">
        <v>379</v>
      </c>
      <c r="F441" s="2" t="s">
        <v>501</v>
      </c>
    </row>
    <row r="442">
      <c r="A442" s="55">
        <f t="shared" si="2"/>
        <v>441</v>
      </c>
      <c r="B442" s="56" t="s">
        <v>502</v>
      </c>
      <c r="C442" s="55" t="s">
        <v>26</v>
      </c>
      <c r="D442" s="55">
        <v>1690.0</v>
      </c>
      <c r="E442" s="57" t="s">
        <v>379</v>
      </c>
      <c r="F442" s="2" t="s">
        <v>501</v>
      </c>
    </row>
    <row r="443">
      <c r="A443" s="55">
        <f t="shared" si="2"/>
        <v>442</v>
      </c>
      <c r="B443" s="56" t="s">
        <v>502</v>
      </c>
      <c r="C443" s="55" t="s">
        <v>35</v>
      </c>
      <c r="D443" s="55">
        <v>1483.0</v>
      </c>
      <c r="E443" s="57" t="s">
        <v>379</v>
      </c>
      <c r="F443" s="2" t="s">
        <v>501</v>
      </c>
    </row>
    <row r="444">
      <c r="A444" s="55">
        <f t="shared" si="2"/>
        <v>443</v>
      </c>
      <c r="B444" s="56" t="s">
        <v>502</v>
      </c>
      <c r="C444" s="55" t="s">
        <v>33</v>
      </c>
      <c r="D444" s="55">
        <v>1439.0</v>
      </c>
      <c r="E444" s="57" t="s">
        <v>379</v>
      </c>
      <c r="F444" s="2" t="s">
        <v>501</v>
      </c>
    </row>
    <row r="445">
      <c r="A445" s="55">
        <f t="shared" si="2"/>
        <v>444</v>
      </c>
      <c r="B445" s="56" t="s">
        <v>502</v>
      </c>
      <c r="C445" s="55" t="s">
        <v>27</v>
      </c>
      <c r="D445" s="55">
        <v>1677.0</v>
      </c>
      <c r="E445" s="57" t="s">
        <v>379</v>
      </c>
      <c r="F445" s="2" t="s">
        <v>501</v>
      </c>
    </row>
    <row r="446">
      <c r="A446" s="55">
        <f t="shared" si="2"/>
        <v>445</v>
      </c>
      <c r="B446" s="56" t="s">
        <v>502</v>
      </c>
      <c r="C446" s="55" t="s">
        <v>39</v>
      </c>
      <c r="D446" s="55">
        <v>1607.0</v>
      </c>
      <c r="E446" s="57" t="s">
        <v>379</v>
      </c>
      <c r="F446" s="2" t="s">
        <v>501</v>
      </c>
    </row>
    <row r="447">
      <c r="A447" s="55">
        <f t="shared" si="2"/>
        <v>446</v>
      </c>
      <c r="B447" s="56" t="s">
        <v>506</v>
      </c>
      <c r="C447" s="55" t="s">
        <v>26</v>
      </c>
      <c r="D447" s="55">
        <v>1706.0</v>
      </c>
      <c r="E447" s="57" t="s">
        <v>379</v>
      </c>
      <c r="F447" s="2" t="s">
        <v>505</v>
      </c>
    </row>
    <row r="448">
      <c r="A448" s="55">
        <f t="shared" si="2"/>
        <v>447</v>
      </c>
      <c r="B448" s="56" t="s">
        <v>506</v>
      </c>
      <c r="C448" s="55" t="s">
        <v>30</v>
      </c>
      <c r="D448" s="55">
        <v>1293.0</v>
      </c>
      <c r="E448" s="57" t="s">
        <v>379</v>
      </c>
      <c r="F448" s="2" t="s">
        <v>505</v>
      </c>
    </row>
    <row r="449">
      <c r="A449" s="55">
        <f t="shared" si="2"/>
        <v>448</v>
      </c>
      <c r="B449" s="56" t="s">
        <v>506</v>
      </c>
      <c r="C449" s="55" t="s">
        <v>44</v>
      </c>
      <c r="D449" s="55">
        <v>1081.0</v>
      </c>
      <c r="E449" s="57" t="s">
        <v>379</v>
      </c>
      <c r="F449" s="2" t="s">
        <v>505</v>
      </c>
    </row>
    <row r="450">
      <c r="A450" s="55">
        <f t="shared" si="2"/>
        <v>449</v>
      </c>
      <c r="B450" s="56" t="s">
        <v>506</v>
      </c>
      <c r="C450" s="55" t="s">
        <v>33</v>
      </c>
      <c r="D450" s="55">
        <v>1422.0</v>
      </c>
      <c r="E450" s="57" t="s">
        <v>379</v>
      </c>
      <c r="F450" s="2" t="s">
        <v>505</v>
      </c>
    </row>
    <row r="451">
      <c r="A451" s="55">
        <f t="shared" si="2"/>
        <v>450</v>
      </c>
      <c r="B451" s="56" t="s">
        <v>506</v>
      </c>
      <c r="C451" s="55" t="s">
        <v>35</v>
      </c>
      <c r="D451" s="55">
        <v>1467.0</v>
      </c>
      <c r="E451" s="57" t="s">
        <v>379</v>
      </c>
      <c r="F451" s="2" t="s">
        <v>505</v>
      </c>
    </row>
    <row r="452">
      <c r="A452" s="55">
        <f t="shared" si="2"/>
        <v>451</v>
      </c>
      <c r="B452" s="56" t="s">
        <v>506</v>
      </c>
      <c r="C452" s="55" t="s">
        <v>28</v>
      </c>
      <c r="D452" s="55">
        <v>1574.0</v>
      </c>
      <c r="E452" s="57" t="s">
        <v>379</v>
      </c>
      <c r="F452" s="2" t="s">
        <v>505</v>
      </c>
    </row>
    <row r="453">
      <c r="A453" s="55">
        <f t="shared" si="2"/>
        <v>452</v>
      </c>
      <c r="B453" s="56" t="s">
        <v>506</v>
      </c>
      <c r="C453" s="55" t="s">
        <v>27</v>
      </c>
      <c r="D453" s="55">
        <v>1667.0</v>
      </c>
      <c r="E453" s="57" t="s">
        <v>379</v>
      </c>
      <c r="F453" s="2" t="s">
        <v>505</v>
      </c>
    </row>
    <row r="454">
      <c r="A454" s="55">
        <f t="shared" si="2"/>
        <v>453</v>
      </c>
      <c r="B454" s="56" t="s">
        <v>510</v>
      </c>
      <c r="C454" s="55" t="s">
        <v>30</v>
      </c>
      <c r="D454" s="55">
        <v>1307.0</v>
      </c>
      <c r="E454" s="57" t="s">
        <v>379</v>
      </c>
      <c r="F454" s="2" t="s">
        <v>509</v>
      </c>
    </row>
    <row r="455">
      <c r="A455" s="55">
        <f t="shared" si="2"/>
        <v>454</v>
      </c>
      <c r="B455" s="56" t="s">
        <v>510</v>
      </c>
      <c r="C455" s="55" t="s">
        <v>27</v>
      </c>
      <c r="D455" s="55">
        <v>1656.0</v>
      </c>
      <c r="E455" s="57" t="s">
        <v>379</v>
      </c>
      <c r="F455" s="2" t="s">
        <v>509</v>
      </c>
    </row>
    <row r="456">
      <c r="A456" s="55">
        <f t="shared" si="2"/>
        <v>455</v>
      </c>
      <c r="B456" s="56" t="s">
        <v>510</v>
      </c>
      <c r="C456" s="55" t="s">
        <v>44</v>
      </c>
      <c r="D456" s="55">
        <v>1092.0</v>
      </c>
      <c r="E456" s="57" t="s">
        <v>379</v>
      </c>
      <c r="F456" s="2" t="s">
        <v>509</v>
      </c>
    </row>
    <row r="457">
      <c r="A457" s="55">
        <f t="shared" si="2"/>
        <v>456</v>
      </c>
      <c r="B457" s="56" t="s">
        <v>510</v>
      </c>
      <c r="C457" s="55" t="s">
        <v>33</v>
      </c>
      <c r="D457" s="55">
        <v>1404.0</v>
      </c>
      <c r="E457" s="57" t="s">
        <v>379</v>
      </c>
      <c r="F457" s="2" t="s">
        <v>509</v>
      </c>
    </row>
    <row r="458">
      <c r="A458" s="55">
        <f t="shared" si="2"/>
        <v>457</v>
      </c>
      <c r="B458" s="56" t="s">
        <v>510</v>
      </c>
      <c r="C458" s="55" t="s">
        <v>28</v>
      </c>
      <c r="D458" s="55">
        <v>1561.0</v>
      </c>
      <c r="E458" s="57" t="s">
        <v>379</v>
      </c>
      <c r="F458" s="2" t="s">
        <v>509</v>
      </c>
    </row>
    <row r="459">
      <c r="A459" s="55">
        <f t="shared" si="2"/>
        <v>458</v>
      </c>
      <c r="B459" s="56" t="s">
        <v>510</v>
      </c>
      <c r="C459" s="55" t="s">
        <v>35</v>
      </c>
      <c r="D459" s="55">
        <v>1451.0</v>
      </c>
      <c r="E459" s="57" t="s">
        <v>379</v>
      </c>
      <c r="F459" s="2" t="s">
        <v>509</v>
      </c>
    </row>
    <row r="460">
      <c r="A460" s="55">
        <f t="shared" si="2"/>
        <v>459</v>
      </c>
      <c r="B460" s="56" t="s">
        <v>510</v>
      </c>
      <c r="C460" s="55" t="s">
        <v>26</v>
      </c>
      <c r="D460" s="55">
        <v>1725.0</v>
      </c>
      <c r="E460" s="57" t="s">
        <v>379</v>
      </c>
      <c r="F460" s="2" t="s">
        <v>509</v>
      </c>
    </row>
    <row r="461">
      <c r="A461" s="55">
        <f t="shared" si="2"/>
        <v>460</v>
      </c>
      <c r="B461" s="56" t="s">
        <v>514</v>
      </c>
      <c r="C461" s="55" t="s">
        <v>28</v>
      </c>
      <c r="D461" s="55">
        <v>1546.0</v>
      </c>
      <c r="E461" s="57" t="s">
        <v>379</v>
      </c>
      <c r="F461" s="2" t="s">
        <v>513</v>
      </c>
    </row>
    <row r="462">
      <c r="A462" s="55">
        <f t="shared" si="2"/>
        <v>461</v>
      </c>
      <c r="B462" s="56" t="s">
        <v>514</v>
      </c>
      <c r="C462" s="55" t="s">
        <v>34</v>
      </c>
      <c r="D462" s="55">
        <v>1140.0</v>
      </c>
      <c r="E462" s="57" t="s">
        <v>379</v>
      </c>
      <c r="F462" s="2" t="s">
        <v>513</v>
      </c>
    </row>
    <row r="463">
      <c r="A463" s="55">
        <f t="shared" si="2"/>
        <v>462</v>
      </c>
      <c r="B463" s="56" t="s">
        <v>514</v>
      </c>
      <c r="C463" s="55" t="s">
        <v>31</v>
      </c>
      <c r="D463" s="55">
        <v>1669.0</v>
      </c>
      <c r="E463" s="57" t="s">
        <v>379</v>
      </c>
      <c r="F463" s="2" t="s">
        <v>513</v>
      </c>
    </row>
    <row r="464">
      <c r="A464" s="55">
        <f t="shared" si="2"/>
        <v>463</v>
      </c>
      <c r="B464" s="56" t="s">
        <v>514</v>
      </c>
      <c r="C464" s="55" t="s">
        <v>33</v>
      </c>
      <c r="D464" s="55">
        <v>1421.0</v>
      </c>
      <c r="E464" s="57" t="s">
        <v>379</v>
      </c>
      <c r="F464" s="2" t="s">
        <v>513</v>
      </c>
    </row>
    <row r="465">
      <c r="A465" s="55">
        <f t="shared" si="2"/>
        <v>464</v>
      </c>
      <c r="B465" s="56" t="s">
        <v>514</v>
      </c>
      <c r="C465" s="55" t="s">
        <v>26</v>
      </c>
      <c r="D465" s="55">
        <v>1712.0</v>
      </c>
      <c r="E465" s="57" t="s">
        <v>379</v>
      </c>
      <c r="F465" s="2" t="s">
        <v>513</v>
      </c>
    </row>
    <row r="466">
      <c r="A466" s="55">
        <f t="shared" si="2"/>
        <v>465</v>
      </c>
      <c r="B466" s="56" t="s">
        <v>514</v>
      </c>
      <c r="C466" s="55" t="s">
        <v>45</v>
      </c>
      <c r="D466" s="55">
        <v>1234.0</v>
      </c>
      <c r="E466" s="57" t="s">
        <v>379</v>
      </c>
      <c r="F466" s="2" t="s">
        <v>513</v>
      </c>
    </row>
    <row r="467">
      <c r="A467" s="55">
        <f t="shared" si="2"/>
        <v>466</v>
      </c>
      <c r="B467" s="56" t="s">
        <v>514</v>
      </c>
      <c r="C467" s="55" t="s">
        <v>35</v>
      </c>
      <c r="D467" s="55">
        <v>1432.0</v>
      </c>
      <c r="E467" s="57" t="s">
        <v>379</v>
      </c>
      <c r="F467" s="2" t="s">
        <v>513</v>
      </c>
    </row>
    <row r="468">
      <c r="A468" s="55">
        <f t="shared" si="2"/>
        <v>467</v>
      </c>
      <c r="B468" s="56" t="s">
        <v>514</v>
      </c>
      <c r="C468" s="55" t="s">
        <v>30</v>
      </c>
      <c r="D468" s="55">
        <v>1323.0</v>
      </c>
      <c r="E468" s="57" t="s">
        <v>379</v>
      </c>
      <c r="F468" s="2" t="s">
        <v>513</v>
      </c>
    </row>
    <row r="469">
      <c r="A469" s="55">
        <f t="shared" si="2"/>
        <v>468</v>
      </c>
      <c r="B469" s="56" t="s">
        <v>519</v>
      </c>
      <c r="C469" s="55" t="s">
        <v>45</v>
      </c>
      <c r="D469" s="55">
        <v>1206.0</v>
      </c>
      <c r="E469" s="57" t="s">
        <v>379</v>
      </c>
      <c r="F469" s="2" t="s">
        <v>518</v>
      </c>
    </row>
    <row r="470">
      <c r="A470" s="55">
        <f t="shared" si="2"/>
        <v>469</v>
      </c>
      <c r="B470" s="56" t="s">
        <v>519</v>
      </c>
      <c r="C470" s="55" t="s">
        <v>30</v>
      </c>
      <c r="D470" s="55">
        <v>1297.0</v>
      </c>
      <c r="E470" s="57" t="s">
        <v>379</v>
      </c>
      <c r="F470" s="2" t="s">
        <v>518</v>
      </c>
    </row>
    <row r="471">
      <c r="A471" s="55">
        <f t="shared" si="2"/>
        <v>470</v>
      </c>
      <c r="B471" s="56" t="s">
        <v>519</v>
      </c>
      <c r="C471" s="55" t="s">
        <v>28</v>
      </c>
      <c r="D471" s="55">
        <v>1560.0</v>
      </c>
      <c r="E471" s="57" t="s">
        <v>379</v>
      </c>
      <c r="F471" s="2" t="s">
        <v>518</v>
      </c>
    </row>
    <row r="472">
      <c r="A472" s="55">
        <f t="shared" si="2"/>
        <v>471</v>
      </c>
      <c r="B472" s="56" t="s">
        <v>519</v>
      </c>
      <c r="C472" s="55" t="s">
        <v>34</v>
      </c>
      <c r="D472" s="55">
        <v>1150.0</v>
      </c>
      <c r="E472" s="57" t="s">
        <v>379</v>
      </c>
      <c r="F472" s="2" t="s">
        <v>518</v>
      </c>
    </row>
    <row r="473">
      <c r="A473" s="55">
        <f t="shared" si="2"/>
        <v>472</v>
      </c>
      <c r="B473" s="56" t="s">
        <v>519</v>
      </c>
      <c r="C473" s="55" t="s">
        <v>35</v>
      </c>
      <c r="D473" s="55">
        <v>1410.0</v>
      </c>
      <c r="E473" s="57" t="s">
        <v>379</v>
      </c>
      <c r="F473" s="2" t="s">
        <v>518</v>
      </c>
    </row>
    <row r="474">
      <c r="A474" s="55">
        <f t="shared" si="2"/>
        <v>473</v>
      </c>
      <c r="B474" s="56" t="s">
        <v>519</v>
      </c>
      <c r="C474" s="55" t="s">
        <v>33</v>
      </c>
      <c r="D474" s="55">
        <v>1434.0</v>
      </c>
      <c r="E474" s="57" t="s">
        <v>379</v>
      </c>
      <c r="F474" s="2" t="s">
        <v>518</v>
      </c>
    </row>
    <row r="475">
      <c r="A475" s="55">
        <f t="shared" si="2"/>
        <v>474</v>
      </c>
      <c r="B475" s="56" t="s">
        <v>519</v>
      </c>
      <c r="C475" s="55" t="s">
        <v>26</v>
      </c>
      <c r="D475" s="55">
        <v>1696.0</v>
      </c>
      <c r="E475" s="57" t="s">
        <v>379</v>
      </c>
      <c r="F475" s="2" t="s">
        <v>518</v>
      </c>
    </row>
    <row r="476">
      <c r="A476" s="55">
        <f t="shared" si="2"/>
        <v>475</v>
      </c>
      <c r="B476" s="56" t="s">
        <v>519</v>
      </c>
      <c r="C476" s="55" t="s">
        <v>31</v>
      </c>
      <c r="D476" s="55">
        <v>1684.0</v>
      </c>
      <c r="E476" s="57" t="s">
        <v>379</v>
      </c>
      <c r="F476" s="2" t="s">
        <v>518</v>
      </c>
    </row>
    <row r="477">
      <c r="A477" s="55">
        <f t="shared" si="2"/>
        <v>476</v>
      </c>
      <c r="B477" s="56" t="s">
        <v>523</v>
      </c>
      <c r="C477" s="55" t="s">
        <v>28</v>
      </c>
      <c r="D477" s="55">
        <v>1579.0</v>
      </c>
      <c r="E477" s="57" t="s">
        <v>379</v>
      </c>
      <c r="F477" s="2" t="s">
        <v>522</v>
      </c>
    </row>
    <row r="478">
      <c r="A478" s="55">
        <f t="shared" si="2"/>
        <v>477</v>
      </c>
      <c r="B478" s="56" t="s">
        <v>523</v>
      </c>
      <c r="C478" s="55" t="s">
        <v>26</v>
      </c>
      <c r="D478" s="55">
        <v>1684.0</v>
      </c>
      <c r="E478" s="57" t="s">
        <v>379</v>
      </c>
      <c r="F478" s="2" t="s">
        <v>522</v>
      </c>
    </row>
    <row r="479">
      <c r="A479" s="55">
        <f t="shared" si="2"/>
        <v>478</v>
      </c>
      <c r="B479" s="56" t="s">
        <v>523</v>
      </c>
      <c r="C479" s="55" t="s">
        <v>34</v>
      </c>
      <c r="D479" s="55">
        <v>1163.0</v>
      </c>
      <c r="E479" s="57" t="s">
        <v>379</v>
      </c>
      <c r="F479" s="2" t="s">
        <v>522</v>
      </c>
    </row>
    <row r="480">
      <c r="A480" s="55">
        <f t="shared" si="2"/>
        <v>479</v>
      </c>
      <c r="B480" s="56" t="s">
        <v>523</v>
      </c>
      <c r="C480" s="55" t="s">
        <v>33</v>
      </c>
      <c r="D480" s="55">
        <v>1417.0</v>
      </c>
      <c r="E480" s="57" t="s">
        <v>379</v>
      </c>
      <c r="F480" s="2" t="s">
        <v>522</v>
      </c>
    </row>
    <row r="481">
      <c r="A481" s="55">
        <f t="shared" si="2"/>
        <v>480</v>
      </c>
      <c r="B481" s="56" t="s">
        <v>523</v>
      </c>
      <c r="C481" s="55" t="s">
        <v>31</v>
      </c>
      <c r="D481" s="55">
        <v>1672.0</v>
      </c>
      <c r="E481" s="57" t="s">
        <v>379</v>
      </c>
      <c r="F481" s="2" t="s">
        <v>522</v>
      </c>
    </row>
    <row r="482">
      <c r="A482" s="55">
        <f t="shared" si="2"/>
        <v>481</v>
      </c>
      <c r="B482" s="56" t="s">
        <v>523</v>
      </c>
      <c r="C482" s="55" t="s">
        <v>45</v>
      </c>
      <c r="D482" s="55">
        <v>1220.0</v>
      </c>
      <c r="E482" s="57" t="s">
        <v>379</v>
      </c>
      <c r="F482" s="2" t="s">
        <v>522</v>
      </c>
    </row>
    <row r="483">
      <c r="A483" s="55">
        <f t="shared" si="2"/>
        <v>482</v>
      </c>
      <c r="B483" s="56" t="s">
        <v>523</v>
      </c>
      <c r="C483" s="55" t="s">
        <v>35</v>
      </c>
      <c r="D483" s="55">
        <v>1392.0</v>
      </c>
      <c r="E483" s="57" t="s">
        <v>379</v>
      </c>
      <c r="F483" s="2" t="s">
        <v>522</v>
      </c>
    </row>
    <row r="484">
      <c r="A484" s="55">
        <f t="shared" si="2"/>
        <v>483</v>
      </c>
      <c r="B484" s="56" t="s">
        <v>523</v>
      </c>
      <c r="C484" s="55" t="s">
        <v>39</v>
      </c>
      <c r="D484" s="55">
        <v>1592.0</v>
      </c>
      <c r="E484" s="57" t="s">
        <v>379</v>
      </c>
      <c r="F484" s="2" t="s">
        <v>522</v>
      </c>
    </row>
    <row r="485">
      <c r="A485" s="55">
        <f t="shared" si="2"/>
        <v>484</v>
      </c>
      <c r="B485" s="56" t="s">
        <v>528</v>
      </c>
      <c r="C485" s="55" t="s">
        <v>35</v>
      </c>
      <c r="D485" s="55">
        <v>1368.0</v>
      </c>
      <c r="E485" s="57" t="s">
        <v>379</v>
      </c>
      <c r="F485" s="2" t="s">
        <v>527</v>
      </c>
    </row>
    <row r="486">
      <c r="A486" s="55">
        <f t="shared" si="2"/>
        <v>485</v>
      </c>
      <c r="B486" s="56" t="s">
        <v>528</v>
      </c>
      <c r="C486" s="55" t="s">
        <v>33</v>
      </c>
      <c r="D486" s="55">
        <v>1428.0</v>
      </c>
      <c r="E486" s="57" t="s">
        <v>379</v>
      </c>
      <c r="F486" s="2" t="s">
        <v>527</v>
      </c>
    </row>
    <row r="487">
      <c r="A487" s="55">
        <f t="shared" si="2"/>
        <v>486</v>
      </c>
      <c r="B487" s="56" t="s">
        <v>528</v>
      </c>
      <c r="C487" s="55" t="s">
        <v>45</v>
      </c>
      <c r="D487" s="55">
        <v>1191.0</v>
      </c>
      <c r="E487" s="57" t="s">
        <v>379</v>
      </c>
      <c r="F487" s="2" t="s">
        <v>527</v>
      </c>
    </row>
    <row r="488">
      <c r="A488" s="55">
        <f t="shared" si="2"/>
        <v>487</v>
      </c>
      <c r="B488" s="56" t="s">
        <v>528</v>
      </c>
      <c r="C488" s="55" t="s">
        <v>34</v>
      </c>
      <c r="D488" s="55">
        <v>1172.0</v>
      </c>
      <c r="E488" s="57" t="s">
        <v>379</v>
      </c>
      <c r="F488" s="2" t="s">
        <v>527</v>
      </c>
    </row>
    <row r="489">
      <c r="A489" s="55">
        <f t="shared" si="2"/>
        <v>488</v>
      </c>
      <c r="B489" s="56" t="s">
        <v>528</v>
      </c>
      <c r="C489" s="55" t="s">
        <v>26</v>
      </c>
      <c r="D489" s="55">
        <v>1697.0</v>
      </c>
      <c r="E489" s="57" t="s">
        <v>379</v>
      </c>
      <c r="F489" s="2" t="s">
        <v>527</v>
      </c>
    </row>
    <row r="490">
      <c r="A490" s="55">
        <f t="shared" si="2"/>
        <v>489</v>
      </c>
      <c r="B490" s="56" t="s">
        <v>528</v>
      </c>
      <c r="C490" s="55" t="s">
        <v>39</v>
      </c>
      <c r="D490" s="55">
        <v>1571.0</v>
      </c>
      <c r="E490" s="57" t="s">
        <v>379</v>
      </c>
      <c r="F490" s="2" t="s">
        <v>527</v>
      </c>
    </row>
    <row r="491">
      <c r="A491" s="55">
        <f t="shared" si="2"/>
        <v>490</v>
      </c>
      <c r="B491" s="56" t="s">
        <v>528</v>
      </c>
      <c r="C491" s="55" t="s">
        <v>28</v>
      </c>
      <c r="D491" s="55">
        <v>1591.0</v>
      </c>
      <c r="E491" s="57" t="s">
        <v>379</v>
      </c>
      <c r="F491" s="2" t="s">
        <v>527</v>
      </c>
    </row>
    <row r="492">
      <c r="A492" s="55">
        <f t="shared" si="2"/>
        <v>491</v>
      </c>
      <c r="B492" s="56" t="s">
        <v>528</v>
      </c>
      <c r="C492" s="55" t="s">
        <v>31</v>
      </c>
      <c r="D492" s="55">
        <v>1654.0</v>
      </c>
      <c r="E492" s="57" t="s">
        <v>379</v>
      </c>
      <c r="F492" s="2" t="s">
        <v>527</v>
      </c>
    </row>
    <row r="493">
      <c r="A493" s="55">
        <f t="shared" si="2"/>
        <v>492</v>
      </c>
      <c r="B493" s="56" t="s">
        <v>532</v>
      </c>
      <c r="C493" s="55" t="s">
        <v>45</v>
      </c>
      <c r="D493" s="55">
        <v>1203.0</v>
      </c>
      <c r="E493" s="57" t="s">
        <v>379</v>
      </c>
      <c r="F493" s="2" t="s">
        <v>531</v>
      </c>
    </row>
    <row r="494">
      <c r="A494" s="55">
        <f t="shared" si="2"/>
        <v>493</v>
      </c>
      <c r="B494" s="56" t="s">
        <v>532</v>
      </c>
      <c r="C494" s="55" t="s">
        <v>28</v>
      </c>
      <c r="D494" s="55">
        <v>1579.0</v>
      </c>
      <c r="E494" s="57" t="s">
        <v>379</v>
      </c>
      <c r="F494" s="2" t="s">
        <v>531</v>
      </c>
    </row>
    <row r="495">
      <c r="A495" s="55">
        <f t="shared" si="2"/>
        <v>494</v>
      </c>
      <c r="B495" s="56" t="s">
        <v>532</v>
      </c>
      <c r="C495" s="55" t="s">
        <v>34</v>
      </c>
      <c r="D495" s="55">
        <v>1184.0</v>
      </c>
      <c r="E495" s="57" t="s">
        <v>379</v>
      </c>
      <c r="F495" s="2" t="s">
        <v>531</v>
      </c>
    </row>
    <row r="496">
      <c r="A496" s="55">
        <f t="shared" si="2"/>
        <v>495</v>
      </c>
      <c r="B496" s="56" t="s">
        <v>532</v>
      </c>
      <c r="C496" s="55" t="s">
        <v>42</v>
      </c>
      <c r="D496" s="55">
        <v>1519.0</v>
      </c>
      <c r="E496" s="57" t="s">
        <v>379</v>
      </c>
      <c r="F496" s="2" t="s">
        <v>531</v>
      </c>
    </row>
    <row r="497">
      <c r="A497" s="55">
        <f t="shared" si="2"/>
        <v>496</v>
      </c>
      <c r="B497" s="56" t="s">
        <v>532</v>
      </c>
      <c r="C497" s="55" t="s">
        <v>33</v>
      </c>
      <c r="D497" s="55">
        <v>1444.0</v>
      </c>
      <c r="E497" s="57" t="s">
        <v>379</v>
      </c>
      <c r="F497" s="2" t="s">
        <v>531</v>
      </c>
    </row>
    <row r="498">
      <c r="A498" s="55">
        <f t="shared" si="2"/>
        <v>497</v>
      </c>
      <c r="B498" s="56" t="s">
        <v>532</v>
      </c>
      <c r="C498" s="55" t="s">
        <v>35</v>
      </c>
      <c r="D498" s="55">
        <v>1383.0</v>
      </c>
      <c r="E498" s="57" t="s">
        <v>379</v>
      </c>
      <c r="F498" s="2" t="s">
        <v>531</v>
      </c>
    </row>
    <row r="499">
      <c r="A499" s="55">
        <f t="shared" si="2"/>
        <v>498</v>
      </c>
      <c r="B499" s="56" t="s">
        <v>532</v>
      </c>
      <c r="C499" s="55" t="s">
        <v>26</v>
      </c>
      <c r="D499" s="55">
        <v>1686.0</v>
      </c>
      <c r="E499" s="57" t="s">
        <v>379</v>
      </c>
      <c r="F499" s="2" t="s">
        <v>531</v>
      </c>
    </row>
    <row r="500">
      <c r="A500" s="55">
        <f t="shared" si="2"/>
        <v>499</v>
      </c>
      <c r="B500" s="56" t="s">
        <v>532</v>
      </c>
      <c r="C500" s="55" t="s">
        <v>39</v>
      </c>
      <c r="D500" s="55">
        <v>1556.0</v>
      </c>
      <c r="E500" s="57" t="s">
        <v>379</v>
      </c>
      <c r="F500" s="2" t="s">
        <v>531</v>
      </c>
    </row>
    <row r="501">
      <c r="A501" s="55">
        <f t="shared" si="2"/>
        <v>500</v>
      </c>
      <c r="B501" s="56" t="s">
        <v>537</v>
      </c>
      <c r="C501" s="55" t="s">
        <v>35</v>
      </c>
      <c r="D501" s="55">
        <v>1362.0</v>
      </c>
      <c r="E501" s="57" t="s">
        <v>379</v>
      </c>
      <c r="F501" s="2" t="s">
        <v>536</v>
      </c>
    </row>
    <row r="502">
      <c r="A502" s="55">
        <f t="shared" si="2"/>
        <v>501</v>
      </c>
      <c r="B502" s="56" t="s">
        <v>537</v>
      </c>
      <c r="C502" s="55" t="s">
        <v>42</v>
      </c>
      <c r="D502" s="55">
        <v>1534.0</v>
      </c>
      <c r="E502" s="57" t="s">
        <v>379</v>
      </c>
      <c r="F502" s="2" t="s">
        <v>536</v>
      </c>
    </row>
    <row r="503">
      <c r="A503" s="55">
        <f t="shared" si="2"/>
        <v>502</v>
      </c>
      <c r="B503" s="56" t="s">
        <v>537</v>
      </c>
      <c r="C503" s="55" t="s">
        <v>45</v>
      </c>
      <c r="D503" s="55">
        <v>1214.0</v>
      </c>
      <c r="E503" s="57" t="s">
        <v>379</v>
      </c>
      <c r="F503" s="2" t="s">
        <v>536</v>
      </c>
    </row>
    <row r="504">
      <c r="A504" s="55">
        <f t="shared" si="2"/>
        <v>503</v>
      </c>
      <c r="B504" s="56" t="s">
        <v>537</v>
      </c>
      <c r="C504" s="55" t="s">
        <v>26</v>
      </c>
      <c r="D504" s="55">
        <v>1672.0</v>
      </c>
      <c r="E504" s="57" t="s">
        <v>379</v>
      </c>
      <c r="F504" s="2" t="s">
        <v>536</v>
      </c>
    </row>
    <row r="505">
      <c r="A505" s="55">
        <f t="shared" si="2"/>
        <v>504</v>
      </c>
      <c r="B505" s="56" t="s">
        <v>537</v>
      </c>
      <c r="C505" s="55" t="s">
        <v>39</v>
      </c>
      <c r="D505" s="55">
        <v>1537.0</v>
      </c>
      <c r="E505" s="57" t="s">
        <v>379</v>
      </c>
      <c r="F505" s="2" t="s">
        <v>536</v>
      </c>
    </row>
    <row r="506">
      <c r="A506" s="55">
        <f t="shared" si="2"/>
        <v>505</v>
      </c>
      <c r="B506" s="56" t="s">
        <v>537</v>
      </c>
      <c r="C506" s="55" t="s">
        <v>34</v>
      </c>
      <c r="D506" s="55">
        <v>1195.0</v>
      </c>
      <c r="E506" s="57" t="s">
        <v>379</v>
      </c>
      <c r="F506" s="2" t="s">
        <v>536</v>
      </c>
    </row>
    <row r="507">
      <c r="A507" s="55">
        <f t="shared" si="2"/>
        <v>506</v>
      </c>
      <c r="B507" s="56" t="s">
        <v>537</v>
      </c>
      <c r="C507" s="55" t="s">
        <v>28</v>
      </c>
      <c r="D507" s="55">
        <v>1594.0</v>
      </c>
      <c r="E507" s="57" t="s">
        <v>379</v>
      </c>
      <c r="F507" s="2" t="s">
        <v>536</v>
      </c>
    </row>
    <row r="508">
      <c r="A508" s="55">
        <f t="shared" si="2"/>
        <v>507</v>
      </c>
      <c r="B508" s="56" t="s">
        <v>537</v>
      </c>
      <c r="C508" s="55" t="s">
        <v>33</v>
      </c>
      <c r="D508" s="55">
        <v>1425.0</v>
      </c>
      <c r="E508" s="57" t="s">
        <v>379</v>
      </c>
      <c r="F508" s="2" t="s">
        <v>536</v>
      </c>
    </row>
    <row r="509">
      <c r="A509" s="55">
        <f t="shared" si="2"/>
        <v>508</v>
      </c>
      <c r="B509" s="56" t="s">
        <v>541</v>
      </c>
      <c r="C509" s="55" t="s">
        <v>28</v>
      </c>
      <c r="D509" s="55">
        <v>1577.0</v>
      </c>
      <c r="E509" s="57" t="s">
        <v>379</v>
      </c>
      <c r="F509" s="2" t="s">
        <v>540</v>
      </c>
    </row>
    <row r="510">
      <c r="A510" s="55">
        <f t="shared" si="2"/>
        <v>509</v>
      </c>
      <c r="B510" s="56" t="s">
        <v>541</v>
      </c>
      <c r="C510" s="55" t="s">
        <v>45</v>
      </c>
      <c r="D510" s="55">
        <v>1223.0</v>
      </c>
      <c r="E510" s="57" t="s">
        <v>379</v>
      </c>
      <c r="F510" s="2" t="s">
        <v>540</v>
      </c>
    </row>
    <row r="511">
      <c r="A511" s="55">
        <f t="shared" si="2"/>
        <v>510</v>
      </c>
      <c r="B511" s="56" t="s">
        <v>541</v>
      </c>
      <c r="C511" s="55" t="s">
        <v>42</v>
      </c>
      <c r="D511" s="55">
        <v>1546.0</v>
      </c>
      <c r="E511" s="57" t="s">
        <v>379</v>
      </c>
      <c r="F511" s="2" t="s">
        <v>540</v>
      </c>
    </row>
    <row r="512">
      <c r="A512" s="55">
        <f t="shared" si="2"/>
        <v>511</v>
      </c>
      <c r="B512" s="56" t="s">
        <v>541</v>
      </c>
      <c r="C512" s="55" t="s">
        <v>34</v>
      </c>
      <c r="D512" s="55">
        <v>1166.0</v>
      </c>
      <c r="E512" s="57" t="s">
        <v>379</v>
      </c>
      <c r="F512" s="2" t="s">
        <v>540</v>
      </c>
    </row>
    <row r="513">
      <c r="A513" s="55">
        <f t="shared" si="2"/>
        <v>512</v>
      </c>
      <c r="B513" s="56" t="s">
        <v>541</v>
      </c>
      <c r="C513" s="55" t="s">
        <v>33</v>
      </c>
      <c r="D513" s="55">
        <v>1403.0</v>
      </c>
      <c r="E513" s="57" t="s">
        <v>379</v>
      </c>
      <c r="F513" s="2" t="s">
        <v>540</v>
      </c>
    </row>
    <row r="514">
      <c r="A514" s="55">
        <f t="shared" si="2"/>
        <v>513</v>
      </c>
      <c r="B514" s="56" t="s">
        <v>541</v>
      </c>
      <c r="C514" s="55" t="s">
        <v>35</v>
      </c>
      <c r="D514" s="55">
        <v>1372.0</v>
      </c>
      <c r="E514" s="57" t="s">
        <v>379</v>
      </c>
      <c r="F514" s="2" t="s">
        <v>540</v>
      </c>
    </row>
    <row r="515">
      <c r="A515" s="55">
        <f t="shared" si="2"/>
        <v>514</v>
      </c>
      <c r="B515" s="56" t="s">
        <v>541</v>
      </c>
      <c r="C515" s="55" t="s">
        <v>26</v>
      </c>
      <c r="D515" s="55">
        <v>1685.0</v>
      </c>
      <c r="E515" s="57" t="s">
        <v>379</v>
      </c>
      <c r="F515" s="2" t="s">
        <v>540</v>
      </c>
    </row>
    <row r="516">
      <c r="A516" s="55">
        <f t="shared" si="2"/>
        <v>515</v>
      </c>
      <c r="B516" s="56" t="s">
        <v>541</v>
      </c>
      <c r="C516" s="55" t="s">
        <v>27</v>
      </c>
      <c r="D516" s="55">
        <v>1677.0</v>
      </c>
      <c r="E516" s="57" t="s">
        <v>379</v>
      </c>
      <c r="F516" s="2" t="s">
        <v>540</v>
      </c>
    </row>
    <row r="517">
      <c r="A517" s="55">
        <f t="shared" si="2"/>
        <v>516</v>
      </c>
      <c r="B517" s="56" t="s">
        <v>545</v>
      </c>
      <c r="C517" s="55" t="s">
        <v>35</v>
      </c>
      <c r="D517" s="55">
        <v>1350.0</v>
      </c>
      <c r="E517" s="57" t="s">
        <v>379</v>
      </c>
      <c r="F517" s="2" t="s">
        <v>544</v>
      </c>
    </row>
    <row r="518">
      <c r="A518" s="55">
        <f t="shared" si="2"/>
        <v>517</v>
      </c>
      <c r="B518" s="56" t="s">
        <v>545</v>
      </c>
      <c r="C518" s="55" t="s">
        <v>28</v>
      </c>
      <c r="D518" s="55">
        <v>1594.0</v>
      </c>
      <c r="E518" s="57" t="s">
        <v>379</v>
      </c>
      <c r="F518" s="2" t="s">
        <v>544</v>
      </c>
    </row>
    <row r="519">
      <c r="A519" s="55">
        <f t="shared" si="2"/>
        <v>518</v>
      </c>
      <c r="B519" s="56" t="s">
        <v>545</v>
      </c>
      <c r="C519" s="55" t="s">
        <v>45</v>
      </c>
      <c r="D519" s="55">
        <v>1236.0</v>
      </c>
      <c r="E519" s="57" t="s">
        <v>379</v>
      </c>
      <c r="F519" s="2" t="s">
        <v>544</v>
      </c>
    </row>
    <row r="520">
      <c r="A520" s="55">
        <f t="shared" si="2"/>
        <v>519</v>
      </c>
      <c r="B520" s="56" t="s">
        <v>545</v>
      </c>
      <c r="C520" s="55" t="s">
        <v>33</v>
      </c>
      <c r="D520" s="55">
        <v>1382.0</v>
      </c>
      <c r="E520" s="57" t="s">
        <v>379</v>
      </c>
      <c r="F520" s="2" t="s">
        <v>544</v>
      </c>
    </row>
    <row r="521">
      <c r="A521" s="55">
        <f t="shared" si="2"/>
        <v>520</v>
      </c>
      <c r="B521" s="56" t="s">
        <v>545</v>
      </c>
      <c r="C521" s="55" t="s">
        <v>26</v>
      </c>
      <c r="D521" s="55">
        <v>1671.0</v>
      </c>
      <c r="E521" s="57" t="s">
        <v>379</v>
      </c>
      <c r="F521" s="2" t="s">
        <v>544</v>
      </c>
    </row>
    <row r="522">
      <c r="A522" s="55">
        <f t="shared" si="2"/>
        <v>521</v>
      </c>
      <c r="B522" s="56" t="s">
        <v>545</v>
      </c>
      <c r="C522" s="55" t="s">
        <v>27</v>
      </c>
      <c r="D522" s="55">
        <v>1665.0</v>
      </c>
      <c r="E522" s="57" t="s">
        <v>379</v>
      </c>
      <c r="F522" s="2" t="s">
        <v>544</v>
      </c>
    </row>
    <row r="523">
      <c r="A523" s="55">
        <f t="shared" si="2"/>
        <v>522</v>
      </c>
      <c r="B523" s="56" t="s">
        <v>545</v>
      </c>
      <c r="C523" s="55" t="s">
        <v>34</v>
      </c>
      <c r="D523" s="55">
        <v>1178.0</v>
      </c>
      <c r="E523" s="57" t="s">
        <v>379</v>
      </c>
      <c r="F523" s="2" t="s">
        <v>544</v>
      </c>
    </row>
    <row r="524">
      <c r="A524" s="55">
        <f t="shared" si="2"/>
        <v>523</v>
      </c>
      <c r="B524" s="56" t="s">
        <v>545</v>
      </c>
      <c r="C524" s="55" t="s">
        <v>42</v>
      </c>
      <c r="D524" s="55">
        <v>1563.0</v>
      </c>
      <c r="E524" s="57" t="s">
        <v>379</v>
      </c>
      <c r="F524" s="2" t="s">
        <v>544</v>
      </c>
    </row>
    <row r="525">
      <c r="A525" s="55">
        <f t="shared" si="2"/>
        <v>524</v>
      </c>
      <c r="B525" s="56" t="s">
        <v>549</v>
      </c>
      <c r="C525" s="55" t="s">
        <v>28</v>
      </c>
      <c r="D525" s="55">
        <v>1614.0</v>
      </c>
      <c r="E525" s="57" t="s">
        <v>379</v>
      </c>
      <c r="F525" s="2" t="s">
        <v>548</v>
      </c>
    </row>
    <row r="526">
      <c r="A526" s="55">
        <f t="shared" si="2"/>
        <v>525</v>
      </c>
      <c r="B526" s="56" t="s">
        <v>549</v>
      </c>
      <c r="C526" s="55" t="s">
        <v>33</v>
      </c>
      <c r="D526" s="55">
        <v>1399.0</v>
      </c>
      <c r="E526" s="57" t="s">
        <v>379</v>
      </c>
      <c r="F526" s="2" t="s">
        <v>548</v>
      </c>
    </row>
    <row r="527">
      <c r="A527" s="55">
        <f t="shared" si="2"/>
        <v>526</v>
      </c>
      <c r="B527" s="56" t="s">
        <v>549</v>
      </c>
      <c r="C527" s="55" t="s">
        <v>27</v>
      </c>
      <c r="D527" s="55">
        <v>1652.0</v>
      </c>
      <c r="E527" s="57" t="s">
        <v>379</v>
      </c>
      <c r="F527" s="2" t="s">
        <v>548</v>
      </c>
    </row>
    <row r="528">
      <c r="A528" s="55">
        <f t="shared" si="2"/>
        <v>527</v>
      </c>
      <c r="B528" s="56" t="s">
        <v>549</v>
      </c>
      <c r="C528" s="55" t="s">
        <v>34</v>
      </c>
      <c r="D528" s="55">
        <v>1149.0</v>
      </c>
      <c r="E528" s="57" t="s">
        <v>379</v>
      </c>
      <c r="F528" s="2" t="s">
        <v>548</v>
      </c>
    </row>
    <row r="529">
      <c r="A529" s="55">
        <f t="shared" si="2"/>
        <v>528</v>
      </c>
      <c r="B529" s="56" t="s">
        <v>549</v>
      </c>
      <c r="C529" s="55" t="s">
        <v>39</v>
      </c>
      <c r="D529" s="55">
        <v>1515.0</v>
      </c>
      <c r="E529" s="57" t="s">
        <v>379</v>
      </c>
      <c r="F529" s="2" t="s">
        <v>548</v>
      </c>
    </row>
    <row r="530">
      <c r="A530" s="55">
        <f t="shared" si="2"/>
        <v>529</v>
      </c>
      <c r="B530" s="56" t="s">
        <v>549</v>
      </c>
      <c r="C530" s="55" t="s">
        <v>35</v>
      </c>
      <c r="D530" s="55">
        <v>1366.0</v>
      </c>
      <c r="E530" s="57" t="s">
        <v>379</v>
      </c>
      <c r="F530" s="2" t="s">
        <v>548</v>
      </c>
    </row>
    <row r="531">
      <c r="A531" s="55">
        <f t="shared" si="2"/>
        <v>530</v>
      </c>
      <c r="B531" s="56" t="s">
        <v>549</v>
      </c>
      <c r="C531" s="55" t="s">
        <v>42</v>
      </c>
      <c r="D531" s="55">
        <v>1547.0</v>
      </c>
      <c r="E531" s="57" t="s">
        <v>379</v>
      </c>
      <c r="F531" s="2" t="s">
        <v>548</v>
      </c>
    </row>
    <row r="532">
      <c r="A532" s="55">
        <f t="shared" si="2"/>
        <v>531</v>
      </c>
      <c r="B532" s="56" t="s">
        <v>549</v>
      </c>
      <c r="C532" s="55" t="s">
        <v>26</v>
      </c>
      <c r="D532" s="55">
        <v>1656.0</v>
      </c>
      <c r="E532" s="57" t="s">
        <v>379</v>
      </c>
      <c r="F532" s="2" t="s">
        <v>548</v>
      </c>
    </row>
    <row r="533">
      <c r="A533" s="55">
        <f t="shared" si="2"/>
        <v>532</v>
      </c>
      <c r="B533" s="56" t="s">
        <v>554</v>
      </c>
      <c r="C533" s="55" t="s">
        <v>42</v>
      </c>
      <c r="D533" s="55">
        <v>1529.0</v>
      </c>
      <c r="E533" s="57" t="s">
        <v>379</v>
      </c>
      <c r="F533" s="2" t="s">
        <v>553</v>
      </c>
    </row>
    <row r="534">
      <c r="A534" s="55">
        <f t="shared" si="2"/>
        <v>533</v>
      </c>
      <c r="B534" s="56" t="s">
        <v>554</v>
      </c>
      <c r="C534" s="55" t="s">
        <v>33</v>
      </c>
      <c r="D534" s="55">
        <v>1412.0</v>
      </c>
      <c r="E534" s="57" t="s">
        <v>379</v>
      </c>
      <c r="F534" s="2" t="s">
        <v>553</v>
      </c>
    </row>
    <row r="535">
      <c r="A535" s="55">
        <f t="shared" si="2"/>
        <v>534</v>
      </c>
      <c r="B535" s="56" t="s">
        <v>554</v>
      </c>
      <c r="C535" s="55" t="s">
        <v>35</v>
      </c>
      <c r="D535" s="55">
        <v>1341.0</v>
      </c>
      <c r="E535" s="57" t="s">
        <v>379</v>
      </c>
      <c r="F535" s="2" t="s">
        <v>553</v>
      </c>
    </row>
    <row r="536">
      <c r="A536" s="55">
        <f t="shared" si="2"/>
        <v>535</v>
      </c>
      <c r="B536" s="56" t="s">
        <v>554</v>
      </c>
      <c r="C536" s="55" t="s">
        <v>28</v>
      </c>
      <c r="D536" s="55">
        <v>1630.0</v>
      </c>
      <c r="E536" s="57" t="s">
        <v>379</v>
      </c>
      <c r="F536" s="2" t="s">
        <v>553</v>
      </c>
    </row>
    <row r="537">
      <c r="A537" s="55">
        <f t="shared" si="2"/>
        <v>536</v>
      </c>
      <c r="B537" s="56" t="s">
        <v>554</v>
      </c>
      <c r="C537" s="55" t="s">
        <v>26</v>
      </c>
      <c r="D537" s="55">
        <v>1638.0</v>
      </c>
      <c r="E537" s="57" t="s">
        <v>379</v>
      </c>
      <c r="F537" s="2" t="s">
        <v>553</v>
      </c>
    </row>
    <row r="538">
      <c r="A538" s="55">
        <f t="shared" si="2"/>
        <v>537</v>
      </c>
      <c r="B538" s="56" t="s">
        <v>554</v>
      </c>
      <c r="C538" s="55" t="s">
        <v>34</v>
      </c>
      <c r="D538" s="55">
        <v>1160.0</v>
      </c>
      <c r="E538" s="57" t="s">
        <v>379</v>
      </c>
      <c r="F538" s="2" t="s">
        <v>553</v>
      </c>
    </row>
    <row r="539">
      <c r="A539" s="55">
        <f t="shared" si="2"/>
        <v>538</v>
      </c>
      <c r="B539" s="56" t="s">
        <v>558</v>
      </c>
      <c r="C539" s="55" t="s">
        <v>26</v>
      </c>
      <c r="D539" s="55">
        <v>1626.0</v>
      </c>
      <c r="E539" s="57" t="s">
        <v>379</v>
      </c>
      <c r="F539" s="2" t="s">
        <v>557</v>
      </c>
    </row>
    <row r="540">
      <c r="A540" s="55">
        <f t="shared" si="2"/>
        <v>539</v>
      </c>
      <c r="B540" s="56" t="s">
        <v>558</v>
      </c>
      <c r="C540" s="55" t="s">
        <v>33</v>
      </c>
      <c r="D540" s="55">
        <v>1426.0</v>
      </c>
      <c r="E540" s="57" t="s">
        <v>379</v>
      </c>
      <c r="F540" s="2" t="s">
        <v>557</v>
      </c>
    </row>
    <row r="541">
      <c r="A541" s="55">
        <f t="shared" si="2"/>
        <v>540</v>
      </c>
      <c r="B541" s="56" t="s">
        <v>558</v>
      </c>
      <c r="C541" s="55" t="s">
        <v>34</v>
      </c>
      <c r="D541" s="55">
        <v>1135.0</v>
      </c>
      <c r="E541" s="57" t="s">
        <v>379</v>
      </c>
      <c r="F541" s="2" t="s">
        <v>557</v>
      </c>
    </row>
    <row r="542">
      <c r="A542" s="55">
        <f t="shared" si="2"/>
        <v>541</v>
      </c>
      <c r="B542" s="56" t="s">
        <v>558</v>
      </c>
      <c r="C542" s="55" t="s">
        <v>28</v>
      </c>
      <c r="D542" s="55">
        <v>1620.0</v>
      </c>
      <c r="E542" s="57" t="s">
        <v>379</v>
      </c>
      <c r="F542" s="2" t="s">
        <v>557</v>
      </c>
    </row>
    <row r="543">
      <c r="A543" s="55">
        <f t="shared" si="2"/>
        <v>542</v>
      </c>
      <c r="B543" s="56" t="s">
        <v>558</v>
      </c>
      <c r="C543" s="55" t="s">
        <v>42</v>
      </c>
      <c r="D543" s="55">
        <v>1545.0</v>
      </c>
      <c r="E543" s="57" t="s">
        <v>379</v>
      </c>
      <c r="F543" s="2" t="s">
        <v>557</v>
      </c>
    </row>
    <row r="544">
      <c r="A544" s="55">
        <f t="shared" si="2"/>
        <v>543</v>
      </c>
      <c r="B544" s="56" t="s">
        <v>558</v>
      </c>
      <c r="C544" s="55" t="s">
        <v>27</v>
      </c>
      <c r="D544" s="55">
        <v>1668.0</v>
      </c>
      <c r="E544" s="57" t="s">
        <v>379</v>
      </c>
      <c r="F544" s="2" t="s">
        <v>557</v>
      </c>
    </row>
    <row r="545">
      <c r="A545" s="55">
        <f t="shared" si="2"/>
        <v>544</v>
      </c>
      <c r="B545" s="56" t="s">
        <v>562</v>
      </c>
      <c r="C545" s="55" t="s">
        <v>33</v>
      </c>
      <c r="D545" s="55">
        <v>1437.0</v>
      </c>
      <c r="E545" s="57" t="s">
        <v>379</v>
      </c>
      <c r="F545" s="2" t="s">
        <v>561</v>
      </c>
    </row>
    <row r="546">
      <c r="A546" s="55">
        <f t="shared" si="2"/>
        <v>545</v>
      </c>
      <c r="B546" s="56" t="s">
        <v>562</v>
      </c>
      <c r="C546" s="55" t="s">
        <v>35</v>
      </c>
      <c r="D546" s="55">
        <v>1322.0</v>
      </c>
      <c r="E546" s="57" t="s">
        <v>379</v>
      </c>
      <c r="F546" s="2" t="s">
        <v>561</v>
      </c>
    </row>
    <row r="547">
      <c r="A547" s="55">
        <f t="shared" si="2"/>
        <v>546</v>
      </c>
      <c r="B547" s="56" t="s">
        <v>562</v>
      </c>
      <c r="C547" s="55" t="s">
        <v>26</v>
      </c>
      <c r="D547" s="55">
        <v>1638.0</v>
      </c>
      <c r="E547" s="57" t="s">
        <v>379</v>
      </c>
      <c r="F547" s="2" t="s">
        <v>561</v>
      </c>
    </row>
    <row r="548">
      <c r="A548" s="55">
        <f t="shared" si="2"/>
        <v>547</v>
      </c>
      <c r="B548" s="56" t="s">
        <v>562</v>
      </c>
      <c r="C548" s="55" t="s">
        <v>27</v>
      </c>
      <c r="D548" s="55">
        <v>1658.0</v>
      </c>
      <c r="E548" s="57" t="s">
        <v>379</v>
      </c>
      <c r="F548" s="2" t="s">
        <v>561</v>
      </c>
    </row>
    <row r="549">
      <c r="A549" s="55">
        <f t="shared" si="2"/>
        <v>548</v>
      </c>
      <c r="B549" s="56" t="s">
        <v>562</v>
      </c>
      <c r="C549" s="55" t="s">
        <v>42</v>
      </c>
      <c r="D549" s="55">
        <v>1531.0</v>
      </c>
      <c r="E549" s="57" t="s">
        <v>379</v>
      </c>
      <c r="F549" s="2" t="s">
        <v>561</v>
      </c>
    </row>
    <row r="550">
      <c r="A550" s="55">
        <f t="shared" si="2"/>
        <v>549</v>
      </c>
      <c r="B550" s="56" t="s">
        <v>566</v>
      </c>
      <c r="C550" s="55" t="s">
        <v>33</v>
      </c>
      <c r="D550" s="55">
        <v>1449.0</v>
      </c>
      <c r="E550" s="57" t="s">
        <v>379</v>
      </c>
      <c r="F550" s="2" t="s">
        <v>565</v>
      </c>
    </row>
    <row r="551">
      <c r="A551" s="55">
        <f t="shared" si="2"/>
        <v>550</v>
      </c>
      <c r="B551" s="56" t="s">
        <v>566</v>
      </c>
      <c r="C551" s="55" t="s">
        <v>26</v>
      </c>
      <c r="D551" s="55">
        <v>1652.0</v>
      </c>
      <c r="E551" s="57" t="s">
        <v>379</v>
      </c>
      <c r="F551" s="2" t="s">
        <v>565</v>
      </c>
    </row>
    <row r="552">
      <c r="A552" s="55">
        <f t="shared" si="2"/>
        <v>551</v>
      </c>
      <c r="B552" s="56" t="s">
        <v>566</v>
      </c>
      <c r="C552" s="55" t="s">
        <v>35</v>
      </c>
      <c r="D552" s="55">
        <v>1333.0</v>
      </c>
      <c r="E552" s="57" t="s">
        <v>379</v>
      </c>
      <c r="F552" s="2" t="s">
        <v>565</v>
      </c>
    </row>
    <row r="553">
      <c r="A553" s="55">
        <f t="shared" si="2"/>
        <v>552</v>
      </c>
      <c r="B553" s="56" t="s">
        <v>566</v>
      </c>
      <c r="C553" s="55" t="s">
        <v>42</v>
      </c>
      <c r="D553" s="55">
        <v>1515.0</v>
      </c>
      <c r="E553" s="57" t="s">
        <v>379</v>
      </c>
      <c r="F553" s="2" t="s">
        <v>565</v>
      </c>
    </row>
    <row r="554">
      <c r="A554" s="55">
        <f t="shared" si="2"/>
        <v>553</v>
      </c>
      <c r="B554" s="56" t="s">
        <v>566</v>
      </c>
      <c r="C554" s="55" t="s">
        <v>27</v>
      </c>
      <c r="D554" s="55">
        <v>1646.0</v>
      </c>
      <c r="E554" s="57" t="s">
        <v>379</v>
      </c>
      <c r="F554" s="2" t="s">
        <v>565</v>
      </c>
    </row>
    <row r="555">
      <c r="A555" s="55">
        <f t="shared" si="2"/>
        <v>554</v>
      </c>
      <c r="B555" s="56" t="s">
        <v>570</v>
      </c>
      <c r="C555" s="55" t="s">
        <v>26</v>
      </c>
      <c r="D555" s="55">
        <v>1642.0</v>
      </c>
      <c r="E555" s="57" t="s">
        <v>379</v>
      </c>
      <c r="F555" s="2" t="s">
        <v>569</v>
      </c>
    </row>
    <row r="556">
      <c r="A556" s="55">
        <f t="shared" si="2"/>
        <v>555</v>
      </c>
      <c r="B556" s="56" t="s">
        <v>570</v>
      </c>
      <c r="C556" s="55" t="s">
        <v>34</v>
      </c>
      <c r="D556" s="55">
        <v>1143.0</v>
      </c>
      <c r="E556" s="57" t="s">
        <v>379</v>
      </c>
      <c r="F556" s="2" t="s">
        <v>569</v>
      </c>
    </row>
    <row r="557">
      <c r="A557" s="55">
        <f t="shared" si="2"/>
        <v>556</v>
      </c>
      <c r="B557" s="56" t="s">
        <v>570</v>
      </c>
      <c r="C557" s="55" t="s">
        <v>29</v>
      </c>
      <c r="D557" s="55">
        <v>1355.0</v>
      </c>
      <c r="E557" s="57" t="s">
        <v>379</v>
      </c>
      <c r="F557" s="2" t="s">
        <v>569</v>
      </c>
    </row>
    <row r="558">
      <c r="A558" s="55">
        <f t="shared" si="2"/>
        <v>557</v>
      </c>
      <c r="B558" s="56" t="s">
        <v>570</v>
      </c>
      <c r="C558" s="55" t="s">
        <v>27</v>
      </c>
      <c r="D558" s="55">
        <v>1638.0</v>
      </c>
      <c r="E558" s="57" t="s">
        <v>379</v>
      </c>
      <c r="F558" s="2" t="s">
        <v>569</v>
      </c>
    </row>
    <row r="559">
      <c r="A559" s="55">
        <f t="shared" si="2"/>
        <v>558</v>
      </c>
      <c r="B559" s="56" t="s">
        <v>570</v>
      </c>
      <c r="C559" s="55" t="s">
        <v>28</v>
      </c>
      <c r="D559" s="55">
        <v>1609.0</v>
      </c>
      <c r="E559" s="57" t="s">
        <v>379</v>
      </c>
      <c r="F559" s="2" t="s">
        <v>569</v>
      </c>
    </row>
    <row r="560">
      <c r="A560" s="55">
        <f t="shared" si="2"/>
        <v>559</v>
      </c>
      <c r="B560" s="56" t="s">
        <v>570</v>
      </c>
      <c r="C560" s="55" t="s">
        <v>35</v>
      </c>
      <c r="D560" s="55">
        <v>1316.0</v>
      </c>
      <c r="E560" s="57" t="s">
        <v>379</v>
      </c>
      <c r="F560" s="2" t="s">
        <v>569</v>
      </c>
    </row>
    <row r="561">
      <c r="A561" s="55">
        <f t="shared" si="2"/>
        <v>560</v>
      </c>
      <c r="B561" s="56" t="s">
        <v>570</v>
      </c>
      <c r="C561" s="55" t="s">
        <v>31</v>
      </c>
      <c r="D561" s="55">
        <v>1642.0</v>
      </c>
      <c r="E561" s="57" t="s">
        <v>379</v>
      </c>
      <c r="F561" s="2" t="s">
        <v>569</v>
      </c>
    </row>
    <row r="562">
      <c r="A562" s="55">
        <f t="shared" si="2"/>
        <v>561</v>
      </c>
      <c r="B562" s="56" t="s">
        <v>570</v>
      </c>
      <c r="C562" s="55" t="s">
        <v>36</v>
      </c>
      <c r="D562" s="55">
        <v>1388.0</v>
      </c>
      <c r="E562" s="57" t="s">
        <v>379</v>
      </c>
      <c r="F562" s="2" t="s">
        <v>569</v>
      </c>
    </row>
    <row r="563">
      <c r="A563" s="55">
        <f t="shared" si="2"/>
        <v>562</v>
      </c>
      <c r="B563" s="56" t="s">
        <v>575</v>
      </c>
      <c r="C563" s="55" t="s">
        <v>35</v>
      </c>
      <c r="D563" s="55">
        <v>1290.0</v>
      </c>
      <c r="E563" s="57" t="s">
        <v>379</v>
      </c>
      <c r="F563" s="2" t="s">
        <v>574</v>
      </c>
    </row>
    <row r="564">
      <c r="A564" s="55">
        <f t="shared" si="2"/>
        <v>563</v>
      </c>
      <c r="B564" s="56" t="s">
        <v>575</v>
      </c>
      <c r="C564" s="55" t="s">
        <v>27</v>
      </c>
      <c r="D564" s="55">
        <v>1657.0</v>
      </c>
      <c r="E564" s="57" t="s">
        <v>379</v>
      </c>
      <c r="F564" s="2" t="s">
        <v>574</v>
      </c>
    </row>
    <row r="565">
      <c r="A565" s="55">
        <f t="shared" si="2"/>
        <v>564</v>
      </c>
      <c r="B565" s="56" t="s">
        <v>575</v>
      </c>
      <c r="C565" s="55" t="s">
        <v>28</v>
      </c>
      <c r="D565" s="55">
        <v>1593.0</v>
      </c>
      <c r="E565" s="57" t="s">
        <v>379</v>
      </c>
      <c r="F565" s="2" t="s">
        <v>574</v>
      </c>
    </row>
    <row r="566">
      <c r="A566" s="55">
        <f t="shared" si="2"/>
        <v>565</v>
      </c>
      <c r="B566" s="56" t="s">
        <v>575</v>
      </c>
      <c r="C566" s="55" t="s">
        <v>34</v>
      </c>
      <c r="D566" s="55">
        <v>1155.0</v>
      </c>
      <c r="E566" s="57" t="s">
        <v>379</v>
      </c>
      <c r="F566" s="2" t="s">
        <v>574</v>
      </c>
    </row>
    <row r="567">
      <c r="A567" s="55">
        <f t="shared" si="2"/>
        <v>566</v>
      </c>
      <c r="B567" s="56" t="s">
        <v>575</v>
      </c>
      <c r="C567" s="55" t="s">
        <v>29</v>
      </c>
      <c r="D567" s="55">
        <v>1370.0</v>
      </c>
      <c r="E567" s="57" t="s">
        <v>379</v>
      </c>
      <c r="F567" s="2" t="s">
        <v>574</v>
      </c>
    </row>
    <row r="568">
      <c r="A568" s="55">
        <f t="shared" si="2"/>
        <v>567</v>
      </c>
      <c r="B568" s="56" t="s">
        <v>575</v>
      </c>
      <c r="C568" s="55" t="s">
        <v>36</v>
      </c>
      <c r="D568" s="55">
        <v>1364.0</v>
      </c>
      <c r="E568" s="57" t="s">
        <v>379</v>
      </c>
      <c r="F568" s="2" t="s">
        <v>574</v>
      </c>
    </row>
    <row r="569">
      <c r="A569" s="55">
        <f t="shared" si="2"/>
        <v>568</v>
      </c>
      <c r="B569" s="56" t="s">
        <v>575</v>
      </c>
      <c r="C569" s="55" t="s">
        <v>26</v>
      </c>
      <c r="D569" s="55">
        <v>1661.0</v>
      </c>
      <c r="E569" s="57" t="s">
        <v>379</v>
      </c>
      <c r="F569" s="2" t="s">
        <v>574</v>
      </c>
    </row>
    <row r="570">
      <c r="A570" s="55">
        <f t="shared" si="2"/>
        <v>569</v>
      </c>
      <c r="B570" s="56" t="s">
        <v>575</v>
      </c>
      <c r="C570" s="55" t="s">
        <v>31</v>
      </c>
      <c r="D570" s="55">
        <v>1624.0</v>
      </c>
      <c r="E570" s="57" t="s">
        <v>379</v>
      </c>
      <c r="F570" s="2" t="s">
        <v>574</v>
      </c>
    </row>
    <row r="571">
      <c r="A571" s="55">
        <f t="shared" si="2"/>
        <v>570</v>
      </c>
      <c r="B571" s="56" t="s">
        <v>579</v>
      </c>
      <c r="C571" s="55" t="s">
        <v>52</v>
      </c>
      <c r="D571" s="55">
        <v>1240.0</v>
      </c>
      <c r="E571" s="57" t="s">
        <v>379</v>
      </c>
      <c r="F571" s="2" t="s">
        <v>578</v>
      </c>
    </row>
    <row r="572">
      <c r="A572" s="55">
        <f t="shared" si="2"/>
        <v>571</v>
      </c>
      <c r="B572" s="56" t="s">
        <v>579</v>
      </c>
      <c r="C572" s="55" t="s">
        <v>42</v>
      </c>
      <c r="D572" s="55">
        <v>1504.0</v>
      </c>
      <c r="E572" s="57" t="s">
        <v>379</v>
      </c>
      <c r="F572" s="2" t="s">
        <v>578</v>
      </c>
    </row>
    <row r="573">
      <c r="A573" s="55">
        <f t="shared" si="2"/>
        <v>572</v>
      </c>
      <c r="B573" s="56" t="s">
        <v>579</v>
      </c>
      <c r="C573" s="55" t="s">
        <v>35</v>
      </c>
      <c r="D573" s="55">
        <v>1299.0</v>
      </c>
      <c r="E573" s="57" t="s">
        <v>379</v>
      </c>
      <c r="F573" s="2" t="s">
        <v>578</v>
      </c>
    </row>
    <row r="574">
      <c r="A574" s="55">
        <f t="shared" si="2"/>
        <v>573</v>
      </c>
      <c r="B574" s="56" t="s">
        <v>579</v>
      </c>
      <c r="C574" s="55" t="s">
        <v>34</v>
      </c>
      <c r="D574" s="55">
        <v>1163.0</v>
      </c>
      <c r="E574" s="57" t="s">
        <v>379</v>
      </c>
      <c r="F574" s="2" t="s">
        <v>578</v>
      </c>
    </row>
    <row r="575">
      <c r="A575" s="55">
        <f t="shared" si="2"/>
        <v>574</v>
      </c>
      <c r="B575" s="56" t="s">
        <v>579</v>
      </c>
      <c r="C575" s="55" t="s">
        <v>24</v>
      </c>
      <c r="D575" s="55">
        <v>1550.0</v>
      </c>
      <c r="E575" s="57" t="s">
        <v>379</v>
      </c>
      <c r="F575" s="2" t="s">
        <v>578</v>
      </c>
    </row>
    <row r="576">
      <c r="A576" s="55">
        <f t="shared" si="2"/>
        <v>575</v>
      </c>
      <c r="B576" s="56" t="s">
        <v>579</v>
      </c>
      <c r="C576" s="55" t="s">
        <v>27</v>
      </c>
      <c r="D576" s="55">
        <v>1669.0</v>
      </c>
      <c r="E576" s="57" t="s">
        <v>379</v>
      </c>
      <c r="F576" s="2" t="s">
        <v>578</v>
      </c>
    </row>
    <row r="577">
      <c r="A577" s="55">
        <f t="shared" si="2"/>
        <v>576</v>
      </c>
      <c r="B577" s="56" t="s">
        <v>579</v>
      </c>
      <c r="C577" s="55" t="s">
        <v>28</v>
      </c>
      <c r="D577" s="55">
        <v>1605.0</v>
      </c>
      <c r="E577" s="57" t="s">
        <v>379</v>
      </c>
      <c r="F577" s="2" t="s">
        <v>578</v>
      </c>
    </row>
    <row r="578">
      <c r="A578" s="55">
        <f t="shared" si="2"/>
        <v>577</v>
      </c>
      <c r="B578" s="56" t="s">
        <v>579</v>
      </c>
      <c r="C578" s="55" t="s">
        <v>26</v>
      </c>
      <c r="D578" s="55">
        <v>1645.0</v>
      </c>
      <c r="E578" s="57" t="s">
        <v>379</v>
      </c>
      <c r="F578" s="2" t="s">
        <v>578</v>
      </c>
    </row>
    <row r="579">
      <c r="A579" s="55">
        <f t="shared" si="2"/>
        <v>578</v>
      </c>
      <c r="B579" s="56" t="s">
        <v>584</v>
      </c>
      <c r="C579" s="55" t="s">
        <v>35</v>
      </c>
      <c r="D579" s="55">
        <v>1312.0</v>
      </c>
      <c r="E579" s="57" t="s">
        <v>379</v>
      </c>
      <c r="F579" s="2" t="s">
        <v>583</v>
      </c>
    </row>
    <row r="580">
      <c r="A580" s="55">
        <f t="shared" si="2"/>
        <v>579</v>
      </c>
      <c r="B580" s="56" t="s">
        <v>584</v>
      </c>
      <c r="C580" s="55" t="s">
        <v>34</v>
      </c>
      <c r="D580" s="55">
        <v>1174.0</v>
      </c>
      <c r="E580" s="57" t="s">
        <v>379</v>
      </c>
      <c r="F580" s="2" t="s">
        <v>583</v>
      </c>
    </row>
    <row r="581">
      <c r="A581" s="55">
        <f t="shared" si="2"/>
        <v>580</v>
      </c>
      <c r="B581" s="56" t="s">
        <v>584</v>
      </c>
      <c r="C581" s="55" t="s">
        <v>44</v>
      </c>
      <c r="D581" s="55">
        <v>1105.0</v>
      </c>
      <c r="E581" s="57" t="s">
        <v>379</v>
      </c>
      <c r="F581" s="2" t="s">
        <v>583</v>
      </c>
    </row>
    <row r="582">
      <c r="A582" s="55">
        <f t="shared" si="2"/>
        <v>581</v>
      </c>
      <c r="B582" s="56" t="s">
        <v>584</v>
      </c>
      <c r="C582" s="55" t="s">
        <v>27</v>
      </c>
      <c r="D582" s="55">
        <v>1659.0</v>
      </c>
      <c r="E582" s="57" t="s">
        <v>379</v>
      </c>
      <c r="F582" s="2" t="s">
        <v>583</v>
      </c>
    </row>
    <row r="583">
      <c r="A583" s="55">
        <f t="shared" si="2"/>
        <v>582</v>
      </c>
      <c r="B583" s="56" t="s">
        <v>584</v>
      </c>
      <c r="C583" s="55" t="s">
        <v>28</v>
      </c>
      <c r="D583" s="55">
        <v>1593.0</v>
      </c>
      <c r="E583" s="57" t="s">
        <v>379</v>
      </c>
      <c r="F583" s="2" t="s">
        <v>583</v>
      </c>
    </row>
    <row r="584">
      <c r="A584" s="55">
        <f t="shared" si="2"/>
        <v>583</v>
      </c>
      <c r="B584" s="56" t="s">
        <v>584</v>
      </c>
      <c r="C584" s="55" t="s">
        <v>26</v>
      </c>
      <c r="D584" s="55">
        <v>1632.0</v>
      </c>
      <c r="E584" s="57" t="s">
        <v>379</v>
      </c>
      <c r="F584" s="2" t="s">
        <v>583</v>
      </c>
    </row>
    <row r="585">
      <c r="A585" s="55">
        <f t="shared" si="2"/>
        <v>584</v>
      </c>
      <c r="B585" s="56" t="s">
        <v>584</v>
      </c>
      <c r="C585" s="55" t="s">
        <v>42</v>
      </c>
      <c r="D585" s="55">
        <v>1519.0</v>
      </c>
      <c r="E585" s="57" t="s">
        <v>379</v>
      </c>
      <c r="F585" s="2" t="s">
        <v>583</v>
      </c>
    </row>
    <row r="586">
      <c r="A586" s="55">
        <f t="shared" si="2"/>
        <v>585</v>
      </c>
      <c r="B586" s="56" t="s">
        <v>584</v>
      </c>
      <c r="C586" s="55" t="s">
        <v>52</v>
      </c>
      <c r="D586" s="55">
        <v>1252.0</v>
      </c>
      <c r="E586" s="57" t="s">
        <v>379</v>
      </c>
      <c r="F586" s="2" t="s">
        <v>583</v>
      </c>
    </row>
    <row r="587">
      <c r="A587" s="55">
        <f t="shared" si="2"/>
        <v>586</v>
      </c>
      <c r="B587" s="56" t="s">
        <v>589</v>
      </c>
      <c r="C587" s="55" t="s">
        <v>52</v>
      </c>
      <c r="D587" s="55">
        <v>1223.0</v>
      </c>
      <c r="E587" s="57" t="s">
        <v>379</v>
      </c>
      <c r="F587" s="2" t="s">
        <v>588</v>
      </c>
    </row>
    <row r="588">
      <c r="A588" s="55">
        <f t="shared" si="2"/>
        <v>587</v>
      </c>
      <c r="B588" s="56" t="s">
        <v>589</v>
      </c>
      <c r="C588" s="55" t="s">
        <v>28</v>
      </c>
      <c r="D588" s="55">
        <v>1580.0</v>
      </c>
      <c r="E588" s="57" t="s">
        <v>379</v>
      </c>
      <c r="F588" s="2" t="s">
        <v>588</v>
      </c>
    </row>
    <row r="589">
      <c r="A589" s="55">
        <f t="shared" si="2"/>
        <v>588</v>
      </c>
      <c r="B589" s="56" t="s">
        <v>589</v>
      </c>
      <c r="C589" s="55" t="s">
        <v>35</v>
      </c>
      <c r="D589" s="55">
        <v>1328.0</v>
      </c>
      <c r="E589" s="57" t="s">
        <v>379</v>
      </c>
      <c r="F589" s="2" t="s">
        <v>588</v>
      </c>
    </row>
    <row r="590">
      <c r="A590" s="55">
        <f t="shared" si="2"/>
        <v>589</v>
      </c>
      <c r="B590" s="56" t="s">
        <v>589</v>
      </c>
      <c r="C590" s="55" t="s">
        <v>44</v>
      </c>
      <c r="D590" s="55">
        <v>1118.0</v>
      </c>
      <c r="E590" s="57" t="s">
        <v>379</v>
      </c>
      <c r="F590" s="2" t="s">
        <v>588</v>
      </c>
    </row>
    <row r="591">
      <c r="A591" s="55">
        <f t="shared" si="2"/>
        <v>590</v>
      </c>
      <c r="B591" s="56" t="s">
        <v>589</v>
      </c>
      <c r="C591" s="55" t="s">
        <v>26</v>
      </c>
      <c r="D591" s="55">
        <v>1618.0</v>
      </c>
      <c r="E591" s="57" t="s">
        <v>379</v>
      </c>
      <c r="F591" s="2" t="s">
        <v>588</v>
      </c>
    </row>
    <row r="592">
      <c r="A592" s="55">
        <f t="shared" si="2"/>
        <v>591</v>
      </c>
      <c r="B592" s="56" t="s">
        <v>589</v>
      </c>
      <c r="C592" s="55" t="s">
        <v>27</v>
      </c>
      <c r="D592" s="55">
        <v>1680.0</v>
      </c>
      <c r="E592" s="57" t="s">
        <v>379</v>
      </c>
      <c r="F592" s="2" t="s">
        <v>588</v>
      </c>
    </row>
    <row r="593">
      <c r="A593" s="55">
        <f t="shared" si="2"/>
        <v>592</v>
      </c>
      <c r="B593" s="56" t="s">
        <v>589</v>
      </c>
      <c r="C593" s="55" t="s">
        <v>34</v>
      </c>
      <c r="D593" s="55">
        <v>1188.0</v>
      </c>
      <c r="E593" s="57" t="s">
        <v>379</v>
      </c>
      <c r="F593" s="2" t="s">
        <v>588</v>
      </c>
    </row>
    <row r="594">
      <c r="A594" s="55">
        <f t="shared" si="2"/>
        <v>593</v>
      </c>
      <c r="B594" s="56" t="s">
        <v>589</v>
      </c>
      <c r="C594" s="55" t="s">
        <v>42</v>
      </c>
      <c r="D594" s="55">
        <v>1504.0</v>
      </c>
      <c r="E594" s="57" t="s">
        <v>379</v>
      </c>
      <c r="F594" s="2" t="s">
        <v>588</v>
      </c>
    </row>
    <row r="595">
      <c r="A595" s="55">
        <f t="shared" si="2"/>
        <v>594</v>
      </c>
      <c r="B595" s="56" t="s">
        <v>593</v>
      </c>
      <c r="C595" s="55" t="s">
        <v>36</v>
      </c>
      <c r="D595" s="55">
        <v>1340.0</v>
      </c>
      <c r="E595" s="57" t="s">
        <v>379</v>
      </c>
      <c r="F595" s="2" t="s">
        <v>592</v>
      </c>
    </row>
    <row r="596">
      <c r="A596" s="55">
        <f t="shared" si="2"/>
        <v>595</v>
      </c>
      <c r="B596" s="56" t="s">
        <v>593</v>
      </c>
      <c r="C596" s="55" t="s">
        <v>39</v>
      </c>
      <c r="D596" s="55">
        <v>1491.0</v>
      </c>
      <c r="E596" s="57" t="s">
        <v>379</v>
      </c>
      <c r="F596" s="2" t="s">
        <v>592</v>
      </c>
    </row>
    <row r="597">
      <c r="A597" s="55">
        <f t="shared" si="2"/>
        <v>596</v>
      </c>
      <c r="B597" s="56" t="s">
        <v>593</v>
      </c>
      <c r="C597" s="55" t="s">
        <v>45</v>
      </c>
      <c r="D597" s="55">
        <v>1251.0</v>
      </c>
      <c r="E597" s="57" t="s">
        <v>379</v>
      </c>
      <c r="F597" s="2" t="s">
        <v>592</v>
      </c>
    </row>
    <row r="598">
      <c r="A598" s="55">
        <f t="shared" si="2"/>
        <v>597</v>
      </c>
      <c r="B598" s="56" t="s">
        <v>593</v>
      </c>
      <c r="C598" s="55" t="s">
        <v>30</v>
      </c>
      <c r="D598" s="55">
        <v>1312.0</v>
      </c>
      <c r="E598" s="57" t="s">
        <v>379</v>
      </c>
      <c r="F598" s="2" t="s">
        <v>592</v>
      </c>
    </row>
    <row r="599">
      <c r="A599" s="55">
        <f t="shared" si="2"/>
        <v>598</v>
      </c>
      <c r="B599" s="56" t="s">
        <v>593</v>
      </c>
      <c r="C599" s="55" t="s">
        <v>35</v>
      </c>
      <c r="D599" s="55">
        <v>1342.0</v>
      </c>
      <c r="E599" s="57" t="s">
        <v>379</v>
      </c>
      <c r="F599" s="2" t="s">
        <v>592</v>
      </c>
    </row>
    <row r="600">
      <c r="A600" s="55">
        <f t="shared" si="2"/>
        <v>599</v>
      </c>
      <c r="B600" s="56" t="s">
        <v>593</v>
      </c>
      <c r="C600" s="55" t="s">
        <v>42</v>
      </c>
      <c r="D600" s="55">
        <v>1489.0</v>
      </c>
      <c r="E600" s="57" t="s">
        <v>379</v>
      </c>
      <c r="F600" s="2" t="s">
        <v>592</v>
      </c>
    </row>
    <row r="601">
      <c r="A601" s="55">
        <f t="shared" si="2"/>
        <v>600</v>
      </c>
      <c r="B601" s="56" t="s">
        <v>593</v>
      </c>
      <c r="C601" s="55" t="s">
        <v>26</v>
      </c>
      <c r="D601" s="55">
        <v>1604.0</v>
      </c>
      <c r="E601" s="57" t="s">
        <v>379</v>
      </c>
      <c r="F601" s="2" t="s">
        <v>592</v>
      </c>
    </row>
    <row r="602">
      <c r="A602" s="55">
        <f t="shared" si="2"/>
        <v>601</v>
      </c>
      <c r="B602" s="56" t="s">
        <v>598</v>
      </c>
      <c r="C602" s="55" t="s">
        <v>36</v>
      </c>
      <c r="D602" s="55">
        <v>1354.0</v>
      </c>
      <c r="E602" s="57" t="s">
        <v>379</v>
      </c>
      <c r="F602" s="2" t="s">
        <v>597</v>
      </c>
    </row>
    <row r="603">
      <c r="A603" s="55">
        <f t="shared" si="2"/>
        <v>602</v>
      </c>
      <c r="B603" s="56" t="s">
        <v>598</v>
      </c>
      <c r="C603" s="55" t="s">
        <v>45</v>
      </c>
      <c r="D603" s="55">
        <v>1264.0</v>
      </c>
      <c r="E603" s="57" t="s">
        <v>379</v>
      </c>
      <c r="F603" s="2" t="s">
        <v>597</v>
      </c>
    </row>
    <row r="604">
      <c r="A604" s="55">
        <f t="shared" si="2"/>
        <v>603</v>
      </c>
      <c r="B604" s="56" t="s">
        <v>598</v>
      </c>
      <c r="C604" s="55" t="s">
        <v>42</v>
      </c>
      <c r="D604" s="55">
        <v>1472.0</v>
      </c>
      <c r="E604" s="57" t="s">
        <v>379</v>
      </c>
      <c r="F604" s="2" t="s">
        <v>597</v>
      </c>
    </row>
    <row r="605">
      <c r="A605" s="55">
        <f t="shared" si="2"/>
        <v>604</v>
      </c>
      <c r="B605" s="56" t="s">
        <v>598</v>
      </c>
      <c r="C605" s="55" t="s">
        <v>35</v>
      </c>
      <c r="D605" s="55">
        <v>1320.0</v>
      </c>
      <c r="E605" s="57" t="s">
        <v>379</v>
      </c>
      <c r="F605" s="2" t="s">
        <v>597</v>
      </c>
    </row>
    <row r="606">
      <c r="A606" s="55">
        <f t="shared" si="2"/>
        <v>605</v>
      </c>
      <c r="B606" s="56" t="s">
        <v>598</v>
      </c>
      <c r="C606" s="55" t="s">
        <v>24</v>
      </c>
      <c r="D606" s="55">
        <v>1534.0</v>
      </c>
      <c r="E606" s="57" t="s">
        <v>379</v>
      </c>
      <c r="F606" s="2" t="s">
        <v>597</v>
      </c>
    </row>
    <row r="607">
      <c r="A607" s="55">
        <f t="shared" si="2"/>
        <v>606</v>
      </c>
      <c r="B607" s="56" t="s">
        <v>598</v>
      </c>
      <c r="C607" s="55" t="s">
        <v>26</v>
      </c>
      <c r="D607" s="55">
        <v>1588.0</v>
      </c>
      <c r="E607" s="57" t="s">
        <v>379</v>
      </c>
      <c r="F607" s="2" t="s">
        <v>597</v>
      </c>
    </row>
    <row r="608">
      <c r="A608" s="55">
        <f t="shared" si="2"/>
        <v>607</v>
      </c>
      <c r="B608" s="56" t="s">
        <v>598</v>
      </c>
      <c r="C608" s="55" t="s">
        <v>52</v>
      </c>
      <c r="D608" s="55">
        <v>1236.0</v>
      </c>
      <c r="E608" s="57" t="s">
        <v>379</v>
      </c>
      <c r="F608" s="2" t="s">
        <v>597</v>
      </c>
    </row>
    <row r="609">
      <c r="A609" s="55">
        <f t="shared" si="2"/>
        <v>608</v>
      </c>
      <c r="B609" s="56" t="s">
        <v>603</v>
      </c>
      <c r="C609" s="55" t="s">
        <v>35</v>
      </c>
      <c r="D609" s="55">
        <v>1299.0</v>
      </c>
      <c r="E609" s="57" t="s">
        <v>379</v>
      </c>
      <c r="F609" s="2" t="s">
        <v>602</v>
      </c>
    </row>
    <row r="610">
      <c r="A610" s="55">
        <f t="shared" si="2"/>
        <v>609</v>
      </c>
      <c r="B610" s="56" t="s">
        <v>603</v>
      </c>
      <c r="C610" s="55" t="s">
        <v>24</v>
      </c>
      <c r="D610" s="55">
        <v>1517.0</v>
      </c>
      <c r="E610" s="57" t="s">
        <v>379</v>
      </c>
      <c r="F610" s="2" t="s">
        <v>602</v>
      </c>
    </row>
    <row r="611">
      <c r="A611" s="55">
        <f t="shared" si="2"/>
        <v>610</v>
      </c>
      <c r="B611" s="56" t="s">
        <v>603</v>
      </c>
      <c r="C611" s="55" t="s">
        <v>36</v>
      </c>
      <c r="D611" s="55">
        <v>1365.0</v>
      </c>
      <c r="E611" s="57" t="s">
        <v>379</v>
      </c>
      <c r="F611" s="2" t="s">
        <v>602</v>
      </c>
    </row>
    <row r="612">
      <c r="A612" s="55">
        <f t="shared" si="2"/>
        <v>611</v>
      </c>
      <c r="B612" s="56" t="s">
        <v>603</v>
      </c>
      <c r="C612" s="55" t="s">
        <v>45</v>
      </c>
      <c r="D612" s="55">
        <v>1274.0</v>
      </c>
      <c r="E612" s="57" t="s">
        <v>379</v>
      </c>
      <c r="F612" s="2" t="s">
        <v>602</v>
      </c>
    </row>
    <row r="613">
      <c r="A613" s="55">
        <f t="shared" si="2"/>
        <v>612</v>
      </c>
      <c r="B613" s="56" t="s">
        <v>603</v>
      </c>
      <c r="C613" s="55" t="s">
        <v>52</v>
      </c>
      <c r="D613" s="55">
        <v>1207.0</v>
      </c>
      <c r="E613" s="57" t="s">
        <v>379</v>
      </c>
      <c r="F613" s="2" t="s">
        <v>602</v>
      </c>
    </row>
    <row r="614">
      <c r="A614" s="55">
        <f t="shared" si="2"/>
        <v>613</v>
      </c>
      <c r="B614" s="56" t="s">
        <v>603</v>
      </c>
      <c r="C614" s="55" t="s">
        <v>26</v>
      </c>
      <c r="D614" s="55">
        <v>1573.0</v>
      </c>
      <c r="E614" s="57" t="s">
        <v>379</v>
      </c>
      <c r="F614" s="2" t="s">
        <v>602</v>
      </c>
    </row>
    <row r="615">
      <c r="A615" s="55">
        <f t="shared" si="2"/>
        <v>614</v>
      </c>
      <c r="B615" s="56" t="s">
        <v>603</v>
      </c>
      <c r="C615" s="55" t="s">
        <v>42</v>
      </c>
      <c r="D615" s="55">
        <v>1483.0</v>
      </c>
      <c r="E615" s="57" t="s">
        <v>379</v>
      </c>
      <c r="F615" s="2" t="s">
        <v>602</v>
      </c>
    </row>
    <row r="616">
      <c r="A616" s="55">
        <f t="shared" si="2"/>
        <v>615</v>
      </c>
      <c r="B616" s="56" t="s">
        <v>607</v>
      </c>
      <c r="C616" s="55" t="s">
        <v>52</v>
      </c>
      <c r="D616" s="55">
        <v>1176.0</v>
      </c>
      <c r="E616" s="57" t="s">
        <v>379</v>
      </c>
      <c r="F616" s="2" t="s">
        <v>606</v>
      </c>
    </row>
    <row r="617">
      <c r="A617" s="55">
        <f t="shared" si="2"/>
        <v>616</v>
      </c>
      <c r="B617" s="56" t="s">
        <v>607</v>
      </c>
      <c r="C617" s="55" t="s">
        <v>45</v>
      </c>
      <c r="D617" s="55">
        <v>1251.0</v>
      </c>
      <c r="E617" s="57" t="s">
        <v>379</v>
      </c>
      <c r="F617" s="2" t="s">
        <v>606</v>
      </c>
    </row>
    <row r="618">
      <c r="A618" s="55">
        <f t="shared" si="2"/>
        <v>617</v>
      </c>
      <c r="B618" s="56" t="s">
        <v>607</v>
      </c>
      <c r="C618" s="55" t="s">
        <v>24</v>
      </c>
      <c r="D618" s="55">
        <v>1533.0</v>
      </c>
      <c r="E618" s="57" t="s">
        <v>379</v>
      </c>
      <c r="F618" s="2" t="s">
        <v>606</v>
      </c>
    </row>
    <row r="619">
      <c r="A619" s="55">
        <f t="shared" si="2"/>
        <v>618</v>
      </c>
      <c r="B619" s="56" t="s">
        <v>607</v>
      </c>
      <c r="C619" s="55" t="s">
        <v>36</v>
      </c>
      <c r="D619" s="55">
        <v>1380.0</v>
      </c>
      <c r="E619" s="57" t="s">
        <v>379</v>
      </c>
      <c r="F619" s="2" t="s">
        <v>606</v>
      </c>
    </row>
    <row r="620">
      <c r="A620" s="55">
        <f t="shared" si="2"/>
        <v>619</v>
      </c>
      <c r="B620" s="56" t="s">
        <v>607</v>
      </c>
      <c r="C620" s="55" t="s">
        <v>42</v>
      </c>
      <c r="D620" s="55">
        <v>1467.0</v>
      </c>
      <c r="E620" s="57" t="s">
        <v>379</v>
      </c>
      <c r="F620" s="2" t="s">
        <v>606</v>
      </c>
    </row>
    <row r="621">
      <c r="A621" s="55">
        <f t="shared" si="2"/>
        <v>620</v>
      </c>
      <c r="B621" s="56" t="s">
        <v>607</v>
      </c>
      <c r="C621" s="55" t="s">
        <v>35</v>
      </c>
      <c r="D621" s="55">
        <v>1313.0</v>
      </c>
      <c r="E621" s="57" t="s">
        <v>379</v>
      </c>
      <c r="F621" s="2" t="s">
        <v>606</v>
      </c>
    </row>
    <row r="622">
      <c r="A622" s="55">
        <f t="shared" si="2"/>
        <v>621</v>
      </c>
      <c r="B622" s="56" t="s">
        <v>607</v>
      </c>
      <c r="C622" s="55" t="s">
        <v>26</v>
      </c>
      <c r="D622" s="55">
        <v>1557.0</v>
      </c>
      <c r="E622" s="57" t="s">
        <v>379</v>
      </c>
      <c r="F622" s="2" t="s">
        <v>606</v>
      </c>
    </row>
    <row r="623">
      <c r="A623" s="55">
        <f t="shared" si="2"/>
        <v>622</v>
      </c>
      <c r="B623" s="56" t="s">
        <v>611</v>
      </c>
      <c r="C623" s="55" t="s">
        <v>35</v>
      </c>
      <c r="D623" s="55">
        <v>1293.0</v>
      </c>
      <c r="E623" s="57" t="s">
        <v>379</v>
      </c>
      <c r="F623" s="2" t="s">
        <v>610</v>
      </c>
    </row>
    <row r="624">
      <c r="A624" s="55">
        <f t="shared" si="2"/>
        <v>623</v>
      </c>
      <c r="B624" s="56" t="s">
        <v>611</v>
      </c>
      <c r="C624" s="55" t="s">
        <v>44</v>
      </c>
      <c r="D624" s="55">
        <v>1130.0</v>
      </c>
      <c r="E624" s="57" t="s">
        <v>379</v>
      </c>
      <c r="F624" s="2" t="s">
        <v>610</v>
      </c>
    </row>
    <row r="625">
      <c r="A625" s="55">
        <f t="shared" si="2"/>
        <v>624</v>
      </c>
      <c r="B625" s="56" t="s">
        <v>611</v>
      </c>
      <c r="C625" s="55" t="s">
        <v>42</v>
      </c>
      <c r="D625" s="55">
        <v>1452.0</v>
      </c>
      <c r="E625" s="57" t="s">
        <v>379</v>
      </c>
      <c r="F625" s="2" t="s">
        <v>610</v>
      </c>
    </row>
    <row r="626">
      <c r="A626" s="55">
        <f t="shared" si="2"/>
        <v>625</v>
      </c>
      <c r="B626" s="56" t="s">
        <v>611</v>
      </c>
      <c r="C626" s="55" t="s">
        <v>24</v>
      </c>
      <c r="D626" s="55">
        <v>1553.0</v>
      </c>
      <c r="E626" s="57" t="s">
        <v>379</v>
      </c>
      <c r="F626" s="2" t="s">
        <v>610</v>
      </c>
    </row>
    <row r="627">
      <c r="A627" s="55">
        <f t="shared" si="2"/>
        <v>626</v>
      </c>
      <c r="B627" s="56" t="s">
        <v>611</v>
      </c>
      <c r="C627" s="55" t="s">
        <v>36</v>
      </c>
      <c r="D627" s="55">
        <v>1362.0</v>
      </c>
      <c r="E627" s="57" t="s">
        <v>379</v>
      </c>
      <c r="F627" s="2" t="s">
        <v>610</v>
      </c>
    </row>
    <row r="628">
      <c r="A628" s="55">
        <f t="shared" si="2"/>
        <v>627</v>
      </c>
      <c r="B628" s="56" t="s">
        <v>611</v>
      </c>
      <c r="C628" s="55" t="s">
        <v>28</v>
      </c>
      <c r="D628" s="55">
        <v>1598.0</v>
      </c>
      <c r="E628" s="57" t="s">
        <v>379</v>
      </c>
      <c r="F628" s="2" t="s">
        <v>610</v>
      </c>
    </row>
    <row r="629">
      <c r="A629" s="55">
        <f t="shared" si="2"/>
        <v>628</v>
      </c>
      <c r="B629" s="56" t="s">
        <v>611</v>
      </c>
      <c r="C629" s="55" t="s">
        <v>26</v>
      </c>
      <c r="D629" s="55">
        <v>1542.0</v>
      </c>
      <c r="E629" s="57" t="s">
        <v>379</v>
      </c>
      <c r="F629" s="2" t="s">
        <v>610</v>
      </c>
    </row>
    <row r="630">
      <c r="A630" s="55">
        <f t="shared" si="2"/>
        <v>629</v>
      </c>
      <c r="B630" s="56" t="s">
        <v>616</v>
      </c>
      <c r="C630" s="55" t="s">
        <v>42</v>
      </c>
      <c r="D630" s="55">
        <v>1470.0</v>
      </c>
      <c r="E630" s="57" t="s">
        <v>379</v>
      </c>
      <c r="F630" s="2" t="s">
        <v>615</v>
      </c>
    </row>
    <row r="631">
      <c r="A631" s="55">
        <f t="shared" si="2"/>
        <v>630</v>
      </c>
      <c r="B631" s="56" t="s">
        <v>616</v>
      </c>
      <c r="C631" s="55" t="s">
        <v>26</v>
      </c>
      <c r="D631" s="55">
        <v>1527.0</v>
      </c>
      <c r="E631" s="57" t="s">
        <v>379</v>
      </c>
      <c r="F631" s="2" t="s">
        <v>615</v>
      </c>
    </row>
    <row r="632">
      <c r="A632" s="55">
        <f t="shared" si="2"/>
        <v>631</v>
      </c>
      <c r="B632" s="56" t="s">
        <v>616</v>
      </c>
      <c r="C632" s="55" t="s">
        <v>44</v>
      </c>
      <c r="D632" s="55">
        <v>1143.0</v>
      </c>
      <c r="E632" s="57" t="s">
        <v>379</v>
      </c>
      <c r="F632" s="2" t="s">
        <v>615</v>
      </c>
    </row>
    <row r="633">
      <c r="A633" s="55">
        <f t="shared" si="2"/>
        <v>632</v>
      </c>
      <c r="B633" s="56" t="s">
        <v>616</v>
      </c>
      <c r="C633" s="55" t="s">
        <v>28</v>
      </c>
      <c r="D633" s="55">
        <v>1587.0</v>
      </c>
      <c r="E633" s="57" t="s">
        <v>379</v>
      </c>
      <c r="F633" s="2" t="s">
        <v>615</v>
      </c>
    </row>
    <row r="634">
      <c r="A634" s="55">
        <f t="shared" si="2"/>
        <v>633</v>
      </c>
      <c r="B634" s="56" t="s">
        <v>616</v>
      </c>
      <c r="C634" s="55" t="s">
        <v>24</v>
      </c>
      <c r="D634" s="55">
        <v>1539.0</v>
      </c>
      <c r="E634" s="57" t="s">
        <v>379</v>
      </c>
      <c r="F634" s="2" t="s">
        <v>615</v>
      </c>
    </row>
    <row r="635">
      <c r="A635" s="55">
        <f t="shared" si="2"/>
        <v>634</v>
      </c>
      <c r="B635" s="56" t="s">
        <v>616</v>
      </c>
      <c r="C635" s="55" t="s">
        <v>35</v>
      </c>
      <c r="D635" s="55">
        <v>1308.0</v>
      </c>
      <c r="E635" s="57" t="s">
        <v>379</v>
      </c>
      <c r="F635" s="2" t="s">
        <v>615</v>
      </c>
    </row>
    <row r="636">
      <c r="A636" s="55">
        <f t="shared" si="2"/>
        <v>635</v>
      </c>
      <c r="B636" s="56" t="s">
        <v>616</v>
      </c>
      <c r="C636" s="55" t="s">
        <v>36</v>
      </c>
      <c r="D636" s="55">
        <v>1344.0</v>
      </c>
      <c r="E636" s="57" t="s">
        <v>379</v>
      </c>
      <c r="F636" s="2" t="s">
        <v>615</v>
      </c>
    </row>
    <row r="637">
      <c r="A637" s="55">
        <f t="shared" si="2"/>
        <v>636</v>
      </c>
      <c r="B637" s="56" t="s">
        <v>620</v>
      </c>
      <c r="C637" s="55" t="s">
        <v>35</v>
      </c>
      <c r="D637" s="55">
        <v>1286.0</v>
      </c>
      <c r="E637" s="57" t="s">
        <v>379</v>
      </c>
      <c r="F637" s="2" t="s">
        <v>619</v>
      </c>
    </row>
    <row r="638">
      <c r="A638" s="55">
        <f t="shared" si="2"/>
        <v>637</v>
      </c>
      <c r="B638" s="56" t="s">
        <v>620</v>
      </c>
      <c r="C638" s="55" t="s">
        <v>36</v>
      </c>
      <c r="D638" s="55">
        <v>1323.0</v>
      </c>
      <c r="E638" s="57" t="s">
        <v>379</v>
      </c>
      <c r="F638" s="2" t="s">
        <v>619</v>
      </c>
    </row>
    <row r="639">
      <c r="A639" s="55">
        <f t="shared" si="2"/>
        <v>638</v>
      </c>
      <c r="B639" s="56" t="s">
        <v>620</v>
      </c>
      <c r="C639" s="55" t="s">
        <v>26</v>
      </c>
      <c r="D639" s="55">
        <v>1545.0</v>
      </c>
      <c r="E639" s="57" t="s">
        <v>379</v>
      </c>
      <c r="F639" s="2" t="s">
        <v>619</v>
      </c>
    </row>
    <row r="640">
      <c r="A640" s="55">
        <f t="shared" si="2"/>
        <v>639</v>
      </c>
      <c r="B640" s="56" t="s">
        <v>620</v>
      </c>
      <c r="C640" s="55" t="s">
        <v>24</v>
      </c>
      <c r="D640" s="55">
        <v>1522.0</v>
      </c>
      <c r="E640" s="57" t="s">
        <v>379</v>
      </c>
      <c r="F640" s="2" t="s">
        <v>619</v>
      </c>
    </row>
    <row r="641">
      <c r="A641" s="55">
        <f t="shared" si="2"/>
        <v>640</v>
      </c>
      <c r="B641" s="56" t="s">
        <v>620</v>
      </c>
      <c r="C641" s="55" t="s">
        <v>28</v>
      </c>
      <c r="D641" s="55">
        <v>1574.0</v>
      </c>
      <c r="E641" s="57" t="s">
        <v>379</v>
      </c>
      <c r="F641" s="2" t="s">
        <v>619</v>
      </c>
    </row>
    <row r="642">
      <c r="A642" s="55">
        <f t="shared" si="2"/>
        <v>641</v>
      </c>
      <c r="B642" s="56" t="s">
        <v>620</v>
      </c>
      <c r="C642" s="55" t="s">
        <v>44</v>
      </c>
      <c r="D642" s="55">
        <v>1156.0</v>
      </c>
      <c r="E642" s="57" t="s">
        <v>379</v>
      </c>
      <c r="F642" s="2" t="s">
        <v>619</v>
      </c>
    </row>
    <row r="643">
      <c r="A643" s="55">
        <f t="shared" si="2"/>
        <v>642</v>
      </c>
      <c r="B643" s="56" t="s">
        <v>620</v>
      </c>
      <c r="C643" s="55" t="s">
        <v>42</v>
      </c>
      <c r="D643" s="55">
        <v>1487.0</v>
      </c>
      <c r="E643" s="57" t="s">
        <v>379</v>
      </c>
      <c r="F643" s="2" t="s">
        <v>619</v>
      </c>
    </row>
    <row r="644">
      <c r="A644" s="55">
        <f t="shared" si="2"/>
        <v>643</v>
      </c>
      <c r="B644" s="56" t="s">
        <v>624</v>
      </c>
      <c r="C644" s="55" t="s">
        <v>36</v>
      </c>
      <c r="D644" s="55">
        <v>1337.0</v>
      </c>
      <c r="E644" s="57" t="s">
        <v>379</v>
      </c>
      <c r="F644" s="2" t="s">
        <v>623</v>
      </c>
    </row>
    <row r="645">
      <c r="A645" s="55">
        <f t="shared" si="2"/>
        <v>644</v>
      </c>
      <c r="B645" s="56" t="s">
        <v>624</v>
      </c>
      <c r="C645" s="55" t="s">
        <v>42</v>
      </c>
      <c r="D645" s="55">
        <v>1471.0</v>
      </c>
      <c r="E645" s="57" t="s">
        <v>379</v>
      </c>
      <c r="F645" s="2" t="s">
        <v>623</v>
      </c>
    </row>
    <row r="646">
      <c r="A646" s="55">
        <f t="shared" si="2"/>
        <v>645</v>
      </c>
      <c r="B646" s="56" t="s">
        <v>624</v>
      </c>
      <c r="C646" s="55" t="s">
        <v>24</v>
      </c>
      <c r="D646" s="55">
        <v>1504.0</v>
      </c>
      <c r="E646" s="57" t="s">
        <v>379</v>
      </c>
      <c r="F646" s="2" t="s">
        <v>623</v>
      </c>
    </row>
    <row r="647">
      <c r="A647" s="55">
        <f t="shared" si="2"/>
        <v>646</v>
      </c>
      <c r="B647" s="56" t="s">
        <v>624</v>
      </c>
      <c r="C647" s="55" t="s">
        <v>28</v>
      </c>
      <c r="D647" s="55">
        <v>1561.0</v>
      </c>
      <c r="E647" s="57" t="s">
        <v>379</v>
      </c>
      <c r="F647" s="2" t="s">
        <v>623</v>
      </c>
    </row>
    <row r="648">
      <c r="A648" s="55">
        <f t="shared" si="2"/>
        <v>647</v>
      </c>
      <c r="B648" s="56" t="s">
        <v>624</v>
      </c>
      <c r="C648" s="55" t="s">
        <v>26</v>
      </c>
      <c r="D648" s="55">
        <v>1561.0</v>
      </c>
      <c r="E648" s="57" t="s">
        <v>379</v>
      </c>
      <c r="F648" s="2" t="s">
        <v>623</v>
      </c>
    </row>
    <row r="649">
      <c r="A649" s="55">
        <f t="shared" si="2"/>
        <v>648</v>
      </c>
      <c r="B649" s="56" t="s">
        <v>624</v>
      </c>
      <c r="C649" s="55" t="s">
        <v>35</v>
      </c>
      <c r="D649" s="55">
        <v>1299.0</v>
      </c>
      <c r="E649" s="57" t="s">
        <v>379</v>
      </c>
      <c r="F649" s="2" t="s">
        <v>623</v>
      </c>
    </row>
    <row r="650">
      <c r="A650" s="55">
        <f t="shared" si="2"/>
        <v>649</v>
      </c>
      <c r="B650" s="56" t="s">
        <v>624</v>
      </c>
      <c r="C650" s="55" t="s">
        <v>44</v>
      </c>
      <c r="D650" s="55">
        <v>1129.0</v>
      </c>
      <c r="E650" s="57" t="s">
        <v>379</v>
      </c>
      <c r="F650" s="2" t="s">
        <v>623</v>
      </c>
    </row>
    <row r="651">
      <c r="A651" s="55">
        <f t="shared" si="2"/>
        <v>650</v>
      </c>
      <c r="B651" s="56" t="s">
        <v>628</v>
      </c>
      <c r="C651" s="55" t="s">
        <v>36</v>
      </c>
      <c r="D651" s="55">
        <v>1351.0</v>
      </c>
      <c r="E651" s="57" t="s">
        <v>379</v>
      </c>
      <c r="F651" s="2" t="s">
        <v>627</v>
      </c>
    </row>
    <row r="652">
      <c r="A652" s="55">
        <f t="shared" si="2"/>
        <v>651</v>
      </c>
      <c r="B652" s="56" t="s">
        <v>628</v>
      </c>
      <c r="C652" s="55" t="s">
        <v>42</v>
      </c>
      <c r="D652" s="55">
        <v>1487.0</v>
      </c>
      <c r="E652" s="57" t="s">
        <v>379</v>
      </c>
      <c r="F652" s="2" t="s">
        <v>627</v>
      </c>
    </row>
    <row r="653">
      <c r="A653" s="55">
        <f t="shared" si="2"/>
        <v>652</v>
      </c>
      <c r="B653" s="56" t="s">
        <v>628</v>
      </c>
      <c r="C653" s="55" t="s">
        <v>26</v>
      </c>
      <c r="D653" s="55">
        <v>1543.0</v>
      </c>
      <c r="E653" s="57" t="s">
        <v>379</v>
      </c>
      <c r="F653" s="2" t="s">
        <v>627</v>
      </c>
    </row>
    <row r="654">
      <c r="A654" s="55">
        <f t="shared" si="2"/>
        <v>653</v>
      </c>
      <c r="B654" s="56" t="s">
        <v>628</v>
      </c>
      <c r="C654" s="55" t="s">
        <v>31</v>
      </c>
      <c r="D654" s="55">
        <v>1606.0</v>
      </c>
      <c r="E654" s="57" t="s">
        <v>379</v>
      </c>
      <c r="F654" s="2" t="s">
        <v>627</v>
      </c>
    </row>
    <row r="655">
      <c r="A655" s="55">
        <f t="shared" si="2"/>
        <v>654</v>
      </c>
      <c r="B655" s="56" t="s">
        <v>628</v>
      </c>
      <c r="C655" s="55" t="s">
        <v>45</v>
      </c>
      <c r="D655" s="55">
        <v>1267.0</v>
      </c>
      <c r="E655" s="57" t="s">
        <v>379</v>
      </c>
      <c r="F655" s="2" t="s">
        <v>627</v>
      </c>
    </row>
    <row r="656">
      <c r="A656" s="55">
        <f t="shared" si="2"/>
        <v>655</v>
      </c>
      <c r="B656" s="56" t="s">
        <v>628</v>
      </c>
      <c r="C656" s="55" t="s">
        <v>28</v>
      </c>
      <c r="D656" s="55">
        <v>1546.0</v>
      </c>
      <c r="E656" s="57" t="s">
        <v>379</v>
      </c>
      <c r="F656" s="2" t="s">
        <v>627</v>
      </c>
    </row>
    <row r="657">
      <c r="A657" s="55">
        <f t="shared" si="2"/>
        <v>656</v>
      </c>
      <c r="B657" s="56" t="s">
        <v>628</v>
      </c>
      <c r="C657" s="55" t="s">
        <v>27</v>
      </c>
      <c r="D657" s="55">
        <v>1670.0</v>
      </c>
      <c r="E657" s="57" t="s">
        <v>379</v>
      </c>
      <c r="F657" s="2" t="s">
        <v>627</v>
      </c>
    </row>
    <row r="658">
      <c r="A658" s="55">
        <f t="shared" si="2"/>
        <v>657</v>
      </c>
      <c r="B658" s="56" t="s">
        <v>628</v>
      </c>
      <c r="C658" s="55" t="s">
        <v>30</v>
      </c>
      <c r="D658" s="55">
        <v>1326.0</v>
      </c>
      <c r="E658" s="57" t="s">
        <v>379</v>
      </c>
      <c r="F658" s="2" t="s">
        <v>627</v>
      </c>
    </row>
    <row r="659">
      <c r="A659" s="55">
        <f t="shared" si="2"/>
        <v>658</v>
      </c>
      <c r="B659" s="56" t="s">
        <v>632</v>
      </c>
      <c r="C659" s="55" t="s">
        <v>28</v>
      </c>
      <c r="D659" s="55">
        <v>1526.0</v>
      </c>
      <c r="E659" s="57" t="s">
        <v>379</v>
      </c>
      <c r="F659" s="2" t="s">
        <v>631</v>
      </c>
    </row>
    <row r="660">
      <c r="A660" s="55">
        <f t="shared" si="2"/>
        <v>659</v>
      </c>
      <c r="B660" s="56" t="s">
        <v>632</v>
      </c>
      <c r="C660" s="55" t="s">
        <v>30</v>
      </c>
      <c r="D660" s="55">
        <v>1293.0</v>
      </c>
      <c r="E660" s="57" t="s">
        <v>379</v>
      </c>
      <c r="F660" s="2" t="s">
        <v>631</v>
      </c>
    </row>
    <row r="661">
      <c r="A661" s="55">
        <f t="shared" si="2"/>
        <v>660</v>
      </c>
      <c r="B661" s="56" t="s">
        <v>632</v>
      </c>
      <c r="C661" s="55" t="s">
        <v>31</v>
      </c>
      <c r="D661" s="55">
        <v>1620.0</v>
      </c>
      <c r="E661" s="57" t="s">
        <v>379</v>
      </c>
      <c r="F661" s="2" t="s">
        <v>631</v>
      </c>
    </row>
    <row r="662">
      <c r="A662" s="55">
        <f t="shared" si="2"/>
        <v>661</v>
      </c>
      <c r="B662" s="56" t="s">
        <v>632</v>
      </c>
      <c r="C662" s="55" t="s">
        <v>36</v>
      </c>
      <c r="D662" s="55">
        <v>1363.0</v>
      </c>
      <c r="E662" s="57" t="s">
        <v>379</v>
      </c>
      <c r="F662" s="2" t="s">
        <v>631</v>
      </c>
    </row>
    <row r="663">
      <c r="A663" s="55">
        <f t="shared" si="2"/>
        <v>662</v>
      </c>
      <c r="B663" s="56" t="s">
        <v>632</v>
      </c>
      <c r="C663" s="55" t="s">
        <v>26</v>
      </c>
      <c r="D663" s="55">
        <v>1557.0</v>
      </c>
      <c r="E663" s="57" t="s">
        <v>379</v>
      </c>
      <c r="F663" s="2" t="s">
        <v>631</v>
      </c>
    </row>
    <row r="664">
      <c r="A664" s="55">
        <f t="shared" si="2"/>
        <v>663</v>
      </c>
      <c r="B664" s="56" t="s">
        <v>632</v>
      </c>
      <c r="C664" s="55" t="s">
        <v>27</v>
      </c>
      <c r="D664" s="55">
        <v>1654.0</v>
      </c>
      <c r="E664" s="57" t="s">
        <v>379</v>
      </c>
      <c r="F664" s="2" t="s">
        <v>631</v>
      </c>
    </row>
    <row r="665">
      <c r="A665" s="55">
        <f t="shared" si="2"/>
        <v>664</v>
      </c>
      <c r="B665" s="56" t="s">
        <v>632</v>
      </c>
      <c r="C665" s="55" t="s">
        <v>45</v>
      </c>
      <c r="D665" s="55">
        <v>1238.0</v>
      </c>
      <c r="E665" s="57" t="s">
        <v>379</v>
      </c>
      <c r="F665" s="2" t="s">
        <v>631</v>
      </c>
    </row>
    <row r="666">
      <c r="A666" s="55">
        <f t="shared" si="2"/>
        <v>665</v>
      </c>
      <c r="B666" s="56" t="s">
        <v>632</v>
      </c>
      <c r="C666" s="55" t="s">
        <v>42</v>
      </c>
      <c r="D666" s="55">
        <v>1500.0</v>
      </c>
      <c r="E666" s="57" t="s">
        <v>379</v>
      </c>
      <c r="F666" s="2" t="s">
        <v>631</v>
      </c>
    </row>
    <row r="667">
      <c r="A667" s="55">
        <f t="shared" si="2"/>
        <v>666</v>
      </c>
      <c r="B667" s="56" t="s">
        <v>636</v>
      </c>
      <c r="C667" s="55" t="s">
        <v>31</v>
      </c>
      <c r="D667" s="55">
        <v>1638.0</v>
      </c>
      <c r="E667" s="57" t="s">
        <v>379</v>
      </c>
      <c r="F667" s="2" t="s">
        <v>635</v>
      </c>
    </row>
    <row r="668">
      <c r="A668" s="55">
        <f t="shared" si="2"/>
        <v>667</v>
      </c>
      <c r="B668" s="56" t="s">
        <v>636</v>
      </c>
      <c r="C668" s="55" t="s">
        <v>26</v>
      </c>
      <c r="D668" s="55">
        <v>1535.0</v>
      </c>
      <c r="E668" s="57" t="s">
        <v>379</v>
      </c>
      <c r="F668" s="2" t="s">
        <v>635</v>
      </c>
    </row>
    <row r="669">
      <c r="A669" s="55">
        <f t="shared" si="2"/>
        <v>668</v>
      </c>
      <c r="B669" s="56" t="s">
        <v>636</v>
      </c>
      <c r="C669" s="55" t="s">
        <v>34</v>
      </c>
      <c r="D669" s="55">
        <v>1162.0</v>
      </c>
      <c r="E669" s="57" t="s">
        <v>379</v>
      </c>
      <c r="F669" s="2" t="s">
        <v>635</v>
      </c>
    </row>
    <row r="670">
      <c r="A670" s="55">
        <f t="shared" si="2"/>
        <v>669</v>
      </c>
      <c r="B670" s="56" t="s">
        <v>636</v>
      </c>
      <c r="C670" s="55" t="s">
        <v>30</v>
      </c>
      <c r="D670" s="55">
        <v>1307.0</v>
      </c>
      <c r="E670" s="57" t="s">
        <v>379</v>
      </c>
      <c r="F670" s="2" t="s">
        <v>635</v>
      </c>
    </row>
    <row r="671">
      <c r="A671" s="55">
        <f t="shared" si="2"/>
        <v>670</v>
      </c>
      <c r="B671" s="56" t="s">
        <v>636</v>
      </c>
      <c r="C671" s="55" t="s">
        <v>36</v>
      </c>
      <c r="D671" s="55">
        <v>1378.0</v>
      </c>
      <c r="E671" s="57" t="s">
        <v>379</v>
      </c>
      <c r="F671" s="2" t="s">
        <v>635</v>
      </c>
    </row>
    <row r="672">
      <c r="A672" s="55">
        <f t="shared" si="2"/>
        <v>671</v>
      </c>
      <c r="B672" s="56" t="s">
        <v>636</v>
      </c>
      <c r="C672" s="55" t="s">
        <v>28</v>
      </c>
      <c r="D672" s="55">
        <v>1543.0</v>
      </c>
      <c r="E672" s="57" t="s">
        <v>379</v>
      </c>
      <c r="F672" s="2" t="s">
        <v>635</v>
      </c>
    </row>
    <row r="673">
      <c r="A673" s="55">
        <f t="shared" si="2"/>
        <v>672</v>
      </c>
      <c r="B673" s="56" t="s">
        <v>636</v>
      </c>
      <c r="C673" s="55" t="s">
        <v>42</v>
      </c>
      <c r="D673" s="55">
        <v>1480.0</v>
      </c>
      <c r="E673" s="57" t="s">
        <v>379</v>
      </c>
      <c r="F673" s="2" t="s">
        <v>635</v>
      </c>
    </row>
    <row r="674">
      <c r="A674" s="55">
        <f t="shared" si="2"/>
        <v>673</v>
      </c>
      <c r="B674" s="56" t="s">
        <v>636</v>
      </c>
      <c r="C674" s="55" t="s">
        <v>27</v>
      </c>
      <c r="D674" s="55">
        <v>1639.0</v>
      </c>
      <c r="E674" s="57" t="s">
        <v>379</v>
      </c>
      <c r="F674" s="2" t="s">
        <v>635</v>
      </c>
    </row>
    <row r="675">
      <c r="A675" s="55">
        <f t="shared" si="2"/>
        <v>674</v>
      </c>
      <c r="B675" s="56" t="s">
        <v>640</v>
      </c>
      <c r="C675" s="55" t="s">
        <v>27</v>
      </c>
      <c r="D675" s="55">
        <v>1625.0</v>
      </c>
      <c r="E675" s="57" t="s">
        <v>379</v>
      </c>
      <c r="F675" s="2" t="s">
        <v>639</v>
      </c>
    </row>
    <row r="676">
      <c r="A676" s="55">
        <f t="shared" si="2"/>
        <v>675</v>
      </c>
      <c r="B676" s="56" t="s">
        <v>640</v>
      </c>
      <c r="C676" s="55" t="s">
        <v>30</v>
      </c>
      <c r="D676" s="55">
        <v>1321.0</v>
      </c>
      <c r="E676" s="57" t="s">
        <v>379</v>
      </c>
      <c r="F676" s="2" t="s">
        <v>639</v>
      </c>
    </row>
    <row r="677">
      <c r="A677" s="55">
        <f t="shared" si="2"/>
        <v>676</v>
      </c>
      <c r="B677" s="56" t="s">
        <v>640</v>
      </c>
      <c r="C677" s="55" t="s">
        <v>34</v>
      </c>
      <c r="D677" s="55">
        <v>1174.0</v>
      </c>
      <c r="E677" s="57" t="s">
        <v>379</v>
      </c>
      <c r="F677" s="2" t="s">
        <v>639</v>
      </c>
    </row>
    <row r="678">
      <c r="A678" s="55">
        <f t="shared" si="2"/>
        <v>677</v>
      </c>
      <c r="B678" s="56" t="s">
        <v>640</v>
      </c>
      <c r="C678" s="55" t="s">
        <v>26</v>
      </c>
      <c r="D678" s="55">
        <v>1552.0</v>
      </c>
      <c r="E678" s="57" t="s">
        <v>379</v>
      </c>
      <c r="F678" s="2" t="s">
        <v>639</v>
      </c>
    </row>
    <row r="679">
      <c r="A679" s="55">
        <f t="shared" si="2"/>
        <v>678</v>
      </c>
      <c r="B679" s="56" t="s">
        <v>640</v>
      </c>
      <c r="C679" s="55" t="s">
        <v>42</v>
      </c>
      <c r="D679" s="55">
        <v>1461.0</v>
      </c>
      <c r="E679" s="57" t="s">
        <v>379</v>
      </c>
      <c r="F679" s="2" t="s">
        <v>639</v>
      </c>
    </row>
    <row r="680">
      <c r="A680" s="55">
        <f t="shared" si="2"/>
        <v>679</v>
      </c>
      <c r="B680" s="56" t="s">
        <v>640</v>
      </c>
      <c r="C680" s="55" t="s">
        <v>28</v>
      </c>
      <c r="D680" s="55">
        <v>1526.0</v>
      </c>
      <c r="E680" s="57" t="s">
        <v>379</v>
      </c>
      <c r="F680" s="2" t="s">
        <v>639</v>
      </c>
    </row>
    <row r="681">
      <c r="A681" s="55">
        <f t="shared" si="2"/>
        <v>680</v>
      </c>
      <c r="B681" s="56" t="s">
        <v>640</v>
      </c>
      <c r="C681" s="55" t="s">
        <v>31</v>
      </c>
      <c r="D681" s="55">
        <v>1656.0</v>
      </c>
      <c r="E681" s="57" t="s">
        <v>379</v>
      </c>
      <c r="F681" s="2" t="s">
        <v>639</v>
      </c>
    </row>
    <row r="682">
      <c r="A682" s="55">
        <f t="shared" si="2"/>
        <v>681</v>
      </c>
      <c r="B682" s="56" t="s">
        <v>644</v>
      </c>
      <c r="C682" s="55" t="s">
        <v>30</v>
      </c>
      <c r="D682" s="55">
        <v>1333.0</v>
      </c>
      <c r="E682" s="57" t="s">
        <v>379</v>
      </c>
      <c r="F682" s="2" t="s">
        <v>643</v>
      </c>
    </row>
    <row r="683">
      <c r="A683" s="55">
        <f t="shared" si="2"/>
        <v>682</v>
      </c>
      <c r="B683" s="56" t="s">
        <v>644</v>
      </c>
      <c r="C683" s="55" t="s">
        <v>28</v>
      </c>
      <c r="D683" s="55">
        <v>1512.0</v>
      </c>
      <c r="E683" s="57" t="s">
        <v>379</v>
      </c>
      <c r="F683" s="2" t="s">
        <v>643</v>
      </c>
    </row>
    <row r="684">
      <c r="A684" s="55">
        <f t="shared" si="2"/>
        <v>683</v>
      </c>
      <c r="B684" s="56" t="s">
        <v>644</v>
      </c>
      <c r="C684" s="55" t="s">
        <v>35</v>
      </c>
      <c r="D684" s="55">
        <v>1275.0</v>
      </c>
      <c r="E684" s="57" t="s">
        <v>379</v>
      </c>
      <c r="F684" s="2" t="s">
        <v>643</v>
      </c>
    </row>
    <row r="685">
      <c r="A685" s="55">
        <f t="shared" si="2"/>
        <v>684</v>
      </c>
      <c r="B685" s="56" t="s">
        <v>644</v>
      </c>
      <c r="C685" s="55" t="s">
        <v>26</v>
      </c>
      <c r="D685" s="55">
        <v>1536.0</v>
      </c>
      <c r="E685" s="57" t="s">
        <v>379</v>
      </c>
      <c r="F685" s="2" t="s">
        <v>643</v>
      </c>
    </row>
    <row r="686">
      <c r="A686" s="55">
        <f t="shared" si="2"/>
        <v>685</v>
      </c>
      <c r="B686" s="56" t="s">
        <v>644</v>
      </c>
      <c r="C686" s="55" t="s">
        <v>31</v>
      </c>
      <c r="D686" s="55">
        <v>1643.0</v>
      </c>
      <c r="E686" s="57" t="s">
        <v>379</v>
      </c>
      <c r="F686" s="2" t="s">
        <v>643</v>
      </c>
    </row>
    <row r="687">
      <c r="A687" s="55">
        <f t="shared" si="2"/>
        <v>686</v>
      </c>
      <c r="B687" s="56" t="s">
        <v>644</v>
      </c>
      <c r="C687" s="55" t="s">
        <v>34</v>
      </c>
      <c r="D687" s="55">
        <v>1185.0</v>
      </c>
      <c r="E687" s="57" t="s">
        <v>379</v>
      </c>
      <c r="F687" s="2" t="s">
        <v>643</v>
      </c>
    </row>
    <row r="688">
      <c r="A688" s="55">
        <f t="shared" si="2"/>
        <v>687</v>
      </c>
      <c r="B688" s="56" t="s">
        <v>644</v>
      </c>
      <c r="C688" s="55" t="s">
        <v>42</v>
      </c>
      <c r="D688" s="55">
        <v>1445.0</v>
      </c>
      <c r="E688" s="57" t="s">
        <v>379</v>
      </c>
      <c r="F688" s="2" t="s">
        <v>643</v>
      </c>
    </row>
    <row r="689">
      <c r="A689" s="55">
        <f t="shared" si="2"/>
        <v>688</v>
      </c>
      <c r="B689" s="56" t="s">
        <v>648</v>
      </c>
      <c r="C689" s="55" t="s">
        <v>42</v>
      </c>
      <c r="D689" s="55">
        <v>1424.0</v>
      </c>
      <c r="E689" s="57" t="s">
        <v>379</v>
      </c>
      <c r="F689" s="2" t="s">
        <v>647</v>
      </c>
    </row>
    <row r="690">
      <c r="A690" s="55">
        <f t="shared" si="2"/>
        <v>689</v>
      </c>
      <c r="B690" s="56" t="s">
        <v>648</v>
      </c>
      <c r="C690" s="55" t="s">
        <v>28</v>
      </c>
      <c r="D690" s="55">
        <v>1524.0</v>
      </c>
      <c r="E690" s="57" t="s">
        <v>379</v>
      </c>
      <c r="F690" s="2" t="s">
        <v>647</v>
      </c>
    </row>
    <row r="691">
      <c r="A691" s="55">
        <f t="shared" si="2"/>
        <v>690</v>
      </c>
      <c r="B691" s="56" t="s">
        <v>648</v>
      </c>
      <c r="C691" s="55" t="s">
        <v>30</v>
      </c>
      <c r="D691" s="55">
        <v>1344.0</v>
      </c>
      <c r="E691" s="57" t="s">
        <v>379</v>
      </c>
      <c r="F691" s="2" t="s">
        <v>647</v>
      </c>
    </row>
    <row r="692">
      <c r="A692" s="55">
        <f t="shared" si="2"/>
        <v>691</v>
      </c>
      <c r="B692" s="56" t="s">
        <v>648</v>
      </c>
      <c r="C692" s="55" t="s">
        <v>26</v>
      </c>
      <c r="D692" s="55">
        <v>1549.0</v>
      </c>
      <c r="E692" s="57" t="s">
        <v>379</v>
      </c>
      <c r="F692" s="2" t="s">
        <v>647</v>
      </c>
    </row>
    <row r="693">
      <c r="A693" s="55">
        <f t="shared" si="2"/>
        <v>692</v>
      </c>
      <c r="B693" s="56" t="s">
        <v>648</v>
      </c>
      <c r="C693" s="55" t="s">
        <v>35</v>
      </c>
      <c r="D693" s="55">
        <v>1285.0</v>
      </c>
      <c r="E693" s="57" t="s">
        <v>379</v>
      </c>
      <c r="F693" s="2" t="s">
        <v>647</v>
      </c>
    </row>
    <row r="694">
      <c r="A694" s="55">
        <f t="shared" si="2"/>
        <v>693</v>
      </c>
      <c r="B694" s="56" t="s">
        <v>648</v>
      </c>
      <c r="C694" s="55" t="s">
        <v>31</v>
      </c>
      <c r="D694" s="55">
        <v>1626.0</v>
      </c>
      <c r="E694" s="57" t="s">
        <v>379</v>
      </c>
      <c r="F694" s="2" t="s">
        <v>647</v>
      </c>
    </row>
    <row r="695">
      <c r="A695" s="55">
        <f t="shared" si="2"/>
        <v>694</v>
      </c>
      <c r="B695" s="56" t="s">
        <v>648</v>
      </c>
      <c r="C695" s="55" t="s">
        <v>34</v>
      </c>
      <c r="D695" s="55">
        <v>1156.0</v>
      </c>
      <c r="E695" s="57" t="s">
        <v>379</v>
      </c>
      <c r="F695" s="2" t="s">
        <v>647</v>
      </c>
    </row>
    <row r="696">
      <c r="A696" s="55">
        <f t="shared" si="2"/>
        <v>695</v>
      </c>
      <c r="B696" s="56" t="s">
        <v>652</v>
      </c>
      <c r="C696" s="55" t="s">
        <v>33</v>
      </c>
      <c r="D696" s="55">
        <v>1463.0</v>
      </c>
      <c r="E696" s="57" t="s">
        <v>379</v>
      </c>
      <c r="F696" s="2" t="s">
        <v>651</v>
      </c>
    </row>
    <row r="697">
      <c r="A697" s="55">
        <f t="shared" si="2"/>
        <v>696</v>
      </c>
      <c r="B697" s="56" t="s">
        <v>652</v>
      </c>
      <c r="C697" s="55" t="s">
        <v>27</v>
      </c>
      <c r="D697" s="55">
        <v>1641.0</v>
      </c>
      <c r="E697" s="57" t="s">
        <v>379</v>
      </c>
      <c r="F697" s="2" t="s">
        <v>651</v>
      </c>
    </row>
    <row r="698">
      <c r="A698" s="55">
        <f t="shared" si="2"/>
        <v>697</v>
      </c>
      <c r="B698" s="56" t="s">
        <v>652</v>
      </c>
      <c r="C698" s="55" t="s">
        <v>35</v>
      </c>
      <c r="D698" s="55">
        <v>1261.0</v>
      </c>
      <c r="E698" s="57" t="s">
        <v>379</v>
      </c>
      <c r="F698" s="2" t="s">
        <v>651</v>
      </c>
    </row>
    <row r="699">
      <c r="A699" s="55">
        <f t="shared" si="2"/>
        <v>698</v>
      </c>
      <c r="B699" s="56" t="s">
        <v>652</v>
      </c>
      <c r="C699" s="55" t="s">
        <v>26</v>
      </c>
      <c r="D699" s="55">
        <v>1531.0</v>
      </c>
      <c r="E699" s="57" t="s">
        <v>379</v>
      </c>
      <c r="F699" s="2" t="s">
        <v>651</v>
      </c>
    </row>
    <row r="700">
      <c r="A700" s="55">
        <f t="shared" si="2"/>
        <v>699</v>
      </c>
      <c r="B700" s="56" t="s">
        <v>652</v>
      </c>
      <c r="C700" s="55" t="s">
        <v>30</v>
      </c>
      <c r="D700" s="55">
        <v>1360.0</v>
      </c>
      <c r="E700" s="57" t="s">
        <v>379</v>
      </c>
      <c r="F700" s="2" t="s">
        <v>651</v>
      </c>
    </row>
    <row r="701">
      <c r="A701" s="55">
        <f t="shared" si="2"/>
        <v>700</v>
      </c>
      <c r="B701" s="56" t="s">
        <v>652</v>
      </c>
      <c r="C701" s="55" t="s">
        <v>28</v>
      </c>
      <c r="D701" s="55">
        <v>1542.0</v>
      </c>
      <c r="E701" s="57" t="s">
        <v>379</v>
      </c>
      <c r="F701" s="2" t="s">
        <v>651</v>
      </c>
    </row>
    <row r="702">
      <c r="A702" s="55">
        <f t="shared" si="2"/>
        <v>701</v>
      </c>
      <c r="B702" s="56" t="s">
        <v>652</v>
      </c>
      <c r="C702" s="55" t="s">
        <v>42</v>
      </c>
      <c r="D702" s="55">
        <v>1441.0</v>
      </c>
      <c r="E702" s="57" t="s">
        <v>379</v>
      </c>
      <c r="F702" s="2" t="s">
        <v>651</v>
      </c>
    </row>
    <row r="703">
      <c r="A703" s="55">
        <f t="shared" si="2"/>
        <v>702</v>
      </c>
      <c r="B703" s="56" t="s">
        <v>652</v>
      </c>
      <c r="C703" s="55" t="s">
        <v>34</v>
      </c>
      <c r="D703" s="55">
        <v>1128.0</v>
      </c>
      <c r="E703" s="57" t="s">
        <v>379</v>
      </c>
      <c r="F703" s="2" t="s">
        <v>651</v>
      </c>
    </row>
    <row r="704">
      <c r="A704" s="55">
        <f t="shared" si="2"/>
        <v>703</v>
      </c>
      <c r="B704" s="56" t="s">
        <v>656</v>
      </c>
      <c r="C704" s="55" t="s">
        <v>30</v>
      </c>
      <c r="D704" s="55">
        <v>1329.0</v>
      </c>
      <c r="E704" s="57" t="s">
        <v>379</v>
      </c>
      <c r="F704" s="2" t="s">
        <v>655</v>
      </c>
    </row>
    <row r="705">
      <c r="A705" s="55">
        <f t="shared" si="2"/>
        <v>704</v>
      </c>
      <c r="B705" s="56" t="s">
        <v>656</v>
      </c>
      <c r="C705" s="55" t="s">
        <v>24</v>
      </c>
      <c r="D705" s="55">
        <v>1520.0</v>
      </c>
      <c r="E705" s="57" t="s">
        <v>379</v>
      </c>
      <c r="F705" s="2" t="s">
        <v>655</v>
      </c>
    </row>
    <row r="706">
      <c r="A706" s="55">
        <f t="shared" si="2"/>
        <v>705</v>
      </c>
      <c r="B706" s="56" t="s">
        <v>656</v>
      </c>
      <c r="C706" s="55" t="s">
        <v>26</v>
      </c>
      <c r="D706" s="55">
        <v>1548.0</v>
      </c>
      <c r="E706" s="57" t="s">
        <v>379</v>
      </c>
      <c r="F706" s="2" t="s">
        <v>655</v>
      </c>
    </row>
    <row r="707">
      <c r="A707" s="55">
        <f t="shared" si="2"/>
        <v>706</v>
      </c>
      <c r="B707" s="56" t="s">
        <v>656</v>
      </c>
      <c r="C707" s="55" t="s">
        <v>39</v>
      </c>
      <c r="D707" s="55">
        <v>1507.0</v>
      </c>
      <c r="E707" s="57" t="s">
        <v>379</v>
      </c>
      <c r="F707" s="2" t="s">
        <v>655</v>
      </c>
    </row>
    <row r="708">
      <c r="A708" s="55">
        <f t="shared" si="2"/>
        <v>707</v>
      </c>
      <c r="B708" s="56" t="s">
        <v>656</v>
      </c>
      <c r="C708" s="55" t="s">
        <v>31</v>
      </c>
      <c r="D708" s="55">
        <v>1611.0</v>
      </c>
      <c r="E708" s="57" t="s">
        <v>379</v>
      </c>
      <c r="F708" s="2" t="s">
        <v>655</v>
      </c>
    </row>
    <row r="709">
      <c r="A709" s="55">
        <f t="shared" si="2"/>
        <v>708</v>
      </c>
      <c r="B709" s="56" t="s">
        <v>656</v>
      </c>
      <c r="C709" s="55" t="s">
        <v>27</v>
      </c>
      <c r="D709" s="55">
        <v>1659.0</v>
      </c>
      <c r="E709" s="57" t="s">
        <v>379</v>
      </c>
      <c r="F709" s="2" t="s">
        <v>655</v>
      </c>
    </row>
    <row r="710">
      <c r="A710" s="55">
        <f t="shared" si="2"/>
        <v>709</v>
      </c>
      <c r="B710" s="56" t="s">
        <v>656</v>
      </c>
      <c r="C710" s="55" t="s">
        <v>29</v>
      </c>
      <c r="D710" s="55">
        <v>1342.0</v>
      </c>
      <c r="E710" s="57" t="s">
        <v>379</v>
      </c>
      <c r="F710" s="2" t="s">
        <v>655</v>
      </c>
    </row>
    <row r="711">
      <c r="A711" s="55">
        <f t="shared" si="2"/>
        <v>710</v>
      </c>
      <c r="B711" s="56" t="s">
        <v>656</v>
      </c>
      <c r="C711" s="55" t="s">
        <v>36</v>
      </c>
      <c r="D711" s="55">
        <v>1355.0</v>
      </c>
      <c r="E711" s="57" t="s">
        <v>379</v>
      </c>
      <c r="F711" s="2" t="s">
        <v>655</v>
      </c>
    </row>
    <row r="712">
      <c r="A712" s="55">
        <f t="shared" si="2"/>
        <v>711</v>
      </c>
      <c r="B712" s="56" t="s">
        <v>661</v>
      </c>
      <c r="C712" s="55" t="s">
        <v>36</v>
      </c>
      <c r="D712" s="55">
        <v>1329.0</v>
      </c>
      <c r="E712" s="57" t="s">
        <v>379</v>
      </c>
      <c r="F712" s="2" t="s">
        <v>660</v>
      </c>
    </row>
    <row r="713">
      <c r="A713" s="55">
        <f t="shared" si="2"/>
        <v>712</v>
      </c>
      <c r="B713" s="56" t="s">
        <v>661</v>
      </c>
      <c r="C713" s="55" t="s">
        <v>42</v>
      </c>
      <c r="D713" s="55">
        <v>1418.0</v>
      </c>
      <c r="E713" s="57" t="s">
        <v>379</v>
      </c>
      <c r="F713" s="2" t="s">
        <v>660</v>
      </c>
    </row>
    <row r="714">
      <c r="A714" s="55">
        <f t="shared" si="2"/>
        <v>713</v>
      </c>
      <c r="B714" s="56" t="s">
        <v>661</v>
      </c>
      <c r="C714" s="55" t="s">
        <v>24</v>
      </c>
      <c r="D714" s="55">
        <v>1533.0</v>
      </c>
      <c r="E714" s="57" t="s">
        <v>379</v>
      </c>
      <c r="F714" s="2" t="s">
        <v>660</v>
      </c>
    </row>
    <row r="715">
      <c r="A715" s="55">
        <f t="shared" si="2"/>
        <v>714</v>
      </c>
      <c r="B715" s="56" t="s">
        <v>661</v>
      </c>
      <c r="C715" s="55" t="s">
        <v>29</v>
      </c>
      <c r="D715" s="55">
        <v>1311.0</v>
      </c>
      <c r="E715" s="57" t="s">
        <v>379</v>
      </c>
      <c r="F715" s="2" t="s">
        <v>660</v>
      </c>
    </row>
    <row r="716">
      <c r="A716" s="55">
        <f t="shared" si="2"/>
        <v>715</v>
      </c>
      <c r="B716" s="56" t="s">
        <v>661</v>
      </c>
      <c r="C716" s="55" t="s">
        <v>26</v>
      </c>
      <c r="D716" s="55">
        <v>1562.0</v>
      </c>
      <c r="E716" s="57" t="s">
        <v>379</v>
      </c>
      <c r="F716" s="2" t="s">
        <v>660</v>
      </c>
    </row>
    <row r="717">
      <c r="A717" s="55">
        <f t="shared" si="2"/>
        <v>716</v>
      </c>
      <c r="B717" s="56" t="s">
        <v>661</v>
      </c>
      <c r="C717" s="55" t="s">
        <v>31</v>
      </c>
      <c r="D717" s="55">
        <v>1590.0</v>
      </c>
      <c r="E717" s="57" t="s">
        <v>379</v>
      </c>
      <c r="F717" s="2" t="s">
        <v>660</v>
      </c>
    </row>
    <row r="718">
      <c r="A718" s="55">
        <f t="shared" si="2"/>
        <v>717</v>
      </c>
      <c r="B718" s="56" t="s">
        <v>661</v>
      </c>
      <c r="C718" s="55" t="s">
        <v>30</v>
      </c>
      <c r="D718" s="55">
        <v>1340.0</v>
      </c>
      <c r="E718" s="57" t="s">
        <v>379</v>
      </c>
      <c r="F718" s="2" t="s">
        <v>660</v>
      </c>
    </row>
    <row r="719">
      <c r="A719" s="55">
        <f t="shared" si="2"/>
        <v>718</v>
      </c>
      <c r="B719" s="56" t="s">
        <v>661</v>
      </c>
      <c r="C719" s="55" t="s">
        <v>27</v>
      </c>
      <c r="D719" s="55">
        <v>1643.0</v>
      </c>
      <c r="E719" s="57" t="s">
        <v>379</v>
      </c>
      <c r="F719" s="2" t="s">
        <v>660</v>
      </c>
    </row>
    <row r="720">
      <c r="A720" s="55">
        <f t="shared" si="2"/>
        <v>719</v>
      </c>
      <c r="B720" s="56" t="s">
        <v>666</v>
      </c>
      <c r="C720" s="55" t="s">
        <v>30</v>
      </c>
      <c r="D720" s="55">
        <v>1312.0</v>
      </c>
      <c r="E720" s="57" t="s">
        <v>379</v>
      </c>
      <c r="F720" s="2" t="s">
        <v>665</v>
      </c>
    </row>
    <row r="721">
      <c r="A721" s="55">
        <f t="shared" si="2"/>
        <v>720</v>
      </c>
      <c r="B721" s="56" t="s">
        <v>666</v>
      </c>
      <c r="C721" s="55" t="s">
        <v>42</v>
      </c>
      <c r="D721" s="55">
        <v>1433.0</v>
      </c>
      <c r="E721" s="57" t="s">
        <v>379</v>
      </c>
      <c r="F721" s="2" t="s">
        <v>665</v>
      </c>
    </row>
    <row r="722">
      <c r="A722" s="55">
        <f t="shared" si="2"/>
        <v>721</v>
      </c>
      <c r="B722" s="56" t="s">
        <v>666</v>
      </c>
      <c r="C722" s="55" t="s">
        <v>29</v>
      </c>
      <c r="D722" s="55">
        <v>1325.0</v>
      </c>
      <c r="E722" s="57" t="s">
        <v>379</v>
      </c>
      <c r="F722" s="2" t="s">
        <v>665</v>
      </c>
    </row>
    <row r="723">
      <c r="A723" s="55">
        <f t="shared" si="2"/>
        <v>722</v>
      </c>
      <c r="B723" s="56" t="s">
        <v>666</v>
      </c>
      <c r="C723" s="55" t="s">
        <v>26</v>
      </c>
      <c r="D723" s="55">
        <v>1543.0</v>
      </c>
      <c r="E723" s="57" t="s">
        <v>379</v>
      </c>
      <c r="F723" s="2" t="s">
        <v>665</v>
      </c>
    </row>
    <row r="724">
      <c r="A724" s="55">
        <f t="shared" si="2"/>
        <v>723</v>
      </c>
      <c r="B724" s="56" t="s">
        <v>666</v>
      </c>
      <c r="C724" s="55" t="s">
        <v>31</v>
      </c>
      <c r="D724" s="55">
        <v>1572.0</v>
      </c>
      <c r="E724" s="57" t="s">
        <v>379</v>
      </c>
      <c r="F724" s="2" t="s">
        <v>665</v>
      </c>
    </row>
    <row r="725">
      <c r="A725" s="55">
        <f t="shared" si="2"/>
        <v>724</v>
      </c>
      <c r="B725" s="56" t="s">
        <v>666</v>
      </c>
      <c r="C725" s="55" t="s">
        <v>28</v>
      </c>
      <c r="D725" s="55">
        <v>1523.0</v>
      </c>
      <c r="E725" s="57" t="s">
        <v>379</v>
      </c>
      <c r="F725" s="2" t="s">
        <v>665</v>
      </c>
    </row>
    <row r="726">
      <c r="A726" s="55">
        <f t="shared" si="2"/>
        <v>725</v>
      </c>
      <c r="B726" s="56" t="s">
        <v>666</v>
      </c>
      <c r="C726" s="55" t="s">
        <v>36</v>
      </c>
      <c r="D726" s="55">
        <v>1343.0</v>
      </c>
      <c r="E726" s="57" t="s">
        <v>379</v>
      </c>
      <c r="F726" s="2" t="s">
        <v>665</v>
      </c>
    </row>
    <row r="727">
      <c r="A727" s="55">
        <f t="shared" si="2"/>
        <v>726</v>
      </c>
      <c r="B727" s="56" t="s">
        <v>671</v>
      </c>
      <c r="C727" s="55" t="s">
        <v>30</v>
      </c>
      <c r="D727" s="55">
        <v>1325.0</v>
      </c>
      <c r="E727" s="57" t="s">
        <v>379</v>
      </c>
      <c r="F727" s="2" t="s">
        <v>670</v>
      </c>
    </row>
    <row r="728">
      <c r="A728" s="55">
        <f t="shared" si="2"/>
        <v>727</v>
      </c>
      <c r="B728" s="56" t="s">
        <v>671</v>
      </c>
      <c r="C728" s="55" t="s">
        <v>26</v>
      </c>
      <c r="D728" s="55">
        <v>1527.0</v>
      </c>
      <c r="E728" s="57" t="s">
        <v>379</v>
      </c>
      <c r="F728" s="2" t="s">
        <v>670</v>
      </c>
    </row>
    <row r="729">
      <c r="A729" s="55">
        <f t="shared" si="2"/>
        <v>728</v>
      </c>
      <c r="B729" s="56" t="s">
        <v>671</v>
      </c>
      <c r="C729" s="55" t="s">
        <v>44</v>
      </c>
      <c r="D729" s="55">
        <v>1100.0</v>
      </c>
      <c r="E729" s="57" t="s">
        <v>379</v>
      </c>
      <c r="F729" s="2" t="s">
        <v>670</v>
      </c>
    </row>
    <row r="730">
      <c r="A730" s="55">
        <f t="shared" si="2"/>
        <v>729</v>
      </c>
      <c r="B730" s="56" t="s">
        <v>671</v>
      </c>
      <c r="C730" s="55" t="s">
        <v>39</v>
      </c>
      <c r="D730" s="55">
        <v>1520.0</v>
      </c>
      <c r="E730" s="57" t="s">
        <v>379</v>
      </c>
      <c r="F730" s="2" t="s">
        <v>670</v>
      </c>
    </row>
    <row r="731">
      <c r="A731" s="55">
        <f t="shared" si="2"/>
        <v>730</v>
      </c>
      <c r="B731" s="56" t="s">
        <v>671</v>
      </c>
      <c r="C731" s="55" t="s">
        <v>28</v>
      </c>
      <c r="D731" s="55">
        <v>1509.0</v>
      </c>
      <c r="E731" s="57" t="s">
        <v>379</v>
      </c>
      <c r="F731" s="2" t="s">
        <v>670</v>
      </c>
    </row>
    <row r="732">
      <c r="A732" s="55">
        <f t="shared" si="2"/>
        <v>731</v>
      </c>
      <c r="B732" s="56" t="s">
        <v>671</v>
      </c>
      <c r="C732" s="55" t="s">
        <v>29</v>
      </c>
      <c r="D732" s="55">
        <v>1338.0</v>
      </c>
      <c r="E732" s="57" t="s">
        <v>379</v>
      </c>
      <c r="F732" s="2" t="s">
        <v>670</v>
      </c>
    </row>
    <row r="733">
      <c r="A733" s="55">
        <f t="shared" si="2"/>
        <v>732</v>
      </c>
      <c r="B733" s="56" t="s">
        <v>671</v>
      </c>
      <c r="C733" s="55" t="s">
        <v>42</v>
      </c>
      <c r="D733" s="55">
        <v>1447.0</v>
      </c>
      <c r="E733" s="57" t="s">
        <v>379</v>
      </c>
      <c r="F733" s="2" t="s">
        <v>670</v>
      </c>
    </row>
    <row r="734">
      <c r="A734" s="55">
        <f t="shared" si="2"/>
        <v>733</v>
      </c>
      <c r="B734" s="56" t="s">
        <v>671</v>
      </c>
      <c r="C734" s="55" t="s">
        <v>36</v>
      </c>
      <c r="D734" s="55">
        <v>1324.0</v>
      </c>
      <c r="E734" s="57" t="s">
        <v>379</v>
      </c>
      <c r="F734" s="2" t="s">
        <v>670</v>
      </c>
    </row>
    <row r="735">
      <c r="A735" s="55">
        <f t="shared" si="2"/>
        <v>734</v>
      </c>
      <c r="B735" s="56" t="s">
        <v>676</v>
      </c>
      <c r="C735" s="55" t="s">
        <v>36</v>
      </c>
      <c r="D735" s="55">
        <v>1301.0</v>
      </c>
      <c r="E735" s="57" t="s">
        <v>379</v>
      </c>
      <c r="F735" s="2" t="s">
        <v>675</v>
      </c>
    </row>
    <row r="736">
      <c r="A736" s="55">
        <f t="shared" si="2"/>
        <v>735</v>
      </c>
      <c r="B736" s="56" t="s">
        <v>676</v>
      </c>
      <c r="C736" s="55" t="s">
        <v>50</v>
      </c>
      <c r="D736" s="55">
        <v>1190.0</v>
      </c>
      <c r="E736" s="57" t="s">
        <v>379</v>
      </c>
      <c r="F736" s="2" t="s">
        <v>675</v>
      </c>
    </row>
    <row r="737">
      <c r="A737" s="55">
        <f t="shared" si="2"/>
        <v>736</v>
      </c>
      <c r="B737" s="56" t="s">
        <v>676</v>
      </c>
      <c r="C737" s="55" t="s">
        <v>28</v>
      </c>
      <c r="D737" s="55">
        <v>1492.0</v>
      </c>
      <c r="E737" s="57" t="s">
        <v>379</v>
      </c>
      <c r="F737" s="2" t="s">
        <v>675</v>
      </c>
    </row>
    <row r="738">
      <c r="A738" s="55">
        <f t="shared" si="2"/>
        <v>737</v>
      </c>
      <c r="B738" s="56" t="s">
        <v>676</v>
      </c>
      <c r="C738" s="55" t="s">
        <v>42</v>
      </c>
      <c r="D738" s="55">
        <v>1428.0</v>
      </c>
      <c r="E738" s="57" t="s">
        <v>379</v>
      </c>
      <c r="F738" s="2" t="s">
        <v>675</v>
      </c>
    </row>
    <row r="739">
      <c r="A739" s="55">
        <f t="shared" si="2"/>
        <v>738</v>
      </c>
      <c r="B739" s="56" t="s">
        <v>676</v>
      </c>
      <c r="C739" s="55" t="s">
        <v>26</v>
      </c>
      <c r="D739" s="55">
        <v>1545.0</v>
      </c>
      <c r="E739" s="57" t="s">
        <v>379</v>
      </c>
      <c r="F739" s="2" t="s">
        <v>675</v>
      </c>
    </row>
    <row r="740">
      <c r="A740" s="55">
        <f t="shared" si="2"/>
        <v>739</v>
      </c>
      <c r="B740" s="56" t="s">
        <v>676</v>
      </c>
      <c r="C740" s="55" t="s">
        <v>30</v>
      </c>
      <c r="D740" s="55">
        <v>1341.0</v>
      </c>
      <c r="E740" s="57" t="s">
        <v>379</v>
      </c>
      <c r="F740" s="2" t="s">
        <v>675</v>
      </c>
    </row>
    <row r="741">
      <c r="A741" s="55">
        <f t="shared" si="2"/>
        <v>740</v>
      </c>
      <c r="B741" s="56" t="s">
        <v>676</v>
      </c>
      <c r="C741" s="55" t="s">
        <v>39</v>
      </c>
      <c r="D741" s="55">
        <v>1538.0</v>
      </c>
      <c r="E741" s="57" t="s">
        <v>379</v>
      </c>
      <c r="F741" s="2" t="s">
        <v>675</v>
      </c>
    </row>
    <row r="742">
      <c r="A742" s="55">
        <f t="shared" si="2"/>
        <v>741</v>
      </c>
      <c r="B742" s="56" t="s">
        <v>676</v>
      </c>
      <c r="C742" s="55" t="s">
        <v>27</v>
      </c>
      <c r="D742" s="55">
        <v>1629.0</v>
      </c>
      <c r="E742" s="57" t="s">
        <v>379</v>
      </c>
      <c r="F742" s="2" t="s">
        <v>675</v>
      </c>
    </row>
    <row r="743">
      <c r="A743" s="55">
        <f t="shared" si="2"/>
        <v>742</v>
      </c>
      <c r="B743" s="56" t="s">
        <v>680</v>
      </c>
      <c r="C743" s="55" t="s">
        <v>31</v>
      </c>
      <c r="D743" s="55">
        <v>1557.0</v>
      </c>
      <c r="E743" s="57" t="s">
        <v>379</v>
      </c>
      <c r="F743" s="2" t="s">
        <v>679</v>
      </c>
    </row>
    <row r="744">
      <c r="A744" s="55">
        <f t="shared" si="2"/>
        <v>743</v>
      </c>
      <c r="B744" s="56" t="s">
        <v>680</v>
      </c>
      <c r="C744" s="55" t="s">
        <v>27</v>
      </c>
      <c r="D744" s="55">
        <v>1616.0</v>
      </c>
      <c r="E744" s="57" t="s">
        <v>379</v>
      </c>
      <c r="F744" s="2" t="s">
        <v>679</v>
      </c>
    </row>
    <row r="745">
      <c r="A745" s="55">
        <f t="shared" si="2"/>
        <v>744</v>
      </c>
      <c r="B745" s="56" t="s">
        <v>680</v>
      </c>
      <c r="C745" s="55" t="s">
        <v>30</v>
      </c>
      <c r="D745" s="55">
        <v>1315.0</v>
      </c>
      <c r="E745" s="57" t="s">
        <v>379</v>
      </c>
      <c r="F745" s="2" t="s">
        <v>679</v>
      </c>
    </row>
    <row r="746">
      <c r="A746" s="55">
        <f t="shared" si="2"/>
        <v>745</v>
      </c>
      <c r="B746" s="56" t="s">
        <v>680</v>
      </c>
      <c r="C746" s="55" t="s">
        <v>50</v>
      </c>
      <c r="D746" s="55">
        <v>1198.0</v>
      </c>
      <c r="E746" s="57" t="s">
        <v>379</v>
      </c>
      <c r="F746" s="2" t="s">
        <v>679</v>
      </c>
    </row>
    <row r="747">
      <c r="A747" s="55">
        <f t="shared" si="2"/>
        <v>746</v>
      </c>
      <c r="B747" s="56" t="s">
        <v>680</v>
      </c>
      <c r="C747" s="55" t="s">
        <v>28</v>
      </c>
      <c r="D747" s="55">
        <v>1503.0</v>
      </c>
      <c r="E747" s="57" t="s">
        <v>379</v>
      </c>
      <c r="F747" s="2" t="s">
        <v>679</v>
      </c>
    </row>
    <row r="748">
      <c r="A748" s="55">
        <f t="shared" si="2"/>
        <v>747</v>
      </c>
      <c r="B748" s="56" t="s">
        <v>680</v>
      </c>
      <c r="C748" s="55" t="s">
        <v>26</v>
      </c>
      <c r="D748" s="55">
        <v>1527.0</v>
      </c>
      <c r="E748" s="57" t="s">
        <v>379</v>
      </c>
      <c r="F748" s="2" t="s">
        <v>679</v>
      </c>
    </row>
    <row r="749">
      <c r="A749" s="55">
        <f t="shared" si="2"/>
        <v>748</v>
      </c>
      <c r="B749" s="56" t="s">
        <v>680</v>
      </c>
      <c r="C749" s="55" t="s">
        <v>42</v>
      </c>
      <c r="D749" s="55">
        <v>1438.0</v>
      </c>
      <c r="E749" s="57" t="s">
        <v>379</v>
      </c>
      <c r="F749" s="2" t="s">
        <v>679</v>
      </c>
    </row>
    <row r="750">
      <c r="A750" s="55">
        <f t="shared" si="2"/>
        <v>749</v>
      </c>
      <c r="B750" s="56" t="s">
        <v>680</v>
      </c>
      <c r="C750" s="55" t="s">
        <v>39</v>
      </c>
      <c r="D750" s="55">
        <v>1520.0</v>
      </c>
      <c r="E750" s="57" t="s">
        <v>379</v>
      </c>
      <c r="F750" s="2" t="s">
        <v>679</v>
      </c>
    </row>
    <row r="751">
      <c r="A751" s="55">
        <f t="shared" si="2"/>
        <v>750</v>
      </c>
      <c r="B751" s="56" t="s">
        <v>684</v>
      </c>
      <c r="C751" s="55" t="s">
        <v>39</v>
      </c>
      <c r="D751" s="55">
        <v>1498.0</v>
      </c>
      <c r="E751" s="57" t="s">
        <v>379</v>
      </c>
      <c r="F751" s="2" t="s">
        <v>683</v>
      </c>
    </row>
    <row r="752">
      <c r="A752" s="55">
        <f t="shared" si="2"/>
        <v>751</v>
      </c>
      <c r="B752" s="56" t="s">
        <v>684</v>
      </c>
      <c r="C752" s="55" t="s">
        <v>34</v>
      </c>
      <c r="D752" s="55">
        <v>1096.0</v>
      </c>
      <c r="E752" s="57" t="s">
        <v>379</v>
      </c>
      <c r="F752" s="2" t="s">
        <v>683</v>
      </c>
    </row>
    <row r="753">
      <c r="A753" s="55">
        <f t="shared" si="2"/>
        <v>752</v>
      </c>
      <c r="B753" s="56" t="s">
        <v>684</v>
      </c>
      <c r="C753" s="55" t="s">
        <v>51</v>
      </c>
      <c r="D753" s="55">
        <v>1259.0</v>
      </c>
      <c r="E753" s="57" t="s">
        <v>379</v>
      </c>
      <c r="F753" s="2" t="s">
        <v>683</v>
      </c>
    </row>
    <row r="754">
      <c r="A754" s="55">
        <f t="shared" si="2"/>
        <v>753</v>
      </c>
      <c r="B754" s="56" t="s">
        <v>684</v>
      </c>
      <c r="C754" s="55" t="s">
        <v>30</v>
      </c>
      <c r="D754" s="55">
        <v>1328.0</v>
      </c>
      <c r="E754" s="57" t="s">
        <v>379</v>
      </c>
      <c r="F754" s="2" t="s">
        <v>683</v>
      </c>
    </row>
    <row r="755">
      <c r="A755" s="55">
        <f t="shared" si="2"/>
        <v>754</v>
      </c>
      <c r="B755" s="56" t="s">
        <v>684</v>
      </c>
      <c r="C755" s="55" t="s">
        <v>36</v>
      </c>
      <c r="D755" s="55">
        <v>1310.0</v>
      </c>
      <c r="E755" s="57" t="s">
        <v>379</v>
      </c>
      <c r="F755" s="2" t="s">
        <v>683</v>
      </c>
    </row>
    <row r="756">
      <c r="A756" s="55">
        <f t="shared" si="2"/>
        <v>755</v>
      </c>
      <c r="B756" s="56" t="s">
        <v>684</v>
      </c>
      <c r="C756" s="55" t="s">
        <v>28</v>
      </c>
      <c r="D756" s="55">
        <v>1484.0</v>
      </c>
      <c r="E756" s="57" t="s">
        <v>379</v>
      </c>
      <c r="F756" s="2" t="s">
        <v>683</v>
      </c>
    </row>
    <row r="757">
      <c r="A757" s="55">
        <f t="shared" si="2"/>
        <v>756</v>
      </c>
      <c r="B757" s="56" t="s">
        <v>684</v>
      </c>
      <c r="C757" s="55" t="s">
        <v>26</v>
      </c>
      <c r="D757" s="55">
        <v>1505.0</v>
      </c>
      <c r="E757" s="57" t="s">
        <v>379</v>
      </c>
      <c r="F757" s="2" t="s">
        <v>683</v>
      </c>
    </row>
    <row r="758">
      <c r="A758" s="55">
        <f t="shared" si="2"/>
        <v>757</v>
      </c>
      <c r="B758" s="56" t="s">
        <v>684</v>
      </c>
      <c r="C758" s="55" t="s">
        <v>35</v>
      </c>
      <c r="D758" s="55">
        <v>1275.0</v>
      </c>
      <c r="E758" s="57" t="s">
        <v>379</v>
      </c>
      <c r="F758" s="2" t="s">
        <v>683</v>
      </c>
    </row>
    <row r="759">
      <c r="A759" s="55">
        <f t="shared" si="2"/>
        <v>758</v>
      </c>
      <c r="B759" s="56" t="s">
        <v>688</v>
      </c>
      <c r="C759" s="55" t="s">
        <v>36</v>
      </c>
      <c r="D759" s="55">
        <v>1289.0</v>
      </c>
      <c r="E759" s="57" t="s">
        <v>379</v>
      </c>
      <c r="F759" s="2" t="s">
        <v>687</v>
      </c>
    </row>
    <row r="760">
      <c r="A760" s="55">
        <f t="shared" si="2"/>
        <v>759</v>
      </c>
      <c r="B760" s="56" t="s">
        <v>688</v>
      </c>
      <c r="C760" s="55" t="s">
        <v>28</v>
      </c>
      <c r="D760" s="55">
        <v>1469.0</v>
      </c>
      <c r="E760" s="57" t="s">
        <v>379</v>
      </c>
      <c r="F760" s="2" t="s">
        <v>687</v>
      </c>
    </row>
    <row r="761">
      <c r="A761" s="55">
        <f t="shared" si="2"/>
        <v>760</v>
      </c>
      <c r="B761" s="56" t="s">
        <v>688</v>
      </c>
      <c r="C761" s="55" t="s">
        <v>26</v>
      </c>
      <c r="D761" s="55">
        <v>1487.0</v>
      </c>
      <c r="E761" s="57" t="s">
        <v>379</v>
      </c>
      <c r="F761" s="2" t="s">
        <v>687</v>
      </c>
    </row>
    <row r="762">
      <c r="A762" s="55">
        <f t="shared" si="2"/>
        <v>761</v>
      </c>
      <c r="B762" s="56" t="s">
        <v>688</v>
      </c>
      <c r="C762" s="55" t="s">
        <v>35</v>
      </c>
      <c r="D762" s="55">
        <v>1253.0</v>
      </c>
      <c r="E762" s="57" t="s">
        <v>379</v>
      </c>
      <c r="F762" s="2" t="s">
        <v>687</v>
      </c>
    </row>
    <row r="763">
      <c r="A763" s="55">
        <f t="shared" si="2"/>
        <v>762</v>
      </c>
      <c r="B763" s="56" t="s">
        <v>688</v>
      </c>
      <c r="C763" s="55" t="s">
        <v>39</v>
      </c>
      <c r="D763" s="55">
        <v>1510.0</v>
      </c>
      <c r="E763" s="57" t="s">
        <v>379</v>
      </c>
      <c r="F763" s="2" t="s">
        <v>687</v>
      </c>
    </row>
    <row r="764">
      <c r="A764" s="55">
        <f t="shared" si="2"/>
        <v>763</v>
      </c>
      <c r="B764" s="56" t="s">
        <v>688</v>
      </c>
      <c r="C764" s="55" t="s">
        <v>34</v>
      </c>
      <c r="D764" s="55">
        <v>1105.0</v>
      </c>
      <c r="E764" s="57" t="s">
        <v>379</v>
      </c>
      <c r="F764" s="2" t="s">
        <v>687</v>
      </c>
    </row>
    <row r="765">
      <c r="A765" s="55">
        <f t="shared" si="2"/>
        <v>764</v>
      </c>
      <c r="B765" s="56" t="s">
        <v>688</v>
      </c>
      <c r="C765" s="55" t="s">
        <v>51</v>
      </c>
      <c r="D765" s="55">
        <v>1269.0</v>
      </c>
      <c r="E765" s="57" t="s">
        <v>379</v>
      </c>
      <c r="F765" s="2" t="s">
        <v>687</v>
      </c>
    </row>
    <row r="766">
      <c r="A766" s="55">
        <f t="shared" si="2"/>
        <v>765</v>
      </c>
      <c r="B766" s="56" t="s">
        <v>688</v>
      </c>
      <c r="C766" s="55" t="s">
        <v>30</v>
      </c>
      <c r="D766" s="55">
        <v>1339.0</v>
      </c>
      <c r="E766" s="57" t="s">
        <v>379</v>
      </c>
      <c r="F766" s="2" t="s">
        <v>687</v>
      </c>
    </row>
    <row r="767">
      <c r="A767" s="55">
        <f t="shared" si="2"/>
        <v>766</v>
      </c>
      <c r="B767" s="56" t="s">
        <v>9607</v>
      </c>
      <c r="C767" s="55" t="s">
        <v>35</v>
      </c>
      <c r="D767" s="55">
        <v>1288.0</v>
      </c>
      <c r="E767" s="57" t="s">
        <v>379</v>
      </c>
      <c r="F767" s="2" t="s">
        <v>9608</v>
      </c>
    </row>
    <row r="768">
      <c r="A768" s="55">
        <f t="shared" si="2"/>
        <v>767</v>
      </c>
      <c r="B768" s="56" t="s">
        <v>692</v>
      </c>
      <c r="C768" s="55" t="s">
        <v>39</v>
      </c>
      <c r="D768" s="55">
        <v>1489.0</v>
      </c>
      <c r="E768" s="57" t="s">
        <v>379</v>
      </c>
      <c r="F768" s="2" t="s">
        <v>691</v>
      </c>
    </row>
    <row r="769">
      <c r="A769" s="55">
        <f t="shared" si="2"/>
        <v>768</v>
      </c>
      <c r="B769" s="56" t="s">
        <v>692</v>
      </c>
      <c r="C769" s="55" t="s">
        <v>36</v>
      </c>
      <c r="D769" s="55">
        <v>1304.0</v>
      </c>
      <c r="E769" s="57" t="s">
        <v>379</v>
      </c>
      <c r="F769" s="2" t="s">
        <v>691</v>
      </c>
    </row>
    <row r="770">
      <c r="A770" s="55">
        <f t="shared" si="2"/>
        <v>769</v>
      </c>
      <c r="B770" s="56" t="s">
        <v>692</v>
      </c>
      <c r="C770" s="55" t="s">
        <v>30</v>
      </c>
      <c r="D770" s="55">
        <v>1311.0</v>
      </c>
      <c r="E770" s="57" t="s">
        <v>379</v>
      </c>
      <c r="F770" s="2" t="s">
        <v>691</v>
      </c>
    </row>
    <row r="771">
      <c r="A771" s="55">
        <f t="shared" si="2"/>
        <v>770</v>
      </c>
      <c r="B771" s="56" t="s">
        <v>692</v>
      </c>
      <c r="C771" s="55" t="s">
        <v>35</v>
      </c>
      <c r="D771" s="55">
        <v>1267.0</v>
      </c>
      <c r="E771" s="57" t="s">
        <v>379</v>
      </c>
      <c r="F771" s="2" t="s">
        <v>691</v>
      </c>
    </row>
    <row r="772">
      <c r="A772" s="55">
        <f t="shared" si="2"/>
        <v>771</v>
      </c>
      <c r="B772" s="56" t="s">
        <v>692</v>
      </c>
      <c r="C772" s="55" t="s">
        <v>26</v>
      </c>
      <c r="D772" s="55">
        <v>1504.0</v>
      </c>
      <c r="E772" s="57" t="s">
        <v>379</v>
      </c>
      <c r="F772" s="2" t="s">
        <v>691</v>
      </c>
    </row>
    <row r="773">
      <c r="A773" s="55">
        <f t="shared" si="2"/>
        <v>772</v>
      </c>
      <c r="B773" s="56" t="s">
        <v>692</v>
      </c>
      <c r="C773" s="55" t="s">
        <v>27</v>
      </c>
      <c r="D773" s="55">
        <v>1632.0</v>
      </c>
      <c r="E773" s="57" t="s">
        <v>379</v>
      </c>
      <c r="F773" s="2" t="s">
        <v>691</v>
      </c>
    </row>
    <row r="774">
      <c r="A774" s="55">
        <f t="shared" si="2"/>
        <v>773</v>
      </c>
      <c r="B774" s="56" t="s">
        <v>692</v>
      </c>
      <c r="C774" s="55" t="s">
        <v>51</v>
      </c>
      <c r="D774" s="55">
        <v>1244.0</v>
      </c>
      <c r="E774" s="57" t="s">
        <v>379</v>
      </c>
      <c r="F774" s="2" t="s">
        <v>691</v>
      </c>
    </row>
    <row r="775">
      <c r="A775" s="55">
        <f t="shared" si="2"/>
        <v>774</v>
      </c>
      <c r="B775" s="56" t="s">
        <v>692</v>
      </c>
      <c r="C775" s="55" t="s">
        <v>34</v>
      </c>
      <c r="D775" s="55">
        <v>1075.0</v>
      </c>
      <c r="E775" s="57" t="s">
        <v>379</v>
      </c>
      <c r="F775" s="2" t="s">
        <v>691</v>
      </c>
    </row>
    <row r="776">
      <c r="A776" s="55">
        <f t="shared" si="2"/>
        <v>775</v>
      </c>
      <c r="B776" s="56" t="s">
        <v>696</v>
      </c>
      <c r="C776" s="55" t="s">
        <v>30</v>
      </c>
      <c r="D776" s="55">
        <v>1325.0</v>
      </c>
      <c r="E776" s="57" t="s">
        <v>379</v>
      </c>
      <c r="F776" s="2" t="s">
        <v>695</v>
      </c>
    </row>
    <row r="777">
      <c r="A777" s="55">
        <f t="shared" si="2"/>
        <v>776</v>
      </c>
      <c r="B777" s="56" t="s">
        <v>696</v>
      </c>
      <c r="C777" s="55" t="s">
        <v>36</v>
      </c>
      <c r="D777" s="55">
        <v>1318.0</v>
      </c>
      <c r="E777" s="57" t="s">
        <v>379</v>
      </c>
      <c r="F777" s="2" t="s">
        <v>695</v>
      </c>
    </row>
    <row r="778">
      <c r="A778" s="55">
        <f t="shared" si="2"/>
        <v>777</v>
      </c>
      <c r="B778" s="56" t="s">
        <v>696</v>
      </c>
      <c r="C778" s="55" t="s">
        <v>31</v>
      </c>
      <c r="D778" s="55">
        <v>1572.0</v>
      </c>
      <c r="E778" s="57" t="s">
        <v>379</v>
      </c>
      <c r="F778" s="2" t="s">
        <v>695</v>
      </c>
    </row>
    <row r="779">
      <c r="A779" s="55">
        <f t="shared" si="2"/>
        <v>778</v>
      </c>
      <c r="B779" s="56" t="s">
        <v>696</v>
      </c>
      <c r="C779" s="55" t="s">
        <v>26</v>
      </c>
      <c r="D779" s="55">
        <v>1484.0</v>
      </c>
      <c r="E779" s="57" t="s">
        <v>379</v>
      </c>
      <c r="F779" s="2" t="s">
        <v>695</v>
      </c>
    </row>
    <row r="780">
      <c r="A780" s="55">
        <f t="shared" si="2"/>
        <v>779</v>
      </c>
      <c r="B780" s="56" t="s">
        <v>696</v>
      </c>
      <c r="C780" s="55" t="s">
        <v>28</v>
      </c>
      <c r="D780" s="55">
        <v>1486.0</v>
      </c>
      <c r="E780" s="57" t="s">
        <v>379</v>
      </c>
      <c r="F780" s="2" t="s">
        <v>695</v>
      </c>
    </row>
    <row r="781">
      <c r="A781" s="55">
        <f t="shared" si="2"/>
        <v>780</v>
      </c>
      <c r="B781" s="56" t="s">
        <v>696</v>
      </c>
      <c r="C781" s="55" t="s">
        <v>35</v>
      </c>
      <c r="D781" s="55">
        <v>1281.0</v>
      </c>
      <c r="E781" s="57" t="s">
        <v>379</v>
      </c>
      <c r="F781" s="2" t="s">
        <v>695</v>
      </c>
    </row>
    <row r="782">
      <c r="A782" s="55">
        <f t="shared" si="2"/>
        <v>781</v>
      </c>
      <c r="B782" s="56" t="s">
        <v>696</v>
      </c>
      <c r="C782" s="55" t="s">
        <v>27</v>
      </c>
      <c r="D782" s="55">
        <v>1620.0</v>
      </c>
      <c r="E782" s="57" t="s">
        <v>379</v>
      </c>
      <c r="F782" s="2" t="s">
        <v>695</v>
      </c>
    </row>
    <row r="783">
      <c r="A783" s="55">
        <f t="shared" si="2"/>
        <v>782</v>
      </c>
      <c r="B783" s="56" t="s">
        <v>696</v>
      </c>
      <c r="C783" s="55" t="s">
        <v>39</v>
      </c>
      <c r="D783" s="55">
        <v>1505.0</v>
      </c>
      <c r="E783" s="57" t="s">
        <v>379</v>
      </c>
      <c r="F783" s="2" t="s">
        <v>695</v>
      </c>
    </row>
    <row r="784">
      <c r="A784" s="55">
        <f t="shared" si="2"/>
        <v>783</v>
      </c>
      <c r="B784" s="56" t="s">
        <v>700</v>
      </c>
      <c r="C784" s="55" t="s">
        <v>26</v>
      </c>
      <c r="D784" s="55">
        <v>1503.0</v>
      </c>
      <c r="E784" s="57" t="s">
        <v>379</v>
      </c>
      <c r="F784" s="2" t="s">
        <v>699</v>
      </c>
    </row>
    <row r="785">
      <c r="A785" s="55">
        <f t="shared" si="2"/>
        <v>784</v>
      </c>
      <c r="B785" s="56" t="s">
        <v>700</v>
      </c>
      <c r="C785" s="55" t="s">
        <v>39</v>
      </c>
      <c r="D785" s="55">
        <v>1482.0</v>
      </c>
      <c r="E785" s="57" t="s">
        <v>379</v>
      </c>
      <c r="F785" s="2" t="s">
        <v>699</v>
      </c>
    </row>
    <row r="786">
      <c r="A786" s="55">
        <f t="shared" si="2"/>
        <v>785</v>
      </c>
      <c r="B786" s="56" t="s">
        <v>700</v>
      </c>
      <c r="C786" s="55" t="s">
        <v>30</v>
      </c>
      <c r="D786" s="55">
        <v>1341.0</v>
      </c>
      <c r="E786" s="57" t="s">
        <v>379</v>
      </c>
      <c r="F786" s="2" t="s">
        <v>699</v>
      </c>
    </row>
    <row r="787">
      <c r="A787" s="55">
        <f t="shared" si="2"/>
        <v>786</v>
      </c>
      <c r="B787" s="56" t="s">
        <v>700</v>
      </c>
      <c r="C787" s="55" t="s">
        <v>35</v>
      </c>
      <c r="D787" s="55">
        <v>1255.0</v>
      </c>
      <c r="E787" s="57" t="s">
        <v>379</v>
      </c>
      <c r="F787" s="2" t="s">
        <v>699</v>
      </c>
    </row>
    <row r="788">
      <c r="A788" s="55">
        <f t="shared" si="2"/>
        <v>787</v>
      </c>
      <c r="B788" s="56" t="s">
        <v>700</v>
      </c>
      <c r="C788" s="55" t="s">
        <v>36</v>
      </c>
      <c r="D788" s="55">
        <v>1334.0</v>
      </c>
      <c r="E788" s="57" t="s">
        <v>379</v>
      </c>
      <c r="F788" s="2" t="s">
        <v>699</v>
      </c>
    </row>
    <row r="789">
      <c r="A789" s="55">
        <f t="shared" si="2"/>
        <v>788</v>
      </c>
      <c r="B789" s="56" t="s">
        <v>700</v>
      </c>
      <c r="C789" s="55" t="s">
        <v>31</v>
      </c>
      <c r="D789" s="55">
        <v>1592.0</v>
      </c>
      <c r="E789" s="57" t="s">
        <v>379</v>
      </c>
      <c r="F789" s="2" t="s">
        <v>699</v>
      </c>
    </row>
    <row r="790">
      <c r="A790" s="55">
        <f t="shared" si="2"/>
        <v>789</v>
      </c>
      <c r="B790" s="56" t="s">
        <v>700</v>
      </c>
      <c r="C790" s="55" t="s">
        <v>28</v>
      </c>
      <c r="D790" s="55">
        <v>1466.0</v>
      </c>
      <c r="E790" s="57" t="s">
        <v>379</v>
      </c>
      <c r="F790" s="2" t="s">
        <v>699</v>
      </c>
    </row>
    <row r="791">
      <c r="A791" s="55">
        <f t="shared" si="2"/>
        <v>790</v>
      </c>
      <c r="B791" s="56" t="s">
        <v>700</v>
      </c>
      <c r="C791" s="55" t="s">
        <v>27</v>
      </c>
      <c r="D791" s="55">
        <v>1605.0</v>
      </c>
      <c r="E791" s="57" t="s">
        <v>379</v>
      </c>
      <c r="F791" s="2" t="s">
        <v>699</v>
      </c>
    </row>
    <row r="792">
      <c r="A792" s="55">
        <f t="shared" si="2"/>
        <v>791</v>
      </c>
      <c r="B792" s="56" t="s">
        <v>704</v>
      </c>
      <c r="C792" s="55" t="s">
        <v>39</v>
      </c>
      <c r="D792" s="55">
        <v>1498.0</v>
      </c>
      <c r="E792" s="57" t="s">
        <v>379</v>
      </c>
      <c r="F792" s="2" t="s">
        <v>703</v>
      </c>
    </row>
    <row r="793">
      <c r="A793" s="55">
        <f t="shared" si="2"/>
        <v>792</v>
      </c>
      <c r="B793" s="56" t="s">
        <v>704</v>
      </c>
      <c r="C793" s="55" t="s">
        <v>28</v>
      </c>
      <c r="D793" s="55">
        <v>1447.0</v>
      </c>
      <c r="E793" s="57" t="s">
        <v>379</v>
      </c>
      <c r="F793" s="2" t="s">
        <v>703</v>
      </c>
    </row>
    <row r="794">
      <c r="A794" s="55">
        <f t="shared" si="2"/>
        <v>793</v>
      </c>
      <c r="B794" s="56" t="s">
        <v>704</v>
      </c>
      <c r="C794" s="55" t="s">
        <v>35</v>
      </c>
      <c r="D794" s="55">
        <v>1269.0</v>
      </c>
      <c r="E794" s="57" t="s">
        <v>379</v>
      </c>
      <c r="F794" s="2" t="s">
        <v>703</v>
      </c>
    </row>
    <row r="795">
      <c r="A795" s="55">
        <f t="shared" si="2"/>
        <v>794</v>
      </c>
      <c r="B795" s="56" t="s">
        <v>704</v>
      </c>
      <c r="C795" s="55" t="s">
        <v>36</v>
      </c>
      <c r="D795" s="55">
        <v>1310.0</v>
      </c>
      <c r="E795" s="57" t="s">
        <v>379</v>
      </c>
      <c r="F795" s="2" t="s">
        <v>703</v>
      </c>
    </row>
    <row r="796">
      <c r="A796" s="55">
        <f t="shared" si="2"/>
        <v>795</v>
      </c>
      <c r="B796" s="56" t="s">
        <v>704</v>
      </c>
      <c r="C796" s="55" t="s">
        <v>31</v>
      </c>
      <c r="D796" s="55">
        <v>1574.0</v>
      </c>
      <c r="E796" s="57" t="s">
        <v>379</v>
      </c>
      <c r="F796" s="2" t="s">
        <v>703</v>
      </c>
    </row>
    <row r="797">
      <c r="A797" s="55">
        <f t="shared" si="2"/>
        <v>796</v>
      </c>
      <c r="B797" s="56" t="s">
        <v>704</v>
      </c>
      <c r="C797" s="55" t="s">
        <v>27</v>
      </c>
      <c r="D797" s="55">
        <v>1590.0</v>
      </c>
      <c r="E797" s="57" t="s">
        <v>379</v>
      </c>
      <c r="F797" s="2" t="s">
        <v>703</v>
      </c>
    </row>
    <row r="798">
      <c r="A798" s="55">
        <f t="shared" si="2"/>
        <v>797</v>
      </c>
      <c r="B798" s="56" t="s">
        <v>704</v>
      </c>
      <c r="C798" s="55" t="s">
        <v>26</v>
      </c>
      <c r="D798" s="55">
        <v>1520.0</v>
      </c>
      <c r="E798" s="57" t="s">
        <v>379</v>
      </c>
      <c r="F798" s="2" t="s">
        <v>703</v>
      </c>
    </row>
    <row r="799">
      <c r="A799" s="55">
        <f t="shared" si="2"/>
        <v>798</v>
      </c>
      <c r="B799" s="56" t="s">
        <v>704</v>
      </c>
      <c r="C799" s="55" t="s">
        <v>30</v>
      </c>
      <c r="D799" s="55">
        <v>1356.0</v>
      </c>
      <c r="E799" s="57" t="s">
        <v>379</v>
      </c>
      <c r="F799" s="2" t="s">
        <v>703</v>
      </c>
    </row>
    <row r="800">
      <c r="A800" s="55">
        <f t="shared" si="2"/>
        <v>799</v>
      </c>
      <c r="B800" s="56" t="s">
        <v>708</v>
      </c>
      <c r="C800" s="55" t="s">
        <v>30</v>
      </c>
      <c r="D800" s="55">
        <v>1329.0</v>
      </c>
      <c r="E800" s="57" t="s">
        <v>379</v>
      </c>
      <c r="F800" s="2" t="s">
        <v>707</v>
      </c>
    </row>
    <row r="801">
      <c r="A801" s="55">
        <f t="shared" si="2"/>
        <v>800</v>
      </c>
      <c r="B801" s="56" t="s">
        <v>708</v>
      </c>
      <c r="C801" s="55" t="s">
        <v>45</v>
      </c>
      <c r="D801" s="55">
        <v>1210.0</v>
      </c>
      <c r="E801" s="57" t="s">
        <v>379</v>
      </c>
      <c r="F801" s="2" t="s">
        <v>707</v>
      </c>
    </row>
    <row r="802">
      <c r="A802" s="55">
        <f t="shared" si="2"/>
        <v>801</v>
      </c>
      <c r="B802" s="56" t="s">
        <v>708</v>
      </c>
      <c r="C802" s="55" t="s">
        <v>34</v>
      </c>
      <c r="D802" s="55">
        <v>1045.0</v>
      </c>
      <c r="E802" s="57" t="s">
        <v>379</v>
      </c>
      <c r="F802" s="2" t="s">
        <v>707</v>
      </c>
    </row>
    <row r="803">
      <c r="A803" s="55">
        <f t="shared" si="2"/>
        <v>802</v>
      </c>
      <c r="B803" s="56" t="s">
        <v>708</v>
      </c>
      <c r="C803" s="55" t="s">
        <v>26</v>
      </c>
      <c r="D803" s="55">
        <v>1499.0</v>
      </c>
      <c r="E803" s="57" t="s">
        <v>379</v>
      </c>
      <c r="F803" s="2" t="s">
        <v>707</v>
      </c>
    </row>
    <row r="804">
      <c r="A804" s="55">
        <f t="shared" si="2"/>
        <v>803</v>
      </c>
      <c r="B804" s="56" t="s">
        <v>712</v>
      </c>
      <c r="C804" s="55" t="s">
        <v>45</v>
      </c>
      <c r="D804" s="55">
        <v>1227.0</v>
      </c>
      <c r="E804" s="57" t="s">
        <v>379</v>
      </c>
      <c r="F804" s="2" t="s">
        <v>711</v>
      </c>
    </row>
    <row r="805">
      <c r="A805" s="55">
        <f t="shared" si="2"/>
        <v>804</v>
      </c>
      <c r="B805" s="56" t="s">
        <v>712</v>
      </c>
      <c r="C805" s="55" t="s">
        <v>26</v>
      </c>
      <c r="D805" s="55">
        <v>1486.0</v>
      </c>
      <c r="E805" s="57" t="s">
        <v>379</v>
      </c>
      <c r="F805" s="2" t="s">
        <v>711</v>
      </c>
    </row>
    <row r="806">
      <c r="A806" s="55">
        <f t="shared" si="2"/>
        <v>805</v>
      </c>
      <c r="B806" s="56" t="s">
        <v>712</v>
      </c>
      <c r="C806" s="55" t="s">
        <v>30</v>
      </c>
      <c r="D806" s="55">
        <v>1347.0</v>
      </c>
      <c r="E806" s="57" t="s">
        <v>379</v>
      </c>
      <c r="F806" s="2" t="s">
        <v>711</v>
      </c>
    </row>
    <row r="807">
      <c r="A807" s="55">
        <f t="shared" si="2"/>
        <v>806</v>
      </c>
      <c r="B807" s="56" t="s">
        <v>712</v>
      </c>
      <c r="C807" s="55" t="s">
        <v>34</v>
      </c>
      <c r="D807" s="55">
        <v>1060.0</v>
      </c>
      <c r="E807" s="57" t="s">
        <v>379</v>
      </c>
      <c r="F807" s="2" t="s">
        <v>711</v>
      </c>
    </row>
    <row r="808">
      <c r="A808" s="55">
        <f t="shared" si="2"/>
        <v>807</v>
      </c>
      <c r="B808" s="56" t="s">
        <v>716</v>
      </c>
      <c r="C808" s="55" t="s">
        <v>26</v>
      </c>
      <c r="D808" s="55">
        <v>1475.0</v>
      </c>
      <c r="E808" s="57" t="s">
        <v>379</v>
      </c>
      <c r="F808" s="2" t="s">
        <v>715</v>
      </c>
    </row>
    <row r="809">
      <c r="A809" s="55">
        <f t="shared" si="2"/>
        <v>808</v>
      </c>
      <c r="B809" s="56" t="s">
        <v>716</v>
      </c>
      <c r="C809" s="55" t="s">
        <v>30</v>
      </c>
      <c r="D809" s="55">
        <v>1331.0</v>
      </c>
      <c r="E809" s="57" t="s">
        <v>379</v>
      </c>
      <c r="F809" s="2" t="s">
        <v>715</v>
      </c>
    </row>
    <row r="810">
      <c r="A810" s="55">
        <f t="shared" si="2"/>
        <v>809</v>
      </c>
      <c r="B810" s="56" t="s">
        <v>716</v>
      </c>
      <c r="C810" s="55" t="s">
        <v>35</v>
      </c>
      <c r="D810" s="55">
        <v>1284.0</v>
      </c>
      <c r="E810" s="57" t="s">
        <v>379</v>
      </c>
      <c r="F810" s="2" t="s">
        <v>715</v>
      </c>
    </row>
    <row r="811">
      <c r="A811" s="55">
        <f t="shared" si="2"/>
        <v>810</v>
      </c>
      <c r="B811" s="56" t="s">
        <v>716</v>
      </c>
      <c r="C811" s="55" t="s">
        <v>36</v>
      </c>
      <c r="D811" s="55">
        <v>1326.0</v>
      </c>
      <c r="E811" s="57" t="s">
        <v>379</v>
      </c>
      <c r="F811" s="2" t="s">
        <v>715</v>
      </c>
    </row>
    <row r="812">
      <c r="A812" s="55">
        <f t="shared" si="2"/>
        <v>811</v>
      </c>
      <c r="B812" s="56" t="s">
        <v>716</v>
      </c>
      <c r="C812" s="55" t="s">
        <v>28</v>
      </c>
      <c r="D812" s="55">
        <v>1465.0</v>
      </c>
      <c r="E812" s="57" t="s">
        <v>379</v>
      </c>
      <c r="F812" s="2" t="s">
        <v>715</v>
      </c>
    </row>
    <row r="813">
      <c r="A813" s="55">
        <f t="shared" si="2"/>
        <v>812</v>
      </c>
      <c r="B813" s="56" t="s">
        <v>716</v>
      </c>
      <c r="C813" s="55" t="s">
        <v>27</v>
      </c>
      <c r="D813" s="55">
        <v>1575.0</v>
      </c>
      <c r="E813" s="57" t="s">
        <v>379</v>
      </c>
      <c r="F813" s="2" t="s">
        <v>715</v>
      </c>
    </row>
    <row r="814">
      <c r="A814" s="55">
        <f t="shared" si="2"/>
        <v>813</v>
      </c>
      <c r="B814" s="56" t="s">
        <v>721</v>
      </c>
      <c r="C814" s="55" t="s">
        <v>26</v>
      </c>
      <c r="D814" s="55">
        <v>1489.0</v>
      </c>
      <c r="E814" s="57" t="s">
        <v>379</v>
      </c>
      <c r="F814" s="2" t="s">
        <v>720</v>
      </c>
    </row>
    <row r="815">
      <c r="A815" s="55">
        <f t="shared" si="2"/>
        <v>814</v>
      </c>
      <c r="B815" s="56" t="s">
        <v>721</v>
      </c>
      <c r="C815" s="55" t="s">
        <v>30</v>
      </c>
      <c r="D815" s="55">
        <v>1343.0</v>
      </c>
      <c r="E815" s="57" t="s">
        <v>379</v>
      </c>
      <c r="F815" s="2" t="s">
        <v>720</v>
      </c>
    </row>
    <row r="816">
      <c r="A816" s="55">
        <f t="shared" si="2"/>
        <v>815</v>
      </c>
      <c r="B816" s="56" t="s">
        <v>721</v>
      </c>
      <c r="C816" s="55" t="s">
        <v>42</v>
      </c>
      <c r="D816" s="55">
        <v>1417.0</v>
      </c>
      <c r="E816" s="57" t="s">
        <v>379</v>
      </c>
      <c r="F816" s="2" t="s">
        <v>720</v>
      </c>
    </row>
    <row r="817">
      <c r="A817" s="55">
        <f t="shared" si="2"/>
        <v>816</v>
      </c>
      <c r="B817" s="56" t="s">
        <v>721</v>
      </c>
      <c r="C817" s="55" t="s">
        <v>33</v>
      </c>
      <c r="D817" s="55">
        <v>1479.0</v>
      </c>
      <c r="E817" s="57" t="s">
        <v>379</v>
      </c>
      <c r="F817" s="2" t="s">
        <v>720</v>
      </c>
    </row>
    <row r="818">
      <c r="A818" s="55">
        <f t="shared" si="2"/>
        <v>817</v>
      </c>
      <c r="B818" s="56" t="s">
        <v>721</v>
      </c>
      <c r="C818" s="55" t="s">
        <v>28</v>
      </c>
      <c r="D818" s="55">
        <v>1449.0</v>
      </c>
      <c r="E818" s="57" t="s">
        <v>379</v>
      </c>
      <c r="F818" s="2" t="s">
        <v>720</v>
      </c>
    </row>
    <row r="819">
      <c r="A819" s="55">
        <f t="shared" si="2"/>
        <v>818</v>
      </c>
      <c r="B819" s="56" t="s">
        <v>721</v>
      </c>
      <c r="C819" s="55" t="s">
        <v>36</v>
      </c>
      <c r="D819" s="55">
        <v>1306.0</v>
      </c>
      <c r="E819" s="57" t="s">
        <v>379</v>
      </c>
      <c r="F819" s="2" t="s">
        <v>720</v>
      </c>
    </row>
    <row r="820">
      <c r="A820" s="55">
        <f t="shared" si="2"/>
        <v>819</v>
      </c>
      <c r="B820" s="56" t="s">
        <v>725</v>
      </c>
      <c r="C820" s="55" t="s">
        <v>29</v>
      </c>
      <c r="D820" s="55">
        <v>1311.0</v>
      </c>
      <c r="E820" s="57" t="s">
        <v>379</v>
      </c>
      <c r="F820" s="2" t="s">
        <v>724</v>
      </c>
    </row>
    <row r="821">
      <c r="A821" s="55">
        <f t="shared" si="2"/>
        <v>820</v>
      </c>
      <c r="B821" s="56" t="s">
        <v>725</v>
      </c>
      <c r="C821" s="55" t="s">
        <v>33</v>
      </c>
      <c r="D821" s="55">
        <v>1462.0</v>
      </c>
      <c r="E821" s="57" t="s">
        <v>379</v>
      </c>
      <c r="F821" s="2" t="s">
        <v>724</v>
      </c>
    </row>
    <row r="822">
      <c r="A822" s="55">
        <f t="shared" si="2"/>
        <v>821</v>
      </c>
      <c r="B822" s="56" t="s">
        <v>725</v>
      </c>
      <c r="C822" s="55" t="s">
        <v>28</v>
      </c>
      <c r="D822" s="55">
        <v>1431.0</v>
      </c>
      <c r="E822" s="57" t="s">
        <v>379</v>
      </c>
      <c r="F822" s="2" t="s">
        <v>724</v>
      </c>
    </row>
    <row r="823">
      <c r="A823" s="55">
        <f t="shared" si="2"/>
        <v>822</v>
      </c>
      <c r="B823" s="56" t="s">
        <v>725</v>
      </c>
      <c r="C823" s="55" t="s">
        <v>36</v>
      </c>
      <c r="D823" s="55">
        <v>1284.0</v>
      </c>
      <c r="E823" s="57" t="s">
        <v>379</v>
      </c>
      <c r="F823" s="2" t="s">
        <v>724</v>
      </c>
    </row>
    <row r="824">
      <c r="A824" s="55">
        <f t="shared" si="2"/>
        <v>823</v>
      </c>
      <c r="B824" s="56" t="s">
        <v>725</v>
      </c>
      <c r="C824" s="55" t="s">
        <v>31</v>
      </c>
      <c r="D824" s="55">
        <v>1556.0</v>
      </c>
      <c r="E824" s="57" t="s">
        <v>379</v>
      </c>
      <c r="F824" s="2" t="s">
        <v>724</v>
      </c>
    </row>
    <row r="825">
      <c r="A825" s="55">
        <f t="shared" si="2"/>
        <v>824</v>
      </c>
      <c r="B825" s="56" t="s">
        <v>725</v>
      </c>
      <c r="C825" s="55" t="s">
        <v>39</v>
      </c>
      <c r="D825" s="55">
        <v>1516.0</v>
      </c>
      <c r="E825" s="57" t="s">
        <v>379</v>
      </c>
      <c r="F825" s="2" t="s">
        <v>724</v>
      </c>
    </row>
    <row r="826">
      <c r="A826" s="55">
        <f t="shared" si="2"/>
        <v>825</v>
      </c>
      <c r="B826" s="56" t="s">
        <v>725</v>
      </c>
      <c r="C826" s="55" t="s">
        <v>26</v>
      </c>
      <c r="D826" s="55">
        <v>1501.0</v>
      </c>
      <c r="E826" s="57" t="s">
        <v>379</v>
      </c>
      <c r="F826" s="2" t="s">
        <v>724</v>
      </c>
    </row>
    <row r="827">
      <c r="A827" s="55">
        <f t="shared" si="2"/>
        <v>826</v>
      </c>
      <c r="B827" s="56" t="s">
        <v>725</v>
      </c>
      <c r="C827" s="55" t="s">
        <v>42</v>
      </c>
      <c r="D827" s="55">
        <v>1429.0</v>
      </c>
      <c r="E827" s="57" t="s">
        <v>379</v>
      </c>
      <c r="F827" s="2" t="s">
        <v>724</v>
      </c>
    </row>
    <row r="828">
      <c r="A828" s="55">
        <f t="shared" si="2"/>
        <v>827</v>
      </c>
      <c r="B828" s="56" t="s">
        <v>730</v>
      </c>
      <c r="C828" s="55" t="s">
        <v>28</v>
      </c>
      <c r="D828" s="55">
        <v>1443.0</v>
      </c>
      <c r="E828" s="57" t="s">
        <v>379</v>
      </c>
      <c r="F828" s="2" t="s">
        <v>729</v>
      </c>
    </row>
    <row r="829">
      <c r="A829" s="55">
        <f t="shared" si="2"/>
        <v>828</v>
      </c>
      <c r="B829" s="56" t="s">
        <v>730</v>
      </c>
      <c r="C829" s="55" t="s">
        <v>52</v>
      </c>
      <c r="D829" s="55">
        <v>1191.0</v>
      </c>
      <c r="E829" s="57" t="s">
        <v>379</v>
      </c>
      <c r="F829" s="2" t="s">
        <v>729</v>
      </c>
    </row>
    <row r="830">
      <c r="A830" s="55">
        <f t="shared" si="2"/>
        <v>829</v>
      </c>
      <c r="B830" s="56" t="s">
        <v>730</v>
      </c>
      <c r="C830" s="55" t="s">
        <v>39</v>
      </c>
      <c r="D830" s="55">
        <v>1496.0</v>
      </c>
      <c r="E830" s="57" t="s">
        <v>379</v>
      </c>
      <c r="F830" s="2" t="s">
        <v>729</v>
      </c>
    </row>
    <row r="831">
      <c r="A831" s="55">
        <f t="shared" si="2"/>
        <v>830</v>
      </c>
      <c r="B831" s="56" t="s">
        <v>730</v>
      </c>
      <c r="C831" s="55" t="s">
        <v>31</v>
      </c>
      <c r="D831" s="55">
        <v>1537.0</v>
      </c>
      <c r="E831" s="57" t="s">
        <v>379</v>
      </c>
      <c r="F831" s="2" t="s">
        <v>729</v>
      </c>
    </row>
    <row r="832">
      <c r="A832" s="55">
        <f t="shared" si="2"/>
        <v>831</v>
      </c>
      <c r="B832" s="56" t="s">
        <v>730</v>
      </c>
      <c r="C832" s="55" t="s">
        <v>33</v>
      </c>
      <c r="D832" s="55">
        <v>1475.0</v>
      </c>
      <c r="E832" s="57" t="s">
        <v>379</v>
      </c>
      <c r="F832" s="2" t="s">
        <v>729</v>
      </c>
    </row>
    <row r="833">
      <c r="A833" s="55">
        <f t="shared" si="2"/>
        <v>832</v>
      </c>
      <c r="B833" s="56" t="s">
        <v>730</v>
      </c>
      <c r="C833" s="55" t="s">
        <v>36</v>
      </c>
      <c r="D833" s="55">
        <v>1295.0</v>
      </c>
      <c r="E833" s="57" t="s">
        <v>379</v>
      </c>
      <c r="F833" s="2" t="s">
        <v>729</v>
      </c>
    </row>
    <row r="834">
      <c r="A834" s="55">
        <f t="shared" si="2"/>
        <v>833</v>
      </c>
      <c r="B834" s="56" t="s">
        <v>730</v>
      </c>
      <c r="C834" s="55" t="s">
        <v>42</v>
      </c>
      <c r="D834" s="55">
        <v>1409.0</v>
      </c>
      <c r="E834" s="57" t="s">
        <v>379</v>
      </c>
      <c r="F834" s="2" t="s">
        <v>729</v>
      </c>
    </row>
    <row r="835">
      <c r="A835" s="55">
        <f t="shared" si="2"/>
        <v>834</v>
      </c>
      <c r="B835" s="56" t="s">
        <v>730</v>
      </c>
      <c r="C835" s="55" t="s">
        <v>26</v>
      </c>
      <c r="D835" s="55">
        <v>1480.0</v>
      </c>
      <c r="E835" s="57" t="s">
        <v>379</v>
      </c>
      <c r="F835" s="2" t="s">
        <v>729</v>
      </c>
    </row>
    <row r="836">
      <c r="A836" s="55">
        <f t="shared" si="2"/>
        <v>835</v>
      </c>
      <c r="B836" s="56" t="s">
        <v>735</v>
      </c>
      <c r="C836" s="55" t="s">
        <v>52</v>
      </c>
      <c r="D836" s="55">
        <v>1205.0</v>
      </c>
      <c r="E836" s="57" t="s">
        <v>379</v>
      </c>
      <c r="F836" s="2" t="s">
        <v>734</v>
      </c>
    </row>
    <row r="837">
      <c r="A837" s="55">
        <f t="shared" si="2"/>
        <v>836</v>
      </c>
      <c r="B837" s="56" t="s">
        <v>735</v>
      </c>
      <c r="C837" s="55" t="s">
        <v>33</v>
      </c>
      <c r="D837" s="55">
        <v>1455.0</v>
      </c>
      <c r="E837" s="57" t="s">
        <v>379</v>
      </c>
      <c r="F837" s="2" t="s">
        <v>734</v>
      </c>
    </row>
    <row r="838">
      <c r="A838" s="55">
        <f t="shared" si="2"/>
        <v>837</v>
      </c>
      <c r="B838" s="56" t="s">
        <v>735</v>
      </c>
      <c r="C838" s="55" t="s">
        <v>31</v>
      </c>
      <c r="D838" s="55">
        <v>1555.0</v>
      </c>
      <c r="E838" s="57" t="s">
        <v>379</v>
      </c>
      <c r="F838" s="2" t="s">
        <v>734</v>
      </c>
    </row>
    <row r="839">
      <c r="A839" s="55">
        <f t="shared" si="2"/>
        <v>838</v>
      </c>
      <c r="B839" s="56" t="s">
        <v>735</v>
      </c>
      <c r="C839" s="55" t="s">
        <v>36</v>
      </c>
      <c r="D839" s="55">
        <v>1269.0</v>
      </c>
      <c r="E839" s="57" t="s">
        <v>379</v>
      </c>
      <c r="F839" s="2" t="s">
        <v>734</v>
      </c>
    </row>
    <row r="840">
      <c r="A840" s="55">
        <f t="shared" si="2"/>
        <v>839</v>
      </c>
      <c r="B840" s="56" t="s">
        <v>735</v>
      </c>
      <c r="C840" s="55" t="s">
        <v>39</v>
      </c>
      <c r="D840" s="55">
        <v>1514.0</v>
      </c>
      <c r="E840" s="57" t="s">
        <v>379</v>
      </c>
      <c r="F840" s="2" t="s">
        <v>734</v>
      </c>
    </row>
    <row r="841">
      <c r="A841" s="55">
        <f t="shared" si="2"/>
        <v>840</v>
      </c>
      <c r="B841" s="56" t="s">
        <v>735</v>
      </c>
      <c r="C841" s="55" t="s">
        <v>26</v>
      </c>
      <c r="D841" s="55">
        <v>1456.0</v>
      </c>
      <c r="E841" s="57" t="s">
        <v>379</v>
      </c>
      <c r="F841" s="2" t="s">
        <v>734</v>
      </c>
    </row>
    <row r="842">
      <c r="A842" s="55">
        <f t="shared" si="2"/>
        <v>841</v>
      </c>
      <c r="B842" s="56" t="s">
        <v>735</v>
      </c>
      <c r="C842" s="55" t="s">
        <v>28</v>
      </c>
      <c r="D842" s="55">
        <v>1460.0</v>
      </c>
      <c r="E842" s="57" t="s">
        <v>379</v>
      </c>
      <c r="F842" s="2" t="s">
        <v>734</v>
      </c>
    </row>
    <row r="843">
      <c r="A843" s="55">
        <f t="shared" si="2"/>
        <v>842</v>
      </c>
      <c r="B843" s="56" t="s">
        <v>735</v>
      </c>
      <c r="C843" s="55" t="s">
        <v>42</v>
      </c>
      <c r="D843" s="55">
        <v>1387.0</v>
      </c>
      <c r="E843" s="57" t="s">
        <v>379</v>
      </c>
      <c r="F843" s="2" t="s">
        <v>734</v>
      </c>
    </row>
    <row r="844">
      <c r="A844" s="55">
        <f t="shared" si="2"/>
        <v>843</v>
      </c>
      <c r="B844" s="56" t="s">
        <v>739</v>
      </c>
      <c r="C844" s="55" t="s">
        <v>39</v>
      </c>
      <c r="D844" s="55">
        <v>1494.0</v>
      </c>
      <c r="E844" s="57" t="s">
        <v>379</v>
      </c>
      <c r="F844" s="2" t="s">
        <v>738</v>
      </c>
    </row>
    <row r="845">
      <c r="A845" s="55">
        <f t="shared" si="2"/>
        <v>844</v>
      </c>
      <c r="B845" s="56" t="s">
        <v>739</v>
      </c>
      <c r="C845" s="55" t="s">
        <v>26</v>
      </c>
      <c r="D845" s="55">
        <v>1433.0</v>
      </c>
      <c r="E845" s="57" t="s">
        <v>379</v>
      </c>
      <c r="F845" s="2" t="s">
        <v>738</v>
      </c>
    </row>
    <row r="846">
      <c r="A846" s="55">
        <f t="shared" si="2"/>
        <v>845</v>
      </c>
      <c r="B846" s="56" t="s">
        <v>739</v>
      </c>
      <c r="C846" s="55" t="s">
        <v>34</v>
      </c>
      <c r="D846" s="55">
        <v>1038.0</v>
      </c>
      <c r="E846" s="57" t="s">
        <v>379</v>
      </c>
      <c r="F846" s="2" t="s">
        <v>738</v>
      </c>
    </row>
    <row r="847">
      <c r="A847" s="55">
        <f t="shared" si="2"/>
        <v>846</v>
      </c>
      <c r="B847" s="56" t="s">
        <v>739</v>
      </c>
      <c r="C847" s="55" t="s">
        <v>36</v>
      </c>
      <c r="D847" s="55">
        <v>1282.0</v>
      </c>
      <c r="E847" s="57" t="s">
        <v>379</v>
      </c>
      <c r="F847" s="2" t="s">
        <v>738</v>
      </c>
    </row>
    <row r="848">
      <c r="A848" s="55">
        <f t="shared" si="2"/>
        <v>847</v>
      </c>
      <c r="B848" s="56" t="s">
        <v>739</v>
      </c>
      <c r="C848" s="55" t="s">
        <v>52</v>
      </c>
      <c r="D848" s="55">
        <v>1217.0</v>
      </c>
      <c r="E848" s="57" t="s">
        <v>379</v>
      </c>
      <c r="F848" s="2" t="s">
        <v>738</v>
      </c>
    </row>
    <row r="849">
      <c r="A849" s="55">
        <f t="shared" si="2"/>
        <v>848</v>
      </c>
      <c r="B849" s="56" t="s">
        <v>739</v>
      </c>
      <c r="C849" s="55" t="s">
        <v>51</v>
      </c>
      <c r="D849" s="55">
        <v>1219.0</v>
      </c>
      <c r="E849" s="57" t="s">
        <v>379</v>
      </c>
      <c r="F849" s="2" t="s">
        <v>738</v>
      </c>
    </row>
    <row r="850">
      <c r="A850" s="55">
        <f t="shared" si="2"/>
        <v>849</v>
      </c>
      <c r="B850" s="56" t="s">
        <v>739</v>
      </c>
      <c r="C850" s="55" t="s">
        <v>42</v>
      </c>
      <c r="D850" s="55">
        <v>1366.0</v>
      </c>
      <c r="E850" s="57" t="s">
        <v>379</v>
      </c>
      <c r="F850" s="2" t="s">
        <v>738</v>
      </c>
    </row>
    <row r="851">
      <c r="A851" s="55">
        <f t="shared" si="2"/>
        <v>850</v>
      </c>
      <c r="B851" s="56" t="s">
        <v>739</v>
      </c>
      <c r="C851" s="55" t="s">
        <v>33</v>
      </c>
      <c r="D851" s="55">
        <v>1470.0</v>
      </c>
      <c r="E851" s="57" t="s">
        <v>379</v>
      </c>
      <c r="F851" s="2" t="s">
        <v>738</v>
      </c>
    </row>
    <row r="852">
      <c r="A852" s="55">
        <f t="shared" si="2"/>
        <v>851</v>
      </c>
      <c r="B852" s="56" t="s">
        <v>744</v>
      </c>
      <c r="C852" s="55" t="s">
        <v>33</v>
      </c>
      <c r="D852" s="55">
        <v>1454.0</v>
      </c>
      <c r="E852" s="57" t="s">
        <v>379</v>
      </c>
      <c r="F852" s="2" t="s">
        <v>743</v>
      </c>
    </row>
    <row r="853">
      <c r="A853" s="55">
        <f t="shared" si="2"/>
        <v>852</v>
      </c>
      <c r="B853" s="56" t="s">
        <v>744</v>
      </c>
      <c r="C853" s="55" t="s">
        <v>34</v>
      </c>
      <c r="D853" s="55">
        <v>1051.0</v>
      </c>
      <c r="E853" s="57" t="s">
        <v>379</v>
      </c>
      <c r="F853" s="2" t="s">
        <v>743</v>
      </c>
    </row>
    <row r="854">
      <c r="A854" s="55">
        <f t="shared" si="2"/>
        <v>853</v>
      </c>
      <c r="B854" s="56" t="s">
        <v>744</v>
      </c>
      <c r="C854" s="55" t="s">
        <v>52</v>
      </c>
      <c r="D854" s="55">
        <v>1187.0</v>
      </c>
      <c r="E854" s="57" t="s">
        <v>379</v>
      </c>
      <c r="F854" s="2" t="s">
        <v>743</v>
      </c>
    </row>
    <row r="855">
      <c r="A855" s="55">
        <f t="shared" si="2"/>
        <v>854</v>
      </c>
      <c r="B855" s="56" t="s">
        <v>744</v>
      </c>
      <c r="C855" s="55" t="s">
        <v>26</v>
      </c>
      <c r="D855" s="55">
        <v>1451.0</v>
      </c>
      <c r="E855" s="57" t="s">
        <v>379</v>
      </c>
      <c r="F855" s="2" t="s">
        <v>743</v>
      </c>
    </row>
    <row r="856">
      <c r="A856" s="55">
        <f t="shared" si="2"/>
        <v>855</v>
      </c>
      <c r="B856" s="56" t="s">
        <v>744</v>
      </c>
      <c r="C856" s="55" t="s">
        <v>36</v>
      </c>
      <c r="D856" s="55">
        <v>1298.0</v>
      </c>
      <c r="E856" s="57" t="s">
        <v>379</v>
      </c>
      <c r="F856" s="2" t="s">
        <v>743</v>
      </c>
    </row>
    <row r="857">
      <c r="A857" s="55">
        <f t="shared" si="2"/>
        <v>856</v>
      </c>
      <c r="B857" s="56" t="s">
        <v>744</v>
      </c>
      <c r="C857" s="55" t="s">
        <v>39</v>
      </c>
      <c r="D857" s="55">
        <v>1513.0</v>
      </c>
      <c r="E857" s="57" t="s">
        <v>379</v>
      </c>
      <c r="F857" s="2" t="s">
        <v>743</v>
      </c>
    </row>
    <row r="858">
      <c r="A858" s="55">
        <f t="shared" si="2"/>
        <v>857</v>
      </c>
      <c r="B858" s="56" t="s">
        <v>744</v>
      </c>
      <c r="C858" s="55" t="s">
        <v>51</v>
      </c>
      <c r="D858" s="55">
        <v>1194.0</v>
      </c>
      <c r="E858" s="57" t="s">
        <v>379</v>
      </c>
      <c r="F858" s="2" t="s">
        <v>743</v>
      </c>
    </row>
    <row r="859">
      <c r="A859" s="55">
        <f t="shared" si="2"/>
        <v>858</v>
      </c>
      <c r="B859" s="56" t="s">
        <v>744</v>
      </c>
      <c r="C859" s="55" t="s">
        <v>42</v>
      </c>
      <c r="D859" s="55">
        <v>1346.0</v>
      </c>
      <c r="E859" s="57" t="s">
        <v>379</v>
      </c>
      <c r="F859" s="2" t="s">
        <v>743</v>
      </c>
    </row>
    <row r="860">
      <c r="A860" s="55">
        <f t="shared" si="2"/>
        <v>859</v>
      </c>
      <c r="B860" s="56" t="s">
        <v>748</v>
      </c>
      <c r="C860" s="55" t="s">
        <v>28</v>
      </c>
      <c r="D860" s="55">
        <v>1441.0</v>
      </c>
      <c r="E860" s="57" t="s">
        <v>379</v>
      </c>
      <c r="F860" s="2" t="s">
        <v>747</v>
      </c>
    </row>
    <row r="861">
      <c r="A861" s="55">
        <f t="shared" si="2"/>
        <v>860</v>
      </c>
      <c r="B861" s="56" t="s">
        <v>748</v>
      </c>
      <c r="C861" s="55" t="s">
        <v>51</v>
      </c>
      <c r="D861" s="55">
        <v>1169.0</v>
      </c>
      <c r="E861" s="57" t="s">
        <v>379</v>
      </c>
      <c r="F861" s="2" t="s">
        <v>747</v>
      </c>
    </row>
    <row r="862">
      <c r="A862" s="55">
        <f t="shared" si="2"/>
        <v>861</v>
      </c>
      <c r="B862" s="56" t="s">
        <v>748</v>
      </c>
      <c r="C862" s="55" t="s">
        <v>42</v>
      </c>
      <c r="D862" s="55">
        <v>1326.0</v>
      </c>
      <c r="E862" s="57" t="s">
        <v>379</v>
      </c>
      <c r="F862" s="2" t="s">
        <v>747</v>
      </c>
    </row>
    <row r="863">
      <c r="A863" s="55">
        <f t="shared" si="2"/>
        <v>862</v>
      </c>
      <c r="B863" s="56" t="s">
        <v>748</v>
      </c>
      <c r="C863" s="55" t="s">
        <v>34</v>
      </c>
      <c r="D863" s="55">
        <v>1061.0</v>
      </c>
      <c r="E863" s="57" t="s">
        <v>379</v>
      </c>
      <c r="F863" s="2" t="s">
        <v>747</v>
      </c>
    </row>
    <row r="864">
      <c r="A864" s="55">
        <f t="shared" si="2"/>
        <v>863</v>
      </c>
      <c r="B864" s="56" t="s">
        <v>748</v>
      </c>
      <c r="C864" s="55" t="s">
        <v>26</v>
      </c>
      <c r="D864" s="55">
        <v>1465.0</v>
      </c>
      <c r="E864" s="57" t="s">
        <v>379</v>
      </c>
      <c r="F864" s="2" t="s">
        <v>747</v>
      </c>
    </row>
    <row r="865">
      <c r="A865" s="55">
        <f t="shared" si="2"/>
        <v>864</v>
      </c>
      <c r="B865" s="56" t="s">
        <v>748</v>
      </c>
      <c r="C865" s="55" t="s">
        <v>45</v>
      </c>
      <c r="D865" s="55">
        <v>1238.0</v>
      </c>
      <c r="E865" s="57" t="s">
        <v>379</v>
      </c>
      <c r="F865" s="2" t="s">
        <v>747</v>
      </c>
    </row>
    <row r="866">
      <c r="A866" s="55">
        <f t="shared" si="2"/>
        <v>865</v>
      </c>
      <c r="B866" s="56" t="s">
        <v>748</v>
      </c>
      <c r="C866" s="55" t="s">
        <v>52</v>
      </c>
      <c r="D866" s="55">
        <v>1198.0</v>
      </c>
      <c r="E866" s="57" t="s">
        <v>379</v>
      </c>
      <c r="F866" s="2" t="s">
        <v>747</v>
      </c>
    </row>
    <row r="867">
      <c r="A867" s="55">
        <f t="shared" si="2"/>
        <v>866</v>
      </c>
      <c r="B867" s="56" t="s">
        <v>748</v>
      </c>
      <c r="C867" s="55" t="s">
        <v>39</v>
      </c>
      <c r="D867" s="55">
        <v>1496.0</v>
      </c>
      <c r="E867" s="57" t="s">
        <v>379</v>
      </c>
      <c r="F867" s="2" t="s">
        <v>747</v>
      </c>
    </row>
    <row r="868">
      <c r="A868" s="55">
        <f t="shared" si="2"/>
        <v>867</v>
      </c>
      <c r="B868" s="56" t="s">
        <v>752</v>
      </c>
      <c r="C868" s="55" t="s">
        <v>52</v>
      </c>
      <c r="D868" s="55">
        <v>1170.0</v>
      </c>
      <c r="E868" s="57" t="s">
        <v>379</v>
      </c>
      <c r="F868" s="2" t="s">
        <v>751</v>
      </c>
    </row>
    <row r="869">
      <c r="A869" s="55">
        <f t="shared" si="2"/>
        <v>868</v>
      </c>
      <c r="B869" s="56" t="s">
        <v>752</v>
      </c>
      <c r="C869" s="55" t="s">
        <v>34</v>
      </c>
      <c r="D869" s="55">
        <v>1074.0</v>
      </c>
      <c r="E869" s="57" t="s">
        <v>379</v>
      </c>
      <c r="F869" s="2" t="s">
        <v>751</v>
      </c>
    </row>
    <row r="870">
      <c r="A870" s="55">
        <f t="shared" si="2"/>
        <v>869</v>
      </c>
      <c r="B870" s="56" t="s">
        <v>752</v>
      </c>
      <c r="C870" s="55" t="s">
        <v>28</v>
      </c>
      <c r="D870" s="55">
        <v>1459.0</v>
      </c>
      <c r="E870" s="57" t="s">
        <v>379</v>
      </c>
      <c r="F870" s="2" t="s">
        <v>751</v>
      </c>
    </row>
    <row r="871">
      <c r="A871" s="55">
        <f t="shared" si="2"/>
        <v>870</v>
      </c>
      <c r="B871" s="56" t="s">
        <v>752</v>
      </c>
      <c r="C871" s="55" t="s">
        <v>26</v>
      </c>
      <c r="D871" s="55">
        <v>1447.0</v>
      </c>
      <c r="E871" s="57" t="s">
        <v>379</v>
      </c>
      <c r="F871" s="2" t="s">
        <v>751</v>
      </c>
    </row>
    <row r="872">
      <c r="A872" s="55">
        <f t="shared" si="2"/>
        <v>871</v>
      </c>
      <c r="B872" s="56" t="s">
        <v>752</v>
      </c>
      <c r="C872" s="55" t="s">
        <v>45</v>
      </c>
      <c r="D872" s="55">
        <v>1216.0</v>
      </c>
      <c r="E872" s="57" t="s">
        <v>379</v>
      </c>
      <c r="F872" s="2" t="s">
        <v>751</v>
      </c>
    </row>
    <row r="873">
      <c r="A873" s="55">
        <f t="shared" si="2"/>
        <v>872</v>
      </c>
      <c r="B873" s="56" t="s">
        <v>752</v>
      </c>
      <c r="C873" s="55" t="s">
        <v>39</v>
      </c>
      <c r="D873" s="55">
        <v>1480.0</v>
      </c>
      <c r="E873" s="57" t="s">
        <v>379</v>
      </c>
      <c r="F873" s="2" t="s">
        <v>751</v>
      </c>
    </row>
    <row r="874">
      <c r="A874" s="55">
        <f t="shared" si="2"/>
        <v>873</v>
      </c>
      <c r="B874" s="56" t="s">
        <v>752</v>
      </c>
      <c r="C874" s="55" t="s">
        <v>51</v>
      </c>
      <c r="D874" s="55">
        <v>1183.0</v>
      </c>
      <c r="E874" s="57" t="s">
        <v>379</v>
      </c>
      <c r="F874" s="2" t="s">
        <v>751</v>
      </c>
    </row>
    <row r="875">
      <c r="A875" s="55">
        <f t="shared" si="2"/>
        <v>874</v>
      </c>
      <c r="B875" s="56" t="s">
        <v>752</v>
      </c>
      <c r="C875" s="55" t="s">
        <v>42</v>
      </c>
      <c r="D875" s="55">
        <v>1342.0</v>
      </c>
      <c r="E875" s="57" t="s">
        <v>379</v>
      </c>
      <c r="F875" s="2" t="s">
        <v>751</v>
      </c>
    </row>
    <row r="876">
      <c r="A876" s="55">
        <f t="shared" si="2"/>
        <v>875</v>
      </c>
      <c r="B876" s="56" t="s">
        <v>756</v>
      </c>
      <c r="C876" s="55" t="s">
        <v>26</v>
      </c>
      <c r="D876" s="55">
        <v>1468.0</v>
      </c>
      <c r="E876" s="57" t="s">
        <v>379</v>
      </c>
      <c r="F876" s="2" t="s">
        <v>755</v>
      </c>
    </row>
    <row r="877">
      <c r="A877" s="55">
        <f t="shared" si="2"/>
        <v>876</v>
      </c>
      <c r="B877" s="56" t="s">
        <v>756</v>
      </c>
      <c r="C877" s="55" t="s">
        <v>51</v>
      </c>
      <c r="D877" s="55">
        <v>1158.0</v>
      </c>
      <c r="E877" s="57" t="s">
        <v>379</v>
      </c>
      <c r="F877" s="2" t="s">
        <v>755</v>
      </c>
    </row>
    <row r="878">
      <c r="A878" s="55">
        <f t="shared" si="2"/>
        <v>877</v>
      </c>
      <c r="B878" s="56" t="s">
        <v>756</v>
      </c>
      <c r="C878" s="55" t="s">
        <v>34</v>
      </c>
      <c r="D878" s="55">
        <v>1089.0</v>
      </c>
      <c r="E878" s="57" t="s">
        <v>379</v>
      </c>
      <c r="F878" s="2" t="s">
        <v>755</v>
      </c>
    </row>
    <row r="879">
      <c r="A879" s="55">
        <f t="shared" si="2"/>
        <v>878</v>
      </c>
      <c r="B879" s="56" t="s">
        <v>756</v>
      </c>
      <c r="C879" s="55" t="s">
        <v>39</v>
      </c>
      <c r="D879" s="55">
        <v>1462.0</v>
      </c>
      <c r="E879" s="57" t="s">
        <v>379</v>
      </c>
      <c r="F879" s="2" t="s">
        <v>755</v>
      </c>
    </row>
    <row r="880">
      <c r="A880" s="55">
        <f t="shared" si="2"/>
        <v>879</v>
      </c>
      <c r="B880" s="56" t="s">
        <v>756</v>
      </c>
      <c r="C880" s="55" t="s">
        <v>45</v>
      </c>
      <c r="D880" s="55">
        <v>1192.0</v>
      </c>
      <c r="E880" s="57" t="s">
        <v>379</v>
      </c>
      <c r="F880" s="2" t="s">
        <v>755</v>
      </c>
    </row>
    <row r="881">
      <c r="A881" s="55">
        <f t="shared" si="2"/>
        <v>880</v>
      </c>
      <c r="B881" s="56" t="s">
        <v>756</v>
      </c>
      <c r="C881" s="55" t="s">
        <v>42</v>
      </c>
      <c r="D881" s="55">
        <v>1322.0</v>
      </c>
      <c r="E881" s="57" t="s">
        <v>379</v>
      </c>
      <c r="F881" s="2" t="s">
        <v>755</v>
      </c>
    </row>
    <row r="882">
      <c r="A882" s="55">
        <f t="shared" si="2"/>
        <v>881</v>
      </c>
      <c r="B882" s="56" t="s">
        <v>756</v>
      </c>
      <c r="C882" s="55" t="s">
        <v>28</v>
      </c>
      <c r="D882" s="55">
        <v>1480.0</v>
      </c>
      <c r="E882" s="57" t="s">
        <v>379</v>
      </c>
      <c r="F882" s="2" t="s">
        <v>755</v>
      </c>
    </row>
    <row r="883">
      <c r="A883" s="55">
        <f t="shared" si="2"/>
        <v>882</v>
      </c>
      <c r="B883" s="56" t="s">
        <v>756</v>
      </c>
      <c r="C883" s="55" t="s">
        <v>27</v>
      </c>
      <c r="D883" s="55">
        <v>1563.0</v>
      </c>
      <c r="E883" s="57" t="s">
        <v>379</v>
      </c>
      <c r="F883" s="2" t="s">
        <v>755</v>
      </c>
    </row>
    <row r="884">
      <c r="A884" s="55">
        <f t="shared" si="2"/>
        <v>883</v>
      </c>
      <c r="B884" s="56" t="s">
        <v>760</v>
      </c>
      <c r="C884" s="55" t="s">
        <v>28</v>
      </c>
      <c r="D884" s="55">
        <v>1464.0</v>
      </c>
      <c r="E884" s="57" t="s">
        <v>379</v>
      </c>
      <c r="F884" s="2" t="s">
        <v>759</v>
      </c>
    </row>
    <row r="885">
      <c r="A885" s="55">
        <f t="shared" si="2"/>
        <v>884</v>
      </c>
      <c r="B885" s="56" t="s">
        <v>760</v>
      </c>
      <c r="C885" s="55" t="s">
        <v>26</v>
      </c>
      <c r="D885" s="55">
        <v>1486.0</v>
      </c>
      <c r="E885" s="57" t="s">
        <v>379</v>
      </c>
      <c r="F885" s="2" t="s">
        <v>759</v>
      </c>
    </row>
    <row r="886">
      <c r="A886" s="55">
        <f t="shared" si="2"/>
        <v>885</v>
      </c>
      <c r="B886" s="56" t="s">
        <v>760</v>
      </c>
      <c r="C886" s="55" t="s">
        <v>42</v>
      </c>
      <c r="D886" s="55">
        <v>1301.0</v>
      </c>
      <c r="E886" s="57" t="s">
        <v>379</v>
      </c>
      <c r="F886" s="2" t="s">
        <v>759</v>
      </c>
    </row>
    <row r="887">
      <c r="A887" s="55">
        <f t="shared" si="2"/>
        <v>886</v>
      </c>
      <c r="B887" s="56" t="s">
        <v>760</v>
      </c>
      <c r="C887" s="55" t="s">
        <v>51</v>
      </c>
      <c r="D887" s="55">
        <v>1172.0</v>
      </c>
      <c r="E887" s="57" t="s">
        <v>379</v>
      </c>
      <c r="F887" s="2" t="s">
        <v>759</v>
      </c>
    </row>
    <row r="888">
      <c r="A888" s="55">
        <f t="shared" si="2"/>
        <v>887</v>
      </c>
      <c r="B888" s="56" t="s">
        <v>760</v>
      </c>
      <c r="C888" s="55" t="s">
        <v>39</v>
      </c>
      <c r="D888" s="55">
        <v>1480.0</v>
      </c>
      <c r="E888" s="57" t="s">
        <v>379</v>
      </c>
      <c r="F888" s="2" t="s">
        <v>759</v>
      </c>
    </row>
    <row r="889">
      <c r="A889" s="55">
        <f t="shared" si="2"/>
        <v>888</v>
      </c>
      <c r="B889" s="56" t="s">
        <v>760</v>
      </c>
      <c r="C889" s="55" t="s">
        <v>45</v>
      </c>
      <c r="D889" s="55">
        <v>1167.0</v>
      </c>
      <c r="E889" s="57" t="s">
        <v>379</v>
      </c>
      <c r="F889" s="2" t="s">
        <v>759</v>
      </c>
    </row>
    <row r="890">
      <c r="A890" s="55">
        <f t="shared" si="2"/>
        <v>889</v>
      </c>
      <c r="B890" s="56" t="s">
        <v>760</v>
      </c>
      <c r="C890" s="55" t="s">
        <v>27</v>
      </c>
      <c r="D890" s="55">
        <v>1550.0</v>
      </c>
      <c r="E890" s="57" t="s">
        <v>379</v>
      </c>
      <c r="F890" s="2" t="s">
        <v>759</v>
      </c>
    </row>
    <row r="891">
      <c r="A891" s="55">
        <f t="shared" si="2"/>
        <v>890</v>
      </c>
      <c r="B891" s="56" t="s">
        <v>760</v>
      </c>
      <c r="C891" s="55" t="s">
        <v>34</v>
      </c>
      <c r="D891" s="55">
        <v>1102.0</v>
      </c>
      <c r="E891" s="57" t="s">
        <v>379</v>
      </c>
      <c r="F891" s="2" t="s">
        <v>759</v>
      </c>
    </row>
    <row r="892">
      <c r="A892" s="55">
        <f t="shared" si="2"/>
        <v>891</v>
      </c>
      <c r="B892" s="56" t="s">
        <v>764</v>
      </c>
      <c r="C892" s="55" t="s">
        <v>44</v>
      </c>
      <c r="D892" s="55">
        <v>1113.0</v>
      </c>
      <c r="E892" s="57" t="s">
        <v>379</v>
      </c>
      <c r="F892" s="2" t="s">
        <v>763</v>
      </c>
    </row>
    <row r="893">
      <c r="A893" s="55">
        <f t="shared" si="2"/>
        <v>892</v>
      </c>
      <c r="B893" s="56" t="s">
        <v>764</v>
      </c>
      <c r="C893" s="55" t="s">
        <v>45</v>
      </c>
      <c r="D893" s="55">
        <v>1139.0</v>
      </c>
      <c r="E893" s="57" t="s">
        <v>379</v>
      </c>
      <c r="F893" s="2" t="s">
        <v>763</v>
      </c>
    </row>
    <row r="894">
      <c r="A894" s="55">
        <f t="shared" si="2"/>
        <v>893</v>
      </c>
      <c r="B894" s="56" t="s">
        <v>764</v>
      </c>
      <c r="C894" s="55" t="s">
        <v>51</v>
      </c>
      <c r="D894" s="55">
        <v>1182.0</v>
      </c>
      <c r="E894" s="57" t="s">
        <v>379</v>
      </c>
      <c r="F894" s="2" t="s">
        <v>763</v>
      </c>
    </row>
    <row r="895">
      <c r="A895" s="55">
        <f t="shared" si="2"/>
        <v>894</v>
      </c>
      <c r="B895" s="56" t="s">
        <v>764</v>
      </c>
      <c r="C895" s="55" t="s">
        <v>33</v>
      </c>
      <c r="D895" s="55">
        <v>1468.0</v>
      </c>
      <c r="E895" s="57" t="s">
        <v>379</v>
      </c>
      <c r="F895" s="2" t="s">
        <v>763</v>
      </c>
    </row>
    <row r="896">
      <c r="A896" s="55">
        <f t="shared" si="2"/>
        <v>895</v>
      </c>
      <c r="B896" s="56" t="s">
        <v>764</v>
      </c>
      <c r="C896" s="55" t="s">
        <v>30</v>
      </c>
      <c r="D896" s="55">
        <v>1354.0</v>
      </c>
      <c r="E896" s="57" t="s">
        <v>379</v>
      </c>
      <c r="F896" s="2" t="s">
        <v>763</v>
      </c>
    </row>
    <row r="897">
      <c r="A897" s="55">
        <f t="shared" si="2"/>
        <v>896</v>
      </c>
      <c r="B897" s="56" t="s">
        <v>764</v>
      </c>
      <c r="C897" s="55" t="s">
        <v>31</v>
      </c>
      <c r="D897" s="55">
        <v>1571.0</v>
      </c>
      <c r="E897" s="57" t="s">
        <v>379</v>
      </c>
      <c r="F897" s="2" t="s">
        <v>763</v>
      </c>
    </row>
    <row r="898">
      <c r="A898" s="55">
        <f t="shared" si="2"/>
        <v>897</v>
      </c>
      <c r="B898" s="56" t="s">
        <v>764</v>
      </c>
      <c r="C898" s="55" t="s">
        <v>24</v>
      </c>
      <c r="D898" s="55">
        <v>1550.0</v>
      </c>
      <c r="E898" s="57" t="s">
        <v>379</v>
      </c>
      <c r="F898" s="2" t="s">
        <v>763</v>
      </c>
    </row>
    <row r="899">
      <c r="A899" s="55">
        <f t="shared" si="2"/>
        <v>898</v>
      </c>
      <c r="B899" s="56" t="s">
        <v>769</v>
      </c>
      <c r="C899" s="55" t="s">
        <v>51</v>
      </c>
      <c r="D899" s="55">
        <v>1196.0</v>
      </c>
      <c r="E899" s="57" t="s">
        <v>379</v>
      </c>
      <c r="F899" s="2" t="s">
        <v>768</v>
      </c>
    </row>
    <row r="900">
      <c r="A900" s="55">
        <f t="shared" si="2"/>
        <v>899</v>
      </c>
      <c r="B900" s="56" t="s">
        <v>769</v>
      </c>
      <c r="C900" s="55" t="s">
        <v>31</v>
      </c>
      <c r="D900" s="55">
        <v>1558.0</v>
      </c>
      <c r="E900" s="57" t="s">
        <v>379</v>
      </c>
      <c r="F900" s="2" t="s">
        <v>768</v>
      </c>
    </row>
    <row r="901">
      <c r="A901" s="55">
        <f t="shared" si="2"/>
        <v>900</v>
      </c>
      <c r="B901" s="56" t="s">
        <v>769</v>
      </c>
      <c r="C901" s="55" t="s">
        <v>44</v>
      </c>
      <c r="D901" s="55">
        <v>1126.0</v>
      </c>
      <c r="E901" s="57" t="s">
        <v>379</v>
      </c>
      <c r="F901" s="2" t="s">
        <v>768</v>
      </c>
    </row>
    <row r="902">
      <c r="A902" s="55">
        <f t="shared" si="2"/>
        <v>901</v>
      </c>
      <c r="B902" s="56" t="s">
        <v>769</v>
      </c>
      <c r="C902" s="55" t="s">
        <v>24</v>
      </c>
      <c r="D902" s="55">
        <v>1536.0</v>
      </c>
      <c r="E902" s="57" t="s">
        <v>379</v>
      </c>
      <c r="F902" s="2" t="s">
        <v>768</v>
      </c>
    </row>
    <row r="903">
      <c r="A903" s="55">
        <f t="shared" si="2"/>
        <v>902</v>
      </c>
      <c r="B903" s="56" t="s">
        <v>769</v>
      </c>
      <c r="C903" s="55" t="s">
        <v>33</v>
      </c>
      <c r="D903" s="55">
        <v>1486.0</v>
      </c>
      <c r="E903" s="57" t="s">
        <v>379</v>
      </c>
      <c r="F903" s="2" t="s">
        <v>768</v>
      </c>
    </row>
    <row r="904">
      <c r="A904" s="55">
        <f t="shared" si="2"/>
        <v>903</v>
      </c>
      <c r="B904" s="56" t="s">
        <v>769</v>
      </c>
      <c r="C904" s="55" t="s">
        <v>45</v>
      </c>
      <c r="D904" s="55">
        <v>1153.0</v>
      </c>
      <c r="E904" s="57" t="s">
        <v>379</v>
      </c>
      <c r="F904" s="2" t="s">
        <v>768</v>
      </c>
    </row>
    <row r="905">
      <c r="A905" s="55">
        <f t="shared" si="2"/>
        <v>904</v>
      </c>
      <c r="B905" s="56" t="s">
        <v>769</v>
      </c>
      <c r="C905" s="55" t="s">
        <v>30</v>
      </c>
      <c r="D905" s="55">
        <v>1333.0</v>
      </c>
      <c r="E905" s="57" t="s">
        <v>379</v>
      </c>
      <c r="F905" s="2" t="s">
        <v>768</v>
      </c>
    </row>
    <row r="906">
      <c r="A906" s="55">
        <f t="shared" si="2"/>
        <v>905</v>
      </c>
      <c r="B906" s="56" t="s">
        <v>773</v>
      </c>
      <c r="C906" s="55" t="s">
        <v>30</v>
      </c>
      <c r="D906" s="55">
        <v>1311.0</v>
      </c>
      <c r="E906" s="57" t="s">
        <v>379</v>
      </c>
      <c r="F906" s="2" t="s">
        <v>772</v>
      </c>
    </row>
    <row r="907">
      <c r="A907" s="55">
        <f t="shared" si="2"/>
        <v>906</v>
      </c>
      <c r="B907" s="56" t="s">
        <v>773</v>
      </c>
      <c r="C907" s="55" t="s">
        <v>24</v>
      </c>
      <c r="D907" s="55">
        <v>1522.0</v>
      </c>
      <c r="E907" s="57" t="s">
        <v>379</v>
      </c>
      <c r="F907" s="2" t="s">
        <v>772</v>
      </c>
    </row>
    <row r="908">
      <c r="A908" s="55">
        <f t="shared" si="2"/>
        <v>907</v>
      </c>
      <c r="B908" s="56" t="s">
        <v>773</v>
      </c>
      <c r="C908" s="55" t="s">
        <v>44</v>
      </c>
      <c r="D908" s="55">
        <v>1141.0</v>
      </c>
      <c r="E908" s="57" t="s">
        <v>379</v>
      </c>
      <c r="F908" s="2" t="s">
        <v>772</v>
      </c>
    </row>
    <row r="909">
      <c r="A909" s="55">
        <f t="shared" si="2"/>
        <v>908</v>
      </c>
      <c r="B909" s="56" t="s">
        <v>773</v>
      </c>
      <c r="C909" s="55" t="s">
        <v>33</v>
      </c>
      <c r="D909" s="55">
        <v>1473.0</v>
      </c>
      <c r="E909" s="57" t="s">
        <v>379</v>
      </c>
      <c r="F909" s="2" t="s">
        <v>772</v>
      </c>
    </row>
    <row r="910">
      <c r="A910" s="55">
        <f t="shared" si="2"/>
        <v>909</v>
      </c>
      <c r="B910" s="56" t="s">
        <v>773</v>
      </c>
      <c r="C910" s="55" t="s">
        <v>45</v>
      </c>
      <c r="D910" s="55">
        <v>1129.0</v>
      </c>
      <c r="E910" s="57" t="s">
        <v>379</v>
      </c>
      <c r="F910" s="2" t="s">
        <v>772</v>
      </c>
    </row>
    <row r="911">
      <c r="A911" s="55">
        <f t="shared" si="2"/>
        <v>910</v>
      </c>
      <c r="B911" s="56" t="s">
        <v>773</v>
      </c>
      <c r="C911" s="55" t="s">
        <v>51</v>
      </c>
      <c r="D911" s="55">
        <v>1212.0</v>
      </c>
      <c r="E911" s="57" t="s">
        <v>379</v>
      </c>
      <c r="F911" s="2" t="s">
        <v>772</v>
      </c>
    </row>
    <row r="912">
      <c r="A912" s="55">
        <f t="shared" si="2"/>
        <v>911</v>
      </c>
      <c r="B912" s="56" t="s">
        <v>773</v>
      </c>
      <c r="C912" s="55" t="s">
        <v>31</v>
      </c>
      <c r="D912" s="55">
        <v>1579.0</v>
      </c>
      <c r="E912" s="57" t="s">
        <v>379</v>
      </c>
      <c r="F912" s="2" t="s">
        <v>772</v>
      </c>
    </row>
    <row r="913">
      <c r="A913" s="55">
        <f t="shared" si="2"/>
        <v>912</v>
      </c>
      <c r="B913" s="56" t="s">
        <v>777</v>
      </c>
      <c r="C913" s="55" t="s">
        <v>24</v>
      </c>
      <c r="D913" s="55">
        <v>1534.0</v>
      </c>
      <c r="E913" s="57" t="s">
        <v>379</v>
      </c>
      <c r="F913" s="2" t="s">
        <v>776</v>
      </c>
    </row>
    <row r="914">
      <c r="A914" s="55">
        <f t="shared" si="2"/>
        <v>913</v>
      </c>
      <c r="B914" s="56" t="s">
        <v>777</v>
      </c>
      <c r="C914" s="55" t="s">
        <v>45</v>
      </c>
      <c r="D914" s="55">
        <v>1103.0</v>
      </c>
      <c r="E914" s="57" t="s">
        <v>379</v>
      </c>
      <c r="F914" s="2" t="s">
        <v>776</v>
      </c>
    </row>
    <row r="915">
      <c r="A915" s="55">
        <f t="shared" si="2"/>
        <v>914</v>
      </c>
      <c r="B915" s="56" t="s">
        <v>777</v>
      </c>
      <c r="C915" s="55" t="s">
        <v>51</v>
      </c>
      <c r="D915" s="55">
        <v>1189.0</v>
      </c>
      <c r="E915" s="57" t="s">
        <v>379</v>
      </c>
      <c r="F915" s="2" t="s">
        <v>776</v>
      </c>
    </row>
    <row r="916">
      <c r="A916" s="55">
        <f t="shared" si="2"/>
        <v>915</v>
      </c>
      <c r="B916" s="56" t="s">
        <v>777</v>
      </c>
      <c r="C916" s="55" t="s">
        <v>31</v>
      </c>
      <c r="D916" s="55">
        <v>1565.0</v>
      </c>
      <c r="E916" s="57" t="s">
        <v>379</v>
      </c>
      <c r="F916" s="2" t="s">
        <v>776</v>
      </c>
    </row>
    <row r="917">
      <c r="A917" s="55">
        <f t="shared" si="2"/>
        <v>916</v>
      </c>
      <c r="B917" s="56" t="s">
        <v>777</v>
      </c>
      <c r="C917" s="55" t="s">
        <v>33</v>
      </c>
      <c r="D917" s="55">
        <v>1459.0</v>
      </c>
      <c r="E917" s="57" t="s">
        <v>379</v>
      </c>
      <c r="F917" s="2" t="s">
        <v>776</v>
      </c>
    </row>
    <row r="918">
      <c r="A918" s="55">
        <f t="shared" si="2"/>
        <v>917</v>
      </c>
      <c r="B918" s="56" t="s">
        <v>777</v>
      </c>
      <c r="C918" s="55" t="s">
        <v>30</v>
      </c>
      <c r="D918" s="55">
        <v>1322.0</v>
      </c>
      <c r="E918" s="57" t="s">
        <v>379</v>
      </c>
      <c r="F918" s="2" t="s">
        <v>776</v>
      </c>
    </row>
    <row r="919">
      <c r="A919" s="55">
        <f t="shared" si="2"/>
        <v>918</v>
      </c>
      <c r="B919" s="56" t="s">
        <v>777</v>
      </c>
      <c r="C919" s="55" t="s">
        <v>44</v>
      </c>
      <c r="D919" s="55">
        <v>1150.0</v>
      </c>
      <c r="E919" s="57" t="s">
        <v>379</v>
      </c>
      <c r="F919" s="2" t="s">
        <v>776</v>
      </c>
    </row>
    <row r="920">
      <c r="A920" s="55">
        <f t="shared" si="2"/>
        <v>919</v>
      </c>
      <c r="B920" s="56" t="s">
        <v>781</v>
      </c>
      <c r="C920" s="55" t="s">
        <v>45</v>
      </c>
      <c r="D920" s="55">
        <v>1113.0</v>
      </c>
      <c r="E920" s="57" t="s">
        <v>379</v>
      </c>
      <c r="F920" s="2" t="s">
        <v>780</v>
      </c>
    </row>
    <row r="921">
      <c r="A921" s="55">
        <f t="shared" si="2"/>
        <v>920</v>
      </c>
      <c r="B921" s="56" t="s">
        <v>781</v>
      </c>
      <c r="C921" s="55" t="s">
        <v>51</v>
      </c>
      <c r="D921" s="55">
        <v>1200.0</v>
      </c>
      <c r="E921" s="57" t="s">
        <v>379</v>
      </c>
      <c r="F921" s="2" t="s">
        <v>780</v>
      </c>
    </row>
    <row r="922">
      <c r="A922" s="55">
        <f t="shared" si="2"/>
        <v>921</v>
      </c>
      <c r="B922" s="56" t="s">
        <v>781</v>
      </c>
      <c r="C922" s="55" t="s">
        <v>35</v>
      </c>
      <c r="D922" s="55">
        <v>1296.0</v>
      </c>
      <c r="E922" s="57" t="s">
        <v>379</v>
      </c>
      <c r="F922" s="2" t="s">
        <v>780</v>
      </c>
    </row>
    <row r="923">
      <c r="A923" s="55">
        <f t="shared" si="2"/>
        <v>922</v>
      </c>
      <c r="B923" s="56" t="s">
        <v>781</v>
      </c>
      <c r="C923" s="55" t="s">
        <v>31</v>
      </c>
      <c r="D923" s="55">
        <v>1552.0</v>
      </c>
      <c r="E923" s="57" t="s">
        <v>379</v>
      </c>
      <c r="F923" s="2" t="s">
        <v>780</v>
      </c>
    </row>
    <row r="924">
      <c r="A924" s="55">
        <f t="shared" si="2"/>
        <v>923</v>
      </c>
      <c r="B924" s="56" t="s">
        <v>781</v>
      </c>
      <c r="C924" s="55" t="s">
        <v>33</v>
      </c>
      <c r="D924" s="55">
        <v>1445.0</v>
      </c>
      <c r="E924" s="57" t="s">
        <v>379</v>
      </c>
      <c r="F924" s="2" t="s">
        <v>780</v>
      </c>
    </row>
    <row r="925">
      <c r="A925" s="55">
        <f t="shared" si="2"/>
        <v>924</v>
      </c>
      <c r="B925" s="56" t="s">
        <v>781</v>
      </c>
      <c r="C925" s="55" t="s">
        <v>27</v>
      </c>
      <c r="D925" s="55">
        <v>1535.0</v>
      </c>
      <c r="E925" s="57" t="s">
        <v>379</v>
      </c>
      <c r="F925" s="2" t="s">
        <v>780</v>
      </c>
    </row>
    <row r="926">
      <c r="A926" s="55">
        <f t="shared" si="2"/>
        <v>925</v>
      </c>
      <c r="B926" s="56" t="s">
        <v>781</v>
      </c>
      <c r="C926" s="55" t="s">
        <v>30</v>
      </c>
      <c r="D926" s="55">
        <v>1300.0</v>
      </c>
      <c r="E926" s="57" t="s">
        <v>379</v>
      </c>
      <c r="F926" s="2" t="s">
        <v>780</v>
      </c>
    </row>
    <row r="927">
      <c r="A927" s="55">
        <f t="shared" si="2"/>
        <v>926</v>
      </c>
      <c r="B927" s="56" t="s">
        <v>786</v>
      </c>
      <c r="C927" s="55" t="s">
        <v>33</v>
      </c>
      <c r="D927" s="55">
        <v>1432.0</v>
      </c>
      <c r="E927" s="57" t="s">
        <v>379</v>
      </c>
      <c r="F927" s="2" t="s">
        <v>785</v>
      </c>
    </row>
    <row r="928">
      <c r="A928" s="55">
        <f t="shared" si="2"/>
        <v>927</v>
      </c>
      <c r="B928" s="56" t="s">
        <v>786</v>
      </c>
      <c r="C928" s="55" t="s">
        <v>30</v>
      </c>
      <c r="D928" s="55">
        <v>1280.0</v>
      </c>
      <c r="E928" s="57" t="s">
        <v>379</v>
      </c>
      <c r="F928" s="2" t="s">
        <v>785</v>
      </c>
    </row>
    <row r="929">
      <c r="A929" s="55">
        <f t="shared" si="2"/>
        <v>928</v>
      </c>
      <c r="B929" s="56" t="s">
        <v>786</v>
      </c>
      <c r="C929" s="55" t="s">
        <v>45</v>
      </c>
      <c r="D929" s="55">
        <v>1124.0</v>
      </c>
      <c r="E929" s="57" t="s">
        <v>379</v>
      </c>
      <c r="F929" s="2" t="s">
        <v>785</v>
      </c>
    </row>
    <row r="930">
      <c r="A930" s="55">
        <f t="shared" si="2"/>
        <v>929</v>
      </c>
      <c r="B930" s="56" t="s">
        <v>786</v>
      </c>
      <c r="C930" s="55" t="s">
        <v>28</v>
      </c>
      <c r="D930" s="55">
        <v>1476.0</v>
      </c>
      <c r="E930" s="57" t="s">
        <v>379</v>
      </c>
      <c r="F930" s="2" t="s">
        <v>785</v>
      </c>
    </row>
    <row r="931">
      <c r="A931" s="55">
        <f t="shared" si="2"/>
        <v>930</v>
      </c>
      <c r="B931" s="56" t="s">
        <v>786</v>
      </c>
      <c r="C931" s="55" t="s">
        <v>31</v>
      </c>
      <c r="D931" s="55">
        <v>1540.0</v>
      </c>
      <c r="E931" s="57" t="s">
        <v>379</v>
      </c>
      <c r="F931" s="2" t="s">
        <v>785</v>
      </c>
    </row>
    <row r="932">
      <c r="A932" s="55">
        <f t="shared" si="2"/>
        <v>931</v>
      </c>
      <c r="B932" s="56" t="s">
        <v>786</v>
      </c>
      <c r="C932" s="55" t="s">
        <v>35</v>
      </c>
      <c r="D932" s="55">
        <v>1309.0</v>
      </c>
      <c r="E932" s="57" t="s">
        <v>379</v>
      </c>
      <c r="F932" s="2" t="s">
        <v>785</v>
      </c>
    </row>
    <row r="933">
      <c r="A933" s="55">
        <f t="shared" si="2"/>
        <v>932</v>
      </c>
      <c r="B933" s="56" t="s">
        <v>786</v>
      </c>
      <c r="C933" s="55" t="s">
        <v>51</v>
      </c>
      <c r="D933" s="55">
        <v>1212.0</v>
      </c>
      <c r="E933" s="57" t="s">
        <v>379</v>
      </c>
      <c r="F933" s="2" t="s">
        <v>785</v>
      </c>
    </row>
    <row r="934">
      <c r="A934" s="55">
        <f t="shared" si="2"/>
        <v>933</v>
      </c>
      <c r="B934" s="56" t="s">
        <v>790</v>
      </c>
      <c r="C934" s="55" t="s">
        <v>45</v>
      </c>
      <c r="D934" s="55">
        <v>1134.0</v>
      </c>
      <c r="E934" s="57" t="s">
        <v>379</v>
      </c>
      <c r="F934" s="2" t="s">
        <v>789</v>
      </c>
    </row>
    <row r="935">
      <c r="A935" s="55">
        <f t="shared" si="2"/>
        <v>934</v>
      </c>
      <c r="B935" s="56" t="s">
        <v>790</v>
      </c>
      <c r="C935" s="55" t="s">
        <v>35</v>
      </c>
      <c r="D935" s="55">
        <v>1290.0</v>
      </c>
      <c r="E935" s="57" t="s">
        <v>379</v>
      </c>
      <c r="F935" s="2" t="s">
        <v>789</v>
      </c>
    </row>
    <row r="936">
      <c r="A936" s="55">
        <f t="shared" si="2"/>
        <v>935</v>
      </c>
      <c r="B936" s="56" t="s">
        <v>790</v>
      </c>
      <c r="C936" s="55" t="s">
        <v>51</v>
      </c>
      <c r="D936" s="55">
        <v>1190.0</v>
      </c>
      <c r="E936" s="57" t="s">
        <v>379</v>
      </c>
      <c r="F936" s="2" t="s">
        <v>789</v>
      </c>
    </row>
    <row r="937">
      <c r="A937" s="55">
        <f t="shared" si="2"/>
        <v>936</v>
      </c>
      <c r="B937" s="56" t="s">
        <v>790</v>
      </c>
      <c r="C937" s="55" t="s">
        <v>30</v>
      </c>
      <c r="D937" s="55">
        <v>1292.0</v>
      </c>
      <c r="E937" s="57" t="s">
        <v>379</v>
      </c>
      <c r="F937" s="2" t="s">
        <v>789</v>
      </c>
    </row>
    <row r="938">
      <c r="A938" s="55">
        <f t="shared" si="2"/>
        <v>937</v>
      </c>
      <c r="B938" s="56" t="s">
        <v>790</v>
      </c>
      <c r="C938" s="55" t="s">
        <v>31</v>
      </c>
      <c r="D938" s="55">
        <v>1526.0</v>
      </c>
      <c r="E938" s="57" t="s">
        <v>379</v>
      </c>
      <c r="F938" s="2" t="s">
        <v>789</v>
      </c>
    </row>
    <row r="939">
      <c r="A939" s="55">
        <f t="shared" si="2"/>
        <v>938</v>
      </c>
      <c r="B939" s="56" t="s">
        <v>790</v>
      </c>
      <c r="C939" s="55" t="s">
        <v>28</v>
      </c>
      <c r="D939" s="55">
        <v>1463.0</v>
      </c>
      <c r="E939" s="57" t="s">
        <v>379</v>
      </c>
      <c r="F939" s="2" t="s">
        <v>789</v>
      </c>
    </row>
    <row r="940">
      <c r="A940" s="55">
        <f t="shared" si="2"/>
        <v>939</v>
      </c>
      <c r="B940" s="56" t="s">
        <v>790</v>
      </c>
      <c r="C940" s="55" t="s">
        <v>33</v>
      </c>
      <c r="D940" s="55">
        <v>1445.0</v>
      </c>
      <c r="E940" s="57" t="s">
        <v>379</v>
      </c>
      <c r="F940" s="2" t="s">
        <v>789</v>
      </c>
    </row>
    <row r="941">
      <c r="A941" s="55">
        <f t="shared" si="2"/>
        <v>940</v>
      </c>
      <c r="B941" s="56" t="s">
        <v>794</v>
      </c>
      <c r="C941" s="55" t="s">
        <v>31</v>
      </c>
      <c r="D941" s="55">
        <v>1512.0</v>
      </c>
      <c r="E941" s="57" t="s">
        <v>379</v>
      </c>
      <c r="F941" s="2" t="s">
        <v>793</v>
      </c>
    </row>
    <row r="942">
      <c r="A942" s="55">
        <f t="shared" si="2"/>
        <v>941</v>
      </c>
      <c r="B942" s="56" t="s">
        <v>794</v>
      </c>
      <c r="C942" s="55" t="s">
        <v>35</v>
      </c>
      <c r="D942" s="55">
        <v>1304.0</v>
      </c>
      <c r="E942" s="57" t="s">
        <v>379</v>
      </c>
      <c r="F942" s="2" t="s">
        <v>793</v>
      </c>
    </row>
    <row r="943">
      <c r="A943" s="55">
        <f t="shared" si="2"/>
        <v>942</v>
      </c>
      <c r="B943" s="56" t="s">
        <v>794</v>
      </c>
      <c r="C943" s="55" t="s">
        <v>30</v>
      </c>
      <c r="D943" s="55">
        <v>1306.0</v>
      </c>
      <c r="E943" s="57" t="s">
        <v>379</v>
      </c>
      <c r="F943" s="2" t="s">
        <v>793</v>
      </c>
    </row>
    <row r="944">
      <c r="A944" s="55">
        <f t="shared" si="2"/>
        <v>943</v>
      </c>
      <c r="B944" s="56" t="s">
        <v>794</v>
      </c>
      <c r="C944" s="55" t="s">
        <v>33</v>
      </c>
      <c r="D944" s="55">
        <v>1431.0</v>
      </c>
      <c r="E944" s="57" t="s">
        <v>379</v>
      </c>
      <c r="F944" s="2" t="s">
        <v>793</v>
      </c>
    </row>
    <row r="945">
      <c r="A945" s="55">
        <f t="shared" si="2"/>
        <v>944</v>
      </c>
      <c r="B945" s="56" t="s">
        <v>794</v>
      </c>
      <c r="C945" s="55" t="s">
        <v>36</v>
      </c>
      <c r="D945" s="55">
        <v>1277.0</v>
      </c>
      <c r="E945" s="57" t="s">
        <v>379</v>
      </c>
      <c r="F945" s="2" t="s">
        <v>793</v>
      </c>
    </row>
    <row r="946">
      <c r="A946" s="55">
        <f t="shared" si="2"/>
        <v>945</v>
      </c>
      <c r="B946" s="56" t="s">
        <v>794</v>
      </c>
      <c r="C946" s="55" t="s">
        <v>24</v>
      </c>
      <c r="D946" s="55">
        <v>1548.0</v>
      </c>
      <c r="E946" s="57" t="s">
        <v>379</v>
      </c>
      <c r="F946" s="2" t="s">
        <v>793</v>
      </c>
    </row>
    <row r="947">
      <c r="A947" s="55">
        <f t="shared" si="2"/>
        <v>946</v>
      </c>
      <c r="B947" s="56" t="s">
        <v>794</v>
      </c>
      <c r="C947" s="55" t="s">
        <v>29</v>
      </c>
      <c r="D947" s="55">
        <v>1322.0</v>
      </c>
      <c r="E947" s="57" t="s">
        <v>379</v>
      </c>
      <c r="F947" s="2" t="s">
        <v>793</v>
      </c>
    </row>
    <row r="948">
      <c r="A948" s="55">
        <f t="shared" si="2"/>
        <v>947</v>
      </c>
      <c r="B948" s="56" t="s">
        <v>794</v>
      </c>
      <c r="C948" s="55" t="s">
        <v>34</v>
      </c>
      <c r="D948" s="55">
        <v>1072.0</v>
      </c>
      <c r="E948" s="57" t="s">
        <v>379</v>
      </c>
      <c r="F948" s="2" t="s">
        <v>793</v>
      </c>
    </row>
    <row r="949">
      <c r="A949" s="55">
        <f t="shared" si="2"/>
        <v>948</v>
      </c>
      <c r="B949" s="56" t="s">
        <v>799</v>
      </c>
      <c r="C949" s="55" t="s">
        <v>33</v>
      </c>
      <c r="D949" s="55">
        <v>1451.0</v>
      </c>
      <c r="E949" s="57" t="s">
        <v>379</v>
      </c>
      <c r="F949" s="2" t="s">
        <v>798</v>
      </c>
    </row>
    <row r="950">
      <c r="A950" s="55">
        <f t="shared" si="2"/>
        <v>949</v>
      </c>
      <c r="B950" s="56" t="s">
        <v>799</v>
      </c>
      <c r="C950" s="55" t="s">
        <v>30</v>
      </c>
      <c r="D950" s="55">
        <v>1325.0</v>
      </c>
      <c r="E950" s="57" t="s">
        <v>379</v>
      </c>
      <c r="F950" s="2" t="s">
        <v>798</v>
      </c>
    </row>
    <row r="951">
      <c r="A951" s="55">
        <f t="shared" si="2"/>
        <v>950</v>
      </c>
      <c r="B951" s="56" t="s">
        <v>799</v>
      </c>
      <c r="C951" s="55" t="s">
        <v>34</v>
      </c>
      <c r="D951" s="55">
        <v>1041.0</v>
      </c>
      <c r="E951" s="57" t="s">
        <v>379</v>
      </c>
      <c r="F951" s="2" t="s">
        <v>798</v>
      </c>
    </row>
    <row r="952">
      <c r="A952" s="55">
        <f t="shared" si="2"/>
        <v>951</v>
      </c>
      <c r="B952" s="56" t="s">
        <v>799</v>
      </c>
      <c r="C952" s="55" t="s">
        <v>51</v>
      </c>
      <c r="D952" s="55">
        <v>1203.0</v>
      </c>
      <c r="E952" s="57" t="s">
        <v>379</v>
      </c>
      <c r="F952" s="2" t="s">
        <v>798</v>
      </c>
    </row>
    <row r="953">
      <c r="A953" s="55">
        <f t="shared" si="2"/>
        <v>952</v>
      </c>
      <c r="B953" s="56" t="s">
        <v>799</v>
      </c>
      <c r="C953" s="55" t="s">
        <v>24</v>
      </c>
      <c r="D953" s="55">
        <v>1528.0</v>
      </c>
      <c r="E953" s="57" t="s">
        <v>379</v>
      </c>
      <c r="F953" s="2" t="s">
        <v>798</v>
      </c>
    </row>
    <row r="954">
      <c r="A954" s="55">
        <f t="shared" si="2"/>
        <v>953</v>
      </c>
      <c r="B954" s="56" t="s">
        <v>799</v>
      </c>
      <c r="C954" s="55" t="s">
        <v>35</v>
      </c>
      <c r="D954" s="55">
        <v>1323.0</v>
      </c>
      <c r="E954" s="57" t="s">
        <v>379</v>
      </c>
      <c r="F954" s="2" t="s">
        <v>798</v>
      </c>
    </row>
    <row r="955">
      <c r="A955" s="55">
        <f t="shared" si="2"/>
        <v>954</v>
      </c>
      <c r="B955" s="56" t="s">
        <v>799</v>
      </c>
      <c r="C955" s="55" t="s">
        <v>31</v>
      </c>
      <c r="D955" s="55">
        <v>1533.0</v>
      </c>
      <c r="E955" s="57" t="s">
        <v>379</v>
      </c>
      <c r="F955" s="2" t="s">
        <v>798</v>
      </c>
    </row>
    <row r="956">
      <c r="A956" s="55">
        <f t="shared" si="2"/>
        <v>955</v>
      </c>
      <c r="B956" s="56" t="s">
        <v>799</v>
      </c>
      <c r="C956" s="55" t="s">
        <v>29</v>
      </c>
      <c r="D956" s="55">
        <v>1293.0</v>
      </c>
      <c r="E956" s="57" t="s">
        <v>379</v>
      </c>
      <c r="F956" s="2" t="s">
        <v>798</v>
      </c>
    </row>
    <row r="957">
      <c r="A957" s="55">
        <f t="shared" si="2"/>
        <v>956</v>
      </c>
      <c r="B957" s="56" t="s">
        <v>803</v>
      </c>
      <c r="C957" s="55" t="s">
        <v>31</v>
      </c>
      <c r="D957" s="55">
        <v>1518.0</v>
      </c>
      <c r="E957" s="57" t="s">
        <v>379</v>
      </c>
      <c r="F957" s="2" t="s">
        <v>802</v>
      </c>
    </row>
    <row r="958">
      <c r="A958" s="55">
        <f t="shared" si="2"/>
        <v>957</v>
      </c>
      <c r="B958" s="56" t="s">
        <v>803</v>
      </c>
      <c r="C958" s="55" t="s">
        <v>51</v>
      </c>
      <c r="D958" s="55">
        <v>1217.0</v>
      </c>
      <c r="E958" s="57" t="s">
        <v>379</v>
      </c>
      <c r="F958" s="2" t="s">
        <v>802</v>
      </c>
    </row>
    <row r="959">
      <c r="A959" s="55">
        <f t="shared" si="2"/>
        <v>958</v>
      </c>
      <c r="B959" s="56" t="s">
        <v>803</v>
      </c>
      <c r="C959" s="55" t="s">
        <v>24</v>
      </c>
      <c r="D959" s="55">
        <v>1513.0</v>
      </c>
      <c r="E959" s="57" t="s">
        <v>379</v>
      </c>
      <c r="F959" s="2" t="s">
        <v>802</v>
      </c>
    </row>
    <row r="960">
      <c r="A960" s="55">
        <f t="shared" si="2"/>
        <v>959</v>
      </c>
      <c r="B960" s="56" t="s">
        <v>803</v>
      </c>
      <c r="C960" s="55" t="s">
        <v>34</v>
      </c>
      <c r="D960" s="55">
        <v>1053.0</v>
      </c>
      <c r="E960" s="57" t="s">
        <v>379</v>
      </c>
      <c r="F960" s="2" t="s">
        <v>802</v>
      </c>
    </row>
    <row r="961">
      <c r="A961" s="55">
        <f t="shared" si="2"/>
        <v>960</v>
      </c>
      <c r="B961" s="56" t="s">
        <v>803</v>
      </c>
      <c r="C961" s="55" t="s">
        <v>29</v>
      </c>
      <c r="D961" s="55">
        <v>1268.0</v>
      </c>
      <c r="E961" s="57" t="s">
        <v>379</v>
      </c>
      <c r="F961" s="2" t="s">
        <v>802</v>
      </c>
    </row>
    <row r="962">
      <c r="A962" s="55">
        <f t="shared" si="2"/>
        <v>961</v>
      </c>
      <c r="B962" s="56" t="s">
        <v>803</v>
      </c>
      <c r="C962" s="55" t="s">
        <v>33</v>
      </c>
      <c r="D962" s="55">
        <v>1468.0</v>
      </c>
      <c r="E962" s="57" t="s">
        <v>379</v>
      </c>
      <c r="F962" s="2" t="s">
        <v>802</v>
      </c>
    </row>
    <row r="963">
      <c r="A963" s="55">
        <f t="shared" si="2"/>
        <v>962</v>
      </c>
      <c r="B963" s="56" t="s">
        <v>803</v>
      </c>
      <c r="C963" s="55" t="s">
        <v>35</v>
      </c>
      <c r="D963" s="55">
        <v>1304.0</v>
      </c>
      <c r="E963" s="57" t="s">
        <v>379</v>
      </c>
      <c r="F963" s="2" t="s">
        <v>802</v>
      </c>
    </row>
    <row r="964">
      <c r="A964" s="55">
        <f t="shared" si="2"/>
        <v>963</v>
      </c>
      <c r="B964" s="56" t="s">
        <v>803</v>
      </c>
      <c r="C964" s="55" t="s">
        <v>30</v>
      </c>
      <c r="D964" s="55">
        <v>1340.0</v>
      </c>
      <c r="E964" s="57" t="s">
        <v>379</v>
      </c>
      <c r="F964" s="2" t="s">
        <v>802</v>
      </c>
    </row>
    <row r="965">
      <c r="A965" s="55">
        <f t="shared" si="2"/>
        <v>964</v>
      </c>
      <c r="B965" s="56" t="s">
        <v>807</v>
      </c>
      <c r="C965" s="55" t="s">
        <v>30</v>
      </c>
      <c r="D965" s="55">
        <v>1315.0</v>
      </c>
      <c r="E965" s="57" t="s">
        <v>379</v>
      </c>
      <c r="F965" s="2" t="s">
        <v>806</v>
      </c>
    </row>
    <row r="966">
      <c r="A966" s="55">
        <f t="shared" si="2"/>
        <v>965</v>
      </c>
      <c r="B966" s="56" t="s">
        <v>807</v>
      </c>
      <c r="C966" s="55" t="s">
        <v>34</v>
      </c>
      <c r="D966" s="55">
        <v>1062.0</v>
      </c>
      <c r="E966" s="57" t="s">
        <v>379</v>
      </c>
      <c r="F966" s="2" t="s">
        <v>806</v>
      </c>
    </row>
    <row r="967">
      <c r="A967" s="55">
        <f t="shared" si="2"/>
        <v>966</v>
      </c>
      <c r="B967" s="56" t="s">
        <v>807</v>
      </c>
      <c r="C967" s="55" t="s">
        <v>31</v>
      </c>
      <c r="D967" s="55">
        <v>1531.0</v>
      </c>
      <c r="E967" s="57" t="s">
        <v>379</v>
      </c>
      <c r="F967" s="2" t="s">
        <v>806</v>
      </c>
    </row>
    <row r="968">
      <c r="A968" s="55">
        <f t="shared" si="2"/>
        <v>967</v>
      </c>
      <c r="B968" s="56" t="s">
        <v>807</v>
      </c>
      <c r="C968" s="55" t="s">
        <v>29</v>
      </c>
      <c r="D968" s="55">
        <v>1200.0</v>
      </c>
      <c r="E968" s="57" t="s">
        <v>379</v>
      </c>
      <c r="F968" s="2" t="s">
        <v>806</v>
      </c>
    </row>
    <row r="969">
      <c r="A969" s="55">
        <f t="shared" si="2"/>
        <v>968</v>
      </c>
      <c r="B969" s="56" t="s">
        <v>807</v>
      </c>
      <c r="C969" s="55" t="s">
        <v>24</v>
      </c>
      <c r="D969" s="55">
        <v>1525.0</v>
      </c>
      <c r="E969" s="57" t="s">
        <v>379</v>
      </c>
      <c r="F969" s="2" t="s">
        <v>806</v>
      </c>
    </row>
    <row r="970">
      <c r="A970" s="55">
        <f t="shared" si="2"/>
        <v>969</v>
      </c>
      <c r="B970" s="56" t="s">
        <v>807</v>
      </c>
      <c r="C970" s="55" t="s">
        <v>28</v>
      </c>
      <c r="D970" s="55">
        <v>1449.0</v>
      </c>
      <c r="E970" s="57" t="s">
        <v>379</v>
      </c>
      <c r="F970" s="2" t="s">
        <v>806</v>
      </c>
    </row>
    <row r="971">
      <c r="A971" s="55">
        <f t="shared" si="2"/>
        <v>970</v>
      </c>
      <c r="B971" s="56" t="s">
        <v>807</v>
      </c>
      <c r="C971" s="55" t="s">
        <v>51</v>
      </c>
      <c r="D971" s="55">
        <v>1227.0</v>
      </c>
      <c r="E971" s="57" t="s">
        <v>379</v>
      </c>
      <c r="F971" s="2" t="s">
        <v>806</v>
      </c>
    </row>
    <row r="972">
      <c r="A972" s="55">
        <f t="shared" si="2"/>
        <v>971</v>
      </c>
      <c r="B972" s="56" t="s">
        <v>807</v>
      </c>
      <c r="C972" s="55" t="s">
        <v>33</v>
      </c>
      <c r="D972" s="55">
        <v>1451.0</v>
      </c>
      <c r="E972" s="57" t="s">
        <v>379</v>
      </c>
      <c r="F972" s="2" t="s">
        <v>806</v>
      </c>
    </row>
    <row r="973">
      <c r="A973" s="55">
        <f t="shared" si="2"/>
        <v>972</v>
      </c>
      <c r="B973" s="56" t="s">
        <v>811</v>
      </c>
      <c r="C973" s="55" t="s">
        <v>28</v>
      </c>
      <c r="D973" s="55">
        <v>1433.0</v>
      </c>
      <c r="E973" s="57" t="s">
        <v>379</v>
      </c>
      <c r="F973" s="2" t="s">
        <v>810</v>
      </c>
    </row>
    <row r="974">
      <c r="A974" s="55">
        <f t="shared" si="2"/>
        <v>973</v>
      </c>
      <c r="B974" s="56" t="s">
        <v>811</v>
      </c>
      <c r="C974" s="55" t="s">
        <v>34</v>
      </c>
      <c r="D974" s="55">
        <v>1073.0</v>
      </c>
      <c r="E974" s="57" t="s">
        <v>379</v>
      </c>
      <c r="F974" s="2" t="s">
        <v>810</v>
      </c>
    </row>
    <row r="975">
      <c r="A975" s="55">
        <f t="shared" si="2"/>
        <v>974</v>
      </c>
      <c r="B975" s="56" t="s">
        <v>811</v>
      </c>
      <c r="C975" s="55" t="s">
        <v>51</v>
      </c>
      <c r="D975" s="55">
        <v>1204.0</v>
      </c>
      <c r="E975" s="57" t="s">
        <v>379</v>
      </c>
      <c r="F975" s="2" t="s">
        <v>810</v>
      </c>
    </row>
    <row r="976">
      <c r="A976" s="55">
        <f t="shared" si="2"/>
        <v>975</v>
      </c>
      <c r="B976" s="56" t="s">
        <v>811</v>
      </c>
      <c r="C976" s="55" t="s">
        <v>33</v>
      </c>
      <c r="D976" s="55">
        <v>1435.0</v>
      </c>
      <c r="E976" s="57" t="s">
        <v>379</v>
      </c>
      <c r="F976" s="2" t="s">
        <v>810</v>
      </c>
    </row>
    <row r="977">
      <c r="A977" s="55">
        <f t="shared" si="2"/>
        <v>976</v>
      </c>
      <c r="B977" s="56" t="s">
        <v>811</v>
      </c>
      <c r="C977" s="55" t="s">
        <v>31</v>
      </c>
      <c r="D977" s="55">
        <v>1547.0</v>
      </c>
      <c r="E977" s="57" t="s">
        <v>379</v>
      </c>
      <c r="F977" s="2" t="s">
        <v>810</v>
      </c>
    </row>
    <row r="978">
      <c r="A978" s="55">
        <f t="shared" si="2"/>
        <v>977</v>
      </c>
      <c r="B978" s="56" t="s">
        <v>811</v>
      </c>
      <c r="C978" s="55" t="s">
        <v>24</v>
      </c>
      <c r="D978" s="55">
        <v>1509.0</v>
      </c>
      <c r="E978" s="57" t="s">
        <v>379</v>
      </c>
      <c r="F978" s="2" t="s">
        <v>810</v>
      </c>
    </row>
    <row r="979">
      <c r="A979" s="55">
        <f t="shared" si="2"/>
        <v>978</v>
      </c>
      <c r="B979" s="56" t="s">
        <v>811</v>
      </c>
      <c r="C979" s="55" t="s">
        <v>30</v>
      </c>
      <c r="D979" s="55">
        <v>1329.0</v>
      </c>
      <c r="E979" s="57" t="s">
        <v>379</v>
      </c>
      <c r="F979" s="2" t="s">
        <v>810</v>
      </c>
    </row>
    <row r="980">
      <c r="A980" s="55">
        <f t="shared" si="2"/>
        <v>979</v>
      </c>
      <c r="B980" s="56" t="s">
        <v>815</v>
      </c>
      <c r="C980" s="55" t="s">
        <v>34</v>
      </c>
      <c r="D980" s="55">
        <v>1084.0</v>
      </c>
      <c r="E980" s="57" t="s">
        <v>379</v>
      </c>
      <c r="F980" s="2" t="s">
        <v>814</v>
      </c>
    </row>
    <row r="981">
      <c r="A981" s="55">
        <f t="shared" si="2"/>
        <v>980</v>
      </c>
      <c r="B981" s="56" t="s">
        <v>815</v>
      </c>
      <c r="C981" s="55" t="s">
        <v>30</v>
      </c>
      <c r="D981" s="55">
        <v>1307.0</v>
      </c>
      <c r="E981" s="57" t="s">
        <v>379</v>
      </c>
      <c r="F981" s="2" t="s">
        <v>814</v>
      </c>
    </row>
    <row r="982">
      <c r="A982" s="55">
        <f t="shared" si="2"/>
        <v>981</v>
      </c>
      <c r="B982" s="56" t="s">
        <v>815</v>
      </c>
      <c r="C982" s="55" t="s">
        <v>33</v>
      </c>
      <c r="D982" s="55">
        <v>1420.0</v>
      </c>
      <c r="E982" s="57" t="s">
        <v>379</v>
      </c>
      <c r="F982" s="2" t="s">
        <v>814</v>
      </c>
    </row>
    <row r="983">
      <c r="A983" s="55">
        <f t="shared" si="2"/>
        <v>982</v>
      </c>
      <c r="B983" s="56" t="s">
        <v>815</v>
      </c>
      <c r="C983" s="55" t="s">
        <v>24</v>
      </c>
      <c r="D983" s="55">
        <v>1494.0</v>
      </c>
      <c r="E983" s="57" t="s">
        <v>379</v>
      </c>
      <c r="F983" s="2" t="s">
        <v>814</v>
      </c>
    </row>
    <row r="984">
      <c r="A984" s="55">
        <f t="shared" si="2"/>
        <v>983</v>
      </c>
      <c r="B984" s="56" t="s">
        <v>815</v>
      </c>
      <c r="C984" s="55" t="s">
        <v>28</v>
      </c>
      <c r="D984" s="55">
        <v>1447.0</v>
      </c>
      <c r="E984" s="57" t="s">
        <v>379</v>
      </c>
      <c r="F984" s="2" t="s">
        <v>814</v>
      </c>
    </row>
    <row r="985">
      <c r="A985" s="55">
        <f t="shared" si="2"/>
        <v>984</v>
      </c>
      <c r="B985" s="56" t="s">
        <v>815</v>
      </c>
      <c r="C985" s="55" t="s">
        <v>27</v>
      </c>
      <c r="D985" s="55">
        <v>1525.0</v>
      </c>
      <c r="E985" s="57" t="s">
        <v>379</v>
      </c>
      <c r="F985" s="2" t="s">
        <v>814</v>
      </c>
    </row>
    <row r="986">
      <c r="A986" s="55">
        <f t="shared" si="2"/>
        <v>985</v>
      </c>
      <c r="B986" s="56" t="s">
        <v>815</v>
      </c>
      <c r="C986" s="55" t="s">
        <v>31</v>
      </c>
      <c r="D986" s="55">
        <v>1533.0</v>
      </c>
      <c r="E986" s="57" t="s">
        <v>379</v>
      </c>
      <c r="F986" s="2" t="s">
        <v>814</v>
      </c>
    </row>
    <row r="987">
      <c r="A987" s="55">
        <f t="shared" si="2"/>
        <v>986</v>
      </c>
      <c r="B987" s="56" t="s">
        <v>819</v>
      </c>
      <c r="C987" s="55" t="s">
        <v>28</v>
      </c>
      <c r="D987" s="55">
        <v>1432.0</v>
      </c>
      <c r="E987" s="57" t="s">
        <v>379</v>
      </c>
      <c r="F987" s="2" t="s">
        <v>818</v>
      </c>
    </row>
    <row r="988">
      <c r="A988" s="55">
        <f t="shared" si="2"/>
        <v>987</v>
      </c>
      <c r="B988" s="56" t="s">
        <v>819</v>
      </c>
      <c r="C988" s="55" t="s">
        <v>33</v>
      </c>
      <c r="D988" s="55">
        <v>1436.0</v>
      </c>
      <c r="E988" s="57" t="s">
        <v>379</v>
      </c>
      <c r="F988" s="2" t="s">
        <v>818</v>
      </c>
    </row>
    <row r="989">
      <c r="A989" s="55">
        <f t="shared" si="2"/>
        <v>988</v>
      </c>
      <c r="B989" s="56" t="s">
        <v>819</v>
      </c>
      <c r="C989" s="55" t="s">
        <v>34</v>
      </c>
      <c r="D989" s="55">
        <v>1095.0</v>
      </c>
      <c r="E989" s="57" t="s">
        <v>379</v>
      </c>
      <c r="F989" s="2" t="s">
        <v>818</v>
      </c>
    </row>
    <row r="990">
      <c r="A990" s="55">
        <f t="shared" si="2"/>
        <v>989</v>
      </c>
      <c r="B990" s="56" t="s">
        <v>819</v>
      </c>
      <c r="C990" s="55" t="s">
        <v>24</v>
      </c>
      <c r="D990" s="55">
        <v>1478.0</v>
      </c>
      <c r="E990" s="57" t="s">
        <v>379</v>
      </c>
      <c r="F990" s="2" t="s">
        <v>818</v>
      </c>
    </row>
    <row r="991">
      <c r="A991" s="55">
        <f t="shared" si="2"/>
        <v>990</v>
      </c>
      <c r="B991" s="56" t="s">
        <v>819</v>
      </c>
      <c r="C991" s="55" t="s">
        <v>30</v>
      </c>
      <c r="D991" s="55">
        <v>1321.0</v>
      </c>
      <c r="E991" s="57" t="s">
        <v>379</v>
      </c>
      <c r="F991" s="2" t="s">
        <v>818</v>
      </c>
    </row>
    <row r="992">
      <c r="A992" s="55">
        <f t="shared" si="2"/>
        <v>991</v>
      </c>
      <c r="B992" s="56" t="s">
        <v>819</v>
      </c>
      <c r="C992" s="55" t="s">
        <v>31</v>
      </c>
      <c r="D992" s="55">
        <v>1518.0</v>
      </c>
      <c r="E992" s="57" t="s">
        <v>379</v>
      </c>
      <c r="F992" s="2" t="s">
        <v>818</v>
      </c>
    </row>
    <row r="993">
      <c r="A993" s="55">
        <f t="shared" si="2"/>
        <v>992</v>
      </c>
      <c r="B993" s="56" t="s">
        <v>819</v>
      </c>
      <c r="C993" s="55" t="s">
        <v>27</v>
      </c>
      <c r="D993" s="55">
        <v>1512.0</v>
      </c>
      <c r="E993" s="57" t="s">
        <v>379</v>
      </c>
      <c r="F993" s="2" t="s">
        <v>818</v>
      </c>
    </row>
    <row r="994">
      <c r="A994" s="55">
        <f t="shared" si="2"/>
        <v>993</v>
      </c>
      <c r="B994" s="56" t="s">
        <v>823</v>
      </c>
      <c r="C994" s="55" t="s">
        <v>31</v>
      </c>
      <c r="D994" s="55">
        <v>1498.0</v>
      </c>
      <c r="E994" s="57" t="s">
        <v>379</v>
      </c>
      <c r="F994" s="2" t="s">
        <v>822</v>
      </c>
    </row>
    <row r="995">
      <c r="A995" s="55">
        <f t="shared" si="2"/>
        <v>994</v>
      </c>
      <c r="B995" s="56" t="s">
        <v>823</v>
      </c>
      <c r="C995" s="55" t="s">
        <v>30</v>
      </c>
      <c r="D995" s="55">
        <v>1293.0</v>
      </c>
      <c r="E995" s="57" t="s">
        <v>379</v>
      </c>
      <c r="F995" s="2" t="s">
        <v>822</v>
      </c>
    </row>
    <row r="996">
      <c r="A996" s="55">
        <f t="shared" si="2"/>
        <v>995</v>
      </c>
      <c r="B996" s="56" t="s">
        <v>823</v>
      </c>
      <c r="C996" s="55" t="s">
        <v>28</v>
      </c>
      <c r="D996" s="55">
        <v>1451.0</v>
      </c>
      <c r="E996" s="57" t="s">
        <v>379</v>
      </c>
      <c r="F996" s="2" t="s">
        <v>822</v>
      </c>
    </row>
    <row r="997">
      <c r="A997" s="55">
        <f t="shared" si="2"/>
        <v>996</v>
      </c>
      <c r="B997" s="56" t="s">
        <v>823</v>
      </c>
      <c r="C997" s="55" t="s">
        <v>34</v>
      </c>
      <c r="D997" s="55">
        <v>1110.0</v>
      </c>
      <c r="E997" s="57" t="s">
        <v>379</v>
      </c>
      <c r="F997" s="2" t="s">
        <v>822</v>
      </c>
    </row>
    <row r="998">
      <c r="A998" s="55">
        <f t="shared" si="2"/>
        <v>997</v>
      </c>
      <c r="B998" s="56" t="s">
        <v>823</v>
      </c>
      <c r="C998" s="55" t="s">
        <v>24</v>
      </c>
      <c r="D998" s="55">
        <v>1498.0</v>
      </c>
      <c r="E998" s="57" t="s">
        <v>379</v>
      </c>
      <c r="F998" s="2" t="s">
        <v>822</v>
      </c>
    </row>
    <row r="999">
      <c r="A999" s="55">
        <f t="shared" si="2"/>
        <v>998</v>
      </c>
      <c r="B999" s="56" t="s">
        <v>823</v>
      </c>
      <c r="C999" s="55" t="s">
        <v>27</v>
      </c>
      <c r="D999" s="55">
        <v>1495.0</v>
      </c>
      <c r="E999" s="57" t="s">
        <v>379</v>
      </c>
      <c r="F999" s="2" t="s">
        <v>822</v>
      </c>
    </row>
    <row r="1000">
      <c r="A1000" s="55">
        <f t="shared" si="2"/>
        <v>999</v>
      </c>
      <c r="B1000" s="56" t="s">
        <v>823</v>
      </c>
      <c r="C1000" s="55" t="s">
        <v>33</v>
      </c>
      <c r="D1000" s="55">
        <v>1455.0</v>
      </c>
      <c r="E1000" s="57" t="s">
        <v>379</v>
      </c>
      <c r="F1000" s="2" t="s">
        <v>822</v>
      </c>
    </row>
    <row r="1001">
      <c r="A1001" s="55">
        <f t="shared" si="2"/>
        <v>1000</v>
      </c>
      <c r="B1001" s="56" t="s">
        <v>827</v>
      </c>
      <c r="C1001" s="55" t="s">
        <v>45</v>
      </c>
      <c r="D1001" s="55">
        <v>1146.0</v>
      </c>
      <c r="E1001" s="57" t="s">
        <v>379</v>
      </c>
      <c r="F1001" s="2" t="s">
        <v>826</v>
      </c>
    </row>
    <row r="1002">
      <c r="A1002" s="55">
        <f t="shared" si="2"/>
        <v>1001</v>
      </c>
      <c r="B1002" s="56" t="s">
        <v>827</v>
      </c>
      <c r="C1002" s="55" t="s">
        <v>28</v>
      </c>
      <c r="D1002" s="55">
        <v>1466.0</v>
      </c>
      <c r="E1002" s="57" t="s">
        <v>379</v>
      </c>
      <c r="F1002" s="2" t="s">
        <v>826</v>
      </c>
    </row>
    <row r="1003">
      <c r="A1003" s="55">
        <f t="shared" si="2"/>
        <v>1002</v>
      </c>
      <c r="B1003" s="56" t="s">
        <v>827</v>
      </c>
      <c r="C1003" s="55" t="s">
        <v>26</v>
      </c>
      <c r="D1003" s="55">
        <v>1498.0</v>
      </c>
      <c r="E1003" s="57" t="s">
        <v>379</v>
      </c>
      <c r="F1003" s="2" t="s">
        <v>826</v>
      </c>
    </row>
    <row r="1004">
      <c r="A1004" s="55">
        <f t="shared" si="2"/>
        <v>1003</v>
      </c>
      <c r="B1004" s="56" t="s">
        <v>827</v>
      </c>
      <c r="C1004" s="55" t="s">
        <v>52</v>
      </c>
      <c r="D1004" s="55">
        <v>1187.0</v>
      </c>
      <c r="E1004" s="57" t="s">
        <v>379</v>
      </c>
      <c r="F1004" s="2" t="s">
        <v>826</v>
      </c>
    </row>
    <row r="1005">
      <c r="A1005" s="55">
        <f t="shared" si="2"/>
        <v>1004</v>
      </c>
      <c r="B1005" s="56" t="s">
        <v>827</v>
      </c>
      <c r="C1005" s="55" t="s">
        <v>31</v>
      </c>
      <c r="D1005" s="55">
        <v>1514.0</v>
      </c>
      <c r="E1005" s="57" t="s">
        <v>379</v>
      </c>
      <c r="F1005" s="2" t="s">
        <v>826</v>
      </c>
    </row>
    <row r="1006">
      <c r="A1006" s="55">
        <f t="shared" si="2"/>
        <v>1005</v>
      </c>
      <c r="B1006" s="56" t="s">
        <v>827</v>
      </c>
      <c r="C1006" s="55" t="s">
        <v>35</v>
      </c>
      <c r="D1006" s="55">
        <v>1282.0</v>
      </c>
      <c r="E1006" s="57" t="s">
        <v>379</v>
      </c>
      <c r="F1006" s="2" t="s">
        <v>826</v>
      </c>
    </row>
    <row r="1007">
      <c r="A1007" s="55">
        <f t="shared" si="2"/>
        <v>1006</v>
      </c>
      <c r="B1007" s="56" t="s">
        <v>827</v>
      </c>
      <c r="C1007" s="55" t="s">
        <v>33</v>
      </c>
      <c r="D1007" s="55">
        <v>1437.0</v>
      </c>
      <c r="E1007" s="57" t="s">
        <v>379</v>
      </c>
      <c r="F1007" s="2" t="s">
        <v>826</v>
      </c>
    </row>
    <row r="1008">
      <c r="A1008" s="55">
        <f t="shared" si="2"/>
        <v>1007</v>
      </c>
      <c r="B1008" s="56" t="s">
        <v>832</v>
      </c>
      <c r="C1008" s="55" t="s">
        <v>28</v>
      </c>
      <c r="D1008" s="55">
        <v>1484.0</v>
      </c>
      <c r="E1008" s="57" t="s">
        <v>379</v>
      </c>
      <c r="F1008" s="2" t="s">
        <v>831</v>
      </c>
    </row>
    <row r="1009">
      <c r="A1009" s="55">
        <f t="shared" si="2"/>
        <v>1008</v>
      </c>
      <c r="B1009" s="56" t="s">
        <v>832</v>
      </c>
      <c r="C1009" s="55" t="s">
        <v>52</v>
      </c>
      <c r="D1009" s="55">
        <v>1140.0</v>
      </c>
      <c r="E1009" s="57" t="s">
        <v>379</v>
      </c>
      <c r="F1009" s="2" t="s">
        <v>831</v>
      </c>
    </row>
    <row r="1010">
      <c r="A1010" s="55">
        <f t="shared" si="2"/>
        <v>1009</v>
      </c>
      <c r="B1010" s="56" t="s">
        <v>832</v>
      </c>
      <c r="C1010" s="55" t="s">
        <v>31</v>
      </c>
      <c r="D1010" s="55">
        <v>1496.0</v>
      </c>
      <c r="E1010" s="57" t="s">
        <v>379</v>
      </c>
      <c r="F1010" s="2" t="s">
        <v>831</v>
      </c>
    </row>
    <row r="1011">
      <c r="A1011" s="55">
        <f t="shared" si="2"/>
        <v>1010</v>
      </c>
      <c r="B1011" s="56" t="s">
        <v>832</v>
      </c>
      <c r="C1011" s="55" t="s">
        <v>51</v>
      </c>
      <c r="D1011" s="55">
        <v>1216.0</v>
      </c>
      <c r="E1011" s="57" t="s">
        <v>379</v>
      </c>
      <c r="F1011" s="2" t="s">
        <v>831</v>
      </c>
    </row>
    <row r="1012">
      <c r="A1012" s="55">
        <f t="shared" si="2"/>
        <v>1011</v>
      </c>
      <c r="B1012" s="56" t="s">
        <v>832</v>
      </c>
      <c r="C1012" s="55" t="s">
        <v>26</v>
      </c>
      <c r="D1012" s="55">
        <v>1516.0</v>
      </c>
      <c r="E1012" s="57" t="s">
        <v>379</v>
      </c>
      <c r="F1012" s="2" t="s">
        <v>831</v>
      </c>
    </row>
    <row r="1013">
      <c r="A1013" s="55">
        <f t="shared" si="2"/>
        <v>1012</v>
      </c>
      <c r="B1013" s="56" t="s">
        <v>832</v>
      </c>
      <c r="C1013" s="55" t="s">
        <v>33</v>
      </c>
      <c r="D1013" s="55">
        <v>1419.0</v>
      </c>
      <c r="E1013" s="57" t="s">
        <v>379</v>
      </c>
      <c r="F1013" s="2" t="s">
        <v>831</v>
      </c>
    </row>
    <row r="1014">
      <c r="A1014" s="55">
        <f t="shared" si="2"/>
        <v>1013</v>
      </c>
      <c r="B1014" s="56" t="s">
        <v>832</v>
      </c>
      <c r="C1014" s="55" t="s">
        <v>35</v>
      </c>
      <c r="D1014" s="55">
        <v>1259.0</v>
      </c>
      <c r="E1014" s="57" t="s">
        <v>379</v>
      </c>
      <c r="F1014" s="2" t="s">
        <v>831</v>
      </c>
    </row>
    <row r="1015">
      <c r="A1015" s="55">
        <f t="shared" si="2"/>
        <v>1014</v>
      </c>
      <c r="B1015" s="56" t="s">
        <v>836</v>
      </c>
      <c r="C1015" s="55" t="s">
        <v>28</v>
      </c>
      <c r="D1015" s="55">
        <v>1502.0</v>
      </c>
      <c r="E1015" s="57" t="s">
        <v>379</v>
      </c>
      <c r="F1015" s="2" t="s">
        <v>835</v>
      </c>
    </row>
    <row r="1016">
      <c r="A1016" s="55">
        <f t="shared" si="2"/>
        <v>1015</v>
      </c>
      <c r="B1016" s="56" t="s">
        <v>836</v>
      </c>
      <c r="C1016" s="55" t="s">
        <v>51</v>
      </c>
      <c r="D1016" s="55">
        <v>1231.0</v>
      </c>
      <c r="E1016" s="57" t="s">
        <v>379</v>
      </c>
      <c r="F1016" s="2" t="s">
        <v>835</v>
      </c>
    </row>
    <row r="1017">
      <c r="A1017" s="55">
        <f t="shared" si="2"/>
        <v>1016</v>
      </c>
      <c r="B1017" s="56" t="s">
        <v>836</v>
      </c>
      <c r="C1017" s="55" t="s">
        <v>33</v>
      </c>
      <c r="D1017" s="55">
        <v>1400.0</v>
      </c>
      <c r="E1017" s="57" t="s">
        <v>379</v>
      </c>
      <c r="F1017" s="2" t="s">
        <v>835</v>
      </c>
    </row>
    <row r="1018">
      <c r="A1018" s="55">
        <f t="shared" si="2"/>
        <v>1017</v>
      </c>
      <c r="B1018" s="56" t="s">
        <v>836</v>
      </c>
      <c r="C1018" s="55" t="s">
        <v>26</v>
      </c>
      <c r="D1018" s="55">
        <v>1497.0</v>
      </c>
      <c r="E1018" s="57" t="s">
        <v>379</v>
      </c>
      <c r="F1018" s="2" t="s">
        <v>835</v>
      </c>
    </row>
    <row r="1019">
      <c r="A1019" s="55">
        <f t="shared" si="2"/>
        <v>1018</v>
      </c>
      <c r="B1019" s="56" t="s">
        <v>836</v>
      </c>
      <c r="C1019" s="55" t="s">
        <v>35</v>
      </c>
      <c r="D1019" s="55">
        <v>1235.0</v>
      </c>
      <c r="E1019" s="57" t="s">
        <v>379</v>
      </c>
      <c r="F1019" s="2" t="s">
        <v>835</v>
      </c>
    </row>
    <row r="1020">
      <c r="A1020" s="55">
        <f t="shared" si="2"/>
        <v>1019</v>
      </c>
      <c r="B1020" s="56" t="s">
        <v>836</v>
      </c>
      <c r="C1020" s="55" t="s">
        <v>31</v>
      </c>
      <c r="D1020" s="55">
        <v>1515.0</v>
      </c>
      <c r="E1020" s="57" t="s">
        <v>379</v>
      </c>
      <c r="F1020" s="2" t="s">
        <v>835</v>
      </c>
    </row>
    <row r="1021">
      <c r="A1021" s="55">
        <f t="shared" si="2"/>
        <v>1020</v>
      </c>
      <c r="B1021" s="56" t="s">
        <v>840</v>
      </c>
      <c r="C1021" s="55" t="s">
        <v>28</v>
      </c>
      <c r="D1021" s="55">
        <v>1523.0</v>
      </c>
      <c r="E1021" s="57" t="s">
        <v>379</v>
      </c>
      <c r="F1021" s="2" t="s">
        <v>839</v>
      </c>
    </row>
    <row r="1022">
      <c r="A1022" s="55">
        <f t="shared" si="2"/>
        <v>1021</v>
      </c>
      <c r="B1022" s="56" t="s">
        <v>840</v>
      </c>
      <c r="C1022" s="55" t="s">
        <v>51</v>
      </c>
      <c r="D1022" s="55">
        <v>1248.0</v>
      </c>
      <c r="E1022" s="57" t="s">
        <v>379</v>
      </c>
      <c r="F1022" s="2" t="s">
        <v>839</v>
      </c>
    </row>
    <row r="1023">
      <c r="A1023" s="55">
        <f t="shared" si="2"/>
        <v>1022</v>
      </c>
      <c r="B1023" s="56" t="s">
        <v>840</v>
      </c>
      <c r="C1023" s="55" t="s">
        <v>35</v>
      </c>
      <c r="D1023" s="55">
        <v>1211.0</v>
      </c>
      <c r="E1023" s="57" t="s">
        <v>379</v>
      </c>
      <c r="F1023" s="2" t="s">
        <v>839</v>
      </c>
    </row>
    <row r="1024">
      <c r="A1024" s="55">
        <f t="shared" si="2"/>
        <v>1023</v>
      </c>
      <c r="B1024" s="56" t="s">
        <v>840</v>
      </c>
      <c r="C1024" s="55" t="s">
        <v>33</v>
      </c>
      <c r="D1024" s="55">
        <v>1419.0</v>
      </c>
      <c r="E1024" s="57" t="s">
        <v>379</v>
      </c>
      <c r="F1024" s="2" t="s">
        <v>839</v>
      </c>
    </row>
    <row r="1025">
      <c r="A1025" s="55">
        <f t="shared" si="2"/>
        <v>1024</v>
      </c>
      <c r="B1025" s="56" t="s">
        <v>840</v>
      </c>
      <c r="C1025" s="55" t="s">
        <v>31</v>
      </c>
      <c r="D1025" s="55">
        <v>1497.0</v>
      </c>
      <c r="E1025" s="57" t="s">
        <v>379</v>
      </c>
      <c r="F1025" s="2" t="s">
        <v>839</v>
      </c>
    </row>
    <row r="1026">
      <c r="A1026" s="55">
        <f t="shared" si="2"/>
        <v>1025</v>
      </c>
      <c r="B1026" s="56" t="s">
        <v>840</v>
      </c>
      <c r="C1026" s="55" t="s">
        <v>26</v>
      </c>
      <c r="D1026" s="55">
        <v>1478.0</v>
      </c>
      <c r="E1026" s="57" t="s">
        <v>379</v>
      </c>
      <c r="F1026" s="2" t="s">
        <v>839</v>
      </c>
    </row>
    <row r="1027">
      <c r="A1027" s="55">
        <f t="shared" si="2"/>
        <v>1026</v>
      </c>
      <c r="B1027" s="56" t="s">
        <v>844</v>
      </c>
      <c r="C1027" s="55" t="s">
        <v>34</v>
      </c>
      <c r="D1027" s="55">
        <v>1121.0</v>
      </c>
      <c r="E1027" s="57" t="s">
        <v>379</v>
      </c>
      <c r="F1027" s="2" t="s">
        <v>843</v>
      </c>
    </row>
    <row r="1028">
      <c r="A1028" s="55">
        <f t="shared" si="2"/>
        <v>1027</v>
      </c>
      <c r="B1028" s="56" t="s">
        <v>844</v>
      </c>
      <c r="C1028" s="55" t="s">
        <v>26</v>
      </c>
      <c r="D1028" s="55">
        <v>1460.0</v>
      </c>
      <c r="E1028" s="57" t="s">
        <v>379</v>
      </c>
      <c r="F1028" s="2" t="s">
        <v>843</v>
      </c>
    </row>
    <row r="1029">
      <c r="A1029" s="55">
        <f t="shared" si="2"/>
        <v>1028</v>
      </c>
      <c r="B1029" s="56" t="s">
        <v>844</v>
      </c>
      <c r="C1029" s="55" t="s">
        <v>42</v>
      </c>
      <c r="D1029" s="55">
        <v>1312.0</v>
      </c>
      <c r="E1029" s="57" t="s">
        <v>379</v>
      </c>
      <c r="F1029" s="2" t="s">
        <v>843</v>
      </c>
    </row>
    <row r="1030">
      <c r="A1030" s="55">
        <f t="shared" si="2"/>
        <v>1029</v>
      </c>
      <c r="B1030" s="56" t="s">
        <v>844</v>
      </c>
      <c r="C1030" s="55" t="s">
        <v>28</v>
      </c>
      <c r="D1030" s="55">
        <v>1537.0</v>
      </c>
      <c r="E1030" s="57" t="s">
        <v>379</v>
      </c>
      <c r="F1030" s="2" t="s">
        <v>843</v>
      </c>
    </row>
    <row r="1031">
      <c r="A1031" s="55">
        <f t="shared" si="2"/>
        <v>1030</v>
      </c>
      <c r="B1031" s="56" t="s">
        <v>844</v>
      </c>
      <c r="C1031" s="55" t="s">
        <v>33</v>
      </c>
      <c r="D1031" s="55">
        <v>1402.0</v>
      </c>
      <c r="E1031" s="57" t="s">
        <v>379</v>
      </c>
      <c r="F1031" s="2" t="s">
        <v>843</v>
      </c>
    </row>
    <row r="1032">
      <c r="A1032" s="55">
        <f t="shared" si="2"/>
        <v>1031</v>
      </c>
      <c r="B1032" s="56" t="s">
        <v>844</v>
      </c>
      <c r="C1032" s="55" t="s">
        <v>35</v>
      </c>
      <c r="D1032" s="55">
        <v>1222.0</v>
      </c>
      <c r="E1032" s="57" t="s">
        <v>379</v>
      </c>
      <c r="F1032" s="2" t="s">
        <v>843</v>
      </c>
    </row>
    <row r="1033">
      <c r="A1033" s="55">
        <f t="shared" si="2"/>
        <v>1032</v>
      </c>
      <c r="B1033" s="56" t="s">
        <v>849</v>
      </c>
      <c r="C1033" s="55" t="s">
        <v>33</v>
      </c>
      <c r="D1033" s="55">
        <v>1385.0</v>
      </c>
      <c r="E1033" s="57" t="s">
        <v>379</v>
      </c>
      <c r="F1033" s="2" t="s">
        <v>848</v>
      </c>
    </row>
    <row r="1034">
      <c r="A1034" s="55">
        <f t="shared" si="2"/>
        <v>1033</v>
      </c>
      <c r="B1034" s="56" t="s">
        <v>849</v>
      </c>
      <c r="C1034" s="55" t="s">
        <v>42</v>
      </c>
      <c r="D1034" s="55">
        <v>1330.0</v>
      </c>
      <c r="E1034" s="57" t="s">
        <v>379</v>
      </c>
      <c r="F1034" s="2" t="s">
        <v>848</v>
      </c>
    </row>
    <row r="1035">
      <c r="A1035" s="55">
        <f t="shared" si="2"/>
        <v>1034</v>
      </c>
      <c r="B1035" s="56" t="s">
        <v>849</v>
      </c>
      <c r="C1035" s="55" t="s">
        <v>35</v>
      </c>
      <c r="D1035" s="55">
        <v>1199.0</v>
      </c>
      <c r="E1035" s="57" t="s">
        <v>379</v>
      </c>
      <c r="F1035" s="2" t="s">
        <v>848</v>
      </c>
    </row>
    <row r="1036">
      <c r="A1036" s="55">
        <f t="shared" si="2"/>
        <v>1035</v>
      </c>
      <c r="B1036" s="56" t="s">
        <v>849</v>
      </c>
      <c r="C1036" s="55" t="s">
        <v>28</v>
      </c>
      <c r="D1036" s="55">
        <v>1524.0</v>
      </c>
      <c r="E1036" s="57" t="s">
        <v>379</v>
      </c>
      <c r="F1036" s="2" t="s">
        <v>848</v>
      </c>
    </row>
    <row r="1037">
      <c r="A1037" s="55">
        <f t="shared" si="2"/>
        <v>1036</v>
      </c>
      <c r="B1037" s="56" t="s">
        <v>849</v>
      </c>
      <c r="C1037" s="55" t="s">
        <v>30</v>
      </c>
      <c r="D1037" s="55">
        <v>1306.0</v>
      </c>
      <c r="E1037" s="57" t="s">
        <v>379</v>
      </c>
      <c r="F1037" s="2" t="s">
        <v>848</v>
      </c>
    </row>
    <row r="1038">
      <c r="A1038" s="55">
        <f t="shared" si="2"/>
        <v>1037</v>
      </c>
      <c r="B1038" s="56" t="s">
        <v>849</v>
      </c>
      <c r="C1038" s="55" t="s">
        <v>34</v>
      </c>
      <c r="D1038" s="55">
        <v>1137.0</v>
      </c>
      <c r="E1038" s="57" t="s">
        <v>379</v>
      </c>
      <c r="F1038" s="2" t="s">
        <v>848</v>
      </c>
    </row>
    <row r="1039">
      <c r="A1039" s="55">
        <f t="shared" si="2"/>
        <v>1038</v>
      </c>
      <c r="B1039" s="56" t="s">
        <v>854</v>
      </c>
      <c r="C1039" s="55" t="s">
        <v>28</v>
      </c>
      <c r="D1039" s="55">
        <v>1511.0</v>
      </c>
      <c r="E1039" s="57" t="s">
        <v>379</v>
      </c>
      <c r="F1039" s="2" t="s">
        <v>853</v>
      </c>
    </row>
    <row r="1040">
      <c r="A1040" s="55">
        <f t="shared" si="2"/>
        <v>1039</v>
      </c>
      <c r="B1040" s="56" t="s">
        <v>854</v>
      </c>
      <c r="C1040" s="55" t="s">
        <v>42</v>
      </c>
      <c r="D1040" s="55">
        <v>1342.0</v>
      </c>
      <c r="E1040" s="57" t="s">
        <v>379</v>
      </c>
      <c r="F1040" s="2" t="s">
        <v>853</v>
      </c>
    </row>
    <row r="1041">
      <c r="A1041" s="55">
        <f t="shared" si="2"/>
        <v>1040</v>
      </c>
      <c r="B1041" s="56" t="s">
        <v>854</v>
      </c>
      <c r="C1041" s="55" t="s">
        <v>31</v>
      </c>
      <c r="D1041" s="55">
        <v>1480.0</v>
      </c>
      <c r="E1041" s="57" t="s">
        <v>379</v>
      </c>
      <c r="F1041" s="2" t="s">
        <v>853</v>
      </c>
    </row>
    <row r="1042">
      <c r="A1042" s="55">
        <f t="shared" si="2"/>
        <v>1041</v>
      </c>
      <c r="B1042" s="56" t="s">
        <v>854</v>
      </c>
      <c r="C1042" s="55" t="s">
        <v>30</v>
      </c>
      <c r="D1042" s="55">
        <v>1282.0</v>
      </c>
      <c r="E1042" s="57" t="s">
        <v>379</v>
      </c>
      <c r="F1042" s="2" t="s">
        <v>853</v>
      </c>
    </row>
    <row r="1043">
      <c r="A1043" s="55">
        <f t="shared" si="2"/>
        <v>1042</v>
      </c>
      <c r="B1043" s="56" t="s">
        <v>854</v>
      </c>
      <c r="C1043" s="55" t="s">
        <v>35</v>
      </c>
      <c r="D1043" s="55">
        <v>1209.0</v>
      </c>
      <c r="E1043" s="57" t="s">
        <v>379</v>
      </c>
      <c r="F1043" s="2" t="s">
        <v>853</v>
      </c>
    </row>
    <row r="1044">
      <c r="A1044" s="55">
        <f t="shared" si="2"/>
        <v>1043</v>
      </c>
      <c r="B1044" s="56" t="s">
        <v>854</v>
      </c>
      <c r="C1044" s="55" t="s">
        <v>33</v>
      </c>
      <c r="D1044" s="55">
        <v>1397.0</v>
      </c>
      <c r="E1044" s="57" t="s">
        <v>379</v>
      </c>
      <c r="F1044" s="2" t="s">
        <v>853</v>
      </c>
    </row>
    <row r="1045">
      <c r="A1045" s="55">
        <f t="shared" si="2"/>
        <v>1044</v>
      </c>
      <c r="B1045" s="56" t="s">
        <v>859</v>
      </c>
      <c r="C1045" s="55" t="s">
        <v>44</v>
      </c>
      <c r="D1045" s="55">
        <v>1126.0</v>
      </c>
      <c r="E1045" s="57" t="s">
        <v>379</v>
      </c>
      <c r="F1045" s="2" t="s">
        <v>858</v>
      </c>
    </row>
    <row r="1046">
      <c r="A1046" s="55">
        <f t="shared" si="2"/>
        <v>1045</v>
      </c>
      <c r="B1046" s="56" t="s">
        <v>859</v>
      </c>
      <c r="C1046" s="55" t="s">
        <v>51</v>
      </c>
      <c r="D1046" s="55">
        <v>1260.0</v>
      </c>
      <c r="E1046" s="57" t="s">
        <v>379</v>
      </c>
      <c r="F1046" s="2" t="s">
        <v>858</v>
      </c>
    </row>
    <row r="1047">
      <c r="A1047" s="55">
        <f t="shared" si="2"/>
        <v>1046</v>
      </c>
      <c r="B1047" s="56" t="s">
        <v>859</v>
      </c>
      <c r="C1047" s="55" t="s">
        <v>35</v>
      </c>
      <c r="D1047" s="55">
        <v>1186.0</v>
      </c>
      <c r="E1047" s="57" t="s">
        <v>379</v>
      </c>
      <c r="F1047" s="2" t="s">
        <v>858</v>
      </c>
    </row>
    <row r="1048">
      <c r="A1048" s="55">
        <f t="shared" si="2"/>
        <v>1047</v>
      </c>
      <c r="B1048" s="56" t="s">
        <v>859</v>
      </c>
      <c r="C1048" s="55" t="s">
        <v>31</v>
      </c>
      <c r="D1048" s="55">
        <v>1463.0</v>
      </c>
      <c r="E1048" s="57" t="s">
        <v>379</v>
      </c>
      <c r="F1048" s="2" t="s">
        <v>858</v>
      </c>
    </row>
    <row r="1049">
      <c r="A1049" s="55">
        <f t="shared" si="2"/>
        <v>1048</v>
      </c>
      <c r="B1049" s="56" t="s">
        <v>859</v>
      </c>
      <c r="C1049" s="55" t="s">
        <v>33</v>
      </c>
      <c r="D1049" s="55">
        <v>1380.0</v>
      </c>
      <c r="E1049" s="57" t="s">
        <v>379</v>
      </c>
      <c r="F1049" s="2" t="s">
        <v>858</v>
      </c>
    </row>
    <row r="1050">
      <c r="A1050" s="55">
        <f t="shared" si="2"/>
        <v>1049</v>
      </c>
      <c r="B1050" s="56" t="s">
        <v>859</v>
      </c>
      <c r="C1050" s="55" t="s">
        <v>42</v>
      </c>
      <c r="D1050" s="55">
        <v>1355.0</v>
      </c>
      <c r="E1050" s="57" t="s">
        <v>379</v>
      </c>
      <c r="F1050" s="2" t="s">
        <v>858</v>
      </c>
    </row>
    <row r="1051">
      <c r="A1051" s="55">
        <f t="shared" si="2"/>
        <v>1050</v>
      </c>
      <c r="B1051" s="56" t="s">
        <v>859</v>
      </c>
      <c r="C1051" s="55" t="s">
        <v>30</v>
      </c>
      <c r="D1051" s="55">
        <v>1257.0</v>
      </c>
      <c r="E1051" s="57" t="s">
        <v>379</v>
      </c>
      <c r="F1051" s="2" t="s">
        <v>858</v>
      </c>
    </row>
    <row r="1052">
      <c r="A1052" s="55">
        <f t="shared" si="2"/>
        <v>1051</v>
      </c>
      <c r="B1052" s="56" t="s">
        <v>864</v>
      </c>
      <c r="C1052" s="55" t="s">
        <v>42</v>
      </c>
      <c r="D1052" s="55">
        <v>1340.0</v>
      </c>
      <c r="E1052" s="57" t="s">
        <v>379</v>
      </c>
      <c r="F1052" s="2" t="s">
        <v>863</v>
      </c>
    </row>
    <row r="1053">
      <c r="A1053" s="55">
        <f t="shared" si="2"/>
        <v>1052</v>
      </c>
      <c r="B1053" s="56" t="s">
        <v>864</v>
      </c>
      <c r="C1053" s="55" t="s">
        <v>31</v>
      </c>
      <c r="D1053" s="55">
        <v>1448.0</v>
      </c>
      <c r="E1053" s="57" t="s">
        <v>379</v>
      </c>
      <c r="F1053" s="2" t="s">
        <v>863</v>
      </c>
    </row>
    <row r="1054">
      <c r="A1054" s="55">
        <f t="shared" si="2"/>
        <v>1053</v>
      </c>
      <c r="B1054" s="56" t="s">
        <v>864</v>
      </c>
      <c r="C1054" s="55" t="s">
        <v>51</v>
      </c>
      <c r="D1054" s="55">
        <v>1275.0</v>
      </c>
      <c r="E1054" s="57" t="s">
        <v>379</v>
      </c>
      <c r="F1054" s="2" t="s">
        <v>863</v>
      </c>
    </row>
    <row r="1055">
      <c r="A1055" s="55">
        <f t="shared" si="2"/>
        <v>1054</v>
      </c>
      <c r="B1055" s="56" t="s">
        <v>864</v>
      </c>
      <c r="C1055" s="55" t="s">
        <v>30</v>
      </c>
      <c r="D1055" s="55">
        <v>1234.0</v>
      </c>
      <c r="E1055" s="57" t="s">
        <v>379</v>
      </c>
      <c r="F1055" s="2" t="s">
        <v>863</v>
      </c>
    </row>
    <row r="1056">
      <c r="A1056" s="55">
        <f t="shared" si="2"/>
        <v>1055</v>
      </c>
      <c r="B1056" s="56" t="s">
        <v>864</v>
      </c>
      <c r="C1056" s="55" t="s">
        <v>35</v>
      </c>
      <c r="D1056" s="55">
        <v>1200.0</v>
      </c>
      <c r="E1056" s="57" t="s">
        <v>379</v>
      </c>
      <c r="F1056" s="2" t="s">
        <v>863</v>
      </c>
    </row>
    <row r="1057">
      <c r="A1057" s="55">
        <f t="shared" si="2"/>
        <v>1056</v>
      </c>
      <c r="B1057" s="56" t="s">
        <v>864</v>
      </c>
      <c r="C1057" s="55" t="s">
        <v>44</v>
      </c>
      <c r="D1057" s="55">
        <v>1140.0</v>
      </c>
      <c r="E1057" s="57" t="s">
        <v>379</v>
      </c>
      <c r="F1057" s="2" t="s">
        <v>863</v>
      </c>
    </row>
    <row r="1058">
      <c r="A1058" s="55">
        <f t="shared" si="2"/>
        <v>1057</v>
      </c>
      <c r="B1058" s="56" t="s">
        <v>864</v>
      </c>
      <c r="C1058" s="55" t="s">
        <v>33</v>
      </c>
      <c r="D1058" s="55">
        <v>1365.0</v>
      </c>
      <c r="E1058" s="57" t="s">
        <v>379</v>
      </c>
      <c r="F1058" s="2" t="s">
        <v>863</v>
      </c>
    </row>
    <row r="1059">
      <c r="A1059" s="55">
        <f t="shared" si="2"/>
        <v>1058</v>
      </c>
      <c r="B1059" s="56" t="s">
        <v>868</v>
      </c>
      <c r="C1059" s="55" t="s">
        <v>45</v>
      </c>
      <c r="D1059" s="55">
        <v>1160.0</v>
      </c>
      <c r="E1059" s="57" t="s">
        <v>379</v>
      </c>
      <c r="F1059" s="2" t="s">
        <v>867</v>
      </c>
    </row>
    <row r="1060">
      <c r="A1060" s="55">
        <f t="shared" si="2"/>
        <v>1059</v>
      </c>
      <c r="B1060" s="56" t="s">
        <v>868</v>
      </c>
      <c r="C1060" s="55" t="s">
        <v>35</v>
      </c>
      <c r="D1060" s="55">
        <v>1175.0</v>
      </c>
      <c r="E1060" s="57" t="s">
        <v>379</v>
      </c>
      <c r="F1060" s="2" t="s">
        <v>867</v>
      </c>
    </row>
    <row r="1061">
      <c r="A1061" s="55">
        <f t="shared" si="2"/>
        <v>1060</v>
      </c>
      <c r="B1061" s="56" t="s">
        <v>868</v>
      </c>
      <c r="C1061" s="55" t="s">
        <v>31</v>
      </c>
      <c r="D1061" s="55">
        <v>1463.0</v>
      </c>
      <c r="E1061" s="57" t="s">
        <v>379</v>
      </c>
      <c r="F1061" s="2" t="s">
        <v>867</v>
      </c>
    </row>
    <row r="1062">
      <c r="A1062" s="55">
        <f t="shared" si="2"/>
        <v>1061</v>
      </c>
      <c r="B1062" s="56" t="s">
        <v>868</v>
      </c>
      <c r="C1062" s="55" t="s">
        <v>33</v>
      </c>
      <c r="D1062" s="55">
        <v>1346.0</v>
      </c>
      <c r="E1062" s="57" t="s">
        <v>379</v>
      </c>
      <c r="F1062" s="2" t="s">
        <v>867</v>
      </c>
    </row>
    <row r="1063">
      <c r="A1063" s="55">
        <f t="shared" si="2"/>
        <v>1062</v>
      </c>
      <c r="B1063" s="56" t="s">
        <v>868</v>
      </c>
      <c r="C1063" s="55" t="s">
        <v>30</v>
      </c>
      <c r="D1063" s="55">
        <v>1206.0</v>
      </c>
      <c r="E1063" s="57" t="s">
        <v>379</v>
      </c>
      <c r="F1063" s="2" t="s">
        <v>867</v>
      </c>
    </row>
    <row r="1064">
      <c r="A1064" s="55">
        <f t="shared" si="2"/>
        <v>1063</v>
      </c>
      <c r="B1064" s="56" t="s">
        <v>868</v>
      </c>
      <c r="C1064" s="55" t="s">
        <v>26</v>
      </c>
      <c r="D1064" s="55">
        <v>1480.0</v>
      </c>
      <c r="E1064" s="57" t="s">
        <v>379</v>
      </c>
      <c r="F1064" s="2" t="s">
        <v>867</v>
      </c>
    </row>
    <row r="1065">
      <c r="A1065" s="55">
        <f t="shared" si="2"/>
        <v>1064</v>
      </c>
      <c r="B1065" s="56" t="s">
        <v>873</v>
      </c>
      <c r="C1065" s="55" t="s">
        <v>45</v>
      </c>
      <c r="D1065" s="55">
        <v>1170.0</v>
      </c>
      <c r="E1065" s="57" t="s">
        <v>379</v>
      </c>
      <c r="F1065" s="2" t="s">
        <v>872</v>
      </c>
    </row>
    <row r="1066">
      <c r="A1066" s="55">
        <f t="shared" si="2"/>
        <v>1065</v>
      </c>
      <c r="B1066" s="56" t="s">
        <v>873</v>
      </c>
      <c r="C1066" s="55" t="s">
        <v>30</v>
      </c>
      <c r="D1066" s="55">
        <v>1180.0</v>
      </c>
      <c r="E1066" s="57" t="s">
        <v>379</v>
      </c>
      <c r="F1066" s="2" t="s">
        <v>872</v>
      </c>
    </row>
    <row r="1067">
      <c r="A1067" s="55">
        <f t="shared" si="2"/>
        <v>1066</v>
      </c>
      <c r="B1067" s="56" t="s">
        <v>873</v>
      </c>
      <c r="C1067" s="55" t="s">
        <v>26</v>
      </c>
      <c r="D1067" s="55">
        <v>1464.0</v>
      </c>
      <c r="E1067" s="57" t="s">
        <v>379</v>
      </c>
      <c r="F1067" s="2" t="s">
        <v>872</v>
      </c>
    </row>
    <row r="1068">
      <c r="A1068" s="55">
        <f t="shared" si="2"/>
        <v>1067</v>
      </c>
      <c r="B1068" s="56" t="s">
        <v>873</v>
      </c>
      <c r="C1068" s="55" t="s">
        <v>31</v>
      </c>
      <c r="D1068" s="55">
        <v>1476.0</v>
      </c>
      <c r="E1068" s="57" t="s">
        <v>379</v>
      </c>
      <c r="F1068" s="2" t="s">
        <v>872</v>
      </c>
    </row>
    <row r="1069">
      <c r="A1069" s="55">
        <f t="shared" si="2"/>
        <v>1068</v>
      </c>
      <c r="B1069" s="56" t="s">
        <v>873</v>
      </c>
      <c r="C1069" s="55" t="s">
        <v>35</v>
      </c>
      <c r="D1069" s="55">
        <v>1185.0</v>
      </c>
      <c r="E1069" s="57" t="s">
        <v>379</v>
      </c>
      <c r="F1069" s="2" t="s">
        <v>872</v>
      </c>
    </row>
    <row r="1070">
      <c r="A1070" s="55">
        <f t="shared" si="2"/>
        <v>1069</v>
      </c>
      <c r="B1070" s="56" t="s">
        <v>873</v>
      </c>
      <c r="C1070" s="55" t="s">
        <v>33</v>
      </c>
      <c r="D1070" s="55">
        <v>1329.0</v>
      </c>
      <c r="E1070" s="57" t="s">
        <v>379</v>
      </c>
      <c r="F1070" s="2" t="s">
        <v>872</v>
      </c>
    </row>
    <row r="1071">
      <c r="A1071" s="55">
        <f t="shared" si="2"/>
        <v>1070</v>
      </c>
      <c r="B1071" s="56" t="s">
        <v>877</v>
      </c>
      <c r="C1071" s="55" t="s">
        <v>36</v>
      </c>
      <c r="D1071" s="55">
        <v>1251.0</v>
      </c>
      <c r="E1071" s="57" t="s">
        <v>379</v>
      </c>
      <c r="F1071" s="2" t="s">
        <v>876</v>
      </c>
    </row>
    <row r="1072">
      <c r="A1072" s="55">
        <f t="shared" si="2"/>
        <v>1071</v>
      </c>
      <c r="B1072" s="56" t="s">
        <v>877</v>
      </c>
      <c r="C1072" s="55" t="s">
        <v>26</v>
      </c>
      <c r="D1072" s="55">
        <v>1450.0</v>
      </c>
      <c r="E1072" s="57" t="s">
        <v>379</v>
      </c>
      <c r="F1072" s="2" t="s">
        <v>876</v>
      </c>
    </row>
    <row r="1073">
      <c r="A1073" s="55">
        <f t="shared" si="2"/>
        <v>1072</v>
      </c>
      <c r="B1073" s="56" t="s">
        <v>877</v>
      </c>
      <c r="C1073" s="55" t="s">
        <v>30</v>
      </c>
      <c r="D1073" s="55">
        <v>1196.0</v>
      </c>
      <c r="E1073" s="57" t="s">
        <v>379</v>
      </c>
      <c r="F1073" s="2" t="s">
        <v>876</v>
      </c>
    </row>
    <row r="1074">
      <c r="A1074" s="55">
        <f t="shared" si="2"/>
        <v>1073</v>
      </c>
      <c r="B1074" s="56" t="s">
        <v>877</v>
      </c>
      <c r="C1074" s="55" t="s">
        <v>31</v>
      </c>
      <c r="D1074" s="55">
        <v>1463.0</v>
      </c>
      <c r="E1074" s="57" t="s">
        <v>379</v>
      </c>
      <c r="F1074" s="2" t="s">
        <v>876</v>
      </c>
    </row>
    <row r="1075">
      <c r="A1075" s="55">
        <f t="shared" si="2"/>
        <v>1074</v>
      </c>
      <c r="B1075" s="56" t="s">
        <v>877</v>
      </c>
      <c r="C1075" s="55" t="s">
        <v>33</v>
      </c>
      <c r="D1075" s="55">
        <v>1314.0</v>
      </c>
      <c r="E1075" s="57" t="s">
        <v>379</v>
      </c>
      <c r="F1075" s="2" t="s">
        <v>876</v>
      </c>
    </row>
    <row r="1076">
      <c r="A1076" s="55">
        <f t="shared" si="2"/>
        <v>1075</v>
      </c>
      <c r="B1076" s="56" t="s">
        <v>877</v>
      </c>
      <c r="C1076" s="55" t="s">
        <v>28</v>
      </c>
      <c r="D1076" s="55">
        <v>1526.0</v>
      </c>
      <c r="E1076" s="57" t="s">
        <v>379</v>
      </c>
      <c r="F1076" s="2" t="s">
        <v>876</v>
      </c>
    </row>
    <row r="1077">
      <c r="A1077" s="55">
        <f t="shared" si="2"/>
        <v>1076</v>
      </c>
      <c r="B1077" s="56" t="s">
        <v>877</v>
      </c>
      <c r="C1077" s="55" t="s">
        <v>27</v>
      </c>
      <c r="D1077" s="55">
        <v>1479.0</v>
      </c>
      <c r="E1077" s="57" t="s">
        <v>379</v>
      </c>
      <c r="F1077" s="2" t="s">
        <v>876</v>
      </c>
    </row>
    <row r="1078">
      <c r="A1078" s="55">
        <f t="shared" si="2"/>
        <v>1077</v>
      </c>
      <c r="B1078" s="56" t="s">
        <v>881</v>
      </c>
      <c r="C1078" s="55" t="s">
        <v>26</v>
      </c>
      <c r="D1078" s="55">
        <v>1463.0</v>
      </c>
      <c r="E1078" s="57" t="s">
        <v>379</v>
      </c>
      <c r="F1078" s="2" t="s">
        <v>880</v>
      </c>
    </row>
    <row r="1079">
      <c r="A1079" s="55">
        <f t="shared" si="2"/>
        <v>1078</v>
      </c>
      <c r="B1079" s="56" t="s">
        <v>881</v>
      </c>
      <c r="C1079" s="55" t="s">
        <v>51</v>
      </c>
      <c r="D1079" s="55">
        <v>1288.0</v>
      </c>
      <c r="E1079" s="57" t="s">
        <v>379</v>
      </c>
      <c r="F1079" s="2" t="s">
        <v>880</v>
      </c>
    </row>
    <row r="1080">
      <c r="A1080" s="55">
        <f t="shared" si="2"/>
        <v>1079</v>
      </c>
      <c r="B1080" s="56" t="s">
        <v>881</v>
      </c>
      <c r="C1080" s="55" t="s">
        <v>30</v>
      </c>
      <c r="D1080" s="55">
        <v>1206.0</v>
      </c>
      <c r="E1080" s="57" t="s">
        <v>379</v>
      </c>
      <c r="F1080" s="2" t="s">
        <v>880</v>
      </c>
    </row>
    <row r="1081">
      <c r="A1081" s="55">
        <f t="shared" si="2"/>
        <v>1080</v>
      </c>
      <c r="B1081" s="56" t="s">
        <v>881</v>
      </c>
      <c r="C1081" s="55" t="s">
        <v>33</v>
      </c>
      <c r="D1081" s="55">
        <v>1295.0</v>
      </c>
      <c r="E1081" s="57" t="s">
        <v>379</v>
      </c>
      <c r="F1081" s="2" t="s">
        <v>880</v>
      </c>
    </row>
    <row r="1082">
      <c r="A1082" s="55">
        <f t="shared" si="2"/>
        <v>1081</v>
      </c>
      <c r="B1082" s="56" t="s">
        <v>881</v>
      </c>
      <c r="C1082" s="55" t="s">
        <v>28</v>
      </c>
      <c r="D1082" s="55">
        <v>1514.0</v>
      </c>
      <c r="E1082" s="57" t="s">
        <v>379</v>
      </c>
      <c r="F1082" s="2" t="s">
        <v>880</v>
      </c>
    </row>
    <row r="1083">
      <c r="A1083" s="55">
        <f t="shared" si="2"/>
        <v>1082</v>
      </c>
      <c r="B1083" s="56" t="s">
        <v>881</v>
      </c>
      <c r="C1083" s="55" t="s">
        <v>36</v>
      </c>
      <c r="D1083" s="55">
        <v>1262.0</v>
      </c>
      <c r="E1083" s="57" t="s">
        <v>379</v>
      </c>
      <c r="F1083" s="2" t="s">
        <v>880</v>
      </c>
    </row>
    <row r="1084">
      <c r="A1084" s="55">
        <f t="shared" si="2"/>
        <v>1083</v>
      </c>
      <c r="B1084" s="56" t="s">
        <v>881</v>
      </c>
      <c r="C1084" s="55" t="s">
        <v>31</v>
      </c>
      <c r="D1084" s="55">
        <v>1446.0</v>
      </c>
      <c r="E1084" s="57" t="s">
        <v>379</v>
      </c>
      <c r="F1084" s="2" t="s">
        <v>880</v>
      </c>
    </row>
    <row r="1085">
      <c r="A1085" s="55">
        <f t="shared" si="2"/>
        <v>1084</v>
      </c>
      <c r="B1085" s="56" t="s">
        <v>885</v>
      </c>
      <c r="C1085" s="55" t="s">
        <v>30</v>
      </c>
      <c r="D1085" s="55">
        <v>1218.0</v>
      </c>
      <c r="E1085" s="57" t="s">
        <v>379</v>
      </c>
      <c r="F1085" s="2" t="s">
        <v>884</v>
      </c>
    </row>
    <row r="1086">
      <c r="A1086" s="55">
        <f t="shared" si="2"/>
        <v>1085</v>
      </c>
      <c r="B1086" s="56" t="s">
        <v>885</v>
      </c>
      <c r="C1086" s="55" t="s">
        <v>28</v>
      </c>
      <c r="D1086" s="55">
        <v>1499.0</v>
      </c>
      <c r="E1086" s="57" t="s">
        <v>379</v>
      </c>
      <c r="F1086" s="2" t="s">
        <v>884</v>
      </c>
    </row>
    <row r="1087">
      <c r="A1087" s="55">
        <f t="shared" si="2"/>
        <v>1086</v>
      </c>
      <c r="B1087" s="56" t="s">
        <v>885</v>
      </c>
      <c r="C1087" s="55" t="s">
        <v>44</v>
      </c>
      <c r="D1087" s="55">
        <v>1113.0</v>
      </c>
      <c r="E1087" s="57" t="s">
        <v>379</v>
      </c>
      <c r="F1087" s="2" t="s">
        <v>884</v>
      </c>
    </row>
    <row r="1088">
      <c r="A1088" s="55">
        <f t="shared" si="2"/>
        <v>1087</v>
      </c>
      <c r="B1088" s="56" t="s">
        <v>885</v>
      </c>
      <c r="C1088" s="55" t="s">
        <v>51</v>
      </c>
      <c r="D1088" s="55">
        <v>1301.0</v>
      </c>
      <c r="E1088" s="57" t="s">
        <v>379</v>
      </c>
      <c r="F1088" s="2" t="s">
        <v>884</v>
      </c>
    </row>
    <row r="1089">
      <c r="A1089" s="55">
        <f t="shared" si="2"/>
        <v>1088</v>
      </c>
      <c r="B1089" s="56" t="s">
        <v>885</v>
      </c>
      <c r="C1089" s="55" t="s">
        <v>36</v>
      </c>
      <c r="D1089" s="55">
        <v>1239.0</v>
      </c>
      <c r="E1089" s="57" t="s">
        <v>379</v>
      </c>
      <c r="F1089" s="2" t="s">
        <v>884</v>
      </c>
    </row>
    <row r="1090">
      <c r="A1090" s="55">
        <f t="shared" si="2"/>
        <v>1089</v>
      </c>
      <c r="B1090" s="56" t="s">
        <v>885</v>
      </c>
      <c r="C1090" s="55" t="s">
        <v>33</v>
      </c>
      <c r="D1090" s="55">
        <v>1308.0</v>
      </c>
      <c r="E1090" s="57" t="s">
        <v>379</v>
      </c>
      <c r="F1090" s="2" t="s">
        <v>884</v>
      </c>
    </row>
    <row r="1091">
      <c r="A1091" s="55">
        <f t="shared" si="2"/>
        <v>1090</v>
      </c>
      <c r="B1091" s="56" t="s">
        <v>885</v>
      </c>
      <c r="C1091" s="55" t="s">
        <v>26</v>
      </c>
      <c r="D1091" s="55">
        <v>1477.0</v>
      </c>
      <c r="E1091" s="57" t="s">
        <v>379</v>
      </c>
      <c r="F1091" s="2" t="s">
        <v>884</v>
      </c>
    </row>
    <row r="1092">
      <c r="A1092" s="55">
        <f t="shared" si="2"/>
        <v>1091</v>
      </c>
      <c r="B1092" s="56" t="s">
        <v>890</v>
      </c>
      <c r="C1092" s="55" t="s">
        <v>44</v>
      </c>
      <c r="D1092" s="55">
        <v>1128.0</v>
      </c>
      <c r="E1092" s="57" t="s">
        <v>379</v>
      </c>
      <c r="F1092" s="2" t="s">
        <v>889</v>
      </c>
    </row>
    <row r="1093">
      <c r="A1093" s="55">
        <f t="shared" si="2"/>
        <v>1092</v>
      </c>
      <c r="B1093" s="56" t="s">
        <v>890</v>
      </c>
      <c r="C1093" s="55" t="s">
        <v>30</v>
      </c>
      <c r="D1093" s="55">
        <v>1234.0</v>
      </c>
      <c r="E1093" s="57" t="s">
        <v>379</v>
      </c>
      <c r="F1093" s="2" t="s">
        <v>889</v>
      </c>
    </row>
    <row r="1094">
      <c r="A1094" s="55">
        <f t="shared" si="2"/>
        <v>1093</v>
      </c>
      <c r="B1094" s="56" t="s">
        <v>890</v>
      </c>
      <c r="C1094" s="55" t="s">
        <v>26</v>
      </c>
      <c r="D1094" s="55">
        <v>1459.0</v>
      </c>
      <c r="E1094" s="57" t="s">
        <v>379</v>
      </c>
      <c r="F1094" s="2" t="s">
        <v>889</v>
      </c>
    </row>
    <row r="1095">
      <c r="A1095" s="55">
        <f t="shared" si="2"/>
        <v>1094</v>
      </c>
      <c r="B1095" s="56" t="s">
        <v>890</v>
      </c>
      <c r="C1095" s="55" t="s">
        <v>33</v>
      </c>
      <c r="D1095" s="55">
        <v>1287.0</v>
      </c>
      <c r="E1095" s="57" t="s">
        <v>379</v>
      </c>
      <c r="F1095" s="2" t="s">
        <v>889</v>
      </c>
    </row>
    <row r="1096">
      <c r="A1096" s="55">
        <f t="shared" si="2"/>
        <v>1095</v>
      </c>
      <c r="B1096" s="56" t="s">
        <v>890</v>
      </c>
      <c r="C1096" s="55" t="s">
        <v>28</v>
      </c>
      <c r="D1096" s="55">
        <v>1518.0</v>
      </c>
      <c r="E1096" s="57" t="s">
        <v>379</v>
      </c>
      <c r="F1096" s="2" t="s">
        <v>889</v>
      </c>
    </row>
    <row r="1097">
      <c r="A1097" s="55">
        <f t="shared" si="2"/>
        <v>1096</v>
      </c>
      <c r="B1097" s="56" t="s">
        <v>890</v>
      </c>
      <c r="C1097" s="55" t="s">
        <v>36</v>
      </c>
      <c r="D1097" s="55">
        <v>1216.0</v>
      </c>
      <c r="E1097" s="57" t="s">
        <v>379</v>
      </c>
      <c r="F1097" s="2" t="s">
        <v>889</v>
      </c>
    </row>
    <row r="1098">
      <c r="A1098" s="55">
        <f t="shared" si="2"/>
        <v>1097</v>
      </c>
      <c r="B1098" s="56" t="s">
        <v>890</v>
      </c>
      <c r="C1098" s="55" t="s">
        <v>51</v>
      </c>
      <c r="D1098" s="55">
        <v>1318.0</v>
      </c>
      <c r="E1098" s="57" t="s">
        <v>379</v>
      </c>
      <c r="F1098" s="2" t="s">
        <v>889</v>
      </c>
    </row>
    <row r="1099">
      <c r="A1099" s="55">
        <f t="shared" si="2"/>
        <v>1098</v>
      </c>
      <c r="B1099" s="56" t="s">
        <v>890</v>
      </c>
      <c r="C1099" s="55" t="s">
        <v>27</v>
      </c>
      <c r="D1099" s="55">
        <v>1465.0</v>
      </c>
      <c r="E1099" s="57" t="s">
        <v>379</v>
      </c>
      <c r="F1099" s="2" t="s">
        <v>889</v>
      </c>
    </row>
    <row r="1100">
      <c r="A1100" s="55">
        <f t="shared" si="2"/>
        <v>1099</v>
      </c>
      <c r="B1100" s="56" t="s">
        <v>895</v>
      </c>
      <c r="C1100" s="55" t="s">
        <v>36</v>
      </c>
      <c r="D1100" s="55">
        <v>1192.0</v>
      </c>
      <c r="E1100" s="57" t="s">
        <v>379</v>
      </c>
      <c r="F1100" s="2" t="s">
        <v>894</v>
      </c>
    </row>
    <row r="1101">
      <c r="A1101" s="55">
        <f t="shared" si="2"/>
        <v>1100</v>
      </c>
      <c r="B1101" s="56" t="s">
        <v>895</v>
      </c>
      <c r="C1101" s="55" t="s">
        <v>26</v>
      </c>
      <c r="D1101" s="55">
        <v>1475.0</v>
      </c>
      <c r="E1101" s="57" t="s">
        <v>379</v>
      </c>
      <c r="F1101" s="2" t="s">
        <v>894</v>
      </c>
    </row>
    <row r="1102">
      <c r="A1102" s="55">
        <f t="shared" si="2"/>
        <v>1101</v>
      </c>
      <c r="B1102" s="56" t="s">
        <v>895</v>
      </c>
      <c r="C1102" s="55" t="s">
        <v>28</v>
      </c>
      <c r="D1102" s="55">
        <v>1504.0</v>
      </c>
      <c r="E1102" s="57" t="s">
        <v>379</v>
      </c>
      <c r="F1102" s="2" t="s">
        <v>894</v>
      </c>
    </row>
    <row r="1103">
      <c r="A1103" s="55">
        <f t="shared" si="2"/>
        <v>1102</v>
      </c>
      <c r="B1103" s="56" t="s">
        <v>895</v>
      </c>
      <c r="C1103" s="55" t="s">
        <v>44</v>
      </c>
      <c r="D1103" s="55">
        <v>1140.0</v>
      </c>
      <c r="E1103" s="57" t="s">
        <v>379</v>
      </c>
      <c r="F1103" s="2" t="s">
        <v>894</v>
      </c>
    </row>
    <row r="1104">
      <c r="A1104" s="55">
        <f t="shared" si="2"/>
        <v>1103</v>
      </c>
      <c r="B1104" s="56" t="s">
        <v>895</v>
      </c>
      <c r="C1104" s="55" t="s">
        <v>33</v>
      </c>
      <c r="D1104" s="55">
        <v>1301.0</v>
      </c>
      <c r="E1104" s="57" t="s">
        <v>379</v>
      </c>
      <c r="F1104" s="2" t="s">
        <v>894</v>
      </c>
    </row>
    <row r="1105">
      <c r="A1105" s="55">
        <f t="shared" si="2"/>
        <v>1104</v>
      </c>
      <c r="B1105" s="56" t="s">
        <v>895</v>
      </c>
      <c r="C1105" s="55" t="s">
        <v>51</v>
      </c>
      <c r="D1105" s="55">
        <v>1298.0</v>
      </c>
      <c r="E1105" s="57" t="s">
        <v>379</v>
      </c>
      <c r="F1105" s="2" t="s">
        <v>894</v>
      </c>
    </row>
    <row r="1106">
      <c r="A1106" s="55">
        <f t="shared" si="2"/>
        <v>1105</v>
      </c>
      <c r="B1106" s="56" t="s">
        <v>895</v>
      </c>
      <c r="C1106" s="55" t="s">
        <v>27</v>
      </c>
      <c r="D1106" s="55">
        <v>1450.0</v>
      </c>
      <c r="E1106" s="57" t="s">
        <v>379</v>
      </c>
      <c r="F1106" s="2" t="s">
        <v>894</v>
      </c>
    </row>
    <row r="1107">
      <c r="A1107" s="55">
        <f t="shared" si="2"/>
        <v>1106</v>
      </c>
      <c r="B1107" s="56" t="s">
        <v>895</v>
      </c>
      <c r="C1107" s="55" t="s">
        <v>30</v>
      </c>
      <c r="D1107" s="55">
        <v>1247.0</v>
      </c>
      <c r="E1107" s="57" t="s">
        <v>379</v>
      </c>
      <c r="F1107" s="2" t="s">
        <v>894</v>
      </c>
    </row>
    <row r="1108">
      <c r="A1108" s="55">
        <f t="shared" si="2"/>
        <v>1107</v>
      </c>
      <c r="B1108" s="56" t="s">
        <v>899</v>
      </c>
      <c r="C1108" s="55" t="s">
        <v>44</v>
      </c>
      <c r="D1108" s="55">
        <v>1151.0</v>
      </c>
      <c r="E1108" s="57" t="s">
        <v>379</v>
      </c>
      <c r="F1108" s="2" t="s">
        <v>898</v>
      </c>
    </row>
    <row r="1109">
      <c r="A1109" s="55">
        <f t="shared" si="2"/>
        <v>1108</v>
      </c>
      <c r="B1109" s="56" t="s">
        <v>899</v>
      </c>
      <c r="C1109" s="55" t="s">
        <v>33</v>
      </c>
      <c r="D1109" s="55">
        <v>1278.0</v>
      </c>
      <c r="E1109" s="57" t="s">
        <v>379</v>
      </c>
      <c r="F1109" s="2" t="s">
        <v>898</v>
      </c>
    </row>
    <row r="1110">
      <c r="A1110" s="55">
        <f t="shared" si="2"/>
        <v>1109</v>
      </c>
      <c r="B1110" s="56" t="s">
        <v>899</v>
      </c>
      <c r="C1110" s="55" t="s">
        <v>51</v>
      </c>
      <c r="D1110" s="55">
        <v>1275.0</v>
      </c>
      <c r="E1110" s="57" t="s">
        <v>379</v>
      </c>
      <c r="F1110" s="2" t="s">
        <v>898</v>
      </c>
    </row>
    <row r="1111">
      <c r="A1111" s="55">
        <f t="shared" si="2"/>
        <v>1110</v>
      </c>
      <c r="B1111" s="56" t="s">
        <v>899</v>
      </c>
      <c r="C1111" s="55" t="s">
        <v>36</v>
      </c>
      <c r="D1111" s="55">
        <v>1204.0</v>
      </c>
      <c r="E1111" s="57" t="s">
        <v>379</v>
      </c>
      <c r="F1111" s="2" t="s">
        <v>898</v>
      </c>
    </row>
    <row r="1112">
      <c r="A1112" s="55">
        <f t="shared" si="2"/>
        <v>1111</v>
      </c>
      <c r="B1112" s="56" t="s">
        <v>899</v>
      </c>
      <c r="C1112" s="55" t="s">
        <v>28</v>
      </c>
      <c r="D1112" s="55">
        <v>1519.0</v>
      </c>
      <c r="E1112" s="57" t="s">
        <v>379</v>
      </c>
      <c r="F1112" s="2" t="s">
        <v>898</v>
      </c>
    </row>
    <row r="1113">
      <c r="A1113" s="55">
        <f t="shared" si="2"/>
        <v>1112</v>
      </c>
      <c r="B1113" s="56" t="s">
        <v>899</v>
      </c>
      <c r="C1113" s="55" t="s">
        <v>30</v>
      </c>
      <c r="D1113" s="55">
        <v>1218.0</v>
      </c>
      <c r="E1113" s="57" t="s">
        <v>379</v>
      </c>
      <c r="F1113" s="2" t="s">
        <v>898</v>
      </c>
    </row>
    <row r="1114">
      <c r="A1114" s="55">
        <f t="shared" si="2"/>
        <v>1113</v>
      </c>
      <c r="B1114" s="56" t="s">
        <v>899</v>
      </c>
      <c r="C1114" s="55" t="s">
        <v>26</v>
      </c>
      <c r="D1114" s="55">
        <v>1489.0</v>
      </c>
      <c r="E1114" s="57" t="s">
        <v>379</v>
      </c>
      <c r="F1114" s="2" t="s">
        <v>898</v>
      </c>
    </row>
    <row r="1115">
      <c r="A1115" s="55">
        <f t="shared" si="2"/>
        <v>1114</v>
      </c>
      <c r="B1115" s="56" t="s">
        <v>899</v>
      </c>
      <c r="C1115" s="55" t="s">
        <v>27</v>
      </c>
      <c r="D1115" s="55">
        <v>1432.0</v>
      </c>
      <c r="E1115" s="57" t="s">
        <v>379</v>
      </c>
      <c r="F1115" s="2" t="s">
        <v>898</v>
      </c>
    </row>
    <row r="1116">
      <c r="A1116" s="55">
        <f t="shared" si="2"/>
        <v>1115</v>
      </c>
      <c r="B1116" s="56" t="s">
        <v>903</v>
      </c>
      <c r="C1116" s="55" t="s">
        <v>28</v>
      </c>
      <c r="D1116" s="55">
        <v>1507.0</v>
      </c>
      <c r="E1116" s="57" t="s">
        <v>379</v>
      </c>
      <c r="F1116" s="2" t="s">
        <v>902</v>
      </c>
    </row>
    <row r="1117">
      <c r="A1117" s="55">
        <f t="shared" si="2"/>
        <v>1116</v>
      </c>
      <c r="B1117" s="56" t="s">
        <v>903</v>
      </c>
      <c r="C1117" s="55" t="s">
        <v>45</v>
      </c>
      <c r="D1117" s="55">
        <v>1186.0</v>
      </c>
      <c r="E1117" s="57" t="s">
        <v>379</v>
      </c>
      <c r="F1117" s="2" t="s">
        <v>902</v>
      </c>
    </row>
    <row r="1118">
      <c r="A1118" s="55">
        <f t="shared" si="2"/>
        <v>1117</v>
      </c>
      <c r="B1118" s="56" t="s">
        <v>903</v>
      </c>
      <c r="C1118" s="55" t="s">
        <v>26</v>
      </c>
      <c r="D1118" s="55">
        <v>1473.0</v>
      </c>
      <c r="E1118" s="57" t="s">
        <v>379</v>
      </c>
      <c r="F1118" s="2" t="s">
        <v>902</v>
      </c>
    </row>
    <row r="1119">
      <c r="A1119" s="55">
        <f t="shared" si="2"/>
        <v>1118</v>
      </c>
      <c r="B1119" s="56" t="s">
        <v>903</v>
      </c>
      <c r="C1119" s="55" t="s">
        <v>36</v>
      </c>
      <c r="D1119" s="55">
        <v>1218.0</v>
      </c>
      <c r="E1119" s="57" t="s">
        <v>379</v>
      </c>
      <c r="F1119" s="2" t="s">
        <v>902</v>
      </c>
    </row>
    <row r="1120">
      <c r="A1120" s="55">
        <f t="shared" si="2"/>
        <v>1119</v>
      </c>
      <c r="B1120" s="56" t="s">
        <v>903</v>
      </c>
      <c r="C1120" s="55" t="s">
        <v>31</v>
      </c>
      <c r="D1120" s="55">
        <v>1425.0</v>
      </c>
      <c r="E1120" s="57" t="s">
        <v>379</v>
      </c>
      <c r="F1120" s="2" t="s">
        <v>902</v>
      </c>
    </row>
    <row r="1121">
      <c r="A1121" s="55">
        <f t="shared" si="2"/>
        <v>1120</v>
      </c>
      <c r="B1121" s="56" t="s">
        <v>903</v>
      </c>
      <c r="C1121" s="55" t="s">
        <v>35</v>
      </c>
      <c r="D1121" s="55">
        <v>1165.0</v>
      </c>
      <c r="E1121" s="57" t="s">
        <v>379</v>
      </c>
      <c r="F1121" s="2" t="s">
        <v>902</v>
      </c>
    </row>
    <row r="1122">
      <c r="A1122" s="55">
        <f t="shared" si="2"/>
        <v>1121</v>
      </c>
      <c r="B1122" s="56" t="s">
        <v>903</v>
      </c>
      <c r="C1122" s="55" t="s">
        <v>39</v>
      </c>
      <c r="D1122" s="55">
        <v>1459.0</v>
      </c>
      <c r="E1122" s="57" t="s">
        <v>379</v>
      </c>
      <c r="F1122" s="2" t="s">
        <v>902</v>
      </c>
    </row>
    <row r="1123">
      <c r="A1123" s="55">
        <f t="shared" si="2"/>
        <v>1122</v>
      </c>
      <c r="B1123" s="56" t="s">
        <v>903</v>
      </c>
      <c r="C1123" s="55" t="s">
        <v>24</v>
      </c>
      <c r="D1123" s="55">
        <v>1478.0</v>
      </c>
      <c r="E1123" s="57" t="s">
        <v>379</v>
      </c>
      <c r="F1123" s="2" t="s">
        <v>902</v>
      </c>
    </row>
    <row r="1124">
      <c r="A1124" s="55">
        <f t="shared" si="2"/>
        <v>1123</v>
      </c>
      <c r="B1124" s="56" t="s">
        <v>908</v>
      </c>
      <c r="C1124" s="55" t="s">
        <v>39</v>
      </c>
      <c r="D1124" s="55">
        <v>1437.0</v>
      </c>
      <c r="E1124" s="57" t="s">
        <v>379</v>
      </c>
      <c r="F1124" s="2" t="s">
        <v>907</v>
      </c>
    </row>
    <row r="1125">
      <c r="A1125" s="55">
        <f t="shared" si="2"/>
        <v>1124</v>
      </c>
      <c r="B1125" s="56" t="s">
        <v>908</v>
      </c>
      <c r="C1125" s="55" t="s">
        <v>35</v>
      </c>
      <c r="D1125" s="55">
        <v>1137.0</v>
      </c>
      <c r="E1125" s="57" t="s">
        <v>379</v>
      </c>
      <c r="F1125" s="2" t="s">
        <v>907</v>
      </c>
    </row>
    <row r="1126">
      <c r="A1126" s="55">
        <f t="shared" si="2"/>
        <v>1125</v>
      </c>
      <c r="B1126" s="56" t="s">
        <v>908</v>
      </c>
      <c r="C1126" s="55" t="s">
        <v>36</v>
      </c>
      <c r="D1126" s="55">
        <v>1234.0</v>
      </c>
      <c r="E1126" s="57" t="s">
        <v>379</v>
      </c>
      <c r="F1126" s="2" t="s">
        <v>907</v>
      </c>
    </row>
    <row r="1127">
      <c r="A1127" s="55">
        <f t="shared" si="2"/>
        <v>1126</v>
      </c>
      <c r="B1127" s="56" t="s">
        <v>908</v>
      </c>
      <c r="C1127" s="55" t="s">
        <v>26</v>
      </c>
      <c r="D1127" s="55">
        <v>1493.0</v>
      </c>
      <c r="E1127" s="57" t="s">
        <v>379</v>
      </c>
      <c r="F1127" s="2" t="s">
        <v>907</v>
      </c>
    </row>
    <row r="1128">
      <c r="A1128" s="55">
        <f t="shared" si="2"/>
        <v>1127</v>
      </c>
      <c r="B1128" s="56" t="s">
        <v>908</v>
      </c>
      <c r="C1128" s="55" t="s">
        <v>24</v>
      </c>
      <c r="D1128" s="55">
        <v>1457.0</v>
      </c>
      <c r="E1128" s="57" t="s">
        <v>379</v>
      </c>
      <c r="F1128" s="2" t="s">
        <v>907</v>
      </c>
    </row>
    <row r="1129">
      <c r="A1129" s="55">
        <f t="shared" si="2"/>
        <v>1128</v>
      </c>
      <c r="B1129" s="56" t="s">
        <v>908</v>
      </c>
      <c r="C1129" s="55" t="s">
        <v>31</v>
      </c>
      <c r="D1129" s="55">
        <v>1402.0</v>
      </c>
      <c r="E1129" s="57" t="s">
        <v>379</v>
      </c>
      <c r="F1129" s="2" t="s">
        <v>907</v>
      </c>
    </row>
    <row r="1130">
      <c r="A1130" s="55">
        <f t="shared" si="2"/>
        <v>1129</v>
      </c>
      <c r="B1130" s="56" t="s">
        <v>913</v>
      </c>
      <c r="C1130" s="55" t="s">
        <v>31</v>
      </c>
      <c r="D1130" s="55">
        <v>1385.0</v>
      </c>
      <c r="E1130" s="57" t="s">
        <v>379</v>
      </c>
      <c r="F1130" s="2" t="s">
        <v>912</v>
      </c>
    </row>
    <row r="1131">
      <c r="A1131" s="55">
        <f t="shared" si="2"/>
        <v>1130</v>
      </c>
      <c r="B1131" s="56" t="s">
        <v>913</v>
      </c>
      <c r="C1131" s="55" t="s">
        <v>35</v>
      </c>
      <c r="D1131" s="55">
        <v>1149.0</v>
      </c>
      <c r="E1131" s="57" t="s">
        <v>379</v>
      </c>
      <c r="F1131" s="2" t="s">
        <v>912</v>
      </c>
    </row>
    <row r="1132">
      <c r="A1132" s="55">
        <f t="shared" si="2"/>
        <v>1131</v>
      </c>
      <c r="B1132" s="56" t="s">
        <v>913</v>
      </c>
      <c r="C1132" s="55" t="s">
        <v>36</v>
      </c>
      <c r="D1132" s="55">
        <v>1214.0</v>
      </c>
      <c r="E1132" s="57" t="s">
        <v>379</v>
      </c>
      <c r="F1132" s="2" t="s">
        <v>912</v>
      </c>
    </row>
    <row r="1133">
      <c r="A1133" s="55">
        <f t="shared" si="2"/>
        <v>1132</v>
      </c>
      <c r="B1133" s="56" t="s">
        <v>913</v>
      </c>
      <c r="C1133" s="55" t="s">
        <v>39</v>
      </c>
      <c r="D1133" s="55">
        <v>1452.0</v>
      </c>
      <c r="E1133" s="57" t="s">
        <v>379</v>
      </c>
      <c r="F1133" s="2" t="s">
        <v>912</v>
      </c>
    </row>
    <row r="1134">
      <c r="A1134" s="55">
        <f t="shared" si="2"/>
        <v>1133</v>
      </c>
      <c r="B1134" s="56" t="s">
        <v>913</v>
      </c>
      <c r="C1134" s="55" t="s">
        <v>26</v>
      </c>
      <c r="D1134" s="55">
        <v>1479.0</v>
      </c>
      <c r="E1134" s="57" t="s">
        <v>379</v>
      </c>
      <c r="F1134" s="2" t="s">
        <v>912</v>
      </c>
    </row>
    <row r="1135">
      <c r="A1135" s="55">
        <f t="shared" si="2"/>
        <v>1134</v>
      </c>
      <c r="B1135" s="56" t="s">
        <v>913</v>
      </c>
      <c r="C1135" s="55" t="s">
        <v>24</v>
      </c>
      <c r="D1135" s="55">
        <v>1442.0</v>
      </c>
      <c r="E1135" s="57" t="s">
        <v>379</v>
      </c>
      <c r="F1135" s="2" t="s">
        <v>912</v>
      </c>
    </row>
    <row r="1136">
      <c r="A1136" s="55">
        <f t="shared" si="2"/>
        <v>1135</v>
      </c>
      <c r="B1136" s="56" t="s">
        <v>917</v>
      </c>
      <c r="C1136" s="55" t="s">
        <v>36</v>
      </c>
      <c r="D1136" s="55">
        <v>1224.0</v>
      </c>
      <c r="E1136" s="57" t="s">
        <v>379</v>
      </c>
      <c r="F1136" s="2" t="s">
        <v>916</v>
      </c>
    </row>
    <row r="1137">
      <c r="A1137" s="55">
        <f t="shared" si="2"/>
        <v>1136</v>
      </c>
      <c r="B1137" s="56" t="s">
        <v>917</v>
      </c>
      <c r="C1137" s="55" t="s">
        <v>39</v>
      </c>
      <c r="D1137" s="55">
        <v>1436.0</v>
      </c>
      <c r="E1137" s="57" t="s">
        <v>379</v>
      </c>
      <c r="F1137" s="2" t="s">
        <v>916</v>
      </c>
    </row>
    <row r="1138">
      <c r="A1138" s="55">
        <f t="shared" si="2"/>
        <v>1137</v>
      </c>
      <c r="B1138" s="56" t="s">
        <v>917</v>
      </c>
      <c r="C1138" s="55" t="s">
        <v>24</v>
      </c>
      <c r="D1138" s="55">
        <v>1425.0</v>
      </c>
      <c r="E1138" s="57" t="s">
        <v>379</v>
      </c>
      <c r="F1138" s="2" t="s">
        <v>916</v>
      </c>
    </row>
    <row r="1139">
      <c r="A1139" s="55">
        <f t="shared" si="2"/>
        <v>1138</v>
      </c>
      <c r="B1139" s="56" t="s">
        <v>917</v>
      </c>
      <c r="C1139" s="55" t="s">
        <v>51</v>
      </c>
      <c r="D1139" s="55">
        <v>1290.0</v>
      </c>
      <c r="E1139" s="57" t="s">
        <v>379</v>
      </c>
      <c r="F1139" s="2" t="s">
        <v>916</v>
      </c>
    </row>
    <row r="1140">
      <c r="A1140" s="55">
        <f t="shared" si="2"/>
        <v>1139</v>
      </c>
      <c r="B1140" s="56" t="s">
        <v>917</v>
      </c>
      <c r="C1140" s="55" t="s">
        <v>28</v>
      </c>
      <c r="D1140" s="55">
        <v>1527.0</v>
      </c>
      <c r="E1140" s="57" t="s">
        <v>379</v>
      </c>
      <c r="F1140" s="2" t="s">
        <v>916</v>
      </c>
    </row>
    <row r="1141">
      <c r="A1141" s="55">
        <f t="shared" si="2"/>
        <v>1140</v>
      </c>
      <c r="B1141" s="56" t="s">
        <v>917</v>
      </c>
      <c r="C1141" s="55" t="s">
        <v>26</v>
      </c>
      <c r="D1141" s="55">
        <v>1463.0</v>
      </c>
      <c r="E1141" s="57" t="s">
        <v>379</v>
      </c>
      <c r="F1141" s="2" t="s">
        <v>916</v>
      </c>
    </row>
    <row r="1142">
      <c r="A1142" s="55">
        <f t="shared" si="2"/>
        <v>1141</v>
      </c>
      <c r="B1142" s="56" t="s">
        <v>917</v>
      </c>
      <c r="C1142" s="55" t="s">
        <v>35</v>
      </c>
      <c r="D1142" s="55">
        <v>1158.0</v>
      </c>
      <c r="E1142" s="57" t="s">
        <v>379</v>
      </c>
      <c r="F1142" s="2" t="s">
        <v>916</v>
      </c>
    </row>
    <row r="1143">
      <c r="A1143" s="55">
        <f t="shared" si="2"/>
        <v>1142</v>
      </c>
      <c r="B1143" s="56" t="s">
        <v>922</v>
      </c>
      <c r="C1143" s="55" t="s">
        <v>26</v>
      </c>
      <c r="D1143" s="55">
        <v>1442.0</v>
      </c>
      <c r="E1143" s="57" t="s">
        <v>379</v>
      </c>
      <c r="F1143" s="2" t="s">
        <v>921</v>
      </c>
    </row>
    <row r="1144">
      <c r="A1144" s="55">
        <f t="shared" si="2"/>
        <v>1143</v>
      </c>
      <c r="B1144" s="56" t="s">
        <v>922</v>
      </c>
      <c r="C1144" s="55" t="s">
        <v>51</v>
      </c>
      <c r="D1144" s="55">
        <v>1301.0</v>
      </c>
      <c r="E1144" s="57" t="s">
        <v>379</v>
      </c>
      <c r="F1144" s="2" t="s">
        <v>921</v>
      </c>
    </row>
    <row r="1145">
      <c r="A1145" s="55">
        <f t="shared" si="2"/>
        <v>1144</v>
      </c>
      <c r="B1145" s="56" t="s">
        <v>922</v>
      </c>
      <c r="C1145" s="55" t="s">
        <v>28</v>
      </c>
      <c r="D1145" s="55">
        <v>1512.0</v>
      </c>
      <c r="E1145" s="57" t="s">
        <v>379</v>
      </c>
      <c r="F1145" s="2" t="s">
        <v>921</v>
      </c>
    </row>
    <row r="1146">
      <c r="A1146" s="55">
        <f t="shared" si="2"/>
        <v>1145</v>
      </c>
      <c r="B1146" s="56" t="s">
        <v>922</v>
      </c>
      <c r="C1146" s="55" t="s">
        <v>42</v>
      </c>
      <c r="D1146" s="55">
        <v>1354.0</v>
      </c>
      <c r="E1146" s="57" t="s">
        <v>379</v>
      </c>
      <c r="F1146" s="2" t="s">
        <v>921</v>
      </c>
    </row>
    <row r="1147">
      <c r="A1147" s="55">
        <f t="shared" si="2"/>
        <v>1146</v>
      </c>
      <c r="B1147" s="56" t="s">
        <v>922</v>
      </c>
      <c r="C1147" s="55" t="s">
        <v>35</v>
      </c>
      <c r="D1147" s="55">
        <v>1130.0</v>
      </c>
      <c r="E1147" s="57" t="s">
        <v>379</v>
      </c>
      <c r="F1147" s="2" t="s">
        <v>921</v>
      </c>
    </row>
    <row r="1148">
      <c r="A1148" s="55">
        <f t="shared" si="2"/>
        <v>1147</v>
      </c>
      <c r="B1148" s="56" t="s">
        <v>922</v>
      </c>
      <c r="C1148" s="55" t="s">
        <v>39</v>
      </c>
      <c r="D1148" s="55">
        <v>1448.0</v>
      </c>
      <c r="E1148" s="57" t="s">
        <v>379</v>
      </c>
      <c r="F1148" s="2" t="s">
        <v>921</v>
      </c>
    </row>
    <row r="1149">
      <c r="A1149" s="55">
        <f t="shared" si="2"/>
        <v>1148</v>
      </c>
      <c r="B1149" s="56" t="s">
        <v>922</v>
      </c>
      <c r="C1149" s="55" t="s">
        <v>36</v>
      </c>
      <c r="D1149" s="55">
        <v>1234.0</v>
      </c>
      <c r="E1149" s="57" t="s">
        <v>379</v>
      </c>
      <c r="F1149" s="2" t="s">
        <v>921</v>
      </c>
    </row>
    <row r="1150">
      <c r="A1150" s="55">
        <f t="shared" si="2"/>
        <v>1149</v>
      </c>
      <c r="B1150" s="56" t="s">
        <v>926</v>
      </c>
      <c r="C1150" s="55" t="s">
        <v>36</v>
      </c>
      <c r="D1150" s="55">
        <v>1207.0</v>
      </c>
      <c r="E1150" s="57" t="s">
        <v>379</v>
      </c>
      <c r="F1150" s="2" t="s">
        <v>925</v>
      </c>
    </row>
    <row r="1151">
      <c r="A1151" s="55">
        <f t="shared" si="2"/>
        <v>1150</v>
      </c>
      <c r="B1151" s="56" t="s">
        <v>926</v>
      </c>
      <c r="C1151" s="55" t="s">
        <v>26</v>
      </c>
      <c r="D1151" s="55">
        <v>1457.0</v>
      </c>
      <c r="E1151" s="57" t="s">
        <v>379</v>
      </c>
      <c r="F1151" s="2" t="s">
        <v>925</v>
      </c>
    </row>
    <row r="1152">
      <c r="A1152" s="55">
        <f t="shared" si="2"/>
        <v>1151</v>
      </c>
      <c r="B1152" s="56" t="s">
        <v>926</v>
      </c>
      <c r="C1152" s="55" t="s">
        <v>42</v>
      </c>
      <c r="D1152" s="55">
        <v>1368.0</v>
      </c>
      <c r="E1152" s="57" t="s">
        <v>379</v>
      </c>
      <c r="F1152" s="2" t="s">
        <v>925</v>
      </c>
    </row>
    <row r="1153">
      <c r="A1153" s="55">
        <f t="shared" si="2"/>
        <v>1152</v>
      </c>
      <c r="B1153" s="56" t="s">
        <v>926</v>
      </c>
      <c r="C1153" s="55" t="s">
        <v>28</v>
      </c>
      <c r="D1153" s="55">
        <v>1528.0</v>
      </c>
      <c r="E1153" s="57" t="s">
        <v>379</v>
      </c>
      <c r="F1153" s="2" t="s">
        <v>925</v>
      </c>
    </row>
    <row r="1154">
      <c r="A1154" s="55">
        <f t="shared" si="2"/>
        <v>1153</v>
      </c>
      <c r="B1154" s="56" t="s">
        <v>926</v>
      </c>
      <c r="C1154" s="55" t="s">
        <v>39</v>
      </c>
      <c r="D1154" s="55">
        <v>1424.0</v>
      </c>
      <c r="E1154" s="57" t="s">
        <v>379</v>
      </c>
      <c r="F1154" s="2" t="s">
        <v>925</v>
      </c>
    </row>
    <row r="1155">
      <c r="A1155" s="55">
        <f t="shared" si="2"/>
        <v>1154</v>
      </c>
      <c r="B1155" s="56" t="s">
        <v>926</v>
      </c>
      <c r="C1155" s="55" t="s">
        <v>35</v>
      </c>
      <c r="D1155" s="55">
        <v>1100.0</v>
      </c>
      <c r="E1155" s="57" t="s">
        <v>379</v>
      </c>
      <c r="F1155" s="2" t="s">
        <v>925</v>
      </c>
    </row>
    <row r="1156">
      <c r="A1156" s="55">
        <f t="shared" si="2"/>
        <v>1155</v>
      </c>
      <c r="B1156" s="56" t="s">
        <v>926</v>
      </c>
      <c r="C1156" s="55" t="s">
        <v>51</v>
      </c>
      <c r="D1156" s="55">
        <v>1315.0</v>
      </c>
      <c r="E1156" s="57" t="s">
        <v>379</v>
      </c>
      <c r="F1156" s="2" t="s">
        <v>925</v>
      </c>
    </row>
    <row r="1157">
      <c r="A1157" s="55">
        <f t="shared" si="2"/>
        <v>1156</v>
      </c>
      <c r="B1157" s="56" t="s">
        <v>930</v>
      </c>
      <c r="C1157" s="55" t="s">
        <v>30</v>
      </c>
      <c r="D1157" s="55">
        <v>1192.0</v>
      </c>
      <c r="E1157" s="57" t="s">
        <v>379</v>
      </c>
      <c r="F1157" s="2" t="s">
        <v>929</v>
      </c>
    </row>
    <row r="1158">
      <c r="A1158" s="55">
        <f t="shared" si="2"/>
        <v>1157</v>
      </c>
      <c r="B1158" s="56" t="s">
        <v>930</v>
      </c>
      <c r="C1158" s="55" t="s">
        <v>27</v>
      </c>
      <c r="D1158" s="55">
        <v>1417.0</v>
      </c>
      <c r="E1158" s="57" t="s">
        <v>379</v>
      </c>
      <c r="F1158" s="2" t="s">
        <v>929</v>
      </c>
    </row>
    <row r="1159">
      <c r="A1159" s="55">
        <f t="shared" si="2"/>
        <v>1158</v>
      </c>
      <c r="B1159" s="56" t="s">
        <v>930</v>
      </c>
      <c r="C1159" s="55" t="s">
        <v>45</v>
      </c>
      <c r="D1159" s="55">
        <v>1202.0</v>
      </c>
      <c r="E1159" s="57" t="s">
        <v>379</v>
      </c>
      <c r="F1159" s="2" t="s">
        <v>929</v>
      </c>
    </row>
    <row r="1160">
      <c r="A1160" s="55">
        <f t="shared" si="2"/>
        <v>1159</v>
      </c>
      <c r="B1160" s="56" t="s">
        <v>930</v>
      </c>
      <c r="C1160" s="55" t="s">
        <v>33</v>
      </c>
      <c r="D1160" s="55">
        <v>1293.0</v>
      </c>
      <c r="E1160" s="57" t="s">
        <v>379</v>
      </c>
      <c r="F1160" s="2" t="s">
        <v>929</v>
      </c>
    </row>
    <row r="1161">
      <c r="A1161" s="55">
        <f t="shared" si="2"/>
        <v>1160</v>
      </c>
      <c r="B1161" s="56" t="s">
        <v>930</v>
      </c>
      <c r="C1161" s="55" t="s">
        <v>39</v>
      </c>
      <c r="D1161" s="55">
        <v>1404.0</v>
      </c>
      <c r="E1161" s="57" t="s">
        <v>379</v>
      </c>
      <c r="F1161" s="2" t="s">
        <v>929</v>
      </c>
    </row>
    <row r="1162">
      <c r="A1162" s="55">
        <f t="shared" si="2"/>
        <v>1161</v>
      </c>
      <c r="B1162" s="56" t="s">
        <v>930</v>
      </c>
      <c r="C1162" s="55" t="s">
        <v>31</v>
      </c>
      <c r="D1162" s="55">
        <v>1396.0</v>
      </c>
      <c r="E1162" s="57" t="s">
        <v>379</v>
      </c>
      <c r="F1162" s="2" t="s">
        <v>929</v>
      </c>
    </row>
    <row r="1163">
      <c r="A1163" s="55">
        <f t="shared" si="2"/>
        <v>1162</v>
      </c>
      <c r="B1163" s="56" t="s">
        <v>930</v>
      </c>
      <c r="C1163" s="55" t="s">
        <v>26</v>
      </c>
      <c r="D1163" s="55">
        <v>1471.0</v>
      </c>
      <c r="E1163" s="57" t="s">
        <v>379</v>
      </c>
      <c r="F1163" s="2" t="s">
        <v>929</v>
      </c>
    </row>
    <row r="1164">
      <c r="A1164" s="55">
        <f t="shared" si="2"/>
        <v>1163</v>
      </c>
      <c r="B1164" s="56" t="s">
        <v>934</v>
      </c>
      <c r="C1164" s="55" t="s">
        <v>31</v>
      </c>
      <c r="D1164" s="55">
        <v>1375.0</v>
      </c>
      <c r="E1164" s="57" t="s">
        <v>379</v>
      </c>
      <c r="F1164" s="2" t="s">
        <v>933</v>
      </c>
    </row>
    <row r="1165">
      <c r="A1165" s="55">
        <f t="shared" si="2"/>
        <v>1164</v>
      </c>
      <c r="B1165" s="56" t="s">
        <v>934</v>
      </c>
      <c r="C1165" s="55" t="s">
        <v>33</v>
      </c>
      <c r="D1165" s="55">
        <v>1309.0</v>
      </c>
      <c r="E1165" s="57" t="s">
        <v>379</v>
      </c>
      <c r="F1165" s="2" t="s">
        <v>933</v>
      </c>
    </row>
    <row r="1166">
      <c r="A1166" s="55">
        <f t="shared" si="2"/>
        <v>1165</v>
      </c>
      <c r="B1166" s="56" t="s">
        <v>934</v>
      </c>
      <c r="C1166" s="55" t="s">
        <v>27</v>
      </c>
      <c r="D1166" s="55">
        <v>1435.0</v>
      </c>
      <c r="E1166" s="57" t="s">
        <v>379</v>
      </c>
      <c r="F1166" s="2" t="s">
        <v>933</v>
      </c>
    </row>
    <row r="1167">
      <c r="A1167" s="55">
        <f t="shared" si="2"/>
        <v>1166</v>
      </c>
      <c r="B1167" s="56" t="s">
        <v>934</v>
      </c>
      <c r="C1167" s="55" t="s">
        <v>45</v>
      </c>
      <c r="D1167" s="55">
        <v>1217.0</v>
      </c>
      <c r="E1167" s="57" t="s">
        <v>379</v>
      </c>
      <c r="F1167" s="2" t="s">
        <v>933</v>
      </c>
    </row>
    <row r="1168">
      <c r="A1168" s="55">
        <f t="shared" si="2"/>
        <v>1167</v>
      </c>
      <c r="B1168" s="56" t="s">
        <v>934</v>
      </c>
      <c r="C1168" s="55" t="s">
        <v>26</v>
      </c>
      <c r="D1168" s="55">
        <v>1453.0</v>
      </c>
      <c r="E1168" s="57" t="s">
        <v>379</v>
      </c>
      <c r="F1168" s="2" t="s">
        <v>933</v>
      </c>
    </row>
    <row r="1169">
      <c r="A1169" s="55">
        <f t="shared" si="2"/>
        <v>1168</v>
      </c>
      <c r="B1169" s="56" t="s">
        <v>934</v>
      </c>
      <c r="C1169" s="55" t="s">
        <v>39</v>
      </c>
      <c r="D1169" s="55">
        <v>1383.0</v>
      </c>
      <c r="E1169" s="57" t="s">
        <v>379</v>
      </c>
      <c r="F1169" s="2" t="s">
        <v>933</v>
      </c>
    </row>
    <row r="1170">
      <c r="A1170" s="55">
        <f t="shared" si="2"/>
        <v>1169</v>
      </c>
      <c r="B1170" s="56" t="s">
        <v>934</v>
      </c>
      <c r="C1170" s="55" t="s">
        <v>30</v>
      </c>
      <c r="D1170" s="55">
        <v>1207.0</v>
      </c>
      <c r="E1170" s="57" t="s">
        <v>379</v>
      </c>
      <c r="F1170" s="2" t="s">
        <v>933</v>
      </c>
    </row>
    <row r="1171">
      <c r="A1171" s="55">
        <f t="shared" si="2"/>
        <v>1170</v>
      </c>
      <c r="B1171" s="56" t="s">
        <v>939</v>
      </c>
      <c r="C1171" s="55" t="s">
        <v>30</v>
      </c>
      <c r="D1171" s="55">
        <v>1178.0</v>
      </c>
      <c r="E1171" s="57" t="s">
        <v>379</v>
      </c>
      <c r="F1171" s="2" t="s">
        <v>938</v>
      </c>
    </row>
    <row r="1172">
      <c r="A1172" s="55">
        <f t="shared" si="2"/>
        <v>1171</v>
      </c>
      <c r="B1172" s="56" t="s">
        <v>939</v>
      </c>
      <c r="C1172" s="55" t="s">
        <v>27</v>
      </c>
      <c r="D1172" s="55">
        <v>1449.0</v>
      </c>
      <c r="E1172" s="57" t="s">
        <v>379</v>
      </c>
      <c r="F1172" s="2" t="s">
        <v>938</v>
      </c>
    </row>
    <row r="1173">
      <c r="A1173" s="55">
        <f t="shared" si="2"/>
        <v>1172</v>
      </c>
      <c r="B1173" s="56" t="s">
        <v>939</v>
      </c>
      <c r="C1173" s="55" t="s">
        <v>51</v>
      </c>
      <c r="D1173" s="55">
        <v>1295.0</v>
      </c>
      <c r="E1173" s="57" t="s">
        <v>379</v>
      </c>
      <c r="F1173" s="2" t="s">
        <v>938</v>
      </c>
    </row>
    <row r="1174">
      <c r="A1174" s="55">
        <f t="shared" si="2"/>
        <v>1173</v>
      </c>
      <c r="B1174" s="56" t="s">
        <v>939</v>
      </c>
      <c r="C1174" s="55" t="s">
        <v>33</v>
      </c>
      <c r="D1174" s="55">
        <v>1322.0</v>
      </c>
      <c r="E1174" s="57" t="s">
        <v>379</v>
      </c>
      <c r="F1174" s="2" t="s">
        <v>938</v>
      </c>
    </row>
    <row r="1175">
      <c r="A1175" s="55">
        <f t="shared" si="2"/>
        <v>1174</v>
      </c>
      <c r="B1175" s="56" t="s">
        <v>939</v>
      </c>
      <c r="C1175" s="55" t="s">
        <v>26</v>
      </c>
      <c r="D1175" s="55">
        <v>1434.0</v>
      </c>
      <c r="E1175" s="57" t="s">
        <v>379</v>
      </c>
      <c r="F1175" s="2" t="s">
        <v>938</v>
      </c>
    </row>
    <row r="1176">
      <c r="A1176" s="55">
        <f t="shared" si="2"/>
        <v>1175</v>
      </c>
      <c r="B1176" s="56" t="s">
        <v>939</v>
      </c>
      <c r="C1176" s="55" t="s">
        <v>39</v>
      </c>
      <c r="D1176" s="55">
        <v>1361.0</v>
      </c>
      <c r="E1176" s="57" t="s">
        <v>379</v>
      </c>
      <c r="F1176" s="2" t="s">
        <v>938</v>
      </c>
    </row>
    <row r="1177">
      <c r="A1177" s="55">
        <f t="shared" si="2"/>
        <v>1176</v>
      </c>
      <c r="B1177" s="56" t="s">
        <v>944</v>
      </c>
      <c r="C1177" s="55" t="s">
        <v>39</v>
      </c>
      <c r="D1177" s="55">
        <v>1340.0</v>
      </c>
      <c r="E1177" s="57" t="s">
        <v>379</v>
      </c>
      <c r="F1177" s="2" t="s">
        <v>943</v>
      </c>
    </row>
    <row r="1178">
      <c r="A1178" s="55">
        <f t="shared" si="2"/>
        <v>1177</v>
      </c>
      <c r="B1178" s="56" t="s">
        <v>944</v>
      </c>
      <c r="C1178" s="55" t="s">
        <v>33</v>
      </c>
      <c r="D1178" s="55">
        <v>1303.0</v>
      </c>
      <c r="E1178" s="57" t="s">
        <v>379</v>
      </c>
      <c r="F1178" s="2" t="s">
        <v>943</v>
      </c>
    </row>
    <row r="1179">
      <c r="A1179" s="55">
        <f t="shared" si="2"/>
        <v>1178</v>
      </c>
      <c r="B1179" s="56" t="s">
        <v>944</v>
      </c>
      <c r="C1179" s="55" t="s">
        <v>44</v>
      </c>
      <c r="D1179" s="55">
        <v>1164.0</v>
      </c>
      <c r="E1179" s="57" t="s">
        <v>379</v>
      </c>
      <c r="F1179" s="2" t="s">
        <v>943</v>
      </c>
    </row>
    <row r="1180">
      <c r="A1180" s="55">
        <f t="shared" si="2"/>
        <v>1179</v>
      </c>
      <c r="B1180" s="56" t="s">
        <v>944</v>
      </c>
      <c r="C1180" s="55" t="s">
        <v>30</v>
      </c>
      <c r="D1180" s="55">
        <v>1191.0</v>
      </c>
      <c r="E1180" s="57" t="s">
        <v>379</v>
      </c>
      <c r="F1180" s="2" t="s">
        <v>943</v>
      </c>
    </row>
    <row r="1181">
      <c r="A1181" s="55">
        <f t="shared" si="2"/>
        <v>1180</v>
      </c>
      <c r="B1181" s="56" t="s">
        <v>944</v>
      </c>
      <c r="C1181" s="55" t="s">
        <v>51</v>
      </c>
      <c r="D1181" s="55">
        <v>1310.0</v>
      </c>
      <c r="E1181" s="57" t="s">
        <v>379</v>
      </c>
      <c r="F1181" s="2" t="s">
        <v>943</v>
      </c>
    </row>
    <row r="1182">
      <c r="A1182" s="55">
        <f t="shared" si="2"/>
        <v>1181</v>
      </c>
      <c r="B1182" s="56" t="s">
        <v>944</v>
      </c>
      <c r="C1182" s="55" t="s">
        <v>28</v>
      </c>
      <c r="D1182" s="55">
        <v>1515.0</v>
      </c>
      <c r="E1182" s="57" t="s">
        <v>379</v>
      </c>
      <c r="F1182" s="2" t="s">
        <v>943</v>
      </c>
    </row>
    <row r="1183">
      <c r="A1183" s="55">
        <f t="shared" si="2"/>
        <v>1182</v>
      </c>
      <c r="B1183" s="56" t="s">
        <v>949</v>
      </c>
      <c r="C1183" s="55" t="s">
        <v>30</v>
      </c>
      <c r="D1183" s="55">
        <v>1207.0</v>
      </c>
      <c r="E1183" s="57" t="s">
        <v>379</v>
      </c>
      <c r="F1183" s="2" t="s">
        <v>948</v>
      </c>
    </row>
    <row r="1184">
      <c r="A1184" s="55">
        <f t="shared" si="2"/>
        <v>1183</v>
      </c>
      <c r="B1184" s="56" t="s">
        <v>949</v>
      </c>
      <c r="C1184" s="55" t="s">
        <v>42</v>
      </c>
      <c r="D1184" s="55">
        <v>1381.0</v>
      </c>
      <c r="E1184" s="57" t="s">
        <v>379</v>
      </c>
      <c r="F1184" s="2" t="s">
        <v>948</v>
      </c>
    </row>
    <row r="1185">
      <c r="A1185" s="55">
        <f t="shared" si="2"/>
        <v>1184</v>
      </c>
      <c r="B1185" s="56" t="s">
        <v>949</v>
      </c>
      <c r="C1185" s="55" t="s">
        <v>31</v>
      </c>
      <c r="D1185" s="55">
        <v>1389.0</v>
      </c>
      <c r="E1185" s="57" t="s">
        <v>379</v>
      </c>
      <c r="F1185" s="2" t="s">
        <v>948</v>
      </c>
    </row>
    <row r="1186">
      <c r="A1186" s="55">
        <f t="shared" si="2"/>
        <v>1185</v>
      </c>
      <c r="B1186" s="56" t="s">
        <v>949</v>
      </c>
      <c r="C1186" s="55" t="s">
        <v>44</v>
      </c>
      <c r="D1186" s="55">
        <v>1180.0</v>
      </c>
      <c r="E1186" s="57" t="s">
        <v>379</v>
      </c>
      <c r="F1186" s="2" t="s">
        <v>948</v>
      </c>
    </row>
    <row r="1187">
      <c r="A1187" s="55">
        <f t="shared" si="2"/>
        <v>1186</v>
      </c>
      <c r="B1187" s="56" t="s">
        <v>949</v>
      </c>
      <c r="C1187" s="55" t="s">
        <v>33</v>
      </c>
      <c r="D1187" s="55">
        <v>1320.0</v>
      </c>
      <c r="E1187" s="57" t="s">
        <v>379</v>
      </c>
      <c r="F1187" s="2" t="s">
        <v>948</v>
      </c>
    </row>
    <row r="1188">
      <c r="A1188" s="55">
        <f t="shared" si="2"/>
        <v>1187</v>
      </c>
      <c r="B1188" s="56" t="s">
        <v>949</v>
      </c>
      <c r="C1188" s="55" t="s">
        <v>28</v>
      </c>
      <c r="D1188" s="55">
        <v>1502.0</v>
      </c>
      <c r="E1188" s="57" t="s">
        <v>379</v>
      </c>
      <c r="F1188" s="2" t="s">
        <v>948</v>
      </c>
    </row>
    <row r="1189">
      <c r="A1189" s="55">
        <f t="shared" si="2"/>
        <v>1188</v>
      </c>
      <c r="B1189" s="56" t="s">
        <v>949</v>
      </c>
      <c r="C1189" s="55" t="s">
        <v>39</v>
      </c>
      <c r="D1189" s="55">
        <v>1358.0</v>
      </c>
      <c r="E1189" s="57" t="s">
        <v>379</v>
      </c>
      <c r="F1189" s="2" t="s">
        <v>948</v>
      </c>
    </row>
    <row r="1190">
      <c r="A1190" s="55">
        <f t="shared" si="2"/>
        <v>1189</v>
      </c>
      <c r="B1190" s="56" t="s">
        <v>949</v>
      </c>
      <c r="C1190" s="55" t="s">
        <v>51</v>
      </c>
      <c r="D1190" s="55">
        <v>1290.0</v>
      </c>
      <c r="E1190" s="57" t="s">
        <v>379</v>
      </c>
      <c r="F1190" s="2" t="s">
        <v>948</v>
      </c>
    </row>
    <row r="1191">
      <c r="A1191" s="55">
        <f t="shared" si="2"/>
        <v>1190</v>
      </c>
      <c r="B1191" s="56" t="s">
        <v>954</v>
      </c>
      <c r="C1191" s="55" t="s">
        <v>39</v>
      </c>
      <c r="D1191" s="55">
        <v>1335.0</v>
      </c>
      <c r="E1191" s="57" t="s">
        <v>379</v>
      </c>
      <c r="F1191" s="2" t="s">
        <v>953</v>
      </c>
    </row>
    <row r="1192">
      <c r="A1192" s="55">
        <f t="shared" si="2"/>
        <v>1191</v>
      </c>
      <c r="B1192" s="56" t="s">
        <v>954</v>
      </c>
      <c r="C1192" s="55" t="s">
        <v>51</v>
      </c>
      <c r="D1192" s="55">
        <v>1268.0</v>
      </c>
      <c r="E1192" s="57" t="s">
        <v>379</v>
      </c>
      <c r="F1192" s="2" t="s">
        <v>953</v>
      </c>
    </row>
    <row r="1193">
      <c r="A1193" s="55">
        <f t="shared" si="2"/>
        <v>1192</v>
      </c>
      <c r="B1193" s="56" t="s">
        <v>954</v>
      </c>
      <c r="C1193" s="55" t="s">
        <v>27</v>
      </c>
      <c r="D1193" s="55">
        <v>1465.0</v>
      </c>
      <c r="E1193" s="57" t="s">
        <v>379</v>
      </c>
      <c r="F1193" s="2" t="s">
        <v>953</v>
      </c>
    </row>
    <row r="1194">
      <c r="A1194" s="55">
        <f t="shared" si="2"/>
        <v>1193</v>
      </c>
      <c r="B1194" s="56" t="s">
        <v>954</v>
      </c>
      <c r="C1194" s="55" t="s">
        <v>30</v>
      </c>
      <c r="D1194" s="55">
        <v>1217.0</v>
      </c>
      <c r="E1194" s="57" t="s">
        <v>379</v>
      </c>
      <c r="F1194" s="2" t="s">
        <v>953</v>
      </c>
    </row>
    <row r="1195">
      <c r="A1195" s="55">
        <f t="shared" si="2"/>
        <v>1194</v>
      </c>
      <c r="B1195" s="56" t="s">
        <v>954</v>
      </c>
      <c r="C1195" s="55" t="s">
        <v>28</v>
      </c>
      <c r="D1195" s="55">
        <v>1487.0</v>
      </c>
      <c r="E1195" s="57" t="s">
        <v>379</v>
      </c>
      <c r="F1195" s="2" t="s">
        <v>953</v>
      </c>
    </row>
    <row r="1196">
      <c r="A1196" s="55">
        <f t="shared" si="2"/>
        <v>1195</v>
      </c>
      <c r="B1196" s="56" t="s">
        <v>954</v>
      </c>
      <c r="C1196" s="55" t="s">
        <v>33</v>
      </c>
      <c r="D1196" s="55">
        <v>1299.0</v>
      </c>
      <c r="E1196" s="57" t="s">
        <v>379</v>
      </c>
      <c r="F1196" s="2" t="s">
        <v>953</v>
      </c>
    </row>
    <row r="1197">
      <c r="A1197" s="55">
        <f t="shared" si="2"/>
        <v>1196</v>
      </c>
      <c r="B1197" s="56" t="s">
        <v>954</v>
      </c>
      <c r="C1197" s="55" t="s">
        <v>42</v>
      </c>
      <c r="D1197" s="55">
        <v>1392.0</v>
      </c>
      <c r="E1197" s="57" t="s">
        <v>379</v>
      </c>
      <c r="F1197" s="2" t="s">
        <v>953</v>
      </c>
    </row>
    <row r="1198">
      <c r="A1198" s="55">
        <f t="shared" si="2"/>
        <v>1197</v>
      </c>
      <c r="B1198" s="56" t="s">
        <v>954</v>
      </c>
      <c r="C1198" s="55" t="s">
        <v>31</v>
      </c>
      <c r="D1198" s="55">
        <v>1400.0</v>
      </c>
      <c r="E1198" s="57" t="s">
        <v>379</v>
      </c>
      <c r="F1198" s="2" t="s">
        <v>953</v>
      </c>
    </row>
    <row r="1199">
      <c r="A1199" s="55">
        <f t="shared" si="2"/>
        <v>1198</v>
      </c>
      <c r="B1199" s="56" t="s">
        <v>958</v>
      </c>
      <c r="C1199" s="55" t="s">
        <v>33</v>
      </c>
      <c r="D1199" s="55">
        <v>1277.0</v>
      </c>
      <c r="E1199" s="57" t="s">
        <v>379</v>
      </c>
      <c r="F1199" s="2" t="s">
        <v>957</v>
      </c>
    </row>
    <row r="1200">
      <c r="A1200" s="55">
        <f t="shared" si="2"/>
        <v>1199</v>
      </c>
      <c r="B1200" s="56" t="s">
        <v>958</v>
      </c>
      <c r="C1200" s="55" t="s">
        <v>30</v>
      </c>
      <c r="D1200" s="55">
        <v>1230.0</v>
      </c>
      <c r="E1200" s="57" t="s">
        <v>379</v>
      </c>
      <c r="F1200" s="2" t="s">
        <v>957</v>
      </c>
    </row>
    <row r="1201">
      <c r="A1201" s="55">
        <f t="shared" si="2"/>
        <v>1200</v>
      </c>
      <c r="B1201" s="56" t="s">
        <v>958</v>
      </c>
      <c r="C1201" s="55" t="s">
        <v>28</v>
      </c>
      <c r="D1201" s="55">
        <v>1471.0</v>
      </c>
      <c r="E1201" s="57" t="s">
        <v>379</v>
      </c>
      <c r="F1201" s="2" t="s">
        <v>957</v>
      </c>
    </row>
    <row r="1202">
      <c r="A1202" s="55">
        <f t="shared" si="2"/>
        <v>1201</v>
      </c>
      <c r="B1202" s="56" t="s">
        <v>958</v>
      </c>
      <c r="C1202" s="55" t="s">
        <v>27</v>
      </c>
      <c r="D1202" s="55">
        <v>1481.0</v>
      </c>
      <c r="E1202" s="57" t="s">
        <v>379</v>
      </c>
      <c r="F1202" s="2" t="s">
        <v>957</v>
      </c>
    </row>
    <row r="1203">
      <c r="A1203" s="55">
        <f t="shared" si="2"/>
        <v>1202</v>
      </c>
      <c r="B1203" s="56" t="s">
        <v>958</v>
      </c>
      <c r="C1203" s="55" t="s">
        <v>31</v>
      </c>
      <c r="D1203" s="55">
        <v>1377.0</v>
      </c>
      <c r="E1203" s="57" t="s">
        <v>379</v>
      </c>
      <c r="F1203" s="2" t="s">
        <v>957</v>
      </c>
    </row>
    <row r="1204">
      <c r="A1204" s="55">
        <f t="shared" si="2"/>
        <v>1203</v>
      </c>
      <c r="B1204" s="56" t="s">
        <v>958</v>
      </c>
      <c r="C1204" s="55" t="s">
        <v>39</v>
      </c>
      <c r="D1204" s="55">
        <v>1349.0</v>
      </c>
      <c r="E1204" s="57" t="s">
        <v>379</v>
      </c>
      <c r="F1204" s="2" t="s">
        <v>957</v>
      </c>
    </row>
    <row r="1205">
      <c r="A1205" s="55">
        <f t="shared" si="2"/>
        <v>1204</v>
      </c>
      <c r="B1205" s="56" t="s">
        <v>958</v>
      </c>
      <c r="C1205" s="55" t="s">
        <v>51</v>
      </c>
      <c r="D1205" s="55">
        <v>1281.0</v>
      </c>
      <c r="E1205" s="57" t="s">
        <v>379</v>
      </c>
      <c r="F1205" s="2" t="s">
        <v>957</v>
      </c>
    </row>
    <row r="1206">
      <c r="A1206" s="55">
        <f t="shared" si="2"/>
        <v>1205</v>
      </c>
      <c r="B1206" s="56" t="s">
        <v>958</v>
      </c>
      <c r="C1206" s="55" t="s">
        <v>42</v>
      </c>
      <c r="D1206" s="55">
        <v>1373.0</v>
      </c>
      <c r="E1206" s="57" t="s">
        <v>379</v>
      </c>
      <c r="F1206" s="2" t="s">
        <v>957</v>
      </c>
    </row>
    <row r="1207">
      <c r="A1207" s="55">
        <f t="shared" si="2"/>
        <v>1206</v>
      </c>
      <c r="B1207" s="56" t="s">
        <v>962</v>
      </c>
      <c r="C1207" s="55" t="s">
        <v>30</v>
      </c>
      <c r="D1207" s="55">
        <v>1245.0</v>
      </c>
      <c r="E1207" s="57" t="s">
        <v>379</v>
      </c>
      <c r="F1207" s="2" t="s">
        <v>961</v>
      </c>
    </row>
    <row r="1208">
      <c r="A1208" s="55">
        <f t="shared" si="2"/>
        <v>1207</v>
      </c>
      <c r="B1208" s="56" t="s">
        <v>962</v>
      </c>
      <c r="C1208" s="55" t="s">
        <v>42</v>
      </c>
      <c r="D1208" s="55">
        <v>1351.0</v>
      </c>
      <c r="E1208" s="57" t="s">
        <v>379</v>
      </c>
      <c r="F1208" s="2" t="s">
        <v>961</v>
      </c>
    </row>
    <row r="1209">
      <c r="A1209" s="55">
        <f t="shared" si="2"/>
        <v>1208</v>
      </c>
      <c r="B1209" s="56" t="s">
        <v>962</v>
      </c>
      <c r="C1209" s="55" t="s">
        <v>34</v>
      </c>
      <c r="D1209" s="55">
        <v>1111.0</v>
      </c>
      <c r="E1209" s="57" t="s">
        <v>379</v>
      </c>
      <c r="F1209" s="2" t="s">
        <v>961</v>
      </c>
    </row>
    <row r="1210">
      <c r="A1210" s="55">
        <f t="shared" si="2"/>
        <v>1209</v>
      </c>
      <c r="B1210" s="56" t="s">
        <v>962</v>
      </c>
      <c r="C1210" s="55" t="s">
        <v>36</v>
      </c>
      <c r="D1210" s="55">
        <v>1219.0</v>
      </c>
      <c r="E1210" s="57" t="s">
        <v>379</v>
      </c>
      <c r="F1210" s="2" t="s">
        <v>961</v>
      </c>
    </row>
    <row r="1211">
      <c r="A1211" s="55">
        <f t="shared" si="2"/>
        <v>1210</v>
      </c>
      <c r="B1211" s="56" t="s">
        <v>962</v>
      </c>
      <c r="C1211" s="55" t="s">
        <v>51</v>
      </c>
      <c r="D1211" s="55">
        <v>1256.0</v>
      </c>
      <c r="E1211" s="57" t="s">
        <v>379</v>
      </c>
      <c r="F1211" s="2" t="s">
        <v>961</v>
      </c>
    </row>
    <row r="1212">
      <c r="A1212" s="55">
        <f t="shared" si="2"/>
        <v>1211</v>
      </c>
      <c r="B1212" s="56" t="s">
        <v>962</v>
      </c>
      <c r="C1212" s="55" t="s">
        <v>31</v>
      </c>
      <c r="D1212" s="55">
        <v>1351.0</v>
      </c>
      <c r="E1212" s="57" t="s">
        <v>379</v>
      </c>
      <c r="F1212" s="2" t="s">
        <v>961</v>
      </c>
    </row>
    <row r="1213">
      <c r="A1213" s="55">
        <f t="shared" si="2"/>
        <v>1212</v>
      </c>
      <c r="B1213" s="56" t="s">
        <v>962</v>
      </c>
      <c r="C1213" s="55" t="s">
        <v>26</v>
      </c>
      <c r="D1213" s="55">
        <v>1416.0</v>
      </c>
      <c r="E1213" s="57" t="s">
        <v>379</v>
      </c>
      <c r="F1213" s="2" t="s">
        <v>961</v>
      </c>
    </row>
    <row r="1214">
      <c r="A1214" s="55">
        <f t="shared" si="2"/>
        <v>1213</v>
      </c>
      <c r="B1214" s="56" t="s">
        <v>967</v>
      </c>
      <c r="C1214" s="55" t="s">
        <v>31</v>
      </c>
      <c r="D1214" s="55">
        <v>1331.0</v>
      </c>
      <c r="E1214" s="57" t="s">
        <v>379</v>
      </c>
      <c r="F1214" s="2" t="s">
        <v>966</v>
      </c>
    </row>
    <row r="1215">
      <c r="A1215" s="55">
        <f t="shared" si="2"/>
        <v>1214</v>
      </c>
      <c r="B1215" s="56" t="s">
        <v>967</v>
      </c>
      <c r="C1215" s="55" t="s">
        <v>42</v>
      </c>
      <c r="D1215" s="55">
        <v>1370.0</v>
      </c>
      <c r="E1215" s="57" t="s">
        <v>379</v>
      </c>
      <c r="F1215" s="2" t="s">
        <v>966</v>
      </c>
    </row>
    <row r="1216">
      <c r="A1216" s="55">
        <f t="shared" si="2"/>
        <v>1215</v>
      </c>
      <c r="B1216" s="56" t="s">
        <v>967</v>
      </c>
      <c r="C1216" s="55" t="s">
        <v>30</v>
      </c>
      <c r="D1216" s="55">
        <v>1263.0</v>
      </c>
      <c r="E1216" s="57" t="s">
        <v>379</v>
      </c>
      <c r="F1216" s="2" t="s">
        <v>966</v>
      </c>
    </row>
    <row r="1217">
      <c r="A1217" s="55">
        <f t="shared" si="2"/>
        <v>1216</v>
      </c>
      <c r="B1217" s="56" t="s">
        <v>967</v>
      </c>
      <c r="C1217" s="55" t="s">
        <v>51</v>
      </c>
      <c r="D1217" s="55">
        <v>1236.0</v>
      </c>
      <c r="E1217" s="57" t="s">
        <v>379</v>
      </c>
      <c r="F1217" s="2" t="s">
        <v>966</v>
      </c>
    </row>
    <row r="1218">
      <c r="A1218" s="55">
        <f t="shared" si="2"/>
        <v>1217</v>
      </c>
      <c r="B1218" s="56" t="s">
        <v>967</v>
      </c>
      <c r="C1218" s="55" t="s">
        <v>26</v>
      </c>
      <c r="D1218" s="55">
        <v>1398.0</v>
      </c>
      <c r="E1218" s="57" t="s">
        <v>379</v>
      </c>
      <c r="F1218" s="2" t="s">
        <v>966</v>
      </c>
    </row>
    <row r="1219">
      <c r="A1219" s="55">
        <f t="shared" si="2"/>
        <v>1218</v>
      </c>
      <c r="B1219" s="56" t="s">
        <v>967</v>
      </c>
      <c r="C1219" s="55" t="s">
        <v>50</v>
      </c>
      <c r="D1219" s="55">
        <v>1209.0</v>
      </c>
      <c r="E1219" s="57" t="s">
        <v>379</v>
      </c>
      <c r="F1219" s="2" t="s">
        <v>966</v>
      </c>
    </row>
    <row r="1220">
      <c r="A1220" s="55">
        <f t="shared" si="2"/>
        <v>1219</v>
      </c>
      <c r="B1220" s="56" t="s">
        <v>967</v>
      </c>
      <c r="C1220" s="55" t="s">
        <v>36</v>
      </c>
      <c r="D1220" s="55">
        <v>1198.0</v>
      </c>
      <c r="E1220" s="57" t="s">
        <v>379</v>
      </c>
      <c r="F1220" s="2" t="s">
        <v>966</v>
      </c>
    </row>
    <row r="1221">
      <c r="A1221" s="55">
        <f t="shared" si="2"/>
        <v>1220</v>
      </c>
      <c r="B1221" s="56" t="s">
        <v>971</v>
      </c>
      <c r="C1221" s="55" t="s">
        <v>30</v>
      </c>
      <c r="D1221" s="55">
        <v>1276.0</v>
      </c>
      <c r="E1221" s="57" t="s">
        <v>379</v>
      </c>
      <c r="F1221" s="2" t="s">
        <v>970</v>
      </c>
    </row>
    <row r="1222">
      <c r="A1222" s="55">
        <f t="shared" si="2"/>
        <v>1221</v>
      </c>
      <c r="B1222" s="56" t="s">
        <v>971</v>
      </c>
      <c r="C1222" s="55" t="s">
        <v>42</v>
      </c>
      <c r="D1222" s="55">
        <v>1384.0</v>
      </c>
      <c r="E1222" s="57" t="s">
        <v>379</v>
      </c>
      <c r="F1222" s="2" t="s">
        <v>970</v>
      </c>
    </row>
    <row r="1223">
      <c r="A1223" s="55">
        <f t="shared" si="2"/>
        <v>1222</v>
      </c>
      <c r="B1223" s="56" t="s">
        <v>971</v>
      </c>
      <c r="C1223" s="55" t="s">
        <v>50</v>
      </c>
      <c r="D1223" s="55">
        <v>1184.0</v>
      </c>
      <c r="E1223" s="57" t="s">
        <v>379</v>
      </c>
      <c r="F1223" s="2" t="s">
        <v>970</v>
      </c>
    </row>
    <row r="1224">
      <c r="A1224" s="55">
        <f t="shared" si="2"/>
        <v>1223</v>
      </c>
      <c r="B1224" s="56" t="s">
        <v>971</v>
      </c>
      <c r="C1224" s="55" t="s">
        <v>26</v>
      </c>
      <c r="D1224" s="55">
        <v>1376.0</v>
      </c>
      <c r="E1224" s="57" t="s">
        <v>379</v>
      </c>
      <c r="F1224" s="2" t="s">
        <v>970</v>
      </c>
    </row>
    <row r="1225">
      <c r="A1225" s="55">
        <f t="shared" si="2"/>
        <v>1224</v>
      </c>
      <c r="B1225" s="56" t="s">
        <v>971</v>
      </c>
      <c r="C1225" s="55" t="s">
        <v>36</v>
      </c>
      <c r="D1225" s="55">
        <v>1173.0</v>
      </c>
      <c r="E1225" s="57" t="s">
        <v>379</v>
      </c>
      <c r="F1225" s="2" t="s">
        <v>970</v>
      </c>
    </row>
    <row r="1226">
      <c r="A1226" s="55">
        <f t="shared" si="2"/>
        <v>1225</v>
      </c>
      <c r="B1226" s="56" t="s">
        <v>971</v>
      </c>
      <c r="C1226" s="55" t="s">
        <v>28</v>
      </c>
      <c r="D1226" s="55">
        <v>1489.0</v>
      </c>
      <c r="E1226" s="57" t="s">
        <v>379</v>
      </c>
      <c r="F1226" s="2" t="s">
        <v>970</v>
      </c>
    </row>
    <row r="1227">
      <c r="A1227" s="55">
        <f t="shared" si="2"/>
        <v>1226</v>
      </c>
      <c r="B1227" s="56" t="s">
        <v>971</v>
      </c>
      <c r="C1227" s="55" t="s">
        <v>31</v>
      </c>
      <c r="D1227" s="55">
        <v>1345.0</v>
      </c>
      <c r="E1227" s="57" t="s">
        <v>379</v>
      </c>
      <c r="F1227" s="2" t="s">
        <v>970</v>
      </c>
    </row>
    <row r="1228">
      <c r="A1228" s="55">
        <f t="shared" si="2"/>
        <v>1227</v>
      </c>
      <c r="B1228" s="56" t="s">
        <v>975</v>
      </c>
      <c r="C1228" s="55" t="s">
        <v>36</v>
      </c>
      <c r="D1228" s="55">
        <v>1150.0</v>
      </c>
      <c r="E1228" s="57" t="s">
        <v>379</v>
      </c>
      <c r="F1228" s="2" t="s">
        <v>974</v>
      </c>
    </row>
    <row r="1229">
      <c r="A1229" s="55">
        <f t="shared" si="2"/>
        <v>1228</v>
      </c>
      <c r="B1229" s="56" t="s">
        <v>975</v>
      </c>
      <c r="C1229" s="55" t="s">
        <v>31</v>
      </c>
      <c r="D1229" s="55">
        <v>1324.0</v>
      </c>
      <c r="E1229" s="57" t="s">
        <v>379</v>
      </c>
      <c r="F1229" s="2" t="s">
        <v>974</v>
      </c>
    </row>
    <row r="1230">
      <c r="A1230" s="55">
        <f t="shared" si="2"/>
        <v>1229</v>
      </c>
      <c r="B1230" s="56" t="s">
        <v>975</v>
      </c>
      <c r="C1230" s="55" t="s">
        <v>50</v>
      </c>
      <c r="D1230" s="55">
        <v>1199.0</v>
      </c>
      <c r="E1230" s="57" t="s">
        <v>379</v>
      </c>
      <c r="F1230" s="2" t="s">
        <v>974</v>
      </c>
    </row>
    <row r="1231">
      <c r="A1231" s="55">
        <f t="shared" si="2"/>
        <v>1230</v>
      </c>
      <c r="B1231" s="56" t="s">
        <v>975</v>
      </c>
      <c r="C1231" s="55" t="s">
        <v>28</v>
      </c>
      <c r="D1231" s="55">
        <v>1476.0</v>
      </c>
      <c r="E1231" s="57" t="s">
        <v>379</v>
      </c>
      <c r="F1231" s="2" t="s">
        <v>974</v>
      </c>
    </row>
    <row r="1232">
      <c r="A1232" s="55">
        <f t="shared" si="2"/>
        <v>1231</v>
      </c>
      <c r="B1232" s="56" t="s">
        <v>975</v>
      </c>
      <c r="C1232" s="55" t="s">
        <v>30</v>
      </c>
      <c r="D1232" s="55">
        <v>1292.0</v>
      </c>
      <c r="E1232" s="57" t="s">
        <v>379</v>
      </c>
      <c r="F1232" s="2" t="s">
        <v>974</v>
      </c>
    </row>
    <row r="1233">
      <c r="A1233" s="55">
        <f t="shared" si="2"/>
        <v>1232</v>
      </c>
      <c r="B1233" s="56" t="s">
        <v>975</v>
      </c>
      <c r="C1233" s="55" t="s">
        <v>26</v>
      </c>
      <c r="D1233" s="55">
        <v>1356.0</v>
      </c>
      <c r="E1233" s="57" t="s">
        <v>379</v>
      </c>
      <c r="F1233" s="2" t="s">
        <v>974</v>
      </c>
    </row>
    <row r="1234">
      <c r="A1234" s="55">
        <f t="shared" si="2"/>
        <v>1233</v>
      </c>
      <c r="B1234" s="56" t="s">
        <v>975</v>
      </c>
      <c r="C1234" s="55" t="s">
        <v>42</v>
      </c>
      <c r="D1234" s="55">
        <v>1401.0</v>
      </c>
      <c r="E1234" s="57" t="s">
        <v>379</v>
      </c>
      <c r="F1234" s="2" t="s">
        <v>974</v>
      </c>
    </row>
    <row r="1235">
      <c r="A1235" s="55">
        <f t="shared" si="2"/>
        <v>1234</v>
      </c>
      <c r="B1235" s="56" t="s">
        <v>979</v>
      </c>
      <c r="C1235" s="55" t="s">
        <v>28</v>
      </c>
      <c r="D1235" s="55">
        <v>1464.0</v>
      </c>
      <c r="E1235" s="57" t="s">
        <v>379</v>
      </c>
      <c r="F1235" s="2" t="s">
        <v>978</v>
      </c>
    </row>
    <row r="1236">
      <c r="A1236" s="55">
        <f t="shared" si="2"/>
        <v>1235</v>
      </c>
      <c r="B1236" s="56" t="s">
        <v>979</v>
      </c>
      <c r="C1236" s="55" t="s">
        <v>36</v>
      </c>
      <c r="D1236" s="55">
        <v>1164.0</v>
      </c>
      <c r="E1236" s="57" t="s">
        <v>379</v>
      </c>
      <c r="F1236" s="2" t="s">
        <v>978</v>
      </c>
    </row>
    <row r="1237">
      <c r="A1237" s="55">
        <f t="shared" si="2"/>
        <v>1236</v>
      </c>
      <c r="B1237" s="56" t="s">
        <v>979</v>
      </c>
      <c r="C1237" s="55" t="s">
        <v>30</v>
      </c>
      <c r="D1237" s="55">
        <v>1271.0</v>
      </c>
      <c r="E1237" s="57" t="s">
        <v>379</v>
      </c>
      <c r="F1237" s="2" t="s">
        <v>978</v>
      </c>
    </row>
    <row r="1238">
      <c r="A1238" s="55">
        <f t="shared" si="2"/>
        <v>1237</v>
      </c>
      <c r="B1238" s="56" t="s">
        <v>979</v>
      </c>
      <c r="C1238" s="55" t="s">
        <v>50</v>
      </c>
      <c r="D1238" s="55">
        <v>1213.0</v>
      </c>
      <c r="E1238" s="57" t="s">
        <v>379</v>
      </c>
      <c r="F1238" s="2" t="s">
        <v>978</v>
      </c>
    </row>
    <row r="1239">
      <c r="A1239" s="55">
        <f t="shared" si="2"/>
        <v>1238</v>
      </c>
      <c r="B1239" s="56" t="s">
        <v>979</v>
      </c>
      <c r="C1239" s="55" t="s">
        <v>44</v>
      </c>
      <c r="D1239" s="55">
        <v>1189.0</v>
      </c>
      <c r="E1239" s="57" t="s">
        <v>379</v>
      </c>
      <c r="F1239" s="2" t="s">
        <v>978</v>
      </c>
    </row>
    <row r="1240">
      <c r="A1240" s="55">
        <f t="shared" si="2"/>
        <v>1239</v>
      </c>
      <c r="B1240" s="56" t="s">
        <v>979</v>
      </c>
      <c r="C1240" s="55" t="s">
        <v>51</v>
      </c>
      <c r="D1240" s="55">
        <v>1249.0</v>
      </c>
      <c r="E1240" s="57" t="s">
        <v>379</v>
      </c>
      <c r="F1240" s="2" t="s">
        <v>978</v>
      </c>
    </row>
    <row r="1241">
      <c r="A1241" s="55">
        <f t="shared" si="2"/>
        <v>1240</v>
      </c>
      <c r="B1241" s="56" t="s">
        <v>979</v>
      </c>
      <c r="C1241" s="55" t="s">
        <v>27</v>
      </c>
      <c r="D1241" s="55">
        <v>1499.0</v>
      </c>
      <c r="E1241" s="57" t="s">
        <v>379</v>
      </c>
      <c r="F1241" s="2" t="s">
        <v>978</v>
      </c>
    </row>
    <row r="1242">
      <c r="A1242" s="55">
        <f t="shared" si="2"/>
        <v>1241</v>
      </c>
      <c r="B1242" s="56" t="s">
        <v>979</v>
      </c>
      <c r="C1242" s="55" t="s">
        <v>26</v>
      </c>
      <c r="D1242" s="55">
        <v>1337.0</v>
      </c>
      <c r="E1242" s="57" t="s">
        <v>379</v>
      </c>
      <c r="F1242" s="2" t="s">
        <v>978</v>
      </c>
    </row>
    <row r="1243">
      <c r="A1243" s="55">
        <f t="shared" si="2"/>
        <v>1242</v>
      </c>
      <c r="B1243" s="56" t="s">
        <v>983</v>
      </c>
      <c r="C1243" s="55" t="s">
        <v>36</v>
      </c>
      <c r="D1243" s="55">
        <v>1174.0</v>
      </c>
      <c r="E1243" s="57" t="s">
        <v>379</v>
      </c>
      <c r="F1243" s="2" t="s">
        <v>982</v>
      </c>
    </row>
    <row r="1244">
      <c r="A1244" s="55">
        <f t="shared" si="2"/>
        <v>1243</v>
      </c>
      <c r="B1244" s="56" t="s">
        <v>983</v>
      </c>
      <c r="C1244" s="55" t="s">
        <v>50</v>
      </c>
      <c r="D1244" s="55">
        <v>1223.0</v>
      </c>
      <c r="E1244" s="57" t="s">
        <v>379</v>
      </c>
      <c r="F1244" s="2" t="s">
        <v>982</v>
      </c>
    </row>
    <row r="1245">
      <c r="A1245" s="55">
        <f t="shared" si="2"/>
        <v>1244</v>
      </c>
      <c r="B1245" s="56" t="s">
        <v>983</v>
      </c>
      <c r="C1245" s="55" t="s">
        <v>51</v>
      </c>
      <c r="D1245" s="55">
        <v>1226.0</v>
      </c>
      <c r="E1245" s="57" t="s">
        <v>379</v>
      </c>
      <c r="F1245" s="2" t="s">
        <v>982</v>
      </c>
    </row>
    <row r="1246">
      <c r="A1246" s="55">
        <f t="shared" si="2"/>
        <v>1245</v>
      </c>
      <c r="B1246" s="56" t="s">
        <v>983</v>
      </c>
      <c r="C1246" s="55" t="s">
        <v>44</v>
      </c>
      <c r="D1246" s="55">
        <v>1164.0</v>
      </c>
      <c r="E1246" s="57" t="s">
        <v>379</v>
      </c>
      <c r="F1246" s="2" t="s">
        <v>982</v>
      </c>
    </row>
    <row r="1247">
      <c r="A1247" s="55">
        <f t="shared" si="2"/>
        <v>1246</v>
      </c>
      <c r="B1247" s="56" t="s">
        <v>983</v>
      </c>
      <c r="C1247" s="55" t="s">
        <v>26</v>
      </c>
      <c r="D1247" s="55">
        <v>1313.0</v>
      </c>
      <c r="E1247" s="57" t="s">
        <v>379</v>
      </c>
      <c r="F1247" s="2" t="s">
        <v>982</v>
      </c>
    </row>
    <row r="1248">
      <c r="A1248" s="55">
        <f t="shared" si="2"/>
        <v>1247</v>
      </c>
      <c r="B1248" s="56" t="s">
        <v>983</v>
      </c>
      <c r="C1248" s="55" t="s">
        <v>30</v>
      </c>
      <c r="D1248" s="55">
        <v>1282.0</v>
      </c>
      <c r="E1248" s="57" t="s">
        <v>379</v>
      </c>
      <c r="F1248" s="2" t="s">
        <v>982</v>
      </c>
    </row>
    <row r="1249">
      <c r="A1249" s="55">
        <f t="shared" si="2"/>
        <v>1248</v>
      </c>
      <c r="B1249" s="56" t="s">
        <v>983</v>
      </c>
      <c r="C1249" s="55" t="s">
        <v>28</v>
      </c>
      <c r="D1249" s="55">
        <v>1476.0</v>
      </c>
      <c r="E1249" s="57" t="s">
        <v>379</v>
      </c>
      <c r="F1249" s="2" t="s">
        <v>982</v>
      </c>
    </row>
    <row r="1250">
      <c r="A1250" s="55">
        <f t="shared" si="2"/>
        <v>1249</v>
      </c>
      <c r="B1250" s="56" t="s">
        <v>983</v>
      </c>
      <c r="C1250" s="55" t="s">
        <v>27</v>
      </c>
      <c r="D1250" s="55">
        <v>1485.0</v>
      </c>
      <c r="E1250" s="57" t="s">
        <v>379</v>
      </c>
      <c r="F1250" s="2" t="s">
        <v>982</v>
      </c>
    </row>
    <row r="1251">
      <c r="A1251" s="55">
        <f t="shared" si="2"/>
        <v>1250</v>
      </c>
      <c r="B1251" s="56" t="s">
        <v>987</v>
      </c>
      <c r="C1251" s="55" t="s">
        <v>30</v>
      </c>
      <c r="D1251" s="55">
        <v>1260.0</v>
      </c>
      <c r="E1251" s="57" t="s">
        <v>379</v>
      </c>
      <c r="F1251" s="2" t="s">
        <v>986</v>
      </c>
    </row>
    <row r="1252">
      <c r="A1252" s="55">
        <f t="shared" si="2"/>
        <v>1251</v>
      </c>
      <c r="B1252" s="56" t="s">
        <v>987</v>
      </c>
      <c r="C1252" s="55" t="s">
        <v>31</v>
      </c>
      <c r="D1252" s="55">
        <v>1340.0</v>
      </c>
      <c r="E1252" s="57" t="s">
        <v>379</v>
      </c>
      <c r="F1252" s="2" t="s">
        <v>986</v>
      </c>
    </row>
    <row r="1253">
      <c r="A1253" s="55">
        <f t="shared" si="2"/>
        <v>1252</v>
      </c>
      <c r="B1253" s="56" t="s">
        <v>987</v>
      </c>
      <c r="C1253" s="55" t="s">
        <v>44</v>
      </c>
      <c r="D1253" s="55">
        <v>1175.0</v>
      </c>
      <c r="E1253" s="57" t="s">
        <v>379</v>
      </c>
      <c r="F1253" s="2" t="s">
        <v>986</v>
      </c>
    </row>
    <row r="1254">
      <c r="A1254" s="55">
        <f t="shared" si="2"/>
        <v>1253</v>
      </c>
      <c r="B1254" s="56" t="s">
        <v>987</v>
      </c>
      <c r="C1254" s="55" t="s">
        <v>36</v>
      </c>
      <c r="D1254" s="55">
        <v>1185.0</v>
      </c>
      <c r="E1254" s="57" t="s">
        <v>379</v>
      </c>
      <c r="F1254" s="2" t="s">
        <v>986</v>
      </c>
    </row>
    <row r="1255">
      <c r="A1255" s="55">
        <f t="shared" si="2"/>
        <v>1254</v>
      </c>
      <c r="B1255" s="56" t="s">
        <v>987</v>
      </c>
      <c r="C1255" s="55" t="s">
        <v>28</v>
      </c>
      <c r="D1255" s="55">
        <v>1463.0</v>
      </c>
      <c r="E1255" s="57" t="s">
        <v>379</v>
      </c>
      <c r="F1255" s="2" t="s">
        <v>986</v>
      </c>
    </row>
    <row r="1256">
      <c r="A1256" s="55">
        <f t="shared" si="2"/>
        <v>1255</v>
      </c>
      <c r="B1256" s="56" t="s">
        <v>987</v>
      </c>
      <c r="C1256" s="55" t="s">
        <v>27</v>
      </c>
      <c r="D1256" s="55">
        <v>1473.0</v>
      </c>
      <c r="E1256" s="57" t="s">
        <v>379</v>
      </c>
      <c r="F1256" s="2" t="s">
        <v>986</v>
      </c>
    </row>
    <row r="1257">
      <c r="A1257" s="55">
        <f t="shared" si="2"/>
        <v>1256</v>
      </c>
      <c r="B1257" s="56" t="s">
        <v>987</v>
      </c>
      <c r="C1257" s="55" t="s">
        <v>42</v>
      </c>
      <c r="D1257" s="55">
        <v>1387.0</v>
      </c>
      <c r="E1257" s="57" t="s">
        <v>379</v>
      </c>
      <c r="F1257" s="2" t="s">
        <v>986</v>
      </c>
    </row>
    <row r="1258">
      <c r="A1258" s="55">
        <f t="shared" si="2"/>
        <v>1257</v>
      </c>
      <c r="B1258" s="56" t="s">
        <v>987</v>
      </c>
      <c r="C1258" s="55" t="s">
        <v>50</v>
      </c>
      <c r="D1258" s="55">
        <v>1234.0</v>
      </c>
      <c r="E1258" s="57" t="s">
        <v>379</v>
      </c>
      <c r="F1258" s="2" t="s">
        <v>986</v>
      </c>
    </row>
    <row r="1259">
      <c r="A1259" s="55">
        <f t="shared" si="2"/>
        <v>1258</v>
      </c>
      <c r="B1259" s="56" t="s">
        <v>992</v>
      </c>
      <c r="C1259" s="55" t="s">
        <v>31</v>
      </c>
      <c r="D1259" s="55">
        <v>1352.0</v>
      </c>
      <c r="E1259" s="57" t="s">
        <v>379</v>
      </c>
      <c r="F1259" s="2" t="s">
        <v>991</v>
      </c>
    </row>
    <row r="1260">
      <c r="A1260" s="55">
        <f t="shared" si="2"/>
        <v>1259</v>
      </c>
      <c r="B1260" s="56" t="s">
        <v>992</v>
      </c>
      <c r="C1260" s="55" t="s">
        <v>30</v>
      </c>
      <c r="D1260" s="55">
        <v>1272.0</v>
      </c>
      <c r="E1260" s="57" t="s">
        <v>379</v>
      </c>
      <c r="F1260" s="2" t="s">
        <v>991</v>
      </c>
    </row>
    <row r="1261">
      <c r="A1261" s="55">
        <f t="shared" si="2"/>
        <v>1260</v>
      </c>
      <c r="B1261" s="56" t="s">
        <v>992</v>
      </c>
      <c r="C1261" s="55" t="s">
        <v>45</v>
      </c>
      <c r="D1261" s="55">
        <v>1193.0</v>
      </c>
      <c r="E1261" s="57" t="s">
        <v>379</v>
      </c>
      <c r="F1261" s="2" t="s">
        <v>991</v>
      </c>
    </row>
    <row r="1262">
      <c r="A1262" s="55">
        <f t="shared" si="2"/>
        <v>1261</v>
      </c>
      <c r="B1262" s="56" t="s">
        <v>992</v>
      </c>
      <c r="C1262" s="55" t="s">
        <v>27</v>
      </c>
      <c r="D1262" s="55">
        <v>1459.0</v>
      </c>
      <c r="E1262" s="57" t="s">
        <v>379</v>
      </c>
      <c r="F1262" s="2" t="s">
        <v>991</v>
      </c>
    </row>
    <row r="1263">
      <c r="A1263" s="55">
        <f t="shared" si="2"/>
        <v>1262</v>
      </c>
      <c r="B1263" s="56" t="s">
        <v>992</v>
      </c>
      <c r="C1263" s="55" t="s">
        <v>28</v>
      </c>
      <c r="D1263" s="55">
        <v>1449.0</v>
      </c>
      <c r="E1263" s="57" t="s">
        <v>379</v>
      </c>
      <c r="F1263" s="2" t="s">
        <v>991</v>
      </c>
    </row>
    <row r="1264">
      <c r="A1264" s="55">
        <f t="shared" si="2"/>
        <v>1263</v>
      </c>
      <c r="B1264" s="56" t="s">
        <v>992</v>
      </c>
      <c r="C1264" s="55" t="s">
        <v>24</v>
      </c>
      <c r="D1264" s="55">
        <v>1437.0</v>
      </c>
      <c r="E1264" s="57" t="s">
        <v>379</v>
      </c>
      <c r="F1264" s="2" t="s">
        <v>991</v>
      </c>
    </row>
    <row r="1265">
      <c r="A1265" s="55">
        <f t="shared" si="2"/>
        <v>1264</v>
      </c>
      <c r="B1265" s="56" t="s">
        <v>992</v>
      </c>
      <c r="C1265" s="55" t="s">
        <v>26</v>
      </c>
      <c r="D1265" s="55">
        <v>1292.0</v>
      </c>
      <c r="E1265" s="57" t="s">
        <v>379</v>
      </c>
      <c r="F1265" s="2" t="s">
        <v>991</v>
      </c>
    </row>
    <row r="1266">
      <c r="A1266" s="55">
        <f t="shared" si="2"/>
        <v>1265</v>
      </c>
      <c r="B1266" s="56" t="s">
        <v>997</v>
      </c>
      <c r="C1266" s="55" t="s">
        <v>26</v>
      </c>
      <c r="D1266" s="55">
        <v>1265.0</v>
      </c>
      <c r="E1266" s="57" t="s">
        <v>379</v>
      </c>
      <c r="F1266" s="2" t="s">
        <v>996</v>
      </c>
    </row>
    <row r="1267">
      <c r="A1267" s="55">
        <f t="shared" si="2"/>
        <v>1266</v>
      </c>
      <c r="B1267" s="56" t="s">
        <v>997</v>
      </c>
      <c r="C1267" s="55" t="s">
        <v>31</v>
      </c>
      <c r="D1267" s="55">
        <v>1367.0</v>
      </c>
      <c r="E1267" s="57" t="s">
        <v>379</v>
      </c>
      <c r="F1267" s="2" t="s">
        <v>996</v>
      </c>
    </row>
    <row r="1268">
      <c r="A1268" s="55">
        <f t="shared" si="2"/>
        <v>1267</v>
      </c>
      <c r="B1268" s="56" t="s">
        <v>997</v>
      </c>
      <c r="C1268" s="55" t="s">
        <v>30</v>
      </c>
      <c r="D1268" s="55">
        <v>1286.0</v>
      </c>
      <c r="E1268" s="57" t="s">
        <v>379</v>
      </c>
      <c r="F1268" s="2" t="s">
        <v>996</v>
      </c>
    </row>
    <row r="1269">
      <c r="A1269" s="55">
        <f t="shared" si="2"/>
        <v>1268</v>
      </c>
      <c r="B1269" s="56" t="s">
        <v>997</v>
      </c>
      <c r="C1269" s="55" t="s">
        <v>24</v>
      </c>
      <c r="D1269" s="55">
        <v>1416.0</v>
      </c>
      <c r="E1269" s="57" t="s">
        <v>379</v>
      </c>
      <c r="F1269" s="2" t="s">
        <v>996</v>
      </c>
    </row>
    <row r="1270">
      <c r="A1270" s="55">
        <f t="shared" si="2"/>
        <v>1269</v>
      </c>
      <c r="B1270" s="56" t="s">
        <v>997</v>
      </c>
      <c r="C1270" s="55" t="s">
        <v>45</v>
      </c>
      <c r="D1270" s="55">
        <v>1206.0</v>
      </c>
      <c r="E1270" s="57" t="s">
        <v>379</v>
      </c>
      <c r="F1270" s="2" t="s">
        <v>996</v>
      </c>
    </row>
    <row r="1271">
      <c r="A1271" s="55">
        <f t="shared" si="2"/>
        <v>1270</v>
      </c>
      <c r="B1271" s="56" t="s">
        <v>997</v>
      </c>
      <c r="C1271" s="55" t="s">
        <v>28</v>
      </c>
      <c r="D1271" s="55">
        <v>1432.0</v>
      </c>
      <c r="E1271" s="57" t="s">
        <v>379</v>
      </c>
      <c r="F1271" s="2" t="s">
        <v>996</v>
      </c>
    </row>
    <row r="1272">
      <c r="A1272" s="55">
        <f t="shared" si="2"/>
        <v>1271</v>
      </c>
      <c r="B1272" s="56" t="s">
        <v>997</v>
      </c>
      <c r="C1272" s="55" t="s">
        <v>34</v>
      </c>
      <c r="D1272" s="55">
        <v>1127.0</v>
      </c>
      <c r="E1272" s="57" t="s">
        <v>379</v>
      </c>
      <c r="F1272" s="2" t="s">
        <v>996</v>
      </c>
    </row>
    <row r="1273">
      <c r="A1273" s="55">
        <f t="shared" si="2"/>
        <v>1272</v>
      </c>
      <c r="B1273" s="56" t="s">
        <v>1001</v>
      </c>
      <c r="C1273" s="55" t="s">
        <v>24</v>
      </c>
      <c r="D1273" s="55">
        <v>1429.0</v>
      </c>
      <c r="E1273" s="57" t="s">
        <v>379</v>
      </c>
      <c r="F1273" s="2" t="s">
        <v>1000</v>
      </c>
    </row>
    <row r="1274">
      <c r="A1274" s="55">
        <f t="shared" si="2"/>
        <v>1273</v>
      </c>
      <c r="B1274" s="56" t="s">
        <v>1001</v>
      </c>
      <c r="C1274" s="55" t="s">
        <v>27</v>
      </c>
      <c r="D1274" s="55">
        <v>1475.0</v>
      </c>
      <c r="E1274" s="57" t="s">
        <v>379</v>
      </c>
      <c r="F1274" s="2" t="s">
        <v>1000</v>
      </c>
    </row>
    <row r="1275">
      <c r="A1275" s="55">
        <f t="shared" si="2"/>
        <v>1274</v>
      </c>
      <c r="B1275" s="56" t="s">
        <v>1001</v>
      </c>
      <c r="C1275" s="55" t="s">
        <v>45</v>
      </c>
      <c r="D1275" s="55">
        <v>1180.0</v>
      </c>
      <c r="E1275" s="57" t="s">
        <v>379</v>
      </c>
      <c r="F1275" s="2" t="s">
        <v>1000</v>
      </c>
    </row>
    <row r="1276">
      <c r="A1276" s="55">
        <f t="shared" si="2"/>
        <v>1275</v>
      </c>
      <c r="B1276" s="56" t="s">
        <v>1001</v>
      </c>
      <c r="C1276" s="55" t="s">
        <v>30</v>
      </c>
      <c r="D1276" s="55">
        <v>1298.0</v>
      </c>
      <c r="E1276" s="57" t="s">
        <v>379</v>
      </c>
      <c r="F1276" s="2" t="s">
        <v>1000</v>
      </c>
    </row>
    <row r="1277">
      <c r="A1277" s="55">
        <f t="shared" si="2"/>
        <v>1276</v>
      </c>
      <c r="B1277" s="56" t="s">
        <v>1001</v>
      </c>
      <c r="C1277" s="55" t="s">
        <v>28</v>
      </c>
      <c r="D1277" s="55">
        <v>1414.0</v>
      </c>
      <c r="E1277" s="57" t="s">
        <v>379</v>
      </c>
      <c r="F1277" s="2" t="s">
        <v>1000</v>
      </c>
    </row>
    <row r="1278">
      <c r="A1278" s="55">
        <f t="shared" si="2"/>
        <v>1277</v>
      </c>
      <c r="B1278" s="56" t="s">
        <v>1001</v>
      </c>
      <c r="C1278" s="55" t="s">
        <v>34</v>
      </c>
      <c r="D1278" s="55">
        <v>1099.0</v>
      </c>
      <c r="E1278" s="57" t="s">
        <v>379</v>
      </c>
      <c r="F1278" s="2" t="s">
        <v>1000</v>
      </c>
    </row>
    <row r="1279">
      <c r="A1279" s="55">
        <f t="shared" si="2"/>
        <v>1278</v>
      </c>
      <c r="B1279" s="56" t="s">
        <v>1001</v>
      </c>
      <c r="C1279" s="55" t="s">
        <v>31</v>
      </c>
      <c r="D1279" s="55">
        <v>1379.0</v>
      </c>
      <c r="E1279" s="57" t="s">
        <v>379</v>
      </c>
      <c r="F1279" s="2" t="s">
        <v>1000</v>
      </c>
    </row>
    <row r="1280">
      <c r="A1280" s="55">
        <f t="shared" si="2"/>
        <v>1279</v>
      </c>
      <c r="B1280" s="56" t="s">
        <v>1001</v>
      </c>
      <c r="C1280" s="55" t="s">
        <v>26</v>
      </c>
      <c r="D1280" s="55">
        <v>1277.0</v>
      </c>
      <c r="E1280" s="57" t="s">
        <v>379</v>
      </c>
      <c r="F1280" s="2" t="s">
        <v>1000</v>
      </c>
    </row>
    <row r="1281">
      <c r="A1281" s="55">
        <f t="shared" si="2"/>
        <v>1280</v>
      </c>
      <c r="B1281" s="56" t="s">
        <v>1005</v>
      </c>
      <c r="C1281" s="55" t="s">
        <v>30</v>
      </c>
      <c r="D1281" s="55">
        <v>1311.0</v>
      </c>
      <c r="E1281" s="57" t="s">
        <v>379</v>
      </c>
      <c r="F1281" s="2" t="s">
        <v>1004</v>
      </c>
    </row>
    <row r="1282">
      <c r="A1282" s="55">
        <f t="shared" si="2"/>
        <v>1281</v>
      </c>
      <c r="B1282" s="56" t="s">
        <v>1005</v>
      </c>
      <c r="C1282" s="55" t="s">
        <v>34</v>
      </c>
      <c r="D1282" s="55">
        <v>1070.0</v>
      </c>
      <c r="E1282" s="57" t="s">
        <v>379</v>
      </c>
      <c r="F1282" s="2" t="s">
        <v>1004</v>
      </c>
    </row>
    <row r="1283">
      <c r="A1283" s="55">
        <f t="shared" si="2"/>
        <v>1282</v>
      </c>
      <c r="B1283" s="56" t="s">
        <v>1005</v>
      </c>
      <c r="C1283" s="55" t="s">
        <v>24</v>
      </c>
      <c r="D1283" s="55">
        <v>1443.0</v>
      </c>
      <c r="E1283" s="57" t="s">
        <v>379</v>
      </c>
      <c r="F1283" s="2" t="s">
        <v>1004</v>
      </c>
    </row>
    <row r="1284">
      <c r="A1284" s="55">
        <f t="shared" si="2"/>
        <v>1283</v>
      </c>
      <c r="B1284" s="56" t="s">
        <v>1005</v>
      </c>
      <c r="C1284" s="55" t="s">
        <v>26</v>
      </c>
      <c r="D1284" s="55">
        <v>1248.0</v>
      </c>
      <c r="E1284" s="57" t="s">
        <v>379</v>
      </c>
      <c r="F1284" s="2" t="s">
        <v>1004</v>
      </c>
    </row>
    <row r="1285">
      <c r="A1285" s="55">
        <f t="shared" si="2"/>
        <v>1284</v>
      </c>
      <c r="B1285" s="56" t="s">
        <v>1005</v>
      </c>
      <c r="C1285" s="55" t="s">
        <v>45</v>
      </c>
      <c r="D1285" s="55">
        <v>1192.0</v>
      </c>
      <c r="E1285" s="57" t="s">
        <v>379</v>
      </c>
      <c r="F1285" s="2" t="s">
        <v>1004</v>
      </c>
    </row>
    <row r="1286">
      <c r="A1286" s="55">
        <f t="shared" si="2"/>
        <v>1285</v>
      </c>
      <c r="B1286" s="56" t="s">
        <v>1005</v>
      </c>
      <c r="C1286" s="55" t="s">
        <v>28</v>
      </c>
      <c r="D1286" s="55">
        <v>1395.0</v>
      </c>
      <c r="E1286" s="57" t="s">
        <v>379</v>
      </c>
      <c r="F1286" s="2" t="s">
        <v>1004</v>
      </c>
    </row>
    <row r="1287">
      <c r="A1287" s="55">
        <f t="shared" si="2"/>
        <v>1286</v>
      </c>
      <c r="B1287" s="56" t="s">
        <v>1005</v>
      </c>
      <c r="C1287" s="55" t="s">
        <v>27</v>
      </c>
      <c r="D1287" s="55">
        <v>1490.0</v>
      </c>
      <c r="E1287" s="57" t="s">
        <v>379</v>
      </c>
      <c r="F1287" s="2" t="s">
        <v>1004</v>
      </c>
    </row>
    <row r="1288">
      <c r="A1288" s="55">
        <f t="shared" si="2"/>
        <v>1287</v>
      </c>
      <c r="B1288" s="56" t="s">
        <v>1010</v>
      </c>
      <c r="C1288" s="55" t="s">
        <v>45</v>
      </c>
      <c r="D1288" s="55">
        <v>1170.0</v>
      </c>
      <c r="E1288" s="57" t="s">
        <v>379</v>
      </c>
      <c r="F1288" s="2" t="s">
        <v>1009</v>
      </c>
    </row>
    <row r="1289">
      <c r="A1289" s="55">
        <f t="shared" si="2"/>
        <v>1288</v>
      </c>
      <c r="B1289" s="56" t="s">
        <v>1010</v>
      </c>
      <c r="C1289" s="55" t="s">
        <v>28</v>
      </c>
      <c r="D1289" s="55">
        <v>1379.0</v>
      </c>
      <c r="E1289" s="57" t="s">
        <v>379</v>
      </c>
      <c r="F1289" s="2" t="s">
        <v>1009</v>
      </c>
    </row>
    <row r="1290">
      <c r="A1290" s="55">
        <f t="shared" si="2"/>
        <v>1289</v>
      </c>
      <c r="B1290" s="56" t="s">
        <v>1010</v>
      </c>
      <c r="C1290" s="55" t="s">
        <v>30</v>
      </c>
      <c r="D1290" s="55">
        <v>1324.0</v>
      </c>
      <c r="E1290" s="57" t="s">
        <v>379</v>
      </c>
      <c r="F1290" s="2" t="s">
        <v>1009</v>
      </c>
    </row>
    <row r="1291">
      <c r="A1291" s="55">
        <f t="shared" si="2"/>
        <v>1290</v>
      </c>
      <c r="B1291" s="56" t="s">
        <v>1010</v>
      </c>
      <c r="C1291" s="55" t="s">
        <v>24</v>
      </c>
      <c r="D1291" s="55">
        <v>1457.0</v>
      </c>
      <c r="E1291" s="57" t="s">
        <v>379</v>
      </c>
      <c r="F1291" s="2" t="s">
        <v>1009</v>
      </c>
    </row>
    <row r="1292">
      <c r="A1292" s="55">
        <f t="shared" si="2"/>
        <v>1291</v>
      </c>
      <c r="B1292" s="56" t="s">
        <v>1010</v>
      </c>
      <c r="C1292" s="55" t="s">
        <v>27</v>
      </c>
      <c r="D1292" s="55">
        <v>1477.0</v>
      </c>
      <c r="E1292" s="57" t="s">
        <v>379</v>
      </c>
      <c r="F1292" s="2" t="s">
        <v>1009</v>
      </c>
    </row>
    <row r="1293">
      <c r="A1293" s="55">
        <f t="shared" si="2"/>
        <v>1292</v>
      </c>
      <c r="B1293" s="56" t="s">
        <v>1010</v>
      </c>
      <c r="C1293" s="55" t="s">
        <v>26</v>
      </c>
      <c r="D1293" s="55">
        <v>1223.0</v>
      </c>
      <c r="E1293" s="57" t="s">
        <v>379</v>
      </c>
      <c r="F1293" s="2" t="s">
        <v>1009</v>
      </c>
    </row>
    <row r="1294">
      <c r="A1294" s="55">
        <f t="shared" si="2"/>
        <v>1293</v>
      </c>
      <c r="B1294" s="56" t="s">
        <v>1010</v>
      </c>
      <c r="C1294" s="55" t="s">
        <v>34</v>
      </c>
      <c r="D1294" s="55">
        <v>1080.0</v>
      </c>
      <c r="E1294" s="57" t="s">
        <v>379</v>
      </c>
      <c r="F1294" s="2" t="s">
        <v>1009</v>
      </c>
    </row>
    <row r="1295">
      <c r="A1295" s="55">
        <f t="shared" si="2"/>
        <v>1294</v>
      </c>
      <c r="B1295" s="56" t="s">
        <v>1014</v>
      </c>
      <c r="C1295" s="55" t="s">
        <v>33</v>
      </c>
      <c r="D1295" s="55">
        <v>1293.0</v>
      </c>
      <c r="E1295" s="57" t="s">
        <v>379</v>
      </c>
      <c r="F1295" s="2" t="s">
        <v>1013</v>
      </c>
    </row>
    <row r="1296">
      <c r="A1296" s="55">
        <f t="shared" si="2"/>
        <v>1295</v>
      </c>
      <c r="B1296" s="56" t="s">
        <v>1014</v>
      </c>
      <c r="C1296" s="55" t="s">
        <v>30</v>
      </c>
      <c r="D1296" s="55">
        <v>1343.0</v>
      </c>
      <c r="E1296" s="57" t="s">
        <v>379</v>
      </c>
      <c r="F1296" s="2" t="s">
        <v>1013</v>
      </c>
    </row>
    <row r="1297">
      <c r="A1297" s="55">
        <f t="shared" si="2"/>
        <v>1296</v>
      </c>
      <c r="B1297" s="56" t="s">
        <v>1014</v>
      </c>
      <c r="C1297" s="55" t="s">
        <v>42</v>
      </c>
      <c r="D1297" s="55">
        <v>1370.0</v>
      </c>
      <c r="E1297" s="57" t="s">
        <v>379</v>
      </c>
      <c r="F1297" s="2" t="s">
        <v>1013</v>
      </c>
    </row>
    <row r="1298">
      <c r="A1298" s="55">
        <f t="shared" si="2"/>
        <v>1297</v>
      </c>
      <c r="B1298" s="56" t="s">
        <v>1014</v>
      </c>
      <c r="C1298" s="55" t="s">
        <v>24</v>
      </c>
      <c r="D1298" s="55">
        <v>1440.0</v>
      </c>
      <c r="E1298" s="57" t="s">
        <v>379</v>
      </c>
      <c r="F1298" s="2" t="s">
        <v>1013</v>
      </c>
    </row>
    <row r="1299">
      <c r="A1299" s="55">
        <f t="shared" si="2"/>
        <v>1298</v>
      </c>
      <c r="B1299" s="56" t="s">
        <v>1014</v>
      </c>
      <c r="C1299" s="55" t="s">
        <v>28</v>
      </c>
      <c r="D1299" s="55">
        <v>1399.0</v>
      </c>
      <c r="E1299" s="57" t="s">
        <v>379</v>
      </c>
      <c r="F1299" s="2" t="s">
        <v>1013</v>
      </c>
    </row>
    <row r="1300">
      <c r="A1300" s="55">
        <f t="shared" si="2"/>
        <v>1299</v>
      </c>
      <c r="B1300" s="56" t="s">
        <v>1014</v>
      </c>
      <c r="C1300" s="55" t="s">
        <v>45</v>
      </c>
      <c r="D1300" s="55">
        <v>1187.0</v>
      </c>
      <c r="E1300" s="57" t="s">
        <v>379</v>
      </c>
      <c r="F1300" s="2" t="s">
        <v>1013</v>
      </c>
    </row>
    <row r="1301">
      <c r="A1301" s="55">
        <f t="shared" si="2"/>
        <v>1300</v>
      </c>
      <c r="B1301" s="56" t="s">
        <v>1014</v>
      </c>
      <c r="C1301" s="55" t="s">
        <v>27</v>
      </c>
      <c r="D1301" s="55">
        <v>1463.0</v>
      </c>
      <c r="E1301" s="57" t="s">
        <v>379</v>
      </c>
      <c r="F1301" s="2" t="s">
        <v>1013</v>
      </c>
    </row>
    <row r="1302">
      <c r="A1302" s="55">
        <f t="shared" si="2"/>
        <v>1301</v>
      </c>
      <c r="B1302" s="56" t="s">
        <v>1019</v>
      </c>
      <c r="C1302" s="55" t="s">
        <v>28</v>
      </c>
      <c r="D1302" s="55">
        <v>1382.0</v>
      </c>
      <c r="E1302" s="57" t="s">
        <v>379</v>
      </c>
      <c r="F1302" s="2" t="s">
        <v>1018</v>
      </c>
    </row>
    <row r="1303">
      <c r="A1303" s="55">
        <f t="shared" si="2"/>
        <v>1302</v>
      </c>
      <c r="B1303" s="56" t="s">
        <v>1019</v>
      </c>
      <c r="C1303" s="55" t="s">
        <v>51</v>
      </c>
      <c r="D1303" s="55">
        <v>1237.0</v>
      </c>
      <c r="E1303" s="57" t="s">
        <v>379</v>
      </c>
      <c r="F1303" s="2" t="s">
        <v>1018</v>
      </c>
    </row>
    <row r="1304">
      <c r="A1304" s="55">
        <f t="shared" si="2"/>
        <v>1303</v>
      </c>
      <c r="B1304" s="56" t="s">
        <v>1019</v>
      </c>
      <c r="C1304" s="55" t="s">
        <v>31</v>
      </c>
      <c r="D1304" s="55">
        <v>1354.0</v>
      </c>
      <c r="E1304" s="57" t="s">
        <v>379</v>
      </c>
      <c r="F1304" s="2" t="s">
        <v>1018</v>
      </c>
    </row>
    <row r="1305">
      <c r="A1305" s="55">
        <f t="shared" si="2"/>
        <v>1304</v>
      </c>
      <c r="B1305" s="56" t="s">
        <v>1019</v>
      </c>
      <c r="C1305" s="55" t="s">
        <v>24</v>
      </c>
      <c r="D1305" s="55">
        <v>1421.0</v>
      </c>
      <c r="E1305" s="57" t="s">
        <v>379</v>
      </c>
      <c r="F1305" s="2" t="s">
        <v>1018</v>
      </c>
    </row>
    <row r="1306">
      <c r="A1306" s="55">
        <f t="shared" si="2"/>
        <v>1305</v>
      </c>
      <c r="B1306" s="56" t="s">
        <v>1019</v>
      </c>
      <c r="C1306" s="55" t="s">
        <v>44</v>
      </c>
      <c r="D1306" s="55">
        <v>1186.0</v>
      </c>
      <c r="E1306" s="57" t="s">
        <v>379</v>
      </c>
      <c r="F1306" s="2" t="s">
        <v>1018</v>
      </c>
    </row>
    <row r="1307">
      <c r="A1307" s="55">
        <f t="shared" si="2"/>
        <v>1306</v>
      </c>
      <c r="B1307" s="56" t="s">
        <v>1019</v>
      </c>
      <c r="C1307" s="55" t="s">
        <v>30</v>
      </c>
      <c r="D1307" s="55">
        <v>1354.0</v>
      </c>
      <c r="E1307" s="57" t="s">
        <v>379</v>
      </c>
      <c r="F1307" s="2" t="s">
        <v>1018</v>
      </c>
    </row>
    <row r="1308">
      <c r="A1308" s="55">
        <f t="shared" si="2"/>
        <v>1307</v>
      </c>
      <c r="B1308" s="56" t="s">
        <v>1024</v>
      </c>
      <c r="C1308" s="55" t="s">
        <v>30</v>
      </c>
      <c r="D1308" s="55">
        <v>1335.0</v>
      </c>
      <c r="E1308" s="57" t="s">
        <v>379</v>
      </c>
      <c r="F1308" s="2" t="s">
        <v>1023</v>
      </c>
    </row>
    <row r="1309">
      <c r="A1309" s="55">
        <f t="shared" si="2"/>
        <v>1308</v>
      </c>
      <c r="B1309" s="56" t="s">
        <v>1024</v>
      </c>
      <c r="C1309" s="55" t="s">
        <v>51</v>
      </c>
      <c r="D1309" s="55">
        <v>1251.0</v>
      </c>
      <c r="E1309" s="57" t="s">
        <v>379</v>
      </c>
      <c r="F1309" s="2" t="s">
        <v>1023</v>
      </c>
    </row>
    <row r="1310">
      <c r="A1310" s="55">
        <f t="shared" si="2"/>
        <v>1309</v>
      </c>
      <c r="B1310" s="56" t="s">
        <v>1024</v>
      </c>
      <c r="C1310" s="55" t="s">
        <v>28</v>
      </c>
      <c r="D1310" s="55">
        <v>1397.0</v>
      </c>
      <c r="E1310" s="57" t="s">
        <v>379</v>
      </c>
      <c r="F1310" s="2" t="s">
        <v>1023</v>
      </c>
    </row>
    <row r="1311">
      <c r="A1311" s="55">
        <f t="shared" si="2"/>
        <v>1310</v>
      </c>
      <c r="B1311" s="56" t="s">
        <v>1024</v>
      </c>
      <c r="C1311" s="55" t="s">
        <v>44</v>
      </c>
      <c r="D1311" s="55">
        <v>1161.0</v>
      </c>
      <c r="E1311" s="57" t="s">
        <v>379</v>
      </c>
      <c r="F1311" s="2" t="s">
        <v>1023</v>
      </c>
    </row>
    <row r="1312">
      <c r="A1312" s="55">
        <f t="shared" si="2"/>
        <v>1311</v>
      </c>
      <c r="B1312" s="56" t="s">
        <v>1024</v>
      </c>
      <c r="C1312" s="55" t="s">
        <v>31</v>
      </c>
      <c r="D1312" s="55">
        <v>1335.0</v>
      </c>
      <c r="E1312" s="57" t="s">
        <v>379</v>
      </c>
      <c r="F1312" s="2" t="s">
        <v>1023</v>
      </c>
    </row>
    <row r="1313">
      <c r="A1313" s="55">
        <f t="shared" si="2"/>
        <v>1312</v>
      </c>
      <c r="B1313" s="56" t="s">
        <v>1024</v>
      </c>
      <c r="C1313" s="55" t="s">
        <v>24</v>
      </c>
      <c r="D1313" s="55">
        <v>1405.0</v>
      </c>
      <c r="E1313" s="57" t="s">
        <v>379</v>
      </c>
      <c r="F1313" s="2" t="s">
        <v>1023</v>
      </c>
    </row>
    <row r="1314">
      <c r="A1314" s="55">
        <f t="shared" si="2"/>
        <v>1313</v>
      </c>
      <c r="B1314" s="56" t="s">
        <v>1028</v>
      </c>
      <c r="C1314" s="55" t="s">
        <v>24</v>
      </c>
      <c r="D1314" s="55">
        <v>1320.0</v>
      </c>
      <c r="E1314" s="57" t="s">
        <v>379</v>
      </c>
      <c r="F1314" s="2" t="s">
        <v>1027</v>
      </c>
    </row>
    <row r="1315">
      <c r="A1315" s="55">
        <f t="shared" si="2"/>
        <v>1314</v>
      </c>
      <c r="B1315" s="56" t="s">
        <v>1028</v>
      </c>
      <c r="C1315" s="55" t="s">
        <v>30</v>
      </c>
      <c r="D1315" s="55">
        <v>1353.0</v>
      </c>
      <c r="E1315" s="57" t="s">
        <v>379</v>
      </c>
      <c r="F1315" s="2" t="s">
        <v>1027</v>
      </c>
    </row>
    <row r="1316">
      <c r="A1316" s="55">
        <f t="shared" si="2"/>
        <v>1315</v>
      </c>
      <c r="B1316" s="56" t="s">
        <v>1028</v>
      </c>
      <c r="C1316" s="55" t="s">
        <v>44</v>
      </c>
      <c r="D1316" s="55">
        <v>1177.0</v>
      </c>
      <c r="E1316" s="57" t="s">
        <v>379</v>
      </c>
      <c r="F1316" s="2" t="s">
        <v>1027</v>
      </c>
    </row>
    <row r="1317">
      <c r="A1317" s="55">
        <f t="shared" si="2"/>
        <v>1316</v>
      </c>
      <c r="B1317" s="56" t="s">
        <v>1028</v>
      </c>
      <c r="C1317" s="55" t="s">
        <v>28</v>
      </c>
      <c r="D1317" s="55">
        <v>1416.0</v>
      </c>
      <c r="E1317" s="57" t="s">
        <v>379</v>
      </c>
      <c r="F1317" s="2" t="s">
        <v>1027</v>
      </c>
    </row>
    <row r="1318">
      <c r="A1318" s="55">
        <f t="shared" si="2"/>
        <v>1317</v>
      </c>
      <c r="B1318" s="56" t="s">
        <v>1028</v>
      </c>
      <c r="C1318" s="55" t="s">
        <v>31</v>
      </c>
      <c r="D1318" s="55">
        <v>1311.0</v>
      </c>
      <c r="E1318" s="57" t="s">
        <v>379</v>
      </c>
      <c r="F1318" s="2" t="s">
        <v>1027</v>
      </c>
    </row>
    <row r="1319">
      <c r="A1319" s="55">
        <f t="shared" si="2"/>
        <v>1318</v>
      </c>
      <c r="B1319" s="56" t="s">
        <v>1028</v>
      </c>
      <c r="C1319" s="55" t="s">
        <v>45</v>
      </c>
      <c r="D1319" s="55">
        <v>1163.0</v>
      </c>
      <c r="E1319" s="57" t="s">
        <v>379</v>
      </c>
      <c r="F1319" s="2" t="s">
        <v>1027</v>
      </c>
    </row>
    <row r="1320">
      <c r="A1320" s="55">
        <f t="shared" si="2"/>
        <v>1319</v>
      </c>
      <c r="B1320" s="56" t="s">
        <v>1028</v>
      </c>
      <c r="C1320" s="55" t="s">
        <v>51</v>
      </c>
      <c r="D1320" s="55">
        <v>1268.0</v>
      </c>
      <c r="E1320" s="57" t="s">
        <v>379</v>
      </c>
      <c r="F1320" s="2" t="s">
        <v>1027</v>
      </c>
    </row>
    <row r="1321">
      <c r="A1321" s="55">
        <f t="shared" si="2"/>
        <v>1320</v>
      </c>
      <c r="B1321" s="56" t="s">
        <v>1032</v>
      </c>
      <c r="C1321" s="55" t="s">
        <v>45</v>
      </c>
      <c r="D1321" s="55">
        <v>1140.0</v>
      </c>
      <c r="E1321" s="57" t="s">
        <v>379</v>
      </c>
      <c r="F1321" s="2" t="s">
        <v>1031</v>
      </c>
    </row>
    <row r="1322">
      <c r="A1322" s="55">
        <f t="shared" si="2"/>
        <v>1321</v>
      </c>
      <c r="B1322" s="56" t="s">
        <v>1032</v>
      </c>
      <c r="C1322" s="55" t="s">
        <v>44</v>
      </c>
      <c r="D1322" s="55">
        <v>1187.0</v>
      </c>
      <c r="E1322" s="57" t="s">
        <v>379</v>
      </c>
      <c r="F1322" s="2" t="s">
        <v>1031</v>
      </c>
    </row>
    <row r="1323">
      <c r="A1323" s="55">
        <f t="shared" si="2"/>
        <v>1322</v>
      </c>
      <c r="B1323" s="56" t="s">
        <v>1032</v>
      </c>
      <c r="C1323" s="55" t="s">
        <v>31</v>
      </c>
      <c r="D1323" s="55">
        <v>1289.0</v>
      </c>
      <c r="E1323" s="57" t="s">
        <v>379</v>
      </c>
      <c r="F1323" s="2" t="s">
        <v>1031</v>
      </c>
    </row>
    <row r="1324">
      <c r="A1324" s="55">
        <f t="shared" si="2"/>
        <v>1323</v>
      </c>
      <c r="B1324" s="56" t="s">
        <v>1032</v>
      </c>
      <c r="C1324" s="55" t="s">
        <v>30</v>
      </c>
      <c r="D1324" s="55">
        <v>1365.0</v>
      </c>
      <c r="E1324" s="57" t="s">
        <v>379</v>
      </c>
      <c r="F1324" s="2" t="s">
        <v>1031</v>
      </c>
    </row>
    <row r="1325">
      <c r="A1325" s="55">
        <f t="shared" si="2"/>
        <v>1324</v>
      </c>
      <c r="B1325" s="56" t="s">
        <v>1032</v>
      </c>
      <c r="C1325" s="55" t="s">
        <v>51</v>
      </c>
      <c r="D1325" s="55">
        <v>1248.0</v>
      </c>
      <c r="E1325" s="57" t="s">
        <v>379</v>
      </c>
      <c r="F1325" s="2" t="s">
        <v>1031</v>
      </c>
    </row>
    <row r="1326">
      <c r="A1326" s="55">
        <f t="shared" si="2"/>
        <v>1325</v>
      </c>
      <c r="B1326" s="56" t="s">
        <v>1032</v>
      </c>
      <c r="C1326" s="55" t="s">
        <v>28</v>
      </c>
      <c r="D1326" s="55">
        <v>1401.0</v>
      </c>
      <c r="E1326" s="57" t="s">
        <v>379</v>
      </c>
      <c r="F1326" s="2" t="s">
        <v>1031</v>
      </c>
    </row>
    <row r="1327">
      <c r="A1327" s="55">
        <f t="shared" si="2"/>
        <v>1326</v>
      </c>
      <c r="B1327" s="56" t="s">
        <v>1036</v>
      </c>
      <c r="C1327" s="55" t="s">
        <v>28</v>
      </c>
      <c r="D1327" s="55">
        <v>1385.0</v>
      </c>
      <c r="E1327" s="57" t="s">
        <v>379</v>
      </c>
      <c r="F1327" s="2" t="s">
        <v>1035</v>
      </c>
    </row>
    <row r="1328">
      <c r="A1328" s="55">
        <f t="shared" si="2"/>
        <v>1327</v>
      </c>
      <c r="B1328" s="56" t="s">
        <v>1036</v>
      </c>
      <c r="C1328" s="55" t="s">
        <v>44</v>
      </c>
      <c r="D1328" s="55">
        <v>1199.0</v>
      </c>
      <c r="E1328" s="57" t="s">
        <v>379</v>
      </c>
      <c r="F1328" s="2" t="s">
        <v>1035</v>
      </c>
    </row>
    <row r="1329">
      <c r="A1329" s="55">
        <f t="shared" si="2"/>
        <v>1328</v>
      </c>
      <c r="B1329" s="56" t="s">
        <v>1036</v>
      </c>
      <c r="C1329" s="55" t="s">
        <v>30</v>
      </c>
      <c r="D1329" s="55">
        <v>1378.0</v>
      </c>
      <c r="E1329" s="57" t="s">
        <v>379</v>
      </c>
      <c r="F1329" s="2" t="s">
        <v>1035</v>
      </c>
    </row>
    <row r="1330">
      <c r="A1330" s="55">
        <f t="shared" si="2"/>
        <v>1329</v>
      </c>
      <c r="B1330" s="56" t="s">
        <v>1036</v>
      </c>
      <c r="C1330" s="55" t="s">
        <v>51</v>
      </c>
      <c r="D1330" s="55">
        <v>1227.0</v>
      </c>
      <c r="E1330" s="57" t="s">
        <v>379</v>
      </c>
      <c r="F1330" s="2" t="s">
        <v>1035</v>
      </c>
    </row>
    <row r="1331">
      <c r="A1331" s="55">
        <f t="shared" si="2"/>
        <v>1330</v>
      </c>
      <c r="B1331" s="56" t="s">
        <v>1036</v>
      </c>
      <c r="C1331" s="55" t="s">
        <v>31</v>
      </c>
      <c r="D1331" s="55">
        <v>1302.0</v>
      </c>
      <c r="E1331" s="57" t="s">
        <v>379</v>
      </c>
      <c r="F1331" s="2" t="s">
        <v>1035</v>
      </c>
    </row>
    <row r="1332">
      <c r="A1332" s="55">
        <f t="shared" si="2"/>
        <v>1331</v>
      </c>
      <c r="B1332" s="56" t="s">
        <v>1040</v>
      </c>
      <c r="C1332" s="55" t="s">
        <v>33</v>
      </c>
      <c r="D1332" s="55">
        <v>1303.0</v>
      </c>
      <c r="E1332" s="57" t="s">
        <v>379</v>
      </c>
      <c r="F1332" s="2" t="s">
        <v>1039</v>
      </c>
    </row>
    <row r="1333">
      <c r="A1333" s="55">
        <f t="shared" si="2"/>
        <v>1332</v>
      </c>
      <c r="B1333" s="56" t="s">
        <v>1040</v>
      </c>
      <c r="C1333" s="55" t="s">
        <v>36</v>
      </c>
      <c r="D1333" s="55">
        <v>1196.0</v>
      </c>
      <c r="E1333" s="57" t="s">
        <v>379</v>
      </c>
      <c r="F1333" s="2" t="s">
        <v>1039</v>
      </c>
    </row>
    <row r="1334">
      <c r="A1334" s="55">
        <f t="shared" si="2"/>
        <v>1333</v>
      </c>
      <c r="B1334" s="56" t="s">
        <v>1040</v>
      </c>
      <c r="C1334" s="55" t="s">
        <v>26</v>
      </c>
      <c r="D1334" s="55">
        <v>1197.0</v>
      </c>
      <c r="E1334" s="57" t="s">
        <v>379</v>
      </c>
      <c r="F1334" s="2" t="s">
        <v>1039</v>
      </c>
    </row>
    <row r="1335">
      <c r="A1335" s="55">
        <f t="shared" si="2"/>
        <v>1334</v>
      </c>
      <c r="B1335" s="56" t="s">
        <v>1040</v>
      </c>
      <c r="C1335" s="55" t="s">
        <v>28</v>
      </c>
      <c r="D1335" s="55">
        <v>1405.0</v>
      </c>
      <c r="E1335" s="57" t="s">
        <v>379</v>
      </c>
      <c r="F1335" s="2" t="s">
        <v>1039</v>
      </c>
    </row>
    <row r="1336">
      <c r="A1336" s="55">
        <f t="shared" si="2"/>
        <v>1335</v>
      </c>
      <c r="B1336" s="56" t="s">
        <v>1040</v>
      </c>
      <c r="C1336" s="55" t="s">
        <v>27</v>
      </c>
      <c r="D1336" s="55">
        <v>1448.0</v>
      </c>
      <c r="E1336" s="57" t="s">
        <v>379</v>
      </c>
      <c r="F1336" s="2" t="s">
        <v>1039</v>
      </c>
    </row>
    <row r="1337">
      <c r="A1337" s="55">
        <f t="shared" si="2"/>
        <v>1336</v>
      </c>
      <c r="B1337" s="56" t="s">
        <v>1040</v>
      </c>
      <c r="C1337" s="55" t="s">
        <v>30</v>
      </c>
      <c r="D1337" s="55">
        <v>1358.0</v>
      </c>
      <c r="E1337" s="57" t="s">
        <v>379</v>
      </c>
      <c r="F1337" s="2" t="s">
        <v>1039</v>
      </c>
    </row>
    <row r="1338">
      <c r="A1338" s="55">
        <f t="shared" si="2"/>
        <v>1337</v>
      </c>
      <c r="B1338" s="56" t="s">
        <v>1044</v>
      </c>
      <c r="C1338" s="55" t="s">
        <v>26</v>
      </c>
      <c r="D1338" s="55">
        <v>1212.0</v>
      </c>
      <c r="E1338" s="57" t="s">
        <v>379</v>
      </c>
      <c r="F1338" s="2" t="s">
        <v>1043</v>
      </c>
    </row>
    <row r="1339">
      <c r="A1339" s="55">
        <f t="shared" si="2"/>
        <v>1338</v>
      </c>
      <c r="B1339" s="56" t="s">
        <v>1044</v>
      </c>
      <c r="C1339" s="55" t="s">
        <v>30</v>
      </c>
      <c r="D1339" s="55">
        <v>1339.0</v>
      </c>
      <c r="E1339" s="57" t="s">
        <v>379</v>
      </c>
      <c r="F1339" s="2" t="s">
        <v>1043</v>
      </c>
    </row>
    <row r="1340">
      <c r="A1340" s="55">
        <f t="shared" si="2"/>
        <v>1339</v>
      </c>
      <c r="B1340" s="56" t="s">
        <v>1044</v>
      </c>
      <c r="C1340" s="55" t="s">
        <v>39</v>
      </c>
      <c r="D1340" s="55">
        <v>1322.0</v>
      </c>
      <c r="E1340" s="57" t="s">
        <v>379</v>
      </c>
      <c r="F1340" s="2" t="s">
        <v>1043</v>
      </c>
    </row>
    <row r="1341">
      <c r="A1341" s="55">
        <f t="shared" si="2"/>
        <v>1340</v>
      </c>
      <c r="B1341" s="56" t="s">
        <v>1044</v>
      </c>
      <c r="C1341" s="55" t="s">
        <v>33</v>
      </c>
      <c r="D1341" s="55">
        <v>1319.0</v>
      </c>
      <c r="E1341" s="57" t="s">
        <v>379</v>
      </c>
      <c r="F1341" s="2" t="s">
        <v>1043</v>
      </c>
    </row>
    <row r="1342">
      <c r="A1342" s="55">
        <f t="shared" si="2"/>
        <v>1341</v>
      </c>
      <c r="B1342" s="56" t="s">
        <v>1044</v>
      </c>
      <c r="C1342" s="55" t="s">
        <v>28</v>
      </c>
      <c r="D1342" s="55">
        <v>1391.0</v>
      </c>
      <c r="E1342" s="57" t="s">
        <v>379</v>
      </c>
      <c r="F1342" s="2" t="s">
        <v>1043</v>
      </c>
    </row>
    <row r="1343">
      <c r="A1343" s="55">
        <f t="shared" si="2"/>
        <v>1342</v>
      </c>
      <c r="B1343" s="56" t="s">
        <v>1044</v>
      </c>
      <c r="C1343" s="55" t="s">
        <v>42</v>
      </c>
      <c r="D1343" s="55">
        <v>1381.0</v>
      </c>
      <c r="E1343" s="57" t="s">
        <v>379</v>
      </c>
      <c r="F1343" s="2" t="s">
        <v>1043</v>
      </c>
    </row>
    <row r="1344">
      <c r="A1344" s="55">
        <f t="shared" si="2"/>
        <v>1343</v>
      </c>
      <c r="B1344" s="56" t="s">
        <v>1048</v>
      </c>
      <c r="C1344" s="55" t="s">
        <v>36</v>
      </c>
      <c r="D1344" s="55">
        <v>1211.0</v>
      </c>
      <c r="E1344" s="57" t="s">
        <v>379</v>
      </c>
      <c r="F1344" s="2" t="s">
        <v>1047</v>
      </c>
    </row>
    <row r="1345">
      <c r="A1345" s="55">
        <f t="shared" si="2"/>
        <v>1344</v>
      </c>
      <c r="B1345" s="56" t="s">
        <v>1048</v>
      </c>
      <c r="C1345" s="55" t="s">
        <v>28</v>
      </c>
      <c r="D1345" s="55">
        <v>1375.0</v>
      </c>
      <c r="E1345" s="57" t="s">
        <v>379</v>
      </c>
      <c r="F1345" s="2" t="s">
        <v>1047</v>
      </c>
    </row>
    <row r="1346">
      <c r="A1346" s="55">
        <f t="shared" si="2"/>
        <v>1345</v>
      </c>
      <c r="B1346" s="56" t="s">
        <v>1048</v>
      </c>
      <c r="C1346" s="55" t="s">
        <v>42</v>
      </c>
      <c r="D1346" s="55">
        <v>1364.0</v>
      </c>
      <c r="E1346" s="57" t="s">
        <v>379</v>
      </c>
      <c r="F1346" s="2" t="s">
        <v>1047</v>
      </c>
    </row>
    <row r="1347">
      <c r="A1347" s="55">
        <f t="shared" si="2"/>
        <v>1346</v>
      </c>
      <c r="B1347" s="56" t="s">
        <v>1048</v>
      </c>
      <c r="C1347" s="55" t="s">
        <v>33</v>
      </c>
      <c r="D1347" s="55">
        <v>1300.0</v>
      </c>
      <c r="E1347" s="57" t="s">
        <v>379</v>
      </c>
      <c r="F1347" s="2" t="s">
        <v>1047</v>
      </c>
    </row>
    <row r="1348">
      <c r="A1348" s="55">
        <f t="shared" si="2"/>
        <v>1347</v>
      </c>
      <c r="B1348" s="56" t="s">
        <v>1048</v>
      </c>
      <c r="C1348" s="55" t="s">
        <v>39</v>
      </c>
      <c r="D1348" s="55">
        <v>1339.0</v>
      </c>
      <c r="E1348" s="57" t="s">
        <v>379</v>
      </c>
      <c r="F1348" s="2" t="s">
        <v>1047</v>
      </c>
    </row>
    <row r="1349">
      <c r="A1349" s="55">
        <f t="shared" si="2"/>
        <v>1348</v>
      </c>
      <c r="B1349" s="56" t="s">
        <v>1048</v>
      </c>
      <c r="C1349" s="55" t="s">
        <v>26</v>
      </c>
      <c r="D1349" s="55">
        <v>1228.0</v>
      </c>
      <c r="E1349" s="57" t="s">
        <v>379</v>
      </c>
      <c r="F1349" s="2" t="s">
        <v>1047</v>
      </c>
    </row>
    <row r="1350">
      <c r="A1350" s="55">
        <f t="shared" si="2"/>
        <v>1349</v>
      </c>
      <c r="B1350" s="56" t="s">
        <v>1052</v>
      </c>
      <c r="C1350" s="55" t="s">
        <v>36</v>
      </c>
      <c r="D1350" s="55">
        <v>1222.0</v>
      </c>
      <c r="E1350" s="57" t="s">
        <v>379</v>
      </c>
      <c r="F1350" s="2" t="s">
        <v>1051</v>
      </c>
    </row>
    <row r="1351">
      <c r="A1351" s="55">
        <f t="shared" si="2"/>
        <v>1350</v>
      </c>
      <c r="B1351" s="56" t="s">
        <v>1052</v>
      </c>
      <c r="C1351" s="55" t="s">
        <v>26</v>
      </c>
      <c r="D1351" s="55">
        <v>1201.0</v>
      </c>
      <c r="E1351" s="57" t="s">
        <v>379</v>
      </c>
      <c r="F1351" s="2" t="s">
        <v>1051</v>
      </c>
    </row>
    <row r="1352">
      <c r="A1352" s="55">
        <f t="shared" si="2"/>
        <v>1351</v>
      </c>
      <c r="B1352" s="56" t="s">
        <v>1052</v>
      </c>
      <c r="C1352" s="55" t="s">
        <v>39</v>
      </c>
      <c r="D1352" s="55">
        <v>1317.0</v>
      </c>
      <c r="E1352" s="57" t="s">
        <v>379</v>
      </c>
      <c r="F1352" s="2" t="s">
        <v>1051</v>
      </c>
    </row>
    <row r="1353">
      <c r="A1353" s="55">
        <f t="shared" si="2"/>
        <v>1352</v>
      </c>
      <c r="B1353" s="56" t="s">
        <v>1052</v>
      </c>
      <c r="C1353" s="55" t="s">
        <v>28</v>
      </c>
      <c r="D1353" s="55">
        <v>1387.0</v>
      </c>
      <c r="E1353" s="57" t="s">
        <v>379</v>
      </c>
      <c r="F1353" s="2" t="s">
        <v>1051</v>
      </c>
    </row>
    <row r="1354">
      <c r="A1354" s="55">
        <f t="shared" si="2"/>
        <v>1353</v>
      </c>
      <c r="B1354" s="56" t="s">
        <v>1052</v>
      </c>
      <c r="C1354" s="55" t="s">
        <v>33</v>
      </c>
      <c r="D1354" s="55">
        <v>1280.0</v>
      </c>
      <c r="E1354" s="57" t="s">
        <v>379</v>
      </c>
      <c r="F1354" s="2" t="s">
        <v>1051</v>
      </c>
    </row>
    <row r="1355">
      <c r="A1355" s="55">
        <f t="shared" si="2"/>
        <v>1354</v>
      </c>
      <c r="B1355" s="56" t="s">
        <v>1057</v>
      </c>
      <c r="C1355" s="55" t="s">
        <v>36</v>
      </c>
      <c r="D1355" s="55">
        <v>1238.0</v>
      </c>
      <c r="E1355" s="57" t="s">
        <v>379</v>
      </c>
      <c r="F1355" s="2" t="s">
        <v>1056</v>
      </c>
    </row>
    <row r="1356">
      <c r="A1356" s="55">
        <f t="shared" si="2"/>
        <v>1355</v>
      </c>
      <c r="B1356" s="56" t="s">
        <v>1057</v>
      </c>
      <c r="C1356" s="55" t="s">
        <v>26</v>
      </c>
      <c r="D1356" s="55">
        <v>1217.0</v>
      </c>
      <c r="E1356" s="57" t="s">
        <v>379</v>
      </c>
      <c r="F1356" s="2" t="s">
        <v>1056</v>
      </c>
    </row>
    <row r="1357">
      <c r="A1357" s="55">
        <f t="shared" si="2"/>
        <v>1356</v>
      </c>
      <c r="B1357" s="56" t="s">
        <v>1057</v>
      </c>
      <c r="C1357" s="55" t="s">
        <v>34</v>
      </c>
      <c r="D1357" s="55">
        <v>1053.0</v>
      </c>
      <c r="E1357" s="57" t="s">
        <v>379</v>
      </c>
      <c r="F1357" s="2" t="s">
        <v>1056</v>
      </c>
    </row>
    <row r="1358">
      <c r="A1358" s="55">
        <f t="shared" si="2"/>
        <v>1357</v>
      </c>
      <c r="B1358" s="56" t="s">
        <v>1057</v>
      </c>
      <c r="C1358" s="55" t="s">
        <v>28</v>
      </c>
      <c r="D1358" s="55">
        <v>1373.0</v>
      </c>
      <c r="E1358" s="57" t="s">
        <v>379</v>
      </c>
      <c r="F1358" s="2" t="s">
        <v>1056</v>
      </c>
    </row>
    <row r="1359">
      <c r="A1359" s="55">
        <f t="shared" si="2"/>
        <v>1358</v>
      </c>
      <c r="B1359" s="56" t="s">
        <v>1057</v>
      </c>
      <c r="C1359" s="55" t="s">
        <v>51</v>
      </c>
      <c r="D1359" s="55">
        <v>1205.0</v>
      </c>
      <c r="E1359" s="57" t="s">
        <v>379</v>
      </c>
      <c r="F1359" s="2" t="s">
        <v>1056</v>
      </c>
    </row>
    <row r="1360">
      <c r="A1360" s="55">
        <f t="shared" si="2"/>
        <v>1359</v>
      </c>
      <c r="B1360" s="56" t="s">
        <v>1057</v>
      </c>
      <c r="C1360" s="55" t="s">
        <v>27</v>
      </c>
      <c r="D1360" s="55">
        <v>1435.0</v>
      </c>
      <c r="E1360" s="57" t="s">
        <v>379</v>
      </c>
      <c r="F1360" s="2" t="s">
        <v>1056</v>
      </c>
    </row>
    <row r="1361">
      <c r="A1361" s="55">
        <f t="shared" si="2"/>
        <v>1360</v>
      </c>
      <c r="B1361" s="56" t="s">
        <v>1057</v>
      </c>
      <c r="C1361" s="55" t="s">
        <v>39</v>
      </c>
      <c r="D1361" s="55">
        <v>1297.0</v>
      </c>
      <c r="E1361" s="57" t="s">
        <v>379</v>
      </c>
      <c r="F1361" s="2" t="s">
        <v>1056</v>
      </c>
    </row>
    <row r="1362">
      <c r="A1362" s="55">
        <f t="shared" si="2"/>
        <v>1361</v>
      </c>
      <c r="B1362" s="56" t="s">
        <v>1061</v>
      </c>
      <c r="C1362" s="55" t="s">
        <v>26</v>
      </c>
      <c r="D1362" s="55">
        <v>1234.0</v>
      </c>
      <c r="E1362" s="57" t="s">
        <v>379</v>
      </c>
      <c r="F1362" s="2" t="s">
        <v>1060</v>
      </c>
    </row>
    <row r="1363">
      <c r="A1363" s="55">
        <f t="shared" si="2"/>
        <v>1362</v>
      </c>
      <c r="B1363" s="56" t="s">
        <v>1061</v>
      </c>
      <c r="C1363" s="55" t="s">
        <v>30</v>
      </c>
      <c r="D1363" s="55">
        <v>1356.0</v>
      </c>
      <c r="E1363" s="57" t="s">
        <v>379</v>
      </c>
      <c r="F1363" s="2" t="s">
        <v>1060</v>
      </c>
    </row>
    <row r="1364">
      <c r="A1364" s="55">
        <f t="shared" si="2"/>
        <v>1363</v>
      </c>
      <c r="B1364" s="56" t="s">
        <v>1061</v>
      </c>
      <c r="C1364" s="55" t="s">
        <v>34</v>
      </c>
      <c r="D1364" s="55">
        <v>1068.0</v>
      </c>
      <c r="E1364" s="57" t="s">
        <v>379</v>
      </c>
      <c r="F1364" s="2" t="s">
        <v>1060</v>
      </c>
    </row>
    <row r="1365">
      <c r="A1365" s="55">
        <f t="shared" si="2"/>
        <v>1364</v>
      </c>
      <c r="B1365" s="56" t="s">
        <v>1061</v>
      </c>
      <c r="C1365" s="55" t="s">
        <v>27</v>
      </c>
      <c r="D1365" s="55">
        <v>1423.0</v>
      </c>
      <c r="E1365" s="57" t="s">
        <v>379</v>
      </c>
      <c r="F1365" s="2" t="s">
        <v>1060</v>
      </c>
    </row>
    <row r="1366">
      <c r="A1366" s="55">
        <f t="shared" si="2"/>
        <v>1365</v>
      </c>
      <c r="B1366" s="56" t="s">
        <v>1061</v>
      </c>
      <c r="C1366" s="55" t="s">
        <v>39</v>
      </c>
      <c r="D1366" s="55">
        <v>1278.0</v>
      </c>
      <c r="E1366" s="57" t="s">
        <v>379</v>
      </c>
      <c r="F1366" s="2" t="s">
        <v>1060</v>
      </c>
    </row>
    <row r="1367">
      <c r="A1367" s="55">
        <f t="shared" si="2"/>
        <v>1366</v>
      </c>
      <c r="B1367" s="56" t="s">
        <v>1061</v>
      </c>
      <c r="C1367" s="55" t="s">
        <v>42</v>
      </c>
      <c r="D1367" s="55">
        <v>1376.0</v>
      </c>
      <c r="E1367" s="57" t="s">
        <v>379</v>
      </c>
      <c r="F1367" s="2" t="s">
        <v>1060</v>
      </c>
    </row>
    <row r="1368">
      <c r="A1368" s="55">
        <f t="shared" si="2"/>
        <v>1367</v>
      </c>
      <c r="B1368" s="56" t="s">
        <v>1061</v>
      </c>
      <c r="C1368" s="55" t="s">
        <v>44</v>
      </c>
      <c r="D1368" s="55">
        <v>1180.0</v>
      </c>
      <c r="E1368" s="57" t="s">
        <v>379</v>
      </c>
      <c r="F1368" s="2" t="s">
        <v>1060</v>
      </c>
    </row>
    <row r="1369">
      <c r="A1369" s="55">
        <f t="shared" si="2"/>
        <v>1368</v>
      </c>
      <c r="B1369" s="56" t="s">
        <v>1061</v>
      </c>
      <c r="C1369" s="55" t="s">
        <v>51</v>
      </c>
      <c r="D1369" s="55">
        <v>1186.0</v>
      </c>
      <c r="E1369" s="57" t="s">
        <v>379</v>
      </c>
      <c r="F1369" s="2" t="s">
        <v>1060</v>
      </c>
    </row>
    <row r="1370">
      <c r="A1370" s="55">
        <f t="shared" si="2"/>
        <v>1369</v>
      </c>
      <c r="B1370" s="56" t="s">
        <v>1066</v>
      </c>
      <c r="C1370" s="55" t="s">
        <v>34</v>
      </c>
      <c r="D1370" s="55">
        <v>1078.0</v>
      </c>
      <c r="E1370" s="57" t="s">
        <v>379</v>
      </c>
      <c r="F1370" s="2" t="s">
        <v>1065</v>
      </c>
    </row>
    <row r="1371">
      <c r="A1371" s="55">
        <f t="shared" si="2"/>
        <v>1370</v>
      </c>
      <c r="B1371" s="56" t="s">
        <v>1066</v>
      </c>
      <c r="C1371" s="55" t="s">
        <v>39</v>
      </c>
      <c r="D1371" s="55">
        <v>1252.0</v>
      </c>
      <c r="E1371" s="57" t="s">
        <v>379</v>
      </c>
      <c r="F1371" s="2" t="s">
        <v>1065</v>
      </c>
    </row>
    <row r="1372">
      <c r="A1372" s="55">
        <f t="shared" si="2"/>
        <v>1371</v>
      </c>
      <c r="B1372" s="56" t="s">
        <v>1066</v>
      </c>
      <c r="C1372" s="55" t="s">
        <v>26</v>
      </c>
      <c r="D1372" s="55">
        <v>1245.0</v>
      </c>
      <c r="E1372" s="57" t="s">
        <v>379</v>
      </c>
      <c r="F1372" s="2" t="s">
        <v>1065</v>
      </c>
    </row>
    <row r="1373">
      <c r="A1373" s="55">
        <f t="shared" si="2"/>
        <v>1372</v>
      </c>
      <c r="B1373" s="56" t="s">
        <v>1066</v>
      </c>
      <c r="C1373" s="55" t="s">
        <v>30</v>
      </c>
      <c r="D1373" s="55">
        <v>1368.0</v>
      </c>
      <c r="E1373" s="57" t="s">
        <v>379</v>
      </c>
      <c r="F1373" s="2" t="s">
        <v>1065</v>
      </c>
    </row>
    <row r="1374">
      <c r="A1374" s="55">
        <f t="shared" si="2"/>
        <v>1373</v>
      </c>
      <c r="B1374" s="56" t="s">
        <v>1066</v>
      </c>
      <c r="C1374" s="55" t="s">
        <v>27</v>
      </c>
      <c r="D1374" s="55">
        <v>1435.0</v>
      </c>
      <c r="E1374" s="57" t="s">
        <v>379</v>
      </c>
      <c r="F1374" s="2" t="s">
        <v>1065</v>
      </c>
    </row>
    <row r="1375">
      <c r="A1375" s="55">
        <f t="shared" si="2"/>
        <v>1374</v>
      </c>
      <c r="B1375" s="56" t="s">
        <v>1066</v>
      </c>
      <c r="C1375" s="55" t="s">
        <v>51</v>
      </c>
      <c r="D1375" s="55">
        <v>1162.0</v>
      </c>
      <c r="E1375" s="57" t="s">
        <v>379</v>
      </c>
      <c r="F1375" s="2" t="s">
        <v>1065</v>
      </c>
    </row>
    <row r="1376">
      <c r="A1376" s="55">
        <f t="shared" si="2"/>
        <v>1375</v>
      </c>
      <c r="B1376" s="56" t="s">
        <v>1066</v>
      </c>
      <c r="C1376" s="55" t="s">
        <v>42</v>
      </c>
      <c r="D1376" s="55">
        <v>1358.0</v>
      </c>
      <c r="E1376" s="57" t="s">
        <v>379</v>
      </c>
      <c r="F1376" s="2" t="s">
        <v>1065</v>
      </c>
    </row>
    <row r="1377">
      <c r="A1377" s="55">
        <f t="shared" si="2"/>
        <v>1376</v>
      </c>
      <c r="B1377" s="56" t="s">
        <v>1070</v>
      </c>
      <c r="C1377" s="55" t="s">
        <v>30</v>
      </c>
      <c r="D1377" s="55">
        <v>1350.0</v>
      </c>
      <c r="E1377" s="57" t="s">
        <v>379</v>
      </c>
      <c r="F1377" s="2" t="s">
        <v>1069</v>
      </c>
    </row>
    <row r="1378">
      <c r="A1378" s="55">
        <f t="shared" si="2"/>
        <v>1377</v>
      </c>
      <c r="B1378" s="56" t="s">
        <v>1070</v>
      </c>
      <c r="C1378" s="55" t="s">
        <v>34</v>
      </c>
      <c r="D1378" s="55">
        <v>1088.0</v>
      </c>
      <c r="E1378" s="57" t="s">
        <v>379</v>
      </c>
      <c r="F1378" s="2" t="s">
        <v>1069</v>
      </c>
    </row>
    <row r="1379">
      <c r="A1379" s="55">
        <f t="shared" si="2"/>
        <v>1378</v>
      </c>
      <c r="B1379" s="56" t="s">
        <v>1070</v>
      </c>
      <c r="C1379" s="55" t="s">
        <v>28</v>
      </c>
      <c r="D1379" s="55">
        <v>1359.0</v>
      </c>
      <c r="E1379" s="57" t="s">
        <v>379</v>
      </c>
      <c r="F1379" s="2" t="s">
        <v>1069</v>
      </c>
    </row>
    <row r="1380">
      <c r="A1380" s="55">
        <f t="shared" si="2"/>
        <v>1379</v>
      </c>
      <c r="B1380" s="56" t="s">
        <v>1070</v>
      </c>
      <c r="C1380" s="55" t="s">
        <v>42</v>
      </c>
      <c r="D1380" s="55">
        <v>1342.0</v>
      </c>
      <c r="E1380" s="57" t="s">
        <v>379</v>
      </c>
      <c r="F1380" s="2" t="s">
        <v>1069</v>
      </c>
    </row>
    <row r="1381">
      <c r="A1381" s="55">
        <f t="shared" si="2"/>
        <v>1380</v>
      </c>
      <c r="B1381" s="56" t="s">
        <v>1070</v>
      </c>
      <c r="C1381" s="55" t="s">
        <v>26</v>
      </c>
      <c r="D1381" s="55">
        <v>1257.0</v>
      </c>
      <c r="E1381" s="57" t="s">
        <v>379</v>
      </c>
      <c r="F1381" s="2" t="s">
        <v>1069</v>
      </c>
    </row>
    <row r="1382">
      <c r="A1382" s="55">
        <f t="shared" si="2"/>
        <v>1381</v>
      </c>
      <c r="B1382" s="56" t="s">
        <v>1075</v>
      </c>
      <c r="C1382" s="55" t="s">
        <v>26</v>
      </c>
      <c r="D1382" s="55">
        <v>1235.0</v>
      </c>
      <c r="E1382" s="57" t="s">
        <v>379</v>
      </c>
      <c r="F1382" s="2" t="s">
        <v>1074</v>
      </c>
    </row>
    <row r="1383">
      <c r="A1383" s="55">
        <f t="shared" si="2"/>
        <v>1382</v>
      </c>
      <c r="B1383" s="56" t="s">
        <v>1075</v>
      </c>
      <c r="C1383" s="55" t="s">
        <v>30</v>
      </c>
      <c r="D1383" s="55">
        <v>1370.0</v>
      </c>
      <c r="E1383" s="57" t="s">
        <v>379</v>
      </c>
      <c r="F1383" s="2" t="s">
        <v>1074</v>
      </c>
    </row>
    <row r="1384">
      <c r="A1384" s="55">
        <f t="shared" si="2"/>
        <v>1383</v>
      </c>
      <c r="B1384" s="56" t="s">
        <v>1075</v>
      </c>
      <c r="C1384" s="55" t="s">
        <v>42</v>
      </c>
      <c r="D1384" s="55">
        <v>1327.0</v>
      </c>
      <c r="E1384" s="57" t="s">
        <v>379</v>
      </c>
      <c r="F1384" s="2" t="s">
        <v>1074</v>
      </c>
    </row>
    <row r="1385">
      <c r="A1385" s="55">
        <f t="shared" si="2"/>
        <v>1384</v>
      </c>
      <c r="B1385" s="56" t="s">
        <v>1075</v>
      </c>
      <c r="C1385" s="55" t="s">
        <v>34</v>
      </c>
      <c r="D1385" s="55">
        <v>1104.0</v>
      </c>
      <c r="E1385" s="57" t="s">
        <v>379</v>
      </c>
      <c r="F1385" s="2" t="s">
        <v>1074</v>
      </c>
    </row>
    <row r="1386">
      <c r="A1386" s="55">
        <f t="shared" si="2"/>
        <v>1385</v>
      </c>
      <c r="B1386" s="56" t="s">
        <v>1080</v>
      </c>
      <c r="C1386" s="55" t="s">
        <v>26</v>
      </c>
      <c r="D1386" s="55">
        <v>1250.0</v>
      </c>
      <c r="E1386" s="57" t="s">
        <v>379</v>
      </c>
      <c r="F1386" s="2" t="s">
        <v>1079</v>
      </c>
    </row>
    <row r="1387">
      <c r="A1387" s="55">
        <f t="shared" si="2"/>
        <v>1386</v>
      </c>
      <c r="B1387" s="56" t="s">
        <v>1080</v>
      </c>
      <c r="C1387" s="55" t="s">
        <v>36</v>
      </c>
      <c r="D1387" s="55">
        <v>1255.0</v>
      </c>
      <c r="E1387" s="57" t="s">
        <v>379</v>
      </c>
      <c r="F1387" s="2" t="s">
        <v>1079</v>
      </c>
    </row>
    <row r="1388">
      <c r="A1388" s="55">
        <f t="shared" si="2"/>
        <v>1387</v>
      </c>
      <c r="B1388" s="56" t="s">
        <v>1080</v>
      </c>
      <c r="C1388" s="55" t="s">
        <v>30</v>
      </c>
      <c r="D1388" s="55">
        <v>1387.0</v>
      </c>
      <c r="E1388" s="57" t="s">
        <v>379</v>
      </c>
      <c r="F1388" s="2" t="s">
        <v>1079</v>
      </c>
    </row>
    <row r="1389">
      <c r="A1389" s="55">
        <f t="shared" si="2"/>
        <v>1388</v>
      </c>
      <c r="B1389" s="56" t="s">
        <v>1080</v>
      </c>
      <c r="C1389" s="55" t="s">
        <v>42</v>
      </c>
      <c r="D1389" s="55">
        <v>1311.0</v>
      </c>
      <c r="E1389" s="57" t="s">
        <v>379</v>
      </c>
      <c r="F1389" s="2" t="s">
        <v>1079</v>
      </c>
    </row>
    <row r="1390">
      <c r="A1390" s="55">
        <f t="shared" si="2"/>
        <v>1389</v>
      </c>
      <c r="B1390" s="56" t="s">
        <v>1080</v>
      </c>
      <c r="C1390" s="55" t="s">
        <v>27</v>
      </c>
      <c r="D1390" s="55">
        <v>1422.0</v>
      </c>
      <c r="E1390" s="57" t="s">
        <v>379</v>
      </c>
      <c r="F1390" s="2" t="s">
        <v>1079</v>
      </c>
    </row>
    <row r="1391">
      <c r="A1391" s="55">
        <f t="shared" si="2"/>
        <v>1390</v>
      </c>
      <c r="B1391" s="56" t="s">
        <v>1084</v>
      </c>
      <c r="C1391" s="55" t="s">
        <v>36</v>
      </c>
      <c r="D1391" s="55">
        <v>1272.0</v>
      </c>
      <c r="E1391" s="57" t="s">
        <v>379</v>
      </c>
      <c r="F1391" s="2" t="s">
        <v>1083</v>
      </c>
    </row>
    <row r="1392">
      <c r="A1392" s="55">
        <f t="shared" si="2"/>
        <v>1391</v>
      </c>
      <c r="B1392" s="56" t="s">
        <v>1084</v>
      </c>
      <c r="C1392" s="55" t="s">
        <v>30</v>
      </c>
      <c r="D1392" s="55">
        <v>1370.0</v>
      </c>
      <c r="E1392" s="57" t="s">
        <v>379</v>
      </c>
      <c r="F1392" s="2" t="s">
        <v>1083</v>
      </c>
    </row>
    <row r="1393">
      <c r="A1393" s="55">
        <f t="shared" si="2"/>
        <v>1392</v>
      </c>
      <c r="B1393" s="56" t="s">
        <v>1084</v>
      </c>
      <c r="C1393" s="55" t="s">
        <v>42</v>
      </c>
      <c r="D1393" s="55">
        <v>1295.0</v>
      </c>
      <c r="E1393" s="57" t="s">
        <v>379</v>
      </c>
      <c r="F1393" s="2" t="s">
        <v>1083</v>
      </c>
    </row>
    <row r="1394">
      <c r="A1394" s="55">
        <f t="shared" si="2"/>
        <v>1393</v>
      </c>
      <c r="B1394" s="56" t="s">
        <v>1084</v>
      </c>
      <c r="C1394" s="55" t="s">
        <v>28</v>
      </c>
      <c r="D1394" s="55">
        <v>1344.0</v>
      </c>
      <c r="E1394" s="57" t="s">
        <v>379</v>
      </c>
      <c r="F1394" s="2" t="s">
        <v>1083</v>
      </c>
    </row>
    <row r="1395">
      <c r="A1395" s="55">
        <f t="shared" si="2"/>
        <v>1394</v>
      </c>
      <c r="B1395" s="56" t="s">
        <v>1084</v>
      </c>
      <c r="C1395" s="55" t="s">
        <v>27</v>
      </c>
      <c r="D1395" s="55">
        <v>1409.0</v>
      </c>
      <c r="E1395" s="57" t="s">
        <v>379</v>
      </c>
      <c r="F1395" s="2" t="s">
        <v>1083</v>
      </c>
    </row>
    <row r="1396">
      <c r="A1396" s="55">
        <f t="shared" si="2"/>
        <v>1395</v>
      </c>
      <c r="B1396" s="56" t="s">
        <v>1084</v>
      </c>
      <c r="C1396" s="55" t="s">
        <v>26</v>
      </c>
      <c r="D1396" s="55">
        <v>1267.0</v>
      </c>
      <c r="E1396" s="57" t="s">
        <v>379</v>
      </c>
      <c r="F1396" s="2" t="s">
        <v>1083</v>
      </c>
    </row>
    <row r="1397">
      <c r="A1397" s="55">
        <f t="shared" si="2"/>
        <v>1396</v>
      </c>
      <c r="B1397" s="56" t="s">
        <v>1088</v>
      </c>
      <c r="C1397" s="55" t="s">
        <v>26</v>
      </c>
      <c r="D1397" s="55">
        <v>1242.0</v>
      </c>
      <c r="E1397" s="57" t="s">
        <v>379</v>
      </c>
      <c r="F1397" s="2" t="s">
        <v>1087</v>
      </c>
    </row>
    <row r="1398">
      <c r="A1398" s="55">
        <f t="shared" si="2"/>
        <v>1397</v>
      </c>
      <c r="B1398" s="56" t="s">
        <v>1088</v>
      </c>
      <c r="C1398" s="55" t="s">
        <v>42</v>
      </c>
      <c r="D1398" s="55">
        <v>1313.0</v>
      </c>
      <c r="E1398" s="57" t="s">
        <v>379</v>
      </c>
      <c r="F1398" s="2" t="s">
        <v>1087</v>
      </c>
    </row>
    <row r="1399">
      <c r="A1399" s="55">
        <f t="shared" si="2"/>
        <v>1398</v>
      </c>
      <c r="B1399" s="56" t="s">
        <v>1088</v>
      </c>
      <c r="C1399" s="55" t="s">
        <v>30</v>
      </c>
      <c r="D1399" s="55">
        <v>1389.0</v>
      </c>
      <c r="E1399" s="57" t="s">
        <v>379</v>
      </c>
      <c r="F1399" s="2" t="s">
        <v>1087</v>
      </c>
    </row>
    <row r="1400">
      <c r="A1400" s="55">
        <f t="shared" si="2"/>
        <v>1399</v>
      </c>
      <c r="B1400" s="56" t="s">
        <v>1088</v>
      </c>
      <c r="C1400" s="55" t="s">
        <v>50</v>
      </c>
      <c r="D1400" s="55">
        <v>1212.0</v>
      </c>
      <c r="E1400" s="57" t="s">
        <v>379</v>
      </c>
      <c r="F1400" s="2" t="s">
        <v>1087</v>
      </c>
    </row>
    <row r="1401">
      <c r="A1401" s="55">
        <f t="shared" si="2"/>
        <v>1400</v>
      </c>
      <c r="B1401" s="56" t="s">
        <v>1088</v>
      </c>
      <c r="C1401" s="55" t="s">
        <v>39</v>
      </c>
      <c r="D1401" s="55">
        <v>1220.0</v>
      </c>
      <c r="E1401" s="57" t="s">
        <v>379</v>
      </c>
      <c r="F1401" s="2" t="s">
        <v>1087</v>
      </c>
    </row>
    <row r="1402">
      <c r="A1402" s="55">
        <f t="shared" si="2"/>
        <v>1401</v>
      </c>
      <c r="B1402" s="56" t="s">
        <v>1088</v>
      </c>
      <c r="C1402" s="55" t="s">
        <v>36</v>
      </c>
      <c r="D1402" s="55">
        <v>1290.0</v>
      </c>
      <c r="E1402" s="57" t="s">
        <v>379</v>
      </c>
      <c r="F1402" s="2" t="s">
        <v>1087</v>
      </c>
    </row>
    <row r="1403">
      <c r="A1403" s="55">
        <f t="shared" si="2"/>
        <v>1402</v>
      </c>
      <c r="B1403" s="56" t="s">
        <v>1088</v>
      </c>
      <c r="C1403" s="55" t="s">
        <v>28</v>
      </c>
      <c r="D1403" s="55">
        <v>1326.0</v>
      </c>
      <c r="E1403" s="57" t="s">
        <v>379</v>
      </c>
      <c r="F1403" s="2" t="s">
        <v>1087</v>
      </c>
    </row>
    <row r="1404">
      <c r="A1404" s="55">
        <f t="shared" si="2"/>
        <v>1403</v>
      </c>
      <c r="B1404" s="56" t="s">
        <v>1093</v>
      </c>
      <c r="C1404" s="55" t="s">
        <v>28</v>
      </c>
      <c r="D1404" s="55">
        <v>1305.0</v>
      </c>
      <c r="E1404" s="57" t="s">
        <v>379</v>
      </c>
      <c r="F1404" s="2" t="s">
        <v>1092</v>
      </c>
    </row>
    <row r="1405">
      <c r="A1405" s="55">
        <f t="shared" si="2"/>
        <v>1404</v>
      </c>
      <c r="B1405" s="56" t="s">
        <v>1093</v>
      </c>
      <c r="C1405" s="55" t="s">
        <v>26</v>
      </c>
      <c r="D1405" s="55">
        <v>1258.0</v>
      </c>
      <c r="E1405" s="57" t="s">
        <v>379</v>
      </c>
      <c r="F1405" s="2" t="s">
        <v>1092</v>
      </c>
    </row>
    <row r="1406">
      <c r="A1406" s="55">
        <f t="shared" si="2"/>
        <v>1405</v>
      </c>
      <c r="B1406" s="56" t="s">
        <v>1093</v>
      </c>
      <c r="C1406" s="55" t="s">
        <v>50</v>
      </c>
      <c r="D1406" s="55">
        <v>1228.0</v>
      </c>
      <c r="E1406" s="57" t="s">
        <v>379</v>
      </c>
      <c r="F1406" s="2" t="s">
        <v>1092</v>
      </c>
    </row>
    <row r="1407">
      <c r="A1407" s="55">
        <f t="shared" si="2"/>
        <v>1406</v>
      </c>
      <c r="B1407" s="56" t="s">
        <v>1093</v>
      </c>
      <c r="C1407" s="55" t="s">
        <v>36</v>
      </c>
      <c r="D1407" s="55">
        <v>1268.0</v>
      </c>
      <c r="E1407" s="57" t="s">
        <v>379</v>
      </c>
      <c r="F1407" s="2" t="s">
        <v>1092</v>
      </c>
    </row>
    <row r="1408">
      <c r="A1408" s="55">
        <f t="shared" si="2"/>
        <v>1407</v>
      </c>
      <c r="B1408" s="56" t="s">
        <v>1093</v>
      </c>
      <c r="C1408" s="55" t="s">
        <v>30</v>
      </c>
      <c r="D1408" s="55">
        <v>1407.0</v>
      </c>
      <c r="E1408" s="57" t="s">
        <v>379</v>
      </c>
      <c r="F1408" s="2" t="s">
        <v>1092</v>
      </c>
    </row>
    <row r="1409">
      <c r="A1409" s="55">
        <f t="shared" si="2"/>
        <v>1408</v>
      </c>
      <c r="B1409" s="56" t="s">
        <v>1093</v>
      </c>
      <c r="C1409" s="55" t="s">
        <v>27</v>
      </c>
      <c r="D1409" s="55">
        <v>1393.0</v>
      </c>
      <c r="E1409" s="57" t="s">
        <v>379</v>
      </c>
      <c r="F1409" s="2" t="s">
        <v>1092</v>
      </c>
    </row>
    <row r="1410">
      <c r="A1410" s="55">
        <f t="shared" si="2"/>
        <v>1409</v>
      </c>
      <c r="B1410" s="56" t="s">
        <v>1097</v>
      </c>
      <c r="C1410" s="55" t="s">
        <v>33</v>
      </c>
      <c r="D1410" s="55">
        <v>1262.0</v>
      </c>
      <c r="E1410" s="57" t="s">
        <v>379</v>
      </c>
      <c r="F1410" s="2" t="s">
        <v>1096</v>
      </c>
    </row>
    <row r="1411">
      <c r="A1411" s="55">
        <f t="shared" si="2"/>
        <v>1410</v>
      </c>
      <c r="B1411" s="56" t="s">
        <v>1097</v>
      </c>
      <c r="C1411" s="55" t="s">
        <v>50</v>
      </c>
      <c r="D1411" s="55">
        <v>1240.0</v>
      </c>
      <c r="E1411" s="57" t="s">
        <v>379</v>
      </c>
      <c r="F1411" s="2" t="s">
        <v>1096</v>
      </c>
    </row>
    <row r="1412">
      <c r="A1412" s="55">
        <f t="shared" si="2"/>
        <v>1411</v>
      </c>
      <c r="B1412" s="56" t="s">
        <v>1097</v>
      </c>
      <c r="C1412" s="55" t="s">
        <v>26</v>
      </c>
      <c r="D1412" s="55">
        <v>1270.0</v>
      </c>
      <c r="E1412" s="57" t="s">
        <v>379</v>
      </c>
      <c r="F1412" s="2" t="s">
        <v>1096</v>
      </c>
    </row>
    <row r="1413">
      <c r="A1413" s="55">
        <f t="shared" si="2"/>
        <v>1412</v>
      </c>
      <c r="B1413" s="56" t="s">
        <v>1097</v>
      </c>
      <c r="C1413" s="55" t="s">
        <v>36</v>
      </c>
      <c r="D1413" s="55">
        <v>1281.0</v>
      </c>
      <c r="E1413" s="57" t="s">
        <v>379</v>
      </c>
      <c r="F1413" s="2" t="s">
        <v>1096</v>
      </c>
    </row>
    <row r="1414">
      <c r="A1414" s="55">
        <f t="shared" si="2"/>
        <v>1413</v>
      </c>
      <c r="B1414" s="56" t="s">
        <v>1097</v>
      </c>
      <c r="C1414" s="55" t="s">
        <v>28</v>
      </c>
      <c r="D1414" s="55">
        <v>1318.0</v>
      </c>
      <c r="E1414" s="57" t="s">
        <v>379</v>
      </c>
      <c r="F1414" s="2" t="s">
        <v>1096</v>
      </c>
    </row>
    <row r="1415">
      <c r="A1415" s="55">
        <f t="shared" si="2"/>
        <v>1414</v>
      </c>
      <c r="B1415" s="56" t="s">
        <v>1097</v>
      </c>
      <c r="C1415" s="55" t="s">
        <v>30</v>
      </c>
      <c r="D1415" s="55">
        <v>1387.0</v>
      </c>
      <c r="E1415" s="57" t="s">
        <v>379</v>
      </c>
      <c r="F1415" s="2" t="s">
        <v>1096</v>
      </c>
    </row>
    <row r="1416">
      <c r="A1416" s="55">
        <f t="shared" si="2"/>
        <v>1415</v>
      </c>
      <c r="B1416" s="56" t="s">
        <v>1101</v>
      </c>
      <c r="C1416" s="55" t="s">
        <v>30</v>
      </c>
      <c r="D1416" s="55">
        <v>1367.0</v>
      </c>
      <c r="E1416" s="57" t="s">
        <v>379</v>
      </c>
      <c r="F1416" s="2" t="s">
        <v>1100</v>
      </c>
    </row>
    <row r="1417">
      <c r="A1417" s="55">
        <f t="shared" si="2"/>
        <v>1416</v>
      </c>
      <c r="B1417" s="56" t="s">
        <v>1101</v>
      </c>
      <c r="C1417" s="55" t="s">
        <v>26</v>
      </c>
      <c r="D1417" s="55">
        <v>1288.0</v>
      </c>
      <c r="E1417" s="57" t="s">
        <v>379</v>
      </c>
      <c r="F1417" s="2" t="s">
        <v>1100</v>
      </c>
    </row>
    <row r="1418">
      <c r="A1418" s="55">
        <f t="shared" si="2"/>
        <v>1417</v>
      </c>
      <c r="B1418" s="56" t="s">
        <v>1101</v>
      </c>
      <c r="C1418" s="55" t="s">
        <v>28</v>
      </c>
      <c r="D1418" s="55">
        <v>1299.0</v>
      </c>
      <c r="E1418" s="57" t="s">
        <v>379</v>
      </c>
      <c r="F1418" s="2" t="s">
        <v>1100</v>
      </c>
    </row>
    <row r="1419">
      <c r="A1419" s="55">
        <f t="shared" si="2"/>
        <v>1418</v>
      </c>
      <c r="B1419" s="56" t="s">
        <v>1101</v>
      </c>
      <c r="C1419" s="55" t="s">
        <v>33</v>
      </c>
      <c r="D1419" s="55">
        <v>1280.0</v>
      </c>
      <c r="E1419" s="57" t="s">
        <v>379</v>
      </c>
      <c r="F1419" s="2" t="s">
        <v>1100</v>
      </c>
    </row>
    <row r="1420">
      <c r="A1420" s="55">
        <f t="shared" si="2"/>
        <v>1419</v>
      </c>
      <c r="B1420" s="56" t="s">
        <v>1101</v>
      </c>
      <c r="C1420" s="55" t="s">
        <v>36</v>
      </c>
      <c r="D1420" s="55">
        <v>1261.0</v>
      </c>
      <c r="E1420" s="57" t="s">
        <v>379</v>
      </c>
      <c r="F1420" s="2" t="s">
        <v>1100</v>
      </c>
    </row>
    <row r="1421">
      <c r="A1421" s="55">
        <f t="shared" si="2"/>
        <v>1420</v>
      </c>
      <c r="B1421" s="56" t="s">
        <v>1105</v>
      </c>
      <c r="C1421" s="55" t="s">
        <v>36</v>
      </c>
      <c r="D1421" s="55">
        <v>1239.0</v>
      </c>
      <c r="E1421" s="57" t="s">
        <v>379</v>
      </c>
      <c r="F1421" s="2" t="s">
        <v>1104</v>
      </c>
    </row>
    <row r="1422">
      <c r="A1422" s="55">
        <f t="shared" si="2"/>
        <v>1421</v>
      </c>
      <c r="B1422" s="56" t="s">
        <v>1105</v>
      </c>
      <c r="C1422" s="55" t="s">
        <v>26</v>
      </c>
      <c r="D1422" s="55">
        <v>1303.0</v>
      </c>
      <c r="E1422" s="57" t="s">
        <v>379</v>
      </c>
      <c r="F1422" s="2" t="s">
        <v>1104</v>
      </c>
    </row>
    <row r="1423">
      <c r="A1423" s="55">
        <f t="shared" si="2"/>
        <v>1422</v>
      </c>
      <c r="B1423" s="56" t="s">
        <v>1105</v>
      </c>
      <c r="C1423" s="55" t="s">
        <v>42</v>
      </c>
      <c r="D1423" s="55">
        <v>1330.0</v>
      </c>
      <c r="E1423" s="57" t="s">
        <v>379</v>
      </c>
      <c r="F1423" s="2" t="s">
        <v>1104</v>
      </c>
    </row>
    <row r="1424">
      <c r="A1424" s="55">
        <f t="shared" si="2"/>
        <v>1423</v>
      </c>
      <c r="B1424" s="56" t="s">
        <v>1105</v>
      </c>
      <c r="C1424" s="55" t="s">
        <v>30</v>
      </c>
      <c r="D1424" s="55">
        <v>1383.0</v>
      </c>
      <c r="E1424" s="57" t="s">
        <v>379</v>
      </c>
      <c r="F1424" s="2" t="s">
        <v>1104</v>
      </c>
    </row>
    <row r="1425">
      <c r="A1425" s="55">
        <f t="shared" si="2"/>
        <v>1424</v>
      </c>
      <c r="B1425" s="56" t="s">
        <v>1109</v>
      </c>
      <c r="C1425" s="55" t="s">
        <v>30</v>
      </c>
      <c r="D1425" s="55">
        <v>1362.0</v>
      </c>
      <c r="E1425" s="57" t="s">
        <v>379</v>
      </c>
      <c r="F1425" s="2" t="s">
        <v>1108</v>
      </c>
    </row>
    <row r="1426">
      <c r="A1426" s="55">
        <f t="shared" si="2"/>
        <v>1425</v>
      </c>
      <c r="B1426" s="56" t="s">
        <v>1109</v>
      </c>
      <c r="C1426" s="55" t="s">
        <v>51</v>
      </c>
      <c r="D1426" s="55">
        <v>1140.0</v>
      </c>
      <c r="E1426" s="57" t="s">
        <v>379</v>
      </c>
      <c r="F1426" s="2" t="s">
        <v>1108</v>
      </c>
    </row>
    <row r="1427">
      <c r="A1427" s="55">
        <f t="shared" si="2"/>
        <v>1426</v>
      </c>
      <c r="B1427" s="56" t="s">
        <v>1109</v>
      </c>
      <c r="C1427" s="55" t="s">
        <v>36</v>
      </c>
      <c r="D1427" s="55">
        <v>1252.0</v>
      </c>
      <c r="E1427" s="57" t="s">
        <v>379</v>
      </c>
      <c r="F1427" s="2" t="s">
        <v>1108</v>
      </c>
    </row>
    <row r="1428">
      <c r="A1428" s="55">
        <f t="shared" si="2"/>
        <v>1427</v>
      </c>
      <c r="B1428" s="56" t="s">
        <v>1109</v>
      </c>
      <c r="C1428" s="55" t="s">
        <v>42</v>
      </c>
      <c r="D1428" s="55">
        <v>1344.0</v>
      </c>
      <c r="E1428" s="57" t="s">
        <v>379</v>
      </c>
      <c r="F1428" s="2" t="s">
        <v>1108</v>
      </c>
    </row>
    <row r="1429">
      <c r="A1429" s="55">
        <f t="shared" si="2"/>
        <v>1428</v>
      </c>
      <c r="B1429" s="56" t="s">
        <v>1109</v>
      </c>
      <c r="C1429" s="55" t="s">
        <v>27</v>
      </c>
      <c r="D1429" s="55">
        <v>1376.0</v>
      </c>
      <c r="E1429" s="57" t="s">
        <v>379</v>
      </c>
      <c r="F1429" s="2" t="s">
        <v>1108</v>
      </c>
    </row>
    <row r="1430">
      <c r="A1430" s="55">
        <f t="shared" si="2"/>
        <v>1429</v>
      </c>
      <c r="B1430" s="56" t="s">
        <v>1114</v>
      </c>
      <c r="C1430" s="55" t="s">
        <v>30</v>
      </c>
      <c r="D1430" s="55">
        <v>1377.0</v>
      </c>
      <c r="E1430" s="57" t="s">
        <v>379</v>
      </c>
      <c r="F1430" s="2" t="s">
        <v>1113</v>
      </c>
    </row>
    <row r="1431">
      <c r="A1431" s="55">
        <f t="shared" si="2"/>
        <v>1430</v>
      </c>
      <c r="B1431" s="56" t="s">
        <v>1114</v>
      </c>
      <c r="C1431" s="55" t="s">
        <v>27</v>
      </c>
      <c r="D1431" s="55">
        <v>1360.0</v>
      </c>
      <c r="E1431" s="57" t="s">
        <v>379</v>
      </c>
      <c r="F1431" s="2" t="s">
        <v>1113</v>
      </c>
    </row>
    <row r="1432">
      <c r="A1432" s="55">
        <f t="shared" si="2"/>
        <v>1431</v>
      </c>
      <c r="B1432" s="56" t="s">
        <v>1114</v>
      </c>
      <c r="C1432" s="55" t="s">
        <v>26</v>
      </c>
      <c r="D1432" s="55">
        <v>1317.0</v>
      </c>
      <c r="E1432" s="57" t="s">
        <v>379</v>
      </c>
      <c r="F1432" s="2" t="s">
        <v>1113</v>
      </c>
    </row>
    <row r="1433">
      <c r="A1433" s="55">
        <f t="shared" si="2"/>
        <v>1432</v>
      </c>
      <c r="B1433" s="56" t="s">
        <v>1114</v>
      </c>
      <c r="C1433" s="55" t="s">
        <v>51</v>
      </c>
      <c r="D1433" s="55">
        <v>1153.0</v>
      </c>
      <c r="E1433" s="57" t="s">
        <v>379</v>
      </c>
      <c r="F1433" s="2" t="s">
        <v>1113</v>
      </c>
    </row>
    <row r="1434">
      <c r="A1434" s="55">
        <f t="shared" si="2"/>
        <v>1433</v>
      </c>
      <c r="B1434" s="56" t="s">
        <v>1114</v>
      </c>
      <c r="C1434" s="55" t="s">
        <v>42</v>
      </c>
      <c r="D1434" s="55">
        <v>1327.0</v>
      </c>
      <c r="E1434" s="57" t="s">
        <v>379</v>
      </c>
      <c r="F1434" s="2" t="s">
        <v>1113</v>
      </c>
    </row>
    <row r="1435">
      <c r="A1435" s="55">
        <f t="shared" si="2"/>
        <v>1434</v>
      </c>
      <c r="B1435" s="56" t="s">
        <v>1119</v>
      </c>
      <c r="C1435" s="55" t="s">
        <v>36</v>
      </c>
      <c r="D1435" s="55">
        <v>1232.0</v>
      </c>
      <c r="E1435" s="57" t="s">
        <v>379</v>
      </c>
      <c r="F1435" s="2" t="s">
        <v>1118</v>
      </c>
    </row>
    <row r="1436">
      <c r="A1436" s="55">
        <f t="shared" si="2"/>
        <v>1435</v>
      </c>
      <c r="B1436" s="56" t="s">
        <v>1119</v>
      </c>
      <c r="C1436" s="55" t="s">
        <v>27</v>
      </c>
      <c r="D1436" s="55">
        <v>1372.0</v>
      </c>
      <c r="E1436" s="57" t="s">
        <v>379</v>
      </c>
      <c r="F1436" s="2" t="s">
        <v>1118</v>
      </c>
    </row>
    <row r="1437">
      <c r="A1437" s="55">
        <f t="shared" si="2"/>
        <v>1436</v>
      </c>
      <c r="B1437" s="56" t="s">
        <v>1119</v>
      </c>
      <c r="C1437" s="55" t="s">
        <v>51</v>
      </c>
      <c r="D1437" s="55">
        <v>1126.0</v>
      </c>
      <c r="E1437" s="57" t="s">
        <v>379</v>
      </c>
      <c r="F1437" s="2" t="s">
        <v>1118</v>
      </c>
    </row>
    <row r="1438">
      <c r="A1438" s="55">
        <f t="shared" si="2"/>
        <v>1437</v>
      </c>
      <c r="B1438" s="56" t="s">
        <v>1119</v>
      </c>
      <c r="C1438" s="55" t="s">
        <v>42</v>
      </c>
      <c r="D1438" s="55">
        <v>1306.0</v>
      </c>
      <c r="E1438" s="57" t="s">
        <v>379</v>
      </c>
      <c r="F1438" s="2" t="s">
        <v>1118</v>
      </c>
    </row>
    <row r="1439">
      <c r="A1439" s="55">
        <f t="shared" si="2"/>
        <v>1438</v>
      </c>
      <c r="B1439" s="56" t="s">
        <v>1123</v>
      </c>
      <c r="C1439" s="55" t="s">
        <v>27</v>
      </c>
      <c r="D1439" s="55">
        <v>1391.0</v>
      </c>
      <c r="E1439" s="57" t="s">
        <v>379</v>
      </c>
      <c r="F1439" s="2" t="s">
        <v>1122</v>
      </c>
    </row>
    <row r="1440">
      <c r="A1440" s="55">
        <f t="shared" si="2"/>
        <v>1439</v>
      </c>
      <c r="B1440" s="56" t="s">
        <v>1123</v>
      </c>
      <c r="C1440" s="55" t="s">
        <v>42</v>
      </c>
      <c r="D1440" s="55">
        <v>1288.0</v>
      </c>
      <c r="E1440" s="57" t="s">
        <v>379</v>
      </c>
      <c r="F1440" s="2" t="s">
        <v>1122</v>
      </c>
    </row>
    <row r="1441">
      <c r="A1441" s="55">
        <f t="shared" si="2"/>
        <v>1440</v>
      </c>
      <c r="B1441" s="56" t="s">
        <v>1123</v>
      </c>
      <c r="C1441" s="55" t="s">
        <v>51</v>
      </c>
      <c r="D1441" s="55">
        <v>1142.0</v>
      </c>
      <c r="E1441" s="57" t="s">
        <v>379</v>
      </c>
      <c r="F1441" s="2" t="s">
        <v>1122</v>
      </c>
    </row>
    <row r="1442">
      <c r="A1442" s="55">
        <f t="shared" si="2"/>
        <v>1441</v>
      </c>
      <c r="B1442" s="56" t="s">
        <v>1123</v>
      </c>
      <c r="C1442" s="55" t="s">
        <v>36</v>
      </c>
      <c r="D1442" s="55">
        <v>1249.0</v>
      </c>
      <c r="E1442" s="57" t="s">
        <v>379</v>
      </c>
      <c r="F1442" s="2" t="s">
        <v>1122</v>
      </c>
    </row>
    <row r="1443">
      <c r="A1443" s="55">
        <f t="shared" si="2"/>
        <v>1442</v>
      </c>
      <c r="B1443" s="56" t="s">
        <v>1127</v>
      </c>
      <c r="C1443" s="55" t="s">
        <v>34</v>
      </c>
      <c r="D1443" s="55">
        <v>1080.0</v>
      </c>
      <c r="E1443" s="57" t="s">
        <v>379</v>
      </c>
      <c r="F1443" s="2" t="s">
        <v>1126</v>
      </c>
    </row>
    <row r="1444">
      <c r="A1444" s="55">
        <f t="shared" si="2"/>
        <v>1443</v>
      </c>
      <c r="B1444" s="56" t="s">
        <v>1127</v>
      </c>
      <c r="C1444" s="55" t="s">
        <v>51</v>
      </c>
      <c r="D1444" s="55">
        <v>1120.0</v>
      </c>
      <c r="E1444" s="57" t="s">
        <v>379</v>
      </c>
      <c r="F1444" s="2" t="s">
        <v>1126</v>
      </c>
    </row>
    <row r="1445">
      <c r="A1445" s="55">
        <f t="shared" si="2"/>
        <v>1444</v>
      </c>
      <c r="B1445" s="56" t="s">
        <v>1127</v>
      </c>
      <c r="C1445" s="55" t="s">
        <v>42</v>
      </c>
      <c r="D1445" s="55">
        <v>1271.0</v>
      </c>
      <c r="E1445" s="57" t="s">
        <v>379</v>
      </c>
      <c r="F1445" s="2" t="s">
        <v>1126</v>
      </c>
    </row>
    <row r="1446">
      <c r="A1446" s="55">
        <f t="shared" si="2"/>
        <v>1445</v>
      </c>
      <c r="B1446" s="56" t="s">
        <v>1127</v>
      </c>
      <c r="C1446" s="55" t="s">
        <v>36</v>
      </c>
      <c r="D1446" s="55">
        <v>1231.0</v>
      </c>
      <c r="E1446" s="57" t="s">
        <v>379</v>
      </c>
      <c r="F1446" s="2" t="s">
        <v>1126</v>
      </c>
    </row>
    <row r="1447">
      <c r="A1447" s="55">
        <f t="shared" si="2"/>
        <v>1446</v>
      </c>
      <c r="B1447" s="56" t="s">
        <v>1131</v>
      </c>
      <c r="C1447" s="55" t="s">
        <v>31</v>
      </c>
      <c r="D1447" s="55">
        <v>1278.0</v>
      </c>
      <c r="E1447" s="57" t="s">
        <v>379</v>
      </c>
      <c r="F1447" s="2" t="s">
        <v>1130</v>
      </c>
    </row>
    <row r="1448">
      <c r="A1448" s="55">
        <f t="shared" si="2"/>
        <v>1447</v>
      </c>
      <c r="B1448" s="56" t="s">
        <v>1131</v>
      </c>
      <c r="C1448" s="55" t="s">
        <v>34</v>
      </c>
      <c r="D1448" s="55">
        <v>1097.0</v>
      </c>
      <c r="E1448" s="57" t="s">
        <v>379</v>
      </c>
      <c r="F1448" s="2" t="s">
        <v>1130</v>
      </c>
    </row>
    <row r="1449">
      <c r="A1449" s="55">
        <f t="shared" si="2"/>
        <v>1448</v>
      </c>
      <c r="B1449" s="56" t="s">
        <v>1131</v>
      </c>
      <c r="C1449" s="55" t="s">
        <v>42</v>
      </c>
      <c r="D1449" s="55">
        <v>1256.0</v>
      </c>
      <c r="E1449" s="57" t="s">
        <v>379</v>
      </c>
      <c r="F1449" s="2" t="s">
        <v>1130</v>
      </c>
    </row>
    <row r="1450">
      <c r="A1450" s="55">
        <f t="shared" si="2"/>
        <v>1449</v>
      </c>
      <c r="B1450" s="56" t="s">
        <v>1131</v>
      </c>
      <c r="C1450" s="55" t="s">
        <v>36</v>
      </c>
      <c r="D1450" s="55">
        <v>1214.0</v>
      </c>
      <c r="E1450" s="57" t="s">
        <v>379</v>
      </c>
      <c r="F1450" s="2" t="s">
        <v>1130</v>
      </c>
    </row>
    <row r="1451">
      <c r="A1451" s="55">
        <f t="shared" si="2"/>
        <v>1450</v>
      </c>
      <c r="B1451" s="56" t="s">
        <v>1135</v>
      </c>
      <c r="C1451" s="55" t="s">
        <v>31</v>
      </c>
      <c r="D1451" s="55">
        <v>1296.0</v>
      </c>
      <c r="E1451" s="57" t="s">
        <v>379</v>
      </c>
      <c r="F1451" s="2" t="s">
        <v>1134</v>
      </c>
    </row>
    <row r="1452">
      <c r="A1452" s="55">
        <f t="shared" si="2"/>
        <v>1451</v>
      </c>
      <c r="B1452" s="56" t="s">
        <v>1135</v>
      </c>
      <c r="C1452" s="55" t="s">
        <v>34</v>
      </c>
      <c r="D1452" s="55">
        <v>1113.0</v>
      </c>
      <c r="E1452" s="57" t="s">
        <v>379</v>
      </c>
      <c r="F1452" s="2" t="s">
        <v>1134</v>
      </c>
    </row>
    <row r="1453">
      <c r="A1453" s="55">
        <f t="shared" si="2"/>
        <v>1452</v>
      </c>
      <c r="B1453" s="56" t="s">
        <v>1135</v>
      </c>
      <c r="C1453" s="55" t="s">
        <v>36</v>
      </c>
      <c r="D1453" s="55">
        <v>1195.0</v>
      </c>
      <c r="E1453" s="57" t="s">
        <v>379</v>
      </c>
      <c r="F1453" s="2" t="s">
        <v>1134</v>
      </c>
    </row>
    <row r="1454">
      <c r="A1454" s="55">
        <f t="shared" si="2"/>
        <v>1453</v>
      </c>
      <c r="B1454" s="56" t="s">
        <v>1135</v>
      </c>
      <c r="C1454" s="55" t="s">
        <v>42</v>
      </c>
      <c r="D1454" s="55">
        <v>1239.0</v>
      </c>
      <c r="E1454" s="57" t="s">
        <v>379</v>
      </c>
      <c r="F1454" s="2" t="s">
        <v>1134</v>
      </c>
    </row>
    <row r="1455">
      <c r="A1455" s="55">
        <f t="shared" si="2"/>
        <v>1454</v>
      </c>
      <c r="B1455" s="56" t="s">
        <v>1135</v>
      </c>
      <c r="C1455" s="55" t="s">
        <v>30</v>
      </c>
      <c r="D1455" s="55">
        <v>1389.0</v>
      </c>
      <c r="E1455" s="57" t="s">
        <v>379</v>
      </c>
      <c r="F1455" s="2" t="s">
        <v>1134</v>
      </c>
    </row>
    <row r="1456">
      <c r="A1456" s="55">
        <f t="shared" si="2"/>
        <v>1455</v>
      </c>
      <c r="B1456" s="56" t="s">
        <v>1139</v>
      </c>
      <c r="C1456" s="55" t="s">
        <v>31</v>
      </c>
      <c r="D1456" s="55">
        <v>1311.0</v>
      </c>
      <c r="E1456" s="57" t="s">
        <v>379</v>
      </c>
      <c r="F1456" s="2" t="s">
        <v>1138</v>
      </c>
    </row>
    <row r="1457">
      <c r="A1457" s="55">
        <f t="shared" si="2"/>
        <v>1456</v>
      </c>
      <c r="B1457" s="56" t="s">
        <v>1139</v>
      </c>
      <c r="C1457" s="55" t="s">
        <v>36</v>
      </c>
      <c r="D1457" s="55">
        <v>1176.0</v>
      </c>
      <c r="E1457" s="57" t="s">
        <v>379</v>
      </c>
      <c r="F1457" s="2" t="s">
        <v>1138</v>
      </c>
    </row>
    <row r="1458">
      <c r="A1458" s="55">
        <f t="shared" si="2"/>
        <v>1457</v>
      </c>
      <c r="B1458" s="56" t="s">
        <v>1139</v>
      </c>
      <c r="C1458" s="55" t="s">
        <v>34</v>
      </c>
      <c r="D1458" s="55">
        <v>1126.0</v>
      </c>
      <c r="E1458" s="57" t="s">
        <v>379</v>
      </c>
      <c r="F1458" s="2" t="s">
        <v>1138</v>
      </c>
    </row>
    <row r="1459">
      <c r="A1459" s="55">
        <f t="shared" si="2"/>
        <v>1458</v>
      </c>
      <c r="B1459" s="56" t="s">
        <v>1139</v>
      </c>
      <c r="C1459" s="55" t="s">
        <v>30</v>
      </c>
      <c r="D1459" s="55">
        <v>1373.0</v>
      </c>
      <c r="E1459" s="57" t="s">
        <v>379</v>
      </c>
      <c r="F1459" s="2" t="s">
        <v>1138</v>
      </c>
    </row>
    <row r="1460">
      <c r="A1460" s="55">
        <f t="shared" si="2"/>
        <v>1459</v>
      </c>
      <c r="B1460" s="56" t="s">
        <v>1139</v>
      </c>
      <c r="C1460" s="55" t="s">
        <v>42</v>
      </c>
      <c r="D1460" s="55">
        <v>1221.0</v>
      </c>
      <c r="E1460" s="57" t="s">
        <v>379</v>
      </c>
      <c r="F1460" s="2" t="s">
        <v>1138</v>
      </c>
    </row>
    <row r="1461">
      <c r="A1461" s="55">
        <f t="shared" si="2"/>
        <v>1460</v>
      </c>
      <c r="B1461" s="56" t="s">
        <v>1143</v>
      </c>
      <c r="C1461" s="55" t="s">
        <v>36</v>
      </c>
      <c r="D1461" s="55">
        <v>1188.0</v>
      </c>
      <c r="E1461" s="57" t="s">
        <v>379</v>
      </c>
      <c r="F1461" s="2" t="s">
        <v>1142</v>
      </c>
    </row>
    <row r="1462">
      <c r="A1462" s="55">
        <f t="shared" si="2"/>
        <v>1461</v>
      </c>
      <c r="B1462" s="56" t="s">
        <v>1143</v>
      </c>
      <c r="C1462" s="55" t="s">
        <v>31</v>
      </c>
      <c r="D1462" s="55">
        <v>1325.0</v>
      </c>
      <c r="E1462" s="57" t="s">
        <v>379</v>
      </c>
      <c r="F1462" s="2" t="s">
        <v>1142</v>
      </c>
    </row>
    <row r="1463">
      <c r="A1463" s="55">
        <f t="shared" si="2"/>
        <v>1462</v>
      </c>
      <c r="B1463" s="56" t="s">
        <v>1143</v>
      </c>
      <c r="C1463" s="55" t="s">
        <v>34</v>
      </c>
      <c r="D1463" s="55">
        <v>1138.0</v>
      </c>
      <c r="E1463" s="57" t="s">
        <v>379</v>
      </c>
      <c r="F1463" s="2" t="s">
        <v>1142</v>
      </c>
    </row>
    <row r="1464">
      <c r="A1464" s="55">
        <f t="shared" si="2"/>
        <v>1463</v>
      </c>
      <c r="B1464" s="56" t="s">
        <v>1143</v>
      </c>
      <c r="C1464" s="55" t="s">
        <v>27</v>
      </c>
      <c r="D1464" s="55">
        <v>1404.0</v>
      </c>
      <c r="E1464" s="57" t="s">
        <v>379</v>
      </c>
      <c r="F1464" s="2" t="s">
        <v>1142</v>
      </c>
    </row>
    <row r="1465">
      <c r="A1465" s="55">
        <f t="shared" si="2"/>
        <v>1464</v>
      </c>
      <c r="B1465" s="56" t="s">
        <v>1143</v>
      </c>
      <c r="C1465" s="55" t="s">
        <v>42</v>
      </c>
      <c r="D1465" s="55">
        <v>1201.0</v>
      </c>
      <c r="E1465" s="57" t="s">
        <v>379</v>
      </c>
      <c r="F1465" s="2" t="s">
        <v>1142</v>
      </c>
    </row>
    <row r="1466">
      <c r="A1466" s="55">
        <f t="shared" si="2"/>
        <v>1465</v>
      </c>
      <c r="B1466" s="56" t="s">
        <v>1148</v>
      </c>
      <c r="C1466" s="55" t="s">
        <v>34</v>
      </c>
      <c r="D1466" s="55">
        <v>1171.0</v>
      </c>
      <c r="E1466" s="57" t="s">
        <v>379</v>
      </c>
      <c r="F1466" s="2" t="s">
        <v>1147</v>
      </c>
    </row>
    <row r="1467">
      <c r="A1467" s="55">
        <f t="shared" si="2"/>
        <v>1466</v>
      </c>
      <c r="B1467" s="56" t="s">
        <v>1148</v>
      </c>
      <c r="C1467" s="55" t="s">
        <v>36</v>
      </c>
      <c r="D1467" s="55">
        <v>1222.0</v>
      </c>
      <c r="E1467" s="57" t="s">
        <v>379</v>
      </c>
      <c r="F1467" s="2" t="s">
        <v>1147</v>
      </c>
    </row>
    <row r="1468">
      <c r="A1468" s="55">
        <f t="shared" si="2"/>
        <v>1467</v>
      </c>
      <c r="B1468" s="56" t="s">
        <v>1148</v>
      </c>
      <c r="C1468" s="55" t="s">
        <v>27</v>
      </c>
      <c r="D1468" s="55">
        <v>1376.0</v>
      </c>
      <c r="E1468" s="57" t="s">
        <v>379</v>
      </c>
      <c r="F1468" s="2" t="s">
        <v>1147</v>
      </c>
    </row>
    <row r="1469">
      <c r="A1469" s="55">
        <f t="shared" si="2"/>
        <v>1468</v>
      </c>
      <c r="B1469" s="56" t="s">
        <v>1148</v>
      </c>
      <c r="C1469" s="55" t="s">
        <v>42</v>
      </c>
      <c r="D1469" s="55">
        <v>1168.0</v>
      </c>
      <c r="E1469" s="57" t="s">
        <v>379</v>
      </c>
      <c r="F1469" s="2" t="s">
        <v>1147</v>
      </c>
    </row>
    <row r="1470">
      <c r="A1470" s="55">
        <f t="shared" si="2"/>
        <v>1469</v>
      </c>
      <c r="B1470" s="56" t="s">
        <v>1148</v>
      </c>
      <c r="C1470" s="55" t="s">
        <v>31</v>
      </c>
      <c r="D1470" s="55">
        <v>1358.0</v>
      </c>
      <c r="E1470" s="57" t="s">
        <v>379</v>
      </c>
      <c r="F1470" s="2" t="s">
        <v>1147</v>
      </c>
    </row>
    <row r="1471">
      <c r="A1471" s="55">
        <f t="shared" si="2"/>
        <v>1470</v>
      </c>
      <c r="B1471" s="56" t="s">
        <v>1152</v>
      </c>
      <c r="C1471" s="55" t="s">
        <v>31</v>
      </c>
      <c r="D1471" s="55">
        <v>1323.0</v>
      </c>
      <c r="E1471" s="57" t="s">
        <v>379</v>
      </c>
      <c r="F1471" s="2" t="s">
        <v>1151</v>
      </c>
    </row>
    <row r="1472">
      <c r="A1472" s="55">
        <f t="shared" si="2"/>
        <v>1471</v>
      </c>
      <c r="B1472" s="56" t="s">
        <v>1152</v>
      </c>
      <c r="C1472" s="55" t="s">
        <v>27</v>
      </c>
      <c r="D1472" s="55">
        <v>1377.0</v>
      </c>
      <c r="E1472" s="57" t="s">
        <v>379</v>
      </c>
      <c r="F1472" s="2" t="s">
        <v>1151</v>
      </c>
    </row>
    <row r="1473">
      <c r="A1473" s="55">
        <f t="shared" si="2"/>
        <v>1472</v>
      </c>
      <c r="B1473" s="56" t="s">
        <v>1152</v>
      </c>
      <c r="C1473" s="55" t="s">
        <v>30</v>
      </c>
      <c r="D1473" s="55">
        <v>1355.0</v>
      </c>
      <c r="E1473" s="57" t="s">
        <v>379</v>
      </c>
      <c r="F1473" s="2" t="s">
        <v>1151</v>
      </c>
    </row>
    <row r="1474">
      <c r="A1474" s="55">
        <f t="shared" si="2"/>
        <v>1473</v>
      </c>
      <c r="B1474" s="56" t="s">
        <v>1152</v>
      </c>
      <c r="C1474" s="55" t="s">
        <v>36</v>
      </c>
      <c r="D1474" s="55">
        <v>1183.0</v>
      </c>
      <c r="E1474" s="57" t="s">
        <v>379</v>
      </c>
      <c r="F1474" s="2" t="s">
        <v>1151</v>
      </c>
    </row>
    <row r="1475">
      <c r="A1475" s="55">
        <f t="shared" si="2"/>
        <v>1474</v>
      </c>
      <c r="B1475" s="56" t="s">
        <v>1152</v>
      </c>
      <c r="C1475" s="55" t="s">
        <v>34</v>
      </c>
      <c r="D1475" s="55">
        <v>1167.0</v>
      </c>
      <c r="E1475" s="57" t="s">
        <v>379</v>
      </c>
      <c r="F1475" s="2" t="s">
        <v>1151</v>
      </c>
    </row>
    <row r="1476">
      <c r="A1476" s="55">
        <f t="shared" si="2"/>
        <v>1475</v>
      </c>
      <c r="B1476" s="56" t="s">
        <v>1152</v>
      </c>
      <c r="C1476" s="55" t="s">
        <v>42</v>
      </c>
      <c r="D1476" s="55">
        <v>1160.0</v>
      </c>
      <c r="E1476" s="57" t="s">
        <v>379</v>
      </c>
      <c r="F1476" s="2" t="s">
        <v>1151</v>
      </c>
    </row>
    <row r="1477">
      <c r="A1477" s="55">
        <f t="shared" si="2"/>
        <v>1476</v>
      </c>
      <c r="B1477" s="56" t="s">
        <v>1157</v>
      </c>
      <c r="C1477" s="55" t="s">
        <v>30</v>
      </c>
      <c r="D1477" s="55">
        <v>1334.0</v>
      </c>
      <c r="E1477" s="57" t="s">
        <v>379</v>
      </c>
      <c r="F1477" s="2" t="s">
        <v>1156</v>
      </c>
    </row>
    <row r="1478">
      <c r="A1478" s="55">
        <f t="shared" si="2"/>
        <v>1477</v>
      </c>
      <c r="B1478" s="56" t="s">
        <v>1157</v>
      </c>
      <c r="C1478" s="55" t="s">
        <v>42</v>
      </c>
      <c r="D1478" s="55">
        <v>1136.0</v>
      </c>
      <c r="E1478" s="57" t="s">
        <v>379</v>
      </c>
      <c r="F1478" s="2" t="s">
        <v>1156</v>
      </c>
    </row>
    <row r="1479">
      <c r="A1479" s="55">
        <f t="shared" si="2"/>
        <v>1478</v>
      </c>
      <c r="B1479" s="56" t="s">
        <v>1157</v>
      </c>
      <c r="C1479" s="55" t="s">
        <v>36</v>
      </c>
      <c r="D1479" s="55">
        <v>1160.0</v>
      </c>
      <c r="E1479" s="57" t="s">
        <v>379</v>
      </c>
      <c r="F1479" s="2" t="s">
        <v>1156</v>
      </c>
    </row>
    <row r="1480">
      <c r="A1480" s="55">
        <f t="shared" si="2"/>
        <v>1479</v>
      </c>
      <c r="B1480" s="56" t="s">
        <v>1157</v>
      </c>
      <c r="C1480" s="55" t="s">
        <v>34</v>
      </c>
      <c r="D1480" s="55">
        <v>1143.0</v>
      </c>
      <c r="E1480" s="57" t="s">
        <v>379</v>
      </c>
      <c r="F1480" s="2" t="s">
        <v>1156</v>
      </c>
    </row>
    <row r="1481">
      <c r="A1481" s="55">
        <f t="shared" si="2"/>
        <v>1480</v>
      </c>
      <c r="B1481" s="56" t="s">
        <v>1157</v>
      </c>
      <c r="C1481" s="55" t="s">
        <v>31</v>
      </c>
      <c r="D1481" s="55">
        <v>1335.0</v>
      </c>
      <c r="E1481" s="57" t="s">
        <v>379</v>
      </c>
      <c r="F1481" s="2" t="s">
        <v>1156</v>
      </c>
    </row>
    <row r="1482">
      <c r="A1482" s="55">
        <f t="shared" si="2"/>
        <v>1481</v>
      </c>
      <c r="B1482" s="56" t="s">
        <v>1157</v>
      </c>
      <c r="C1482" s="55" t="s">
        <v>27</v>
      </c>
      <c r="D1482" s="55">
        <v>1389.0</v>
      </c>
      <c r="E1482" s="57" t="s">
        <v>379</v>
      </c>
      <c r="F1482" s="2" t="s">
        <v>1156</v>
      </c>
    </row>
    <row r="1483">
      <c r="A1483" s="55">
        <f t="shared" si="2"/>
        <v>1482</v>
      </c>
      <c r="B1483" s="56" t="s">
        <v>1161</v>
      </c>
      <c r="C1483" s="55" t="s">
        <v>42</v>
      </c>
      <c r="D1483" s="55">
        <v>1153.0</v>
      </c>
      <c r="E1483" s="57" t="s">
        <v>379</v>
      </c>
      <c r="F1483" s="2" t="s">
        <v>1160</v>
      </c>
    </row>
    <row r="1484">
      <c r="A1484" s="55">
        <f t="shared" si="2"/>
        <v>1483</v>
      </c>
      <c r="B1484" s="56" t="s">
        <v>1161</v>
      </c>
      <c r="C1484" s="55" t="s">
        <v>31</v>
      </c>
      <c r="D1484" s="55">
        <v>1316.0</v>
      </c>
      <c r="E1484" s="57" t="s">
        <v>379</v>
      </c>
      <c r="F1484" s="2" t="s">
        <v>1160</v>
      </c>
    </row>
    <row r="1485">
      <c r="A1485" s="55">
        <f t="shared" si="2"/>
        <v>1484</v>
      </c>
      <c r="B1485" s="56" t="s">
        <v>1161</v>
      </c>
      <c r="C1485" s="55" t="s">
        <v>30</v>
      </c>
      <c r="D1485" s="55">
        <v>1354.0</v>
      </c>
      <c r="E1485" s="57" t="s">
        <v>379</v>
      </c>
      <c r="F1485" s="2" t="s">
        <v>1160</v>
      </c>
    </row>
    <row r="1486">
      <c r="A1486" s="55">
        <f t="shared" si="2"/>
        <v>1485</v>
      </c>
      <c r="B1486" s="56" t="s">
        <v>1161</v>
      </c>
      <c r="C1486" s="55" t="s">
        <v>27</v>
      </c>
      <c r="D1486" s="55">
        <v>1375.0</v>
      </c>
      <c r="E1486" s="57" t="s">
        <v>379</v>
      </c>
      <c r="F1486" s="2" t="s">
        <v>1160</v>
      </c>
    </row>
    <row r="1487">
      <c r="A1487" s="55">
        <f t="shared" si="2"/>
        <v>1486</v>
      </c>
      <c r="B1487" s="56" t="s">
        <v>1165</v>
      </c>
      <c r="C1487" s="55" t="s">
        <v>42</v>
      </c>
      <c r="D1487" s="55">
        <v>1168.0</v>
      </c>
      <c r="E1487" s="57" t="s">
        <v>379</v>
      </c>
      <c r="F1487" s="2" t="s">
        <v>1164</v>
      </c>
    </row>
    <row r="1488">
      <c r="A1488" s="55">
        <f t="shared" si="2"/>
        <v>1487</v>
      </c>
      <c r="B1488" s="56" t="s">
        <v>1165</v>
      </c>
      <c r="C1488" s="55" t="s">
        <v>30</v>
      </c>
      <c r="D1488" s="55">
        <v>1337.0</v>
      </c>
      <c r="E1488" s="57" t="s">
        <v>379</v>
      </c>
      <c r="F1488" s="2" t="s">
        <v>1164</v>
      </c>
    </row>
    <row r="1489">
      <c r="A1489" s="55">
        <f t="shared" si="2"/>
        <v>1488</v>
      </c>
      <c r="B1489" s="56" t="s">
        <v>1165</v>
      </c>
      <c r="C1489" s="55" t="s">
        <v>31</v>
      </c>
      <c r="D1489" s="55">
        <v>1333.0</v>
      </c>
      <c r="E1489" s="57" t="s">
        <v>379</v>
      </c>
      <c r="F1489" s="2" t="s">
        <v>1164</v>
      </c>
    </row>
    <row r="1490">
      <c r="A1490" s="55">
        <f t="shared" si="2"/>
        <v>1489</v>
      </c>
      <c r="B1490" s="56" t="s">
        <v>1165</v>
      </c>
      <c r="C1490" s="55" t="s">
        <v>27</v>
      </c>
      <c r="D1490" s="55">
        <v>1361.0</v>
      </c>
      <c r="E1490" s="57" t="s">
        <v>379</v>
      </c>
      <c r="F1490" s="2" t="s">
        <v>1164</v>
      </c>
    </row>
    <row r="1491">
      <c r="A1491" s="55">
        <f t="shared" si="2"/>
        <v>1490</v>
      </c>
      <c r="B1491" s="56" t="s">
        <v>1169</v>
      </c>
      <c r="C1491" s="55" t="s">
        <v>34</v>
      </c>
      <c r="D1491" s="55">
        <v>1120.0</v>
      </c>
      <c r="E1491" s="57" t="s">
        <v>379</v>
      </c>
      <c r="F1491" s="2" t="s">
        <v>1168</v>
      </c>
    </row>
    <row r="1492">
      <c r="A1492" s="55">
        <f t="shared" si="2"/>
        <v>1491</v>
      </c>
      <c r="B1492" s="56" t="s">
        <v>1169</v>
      </c>
      <c r="C1492" s="55" t="s">
        <v>30</v>
      </c>
      <c r="D1492" s="55">
        <v>1351.0</v>
      </c>
      <c r="E1492" s="57" t="s">
        <v>379</v>
      </c>
      <c r="F1492" s="2" t="s">
        <v>1168</v>
      </c>
    </row>
    <row r="1493">
      <c r="A1493" s="55">
        <f t="shared" si="2"/>
        <v>1492</v>
      </c>
      <c r="B1493" s="56" t="s">
        <v>1169</v>
      </c>
      <c r="C1493" s="55" t="s">
        <v>27</v>
      </c>
      <c r="D1493" s="55">
        <v>1345.0</v>
      </c>
      <c r="E1493" s="57" t="s">
        <v>379</v>
      </c>
      <c r="F1493" s="2" t="s">
        <v>1168</v>
      </c>
    </row>
    <row r="1494">
      <c r="A1494" s="55">
        <f t="shared" si="2"/>
        <v>1493</v>
      </c>
      <c r="B1494" s="56" t="s">
        <v>1169</v>
      </c>
      <c r="C1494" s="55" t="s">
        <v>42</v>
      </c>
      <c r="D1494" s="55">
        <v>1180.0</v>
      </c>
      <c r="E1494" s="57" t="s">
        <v>379</v>
      </c>
      <c r="F1494" s="2" t="s">
        <v>1168</v>
      </c>
    </row>
    <row r="1495">
      <c r="A1495" s="55">
        <f t="shared" si="2"/>
        <v>1494</v>
      </c>
      <c r="B1495" s="56" t="s">
        <v>1169</v>
      </c>
      <c r="C1495" s="55" t="s">
        <v>31</v>
      </c>
      <c r="D1495" s="55">
        <v>1313.0</v>
      </c>
      <c r="E1495" s="57" t="s">
        <v>379</v>
      </c>
      <c r="F1495" s="2" t="s">
        <v>1168</v>
      </c>
    </row>
    <row r="1496">
      <c r="A1496" s="55">
        <f t="shared" si="2"/>
        <v>1495</v>
      </c>
      <c r="B1496" s="56" t="s">
        <v>1173</v>
      </c>
      <c r="C1496" s="55" t="s">
        <v>31</v>
      </c>
      <c r="D1496" s="55">
        <v>1296.0</v>
      </c>
      <c r="E1496" s="57" t="s">
        <v>379</v>
      </c>
      <c r="F1496" s="2" t="s">
        <v>1172</v>
      </c>
    </row>
    <row r="1497">
      <c r="A1497" s="55">
        <f t="shared" si="2"/>
        <v>1496</v>
      </c>
      <c r="B1497" s="56" t="s">
        <v>1173</v>
      </c>
      <c r="C1497" s="55" t="s">
        <v>30</v>
      </c>
      <c r="D1497" s="55">
        <v>1335.0</v>
      </c>
      <c r="E1497" s="57" t="s">
        <v>379</v>
      </c>
      <c r="F1497" s="2" t="s">
        <v>1172</v>
      </c>
    </row>
    <row r="1498">
      <c r="A1498" s="55">
        <f t="shared" si="2"/>
        <v>1497</v>
      </c>
      <c r="B1498" s="56" t="s">
        <v>1173</v>
      </c>
      <c r="C1498" s="55" t="s">
        <v>27</v>
      </c>
      <c r="D1498" s="55">
        <v>1332.0</v>
      </c>
      <c r="E1498" s="57" t="s">
        <v>379</v>
      </c>
      <c r="F1498" s="2" t="s">
        <v>1172</v>
      </c>
    </row>
    <row r="1499">
      <c r="A1499" s="55">
        <f t="shared" si="2"/>
        <v>1498</v>
      </c>
      <c r="B1499" s="56" t="s">
        <v>1177</v>
      </c>
      <c r="C1499" s="55" t="s">
        <v>31</v>
      </c>
      <c r="D1499" s="55">
        <v>1260.0</v>
      </c>
      <c r="E1499" s="57" t="s">
        <v>379</v>
      </c>
      <c r="F1499" s="2" t="s">
        <v>1176</v>
      </c>
    </row>
    <row r="1500">
      <c r="A1500" s="55">
        <f t="shared" si="2"/>
        <v>1499</v>
      </c>
      <c r="B1500" s="56" t="s">
        <v>1177</v>
      </c>
      <c r="C1500" s="55" t="s">
        <v>30</v>
      </c>
      <c r="D1500" s="55">
        <v>1352.0</v>
      </c>
      <c r="E1500" s="57" t="s">
        <v>379</v>
      </c>
      <c r="F1500" s="2" t="s">
        <v>1176</v>
      </c>
    </row>
    <row r="1501">
      <c r="A1501" s="55">
        <f t="shared" si="2"/>
        <v>1500</v>
      </c>
      <c r="B1501" s="56" t="s">
        <v>1177</v>
      </c>
      <c r="C1501" s="55" t="s">
        <v>27</v>
      </c>
      <c r="D1501" s="55">
        <v>1315.0</v>
      </c>
      <c r="E1501" s="57" t="s">
        <v>379</v>
      </c>
      <c r="F1501" s="2" t="s">
        <v>1176</v>
      </c>
    </row>
    <row r="1502">
      <c r="A1502" s="55">
        <f t="shared" si="2"/>
        <v>1501</v>
      </c>
      <c r="B1502" s="56" t="s">
        <v>1181</v>
      </c>
      <c r="C1502" s="55" t="s">
        <v>36</v>
      </c>
      <c r="D1502" s="55">
        <v>1138.0</v>
      </c>
      <c r="E1502" s="57" t="s">
        <v>379</v>
      </c>
      <c r="F1502" s="2" t="s">
        <v>1180</v>
      </c>
    </row>
    <row r="1503">
      <c r="A1503" s="55">
        <f t="shared" si="2"/>
        <v>1502</v>
      </c>
      <c r="B1503" s="56" t="s">
        <v>1181</v>
      </c>
      <c r="C1503" s="55" t="s">
        <v>26</v>
      </c>
      <c r="D1503" s="55">
        <v>1329.0</v>
      </c>
      <c r="E1503" s="57" t="s">
        <v>379</v>
      </c>
      <c r="F1503" s="2" t="s">
        <v>1180</v>
      </c>
    </row>
    <row r="1504">
      <c r="A1504" s="55">
        <f t="shared" si="2"/>
        <v>1503</v>
      </c>
      <c r="B1504" s="56" t="s">
        <v>1181</v>
      </c>
      <c r="C1504" s="55" t="s">
        <v>27</v>
      </c>
      <c r="D1504" s="55">
        <v>1300.0</v>
      </c>
      <c r="E1504" s="57" t="s">
        <v>379</v>
      </c>
      <c r="F1504" s="2" t="s">
        <v>1180</v>
      </c>
    </row>
    <row r="1505">
      <c r="A1505" s="55">
        <f t="shared" si="2"/>
        <v>1504</v>
      </c>
      <c r="B1505" s="56" t="s">
        <v>1186</v>
      </c>
      <c r="C1505" s="55" t="s">
        <v>26</v>
      </c>
      <c r="D1505" s="55">
        <v>1313.0</v>
      </c>
      <c r="E1505" s="57" t="s">
        <v>379</v>
      </c>
      <c r="F1505" s="2" t="s">
        <v>1185</v>
      </c>
    </row>
    <row r="1506">
      <c r="A1506" s="55">
        <f t="shared" si="2"/>
        <v>1505</v>
      </c>
      <c r="B1506" s="56" t="s">
        <v>1186</v>
      </c>
      <c r="C1506" s="55" t="s">
        <v>36</v>
      </c>
      <c r="D1506" s="55">
        <v>1154.0</v>
      </c>
      <c r="E1506" s="57" t="s">
        <v>379</v>
      </c>
      <c r="F1506" s="2" t="s">
        <v>1185</v>
      </c>
    </row>
    <row r="1507">
      <c r="A1507" s="55">
        <f t="shared" si="2"/>
        <v>1506</v>
      </c>
      <c r="B1507" s="56" t="s">
        <v>1186</v>
      </c>
      <c r="C1507" s="55" t="s">
        <v>27</v>
      </c>
      <c r="D1507" s="55">
        <v>1286.0</v>
      </c>
      <c r="E1507" s="57" t="s">
        <v>379</v>
      </c>
      <c r="F1507" s="2" t="s">
        <v>1185</v>
      </c>
    </row>
    <row r="1508">
      <c r="A1508" s="55">
        <f t="shared" si="2"/>
        <v>1507</v>
      </c>
      <c r="B1508" s="56" t="s">
        <v>1191</v>
      </c>
      <c r="C1508" s="55" t="s">
        <v>36</v>
      </c>
      <c r="D1508" s="55">
        <v>1134.0</v>
      </c>
      <c r="E1508" s="57" t="s">
        <v>379</v>
      </c>
      <c r="F1508" s="2" t="s">
        <v>1190</v>
      </c>
    </row>
    <row r="1509">
      <c r="A1509" s="55">
        <f t="shared" si="2"/>
        <v>1508</v>
      </c>
      <c r="B1509" s="56" t="s">
        <v>1191</v>
      </c>
      <c r="C1509" s="55" t="s">
        <v>26</v>
      </c>
      <c r="D1509" s="55">
        <v>1331.0</v>
      </c>
      <c r="E1509" s="57" t="s">
        <v>379</v>
      </c>
      <c r="F1509" s="2" t="s">
        <v>1190</v>
      </c>
    </row>
    <row r="1510">
      <c r="A1510" s="55">
        <f t="shared" si="2"/>
        <v>1509</v>
      </c>
      <c r="B1510" s="56" t="s">
        <v>1191</v>
      </c>
      <c r="C1510" s="55" t="s">
        <v>27</v>
      </c>
      <c r="D1510" s="55">
        <v>1271.0</v>
      </c>
      <c r="E1510" s="57" t="s">
        <v>379</v>
      </c>
      <c r="F1510" s="2" t="s">
        <v>1190</v>
      </c>
    </row>
    <row r="1511">
      <c r="A1511" s="55">
        <f t="shared" si="2"/>
        <v>1510</v>
      </c>
      <c r="B1511" s="56" t="s">
        <v>1195</v>
      </c>
      <c r="C1511" s="55" t="s">
        <v>28</v>
      </c>
      <c r="D1511" s="55">
        <v>1315.0</v>
      </c>
      <c r="E1511" s="57" t="s">
        <v>379</v>
      </c>
      <c r="F1511" s="2" t="s">
        <v>1194</v>
      </c>
    </row>
    <row r="1512">
      <c r="A1512" s="55">
        <f t="shared" si="2"/>
        <v>1511</v>
      </c>
      <c r="B1512" s="56" t="s">
        <v>1195</v>
      </c>
      <c r="C1512" s="55" t="s">
        <v>36</v>
      </c>
      <c r="D1512" s="55">
        <v>1144.0</v>
      </c>
      <c r="E1512" s="57" t="s">
        <v>379</v>
      </c>
      <c r="F1512" s="2" t="s">
        <v>1194</v>
      </c>
    </row>
    <row r="1513">
      <c r="A1513" s="55">
        <f t="shared" si="2"/>
        <v>1512</v>
      </c>
      <c r="B1513" s="56" t="s">
        <v>1195</v>
      </c>
      <c r="C1513" s="55" t="s">
        <v>26</v>
      </c>
      <c r="D1513" s="55">
        <v>1314.0</v>
      </c>
      <c r="E1513" s="57" t="s">
        <v>379</v>
      </c>
      <c r="F1513" s="2" t="s">
        <v>1194</v>
      </c>
    </row>
    <row r="1514">
      <c r="A1514" s="55">
        <f t="shared" si="2"/>
        <v>1513</v>
      </c>
      <c r="B1514" s="56" t="s">
        <v>1195</v>
      </c>
      <c r="C1514" s="55" t="s">
        <v>30</v>
      </c>
      <c r="D1514" s="55">
        <v>1336.0</v>
      </c>
      <c r="E1514" s="57" t="s">
        <v>379</v>
      </c>
      <c r="F1514" s="2" t="s">
        <v>1194</v>
      </c>
    </row>
    <row r="1515">
      <c r="A1515" s="55">
        <f t="shared" si="2"/>
        <v>1514</v>
      </c>
      <c r="B1515" s="56" t="s">
        <v>1199</v>
      </c>
      <c r="C1515" s="55" t="s">
        <v>26</v>
      </c>
      <c r="D1515" s="55">
        <v>1297.0</v>
      </c>
      <c r="E1515" s="57" t="s">
        <v>379</v>
      </c>
      <c r="F1515" s="2" t="s">
        <v>1198</v>
      </c>
    </row>
    <row r="1516">
      <c r="A1516" s="55">
        <f t="shared" si="2"/>
        <v>1515</v>
      </c>
      <c r="B1516" s="56" t="s">
        <v>1199</v>
      </c>
      <c r="C1516" s="55" t="s">
        <v>28</v>
      </c>
      <c r="D1516" s="55">
        <v>1331.0</v>
      </c>
      <c r="E1516" s="57" t="s">
        <v>379</v>
      </c>
      <c r="F1516" s="2" t="s">
        <v>1198</v>
      </c>
    </row>
    <row r="1517">
      <c r="A1517" s="55">
        <f t="shared" si="2"/>
        <v>1516</v>
      </c>
      <c r="B1517" s="56" t="s">
        <v>1199</v>
      </c>
      <c r="C1517" s="55" t="s">
        <v>30</v>
      </c>
      <c r="D1517" s="55">
        <v>1319.0</v>
      </c>
      <c r="E1517" s="57" t="s">
        <v>379</v>
      </c>
      <c r="F1517" s="2" t="s">
        <v>1198</v>
      </c>
    </row>
    <row r="1518">
      <c r="A1518" s="55">
        <f t="shared" si="2"/>
        <v>1517</v>
      </c>
      <c r="B1518" s="56" t="s">
        <v>1199</v>
      </c>
      <c r="C1518" s="55" t="s">
        <v>36</v>
      </c>
      <c r="D1518" s="55">
        <v>1120.0</v>
      </c>
      <c r="E1518" s="57" t="s">
        <v>379</v>
      </c>
      <c r="F1518" s="2" t="s">
        <v>1198</v>
      </c>
    </row>
    <row r="1519">
      <c r="A1519" s="55">
        <f t="shared" si="2"/>
        <v>1518</v>
      </c>
      <c r="B1519" s="56" t="s">
        <v>1203</v>
      </c>
      <c r="C1519" s="55" t="s">
        <v>30</v>
      </c>
      <c r="D1519" s="55">
        <v>1298.0</v>
      </c>
      <c r="E1519" s="57" t="s">
        <v>379</v>
      </c>
      <c r="F1519" s="2" t="s">
        <v>1202</v>
      </c>
    </row>
    <row r="1520">
      <c r="A1520" s="55">
        <f t="shared" si="2"/>
        <v>1519</v>
      </c>
      <c r="B1520" s="56" t="s">
        <v>1203</v>
      </c>
      <c r="C1520" s="55" t="s">
        <v>26</v>
      </c>
      <c r="D1520" s="55">
        <v>1308.0</v>
      </c>
      <c r="E1520" s="57" t="s">
        <v>379</v>
      </c>
      <c r="F1520" s="2" t="s">
        <v>1202</v>
      </c>
    </row>
    <row r="1521">
      <c r="A1521" s="55">
        <f t="shared" si="2"/>
        <v>1520</v>
      </c>
      <c r="B1521" s="56" t="s">
        <v>1203</v>
      </c>
      <c r="C1521" s="55" t="s">
        <v>27</v>
      </c>
      <c r="D1521" s="55">
        <v>1255.0</v>
      </c>
      <c r="E1521" s="57" t="s">
        <v>379</v>
      </c>
      <c r="F1521" s="2" t="s">
        <v>1202</v>
      </c>
    </row>
    <row r="1522">
      <c r="A1522" s="55">
        <f t="shared" si="2"/>
        <v>1521</v>
      </c>
      <c r="B1522" s="56" t="s">
        <v>1208</v>
      </c>
      <c r="C1522" s="55" t="s">
        <v>26</v>
      </c>
      <c r="D1522" s="55">
        <v>1240.0</v>
      </c>
      <c r="E1522" s="57" t="s">
        <v>379</v>
      </c>
      <c r="F1522" s="2" t="s">
        <v>1207</v>
      </c>
    </row>
    <row r="1523">
      <c r="A1523" s="55">
        <f t="shared" si="2"/>
        <v>1522</v>
      </c>
      <c r="B1523" s="56" t="s">
        <v>1208</v>
      </c>
      <c r="C1523" s="55" t="s">
        <v>30</v>
      </c>
      <c r="D1523" s="55">
        <v>1310.0</v>
      </c>
      <c r="E1523" s="57" t="s">
        <v>379</v>
      </c>
      <c r="F1523" s="2" t="s">
        <v>1207</v>
      </c>
    </row>
    <row r="1524">
      <c r="A1524" s="55">
        <f t="shared" si="2"/>
        <v>1523</v>
      </c>
      <c r="B1524" s="56" t="s">
        <v>1208</v>
      </c>
      <c r="C1524" s="55" t="s">
        <v>27</v>
      </c>
      <c r="D1524" s="55">
        <v>1237.0</v>
      </c>
      <c r="E1524" s="57" t="s">
        <v>379</v>
      </c>
      <c r="F1524" s="2" t="s">
        <v>1207</v>
      </c>
    </row>
    <row r="1525">
      <c r="A1525" s="55">
        <f t="shared" si="2"/>
        <v>1524</v>
      </c>
      <c r="B1525" s="56" t="s">
        <v>1212</v>
      </c>
      <c r="C1525" s="55" t="s">
        <v>30</v>
      </c>
      <c r="D1525" s="55">
        <v>1291.0</v>
      </c>
      <c r="E1525" s="57" t="s">
        <v>379</v>
      </c>
      <c r="F1525" s="2" t="s">
        <v>1211</v>
      </c>
    </row>
    <row r="1526">
      <c r="A1526" s="55">
        <f t="shared" si="2"/>
        <v>1525</v>
      </c>
      <c r="B1526" s="56" t="s">
        <v>1212</v>
      </c>
      <c r="C1526" s="55" t="s">
        <v>27</v>
      </c>
      <c r="D1526" s="55">
        <v>1219.0</v>
      </c>
      <c r="E1526" s="57" t="s">
        <v>379</v>
      </c>
      <c r="F1526" s="2" t="s">
        <v>1211</v>
      </c>
    </row>
    <row r="1527">
      <c r="A1527" s="55">
        <f t="shared" si="2"/>
        <v>1526</v>
      </c>
      <c r="B1527" s="56" t="s">
        <v>1216</v>
      </c>
      <c r="C1527" s="55" t="s">
        <v>27</v>
      </c>
      <c r="D1527" s="55">
        <v>1200.0</v>
      </c>
      <c r="E1527" s="57" t="s">
        <v>379</v>
      </c>
      <c r="F1527" s="2" t="s">
        <v>1215</v>
      </c>
    </row>
    <row r="1528">
      <c r="A1528" s="55">
        <f t="shared" si="2"/>
        <v>1527</v>
      </c>
      <c r="B1528" s="56" t="s">
        <v>1216</v>
      </c>
      <c r="C1528" s="55" t="s">
        <v>28</v>
      </c>
      <c r="D1528" s="55">
        <v>1314.0</v>
      </c>
      <c r="E1528" s="57" t="s">
        <v>379</v>
      </c>
      <c r="F1528" s="2" t="s">
        <v>1215</v>
      </c>
    </row>
    <row r="1529">
      <c r="A1529" s="55">
        <f t="shared" si="2"/>
        <v>1528</v>
      </c>
      <c r="B1529" s="56" t="s">
        <v>1221</v>
      </c>
      <c r="C1529" s="55" t="s">
        <v>28</v>
      </c>
      <c r="D1529" s="55">
        <v>1299.0</v>
      </c>
      <c r="E1529" s="57" t="s">
        <v>379</v>
      </c>
      <c r="F1529" s="2" t="s">
        <v>1220</v>
      </c>
    </row>
    <row r="1530">
      <c r="A1530" s="55">
        <f t="shared" si="2"/>
        <v>1529</v>
      </c>
      <c r="B1530" s="56" t="s">
        <v>1225</v>
      </c>
      <c r="C1530" s="55" t="s">
        <v>30</v>
      </c>
      <c r="D1530" s="55">
        <v>1303.0</v>
      </c>
      <c r="E1530" s="57" t="s">
        <v>379</v>
      </c>
      <c r="F1530" s="2" t="s">
        <v>1224</v>
      </c>
    </row>
    <row r="1531">
      <c r="A1531" s="55">
        <f t="shared" si="2"/>
        <v>1530</v>
      </c>
      <c r="B1531" s="56" t="s">
        <v>1225</v>
      </c>
      <c r="C1531" s="55" t="s">
        <v>28</v>
      </c>
      <c r="D1531" s="55">
        <v>1285.0</v>
      </c>
      <c r="E1531" s="57" t="s">
        <v>379</v>
      </c>
      <c r="F1531" s="2" t="s">
        <v>1224</v>
      </c>
    </row>
    <row r="1532">
      <c r="A1532" s="55">
        <f t="shared" si="2"/>
        <v>1531</v>
      </c>
      <c r="B1532" s="56" t="s">
        <v>1229</v>
      </c>
      <c r="C1532" s="55" t="s">
        <v>30</v>
      </c>
      <c r="D1532" s="55">
        <v>1286.0</v>
      </c>
      <c r="E1532" s="57" t="s">
        <v>379</v>
      </c>
      <c r="F1532" s="2" t="s">
        <v>1228</v>
      </c>
    </row>
    <row r="1533">
      <c r="A1533" s="55">
        <f t="shared" si="2"/>
        <v>1532</v>
      </c>
      <c r="B1533" s="56" t="s">
        <v>1233</v>
      </c>
      <c r="C1533" s="55" t="s">
        <v>30</v>
      </c>
      <c r="D1533" s="55">
        <v>1267.0</v>
      </c>
      <c r="E1533" s="57" t="s">
        <v>379</v>
      </c>
      <c r="F1533" s="2" t="s">
        <v>1232</v>
      </c>
    </row>
    <row r="1534">
      <c r="A1534" s="55">
        <f t="shared" si="2"/>
        <v>1533</v>
      </c>
      <c r="B1534" s="56" t="s">
        <v>1238</v>
      </c>
      <c r="C1534" s="55" t="s">
        <v>28</v>
      </c>
      <c r="D1534" s="55">
        <v>1270.0</v>
      </c>
      <c r="E1534" s="57" t="s">
        <v>379</v>
      </c>
      <c r="F1534" s="2" t="s">
        <v>1237</v>
      </c>
    </row>
    <row r="1535">
      <c r="A1535" s="55">
        <f t="shared" si="2"/>
        <v>1534</v>
      </c>
      <c r="B1535" s="56" t="s">
        <v>1238</v>
      </c>
      <c r="C1535" s="55" t="s">
        <v>30</v>
      </c>
      <c r="D1535" s="55">
        <v>1286.0</v>
      </c>
      <c r="E1535" s="57" t="s">
        <v>379</v>
      </c>
      <c r="F1535" s="2" t="s">
        <v>1237</v>
      </c>
    </row>
    <row r="1536">
      <c r="A1536" s="55">
        <f t="shared" si="2"/>
        <v>1535</v>
      </c>
      <c r="B1536" s="56" t="s">
        <v>1242</v>
      </c>
      <c r="C1536" s="55" t="s">
        <v>30</v>
      </c>
      <c r="D1536" s="55">
        <v>1269.0</v>
      </c>
      <c r="E1536" s="57" t="s">
        <v>379</v>
      </c>
      <c r="F1536" s="2" t="s">
        <v>1241</v>
      </c>
    </row>
    <row r="1537">
      <c r="A1537" s="55">
        <f t="shared" si="2"/>
        <v>1536</v>
      </c>
      <c r="B1537" s="56" t="s">
        <v>1242</v>
      </c>
      <c r="C1537" s="55" t="s">
        <v>28</v>
      </c>
      <c r="D1537" s="55">
        <v>1255.0</v>
      </c>
      <c r="E1537" s="57" t="s">
        <v>379</v>
      </c>
      <c r="F1537" s="2" t="s">
        <v>1241</v>
      </c>
    </row>
    <row r="1538">
      <c r="A1538" s="55">
        <f t="shared" si="2"/>
        <v>1537</v>
      </c>
      <c r="B1538" s="56" t="s">
        <v>1246</v>
      </c>
      <c r="C1538" s="55" t="s">
        <v>30</v>
      </c>
      <c r="D1538" s="55">
        <v>1251.0</v>
      </c>
      <c r="E1538" s="57" t="s">
        <v>379</v>
      </c>
      <c r="F1538" s="2" t="s">
        <v>1245</v>
      </c>
    </row>
    <row r="1539">
      <c r="A1539" s="55">
        <f t="shared" si="2"/>
        <v>1538</v>
      </c>
      <c r="B1539" s="56" t="s">
        <v>1250</v>
      </c>
      <c r="C1539" s="55" t="s">
        <v>30</v>
      </c>
      <c r="D1539" s="55">
        <v>1233.0</v>
      </c>
      <c r="E1539" s="57" t="s">
        <v>379</v>
      </c>
      <c r="F1539" s="2" t="s">
        <v>1249</v>
      </c>
    </row>
    <row r="1540">
      <c r="A1540" s="55">
        <f t="shared" si="2"/>
        <v>1539</v>
      </c>
      <c r="B1540" s="56" t="s">
        <v>1254</v>
      </c>
      <c r="C1540" s="55" t="s">
        <v>30</v>
      </c>
      <c r="D1540" s="55">
        <v>1213.0</v>
      </c>
      <c r="E1540" s="57" t="s">
        <v>379</v>
      </c>
      <c r="F1540" s="2" t="s">
        <v>1253</v>
      </c>
    </row>
    <row r="1541">
      <c r="A1541" s="55">
        <f t="shared" si="2"/>
        <v>1540</v>
      </c>
      <c r="B1541" s="56" t="s">
        <v>1258</v>
      </c>
      <c r="C1541" s="55" t="s">
        <v>30</v>
      </c>
      <c r="D1541" s="55">
        <v>1160.0</v>
      </c>
      <c r="E1541" s="57" t="s">
        <v>379</v>
      </c>
      <c r="F1541" s="2" t="s">
        <v>1257</v>
      </c>
    </row>
    <row r="1542">
      <c r="A1542" s="55">
        <f t="shared" si="2"/>
        <v>1541</v>
      </c>
      <c r="B1542" s="56" t="s">
        <v>1258</v>
      </c>
      <c r="C1542" s="55" t="s">
        <v>28</v>
      </c>
      <c r="D1542" s="55">
        <v>1240.0</v>
      </c>
      <c r="E1542" s="57" t="s">
        <v>379</v>
      </c>
      <c r="F1542" s="2" t="s">
        <v>1257</v>
      </c>
    </row>
    <row r="1543">
      <c r="A1543" s="55">
        <f t="shared" si="2"/>
        <v>1542</v>
      </c>
      <c r="B1543" s="56" t="s">
        <v>1349</v>
      </c>
      <c r="C1543" s="55" t="s">
        <v>54</v>
      </c>
      <c r="D1543" s="55">
        <v>1197.0</v>
      </c>
      <c r="E1543" s="57" t="s">
        <v>1352</v>
      </c>
      <c r="F1543" s="2" t="s">
        <v>1348</v>
      </c>
    </row>
    <row r="1544">
      <c r="A1544" s="55">
        <f t="shared" si="2"/>
        <v>1543</v>
      </c>
      <c r="B1544" s="56" t="s">
        <v>1349</v>
      </c>
      <c r="C1544" s="55" t="s">
        <v>44</v>
      </c>
      <c r="D1544" s="55">
        <v>1211.0</v>
      </c>
      <c r="E1544" s="57" t="s">
        <v>1352</v>
      </c>
      <c r="F1544" s="2" t="s">
        <v>1348</v>
      </c>
    </row>
    <row r="1545">
      <c r="A1545" s="55">
        <f t="shared" si="2"/>
        <v>1544</v>
      </c>
      <c r="B1545" s="56" t="s">
        <v>1349</v>
      </c>
      <c r="C1545" s="55" t="s">
        <v>26</v>
      </c>
      <c r="D1545" s="55">
        <v>1592.0</v>
      </c>
      <c r="E1545" s="57" t="s">
        <v>1352</v>
      </c>
      <c r="F1545" s="2" t="s">
        <v>1348</v>
      </c>
    </row>
    <row r="1546">
      <c r="A1546" s="55">
        <f t="shared" si="2"/>
        <v>1545</v>
      </c>
      <c r="B1546" s="56" t="s">
        <v>1349</v>
      </c>
      <c r="C1546" s="55" t="s">
        <v>30</v>
      </c>
      <c r="D1546" s="55">
        <v>1533.0</v>
      </c>
      <c r="E1546" s="57" t="s">
        <v>1352</v>
      </c>
      <c r="F1546" s="2" t="s">
        <v>1348</v>
      </c>
    </row>
    <row r="1547">
      <c r="A1547" s="55">
        <f t="shared" si="2"/>
        <v>1546</v>
      </c>
      <c r="B1547" s="56" t="s">
        <v>1349</v>
      </c>
      <c r="C1547" s="55" t="s">
        <v>27</v>
      </c>
      <c r="D1547" s="55">
        <v>1609.0</v>
      </c>
      <c r="E1547" s="57" t="s">
        <v>1352</v>
      </c>
      <c r="F1547" s="2" t="s">
        <v>1348</v>
      </c>
    </row>
    <row r="1548">
      <c r="A1548" s="55">
        <f t="shared" si="2"/>
        <v>1547</v>
      </c>
      <c r="B1548" s="56" t="s">
        <v>1349</v>
      </c>
      <c r="C1548" s="55" t="s">
        <v>34</v>
      </c>
      <c r="D1548" s="55">
        <v>1018.0</v>
      </c>
      <c r="E1548" s="57" t="s">
        <v>1352</v>
      </c>
      <c r="F1548" s="2" t="s">
        <v>1348</v>
      </c>
    </row>
    <row r="1549">
      <c r="A1549" s="55">
        <f t="shared" si="2"/>
        <v>1548</v>
      </c>
      <c r="B1549" s="56" t="s">
        <v>1349</v>
      </c>
      <c r="C1549" s="55" t="s">
        <v>29</v>
      </c>
      <c r="D1549" s="55">
        <v>1503.0</v>
      </c>
      <c r="E1549" s="57" t="s">
        <v>1352</v>
      </c>
      <c r="F1549" s="2" t="s">
        <v>1348</v>
      </c>
    </row>
    <row r="1550">
      <c r="A1550" s="55">
        <f t="shared" si="2"/>
        <v>1549</v>
      </c>
      <c r="B1550" s="56" t="s">
        <v>1355</v>
      </c>
      <c r="C1550" s="55" t="s">
        <v>44</v>
      </c>
      <c r="D1550" s="55">
        <v>1222.0</v>
      </c>
      <c r="E1550" s="57" t="s">
        <v>1352</v>
      </c>
      <c r="F1550" s="2" t="s">
        <v>1354</v>
      </c>
    </row>
    <row r="1551">
      <c r="A1551" s="55">
        <f t="shared" si="2"/>
        <v>1550</v>
      </c>
      <c r="B1551" s="56" t="s">
        <v>1355</v>
      </c>
      <c r="C1551" s="55" t="s">
        <v>30</v>
      </c>
      <c r="D1551" s="55">
        <v>1518.0</v>
      </c>
      <c r="E1551" s="57" t="s">
        <v>1352</v>
      </c>
      <c r="F1551" s="2" t="s">
        <v>1354</v>
      </c>
    </row>
    <row r="1552">
      <c r="A1552" s="55">
        <f t="shared" si="2"/>
        <v>1551</v>
      </c>
      <c r="B1552" s="56" t="s">
        <v>1355</v>
      </c>
      <c r="C1552" s="55" t="s">
        <v>34</v>
      </c>
      <c r="D1552" s="55">
        <v>989.0</v>
      </c>
      <c r="E1552" s="57" t="s">
        <v>1352</v>
      </c>
      <c r="F1552" s="2" t="s">
        <v>1354</v>
      </c>
    </row>
    <row r="1553">
      <c r="A1553" s="55">
        <f t="shared" si="2"/>
        <v>1552</v>
      </c>
      <c r="B1553" s="56" t="s">
        <v>1355</v>
      </c>
      <c r="C1553" s="55" t="s">
        <v>26</v>
      </c>
      <c r="D1553" s="55">
        <v>1607.0</v>
      </c>
      <c r="E1553" s="57" t="s">
        <v>1352</v>
      </c>
      <c r="F1553" s="2" t="s">
        <v>1354</v>
      </c>
    </row>
    <row r="1554">
      <c r="A1554" s="55">
        <f t="shared" si="2"/>
        <v>1553</v>
      </c>
      <c r="B1554" s="56" t="s">
        <v>1355</v>
      </c>
      <c r="C1554" s="55" t="s">
        <v>29</v>
      </c>
      <c r="D1554" s="55">
        <v>1487.0</v>
      </c>
      <c r="E1554" s="57" t="s">
        <v>1352</v>
      </c>
      <c r="F1554" s="2" t="s">
        <v>1354</v>
      </c>
    </row>
    <row r="1555">
      <c r="A1555" s="55">
        <f t="shared" si="2"/>
        <v>1554</v>
      </c>
      <c r="B1555" s="56" t="s">
        <v>1355</v>
      </c>
      <c r="C1555" s="55" t="s">
        <v>27</v>
      </c>
      <c r="D1555" s="55">
        <v>1598.0</v>
      </c>
      <c r="E1555" s="57" t="s">
        <v>1352</v>
      </c>
      <c r="F1555" s="2" t="s">
        <v>1354</v>
      </c>
    </row>
    <row r="1556">
      <c r="A1556" s="55">
        <f t="shared" si="2"/>
        <v>1555</v>
      </c>
      <c r="B1556" s="56" t="s">
        <v>1355</v>
      </c>
      <c r="C1556" s="55" t="s">
        <v>54</v>
      </c>
      <c r="D1556" s="55">
        <v>1208.0</v>
      </c>
      <c r="E1556" s="57" t="s">
        <v>1352</v>
      </c>
      <c r="F1556" s="2" t="s">
        <v>1354</v>
      </c>
    </row>
    <row r="1557">
      <c r="A1557" s="55">
        <f t="shared" si="2"/>
        <v>1556</v>
      </c>
      <c r="B1557" s="56" t="s">
        <v>1359</v>
      </c>
      <c r="C1557" s="55" t="s">
        <v>54</v>
      </c>
      <c r="D1557" s="55">
        <v>1187.0</v>
      </c>
      <c r="E1557" s="57" t="s">
        <v>1352</v>
      </c>
      <c r="F1557" s="2" t="s">
        <v>1358</v>
      </c>
    </row>
    <row r="1558">
      <c r="A1558" s="55">
        <f t="shared" si="2"/>
        <v>1557</v>
      </c>
      <c r="B1558" s="56" t="s">
        <v>1359</v>
      </c>
      <c r="C1558" s="55" t="s">
        <v>34</v>
      </c>
      <c r="D1558" s="55">
        <v>998.0</v>
      </c>
      <c r="E1558" s="57" t="s">
        <v>1352</v>
      </c>
      <c r="F1558" s="2" t="s">
        <v>1358</v>
      </c>
    </row>
    <row r="1559">
      <c r="A1559" s="55">
        <f t="shared" si="2"/>
        <v>1558</v>
      </c>
      <c r="B1559" s="56" t="s">
        <v>1359</v>
      </c>
      <c r="C1559" s="55" t="s">
        <v>27</v>
      </c>
      <c r="D1559" s="55">
        <v>1589.0</v>
      </c>
      <c r="E1559" s="57" t="s">
        <v>1352</v>
      </c>
      <c r="F1559" s="2" t="s">
        <v>1358</v>
      </c>
    </row>
    <row r="1560">
      <c r="A1560" s="55">
        <f t="shared" si="2"/>
        <v>1559</v>
      </c>
      <c r="B1560" s="56" t="s">
        <v>1359</v>
      </c>
      <c r="C1560" s="55" t="s">
        <v>29</v>
      </c>
      <c r="D1560" s="55">
        <v>1473.0</v>
      </c>
      <c r="E1560" s="57" t="s">
        <v>1352</v>
      </c>
      <c r="F1560" s="2" t="s">
        <v>1358</v>
      </c>
    </row>
    <row r="1561">
      <c r="A1561" s="55">
        <f t="shared" si="2"/>
        <v>1560</v>
      </c>
      <c r="B1561" s="56" t="s">
        <v>1359</v>
      </c>
      <c r="C1561" s="55" t="s">
        <v>26</v>
      </c>
      <c r="D1561" s="55">
        <v>1596.0</v>
      </c>
      <c r="E1561" s="57" t="s">
        <v>1352</v>
      </c>
      <c r="F1561" s="2" t="s">
        <v>1358</v>
      </c>
    </row>
    <row r="1562">
      <c r="A1562" s="55">
        <f t="shared" si="2"/>
        <v>1561</v>
      </c>
      <c r="B1562" s="56" t="s">
        <v>1359</v>
      </c>
      <c r="C1562" s="55" t="s">
        <v>58</v>
      </c>
      <c r="D1562" s="55">
        <v>1261.0</v>
      </c>
      <c r="E1562" s="57" t="s">
        <v>1352</v>
      </c>
      <c r="F1562" s="2" t="s">
        <v>1358</v>
      </c>
    </row>
    <row r="1563">
      <c r="A1563" s="55">
        <f t="shared" si="2"/>
        <v>1562</v>
      </c>
      <c r="B1563" s="56" t="s">
        <v>1359</v>
      </c>
      <c r="C1563" s="55" t="s">
        <v>30</v>
      </c>
      <c r="D1563" s="55">
        <v>1533.0</v>
      </c>
      <c r="E1563" s="57" t="s">
        <v>1352</v>
      </c>
      <c r="F1563" s="2" t="s">
        <v>1358</v>
      </c>
    </row>
    <row r="1564">
      <c r="A1564" s="55">
        <f t="shared" si="2"/>
        <v>1563</v>
      </c>
      <c r="B1564" s="56" t="s">
        <v>1363</v>
      </c>
      <c r="C1564" s="55" t="s">
        <v>54</v>
      </c>
      <c r="D1564" s="55">
        <v>1197.0</v>
      </c>
      <c r="E1564" s="57" t="s">
        <v>1352</v>
      </c>
      <c r="F1564" s="2" t="s">
        <v>1362</v>
      </c>
    </row>
    <row r="1565">
      <c r="A1565" s="55">
        <f t="shared" si="2"/>
        <v>1564</v>
      </c>
      <c r="B1565" s="56" t="s">
        <v>1363</v>
      </c>
      <c r="C1565" s="55" t="s">
        <v>58</v>
      </c>
      <c r="D1565" s="55">
        <v>1242.0</v>
      </c>
      <c r="E1565" s="57" t="s">
        <v>1352</v>
      </c>
      <c r="F1565" s="2" t="s">
        <v>1362</v>
      </c>
    </row>
    <row r="1566">
      <c r="A1566" s="55">
        <f t="shared" si="2"/>
        <v>1565</v>
      </c>
      <c r="B1566" s="56" t="s">
        <v>1363</v>
      </c>
      <c r="C1566" s="55" t="s">
        <v>29</v>
      </c>
      <c r="D1566" s="55">
        <v>1458.0</v>
      </c>
      <c r="E1566" s="57" t="s">
        <v>1352</v>
      </c>
      <c r="F1566" s="2" t="s">
        <v>1362</v>
      </c>
    </row>
    <row r="1567">
      <c r="A1567" s="55">
        <f t="shared" si="2"/>
        <v>1566</v>
      </c>
      <c r="B1567" s="56" t="s">
        <v>1363</v>
      </c>
      <c r="C1567" s="55" t="s">
        <v>36</v>
      </c>
      <c r="D1567" s="55">
        <v>1442.0</v>
      </c>
      <c r="E1567" s="57" t="s">
        <v>1352</v>
      </c>
      <c r="F1567" s="2" t="s">
        <v>1362</v>
      </c>
    </row>
    <row r="1568">
      <c r="A1568" s="55">
        <f t="shared" si="2"/>
        <v>1567</v>
      </c>
      <c r="B1568" s="56" t="s">
        <v>1363</v>
      </c>
      <c r="C1568" s="55" t="s">
        <v>26</v>
      </c>
      <c r="D1568" s="55">
        <v>1585.0</v>
      </c>
      <c r="E1568" s="57" t="s">
        <v>1352</v>
      </c>
      <c r="F1568" s="2" t="s">
        <v>1362</v>
      </c>
    </row>
    <row r="1569">
      <c r="A1569" s="55">
        <f t="shared" si="2"/>
        <v>1568</v>
      </c>
      <c r="B1569" s="56" t="s">
        <v>1363</v>
      </c>
      <c r="C1569" s="55" t="s">
        <v>27</v>
      </c>
      <c r="D1569" s="55">
        <v>1603.0</v>
      </c>
      <c r="E1569" s="57" t="s">
        <v>1352</v>
      </c>
      <c r="F1569" s="2" t="s">
        <v>1362</v>
      </c>
    </row>
    <row r="1570">
      <c r="A1570" s="55">
        <f t="shared" si="2"/>
        <v>1569</v>
      </c>
      <c r="B1570" s="56" t="s">
        <v>1363</v>
      </c>
      <c r="C1570" s="55" t="s">
        <v>30</v>
      </c>
      <c r="D1570" s="55">
        <v>1520.0</v>
      </c>
      <c r="E1570" s="57" t="s">
        <v>1352</v>
      </c>
      <c r="F1570" s="2" t="s">
        <v>1362</v>
      </c>
    </row>
    <row r="1571">
      <c r="A1571" s="55">
        <f t="shared" si="2"/>
        <v>1570</v>
      </c>
      <c r="B1571" s="56" t="s">
        <v>1367</v>
      </c>
      <c r="C1571" s="55" t="s">
        <v>54</v>
      </c>
      <c r="D1571" s="55">
        <v>1211.0</v>
      </c>
      <c r="E1571" s="57" t="s">
        <v>1352</v>
      </c>
      <c r="F1571" s="2" t="s">
        <v>1366</v>
      </c>
    </row>
    <row r="1572">
      <c r="A1572" s="55">
        <f t="shared" si="2"/>
        <v>1571</v>
      </c>
      <c r="B1572" s="56" t="s">
        <v>1367</v>
      </c>
      <c r="C1572" s="55" t="s">
        <v>58</v>
      </c>
      <c r="D1572" s="55">
        <v>1256.0</v>
      </c>
      <c r="E1572" s="57" t="s">
        <v>1352</v>
      </c>
      <c r="F1572" s="2" t="s">
        <v>1366</v>
      </c>
    </row>
    <row r="1573">
      <c r="A1573" s="55">
        <f t="shared" si="2"/>
        <v>1572</v>
      </c>
      <c r="B1573" s="56" t="s">
        <v>1367</v>
      </c>
      <c r="C1573" s="55" t="s">
        <v>26</v>
      </c>
      <c r="D1573" s="55">
        <v>1569.0</v>
      </c>
      <c r="E1573" s="57" t="s">
        <v>1352</v>
      </c>
      <c r="F1573" s="2" t="s">
        <v>1366</v>
      </c>
    </row>
    <row r="1574">
      <c r="A1574" s="55">
        <f t="shared" si="2"/>
        <v>1573</v>
      </c>
      <c r="B1574" s="56" t="s">
        <v>1367</v>
      </c>
      <c r="C1574" s="55" t="s">
        <v>29</v>
      </c>
      <c r="D1574" s="55">
        <v>1475.0</v>
      </c>
      <c r="E1574" s="57" t="s">
        <v>1352</v>
      </c>
      <c r="F1574" s="2" t="s">
        <v>1366</v>
      </c>
    </row>
    <row r="1575">
      <c r="A1575" s="55">
        <f t="shared" si="2"/>
        <v>1574</v>
      </c>
      <c r="B1575" s="56" t="s">
        <v>1367</v>
      </c>
      <c r="C1575" s="55" t="s">
        <v>36</v>
      </c>
      <c r="D1575" s="55">
        <v>1459.0</v>
      </c>
      <c r="E1575" s="57" t="s">
        <v>1352</v>
      </c>
      <c r="F1575" s="2" t="s">
        <v>1366</v>
      </c>
    </row>
    <row r="1576">
      <c r="A1576" s="55">
        <f t="shared" si="2"/>
        <v>1575</v>
      </c>
      <c r="B1576" s="56" t="s">
        <v>1367</v>
      </c>
      <c r="C1576" s="55" t="s">
        <v>27</v>
      </c>
      <c r="D1576" s="55">
        <v>1590.0</v>
      </c>
      <c r="E1576" s="57" t="s">
        <v>1352</v>
      </c>
      <c r="F1576" s="2" t="s">
        <v>1366</v>
      </c>
    </row>
    <row r="1577">
      <c r="A1577" s="55">
        <f t="shared" si="2"/>
        <v>1576</v>
      </c>
      <c r="B1577" s="56" t="s">
        <v>1367</v>
      </c>
      <c r="C1577" s="55" t="s">
        <v>30</v>
      </c>
      <c r="D1577" s="55">
        <v>1501.0</v>
      </c>
      <c r="E1577" s="57" t="s">
        <v>1352</v>
      </c>
      <c r="F1577" s="2" t="s">
        <v>1366</v>
      </c>
    </row>
    <row r="1578">
      <c r="A1578" s="55">
        <f t="shared" si="2"/>
        <v>1577</v>
      </c>
      <c r="B1578" s="56" t="s">
        <v>1371</v>
      </c>
      <c r="C1578" s="55" t="s">
        <v>54</v>
      </c>
      <c r="D1578" s="55">
        <v>1224.0</v>
      </c>
      <c r="E1578" s="57" t="s">
        <v>1352</v>
      </c>
      <c r="F1578" s="2" t="s">
        <v>1370</v>
      </c>
    </row>
    <row r="1579">
      <c r="A1579" s="55">
        <f t="shared" si="2"/>
        <v>1578</v>
      </c>
      <c r="B1579" s="56" t="s">
        <v>1371</v>
      </c>
      <c r="C1579" s="55" t="s">
        <v>30</v>
      </c>
      <c r="D1579" s="55">
        <v>1481.0</v>
      </c>
      <c r="E1579" s="57" t="s">
        <v>1352</v>
      </c>
      <c r="F1579" s="2" t="s">
        <v>1370</v>
      </c>
    </row>
    <row r="1580">
      <c r="A1580" s="55">
        <f t="shared" si="2"/>
        <v>1579</v>
      </c>
      <c r="B1580" s="56" t="s">
        <v>1371</v>
      </c>
      <c r="C1580" s="55" t="s">
        <v>27</v>
      </c>
      <c r="D1580" s="55">
        <v>1576.0</v>
      </c>
      <c r="E1580" s="57" t="s">
        <v>1352</v>
      </c>
      <c r="F1580" s="2" t="s">
        <v>1370</v>
      </c>
    </row>
    <row r="1581">
      <c r="A1581" s="55">
        <f t="shared" si="2"/>
        <v>1580</v>
      </c>
      <c r="B1581" s="56" t="s">
        <v>1371</v>
      </c>
      <c r="C1581" s="55" t="s">
        <v>36</v>
      </c>
      <c r="D1581" s="55">
        <v>1441.0</v>
      </c>
      <c r="E1581" s="57" t="s">
        <v>1352</v>
      </c>
      <c r="F1581" s="2" t="s">
        <v>1370</v>
      </c>
    </row>
    <row r="1582">
      <c r="A1582" s="55">
        <f t="shared" si="2"/>
        <v>1581</v>
      </c>
      <c r="B1582" s="56" t="s">
        <v>1371</v>
      </c>
      <c r="C1582" s="55" t="s">
        <v>58</v>
      </c>
      <c r="D1582" s="55">
        <v>1270.0</v>
      </c>
      <c r="E1582" s="57" t="s">
        <v>1352</v>
      </c>
      <c r="F1582" s="2" t="s">
        <v>1370</v>
      </c>
    </row>
    <row r="1583">
      <c r="A1583" s="55">
        <f t="shared" si="2"/>
        <v>1582</v>
      </c>
      <c r="B1583" s="56" t="s">
        <v>1371</v>
      </c>
      <c r="C1583" s="55" t="s">
        <v>26</v>
      </c>
      <c r="D1583" s="55">
        <v>1586.0</v>
      </c>
      <c r="E1583" s="57" t="s">
        <v>1352</v>
      </c>
      <c r="F1583" s="2" t="s">
        <v>1370</v>
      </c>
    </row>
    <row r="1584">
      <c r="A1584" s="55">
        <f t="shared" si="2"/>
        <v>1583</v>
      </c>
      <c r="B1584" s="56" t="s">
        <v>1371</v>
      </c>
      <c r="C1584" s="55" t="s">
        <v>29</v>
      </c>
      <c r="D1584" s="55">
        <v>1454.0</v>
      </c>
      <c r="E1584" s="57" t="s">
        <v>1352</v>
      </c>
      <c r="F1584" s="2" t="s">
        <v>1370</v>
      </c>
    </row>
    <row r="1585">
      <c r="A1585" s="55">
        <f t="shared" si="2"/>
        <v>1584</v>
      </c>
      <c r="B1585" s="56" t="s">
        <v>1375</v>
      </c>
      <c r="C1585" s="55" t="s">
        <v>29</v>
      </c>
      <c r="D1585" s="55">
        <v>1433.0</v>
      </c>
      <c r="E1585" s="57" t="s">
        <v>1352</v>
      </c>
      <c r="F1585" s="2" t="s">
        <v>1374</v>
      </c>
    </row>
    <row r="1586">
      <c r="A1586" s="55">
        <f t="shared" si="2"/>
        <v>1585</v>
      </c>
      <c r="B1586" s="56" t="s">
        <v>1375</v>
      </c>
      <c r="C1586" s="55" t="s">
        <v>54</v>
      </c>
      <c r="D1586" s="55">
        <v>1238.0</v>
      </c>
      <c r="E1586" s="57" t="s">
        <v>1352</v>
      </c>
      <c r="F1586" s="2" t="s">
        <v>1374</v>
      </c>
    </row>
    <row r="1587">
      <c r="A1587" s="55">
        <f t="shared" si="2"/>
        <v>1586</v>
      </c>
      <c r="B1587" s="56" t="s">
        <v>1375</v>
      </c>
      <c r="C1587" s="55" t="s">
        <v>58</v>
      </c>
      <c r="D1587" s="55">
        <v>1246.0</v>
      </c>
      <c r="E1587" s="57" t="s">
        <v>1352</v>
      </c>
      <c r="F1587" s="2" t="s">
        <v>1374</v>
      </c>
    </row>
    <row r="1588">
      <c r="A1588" s="55">
        <f t="shared" si="2"/>
        <v>1587</v>
      </c>
      <c r="B1588" s="56" t="s">
        <v>1375</v>
      </c>
      <c r="C1588" s="55" t="s">
        <v>30</v>
      </c>
      <c r="D1588" s="55">
        <v>1498.0</v>
      </c>
      <c r="E1588" s="57" t="s">
        <v>1352</v>
      </c>
      <c r="F1588" s="2" t="s">
        <v>1374</v>
      </c>
    </row>
    <row r="1589">
      <c r="A1589" s="55">
        <f t="shared" si="2"/>
        <v>1588</v>
      </c>
      <c r="B1589" s="56" t="s">
        <v>1375</v>
      </c>
      <c r="C1589" s="55" t="s">
        <v>36</v>
      </c>
      <c r="D1589" s="55">
        <v>1423.0</v>
      </c>
      <c r="E1589" s="57" t="s">
        <v>1352</v>
      </c>
      <c r="F1589" s="2" t="s">
        <v>1374</v>
      </c>
    </row>
    <row r="1590">
      <c r="A1590" s="55">
        <f t="shared" si="2"/>
        <v>1589</v>
      </c>
      <c r="B1590" s="56" t="s">
        <v>1375</v>
      </c>
      <c r="C1590" s="55" t="s">
        <v>27</v>
      </c>
      <c r="D1590" s="55">
        <v>1594.0</v>
      </c>
      <c r="E1590" s="57" t="s">
        <v>1352</v>
      </c>
      <c r="F1590" s="2" t="s">
        <v>1374</v>
      </c>
    </row>
    <row r="1591">
      <c r="A1591" s="55">
        <f t="shared" si="2"/>
        <v>1590</v>
      </c>
      <c r="B1591" s="56" t="s">
        <v>1375</v>
      </c>
      <c r="C1591" s="55" t="s">
        <v>26</v>
      </c>
      <c r="D1591" s="55">
        <v>1570.0</v>
      </c>
      <c r="E1591" s="57" t="s">
        <v>1352</v>
      </c>
      <c r="F1591" s="2" t="s">
        <v>1374</v>
      </c>
    </row>
    <row r="1592">
      <c r="A1592" s="55">
        <f t="shared" si="2"/>
        <v>1591</v>
      </c>
      <c r="B1592" s="56" t="s">
        <v>1379</v>
      </c>
      <c r="C1592" s="55" t="s">
        <v>36</v>
      </c>
      <c r="D1592" s="55">
        <v>1407.0</v>
      </c>
      <c r="E1592" s="57" t="s">
        <v>1352</v>
      </c>
      <c r="F1592" s="2" t="s">
        <v>1378</v>
      </c>
    </row>
    <row r="1593">
      <c r="A1593" s="55">
        <f t="shared" si="2"/>
        <v>1592</v>
      </c>
      <c r="B1593" s="56" t="s">
        <v>1379</v>
      </c>
      <c r="C1593" s="55" t="s">
        <v>26</v>
      </c>
      <c r="D1593" s="55">
        <v>1557.0</v>
      </c>
      <c r="E1593" s="57" t="s">
        <v>1352</v>
      </c>
      <c r="F1593" s="2" t="s">
        <v>1378</v>
      </c>
    </row>
    <row r="1594">
      <c r="A1594" s="55">
        <f t="shared" si="2"/>
        <v>1593</v>
      </c>
      <c r="B1594" s="56" t="s">
        <v>1379</v>
      </c>
      <c r="C1594" s="55" t="s">
        <v>53</v>
      </c>
      <c r="D1594" s="55">
        <v>1224.0</v>
      </c>
      <c r="E1594" s="57" t="s">
        <v>1352</v>
      </c>
      <c r="F1594" s="2" t="s">
        <v>1378</v>
      </c>
    </row>
    <row r="1595">
      <c r="A1595" s="55">
        <f t="shared" si="2"/>
        <v>1594</v>
      </c>
      <c r="B1595" s="56" t="s">
        <v>1379</v>
      </c>
      <c r="C1595" s="55" t="s">
        <v>30</v>
      </c>
      <c r="D1595" s="55">
        <v>1482.0</v>
      </c>
      <c r="E1595" s="57" t="s">
        <v>1352</v>
      </c>
      <c r="F1595" s="2" t="s">
        <v>1378</v>
      </c>
    </row>
    <row r="1596">
      <c r="A1596" s="55">
        <f t="shared" si="2"/>
        <v>1595</v>
      </c>
      <c r="B1596" s="56" t="s">
        <v>1379</v>
      </c>
      <c r="C1596" s="55" t="s">
        <v>31</v>
      </c>
      <c r="D1596" s="55">
        <v>1620.0</v>
      </c>
      <c r="E1596" s="57" t="s">
        <v>1352</v>
      </c>
      <c r="F1596" s="2" t="s">
        <v>1378</v>
      </c>
    </row>
    <row r="1597">
      <c r="A1597" s="55">
        <f t="shared" si="2"/>
        <v>1596</v>
      </c>
      <c r="B1597" s="56" t="s">
        <v>1379</v>
      </c>
      <c r="C1597" s="55" t="s">
        <v>27</v>
      </c>
      <c r="D1597" s="55">
        <v>1583.0</v>
      </c>
      <c r="E1597" s="57" t="s">
        <v>1352</v>
      </c>
      <c r="F1597" s="2" t="s">
        <v>1378</v>
      </c>
    </row>
    <row r="1598">
      <c r="A1598" s="55">
        <f t="shared" si="2"/>
        <v>1597</v>
      </c>
      <c r="B1598" s="56" t="s">
        <v>1379</v>
      </c>
      <c r="C1598" s="55" t="s">
        <v>58</v>
      </c>
      <c r="D1598" s="55">
        <v>1256.0</v>
      </c>
      <c r="E1598" s="57" t="s">
        <v>1352</v>
      </c>
      <c r="F1598" s="2" t="s">
        <v>1378</v>
      </c>
    </row>
    <row r="1599">
      <c r="A1599" s="55">
        <f t="shared" si="2"/>
        <v>1598</v>
      </c>
      <c r="B1599" s="56" t="s">
        <v>1384</v>
      </c>
      <c r="C1599" s="55" t="s">
        <v>36</v>
      </c>
      <c r="D1599" s="55">
        <v>1418.0</v>
      </c>
      <c r="E1599" s="57" t="s">
        <v>1352</v>
      </c>
      <c r="F1599" s="2" t="s">
        <v>1383</v>
      </c>
    </row>
    <row r="1600">
      <c r="A1600" s="55">
        <f t="shared" si="2"/>
        <v>1599</v>
      </c>
      <c r="B1600" s="56" t="s">
        <v>1384</v>
      </c>
      <c r="C1600" s="55" t="s">
        <v>27</v>
      </c>
      <c r="D1600" s="55">
        <v>1567.0</v>
      </c>
      <c r="E1600" s="57" t="s">
        <v>1352</v>
      </c>
      <c r="F1600" s="2" t="s">
        <v>1383</v>
      </c>
    </row>
    <row r="1601">
      <c r="A1601" s="55">
        <f t="shared" si="2"/>
        <v>1600</v>
      </c>
      <c r="B1601" s="56" t="s">
        <v>1384</v>
      </c>
      <c r="C1601" s="55" t="s">
        <v>53</v>
      </c>
      <c r="D1601" s="55">
        <v>1234.0</v>
      </c>
      <c r="E1601" s="57" t="s">
        <v>1352</v>
      </c>
      <c r="F1601" s="2" t="s">
        <v>1383</v>
      </c>
    </row>
    <row r="1602">
      <c r="A1602" s="55">
        <f t="shared" si="2"/>
        <v>1601</v>
      </c>
      <c r="B1602" s="56" t="s">
        <v>1384</v>
      </c>
      <c r="C1602" s="55" t="s">
        <v>31</v>
      </c>
      <c r="D1602" s="55">
        <v>1602.0</v>
      </c>
      <c r="E1602" s="57" t="s">
        <v>1352</v>
      </c>
      <c r="F1602" s="2" t="s">
        <v>1383</v>
      </c>
    </row>
    <row r="1603">
      <c r="A1603" s="55">
        <f t="shared" si="2"/>
        <v>1602</v>
      </c>
      <c r="B1603" s="56" t="s">
        <v>1384</v>
      </c>
      <c r="C1603" s="55" t="s">
        <v>28</v>
      </c>
      <c r="D1603" s="55">
        <v>1299.0</v>
      </c>
      <c r="E1603" s="57" t="s">
        <v>1352</v>
      </c>
      <c r="F1603" s="2" t="s">
        <v>1383</v>
      </c>
    </row>
    <row r="1604">
      <c r="A1604" s="55">
        <f t="shared" si="2"/>
        <v>1603</v>
      </c>
      <c r="B1604" s="56" t="s">
        <v>1384</v>
      </c>
      <c r="C1604" s="55" t="s">
        <v>30</v>
      </c>
      <c r="D1604" s="55">
        <v>1494.0</v>
      </c>
      <c r="E1604" s="57" t="s">
        <v>1352</v>
      </c>
      <c r="F1604" s="2" t="s">
        <v>1383</v>
      </c>
    </row>
    <row r="1605">
      <c r="A1605" s="55">
        <f t="shared" si="2"/>
        <v>1604</v>
      </c>
      <c r="B1605" s="56" t="s">
        <v>1384</v>
      </c>
      <c r="C1605" s="55" t="s">
        <v>60</v>
      </c>
      <c r="D1605" s="55">
        <v>1160.0</v>
      </c>
      <c r="E1605" s="57" t="s">
        <v>1352</v>
      </c>
      <c r="F1605" s="2" t="s">
        <v>1383</v>
      </c>
    </row>
    <row r="1606">
      <c r="A1606" s="55">
        <f t="shared" si="2"/>
        <v>1605</v>
      </c>
      <c r="B1606" s="56" t="s">
        <v>1388</v>
      </c>
      <c r="C1606" s="55" t="s">
        <v>60</v>
      </c>
      <c r="D1606" s="55">
        <v>1133.0</v>
      </c>
      <c r="E1606" s="57" t="s">
        <v>1352</v>
      </c>
      <c r="F1606" s="2" t="s">
        <v>1387</v>
      </c>
    </row>
    <row r="1607">
      <c r="A1607" s="55">
        <f t="shared" si="2"/>
        <v>1606</v>
      </c>
      <c r="B1607" s="56" t="s">
        <v>1388</v>
      </c>
      <c r="C1607" s="55" t="s">
        <v>53</v>
      </c>
      <c r="D1607" s="55">
        <v>1245.0</v>
      </c>
      <c r="E1607" s="57" t="s">
        <v>1352</v>
      </c>
      <c r="F1607" s="2" t="s">
        <v>1387</v>
      </c>
    </row>
    <row r="1608">
      <c r="A1608" s="55">
        <f t="shared" si="2"/>
        <v>1607</v>
      </c>
      <c r="B1608" s="56" t="s">
        <v>1388</v>
      </c>
      <c r="C1608" s="55" t="s">
        <v>30</v>
      </c>
      <c r="D1608" s="55">
        <v>1475.0</v>
      </c>
      <c r="E1608" s="57" t="s">
        <v>1352</v>
      </c>
      <c r="F1608" s="2" t="s">
        <v>1387</v>
      </c>
    </row>
    <row r="1609">
      <c r="A1609" s="55">
        <f t="shared" si="2"/>
        <v>1608</v>
      </c>
      <c r="B1609" s="56" t="s">
        <v>1388</v>
      </c>
      <c r="C1609" s="55" t="s">
        <v>28</v>
      </c>
      <c r="D1609" s="55">
        <v>1276.0</v>
      </c>
      <c r="E1609" s="57" t="s">
        <v>1352</v>
      </c>
      <c r="F1609" s="2" t="s">
        <v>1387</v>
      </c>
    </row>
    <row r="1610">
      <c r="A1610" s="55">
        <f t="shared" si="2"/>
        <v>1609</v>
      </c>
      <c r="B1610" s="56" t="s">
        <v>1388</v>
      </c>
      <c r="C1610" s="55" t="s">
        <v>36</v>
      </c>
      <c r="D1610" s="55">
        <v>1431.0</v>
      </c>
      <c r="E1610" s="57" t="s">
        <v>1352</v>
      </c>
      <c r="F1610" s="2" t="s">
        <v>1387</v>
      </c>
    </row>
    <row r="1611">
      <c r="A1611" s="55">
        <f t="shared" si="2"/>
        <v>1610</v>
      </c>
      <c r="B1611" s="56" t="s">
        <v>1388</v>
      </c>
      <c r="C1611" s="55" t="s">
        <v>31</v>
      </c>
      <c r="D1611" s="55">
        <v>1587.0</v>
      </c>
      <c r="E1611" s="57" t="s">
        <v>1352</v>
      </c>
      <c r="F1611" s="2" t="s">
        <v>1387</v>
      </c>
    </row>
    <row r="1612">
      <c r="A1612" s="55">
        <f t="shared" si="2"/>
        <v>1611</v>
      </c>
      <c r="B1612" s="56" t="s">
        <v>1388</v>
      </c>
      <c r="C1612" s="55" t="s">
        <v>27</v>
      </c>
      <c r="D1612" s="55">
        <v>1582.0</v>
      </c>
      <c r="E1612" s="57" t="s">
        <v>1352</v>
      </c>
      <c r="F1612" s="2" t="s">
        <v>1387</v>
      </c>
    </row>
    <row r="1613">
      <c r="A1613" s="55">
        <f t="shared" si="2"/>
        <v>1612</v>
      </c>
      <c r="B1613" s="56" t="s">
        <v>1392</v>
      </c>
      <c r="C1613" s="55" t="s">
        <v>26</v>
      </c>
      <c r="D1613" s="55">
        <v>1569.0</v>
      </c>
      <c r="E1613" s="57" t="s">
        <v>1352</v>
      </c>
      <c r="F1613" s="2" t="s">
        <v>1391</v>
      </c>
    </row>
    <row r="1614">
      <c r="A1614" s="55">
        <f t="shared" si="2"/>
        <v>1613</v>
      </c>
      <c r="B1614" s="56" t="s">
        <v>1392</v>
      </c>
      <c r="C1614" s="55" t="s">
        <v>60</v>
      </c>
      <c r="D1614" s="55">
        <v>1147.0</v>
      </c>
      <c r="E1614" s="57" t="s">
        <v>1352</v>
      </c>
      <c r="F1614" s="2" t="s">
        <v>1391</v>
      </c>
    </row>
    <row r="1615">
      <c r="A1615" s="55">
        <f t="shared" si="2"/>
        <v>1614</v>
      </c>
      <c r="B1615" s="56" t="s">
        <v>1392</v>
      </c>
      <c r="C1615" s="55" t="s">
        <v>28</v>
      </c>
      <c r="D1615" s="55">
        <v>1256.0</v>
      </c>
      <c r="E1615" s="57" t="s">
        <v>1352</v>
      </c>
      <c r="F1615" s="2" t="s">
        <v>1391</v>
      </c>
    </row>
    <row r="1616">
      <c r="A1616" s="55">
        <f t="shared" si="2"/>
        <v>1615</v>
      </c>
      <c r="B1616" s="56" t="s">
        <v>1392</v>
      </c>
      <c r="C1616" s="55" t="s">
        <v>36</v>
      </c>
      <c r="D1616" s="55">
        <v>1416.0</v>
      </c>
      <c r="E1616" s="57" t="s">
        <v>1352</v>
      </c>
      <c r="F1616" s="2" t="s">
        <v>1391</v>
      </c>
    </row>
    <row r="1617">
      <c r="A1617" s="55">
        <f t="shared" si="2"/>
        <v>1616</v>
      </c>
      <c r="B1617" s="56" t="s">
        <v>1392</v>
      </c>
      <c r="C1617" s="55" t="s">
        <v>44</v>
      </c>
      <c r="D1617" s="55">
        <v>1234.0</v>
      </c>
      <c r="E1617" s="57" t="s">
        <v>1352</v>
      </c>
      <c r="F1617" s="2" t="s">
        <v>1391</v>
      </c>
    </row>
    <row r="1618">
      <c r="A1618" s="55">
        <f t="shared" si="2"/>
        <v>1617</v>
      </c>
      <c r="B1618" s="56" t="s">
        <v>1392</v>
      </c>
      <c r="C1618" s="55" t="s">
        <v>34</v>
      </c>
      <c r="D1618" s="55">
        <v>1006.0</v>
      </c>
      <c r="E1618" s="57" t="s">
        <v>1352</v>
      </c>
      <c r="F1618" s="2" t="s">
        <v>1391</v>
      </c>
    </row>
    <row r="1619">
      <c r="A1619" s="55">
        <f t="shared" si="2"/>
        <v>1618</v>
      </c>
      <c r="B1619" s="56" t="s">
        <v>1392</v>
      </c>
      <c r="C1619" s="55" t="s">
        <v>30</v>
      </c>
      <c r="D1619" s="55">
        <v>1494.0</v>
      </c>
      <c r="E1619" s="57" t="s">
        <v>1352</v>
      </c>
      <c r="F1619" s="2" t="s">
        <v>1391</v>
      </c>
    </row>
    <row r="1620">
      <c r="A1620" s="55">
        <f t="shared" si="2"/>
        <v>1619</v>
      </c>
      <c r="B1620" s="56" t="s">
        <v>1392</v>
      </c>
      <c r="C1620" s="55" t="s">
        <v>53</v>
      </c>
      <c r="D1620" s="55">
        <v>1260.0</v>
      </c>
      <c r="E1620" s="57" t="s">
        <v>1352</v>
      </c>
      <c r="F1620" s="2" t="s">
        <v>1391</v>
      </c>
    </row>
    <row r="1621">
      <c r="A1621" s="55">
        <f t="shared" si="2"/>
        <v>1620</v>
      </c>
      <c r="B1621" s="56" t="s">
        <v>1396</v>
      </c>
      <c r="C1621" s="55" t="s">
        <v>30</v>
      </c>
      <c r="D1621" s="55">
        <v>1474.0</v>
      </c>
      <c r="E1621" s="57" t="s">
        <v>1352</v>
      </c>
      <c r="F1621" s="2" t="s">
        <v>1395</v>
      </c>
    </row>
    <row r="1622">
      <c r="A1622" s="55">
        <f t="shared" si="2"/>
        <v>1621</v>
      </c>
      <c r="B1622" s="56" t="s">
        <v>1396</v>
      </c>
      <c r="C1622" s="55" t="s">
        <v>26</v>
      </c>
      <c r="D1622" s="55">
        <v>1583.0</v>
      </c>
      <c r="E1622" s="57" t="s">
        <v>1352</v>
      </c>
      <c r="F1622" s="2" t="s">
        <v>1395</v>
      </c>
    </row>
    <row r="1623">
      <c r="A1623" s="55">
        <f t="shared" si="2"/>
        <v>1622</v>
      </c>
      <c r="B1623" s="56" t="s">
        <v>1396</v>
      </c>
      <c r="C1623" s="55" t="s">
        <v>34</v>
      </c>
      <c r="D1623" s="55">
        <v>974.0</v>
      </c>
      <c r="E1623" s="57" t="s">
        <v>1352</v>
      </c>
      <c r="F1623" s="2" t="s">
        <v>1395</v>
      </c>
    </row>
    <row r="1624">
      <c r="A1624" s="55">
        <f t="shared" si="2"/>
        <v>1623</v>
      </c>
      <c r="B1624" s="56" t="s">
        <v>1396</v>
      </c>
      <c r="C1624" s="55" t="s">
        <v>28</v>
      </c>
      <c r="D1624" s="55">
        <v>1267.0</v>
      </c>
      <c r="E1624" s="57" t="s">
        <v>1352</v>
      </c>
      <c r="F1624" s="2" t="s">
        <v>1395</v>
      </c>
    </row>
    <row r="1625">
      <c r="A1625" s="55">
        <f t="shared" si="2"/>
        <v>1624</v>
      </c>
      <c r="B1625" s="56" t="s">
        <v>1396</v>
      </c>
      <c r="C1625" s="55" t="s">
        <v>44</v>
      </c>
      <c r="D1625" s="55">
        <v>1204.0</v>
      </c>
      <c r="E1625" s="57" t="s">
        <v>1352</v>
      </c>
      <c r="F1625" s="2" t="s">
        <v>1395</v>
      </c>
    </row>
    <row r="1626">
      <c r="A1626" s="55">
        <f t="shared" si="2"/>
        <v>1625</v>
      </c>
      <c r="B1626" s="56" t="s">
        <v>1396</v>
      </c>
      <c r="C1626" s="55" t="s">
        <v>27</v>
      </c>
      <c r="D1626" s="55">
        <v>1571.0</v>
      </c>
      <c r="E1626" s="57" t="s">
        <v>1352</v>
      </c>
      <c r="F1626" s="2" t="s">
        <v>1395</v>
      </c>
    </row>
    <row r="1627">
      <c r="A1627" s="55">
        <f t="shared" si="2"/>
        <v>1626</v>
      </c>
      <c r="B1627" s="56" t="s">
        <v>1396</v>
      </c>
      <c r="C1627" s="55" t="s">
        <v>60</v>
      </c>
      <c r="D1627" s="55">
        <v>1157.0</v>
      </c>
      <c r="E1627" s="57" t="s">
        <v>1352</v>
      </c>
      <c r="F1627" s="2" t="s">
        <v>1395</v>
      </c>
    </row>
    <row r="1628">
      <c r="A1628" s="55">
        <f t="shared" si="2"/>
        <v>1627</v>
      </c>
      <c r="B1628" s="56" t="s">
        <v>1400</v>
      </c>
      <c r="C1628" s="55" t="s">
        <v>26</v>
      </c>
      <c r="D1628" s="55">
        <v>1596.0</v>
      </c>
      <c r="E1628" s="57" t="s">
        <v>1352</v>
      </c>
      <c r="F1628" s="2" t="s">
        <v>1399</v>
      </c>
    </row>
    <row r="1629">
      <c r="A1629" s="55">
        <f t="shared" si="2"/>
        <v>1628</v>
      </c>
      <c r="B1629" s="56" t="s">
        <v>1400</v>
      </c>
      <c r="C1629" s="55" t="s">
        <v>44</v>
      </c>
      <c r="D1629" s="55">
        <v>1175.0</v>
      </c>
      <c r="E1629" s="57" t="s">
        <v>1352</v>
      </c>
      <c r="F1629" s="2" t="s">
        <v>1399</v>
      </c>
    </row>
    <row r="1630">
      <c r="A1630" s="55">
        <f t="shared" si="2"/>
        <v>1629</v>
      </c>
      <c r="B1630" s="56" t="s">
        <v>1400</v>
      </c>
      <c r="C1630" s="55" t="s">
        <v>27</v>
      </c>
      <c r="D1630" s="55">
        <v>1559.0</v>
      </c>
      <c r="E1630" s="57" t="s">
        <v>1352</v>
      </c>
      <c r="F1630" s="2" t="s">
        <v>1399</v>
      </c>
    </row>
    <row r="1631">
      <c r="A1631" s="55">
        <f t="shared" si="2"/>
        <v>1630</v>
      </c>
      <c r="B1631" s="56" t="s">
        <v>1400</v>
      </c>
      <c r="C1631" s="55" t="s">
        <v>31</v>
      </c>
      <c r="D1631" s="55">
        <v>1574.0</v>
      </c>
      <c r="E1631" s="57" t="s">
        <v>1352</v>
      </c>
      <c r="F1631" s="2" t="s">
        <v>1399</v>
      </c>
    </row>
    <row r="1632">
      <c r="A1632" s="55">
        <f t="shared" si="2"/>
        <v>1631</v>
      </c>
      <c r="B1632" s="56" t="s">
        <v>1400</v>
      </c>
      <c r="C1632" s="55" t="s">
        <v>34</v>
      </c>
      <c r="D1632" s="55">
        <v>982.0</v>
      </c>
      <c r="E1632" s="57" t="s">
        <v>1352</v>
      </c>
      <c r="F1632" s="2" t="s">
        <v>1399</v>
      </c>
    </row>
    <row r="1633">
      <c r="A1633" s="55">
        <f t="shared" si="2"/>
        <v>1632</v>
      </c>
      <c r="B1633" s="56" t="s">
        <v>1400</v>
      </c>
      <c r="C1633" s="55" t="s">
        <v>30</v>
      </c>
      <c r="D1633" s="55">
        <v>1487.0</v>
      </c>
      <c r="E1633" s="57" t="s">
        <v>1352</v>
      </c>
      <c r="F1633" s="2" t="s">
        <v>1399</v>
      </c>
    </row>
    <row r="1634">
      <c r="A1634" s="55">
        <f t="shared" si="2"/>
        <v>1633</v>
      </c>
      <c r="B1634" s="56" t="s">
        <v>1400</v>
      </c>
      <c r="C1634" s="55" t="s">
        <v>58</v>
      </c>
      <c r="D1634" s="55">
        <v>1229.0</v>
      </c>
      <c r="E1634" s="57" t="s">
        <v>1352</v>
      </c>
      <c r="F1634" s="2" t="s">
        <v>1399</v>
      </c>
    </row>
    <row r="1635">
      <c r="A1635" s="55">
        <f t="shared" si="2"/>
        <v>1634</v>
      </c>
      <c r="B1635" s="56" t="s">
        <v>1404</v>
      </c>
      <c r="C1635" s="55" t="s">
        <v>30</v>
      </c>
      <c r="D1635" s="55">
        <v>1466.0</v>
      </c>
      <c r="E1635" s="57" t="s">
        <v>1352</v>
      </c>
      <c r="F1635" s="2" t="s">
        <v>1403</v>
      </c>
    </row>
    <row r="1636">
      <c r="A1636" s="55">
        <f t="shared" si="2"/>
        <v>1635</v>
      </c>
      <c r="B1636" s="56" t="s">
        <v>1404</v>
      </c>
      <c r="C1636" s="55" t="s">
        <v>58</v>
      </c>
      <c r="D1636" s="55">
        <v>1203.0</v>
      </c>
      <c r="E1636" s="57" t="s">
        <v>1352</v>
      </c>
      <c r="F1636" s="2" t="s">
        <v>1403</v>
      </c>
    </row>
    <row r="1637">
      <c r="A1637" s="55">
        <f t="shared" si="2"/>
        <v>1636</v>
      </c>
      <c r="B1637" s="56" t="s">
        <v>1404</v>
      </c>
      <c r="C1637" s="55" t="s">
        <v>26</v>
      </c>
      <c r="D1637" s="55">
        <v>1614.0</v>
      </c>
      <c r="E1637" s="57" t="s">
        <v>1352</v>
      </c>
      <c r="F1637" s="2" t="s">
        <v>1403</v>
      </c>
    </row>
    <row r="1638">
      <c r="A1638" s="55">
        <f t="shared" si="2"/>
        <v>1637</v>
      </c>
      <c r="B1638" s="56" t="s">
        <v>1404</v>
      </c>
      <c r="C1638" s="55" t="s">
        <v>44</v>
      </c>
      <c r="D1638" s="55">
        <v>1160.0</v>
      </c>
      <c r="E1638" s="57" t="s">
        <v>1352</v>
      </c>
      <c r="F1638" s="2" t="s">
        <v>1403</v>
      </c>
    </row>
    <row r="1639">
      <c r="A1639" s="55">
        <f t="shared" si="2"/>
        <v>1638</v>
      </c>
      <c r="B1639" s="56" t="s">
        <v>1404</v>
      </c>
      <c r="C1639" s="55" t="s">
        <v>27</v>
      </c>
      <c r="D1639" s="55">
        <v>1576.0</v>
      </c>
      <c r="E1639" s="57" t="s">
        <v>1352</v>
      </c>
      <c r="F1639" s="2" t="s">
        <v>1403</v>
      </c>
    </row>
    <row r="1640">
      <c r="A1640" s="55">
        <f t="shared" si="2"/>
        <v>1639</v>
      </c>
      <c r="B1640" s="56" t="s">
        <v>1404</v>
      </c>
      <c r="C1640" s="55" t="s">
        <v>31</v>
      </c>
      <c r="D1640" s="55">
        <v>1556.0</v>
      </c>
      <c r="E1640" s="57" t="s">
        <v>1352</v>
      </c>
      <c r="F1640" s="2" t="s">
        <v>1403</v>
      </c>
    </row>
    <row r="1641">
      <c r="A1641" s="55">
        <f t="shared" si="2"/>
        <v>1640</v>
      </c>
      <c r="B1641" s="56" t="s">
        <v>1404</v>
      </c>
      <c r="C1641" s="55" t="s">
        <v>34</v>
      </c>
      <c r="D1641" s="55">
        <v>949.0</v>
      </c>
      <c r="E1641" s="57" t="s">
        <v>1352</v>
      </c>
      <c r="F1641" s="2" t="s">
        <v>1403</v>
      </c>
    </row>
    <row r="1642">
      <c r="A1642" s="55">
        <f t="shared" si="2"/>
        <v>1641</v>
      </c>
      <c r="B1642" s="56" t="s">
        <v>1408</v>
      </c>
      <c r="C1642" s="55" t="s">
        <v>26</v>
      </c>
      <c r="D1642" s="55">
        <v>1634.0</v>
      </c>
      <c r="E1642" s="57" t="s">
        <v>1352</v>
      </c>
      <c r="F1642" s="2" t="s">
        <v>1407</v>
      </c>
    </row>
    <row r="1643">
      <c r="A1643" s="55">
        <f t="shared" si="2"/>
        <v>1642</v>
      </c>
      <c r="B1643" s="56" t="s">
        <v>1408</v>
      </c>
      <c r="C1643" s="55" t="s">
        <v>34</v>
      </c>
      <c r="D1643" s="55">
        <v>916.0</v>
      </c>
      <c r="E1643" s="57" t="s">
        <v>1352</v>
      </c>
      <c r="F1643" s="2" t="s">
        <v>1407</v>
      </c>
    </row>
    <row r="1644">
      <c r="A1644" s="55">
        <f t="shared" si="2"/>
        <v>1643</v>
      </c>
      <c r="B1644" s="56" t="s">
        <v>1408</v>
      </c>
      <c r="C1644" s="55" t="s">
        <v>58</v>
      </c>
      <c r="D1644" s="55">
        <v>1218.0</v>
      </c>
      <c r="E1644" s="57" t="s">
        <v>1352</v>
      </c>
      <c r="F1644" s="2" t="s">
        <v>1407</v>
      </c>
    </row>
    <row r="1645">
      <c r="A1645" s="55">
        <f t="shared" si="2"/>
        <v>1644</v>
      </c>
      <c r="B1645" s="56" t="s">
        <v>1408</v>
      </c>
      <c r="C1645" s="55" t="s">
        <v>31</v>
      </c>
      <c r="D1645" s="55">
        <v>1538.0</v>
      </c>
      <c r="E1645" s="57" t="s">
        <v>1352</v>
      </c>
      <c r="F1645" s="2" t="s">
        <v>1407</v>
      </c>
    </row>
    <row r="1646">
      <c r="A1646" s="55">
        <f t="shared" si="2"/>
        <v>1645</v>
      </c>
      <c r="B1646" s="56" t="s">
        <v>1408</v>
      </c>
      <c r="C1646" s="55" t="s">
        <v>36</v>
      </c>
      <c r="D1646" s="55">
        <v>1428.0</v>
      </c>
      <c r="E1646" s="57" t="s">
        <v>1352</v>
      </c>
      <c r="F1646" s="2" t="s">
        <v>1407</v>
      </c>
    </row>
    <row r="1647">
      <c r="A1647" s="55">
        <f t="shared" si="2"/>
        <v>1646</v>
      </c>
      <c r="B1647" s="56" t="s">
        <v>1408</v>
      </c>
      <c r="C1647" s="55" t="s">
        <v>27</v>
      </c>
      <c r="D1647" s="55">
        <v>1562.0</v>
      </c>
      <c r="E1647" s="57" t="s">
        <v>1352</v>
      </c>
      <c r="F1647" s="2" t="s">
        <v>1407</v>
      </c>
    </row>
    <row r="1648">
      <c r="A1648" s="55">
        <f t="shared" si="2"/>
        <v>1647</v>
      </c>
      <c r="B1648" s="56" t="s">
        <v>1408</v>
      </c>
      <c r="C1648" s="55" t="s">
        <v>30</v>
      </c>
      <c r="D1648" s="55">
        <v>1485.0</v>
      </c>
      <c r="E1648" s="57" t="s">
        <v>1352</v>
      </c>
      <c r="F1648" s="2" t="s">
        <v>1407</v>
      </c>
    </row>
    <row r="1649">
      <c r="A1649" s="55">
        <f t="shared" si="2"/>
        <v>1648</v>
      </c>
      <c r="B1649" s="56" t="s">
        <v>1412</v>
      </c>
      <c r="C1649" s="55" t="s">
        <v>60</v>
      </c>
      <c r="D1649" s="55">
        <v>1131.0</v>
      </c>
      <c r="E1649" s="57" t="s">
        <v>1352</v>
      </c>
      <c r="F1649" s="2" t="s">
        <v>1411</v>
      </c>
    </row>
    <row r="1650">
      <c r="A1650" s="55">
        <f t="shared" si="2"/>
        <v>1649</v>
      </c>
      <c r="B1650" s="56" t="s">
        <v>1412</v>
      </c>
      <c r="C1650" s="55" t="s">
        <v>30</v>
      </c>
      <c r="D1650" s="55">
        <v>1465.0</v>
      </c>
      <c r="E1650" s="57" t="s">
        <v>1352</v>
      </c>
      <c r="F1650" s="2" t="s">
        <v>1411</v>
      </c>
    </row>
    <row r="1651">
      <c r="A1651" s="55">
        <f t="shared" si="2"/>
        <v>1650</v>
      </c>
      <c r="B1651" s="56" t="s">
        <v>1412</v>
      </c>
      <c r="C1651" s="55" t="s">
        <v>26</v>
      </c>
      <c r="D1651" s="55">
        <v>1649.0</v>
      </c>
      <c r="E1651" s="57" t="s">
        <v>1352</v>
      </c>
      <c r="F1651" s="2" t="s">
        <v>1411</v>
      </c>
    </row>
    <row r="1652">
      <c r="A1652" s="55">
        <f t="shared" si="2"/>
        <v>1651</v>
      </c>
      <c r="B1652" s="56" t="s">
        <v>1412</v>
      </c>
      <c r="C1652" s="55" t="s">
        <v>28</v>
      </c>
      <c r="D1652" s="55">
        <v>1245.0</v>
      </c>
      <c r="E1652" s="57" t="s">
        <v>1352</v>
      </c>
      <c r="F1652" s="2" t="s">
        <v>1411</v>
      </c>
    </row>
    <row r="1653">
      <c r="A1653" s="55">
        <f t="shared" si="2"/>
        <v>1652</v>
      </c>
      <c r="B1653" s="56" t="s">
        <v>1412</v>
      </c>
      <c r="C1653" s="55" t="s">
        <v>9609</v>
      </c>
      <c r="D1653" s="55">
        <v>1229.0</v>
      </c>
      <c r="E1653" s="57" t="s">
        <v>1352</v>
      </c>
      <c r="F1653" s="2" t="s">
        <v>1411</v>
      </c>
    </row>
    <row r="1654">
      <c r="A1654" s="55">
        <f t="shared" si="2"/>
        <v>1653</v>
      </c>
      <c r="B1654" s="56" t="s">
        <v>1412</v>
      </c>
      <c r="C1654" s="55" t="s">
        <v>53</v>
      </c>
      <c r="D1654" s="55">
        <v>1235.0</v>
      </c>
      <c r="E1654" s="57" t="s">
        <v>1352</v>
      </c>
      <c r="F1654" s="2" t="s">
        <v>1411</v>
      </c>
    </row>
    <row r="1655">
      <c r="A1655" s="55">
        <f t="shared" si="2"/>
        <v>1654</v>
      </c>
      <c r="B1655" s="56" t="s">
        <v>1412</v>
      </c>
      <c r="C1655" s="55" t="s">
        <v>27</v>
      </c>
      <c r="D1655" s="55">
        <v>1548.0</v>
      </c>
      <c r="E1655" s="57" t="s">
        <v>1352</v>
      </c>
      <c r="F1655" s="2" t="s">
        <v>1411</v>
      </c>
    </row>
    <row r="1656">
      <c r="A1656" s="55">
        <f t="shared" si="2"/>
        <v>1655</v>
      </c>
      <c r="B1656" s="56" t="s">
        <v>1416</v>
      </c>
      <c r="C1656" s="55" t="s">
        <v>60</v>
      </c>
      <c r="D1656" s="55">
        <v>1142.0</v>
      </c>
      <c r="E1656" s="57" t="s">
        <v>1352</v>
      </c>
      <c r="F1656" s="2" t="s">
        <v>1415</v>
      </c>
    </row>
    <row r="1657">
      <c r="A1657" s="55">
        <f t="shared" si="2"/>
        <v>1656</v>
      </c>
      <c r="B1657" s="56" t="s">
        <v>1416</v>
      </c>
      <c r="C1657" s="55" t="s">
        <v>28</v>
      </c>
      <c r="D1657" s="55">
        <v>1220.0</v>
      </c>
      <c r="E1657" s="57" t="s">
        <v>1352</v>
      </c>
      <c r="F1657" s="2" t="s">
        <v>1415</v>
      </c>
    </row>
    <row r="1658">
      <c r="A1658" s="55">
        <f t="shared" si="2"/>
        <v>1657</v>
      </c>
      <c r="B1658" s="56" t="s">
        <v>1416</v>
      </c>
      <c r="C1658" s="55" t="s">
        <v>31</v>
      </c>
      <c r="D1658" s="55">
        <v>1552.0</v>
      </c>
      <c r="E1658" s="57" t="s">
        <v>1352</v>
      </c>
      <c r="F1658" s="2" t="s">
        <v>1415</v>
      </c>
    </row>
    <row r="1659">
      <c r="A1659" s="55">
        <f t="shared" si="2"/>
        <v>1658</v>
      </c>
      <c r="B1659" s="56" t="s">
        <v>1416</v>
      </c>
      <c r="C1659" s="55" t="s">
        <v>53</v>
      </c>
      <c r="D1659" s="55">
        <v>1210.0</v>
      </c>
      <c r="E1659" s="57" t="s">
        <v>1352</v>
      </c>
      <c r="F1659" s="2" t="s">
        <v>1415</v>
      </c>
    </row>
    <row r="1660">
      <c r="A1660" s="55">
        <f t="shared" si="2"/>
        <v>1659</v>
      </c>
      <c r="B1660" s="56" t="s">
        <v>1416</v>
      </c>
      <c r="C1660" s="55" t="s">
        <v>30</v>
      </c>
      <c r="D1660" s="55">
        <v>1479.0</v>
      </c>
      <c r="E1660" s="57" t="s">
        <v>1352</v>
      </c>
      <c r="F1660" s="2" t="s">
        <v>1415</v>
      </c>
    </row>
    <row r="1661">
      <c r="A1661" s="55">
        <f t="shared" si="2"/>
        <v>1660</v>
      </c>
      <c r="B1661" s="56" t="s">
        <v>1416</v>
      </c>
      <c r="C1661" s="55" t="s">
        <v>27</v>
      </c>
      <c r="D1661" s="55">
        <v>1533.0</v>
      </c>
      <c r="E1661" s="57" t="s">
        <v>1352</v>
      </c>
      <c r="F1661" s="2" t="s">
        <v>1415</v>
      </c>
    </row>
    <row r="1662">
      <c r="A1662" s="55">
        <f t="shared" si="2"/>
        <v>1661</v>
      </c>
      <c r="B1662" s="56" t="s">
        <v>1416</v>
      </c>
      <c r="C1662" s="55" t="s">
        <v>26</v>
      </c>
      <c r="D1662" s="55">
        <v>1665.0</v>
      </c>
      <c r="E1662" s="57" t="s">
        <v>1352</v>
      </c>
      <c r="F1662" s="2" t="s">
        <v>1415</v>
      </c>
    </row>
    <row r="1663">
      <c r="A1663" s="55">
        <f t="shared" si="2"/>
        <v>1662</v>
      </c>
      <c r="B1663" s="56" t="s">
        <v>1416</v>
      </c>
      <c r="C1663" s="55" t="s">
        <v>9609</v>
      </c>
      <c r="D1663" s="55">
        <v>1226.0</v>
      </c>
      <c r="E1663" s="57" t="s">
        <v>1352</v>
      </c>
      <c r="F1663" s="2" t="s">
        <v>1415</v>
      </c>
    </row>
    <row r="1664">
      <c r="A1664" s="55">
        <f t="shared" si="2"/>
        <v>1663</v>
      </c>
      <c r="B1664" s="56" t="s">
        <v>1420</v>
      </c>
      <c r="C1664" s="55" t="s">
        <v>28</v>
      </c>
      <c r="D1664" s="55">
        <v>1230.0</v>
      </c>
      <c r="E1664" s="57" t="s">
        <v>1352</v>
      </c>
      <c r="F1664" s="2" t="s">
        <v>1419</v>
      </c>
    </row>
    <row r="1665">
      <c r="A1665" s="55">
        <f t="shared" si="2"/>
        <v>1664</v>
      </c>
      <c r="B1665" s="56" t="s">
        <v>1420</v>
      </c>
      <c r="C1665" s="55" t="s">
        <v>9609</v>
      </c>
      <c r="D1665" s="55">
        <v>1203.0</v>
      </c>
      <c r="E1665" s="57" t="s">
        <v>1352</v>
      </c>
      <c r="F1665" s="2" t="s">
        <v>1419</v>
      </c>
    </row>
    <row r="1666">
      <c r="A1666" s="55">
        <f t="shared" si="2"/>
        <v>1665</v>
      </c>
      <c r="B1666" s="56" t="s">
        <v>1420</v>
      </c>
      <c r="C1666" s="55" t="s">
        <v>53</v>
      </c>
      <c r="D1666" s="55">
        <v>1220.0</v>
      </c>
      <c r="E1666" s="57" t="s">
        <v>1352</v>
      </c>
      <c r="F1666" s="2" t="s">
        <v>1419</v>
      </c>
    </row>
    <row r="1667">
      <c r="A1667" s="55">
        <f t="shared" si="2"/>
        <v>1666</v>
      </c>
      <c r="B1667" s="56" t="s">
        <v>1420</v>
      </c>
      <c r="C1667" s="55" t="s">
        <v>30</v>
      </c>
      <c r="D1667" s="55">
        <v>1461.0</v>
      </c>
      <c r="E1667" s="57" t="s">
        <v>1352</v>
      </c>
      <c r="F1667" s="2" t="s">
        <v>1419</v>
      </c>
    </row>
    <row r="1668">
      <c r="A1668" s="55">
        <f t="shared" si="2"/>
        <v>1667</v>
      </c>
      <c r="B1668" s="56" t="s">
        <v>1420</v>
      </c>
      <c r="C1668" s="55" t="s">
        <v>26</v>
      </c>
      <c r="D1668" s="55">
        <v>1653.0</v>
      </c>
      <c r="E1668" s="57" t="s">
        <v>1352</v>
      </c>
      <c r="F1668" s="2" t="s">
        <v>1419</v>
      </c>
    </row>
    <row r="1669">
      <c r="A1669" s="55">
        <f t="shared" si="2"/>
        <v>1668</v>
      </c>
      <c r="B1669" s="56" t="s">
        <v>1420</v>
      </c>
      <c r="C1669" s="55" t="s">
        <v>42</v>
      </c>
      <c r="D1669" s="55">
        <v>1363.0</v>
      </c>
      <c r="E1669" s="57" t="s">
        <v>1352</v>
      </c>
      <c r="F1669" s="2" t="s">
        <v>1419</v>
      </c>
    </row>
    <row r="1670">
      <c r="A1670" s="55">
        <f t="shared" si="2"/>
        <v>1669</v>
      </c>
      <c r="B1670" s="56" t="s">
        <v>1420</v>
      </c>
      <c r="C1670" s="55" t="s">
        <v>27</v>
      </c>
      <c r="D1670" s="55">
        <v>1520.0</v>
      </c>
      <c r="E1670" s="57" t="s">
        <v>1352</v>
      </c>
      <c r="F1670" s="2" t="s">
        <v>1419</v>
      </c>
    </row>
    <row r="1671">
      <c r="A1671" s="55">
        <f t="shared" si="2"/>
        <v>1670</v>
      </c>
      <c r="B1671" s="56" t="s">
        <v>1420</v>
      </c>
      <c r="C1671" s="55" t="s">
        <v>31</v>
      </c>
      <c r="D1671" s="55">
        <v>1566.0</v>
      </c>
      <c r="E1671" s="57" t="s">
        <v>1352</v>
      </c>
      <c r="F1671" s="2" t="s">
        <v>1419</v>
      </c>
    </row>
    <row r="1672">
      <c r="A1672" s="55">
        <f t="shared" si="2"/>
        <v>1671</v>
      </c>
      <c r="B1672" s="56" t="s">
        <v>1424</v>
      </c>
      <c r="C1672" s="55" t="s">
        <v>9609</v>
      </c>
      <c r="D1672" s="55">
        <v>1213.0</v>
      </c>
      <c r="E1672" s="57" t="s">
        <v>1352</v>
      </c>
      <c r="F1672" s="2" t="s">
        <v>1423</v>
      </c>
    </row>
    <row r="1673">
      <c r="A1673" s="55">
        <f t="shared" si="2"/>
        <v>1672</v>
      </c>
      <c r="B1673" s="56" t="s">
        <v>1424</v>
      </c>
      <c r="C1673" s="55" t="s">
        <v>28</v>
      </c>
      <c r="D1673" s="55">
        <v>1240.0</v>
      </c>
      <c r="E1673" s="57" t="s">
        <v>1352</v>
      </c>
      <c r="F1673" s="2" t="s">
        <v>1423</v>
      </c>
    </row>
    <row r="1674">
      <c r="A1674" s="55">
        <f t="shared" si="2"/>
        <v>1673</v>
      </c>
      <c r="B1674" s="56" t="s">
        <v>1424</v>
      </c>
      <c r="C1674" s="55" t="s">
        <v>42</v>
      </c>
      <c r="D1674" s="55">
        <v>1344.0</v>
      </c>
      <c r="E1674" s="57" t="s">
        <v>1352</v>
      </c>
      <c r="F1674" s="2" t="s">
        <v>1423</v>
      </c>
    </row>
    <row r="1675">
      <c r="A1675" s="55">
        <f t="shared" si="2"/>
        <v>1674</v>
      </c>
      <c r="B1675" s="56" t="s">
        <v>1424</v>
      </c>
      <c r="C1675" s="55" t="s">
        <v>26</v>
      </c>
      <c r="D1675" s="55">
        <v>1641.0</v>
      </c>
      <c r="E1675" s="57" t="s">
        <v>1352</v>
      </c>
      <c r="F1675" s="2" t="s">
        <v>1423</v>
      </c>
    </row>
    <row r="1676">
      <c r="A1676" s="55">
        <f t="shared" si="2"/>
        <v>1675</v>
      </c>
      <c r="B1676" s="56" t="s">
        <v>1424</v>
      </c>
      <c r="C1676" s="55" t="s">
        <v>31</v>
      </c>
      <c r="D1676" s="55">
        <v>1551.0</v>
      </c>
      <c r="E1676" s="57" t="s">
        <v>1352</v>
      </c>
      <c r="F1676" s="2" t="s">
        <v>1423</v>
      </c>
    </row>
    <row r="1677">
      <c r="A1677" s="55">
        <f t="shared" si="2"/>
        <v>1676</v>
      </c>
      <c r="B1677" s="56" t="s">
        <v>1424</v>
      </c>
      <c r="C1677" s="55" t="s">
        <v>30</v>
      </c>
      <c r="D1677" s="55">
        <v>1473.0</v>
      </c>
      <c r="E1677" s="57" t="s">
        <v>1352</v>
      </c>
      <c r="F1677" s="2" t="s">
        <v>1423</v>
      </c>
    </row>
    <row r="1678">
      <c r="A1678" s="55">
        <f t="shared" si="2"/>
        <v>1677</v>
      </c>
      <c r="B1678" s="56" t="s">
        <v>1424</v>
      </c>
      <c r="C1678" s="55" t="s">
        <v>27</v>
      </c>
      <c r="D1678" s="55">
        <v>1506.0</v>
      </c>
      <c r="E1678" s="57" t="s">
        <v>1352</v>
      </c>
      <c r="F1678" s="2" t="s">
        <v>1423</v>
      </c>
    </row>
    <row r="1679">
      <c r="A1679" s="55">
        <f t="shared" si="2"/>
        <v>1678</v>
      </c>
      <c r="B1679" s="56" t="s">
        <v>1429</v>
      </c>
      <c r="C1679" s="55" t="s">
        <v>30</v>
      </c>
      <c r="D1679" s="55">
        <v>1452.0</v>
      </c>
      <c r="E1679" s="57" t="s">
        <v>1352</v>
      </c>
      <c r="F1679" s="2" t="s">
        <v>1428</v>
      </c>
    </row>
    <row r="1680">
      <c r="A1680" s="55">
        <f t="shared" si="2"/>
        <v>1679</v>
      </c>
      <c r="B1680" s="56" t="s">
        <v>1429</v>
      </c>
      <c r="C1680" s="55" t="s">
        <v>42</v>
      </c>
      <c r="D1680" s="55">
        <v>1356.0</v>
      </c>
      <c r="E1680" s="57" t="s">
        <v>1352</v>
      </c>
      <c r="F1680" s="2" t="s">
        <v>1428</v>
      </c>
    </row>
    <row r="1681">
      <c r="A1681" s="55">
        <f t="shared" si="2"/>
        <v>1680</v>
      </c>
      <c r="B1681" s="56" t="s">
        <v>1429</v>
      </c>
      <c r="C1681" s="55" t="s">
        <v>36</v>
      </c>
      <c r="D1681" s="55">
        <v>1410.0</v>
      </c>
      <c r="E1681" s="57" t="s">
        <v>1352</v>
      </c>
      <c r="F1681" s="2" t="s">
        <v>1428</v>
      </c>
    </row>
    <row r="1682">
      <c r="A1682" s="55">
        <f t="shared" si="2"/>
        <v>1681</v>
      </c>
      <c r="B1682" s="56" t="s">
        <v>1429</v>
      </c>
      <c r="C1682" s="55" t="s">
        <v>27</v>
      </c>
      <c r="D1682" s="55">
        <v>1489.0</v>
      </c>
      <c r="E1682" s="57" t="s">
        <v>1352</v>
      </c>
      <c r="F1682" s="2" t="s">
        <v>1428</v>
      </c>
    </row>
    <row r="1683">
      <c r="A1683" s="55">
        <f t="shared" si="2"/>
        <v>1682</v>
      </c>
      <c r="B1683" s="56" t="s">
        <v>1429</v>
      </c>
      <c r="C1683" s="55" t="s">
        <v>26</v>
      </c>
      <c r="D1683" s="55">
        <v>1656.0</v>
      </c>
      <c r="E1683" s="57" t="s">
        <v>1352</v>
      </c>
      <c r="F1683" s="2" t="s">
        <v>1428</v>
      </c>
    </row>
    <row r="1684">
      <c r="A1684" s="55">
        <f t="shared" si="2"/>
        <v>1683</v>
      </c>
      <c r="B1684" s="56" t="s">
        <v>1429</v>
      </c>
      <c r="C1684" s="55" t="s">
        <v>9609</v>
      </c>
      <c r="D1684" s="55">
        <v>1224.0</v>
      </c>
      <c r="E1684" s="57" t="s">
        <v>1352</v>
      </c>
      <c r="F1684" s="2" t="s">
        <v>1428</v>
      </c>
    </row>
    <row r="1685">
      <c r="A1685" s="55">
        <f t="shared" si="2"/>
        <v>1684</v>
      </c>
      <c r="B1685" s="56" t="s">
        <v>1433</v>
      </c>
      <c r="C1685" s="55" t="s">
        <v>9609</v>
      </c>
      <c r="D1685" s="55">
        <v>1201.0</v>
      </c>
      <c r="E1685" s="57" t="s">
        <v>1352</v>
      </c>
      <c r="F1685" s="2" t="s">
        <v>1432</v>
      </c>
    </row>
    <row r="1686">
      <c r="A1686" s="55">
        <f t="shared" si="2"/>
        <v>1685</v>
      </c>
      <c r="B1686" s="56" t="s">
        <v>1433</v>
      </c>
      <c r="C1686" s="55" t="s">
        <v>54</v>
      </c>
      <c r="D1686" s="55">
        <v>1209.0</v>
      </c>
      <c r="E1686" s="57" t="s">
        <v>1352</v>
      </c>
      <c r="F1686" s="2" t="s">
        <v>1432</v>
      </c>
    </row>
    <row r="1687">
      <c r="A1687" s="55">
        <f t="shared" si="2"/>
        <v>1686</v>
      </c>
      <c r="B1687" s="56" t="s">
        <v>1433</v>
      </c>
      <c r="C1687" s="55" t="s">
        <v>27</v>
      </c>
      <c r="D1687" s="55">
        <v>1475.0</v>
      </c>
      <c r="E1687" s="57" t="s">
        <v>1352</v>
      </c>
      <c r="F1687" s="2" t="s">
        <v>1432</v>
      </c>
    </row>
    <row r="1688">
      <c r="A1688" s="55">
        <f t="shared" si="2"/>
        <v>1687</v>
      </c>
      <c r="B1688" s="56" t="s">
        <v>1433</v>
      </c>
      <c r="C1688" s="55" t="s">
        <v>30</v>
      </c>
      <c r="D1688" s="55">
        <v>1463.0</v>
      </c>
      <c r="E1688" s="57" t="s">
        <v>1352</v>
      </c>
      <c r="F1688" s="2" t="s">
        <v>1432</v>
      </c>
    </row>
    <row r="1689">
      <c r="A1689" s="55">
        <f t="shared" si="2"/>
        <v>1688</v>
      </c>
      <c r="B1689" s="56" t="s">
        <v>1433</v>
      </c>
      <c r="C1689" s="55" t="s">
        <v>26</v>
      </c>
      <c r="D1689" s="55">
        <v>1644.0</v>
      </c>
      <c r="E1689" s="57" t="s">
        <v>1352</v>
      </c>
      <c r="F1689" s="2" t="s">
        <v>1432</v>
      </c>
    </row>
    <row r="1690">
      <c r="A1690" s="55">
        <f t="shared" si="2"/>
        <v>1689</v>
      </c>
      <c r="B1690" s="56" t="s">
        <v>1433</v>
      </c>
      <c r="C1690" s="55" t="s">
        <v>42</v>
      </c>
      <c r="D1690" s="55">
        <v>1366.0</v>
      </c>
      <c r="E1690" s="57" t="s">
        <v>1352</v>
      </c>
      <c r="F1690" s="2" t="s">
        <v>1432</v>
      </c>
    </row>
    <row r="1691">
      <c r="A1691" s="55">
        <f t="shared" si="2"/>
        <v>1690</v>
      </c>
      <c r="B1691" s="56" t="s">
        <v>1433</v>
      </c>
      <c r="C1691" s="55" t="s">
        <v>36</v>
      </c>
      <c r="D1691" s="55">
        <v>1393.0</v>
      </c>
      <c r="E1691" s="57" t="s">
        <v>1352</v>
      </c>
      <c r="F1691" s="2" t="s">
        <v>1432</v>
      </c>
    </row>
    <row r="1692">
      <c r="A1692" s="55">
        <f t="shared" si="2"/>
        <v>1691</v>
      </c>
      <c r="B1692" s="56" t="s">
        <v>1437</v>
      </c>
      <c r="C1692" s="55" t="s">
        <v>36</v>
      </c>
      <c r="D1692" s="55">
        <v>1373.0</v>
      </c>
      <c r="E1692" s="57" t="s">
        <v>1352</v>
      </c>
      <c r="F1692" s="2" t="s">
        <v>1436</v>
      </c>
    </row>
    <row r="1693">
      <c r="A1693" s="55">
        <f t="shared" si="2"/>
        <v>1692</v>
      </c>
      <c r="B1693" s="56" t="s">
        <v>1437</v>
      </c>
      <c r="C1693" s="55" t="s">
        <v>28</v>
      </c>
      <c r="D1693" s="55">
        <v>1251.0</v>
      </c>
      <c r="E1693" s="57" t="s">
        <v>1352</v>
      </c>
      <c r="F1693" s="2" t="s">
        <v>1436</v>
      </c>
    </row>
    <row r="1694">
      <c r="A1694" s="55">
        <f t="shared" si="2"/>
        <v>1693</v>
      </c>
      <c r="B1694" s="56" t="s">
        <v>1437</v>
      </c>
      <c r="C1694" s="55" t="s">
        <v>50</v>
      </c>
      <c r="D1694" s="55">
        <v>1287.0</v>
      </c>
      <c r="E1694" s="57" t="s">
        <v>1352</v>
      </c>
      <c r="F1694" s="2" t="s">
        <v>1436</v>
      </c>
    </row>
    <row r="1695">
      <c r="A1695" s="55">
        <f t="shared" si="2"/>
        <v>1694</v>
      </c>
      <c r="B1695" s="56" t="s">
        <v>1437</v>
      </c>
      <c r="C1695" s="55" t="s">
        <v>54</v>
      </c>
      <c r="D1695" s="55">
        <v>1222.0</v>
      </c>
      <c r="E1695" s="57" t="s">
        <v>1352</v>
      </c>
      <c r="F1695" s="2" t="s">
        <v>1436</v>
      </c>
    </row>
    <row r="1696">
      <c r="A1696" s="55">
        <f t="shared" si="2"/>
        <v>1695</v>
      </c>
      <c r="B1696" s="56" t="s">
        <v>1437</v>
      </c>
      <c r="C1696" s="55" t="s">
        <v>27</v>
      </c>
      <c r="D1696" s="55">
        <v>1491.0</v>
      </c>
      <c r="E1696" s="57" t="s">
        <v>1352</v>
      </c>
      <c r="F1696" s="2" t="s">
        <v>1436</v>
      </c>
    </row>
    <row r="1697">
      <c r="A1697" s="55">
        <f t="shared" si="2"/>
        <v>1696</v>
      </c>
      <c r="B1697" s="56" t="s">
        <v>1437</v>
      </c>
      <c r="C1697" s="55" t="s">
        <v>30</v>
      </c>
      <c r="D1697" s="55">
        <v>1479.0</v>
      </c>
      <c r="E1697" s="57" t="s">
        <v>1352</v>
      </c>
      <c r="F1697" s="2" t="s">
        <v>1436</v>
      </c>
    </row>
    <row r="1698">
      <c r="A1698" s="55">
        <f t="shared" si="2"/>
        <v>1697</v>
      </c>
      <c r="B1698" s="56" t="s">
        <v>1437</v>
      </c>
      <c r="C1698" s="55" t="s">
        <v>26</v>
      </c>
      <c r="D1698" s="55">
        <v>1630.0</v>
      </c>
      <c r="E1698" s="57" t="s">
        <v>1352</v>
      </c>
      <c r="F1698" s="2" t="s">
        <v>1436</v>
      </c>
    </row>
    <row r="1699">
      <c r="A1699" s="55">
        <f t="shared" si="2"/>
        <v>1698</v>
      </c>
      <c r="B1699" s="56" t="s">
        <v>1441</v>
      </c>
      <c r="C1699" s="55" t="s">
        <v>30</v>
      </c>
      <c r="D1699" s="55">
        <v>1462.0</v>
      </c>
      <c r="E1699" s="57" t="s">
        <v>1352</v>
      </c>
      <c r="F1699" s="2" t="s">
        <v>1440</v>
      </c>
    </row>
    <row r="1700">
      <c r="A1700" s="55">
        <f t="shared" si="2"/>
        <v>1699</v>
      </c>
      <c r="B1700" s="56" t="s">
        <v>1441</v>
      </c>
      <c r="C1700" s="55" t="s">
        <v>50</v>
      </c>
      <c r="D1700" s="55">
        <v>1301.0</v>
      </c>
      <c r="E1700" s="57" t="s">
        <v>1352</v>
      </c>
      <c r="F1700" s="2" t="s">
        <v>1440</v>
      </c>
    </row>
    <row r="1701">
      <c r="A1701" s="55">
        <f t="shared" si="2"/>
        <v>1700</v>
      </c>
      <c r="B1701" s="56" t="s">
        <v>1441</v>
      </c>
      <c r="C1701" s="55" t="s">
        <v>27</v>
      </c>
      <c r="D1701" s="55">
        <v>1477.0</v>
      </c>
      <c r="E1701" s="57" t="s">
        <v>1352</v>
      </c>
      <c r="F1701" s="2" t="s">
        <v>1440</v>
      </c>
    </row>
    <row r="1702">
      <c r="A1702" s="55">
        <f t="shared" si="2"/>
        <v>1701</v>
      </c>
      <c r="B1702" s="56" t="s">
        <v>1441</v>
      </c>
      <c r="C1702" s="55" t="s">
        <v>36</v>
      </c>
      <c r="D1702" s="55">
        <v>1389.0</v>
      </c>
      <c r="E1702" s="57" t="s">
        <v>1352</v>
      </c>
      <c r="F1702" s="2" t="s">
        <v>1440</v>
      </c>
    </row>
    <row r="1703">
      <c r="A1703" s="55">
        <f t="shared" si="2"/>
        <v>1702</v>
      </c>
      <c r="B1703" s="56" t="s">
        <v>1441</v>
      </c>
      <c r="C1703" s="55" t="s">
        <v>26</v>
      </c>
      <c r="D1703" s="55">
        <v>1618.0</v>
      </c>
      <c r="E1703" s="57" t="s">
        <v>1352</v>
      </c>
      <c r="F1703" s="2" t="s">
        <v>1440</v>
      </c>
    </row>
    <row r="1704">
      <c r="A1704" s="55">
        <f t="shared" si="2"/>
        <v>1703</v>
      </c>
      <c r="B1704" s="56" t="s">
        <v>1441</v>
      </c>
      <c r="C1704" s="55" t="s">
        <v>28</v>
      </c>
      <c r="D1704" s="55">
        <v>1265.0</v>
      </c>
      <c r="E1704" s="57" t="s">
        <v>1352</v>
      </c>
      <c r="F1704" s="2" t="s">
        <v>1440</v>
      </c>
    </row>
    <row r="1705">
      <c r="A1705" s="55">
        <f t="shared" si="2"/>
        <v>1704</v>
      </c>
      <c r="B1705" s="56" t="s">
        <v>1441</v>
      </c>
      <c r="C1705" s="55" t="s">
        <v>31</v>
      </c>
      <c r="D1705" s="55">
        <v>1533.0</v>
      </c>
      <c r="E1705" s="57" t="s">
        <v>1352</v>
      </c>
      <c r="F1705" s="2" t="s">
        <v>1440</v>
      </c>
    </row>
    <row r="1706">
      <c r="A1706" s="55">
        <f t="shared" si="2"/>
        <v>1705</v>
      </c>
      <c r="B1706" s="56" t="s">
        <v>1445</v>
      </c>
      <c r="C1706" s="55" t="s">
        <v>28</v>
      </c>
      <c r="D1706" s="55">
        <v>1239.0</v>
      </c>
      <c r="E1706" s="57" t="s">
        <v>1352</v>
      </c>
      <c r="F1706" s="2" t="s">
        <v>1444</v>
      </c>
    </row>
    <row r="1707">
      <c r="A1707" s="55">
        <f t="shared" si="2"/>
        <v>1706</v>
      </c>
      <c r="B1707" s="56" t="s">
        <v>1445</v>
      </c>
      <c r="C1707" s="55" t="s">
        <v>27</v>
      </c>
      <c r="D1707" s="55">
        <v>1495.0</v>
      </c>
      <c r="E1707" s="57" t="s">
        <v>1352</v>
      </c>
      <c r="F1707" s="2" t="s">
        <v>1444</v>
      </c>
    </row>
    <row r="1708">
      <c r="A1708" s="55">
        <f t="shared" si="2"/>
        <v>1707</v>
      </c>
      <c r="B1708" s="56" t="s">
        <v>1445</v>
      </c>
      <c r="C1708" s="55" t="s">
        <v>34</v>
      </c>
      <c r="D1708" s="55">
        <v>924.0</v>
      </c>
      <c r="E1708" s="57" t="s">
        <v>1352</v>
      </c>
      <c r="F1708" s="2" t="s">
        <v>1444</v>
      </c>
    </row>
    <row r="1709">
      <c r="A1709" s="55">
        <f t="shared" si="2"/>
        <v>1708</v>
      </c>
      <c r="B1709" s="56" t="s">
        <v>1445</v>
      </c>
      <c r="C1709" s="55" t="s">
        <v>30</v>
      </c>
      <c r="D1709" s="55">
        <v>1480.0</v>
      </c>
      <c r="E1709" s="57" t="s">
        <v>1352</v>
      </c>
      <c r="F1709" s="2" t="s">
        <v>1444</v>
      </c>
    </row>
    <row r="1710">
      <c r="A1710" s="55">
        <f t="shared" si="2"/>
        <v>1709</v>
      </c>
      <c r="B1710" s="56" t="s">
        <v>1445</v>
      </c>
      <c r="C1710" s="55" t="s">
        <v>36</v>
      </c>
      <c r="D1710" s="55">
        <v>1406.0</v>
      </c>
      <c r="E1710" s="57" t="s">
        <v>1352</v>
      </c>
      <c r="F1710" s="2" t="s">
        <v>1444</v>
      </c>
    </row>
    <row r="1711">
      <c r="A1711" s="55">
        <f t="shared" si="2"/>
        <v>1710</v>
      </c>
      <c r="B1711" s="56" t="s">
        <v>1445</v>
      </c>
      <c r="C1711" s="55" t="s">
        <v>31</v>
      </c>
      <c r="D1711" s="55">
        <v>1512.0</v>
      </c>
      <c r="E1711" s="57" t="s">
        <v>1352</v>
      </c>
      <c r="F1711" s="2" t="s">
        <v>1444</v>
      </c>
    </row>
    <row r="1712">
      <c r="A1712" s="55">
        <f t="shared" si="2"/>
        <v>1711</v>
      </c>
      <c r="B1712" s="56" t="s">
        <v>1445</v>
      </c>
      <c r="C1712" s="55" t="s">
        <v>50</v>
      </c>
      <c r="D1712" s="55">
        <v>1317.0</v>
      </c>
      <c r="E1712" s="57" t="s">
        <v>1352</v>
      </c>
      <c r="F1712" s="2" t="s">
        <v>1444</v>
      </c>
    </row>
    <row r="1713">
      <c r="A1713" s="55">
        <f t="shared" si="2"/>
        <v>1712</v>
      </c>
      <c r="B1713" s="56" t="s">
        <v>1445</v>
      </c>
      <c r="C1713" s="55" t="s">
        <v>26</v>
      </c>
      <c r="D1713" s="55">
        <v>1600.0</v>
      </c>
      <c r="E1713" s="57" t="s">
        <v>1352</v>
      </c>
      <c r="F1713" s="2" t="s">
        <v>1444</v>
      </c>
    </row>
    <row r="1714">
      <c r="A1714" s="55">
        <f t="shared" si="2"/>
        <v>1713</v>
      </c>
      <c r="B1714" s="56" t="s">
        <v>1449</v>
      </c>
      <c r="C1714" s="55" t="s">
        <v>34</v>
      </c>
      <c r="D1714" s="55">
        <v>933.0</v>
      </c>
      <c r="E1714" s="57" t="s">
        <v>1352</v>
      </c>
      <c r="F1714" s="2" t="s">
        <v>1448</v>
      </c>
    </row>
    <row r="1715">
      <c r="A1715" s="55">
        <f t="shared" si="2"/>
        <v>1714</v>
      </c>
      <c r="B1715" s="56" t="s">
        <v>1449</v>
      </c>
      <c r="C1715" s="55" t="s">
        <v>27</v>
      </c>
      <c r="D1715" s="55">
        <v>1510.0</v>
      </c>
      <c r="E1715" s="57" t="s">
        <v>1352</v>
      </c>
      <c r="F1715" s="2" t="s">
        <v>1448</v>
      </c>
    </row>
    <row r="1716">
      <c r="A1716" s="55">
        <f t="shared" si="2"/>
        <v>1715</v>
      </c>
      <c r="B1716" s="56" t="s">
        <v>1449</v>
      </c>
      <c r="C1716" s="55" t="s">
        <v>50</v>
      </c>
      <c r="D1716" s="55">
        <v>1296.0</v>
      </c>
      <c r="E1716" s="57" t="s">
        <v>1352</v>
      </c>
      <c r="F1716" s="2" t="s">
        <v>1448</v>
      </c>
    </row>
    <row r="1717">
      <c r="A1717" s="55">
        <f t="shared" si="2"/>
        <v>1716</v>
      </c>
      <c r="B1717" s="56" t="s">
        <v>1449</v>
      </c>
      <c r="C1717" s="55" t="s">
        <v>36</v>
      </c>
      <c r="D1717" s="55">
        <v>1388.0</v>
      </c>
      <c r="E1717" s="57" t="s">
        <v>1352</v>
      </c>
      <c r="F1717" s="2" t="s">
        <v>1448</v>
      </c>
    </row>
    <row r="1718">
      <c r="A1718" s="55">
        <f t="shared" si="2"/>
        <v>1717</v>
      </c>
      <c r="B1718" s="56" t="s">
        <v>1449</v>
      </c>
      <c r="C1718" s="55" t="s">
        <v>26</v>
      </c>
      <c r="D1718" s="55">
        <v>1586.0</v>
      </c>
      <c r="E1718" s="57" t="s">
        <v>1352</v>
      </c>
      <c r="F1718" s="2" t="s">
        <v>1448</v>
      </c>
    </row>
    <row r="1719">
      <c r="A1719" s="55">
        <f t="shared" si="2"/>
        <v>1718</v>
      </c>
      <c r="B1719" s="56" t="s">
        <v>1453</v>
      </c>
      <c r="C1719" s="55" t="s">
        <v>36</v>
      </c>
      <c r="D1719" s="55">
        <v>1372.0</v>
      </c>
      <c r="E1719" s="57" t="s">
        <v>1352</v>
      </c>
      <c r="F1719" s="2" t="s">
        <v>1452</v>
      </c>
    </row>
    <row r="1720">
      <c r="A1720" s="55">
        <f t="shared" si="2"/>
        <v>1719</v>
      </c>
      <c r="B1720" s="56" t="s">
        <v>1453</v>
      </c>
      <c r="C1720" s="55" t="s">
        <v>50</v>
      </c>
      <c r="D1720" s="55">
        <v>1307.0</v>
      </c>
      <c r="E1720" s="57" t="s">
        <v>1352</v>
      </c>
      <c r="F1720" s="2" t="s">
        <v>1452</v>
      </c>
    </row>
    <row r="1721">
      <c r="A1721" s="55">
        <f t="shared" si="2"/>
        <v>1720</v>
      </c>
      <c r="B1721" s="56" t="s">
        <v>1453</v>
      </c>
      <c r="C1721" s="55" t="s">
        <v>34</v>
      </c>
      <c r="D1721" s="55">
        <v>941.0</v>
      </c>
      <c r="E1721" s="57" t="s">
        <v>1352</v>
      </c>
      <c r="F1721" s="2" t="s">
        <v>1452</v>
      </c>
    </row>
    <row r="1722">
      <c r="A1722" s="55">
        <f t="shared" si="2"/>
        <v>1721</v>
      </c>
      <c r="B1722" s="56" t="s">
        <v>1453</v>
      </c>
      <c r="C1722" s="55" t="s">
        <v>26</v>
      </c>
      <c r="D1722" s="55">
        <v>1573.0</v>
      </c>
      <c r="E1722" s="57" t="s">
        <v>1352</v>
      </c>
      <c r="F1722" s="2" t="s">
        <v>1452</v>
      </c>
    </row>
    <row r="1723">
      <c r="A1723" s="55">
        <f t="shared" si="2"/>
        <v>1722</v>
      </c>
      <c r="B1723" s="56" t="s">
        <v>1453</v>
      </c>
      <c r="C1723" s="55" t="s">
        <v>28</v>
      </c>
      <c r="D1723" s="55">
        <v>1251.0</v>
      </c>
      <c r="E1723" s="57" t="s">
        <v>1352</v>
      </c>
      <c r="F1723" s="2" t="s">
        <v>1452</v>
      </c>
    </row>
    <row r="1724">
      <c r="A1724" s="55">
        <f t="shared" si="2"/>
        <v>1723</v>
      </c>
      <c r="B1724" s="56" t="s">
        <v>1453</v>
      </c>
      <c r="C1724" s="55" t="s">
        <v>27</v>
      </c>
      <c r="D1724" s="55">
        <v>1522.0</v>
      </c>
      <c r="E1724" s="57" t="s">
        <v>1352</v>
      </c>
      <c r="F1724" s="2" t="s">
        <v>1452</v>
      </c>
    </row>
    <row r="1725">
      <c r="A1725" s="55">
        <f t="shared" si="2"/>
        <v>1724</v>
      </c>
      <c r="B1725" s="56" t="s">
        <v>1457</v>
      </c>
      <c r="C1725" s="55" t="s">
        <v>34</v>
      </c>
      <c r="D1725" s="55">
        <v>951.0</v>
      </c>
      <c r="E1725" s="57" t="s">
        <v>1352</v>
      </c>
      <c r="F1725" s="2" t="s">
        <v>1456</v>
      </c>
    </row>
    <row r="1726">
      <c r="A1726" s="55">
        <f t="shared" si="2"/>
        <v>1725</v>
      </c>
      <c r="B1726" s="56" t="s">
        <v>1457</v>
      </c>
      <c r="C1726" s="55" t="s">
        <v>50</v>
      </c>
      <c r="D1726" s="55">
        <v>1321.0</v>
      </c>
      <c r="E1726" s="57" t="s">
        <v>1352</v>
      </c>
      <c r="F1726" s="2" t="s">
        <v>1456</v>
      </c>
    </row>
    <row r="1727">
      <c r="A1727" s="55">
        <f t="shared" si="2"/>
        <v>1726</v>
      </c>
      <c r="B1727" s="56" t="s">
        <v>1457</v>
      </c>
      <c r="C1727" s="55" t="s">
        <v>28</v>
      </c>
      <c r="D1727" s="55">
        <v>1232.0</v>
      </c>
      <c r="E1727" s="57" t="s">
        <v>1352</v>
      </c>
      <c r="F1727" s="2" t="s">
        <v>1456</v>
      </c>
    </row>
    <row r="1728">
      <c r="A1728" s="55">
        <f t="shared" si="2"/>
        <v>1727</v>
      </c>
      <c r="B1728" s="56" t="s">
        <v>1457</v>
      </c>
      <c r="C1728" s="55" t="s">
        <v>36</v>
      </c>
      <c r="D1728" s="55">
        <v>1387.0</v>
      </c>
      <c r="E1728" s="57" t="s">
        <v>1352</v>
      </c>
      <c r="F1728" s="2" t="s">
        <v>1456</v>
      </c>
    </row>
    <row r="1729">
      <c r="A1729" s="55">
        <f t="shared" si="2"/>
        <v>1728</v>
      </c>
      <c r="B1729" s="56" t="s">
        <v>1457</v>
      </c>
      <c r="C1729" s="55" t="s">
        <v>26</v>
      </c>
      <c r="D1729" s="55">
        <v>1562.0</v>
      </c>
      <c r="E1729" s="57" t="s">
        <v>1352</v>
      </c>
      <c r="F1729" s="2" t="s">
        <v>1456</v>
      </c>
    </row>
    <row r="1730">
      <c r="A1730" s="55">
        <f t="shared" si="2"/>
        <v>1729</v>
      </c>
      <c r="B1730" s="56" t="s">
        <v>1462</v>
      </c>
      <c r="C1730" s="55" t="s">
        <v>26</v>
      </c>
      <c r="D1730" s="55">
        <v>1551.0</v>
      </c>
      <c r="E1730" s="57" t="s">
        <v>1352</v>
      </c>
      <c r="F1730" s="2" t="s">
        <v>1461</v>
      </c>
    </row>
    <row r="1731">
      <c r="A1731" s="55">
        <f t="shared" si="2"/>
        <v>1730</v>
      </c>
      <c r="B1731" s="56" t="s">
        <v>1462</v>
      </c>
      <c r="C1731" s="55" t="s">
        <v>34</v>
      </c>
      <c r="D1731" s="55">
        <v>960.0</v>
      </c>
      <c r="E1731" s="57" t="s">
        <v>1352</v>
      </c>
      <c r="F1731" s="2" t="s">
        <v>1461</v>
      </c>
    </row>
    <row r="1732">
      <c r="A1732" s="55">
        <f t="shared" si="2"/>
        <v>1731</v>
      </c>
      <c r="B1732" s="56" t="s">
        <v>1462</v>
      </c>
      <c r="C1732" s="55" t="s">
        <v>54</v>
      </c>
      <c r="D1732" s="55">
        <v>1200.0</v>
      </c>
      <c r="E1732" s="57" t="s">
        <v>1352</v>
      </c>
      <c r="F1732" s="2" t="s">
        <v>1461</v>
      </c>
    </row>
    <row r="1733">
      <c r="A1733" s="55">
        <f t="shared" si="2"/>
        <v>1732</v>
      </c>
      <c r="B1733" s="56" t="s">
        <v>1462</v>
      </c>
      <c r="C1733" s="55" t="s">
        <v>27</v>
      </c>
      <c r="D1733" s="55">
        <v>1512.0</v>
      </c>
      <c r="E1733" s="57" t="s">
        <v>1352</v>
      </c>
      <c r="F1733" s="2" t="s">
        <v>1461</v>
      </c>
    </row>
    <row r="1734">
      <c r="A1734" s="55">
        <f t="shared" si="2"/>
        <v>1733</v>
      </c>
      <c r="B1734" s="56" t="s">
        <v>1462</v>
      </c>
      <c r="C1734" s="55" t="s">
        <v>28</v>
      </c>
      <c r="D1734" s="55">
        <v>1213.0</v>
      </c>
      <c r="E1734" s="57" t="s">
        <v>1352</v>
      </c>
      <c r="F1734" s="2" t="s">
        <v>1461</v>
      </c>
    </row>
    <row r="1735">
      <c r="A1735" s="55">
        <f t="shared" si="2"/>
        <v>1734</v>
      </c>
      <c r="B1735" s="56" t="s">
        <v>1462</v>
      </c>
      <c r="C1735" s="55" t="s">
        <v>36</v>
      </c>
      <c r="D1735" s="55">
        <v>1373.0</v>
      </c>
      <c r="E1735" s="57" t="s">
        <v>1352</v>
      </c>
      <c r="F1735" s="2" t="s">
        <v>1461</v>
      </c>
    </row>
    <row r="1736">
      <c r="A1736" s="55">
        <f t="shared" si="2"/>
        <v>1735</v>
      </c>
      <c r="B1736" s="56" t="s">
        <v>1466</v>
      </c>
      <c r="C1736" s="55" t="s">
        <v>36</v>
      </c>
      <c r="D1736" s="55">
        <v>1358.0</v>
      </c>
      <c r="E1736" s="57" t="s">
        <v>1352</v>
      </c>
      <c r="F1736" s="2" t="s">
        <v>1465</v>
      </c>
    </row>
    <row r="1737">
      <c r="A1737" s="55">
        <f t="shared" si="2"/>
        <v>1736</v>
      </c>
      <c r="B1737" s="56" t="s">
        <v>1466</v>
      </c>
      <c r="C1737" s="55" t="s">
        <v>27</v>
      </c>
      <c r="D1737" s="55">
        <v>1501.0</v>
      </c>
      <c r="E1737" s="57" t="s">
        <v>1352</v>
      </c>
      <c r="F1737" s="2" t="s">
        <v>1465</v>
      </c>
    </row>
    <row r="1738">
      <c r="A1738" s="55">
        <f t="shared" si="2"/>
        <v>1737</v>
      </c>
      <c r="B1738" s="56" t="s">
        <v>1466</v>
      </c>
      <c r="C1738" s="55" t="s">
        <v>28</v>
      </c>
      <c r="D1738" s="55">
        <v>1193.0</v>
      </c>
      <c r="E1738" s="57" t="s">
        <v>1352</v>
      </c>
      <c r="F1738" s="2" t="s">
        <v>1465</v>
      </c>
    </row>
    <row r="1739">
      <c r="A1739" s="55">
        <f t="shared" si="2"/>
        <v>1738</v>
      </c>
      <c r="B1739" s="56" t="s">
        <v>1466</v>
      </c>
      <c r="C1739" s="55" t="s">
        <v>26</v>
      </c>
      <c r="D1739" s="55">
        <v>1570.0</v>
      </c>
      <c r="E1739" s="57" t="s">
        <v>1352</v>
      </c>
      <c r="F1739" s="2" t="s">
        <v>1465</v>
      </c>
    </row>
    <row r="1740">
      <c r="A1740" s="55">
        <f t="shared" si="2"/>
        <v>1739</v>
      </c>
      <c r="B1740" s="56" t="s">
        <v>1466</v>
      </c>
      <c r="C1740" s="55" t="s">
        <v>34</v>
      </c>
      <c r="D1740" s="55">
        <v>972.0</v>
      </c>
      <c r="E1740" s="57" t="s">
        <v>1352</v>
      </c>
      <c r="F1740" s="2" t="s">
        <v>1465</v>
      </c>
    </row>
    <row r="1741">
      <c r="A1741" s="55">
        <f t="shared" si="2"/>
        <v>1740</v>
      </c>
      <c r="B1741" s="56" t="s">
        <v>1466</v>
      </c>
      <c r="C1741" s="55" t="s">
        <v>54</v>
      </c>
      <c r="D1741" s="55">
        <v>1180.0</v>
      </c>
      <c r="E1741" s="57" t="s">
        <v>1352</v>
      </c>
      <c r="F1741" s="2" t="s">
        <v>1465</v>
      </c>
    </row>
    <row r="1742">
      <c r="A1742" s="55">
        <f t="shared" si="2"/>
        <v>1741</v>
      </c>
      <c r="B1742" s="56" t="s">
        <v>1470</v>
      </c>
      <c r="C1742" s="55" t="s">
        <v>9609</v>
      </c>
      <c r="D1742" s="55">
        <v>1214.0</v>
      </c>
      <c r="E1742" s="57" t="s">
        <v>1352</v>
      </c>
      <c r="F1742" s="2" t="s">
        <v>1469</v>
      </c>
    </row>
    <row r="1743">
      <c r="A1743" s="55">
        <f t="shared" si="2"/>
        <v>1742</v>
      </c>
      <c r="B1743" s="56" t="s">
        <v>1470</v>
      </c>
      <c r="C1743" s="55" t="s">
        <v>28</v>
      </c>
      <c r="D1743" s="55">
        <v>1169.0</v>
      </c>
      <c r="E1743" s="57" t="s">
        <v>1352</v>
      </c>
      <c r="F1743" s="2" t="s">
        <v>1469</v>
      </c>
    </row>
    <row r="1744">
      <c r="A1744" s="55">
        <f t="shared" si="2"/>
        <v>1743</v>
      </c>
      <c r="B1744" s="56" t="s">
        <v>1470</v>
      </c>
      <c r="C1744" s="55" t="s">
        <v>34</v>
      </c>
      <c r="D1744" s="55">
        <v>942.0</v>
      </c>
      <c r="E1744" s="57" t="s">
        <v>1352</v>
      </c>
      <c r="F1744" s="2" t="s">
        <v>1469</v>
      </c>
    </row>
    <row r="1745">
      <c r="A1745" s="55">
        <f t="shared" si="2"/>
        <v>1744</v>
      </c>
      <c r="B1745" s="56" t="s">
        <v>1470</v>
      </c>
      <c r="C1745" s="55" t="s">
        <v>42</v>
      </c>
      <c r="D1745" s="55">
        <v>1345.0</v>
      </c>
      <c r="E1745" s="57" t="s">
        <v>1352</v>
      </c>
      <c r="F1745" s="2" t="s">
        <v>1469</v>
      </c>
    </row>
    <row r="1746">
      <c r="A1746" s="55">
        <f t="shared" si="2"/>
        <v>1745</v>
      </c>
      <c r="B1746" s="56" t="s">
        <v>1470</v>
      </c>
      <c r="C1746" s="55" t="s">
        <v>30</v>
      </c>
      <c r="D1746" s="55">
        <v>1495.0</v>
      </c>
      <c r="E1746" s="57" t="s">
        <v>1352</v>
      </c>
      <c r="F1746" s="2" t="s">
        <v>1469</v>
      </c>
    </row>
    <row r="1747">
      <c r="A1747" s="55">
        <f t="shared" si="2"/>
        <v>1746</v>
      </c>
      <c r="B1747" s="56" t="s">
        <v>1470</v>
      </c>
      <c r="C1747" s="55" t="s">
        <v>36</v>
      </c>
      <c r="D1747" s="55">
        <v>1378.0</v>
      </c>
      <c r="E1747" s="57" t="s">
        <v>1352</v>
      </c>
      <c r="F1747" s="2" t="s">
        <v>1469</v>
      </c>
    </row>
    <row r="1748">
      <c r="A1748" s="55">
        <f t="shared" si="2"/>
        <v>1747</v>
      </c>
      <c r="B1748" s="56" t="s">
        <v>1470</v>
      </c>
      <c r="C1748" s="55" t="s">
        <v>26</v>
      </c>
      <c r="D1748" s="55">
        <v>1556.0</v>
      </c>
      <c r="E1748" s="57" t="s">
        <v>1352</v>
      </c>
      <c r="F1748" s="2" t="s">
        <v>1469</v>
      </c>
    </row>
    <row r="1749">
      <c r="A1749" s="55">
        <f t="shared" si="2"/>
        <v>1748</v>
      </c>
      <c r="B1749" s="56" t="s">
        <v>1474</v>
      </c>
      <c r="C1749" s="55" t="s">
        <v>26</v>
      </c>
      <c r="D1749" s="55">
        <v>1544.0</v>
      </c>
      <c r="E1749" s="57" t="s">
        <v>1352</v>
      </c>
      <c r="F1749" s="2" t="s">
        <v>1473</v>
      </c>
    </row>
    <row r="1750">
      <c r="A1750" s="55">
        <f t="shared" si="2"/>
        <v>1749</v>
      </c>
      <c r="B1750" s="56" t="s">
        <v>1474</v>
      </c>
      <c r="C1750" s="55" t="s">
        <v>34</v>
      </c>
      <c r="D1750" s="55">
        <v>949.0</v>
      </c>
      <c r="E1750" s="57" t="s">
        <v>1352</v>
      </c>
      <c r="F1750" s="2" t="s">
        <v>1473</v>
      </c>
    </row>
    <row r="1751">
      <c r="A1751" s="55">
        <f t="shared" si="2"/>
        <v>1750</v>
      </c>
      <c r="B1751" s="56" t="s">
        <v>1474</v>
      </c>
      <c r="C1751" s="55" t="s">
        <v>28</v>
      </c>
      <c r="D1751" s="55">
        <v>1178.0</v>
      </c>
      <c r="E1751" s="57" t="s">
        <v>1352</v>
      </c>
      <c r="F1751" s="2" t="s">
        <v>1473</v>
      </c>
    </row>
    <row r="1752">
      <c r="A1752" s="55">
        <f t="shared" si="2"/>
        <v>1751</v>
      </c>
      <c r="B1752" s="56" t="s">
        <v>1474</v>
      </c>
      <c r="C1752" s="55" t="s">
        <v>36</v>
      </c>
      <c r="D1752" s="55">
        <v>1363.0</v>
      </c>
      <c r="E1752" s="57" t="s">
        <v>1352</v>
      </c>
      <c r="F1752" s="2" t="s">
        <v>1473</v>
      </c>
    </row>
    <row r="1753">
      <c r="A1753" s="55">
        <f t="shared" si="2"/>
        <v>1752</v>
      </c>
      <c r="B1753" s="56" t="s">
        <v>1474</v>
      </c>
      <c r="C1753" s="55" t="s">
        <v>9609</v>
      </c>
      <c r="D1753" s="55">
        <v>1223.0</v>
      </c>
      <c r="E1753" s="57" t="s">
        <v>1352</v>
      </c>
      <c r="F1753" s="2" t="s">
        <v>1473</v>
      </c>
    </row>
    <row r="1754">
      <c r="A1754" s="55">
        <f t="shared" si="2"/>
        <v>1753</v>
      </c>
      <c r="B1754" s="56" t="s">
        <v>1474</v>
      </c>
      <c r="C1754" s="55" t="s">
        <v>42</v>
      </c>
      <c r="D1754" s="55">
        <v>1356.0</v>
      </c>
      <c r="E1754" s="57" t="s">
        <v>1352</v>
      </c>
      <c r="F1754" s="2" t="s">
        <v>1473</v>
      </c>
    </row>
    <row r="1755">
      <c r="A1755" s="55">
        <f t="shared" si="2"/>
        <v>1754</v>
      </c>
      <c r="B1755" s="56" t="s">
        <v>1474</v>
      </c>
      <c r="C1755" s="55" t="s">
        <v>30</v>
      </c>
      <c r="D1755" s="55">
        <v>1482.0</v>
      </c>
      <c r="E1755" s="57" t="s">
        <v>1352</v>
      </c>
      <c r="F1755" s="2" t="s">
        <v>1473</v>
      </c>
    </row>
    <row r="1756">
      <c r="A1756" s="55">
        <f t="shared" si="2"/>
        <v>1755</v>
      </c>
      <c r="B1756" s="56" t="s">
        <v>1478</v>
      </c>
      <c r="C1756" s="55" t="s">
        <v>30</v>
      </c>
      <c r="D1756" s="55">
        <v>1467.0</v>
      </c>
      <c r="E1756" s="57" t="s">
        <v>1352</v>
      </c>
      <c r="F1756" s="2" t="s">
        <v>1477</v>
      </c>
    </row>
    <row r="1757">
      <c r="A1757" s="55">
        <f t="shared" si="2"/>
        <v>1756</v>
      </c>
      <c r="B1757" s="56" t="s">
        <v>1478</v>
      </c>
      <c r="C1757" s="55" t="s">
        <v>36</v>
      </c>
      <c r="D1757" s="55">
        <v>1347.0</v>
      </c>
      <c r="E1757" s="57" t="s">
        <v>1352</v>
      </c>
      <c r="F1757" s="2" t="s">
        <v>1477</v>
      </c>
    </row>
    <row r="1758">
      <c r="A1758" s="55">
        <f t="shared" si="2"/>
        <v>1757</v>
      </c>
      <c r="B1758" s="56" t="s">
        <v>1478</v>
      </c>
      <c r="C1758" s="55" t="s">
        <v>34</v>
      </c>
      <c r="D1758" s="55">
        <v>958.0</v>
      </c>
      <c r="E1758" s="57" t="s">
        <v>1352</v>
      </c>
      <c r="F1758" s="2" t="s">
        <v>1477</v>
      </c>
    </row>
    <row r="1759">
      <c r="A1759" s="55">
        <f t="shared" si="2"/>
        <v>1758</v>
      </c>
      <c r="B1759" s="56" t="s">
        <v>1478</v>
      </c>
      <c r="C1759" s="55" t="s">
        <v>28</v>
      </c>
      <c r="D1759" s="55">
        <v>1189.0</v>
      </c>
      <c r="E1759" s="57" t="s">
        <v>1352</v>
      </c>
      <c r="F1759" s="2" t="s">
        <v>1477</v>
      </c>
    </row>
    <row r="1760">
      <c r="A1760" s="55">
        <f t="shared" si="2"/>
        <v>1759</v>
      </c>
      <c r="B1760" s="56" t="s">
        <v>1478</v>
      </c>
      <c r="C1760" s="55" t="s">
        <v>27</v>
      </c>
      <c r="D1760" s="55">
        <v>1523.0</v>
      </c>
      <c r="E1760" s="57" t="s">
        <v>1352</v>
      </c>
      <c r="F1760" s="2" t="s">
        <v>1477</v>
      </c>
    </row>
    <row r="1761">
      <c r="A1761" s="55">
        <f t="shared" si="2"/>
        <v>1760</v>
      </c>
      <c r="B1761" s="56" t="s">
        <v>1478</v>
      </c>
      <c r="C1761" s="55" t="s">
        <v>26</v>
      </c>
      <c r="D1761" s="55">
        <v>1559.0</v>
      </c>
      <c r="E1761" s="57" t="s">
        <v>1352</v>
      </c>
      <c r="F1761" s="2" t="s">
        <v>1477</v>
      </c>
    </row>
    <row r="1762">
      <c r="A1762" s="55">
        <f t="shared" si="2"/>
        <v>1761</v>
      </c>
      <c r="B1762" s="56" t="s">
        <v>1478</v>
      </c>
      <c r="C1762" s="55" t="s">
        <v>9609</v>
      </c>
      <c r="D1762" s="55">
        <v>1202.0</v>
      </c>
      <c r="E1762" s="57" t="s">
        <v>1352</v>
      </c>
      <c r="F1762" s="2" t="s">
        <v>1477</v>
      </c>
    </row>
    <row r="1763">
      <c r="A1763" s="55">
        <f t="shared" si="2"/>
        <v>1762</v>
      </c>
      <c r="B1763" s="56" t="s">
        <v>1482</v>
      </c>
      <c r="C1763" s="55" t="s">
        <v>54</v>
      </c>
      <c r="D1763" s="55">
        <v>1140.0</v>
      </c>
      <c r="E1763" s="57" t="s">
        <v>1352</v>
      </c>
      <c r="F1763" s="2" t="s">
        <v>1481</v>
      </c>
    </row>
    <row r="1764">
      <c r="A1764" s="55">
        <f t="shared" si="2"/>
        <v>1763</v>
      </c>
      <c r="B1764" s="56" t="s">
        <v>1482</v>
      </c>
      <c r="C1764" s="55" t="s">
        <v>28</v>
      </c>
      <c r="D1764" s="55">
        <v>1166.0</v>
      </c>
      <c r="E1764" s="57" t="s">
        <v>1352</v>
      </c>
      <c r="F1764" s="2" t="s">
        <v>1481</v>
      </c>
    </row>
    <row r="1765">
      <c r="A1765" s="55">
        <f t="shared" si="2"/>
        <v>1764</v>
      </c>
      <c r="B1765" s="56" t="s">
        <v>1482</v>
      </c>
      <c r="C1765" s="55" t="s">
        <v>27</v>
      </c>
      <c r="D1765" s="55">
        <v>1511.0</v>
      </c>
      <c r="E1765" s="57" t="s">
        <v>1352</v>
      </c>
      <c r="F1765" s="2" t="s">
        <v>1481</v>
      </c>
    </row>
    <row r="1766">
      <c r="A1766" s="55">
        <f t="shared" si="2"/>
        <v>1765</v>
      </c>
      <c r="B1766" s="56" t="s">
        <v>1482</v>
      </c>
      <c r="C1766" s="55" t="s">
        <v>26</v>
      </c>
      <c r="D1766" s="55">
        <v>1546.0</v>
      </c>
      <c r="E1766" s="57" t="s">
        <v>1352</v>
      </c>
      <c r="F1766" s="2" t="s">
        <v>1481</v>
      </c>
    </row>
    <row r="1767">
      <c r="A1767" s="55">
        <f t="shared" si="2"/>
        <v>1766</v>
      </c>
      <c r="B1767" s="56" t="s">
        <v>1482</v>
      </c>
      <c r="C1767" s="55" t="s">
        <v>9609</v>
      </c>
      <c r="D1767" s="55">
        <v>1180.0</v>
      </c>
      <c r="E1767" s="57" t="s">
        <v>1352</v>
      </c>
      <c r="F1767" s="2" t="s">
        <v>1481</v>
      </c>
    </row>
    <row r="1768">
      <c r="A1768" s="55">
        <f t="shared" si="2"/>
        <v>1767</v>
      </c>
      <c r="B1768" s="56" t="s">
        <v>1482</v>
      </c>
      <c r="C1768" s="55" t="s">
        <v>30</v>
      </c>
      <c r="D1768" s="55">
        <v>1487.0</v>
      </c>
      <c r="E1768" s="57" t="s">
        <v>1352</v>
      </c>
      <c r="F1768" s="2" t="s">
        <v>1481</v>
      </c>
    </row>
    <row r="1769">
      <c r="A1769" s="55">
        <f t="shared" si="2"/>
        <v>1768</v>
      </c>
      <c r="B1769" s="56" t="s">
        <v>1482</v>
      </c>
      <c r="C1769" s="55" t="s">
        <v>36</v>
      </c>
      <c r="D1769" s="55">
        <v>1365.0</v>
      </c>
      <c r="E1769" s="57" t="s">
        <v>1352</v>
      </c>
      <c r="F1769" s="2" t="s">
        <v>1481</v>
      </c>
    </row>
    <row r="1770">
      <c r="A1770" s="55">
        <f t="shared" si="2"/>
        <v>1769</v>
      </c>
      <c r="B1770" s="56" t="s">
        <v>1486</v>
      </c>
      <c r="C1770" s="55" t="s">
        <v>26</v>
      </c>
      <c r="D1770" s="55">
        <v>1532.0</v>
      </c>
      <c r="E1770" s="57" t="s">
        <v>1352</v>
      </c>
      <c r="F1770" s="2" t="s">
        <v>1485</v>
      </c>
    </row>
    <row r="1771">
      <c r="A1771" s="55">
        <f t="shared" si="2"/>
        <v>1770</v>
      </c>
      <c r="B1771" s="56" t="s">
        <v>1486</v>
      </c>
      <c r="C1771" s="55" t="s">
        <v>36</v>
      </c>
      <c r="D1771" s="55">
        <v>1348.0</v>
      </c>
      <c r="E1771" s="57" t="s">
        <v>1352</v>
      </c>
      <c r="F1771" s="2" t="s">
        <v>1485</v>
      </c>
    </row>
    <row r="1772">
      <c r="A1772" s="55">
        <f t="shared" si="2"/>
        <v>1771</v>
      </c>
      <c r="B1772" s="56" t="s">
        <v>1486</v>
      </c>
      <c r="C1772" s="55" t="s">
        <v>27</v>
      </c>
      <c r="D1772" s="55">
        <v>1529.0</v>
      </c>
      <c r="E1772" s="57" t="s">
        <v>1352</v>
      </c>
      <c r="F1772" s="2" t="s">
        <v>1485</v>
      </c>
    </row>
    <row r="1773">
      <c r="A1773" s="55">
        <f t="shared" si="2"/>
        <v>1772</v>
      </c>
      <c r="B1773" s="56" t="s">
        <v>1486</v>
      </c>
      <c r="C1773" s="55" t="s">
        <v>30</v>
      </c>
      <c r="D1773" s="55">
        <v>1471.0</v>
      </c>
      <c r="E1773" s="57" t="s">
        <v>1352</v>
      </c>
      <c r="F1773" s="2" t="s">
        <v>1485</v>
      </c>
    </row>
    <row r="1774">
      <c r="A1774" s="55">
        <f t="shared" si="2"/>
        <v>1773</v>
      </c>
      <c r="B1774" s="56" t="s">
        <v>1490</v>
      </c>
      <c r="C1774" s="55" t="s">
        <v>26</v>
      </c>
      <c r="D1774" s="55">
        <v>1544.0</v>
      </c>
      <c r="E1774" s="57" t="s">
        <v>1352</v>
      </c>
      <c r="F1774" s="2" t="s">
        <v>1489</v>
      </c>
    </row>
    <row r="1775">
      <c r="A1775" s="55">
        <f t="shared" si="2"/>
        <v>1774</v>
      </c>
      <c r="B1775" s="56" t="s">
        <v>1490</v>
      </c>
      <c r="C1775" s="55" t="s">
        <v>58</v>
      </c>
      <c r="D1775" s="55">
        <v>1229.0</v>
      </c>
      <c r="E1775" s="57" t="s">
        <v>1352</v>
      </c>
      <c r="F1775" s="2" t="s">
        <v>1489</v>
      </c>
    </row>
    <row r="1776">
      <c r="A1776" s="55">
        <f t="shared" si="2"/>
        <v>1775</v>
      </c>
      <c r="B1776" s="56" t="s">
        <v>1490</v>
      </c>
      <c r="C1776" s="55" t="s">
        <v>42</v>
      </c>
      <c r="D1776" s="55">
        <v>1340.0</v>
      </c>
      <c r="E1776" s="57" t="s">
        <v>1352</v>
      </c>
      <c r="F1776" s="2" t="s">
        <v>1489</v>
      </c>
    </row>
    <row r="1777">
      <c r="A1777" s="55">
        <f t="shared" si="2"/>
        <v>1776</v>
      </c>
      <c r="B1777" s="56" t="s">
        <v>1490</v>
      </c>
      <c r="C1777" s="55" t="s">
        <v>50</v>
      </c>
      <c r="D1777" s="55">
        <v>1334.0</v>
      </c>
      <c r="E1777" s="57" t="s">
        <v>1352</v>
      </c>
      <c r="F1777" s="2" t="s">
        <v>1489</v>
      </c>
    </row>
    <row r="1778">
      <c r="A1778" s="55">
        <f t="shared" si="2"/>
        <v>1777</v>
      </c>
      <c r="B1778" s="56" t="s">
        <v>1490</v>
      </c>
      <c r="C1778" s="55" t="s">
        <v>30</v>
      </c>
      <c r="D1778" s="55">
        <v>1455.0</v>
      </c>
      <c r="E1778" s="57" t="s">
        <v>1352</v>
      </c>
      <c r="F1778" s="2" t="s">
        <v>1489</v>
      </c>
    </row>
    <row r="1779">
      <c r="A1779" s="55">
        <f t="shared" si="2"/>
        <v>1778</v>
      </c>
      <c r="B1779" s="56" t="s">
        <v>1490</v>
      </c>
      <c r="C1779" s="55" t="s">
        <v>27</v>
      </c>
      <c r="D1779" s="55">
        <v>1517.0</v>
      </c>
      <c r="E1779" s="57" t="s">
        <v>1352</v>
      </c>
      <c r="F1779" s="2" t="s">
        <v>1489</v>
      </c>
    </row>
    <row r="1780">
      <c r="A1780" s="55">
        <f t="shared" si="2"/>
        <v>1779</v>
      </c>
      <c r="B1780" s="56" t="s">
        <v>1494</v>
      </c>
      <c r="C1780" s="55" t="s">
        <v>26</v>
      </c>
      <c r="D1780" s="55">
        <v>1561.0</v>
      </c>
      <c r="E1780" s="57" t="s">
        <v>1352</v>
      </c>
      <c r="F1780" s="2" t="s">
        <v>1493</v>
      </c>
    </row>
    <row r="1781">
      <c r="A1781" s="55">
        <f t="shared" si="2"/>
        <v>1780</v>
      </c>
      <c r="B1781" s="56" t="s">
        <v>1494</v>
      </c>
      <c r="C1781" s="55" t="s">
        <v>30</v>
      </c>
      <c r="D1781" s="55">
        <v>1436.0</v>
      </c>
      <c r="E1781" s="57" t="s">
        <v>1352</v>
      </c>
      <c r="F1781" s="2" t="s">
        <v>1493</v>
      </c>
    </row>
    <row r="1782">
      <c r="A1782" s="55">
        <f t="shared" si="2"/>
        <v>1781</v>
      </c>
      <c r="B1782" s="56" t="s">
        <v>1494</v>
      </c>
      <c r="C1782" s="55" t="s">
        <v>42</v>
      </c>
      <c r="D1782" s="55">
        <v>1355.0</v>
      </c>
      <c r="E1782" s="57" t="s">
        <v>1352</v>
      </c>
      <c r="F1782" s="2" t="s">
        <v>1493</v>
      </c>
    </row>
    <row r="1783">
      <c r="A1783" s="55">
        <f t="shared" si="2"/>
        <v>1782</v>
      </c>
      <c r="B1783" s="56" t="s">
        <v>1494</v>
      </c>
      <c r="C1783" s="55" t="s">
        <v>27</v>
      </c>
      <c r="D1783" s="55">
        <v>1503.0</v>
      </c>
      <c r="E1783" s="57" t="s">
        <v>1352</v>
      </c>
      <c r="F1783" s="2" t="s">
        <v>1493</v>
      </c>
    </row>
    <row r="1784">
      <c r="A1784" s="55">
        <f t="shared" si="2"/>
        <v>1783</v>
      </c>
      <c r="B1784" s="56" t="s">
        <v>1494</v>
      </c>
      <c r="C1784" s="55" t="s">
        <v>50</v>
      </c>
      <c r="D1784" s="55">
        <v>1314.0</v>
      </c>
      <c r="E1784" s="57" t="s">
        <v>1352</v>
      </c>
      <c r="F1784" s="2" t="s">
        <v>1493</v>
      </c>
    </row>
    <row r="1785">
      <c r="A1785" s="55">
        <f t="shared" si="2"/>
        <v>1784</v>
      </c>
      <c r="B1785" s="56" t="s">
        <v>1494</v>
      </c>
      <c r="C1785" s="55" t="s">
        <v>58</v>
      </c>
      <c r="D1785" s="55">
        <v>1242.0</v>
      </c>
      <c r="E1785" s="57" t="s">
        <v>1352</v>
      </c>
      <c r="F1785" s="2" t="s">
        <v>1493</v>
      </c>
    </row>
    <row r="1786">
      <c r="A1786" s="55">
        <f t="shared" si="2"/>
        <v>1785</v>
      </c>
      <c r="B1786" s="56" t="s">
        <v>1498</v>
      </c>
      <c r="C1786" s="55" t="s">
        <v>31</v>
      </c>
      <c r="D1786" s="55">
        <v>1495.0</v>
      </c>
      <c r="E1786" s="57" t="s">
        <v>1352</v>
      </c>
      <c r="F1786" s="2" t="s">
        <v>1497</v>
      </c>
    </row>
    <row r="1787">
      <c r="A1787" s="55">
        <f t="shared" si="2"/>
        <v>1786</v>
      </c>
      <c r="B1787" s="56" t="s">
        <v>1498</v>
      </c>
      <c r="C1787" s="55" t="s">
        <v>34</v>
      </c>
      <c r="D1787" s="55">
        <v>971.0</v>
      </c>
      <c r="E1787" s="57" t="s">
        <v>1352</v>
      </c>
      <c r="F1787" s="2" t="s">
        <v>1497</v>
      </c>
    </row>
    <row r="1788">
      <c r="A1788" s="55">
        <f t="shared" si="2"/>
        <v>1787</v>
      </c>
      <c r="B1788" s="56" t="s">
        <v>1498</v>
      </c>
      <c r="C1788" s="55" t="s">
        <v>29</v>
      </c>
      <c r="D1788" s="55">
        <v>1445.0</v>
      </c>
      <c r="E1788" s="57" t="s">
        <v>1352</v>
      </c>
      <c r="F1788" s="2" t="s">
        <v>1497</v>
      </c>
    </row>
    <row r="1789">
      <c r="A1789" s="55">
        <f t="shared" si="2"/>
        <v>1788</v>
      </c>
      <c r="B1789" s="56" t="s">
        <v>1498</v>
      </c>
      <c r="C1789" s="55" t="s">
        <v>30</v>
      </c>
      <c r="D1789" s="55">
        <v>1449.0</v>
      </c>
      <c r="E1789" s="57" t="s">
        <v>1352</v>
      </c>
      <c r="F1789" s="2" t="s">
        <v>1497</v>
      </c>
    </row>
    <row r="1790">
      <c r="A1790" s="55">
        <f t="shared" si="2"/>
        <v>1789</v>
      </c>
      <c r="B1790" s="56" t="s">
        <v>1498</v>
      </c>
      <c r="C1790" s="55" t="s">
        <v>27</v>
      </c>
      <c r="D1790" s="55">
        <v>1517.0</v>
      </c>
      <c r="E1790" s="57" t="s">
        <v>1352</v>
      </c>
      <c r="F1790" s="2" t="s">
        <v>1497</v>
      </c>
    </row>
    <row r="1791">
      <c r="A1791" s="55">
        <f t="shared" si="2"/>
        <v>1790</v>
      </c>
      <c r="B1791" s="56" t="s">
        <v>1498</v>
      </c>
      <c r="C1791" s="55" t="s">
        <v>26</v>
      </c>
      <c r="D1791" s="55">
        <v>1575.0</v>
      </c>
      <c r="E1791" s="57" t="s">
        <v>1352</v>
      </c>
      <c r="F1791" s="2" t="s">
        <v>1497</v>
      </c>
    </row>
    <row r="1792">
      <c r="A1792" s="55">
        <f t="shared" si="2"/>
        <v>1791</v>
      </c>
      <c r="B1792" s="56" t="s">
        <v>1503</v>
      </c>
      <c r="C1792" s="55" t="s">
        <v>30</v>
      </c>
      <c r="D1792" s="55">
        <v>1461.0</v>
      </c>
      <c r="E1792" s="57" t="s">
        <v>1352</v>
      </c>
      <c r="F1792" s="2" t="s">
        <v>1502</v>
      </c>
    </row>
    <row r="1793">
      <c r="A1793" s="55">
        <f t="shared" si="2"/>
        <v>1792</v>
      </c>
      <c r="B1793" s="56" t="s">
        <v>1503</v>
      </c>
      <c r="C1793" s="55" t="s">
        <v>27</v>
      </c>
      <c r="D1793" s="55">
        <v>1501.0</v>
      </c>
      <c r="E1793" s="57" t="s">
        <v>1352</v>
      </c>
      <c r="F1793" s="2" t="s">
        <v>1502</v>
      </c>
    </row>
    <row r="1794">
      <c r="A1794" s="55">
        <f t="shared" si="2"/>
        <v>1793</v>
      </c>
      <c r="B1794" s="56" t="s">
        <v>1503</v>
      </c>
      <c r="C1794" s="55" t="s">
        <v>29</v>
      </c>
      <c r="D1794" s="55">
        <v>1457.0</v>
      </c>
      <c r="E1794" s="57" t="s">
        <v>1352</v>
      </c>
      <c r="F1794" s="2" t="s">
        <v>1502</v>
      </c>
    </row>
    <row r="1795">
      <c r="A1795" s="55">
        <f t="shared" si="2"/>
        <v>1794</v>
      </c>
      <c r="B1795" s="56" t="s">
        <v>1503</v>
      </c>
      <c r="C1795" s="55" t="s">
        <v>28</v>
      </c>
      <c r="D1795" s="55">
        <v>1180.0</v>
      </c>
      <c r="E1795" s="57" t="s">
        <v>1352</v>
      </c>
      <c r="F1795" s="2" t="s">
        <v>1502</v>
      </c>
    </row>
    <row r="1796">
      <c r="A1796" s="55">
        <f t="shared" si="2"/>
        <v>1795</v>
      </c>
      <c r="B1796" s="56" t="s">
        <v>1503</v>
      </c>
      <c r="C1796" s="55" t="s">
        <v>58</v>
      </c>
      <c r="D1796" s="55">
        <v>1213.0</v>
      </c>
      <c r="E1796" s="57" t="s">
        <v>1352</v>
      </c>
      <c r="F1796" s="2" t="s">
        <v>1502</v>
      </c>
    </row>
    <row r="1797">
      <c r="A1797" s="55">
        <f t="shared" si="2"/>
        <v>1796</v>
      </c>
      <c r="B1797" s="56" t="s">
        <v>1503</v>
      </c>
      <c r="C1797" s="55" t="s">
        <v>31</v>
      </c>
      <c r="D1797" s="55">
        <v>1507.0</v>
      </c>
      <c r="E1797" s="57" t="s">
        <v>1352</v>
      </c>
      <c r="F1797" s="2" t="s">
        <v>1502</v>
      </c>
    </row>
    <row r="1798">
      <c r="A1798" s="55">
        <f t="shared" si="2"/>
        <v>1797</v>
      </c>
      <c r="B1798" s="56" t="s">
        <v>1503</v>
      </c>
      <c r="C1798" s="55" t="s">
        <v>34</v>
      </c>
      <c r="D1798" s="55">
        <v>979.0</v>
      </c>
      <c r="E1798" s="57" t="s">
        <v>1352</v>
      </c>
      <c r="F1798" s="2" t="s">
        <v>1502</v>
      </c>
    </row>
    <row r="1799">
      <c r="A1799" s="55">
        <f t="shared" si="2"/>
        <v>1798</v>
      </c>
      <c r="B1799" s="56" t="s">
        <v>1508</v>
      </c>
      <c r="C1799" s="55" t="s">
        <v>31</v>
      </c>
      <c r="D1799" s="55">
        <v>1486.0</v>
      </c>
      <c r="E1799" s="57" t="s">
        <v>1352</v>
      </c>
      <c r="F1799" s="2" t="s">
        <v>1507</v>
      </c>
    </row>
    <row r="1800">
      <c r="A1800" s="55">
        <f t="shared" si="2"/>
        <v>1799</v>
      </c>
      <c r="B1800" s="56" t="s">
        <v>1508</v>
      </c>
      <c r="C1800" s="55" t="s">
        <v>34</v>
      </c>
      <c r="D1800" s="55">
        <v>946.0</v>
      </c>
      <c r="E1800" s="57" t="s">
        <v>1352</v>
      </c>
      <c r="F1800" s="2" t="s">
        <v>1507</v>
      </c>
    </row>
    <row r="1801">
      <c r="A1801" s="55">
        <f t="shared" si="2"/>
        <v>1800</v>
      </c>
      <c r="B1801" s="56" t="s">
        <v>1508</v>
      </c>
      <c r="C1801" s="55" t="s">
        <v>42</v>
      </c>
      <c r="D1801" s="55">
        <v>1368.0</v>
      </c>
      <c r="E1801" s="57" t="s">
        <v>1352</v>
      </c>
      <c r="F1801" s="2" t="s">
        <v>1507</v>
      </c>
    </row>
    <row r="1802">
      <c r="A1802" s="55">
        <f t="shared" si="2"/>
        <v>1801</v>
      </c>
      <c r="B1802" s="56" t="s">
        <v>1508</v>
      </c>
      <c r="C1802" s="55" t="s">
        <v>24</v>
      </c>
      <c r="D1802" s="55">
        <v>1512.0</v>
      </c>
      <c r="E1802" s="57" t="s">
        <v>1352</v>
      </c>
      <c r="F1802" s="2" t="s">
        <v>1507</v>
      </c>
    </row>
    <row r="1803">
      <c r="A1803" s="55">
        <f t="shared" si="2"/>
        <v>1802</v>
      </c>
      <c r="B1803" s="56" t="s">
        <v>1508</v>
      </c>
      <c r="C1803" s="55" t="s">
        <v>30</v>
      </c>
      <c r="D1803" s="55">
        <v>1474.0</v>
      </c>
      <c r="E1803" s="57" t="s">
        <v>1352</v>
      </c>
      <c r="F1803" s="2" t="s">
        <v>1507</v>
      </c>
    </row>
    <row r="1804">
      <c r="A1804" s="55">
        <f t="shared" si="2"/>
        <v>1803</v>
      </c>
      <c r="B1804" s="56" t="s">
        <v>1508</v>
      </c>
      <c r="C1804" s="55" t="s">
        <v>29</v>
      </c>
      <c r="D1804" s="55">
        <v>1470.0</v>
      </c>
      <c r="E1804" s="57" t="s">
        <v>1352</v>
      </c>
      <c r="F1804" s="2" t="s">
        <v>1507</v>
      </c>
    </row>
    <row r="1805">
      <c r="A1805" s="55">
        <f t="shared" si="2"/>
        <v>1804</v>
      </c>
      <c r="B1805" s="56" t="s">
        <v>1508</v>
      </c>
      <c r="C1805" s="55" t="s">
        <v>26</v>
      </c>
      <c r="D1805" s="55">
        <v>1558.0</v>
      </c>
      <c r="E1805" s="57" t="s">
        <v>1352</v>
      </c>
      <c r="F1805" s="2" t="s">
        <v>1507</v>
      </c>
    </row>
    <row r="1806">
      <c r="A1806" s="55">
        <f t="shared" si="2"/>
        <v>1805</v>
      </c>
      <c r="B1806" s="56" t="s">
        <v>1513</v>
      </c>
      <c r="C1806" s="55" t="s">
        <v>58</v>
      </c>
      <c r="D1806" s="55">
        <v>1186.0</v>
      </c>
      <c r="E1806" s="57" t="s">
        <v>1352</v>
      </c>
      <c r="F1806" s="2" t="s">
        <v>1512</v>
      </c>
    </row>
    <row r="1807">
      <c r="A1807" s="55">
        <f t="shared" si="2"/>
        <v>1806</v>
      </c>
      <c r="B1807" s="56" t="s">
        <v>1513</v>
      </c>
      <c r="C1807" s="55" t="s">
        <v>30</v>
      </c>
      <c r="D1807" s="55">
        <v>1454.0</v>
      </c>
      <c r="E1807" s="57" t="s">
        <v>1352</v>
      </c>
      <c r="F1807" s="2" t="s">
        <v>1512</v>
      </c>
    </row>
    <row r="1808">
      <c r="A1808" s="55">
        <f t="shared" si="2"/>
        <v>1807</v>
      </c>
      <c r="B1808" s="56" t="s">
        <v>1513</v>
      </c>
      <c r="C1808" s="55" t="s">
        <v>27</v>
      </c>
      <c r="D1808" s="55">
        <v>1514.0</v>
      </c>
      <c r="E1808" s="57" t="s">
        <v>1352</v>
      </c>
      <c r="F1808" s="2" t="s">
        <v>1512</v>
      </c>
    </row>
    <row r="1809">
      <c r="A1809" s="55">
        <f t="shared" si="2"/>
        <v>1808</v>
      </c>
      <c r="B1809" s="56" t="s">
        <v>1513</v>
      </c>
      <c r="C1809" s="55" t="s">
        <v>36</v>
      </c>
      <c r="D1809" s="55">
        <v>1331.0</v>
      </c>
      <c r="E1809" s="57" t="s">
        <v>1352</v>
      </c>
      <c r="F1809" s="2" t="s">
        <v>1512</v>
      </c>
    </row>
    <row r="1810">
      <c r="A1810" s="55">
        <f t="shared" si="2"/>
        <v>1809</v>
      </c>
      <c r="B1810" s="56" t="s">
        <v>1513</v>
      </c>
      <c r="C1810" s="55" t="s">
        <v>24</v>
      </c>
      <c r="D1810" s="55">
        <v>1532.0</v>
      </c>
      <c r="E1810" s="57" t="s">
        <v>1352</v>
      </c>
      <c r="F1810" s="2" t="s">
        <v>1512</v>
      </c>
    </row>
    <row r="1811">
      <c r="A1811" s="55">
        <f t="shared" si="2"/>
        <v>1810</v>
      </c>
      <c r="B1811" s="56" t="s">
        <v>1513</v>
      </c>
      <c r="C1811" s="55" t="s">
        <v>26</v>
      </c>
      <c r="D1811" s="55">
        <v>1541.0</v>
      </c>
      <c r="E1811" s="57" t="s">
        <v>1352</v>
      </c>
      <c r="F1811" s="2" t="s">
        <v>1512</v>
      </c>
    </row>
    <row r="1812">
      <c r="A1812" s="55">
        <f t="shared" si="2"/>
        <v>1811</v>
      </c>
      <c r="B1812" s="56" t="s">
        <v>1513</v>
      </c>
      <c r="C1812" s="55" t="s">
        <v>42</v>
      </c>
      <c r="D1812" s="55">
        <v>1386.0</v>
      </c>
      <c r="E1812" s="57" t="s">
        <v>1352</v>
      </c>
      <c r="F1812" s="2" t="s">
        <v>1512</v>
      </c>
    </row>
    <row r="1813">
      <c r="A1813" s="55">
        <f t="shared" si="2"/>
        <v>1812</v>
      </c>
      <c r="B1813" s="56" t="s">
        <v>1518</v>
      </c>
      <c r="C1813" s="55" t="s">
        <v>24</v>
      </c>
      <c r="D1813" s="55">
        <v>1514.0</v>
      </c>
      <c r="E1813" s="57" t="s">
        <v>1352</v>
      </c>
      <c r="F1813" s="2" t="s">
        <v>1517</v>
      </c>
    </row>
    <row r="1814">
      <c r="A1814" s="55">
        <f t="shared" si="2"/>
        <v>1813</v>
      </c>
      <c r="B1814" s="56" t="s">
        <v>1518</v>
      </c>
      <c r="C1814" s="55" t="s">
        <v>42</v>
      </c>
      <c r="D1814" s="55">
        <v>1367.0</v>
      </c>
      <c r="E1814" s="57" t="s">
        <v>1352</v>
      </c>
      <c r="F1814" s="2" t="s">
        <v>1517</v>
      </c>
    </row>
    <row r="1815">
      <c r="A1815" s="55">
        <f t="shared" si="2"/>
        <v>1814</v>
      </c>
      <c r="B1815" s="56" t="s">
        <v>1518</v>
      </c>
      <c r="C1815" s="55" t="s">
        <v>58</v>
      </c>
      <c r="D1815" s="55">
        <v>1198.0</v>
      </c>
      <c r="E1815" s="57" t="s">
        <v>1352</v>
      </c>
      <c r="F1815" s="2" t="s">
        <v>1517</v>
      </c>
    </row>
    <row r="1816">
      <c r="A1816" s="55">
        <f t="shared" si="2"/>
        <v>1815</v>
      </c>
      <c r="B1816" s="56" t="s">
        <v>1518</v>
      </c>
      <c r="C1816" s="55" t="s">
        <v>30</v>
      </c>
      <c r="D1816" s="55">
        <v>1469.0</v>
      </c>
      <c r="E1816" s="57" t="s">
        <v>1352</v>
      </c>
      <c r="F1816" s="2" t="s">
        <v>1517</v>
      </c>
    </row>
    <row r="1817">
      <c r="A1817" s="55">
        <f t="shared" si="2"/>
        <v>1816</v>
      </c>
      <c r="B1817" s="56" t="s">
        <v>1518</v>
      </c>
      <c r="C1817" s="55" t="s">
        <v>26</v>
      </c>
      <c r="D1817" s="55">
        <v>1524.0</v>
      </c>
      <c r="E1817" s="57" t="s">
        <v>1352</v>
      </c>
      <c r="F1817" s="2" t="s">
        <v>1517</v>
      </c>
    </row>
    <row r="1818">
      <c r="A1818" s="55">
        <f t="shared" si="2"/>
        <v>1817</v>
      </c>
      <c r="B1818" s="56" t="s">
        <v>1518</v>
      </c>
      <c r="C1818" s="55" t="s">
        <v>27</v>
      </c>
      <c r="D1818" s="55">
        <v>1530.0</v>
      </c>
      <c r="E1818" s="57" t="s">
        <v>1352</v>
      </c>
      <c r="F1818" s="2" t="s">
        <v>1517</v>
      </c>
    </row>
    <row r="1819">
      <c r="A1819" s="55">
        <f t="shared" si="2"/>
        <v>1818</v>
      </c>
      <c r="B1819" s="56" t="s">
        <v>1518</v>
      </c>
      <c r="C1819" s="55" t="s">
        <v>36</v>
      </c>
      <c r="D1819" s="55">
        <v>1310.0</v>
      </c>
      <c r="E1819" s="57" t="s">
        <v>1352</v>
      </c>
      <c r="F1819" s="2" t="s">
        <v>1517</v>
      </c>
    </row>
    <row r="1820">
      <c r="A1820" s="55">
        <f t="shared" si="2"/>
        <v>1819</v>
      </c>
      <c r="B1820" s="56" t="s">
        <v>1522</v>
      </c>
      <c r="C1820" s="55" t="s">
        <v>36</v>
      </c>
      <c r="D1820" s="55">
        <v>1289.0</v>
      </c>
      <c r="E1820" s="57" t="s">
        <v>1352</v>
      </c>
      <c r="F1820" s="2" t="s">
        <v>1521</v>
      </c>
    </row>
    <row r="1821">
      <c r="A1821" s="55">
        <f t="shared" si="2"/>
        <v>1820</v>
      </c>
      <c r="B1821" s="56" t="s">
        <v>1522</v>
      </c>
      <c r="C1821" s="55" t="s">
        <v>58</v>
      </c>
      <c r="D1821" s="55">
        <v>1207.0</v>
      </c>
      <c r="E1821" s="57" t="s">
        <v>1352</v>
      </c>
      <c r="F1821" s="2" t="s">
        <v>1521</v>
      </c>
    </row>
    <row r="1822">
      <c r="A1822" s="55">
        <f t="shared" si="2"/>
        <v>1821</v>
      </c>
      <c r="B1822" s="56" t="s">
        <v>1522</v>
      </c>
      <c r="C1822" s="55" t="s">
        <v>30</v>
      </c>
      <c r="D1822" s="55">
        <v>1450.0</v>
      </c>
      <c r="E1822" s="57" t="s">
        <v>1352</v>
      </c>
      <c r="F1822" s="2" t="s">
        <v>1521</v>
      </c>
    </row>
    <row r="1823">
      <c r="A1823" s="55">
        <f t="shared" si="2"/>
        <v>1822</v>
      </c>
      <c r="B1823" s="56" t="s">
        <v>1522</v>
      </c>
      <c r="C1823" s="55" t="s">
        <v>26</v>
      </c>
      <c r="D1823" s="55">
        <v>1507.0</v>
      </c>
      <c r="E1823" s="57" t="s">
        <v>1352</v>
      </c>
      <c r="F1823" s="2" t="s">
        <v>1521</v>
      </c>
    </row>
    <row r="1824">
      <c r="A1824" s="55">
        <f t="shared" si="2"/>
        <v>1823</v>
      </c>
      <c r="B1824" s="56" t="s">
        <v>1522</v>
      </c>
      <c r="C1824" s="55" t="s">
        <v>42</v>
      </c>
      <c r="D1824" s="55">
        <v>1377.0</v>
      </c>
      <c r="E1824" s="57" t="s">
        <v>1352</v>
      </c>
      <c r="F1824" s="2" t="s">
        <v>1521</v>
      </c>
    </row>
    <row r="1825">
      <c r="A1825" s="55">
        <f t="shared" si="2"/>
        <v>1824</v>
      </c>
      <c r="B1825" s="56" t="s">
        <v>1522</v>
      </c>
      <c r="C1825" s="55" t="s">
        <v>24</v>
      </c>
      <c r="D1825" s="55">
        <v>1525.0</v>
      </c>
      <c r="E1825" s="57" t="s">
        <v>1352</v>
      </c>
      <c r="F1825" s="2" t="s">
        <v>1521</v>
      </c>
    </row>
    <row r="1826">
      <c r="A1826" s="55">
        <f t="shared" si="2"/>
        <v>1825</v>
      </c>
      <c r="B1826" s="56" t="s">
        <v>1522</v>
      </c>
      <c r="C1826" s="55" t="s">
        <v>27</v>
      </c>
      <c r="D1826" s="55">
        <v>1516.0</v>
      </c>
      <c r="E1826" s="57" t="s">
        <v>1352</v>
      </c>
      <c r="F1826" s="2" t="s">
        <v>1521</v>
      </c>
    </row>
    <row r="1827">
      <c r="A1827" s="55">
        <f t="shared" si="2"/>
        <v>1826</v>
      </c>
      <c r="B1827" s="56" t="s">
        <v>1526</v>
      </c>
      <c r="C1827" s="55" t="s">
        <v>26</v>
      </c>
      <c r="D1827" s="55">
        <v>1491.0</v>
      </c>
      <c r="E1827" s="57" t="s">
        <v>1352</v>
      </c>
      <c r="F1827" s="2" t="s">
        <v>1525</v>
      </c>
    </row>
    <row r="1828">
      <c r="A1828" s="55">
        <f t="shared" si="2"/>
        <v>1827</v>
      </c>
      <c r="B1828" s="56" t="s">
        <v>1526</v>
      </c>
      <c r="C1828" s="55" t="s">
        <v>27</v>
      </c>
      <c r="D1828" s="55">
        <v>1503.0</v>
      </c>
      <c r="E1828" s="57" t="s">
        <v>1352</v>
      </c>
      <c r="F1828" s="2" t="s">
        <v>1525</v>
      </c>
    </row>
    <row r="1829">
      <c r="A1829" s="55">
        <f t="shared" si="2"/>
        <v>1828</v>
      </c>
      <c r="B1829" s="56" t="s">
        <v>1526</v>
      </c>
      <c r="C1829" s="55" t="s">
        <v>36</v>
      </c>
      <c r="D1829" s="55">
        <v>1298.0</v>
      </c>
      <c r="E1829" s="57" t="s">
        <v>1352</v>
      </c>
      <c r="F1829" s="2" t="s">
        <v>1525</v>
      </c>
    </row>
    <row r="1830">
      <c r="A1830" s="55">
        <f t="shared" si="2"/>
        <v>1829</v>
      </c>
      <c r="B1830" s="56" t="s">
        <v>1526</v>
      </c>
      <c r="C1830" s="55" t="s">
        <v>30</v>
      </c>
      <c r="D1830" s="55">
        <v>1461.0</v>
      </c>
      <c r="E1830" s="57" t="s">
        <v>1352</v>
      </c>
      <c r="F1830" s="2" t="s">
        <v>1525</v>
      </c>
    </row>
    <row r="1831">
      <c r="A1831" s="55">
        <f t="shared" si="2"/>
        <v>1830</v>
      </c>
      <c r="B1831" s="56" t="s">
        <v>1526</v>
      </c>
      <c r="C1831" s="55" t="s">
        <v>24</v>
      </c>
      <c r="D1831" s="55">
        <v>1509.0</v>
      </c>
      <c r="E1831" s="57" t="s">
        <v>1352</v>
      </c>
      <c r="F1831" s="2" t="s">
        <v>1525</v>
      </c>
    </row>
    <row r="1832">
      <c r="A1832" s="55">
        <f t="shared" si="2"/>
        <v>1831</v>
      </c>
      <c r="B1832" s="56" t="s">
        <v>1526</v>
      </c>
      <c r="C1832" s="55" t="s">
        <v>58</v>
      </c>
      <c r="D1832" s="55">
        <v>1216.0</v>
      </c>
      <c r="E1832" s="57" t="s">
        <v>1352</v>
      </c>
      <c r="F1832" s="2" t="s">
        <v>1525</v>
      </c>
    </row>
    <row r="1833">
      <c r="A1833" s="55">
        <f t="shared" si="2"/>
        <v>1832</v>
      </c>
      <c r="B1833" s="56" t="s">
        <v>1526</v>
      </c>
      <c r="C1833" s="55" t="s">
        <v>42</v>
      </c>
      <c r="D1833" s="55">
        <v>1359.0</v>
      </c>
      <c r="E1833" s="57" t="s">
        <v>1352</v>
      </c>
      <c r="F1833" s="2" t="s">
        <v>1525</v>
      </c>
    </row>
    <row r="1834">
      <c r="A1834" s="55">
        <f t="shared" si="2"/>
        <v>1833</v>
      </c>
      <c r="B1834" s="56" t="s">
        <v>1530</v>
      </c>
      <c r="C1834" s="55" t="s">
        <v>30</v>
      </c>
      <c r="D1834" s="55">
        <v>1439.0</v>
      </c>
      <c r="E1834" s="57" t="s">
        <v>1352</v>
      </c>
      <c r="F1834" s="2" t="s">
        <v>1529</v>
      </c>
    </row>
    <row r="1835">
      <c r="A1835" s="55">
        <f t="shared" si="2"/>
        <v>1834</v>
      </c>
      <c r="B1835" s="56" t="s">
        <v>1530</v>
      </c>
      <c r="C1835" s="55" t="s">
        <v>24</v>
      </c>
      <c r="D1835" s="55">
        <v>1489.0</v>
      </c>
      <c r="E1835" s="57" t="s">
        <v>1352</v>
      </c>
      <c r="F1835" s="2" t="s">
        <v>1529</v>
      </c>
    </row>
    <row r="1836">
      <c r="A1836" s="55">
        <f t="shared" si="2"/>
        <v>1835</v>
      </c>
      <c r="B1836" s="56" t="s">
        <v>1530</v>
      </c>
      <c r="C1836" s="55" t="s">
        <v>31</v>
      </c>
      <c r="D1836" s="55">
        <v>1506.0</v>
      </c>
      <c r="E1836" s="57" t="s">
        <v>1352</v>
      </c>
      <c r="F1836" s="2" t="s">
        <v>1529</v>
      </c>
    </row>
    <row r="1837">
      <c r="A1837" s="55">
        <f t="shared" si="2"/>
        <v>1836</v>
      </c>
      <c r="B1837" s="56" t="s">
        <v>1530</v>
      </c>
      <c r="C1837" s="55" t="s">
        <v>58</v>
      </c>
      <c r="D1837" s="55">
        <v>1190.0</v>
      </c>
      <c r="E1837" s="57" t="s">
        <v>1352</v>
      </c>
      <c r="F1837" s="2" t="s">
        <v>1529</v>
      </c>
    </row>
    <row r="1838">
      <c r="A1838" s="55">
        <f t="shared" si="2"/>
        <v>1837</v>
      </c>
      <c r="B1838" s="56" t="s">
        <v>1530</v>
      </c>
      <c r="C1838" s="55" t="s">
        <v>27</v>
      </c>
      <c r="D1838" s="55">
        <v>1515.0</v>
      </c>
      <c r="E1838" s="57" t="s">
        <v>1352</v>
      </c>
      <c r="F1838" s="2" t="s">
        <v>1529</v>
      </c>
    </row>
    <row r="1839">
      <c r="A1839" s="55">
        <f t="shared" si="2"/>
        <v>1838</v>
      </c>
      <c r="B1839" s="56" t="s">
        <v>1530</v>
      </c>
      <c r="C1839" s="55" t="s">
        <v>42</v>
      </c>
      <c r="D1839" s="55">
        <v>1338.0</v>
      </c>
      <c r="E1839" s="57" t="s">
        <v>1352</v>
      </c>
      <c r="F1839" s="2" t="s">
        <v>1529</v>
      </c>
    </row>
    <row r="1840">
      <c r="A1840" s="55">
        <f t="shared" si="2"/>
        <v>1839</v>
      </c>
      <c r="B1840" s="56" t="s">
        <v>1535</v>
      </c>
      <c r="C1840" s="55" t="s">
        <v>31</v>
      </c>
      <c r="D1840" s="55">
        <v>1523.0</v>
      </c>
      <c r="E1840" s="57" t="s">
        <v>1352</v>
      </c>
      <c r="F1840" s="2" t="s">
        <v>1534</v>
      </c>
    </row>
    <row r="1841">
      <c r="A1841" s="55">
        <f t="shared" si="2"/>
        <v>1840</v>
      </c>
      <c r="B1841" s="56" t="s">
        <v>1535</v>
      </c>
      <c r="C1841" s="55" t="s">
        <v>30</v>
      </c>
      <c r="D1841" s="55">
        <v>1456.0</v>
      </c>
      <c r="E1841" s="57" t="s">
        <v>1352</v>
      </c>
      <c r="F1841" s="2" t="s">
        <v>1534</v>
      </c>
    </row>
    <row r="1842">
      <c r="A1842" s="55">
        <f t="shared" si="2"/>
        <v>1841</v>
      </c>
      <c r="B1842" s="56" t="s">
        <v>1535</v>
      </c>
      <c r="C1842" s="55" t="s">
        <v>24</v>
      </c>
      <c r="D1842" s="55">
        <v>1506.0</v>
      </c>
      <c r="E1842" s="57" t="s">
        <v>1352</v>
      </c>
      <c r="F1842" s="2" t="s">
        <v>1534</v>
      </c>
    </row>
    <row r="1843">
      <c r="A1843" s="55">
        <f t="shared" si="2"/>
        <v>1842</v>
      </c>
      <c r="B1843" s="56" t="s">
        <v>1535</v>
      </c>
      <c r="C1843" s="55" t="s">
        <v>58</v>
      </c>
      <c r="D1843" s="55">
        <v>1204.0</v>
      </c>
      <c r="E1843" s="57" t="s">
        <v>1352</v>
      </c>
      <c r="F1843" s="2" t="s">
        <v>1534</v>
      </c>
    </row>
    <row r="1844">
      <c r="A1844" s="55">
        <f t="shared" si="2"/>
        <v>1843</v>
      </c>
      <c r="B1844" s="56" t="s">
        <v>1535</v>
      </c>
      <c r="C1844" s="55" t="s">
        <v>42</v>
      </c>
      <c r="D1844" s="55">
        <v>1314.0</v>
      </c>
      <c r="E1844" s="57" t="s">
        <v>1352</v>
      </c>
      <c r="F1844" s="2" t="s">
        <v>1534</v>
      </c>
    </row>
    <row r="1845">
      <c r="A1845" s="55">
        <f t="shared" si="2"/>
        <v>1844</v>
      </c>
      <c r="B1845" s="56" t="s">
        <v>1535</v>
      </c>
      <c r="C1845" s="55" t="s">
        <v>27</v>
      </c>
      <c r="D1845" s="55">
        <v>1497.0</v>
      </c>
      <c r="E1845" s="57" t="s">
        <v>1352</v>
      </c>
      <c r="F1845" s="2" t="s">
        <v>1534</v>
      </c>
    </row>
    <row r="1846">
      <c r="A1846" s="55">
        <f t="shared" si="2"/>
        <v>1845</v>
      </c>
      <c r="B1846" s="56" t="s">
        <v>1539</v>
      </c>
      <c r="C1846" s="55" t="s">
        <v>30</v>
      </c>
      <c r="D1846" s="55">
        <v>1476.0</v>
      </c>
      <c r="E1846" s="57" t="s">
        <v>1352</v>
      </c>
      <c r="F1846" s="2" t="s">
        <v>1538</v>
      </c>
    </row>
    <row r="1847">
      <c r="A1847" s="55">
        <f t="shared" si="2"/>
        <v>1846</v>
      </c>
      <c r="B1847" s="56" t="s">
        <v>1539</v>
      </c>
      <c r="C1847" s="55" t="s">
        <v>58</v>
      </c>
      <c r="D1847" s="55">
        <v>1180.0</v>
      </c>
      <c r="E1847" s="57" t="s">
        <v>1352</v>
      </c>
      <c r="F1847" s="2" t="s">
        <v>1538</v>
      </c>
    </row>
    <row r="1848">
      <c r="A1848" s="55">
        <f t="shared" si="2"/>
        <v>1847</v>
      </c>
      <c r="B1848" s="56" t="s">
        <v>1539</v>
      </c>
      <c r="C1848" s="55" t="s">
        <v>24</v>
      </c>
      <c r="D1848" s="55">
        <v>1489.0</v>
      </c>
      <c r="E1848" s="57" t="s">
        <v>1352</v>
      </c>
      <c r="F1848" s="2" t="s">
        <v>1538</v>
      </c>
    </row>
    <row r="1849">
      <c r="A1849" s="55">
        <f t="shared" si="2"/>
        <v>1848</v>
      </c>
      <c r="B1849" s="56" t="s">
        <v>1539</v>
      </c>
      <c r="C1849" s="55" t="s">
        <v>27</v>
      </c>
      <c r="D1849" s="55">
        <v>1482.0</v>
      </c>
      <c r="E1849" s="57" t="s">
        <v>1352</v>
      </c>
      <c r="F1849" s="2" t="s">
        <v>1538</v>
      </c>
    </row>
    <row r="1850">
      <c r="A1850" s="55">
        <f t="shared" si="2"/>
        <v>1849</v>
      </c>
      <c r="B1850" s="56" t="s">
        <v>1539</v>
      </c>
      <c r="C1850" s="55" t="s">
        <v>31</v>
      </c>
      <c r="D1850" s="55">
        <v>1544.0</v>
      </c>
      <c r="E1850" s="57" t="s">
        <v>1352</v>
      </c>
      <c r="F1850" s="2" t="s">
        <v>1538</v>
      </c>
    </row>
    <row r="1851">
      <c r="A1851" s="55">
        <f t="shared" si="2"/>
        <v>1850</v>
      </c>
      <c r="B1851" s="56" t="s">
        <v>1539</v>
      </c>
      <c r="C1851" s="55" t="s">
        <v>42</v>
      </c>
      <c r="D1851" s="55">
        <v>1293.0</v>
      </c>
      <c r="E1851" s="57" t="s">
        <v>1352</v>
      </c>
      <c r="F1851" s="2" t="s">
        <v>1538</v>
      </c>
    </row>
    <row r="1852">
      <c r="A1852" s="55">
        <f t="shared" si="2"/>
        <v>1851</v>
      </c>
      <c r="B1852" s="56" t="s">
        <v>1543</v>
      </c>
      <c r="C1852" s="55" t="s">
        <v>34</v>
      </c>
      <c r="D1852" s="55">
        <v>958.0</v>
      </c>
      <c r="E1852" s="57" t="s">
        <v>1352</v>
      </c>
      <c r="F1852" s="2" t="s">
        <v>1542</v>
      </c>
    </row>
    <row r="1853">
      <c r="A1853" s="55">
        <f t="shared" si="2"/>
        <v>1852</v>
      </c>
      <c r="B1853" s="56" t="s">
        <v>1543</v>
      </c>
      <c r="C1853" s="55" t="s">
        <v>60</v>
      </c>
      <c r="D1853" s="55">
        <v>1152.0</v>
      </c>
      <c r="E1853" s="57" t="s">
        <v>1352</v>
      </c>
      <c r="F1853" s="2" t="s">
        <v>1542</v>
      </c>
    </row>
    <row r="1854">
      <c r="A1854" s="55">
        <f t="shared" si="2"/>
        <v>1853</v>
      </c>
      <c r="B1854" s="56" t="s">
        <v>1543</v>
      </c>
      <c r="C1854" s="55" t="s">
        <v>27</v>
      </c>
      <c r="D1854" s="55">
        <v>1466.0</v>
      </c>
      <c r="E1854" s="57" t="s">
        <v>1352</v>
      </c>
      <c r="F1854" s="2" t="s">
        <v>1542</v>
      </c>
    </row>
    <row r="1855">
      <c r="A1855" s="55">
        <f t="shared" si="2"/>
        <v>1854</v>
      </c>
      <c r="B1855" s="56" t="s">
        <v>1543</v>
      </c>
      <c r="C1855" s="55" t="s">
        <v>30</v>
      </c>
      <c r="D1855" s="55">
        <v>1488.0</v>
      </c>
      <c r="E1855" s="57" t="s">
        <v>1352</v>
      </c>
      <c r="F1855" s="2" t="s">
        <v>1542</v>
      </c>
    </row>
    <row r="1856">
      <c r="A1856" s="55">
        <f t="shared" si="2"/>
        <v>1855</v>
      </c>
      <c r="B1856" s="56" t="s">
        <v>1543</v>
      </c>
      <c r="C1856" s="55" t="s">
        <v>50</v>
      </c>
      <c r="D1856" s="55">
        <v>1287.0</v>
      </c>
      <c r="E1856" s="57" t="s">
        <v>1352</v>
      </c>
      <c r="F1856" s="2" t="s">
        <v>1542</v>
      </c>
    </row>
    <row r="1857">
      <c r="A1857" s="55">
        <f t="shared" si="2"/>
        <v>1856</v>
      </c>
      <c r="B1857" s="56" t="s">
        <v>1543</v>
      </c>
      <c r="C1857" s="55" t="s">
        <v>26</v>
      </c>
      <c r="D1857" s="55">
        <v>1503.0</v>
      </c>
      <c r="E1857" s="57" t="s">
        <v>1352</v>
      </c>
      <c r="F1857" s="2" t="s">
        <v>1542</v>
      </c>
    </row>
    <row r="1858">
      <c r="A1858" s="55">
        <f t="shared" si="2"/>
        <v>1857</v>
      </c>
      <c r="B1858" s="56" t="s">
        <v>1548</v>
      </c>
      <c r="C1858" s="55" t="s">
        <v>60</v>
      </c>
      <c r="D1858" s="55">
        <v>1166.0</v>
      </c>
      <c r="E1858" s="57" t="s">
        <v>1352</v>
      </c>
      <c r="F1858" s="2" t="s">
        <v>1547</v>
      </c>
    </row>
    <row r="1859">
      <c r="A1859" s="55">
        <f t="shared" si="2"/>
        <v>1858</v>
      </c>
      <c r="B1859" s="56" t="s">
        <v>1548</v>
      </c>
      <c r="C1859" s="55" t="s">
        <v>27</v>
      </c>
      <c r="D1859" s="55">
        <v>1483.0</v>
      </c>
      <c r="E1859" s="57" t="s">
        <v>1352</v>
      </c>
      <c r="F1859" s="2" t="s">
        <v>1547</v>
      </c>
    </row>
    <row r="1860">
      <c r="A1860" s="55">
        <f t="shared" si="2"/>
        <v>1859</v>
      </c>
      <c r="B1860" s="56" t="s">
        <v>1548</v>
      </c>
      <c r="C1860" s="55" t="s">
        <v>50</v>
      </c>
      <c r="D1860" s="55">
        <v>1266.0</v>
      </c>
      <c r="E1860" s="57" t="s">
        <v>1352</v>
      </c>
      <c r="F1860" s="2" t="s">
        <v>1547</v>
      </c>
    </row>
    <row r="1861">
      <c r="A1861" s="55">
        <f t="shared" si="2"/>
        <v>1860</v>
      </c>
      <c r="B1861" s="56" t="s">
        <v>1548</v>
      </c>
      <c r="C1861" s="55" t="s">
        <v>30</v>
      </c>
      <c r="D1861" s="55">
        <v>1505.0</v>
      </c>
      <c r="E1861" s="57" t="s">
        <v>1352</v>
      </c>
      <c r="F1861" s="2" t="s">
        <v>1547</v>
      </c>
    </row>
    <row r="1862">
      <c r="A1862" s="55">
        <f t="shared" si="2"/>
        <v>1861</v>
      </c>
      <c r="B1862" s="56" t="s">
        <v>1548</v>
      </c>
      <c r="C1862" s="55" t="s">
        <v>34</v>
      </c>
      <c r="D1862" s="55">
        <v>969.0</v>
      </c>
      <c r="E1862" s="57" t="s">
        <v>1352</v>
      </c>
      <c r="F1862" s="2" t="s">
        <v>1547</v>
      </c>
    </row>
    <row r="1863">
      <c r="A1863" s="55">
        <f t="shared" si="2"/>
        <v>1862</v>
      </c>
      <c r="B1863" s="56" t="s">
        <v>1548</v>
      </c>
      <c r="C1863" s="55" t="s">
        <v>26</v>
      </c>
      <c r="D1863" s="55">
        <v>1486.0</v>
      </c>
      <c r="E1863" s="57" t="s">
        <v>1352</v>
      </c>
      <c r="F1863" s="2" t="s">
        <v>1547</v>
      </c>
    </row>
    <row r="1864">
      <c r="A1864" s="55">
        <f t="shared" si="2"/>
        <v>1863</v>
      </c>
      <c r="B1864" s="56" t="s">
        <v>9610</v>
      </c>
      <c r="C1864" s="55" t="s">
        <v>60</v>
      </c>
      <c r="D1864" s="55">
        <v>1166.0</v>
      </c>
      <c r="E1864" s="57" t="s">
        <v>1352</v>
      </c>
      <c r="F1864" s="2" t="s">
        <v>9611</v>
      </c>
    </row>
    <row r="1865">
      <c r="A1865" s="55">
        <f t="shared" si="2"/>
        <v>1864</v>
      </c>
      <c r="B1865" s="56" t="s">
        <v>9610</v>
      </c>
      <c r="C1865" s="55" t="s">
        <v>27</v>
      </c>
      <c r="D1865" s="55">
        <v>1483.0</v>
      </c>
      <c r="E1865" s="57" t="s">
        <v>1352</v>
      </c>
      <c r="F1865" s="2" t="s">
        <v>9611</v>
      </c>
    </row>
    <row r="1866">
      <c r="A1866" s="55">
        <f t="shared" si="2"/>
        <v>1865</v>
      </c>
      <c r="B1866" s="56" t="s">
        <v>9610</v>
      </c>
      <c r="C1866" s="55" t="s">
        <v>50</v>
      </c>
      <c r="D1866" s="55">
        <v>1266.0</v>
      </c>
      <c r="E1866" s="57" t="s">
        <v>1352</v>
      </c>
      <c r="F1866" s="2" t="s">
        <v>9611</v>
      </c>
    </row>
    <row r="1867">
      <c r="A1867" s="55">
        <f t="shared" si="2"/>
        <v>1866</v>
      </c>
      <c r="B1867" s="56" t="s">
        <v>9610</v>
      </c>
      <c r="C1867" s="55" t="s">
        <v>30</v>
      </c>
      <c r="D1867" s="55">
        <v>1505.0</v>
      </c>
      <c r="E1867" s="57" t="s">
        <v>1352</v>
      </c>
      <c r="F1867" s="2" t="s">
        <v>9611</v>
      </c>
    </row>
    <row r="1868">
      <c r="A1868" s="55">
        <f t="shared" si="2"/>
        <v>1867</v>
      </c>
      <c r="B1868" s="56" t="s">
        <v>9610</v>
      </c>
      <c r="C1868" s="55" t="s">
        <v>34</v>
      </c>
      <c r="D1868" s="55">
        <v>969.0</v>
      </c>
      <c r="E1868" s="57" t="s">
        <v>1352</v>
      </c>
      <c r="F1868" s="2" t="s">
        <v>9611</v>
      </c>
    </row>
    <row r="1869">
      <c r="A1869" s="55">
        <f t="shared" si="2"/>
        <v>1868</v>
      </c>
      <c r="B1869" s="56" t="s">
        <v>9610</v>
      </c>
      <c r="C1869" s="55" t="s">
        <v>26</v>
      </c>
      <c r="D1869" s="55">
        <v>1486.0</v>
      </c>
      <c r="E1869" s="57" t="s">
        <v>1352</v>
      </c>
      <c r="F1869" s="2" t="s">
        <v>9611</v>
      </c>
    </row>
    <row r="1870">
      <c r="A1870" s="55">
        <f t="shared" si="2"/>
        <v>1869</v>
      </c>
      <c r="B1870" s="56" t="s">
        <v>9612</v>
      </c>
      <c r="C1870" s="55" t="s">
        <v>60</v>
      </c>
      <c r="D1870" s="55">
        <v>1170.0</v>
      </c>
      <c r="E1870" s="57" t="s">
        <v>1352</v>
      </c>
      <c r="F1870" s="2" t="s">
        <v>9613</v>
      </c>
    </row>
    <row r="1871">
      <c r="A1871" s="55">
        <f t="shared" si="2"/>
        <v>1870</v>
      </c>
      <c r="B1871" s="56" t="s">
        <v>9612</v>
      </c>
      <c r="C1871" s="55" t="s">
        <v>27</v>
      </c>
      <c r="D1871" s="55">
        <v>1487.0</v>
      </c>
      <c r="E1871" s="57" t="s">
        <v>1352</v>
      </c>
      <c r="F1871" s="2" t="s">
        <v>9613</v>
      </c>
    </row>
    <row r="1872">
      <c r="A1872" s="55">
        <f t="shared" si="2"/>
        <v>1871</v>
      </c>
      <c r="B1872" s="56" t="s">
        <v>9612</v>
      </c>
      <c r="C1872" s="55" t="s">
        <v>50</v>
      </c>
      <c r="D1872" s="55">
        <v>1270.0</v>
      </c>
      <c r="E1872" s="57" t="s">
        <v>1352</v>
      </c>
      <c r="F1872" s="2" t="s">
        <v>9613</v>
      </c>
    </row>
    <row r="1873">
      <c r="A1873" s="55">
        <f t="shared" si="2"/>
        <v>1872</v>
      </c>
      <c r="B1873" s="56" t="s">
        <v>9612</v>
      </c>
      <c r="C1873" s="55" t="s">
        <v>30</v>
      </c>
      <c r="D1873" s="55">
        <v>1505.0</v>
      </c>
      <c r="E1873" s="57" t="s">
        <v>1352</v>
      </c>
      <c r="F1873" s="2" t="s">
        <v>9613</v>
      </c>
    </row>
    <row r="1874">
      <c r="A1874" s="55">
        <f t="shared" si="2"/>
        <v>1873</v>
      </c>
      <c r="B1874" s="56" t="s">
        <v>9612</v>
      </c>
      <c r="C1874" s="55" t="s">
        <v>34</v>
      </c>
      <c r="D1874" s="55">
        <v>969.0</v>
      </c>
      <c r="E1874" s="57" t="s">
        <v>1352</v>
      </c>
      <c r="F1874" s="2" t="s">
        <v>9613</v>
      </c>
    </row>
    <row r="1875">
      <c r="A1875" s="55">
        <f t="shared" si="2"/>
        <v>1874</v>
      </c>
      <c r="B1875" s="56" t="s">
        <v>9612</v>
      </c>
      <c r="C1875" s="55" t="s">
        <v>26</v>
      </c>
      <c r="D1875" s="55">
        <v>1486.0</v>
      </c>
      <c r="E1875" s="57" t="s">
        <v>1352</v>
      </c>
      <c r="F1875" s="2" t="s">
        <v>9613</v>
      </c>
    </row>
    <row r="1876">
      <c r="A1876" s="55">
        <f t="shared" si="2"/>
        <v>1875</v>
      </c>
      <c r="B1876" s="56" t="s">
        <v>1552</v>
      </c>
      <c r="C1876" s="55" t="s">
        <v>34</v>
      </c>
      <c r="D1876" s="55">
        <v>933.0</v>
      </c>
      <c r="E1876" s="57" t="s">
        <v>1352</v>
      </c>
      <c r="F1876" s="2" t="s">
        <v>1551</v>
      </c>
    </row>
    <row r="1877">
      <c r="A1877" s="55">
        <f t="shared" si="2"/>
        <v>1876</v>
      </c>
      <c r="B1877" s="56" t="s">
        <v>1552</v>
      </c>
      <c r="C1877" s="55" t="s">
        <v>60</v>
      </c>
      <c r="D1877" s="55">
        <v>1180.0</v>
      </c>
      <c r="E1877" s="57" t="s">
        <v>1352</v>
      </c>
      <c r="F1877" s="2" t="s">
        <v>1551</v>
      </c>
    </row>
    <row r="1878">
      <c r="A1878" s="55">
        <f t="shared" si="2"/>
        <v>1877</v>
      </c>
      <c r="B1878" s="56" t="s">
        <v>1552</v>
      </c>
      <c r="C1878" s="55" t="s">
        <v>27</v>
      </c>
      <c r="D1878" s="55">
        <v>1500.0</v>
      </c>
      <c r="E1878" s="57" t="s">
        <v>1352</v>
      </c>
      <c r="F1878" s="2" t="s">
        <v>1551</v>
      </c>
    </row>
    <row r="1879">
      <c r="A1879" s="55">
        <f t="shared" si="2"/>
        <v>1878</v>
      </c>
      <c r="B1879" s="56" t="s">
        <v>1552</v>
      </c>
      <c r="C1879" s="55" t="s">
        <v>50</v>
      </c>
      <c r="D1879" s="55">
        <v>1281.0</v>
      </c>
      <c r="E1879" s="57" t="s">
        <v>1352</v>
      </c>
      <c r="F1879" s="2" t="s">
        <v>1551</v>
      </c>
    </row>
    <row r="1880">
      <c r="A1880" s="55">
        <f t="shared" si="2"/>
        <v>1879</v>
      </c>
      <c r="B1880" s="56" t="s">
        <v>1552</v>
      </c>
      <c r="C1880" s="55" t="s">
        <v>26</v>
      </c>
      <c r="D1880" s="55">
        <v>1469.0</v>
      </c>
      <c r="E1880" s="57" t="s">
        <v>1352</v>
      </c>
      <c r="F1880" s="2" t="s">
        <v>1551</v>
      </c>
    </row>
    <row r="1881">
      <c r="A1881" s="55">
        <f t="shared" si="2"/>
        <v>1880</v>
      </c>
      <c r="B1881" s="56" t="s">
        <v>1552</v>
      </c>
      <c r="C1881" s="55" t="s">
        <v>30</v>
      </c>
      <c r="D1881" s="55">
        <v>1492.0</v>
      </c>
      <c r="E1881" s="57" t="s">
        <v>1352</v>
      </c>
      <c r="F1881" s="2" t="s">
        <v>1551</v>
      </c>
    </row>
    <row r="1882">
      <c r="A1882" s="55">
        <f t="shared" si="2"/>
        <v>1881</v>
      </c>
      <c r="B1882" s="56" t="s">
        <v>1557</v>
      </c>
      <c r="C1882" s="55" t="s">
        <v>30</v>
      </c>
      <c r="D1882" s="55">
        <v>1480.0</v>
      </c>
      <c r="E1882" s="57" t="s">
        <v>1352</v>
      </c>
      <c r="F1882" s="2" t="s">
        <v>1556</v>
      </c>
    </row>
    <row r="1883">
      <c r="A1883" s="55">
        <f t="shared" si="2"/>
        <v>1882</v>
      </c>
      <c r="B1883" s="56" t="s">
        <v>1557</v>
      </c>
      <c r="C1883" s="55" t="s">
        <v>34</v>
      </c>
      <c r="D1883" s="55">
        <v>941.0</v>
      </c>
      <c r="E1883" s="57" t="s">
        <v>1352</v>
      </c>
      <c r="F1883" s="2" t="s">
        <v>1556</v>
      </c>
    </row>
    <row r="1884">
      <c r="A1884" s="55">
        <f t="shared" si="2"/>
        <v>1883</v>
      </c>
      <c r="B1884" s="56" t="s">
        <v>1557</v>
      </c>
      <c r="C1884" s="55" t="s">
        <v>26</v>
      </c>
      <c r="D1884" s="55">
        <v>1454.0</v>
      </c>
      <c r="E1884" s="57" t="s">
        <v>1352</v>
      </c>
      <c r="F1884" s="2" t="s">
        <v>1556</v>
      </c>
    </row>
    <row r="1885">
      <c r="A1885" s="55">
        <f t="shared" si="2"/>
        <v>1884</v>
      </c>
      <c r="B1885" s="56" t="s">
        <v>1557</v>
      </c>
      <c r="C1885" s="55" t="s">
        <v>27</v>
      </c>
      <c r="D1885" s="55">
        <v>1512.0</v>
      </c>
      <c r="E1885" s="57" t="s">
        <v>1352</v>
      </c>
      <c r="F1885" s="2" t="s">
        <v>1556</v>
      </c>
    </row>
    <row r="1886">
      <c r="A1886" s="55">
        <f t="shared" si="2"/>
        <v>1885</v>
      </c>
      <c r="B1886" s="56" t="s">
        <v>1557</v>
      </c>
      <c r="C1886" s="55" t="s">
        <v>50</v>
      </c>
      <c r="D1886" s="55">
        <v>1263.0</v>
      </c>
      <c r="E1886" s="57" t="s">
        <v>1352</v>
      </c>
      <c r="F1886" s="2" t="s">
        <v>1556</v>
      </c>
    </row>
    <row r="1887">
      <c r="A1887" s="55">
        <f t="shared" si="2"/>
        <v>1886</v>
      </c>
      <c r="B1887" s="56" t="s">
        <v>1561</v>
      </c>
      <c r="C1887" s="55" t="s">
        <v>34</v>
      </c>
      <c r="D1887" s="55">
        <v>955.0</v>
      </c>
      <c r="E1887" s="57" t="s">
        <v>1352</v>
      </c>
      <c r="F1887" s="2" t="s">
        <v>1560</v>
      </c>
    </row>
    <row r="1888">
      <c r="A1888" s="55">
        <f t="shared" si="2"/>
        <v>1887</v>
      </c>
      <c r="B1888" s="56" t="s">
        <v>1561</v>
      </c>
      <c r="C1888" s="55" t="s">
        <v>27</v>
      </c>
      <c r="D1888" s="55">
        <v>1498.0</v>
      </c>
      <c r="E1888" s="57" t="s">
        <v>1352</v>
      </c>
      <c r="F1888" s="2" t="s">
        <v>1560</v>
      </c>
    </row>
    <row r="1889">
      <c r="A1889" s="55">
        <f t="shared" si="2"/>
        <v>1888</v>
      </c>
      <c r="B1889" s="56" t="s">
        <v>1561</v>
      </c>
      <c r="C1889" s="55" t="s">
        <v>26</v>
      </c>
      <c r="D1889" s="55">
        <v>1475.0</v>
      </c>
      <c r="E1889" s="57" t="s">
        <v>1352</v>
      </c>
      <c r="F1889" s="2" t="s">
        <v>1560</v>
      </c>
    </row>
    <row r="1890">
      <c r="A1890" s="55">
        <f t="shared" si="2"/>
        <v>1889</v>
      </c>
      <c r="B1890" s="56" t="s">
        <v>1561</v>
      </c>
      <c r="C1890" s="55" t="s">
        <v>50</v>
      </c>
      <c r="D1890" s="55">
        <v>1241.0</v>
      </c>
      <c r="E1890" s="57" t="s">
        <v>1352</v>
      </c>
      <c r="F1890" s="2" t="s">
        <v>1560</v>
      </c>
    </row>
    <row r="1891">
      <c r="A1891" s="55">
        <f t="shared" si="2"/>
        <v>1890</v>
      </c>
      <c r="B1891" s="56" t="s">
        <v>1561</v>
      </c>
      <c r="C1891" s="55" t="s">
        <v>30</v>
      </c>
      <c r="D1891" s="55">
        <v>1502.0</v>
      </c>
      <c r="E1891" s="57" t="s">
        <v>1352</v>
      </c>
      <c r="F1891" s="2" t="s">
        <v>1560</v>
      </c>
    </row>
    <row r="1892">
      <c r="A1892" s="55">
        <f t="shared" si="2"/>
        <v>1891</v>
      </c>
      <c r="B1892" s="56" t="s">
        <v>1566</v>
      </c>
      <c r="C1892" s="55" t="s">
        <v>36</v>
      </c>
      <c r="D1892" s="55">
        <v>1308.0</v>
      </c>
      <c r="E1892" s="57" t="s">
        <v>1352</v>
      </c>
      <c r="F1892" s="2" t="s">
        <v>1565</v>
      </c>
    </row>
    <row r="1893">
      <c r="A1893" s="55">
        <f t="shared" si="2"/>
        <v>1892</v>
      </c>
      <c r="B1893" s="56" t="s">
        <v>1566</v>
      </c>
      <c r="C1893" s="55" t="s">
        <v>30</v>
      </c>
      <c r="D1893" s="55">
        <v>1491.0</v>
      </c>
      <c r="E1893" s="57" t="s">
        <v>1352</v>
      </c>
      <c r="F1893" s="2" t="s">
        <v>1565</v>
      </c>
    </row>
    <row r="1894">
      <c r="A1894" s="55">
        <f t="shared" si="2"/>
        <v>1893</v>
      </c>
      <c r="B1894" s="56" t="s">
        <v>1566</v>
      </c>
      <c r="C1894" s="55" t="s">
        <v>26</v>
      </c>
      <c r="D1894" s="55">
        <v>1461.0</v>
      </c>
      <c r="E1894" s="57" t="s">
        <v>1352</v>
      </c>
      <c r="F1894" s="2" t="s">
        <v>1565</v>
      </c>
    </row>
    <row r="1895">
      <c r="A1895" s="55">
        <f t="shared" si="2"/>
        <v>1894</v>
      </c>
      <c r="B1895" s="56" t="s">
        <v>1566</v>
      </c>
      <c r="C1895" s="55" t="s">
        <v>31</v>
      </c>
      <c r="D1895" s="55">
        <v>1527.0</v>
      </c>
      <c r="E1895" s="57" t="s">
        <v>1352</v>
      </c>
      <c r="F1895" s="2" t="s">
        <v>1565</v>
      </c>
    </row>
    <row r="1896">
      <c r="A1896" s="55">
        <f t="shared" si="2"/>
        <v>1895</v>
      </c>
      <c r="B1896" s="56" t="s">
        <v>1566</v>
      </c>
      <c r="C1896" s="55" t="s">
        <v>42</v>
      </c>
      <c r="D1896" s="55">
        <v>1271.0</v>
      </c>
      <c r="E1896" s="57" t="s">
        <v>1352</v>
      </c>
      <c r="F1896" s="2" t="s">
        <v>1565</v>
      </c>
    </row>
    <row r="1897">
      <c r="A1897" s="55">
        <f t="shared" si="2"/>
        <v>1896</v>
      </c>
      <c r="B1897" s="56" t="s">
        <v>1571</v>
      </c>
      <c r="C1897" s="55" t="s">
        <v>42</v>
      </c>
      <c r="D1897" s="55">
        <v>1242.0</v>
      </c>
      <c r="E1897" s="57" t="s">
        <v>1352</v>
      </c>
      <c r="F1897" s="2" t="s">
        <v>1570</v>
      </c>
    </row>
    <row r="1898">
      <c r="A1898" s="55">
        <f t="shared" si="2"/>
        <v>1897</v>
      </c>
      <c r="B1898" s="56" t="s">
        <v>1571</v>
      </c>
      <c r="C1898" s="55" t="s">
        <v>36</v>
      </c>
      <c r="D1898" s="55">
        <v>1319.0</v>
      </c>
      <c r="E1898" s="57" t="s">
        <v>1352</v>
      </c>
      <c r="F1898" s="2" t="s">
        <v>1570</v>
      </c>
    </row>
    <row r="1899">
      <c r="A1899" s="55">
        <f t="shared" si="2"/>
        <v>1898</v>
      </c>
      <c r="B1899" s="56" t="s">
        <v>1571</v>
      </c>
      <c r="C1899" s="55" t="s">
        <v>31</v>
      </c>
      <c r="D1899" s="55">
        <v>1508.0</v>
      </c>
      <c r="E1899" s="57" t="s">
        <v>1352</v>
      </c>
      <c r="F1899" s="2" t="s">
        <v>1570</v>
      </c>
    </row>
    <row r="1900">
      <c r="A1900" s="55">
        <f t="shared" si="2"/>
        <v>1899</v>
      </c>
      <c r="B1900" s="56" t="s">
        <v>1571</v>
      </c>
      <c r="C1900" s="55" t="s">
        <v>26</v>
      </c>
      <c r="D1900" s="55">
        <v>1474.0</v>
      </c>
      <c r="E1900" s="57" t="s">
        <v>1352</v>
      </c>
      <c r="F1900" s="2" t="s">
        <v>1570</v>
      </c>
    </row>
    <row r="1901">
      <c r="A1901" s="55">
        <f t="shared" si="2"/>
        <v>1900</v>
      </c>
      <c r="B1901" s="56" t="s">
        <v>1571</v>
      </c>
      <c r="C1901" s="55" t="s">
        <v>30</v>
      </c>
      <c r="D1901" s="55">
        <v>1504.0</v>
      </c>
      <c r="E1901" s="57" t="s">
        <v>1352</v>
      </c>
      <c r="F1901" s="2" t="s">
        <v>1570</v>
      </c>
    </row>
    <row r="1902">
      <c r="A1902" s="55">
        <f t="shared" si="2"/>
        <v>1901</v>
      </c>
      <c r="B1902" s="56" t="s">
        <v>1575</v>
      </c>
      <c r="C1902" s="55" t="s">
        <v>26</v>
      </c>
      <c r="D1902" s="55">
        <v>1459.0</v>
      </c>
      <c r="E1902" s="57" t="s">
        <v>1352</v>
      </c>
      <c r="F1902" s="2" t="s">
        <v>1574</v>
      </c>
    </row>
    <row r="1903">
      <c r="A1903" s="55">
        <f t="shared" si="2"/>
        <v>1902</v>
      </c>
      <c r="B1903" s="56" t="s">
        <v>1575</v>
      </c>
      <c r="C1903" s="55" t="s">
        <v>42</v>
      </c>
      <c r="D1903" s="55">
        <v>1255.0</v>
      </c>
      <c r="E1903" s="57" t="s">
        <v>1352</v>
      </c>
      <c r="F1903" s="2" t="s">
        <v>1574</v>
      </c>
    </row>
    <row r="1904">
      <c r="A1904" s="55">
        <f t="shared" si="2"/>
        <v>1903</v>
      </c>
      <c r="B1904" s="56" t="s">
        <v>1575</v>
      </c>
      <c r="C1904" s="55" t="s">
        <v>31</v>
      </c>
      <c r="D1904" s="55">
        <v>1494.0</v>
      </c>
      <c r="E1904" s="57" t="s">
        <v>1352</v>
      </c>
      <c r="F1904" s="2" t="s">
        <v>1574</v>
      </c>
    </row>
    <row r="1905">
      <c r="A1905" s="55">
        <f t="shared" si="2"/>
        <v>1904</v>
      </c>
      <c r="B1905" s="56" t="s">
        <v>1575</v>
      </c>
      <c r="C1905" s="55" t="s">
        <v>36</v>
      </c>
      <c r="D1905" s="55">
        <v>1333.0</v>
      </c>
      <c r="E1905" s="57" t="s">
        <v>1352</v>
      </c>
      <c r="F1905" s="2" t="s">
        <v>1574</v>
      </c>
    </row>
    <row r="1906">
      <c r="A1906" s="55">
        <f t="shared" si="2"/>
        <v>1905</v>
      </c>
      <c r="B1906" s="56" t="s">
        <v>1575</v>
      </c>
      <c r="C1906" s="55" t="s">
        <v>30</v>
      </c>
      <c r="D1906" s="55">
        <v>1490.0</v>
      </c>
      <c r="E1906" s="57" t="s">
        <v>1352</v>
      </c>
      <c r="F1906" s="2" t="s">
        <v>1574</v>
      </c>
    </row>
    <row r="1907">
      <c r="A1907" s="55">
        <f t="shared" si="2"/>
        <v>1906</v>
      </c>
      <c r="B1907" s="56" t="s">
        <v>1579</v>
      </c>
      <c r="C1907" s="55" t="s">
        <v>42</v>
      </c>
      <c r="D1907" s="55">
        <v>1266.0</v>
      </c>
      <c r="E1907" s="57" t="s">
        <v>1352</v>
      </c>
      <c r="F1907" s="2" t="s">
        <v>1578</v>
      </c>
    </row>
    <row r="1908">
      <c r="A1908" s="55">
        <f t="shared" si="2"/>
        <v>1907</v>
      </c>
      <c r="B1908" s="56" t="s">
        <v>1579</v>
      </c>
      <c r="C1908" s="55" t="s">
        <v>27</v>
      </c>
      <c r="D1908" s="55">
        <v>1510.0</v>
      </c>
      <c r="E1908" s="57" t="s">
        <v>1352</v>
      </c>
      <c r="F1908" s="2" t="s">
        <v>1578</v>
      </c>
    </row>
    <row r="1909">
      <c r="A1909" s="55">
        <f t="shared" si="2"/>
        <v>1908</v>
      </c>
      <c r="B1909" s="56" t="s">
        <v>1579</v>
      </c>
      <c r="C1909" s="55" t="s">
        <v>30</v>
      </c>
      <c r="D1909" s="55">
        <v>1471.0</v>
      </c>
      <c r="E1909" s="57" t="s">
        <v>1352</v>
      </c>
      <c r="F1909" s="2" t="s">
        <v>1578</v>
      </c>
    </row>
    <row r="1910">
      <c r="A1910" s="55">
        <f t="shared" si="2"/>
        <v>1909</v>
      </c>
      <c r="B1910" s="56" t="s">
        <v>1579</v>
      </c>
      <c r="C1910" s="55" t="s">
        <v>26</v>
      </c>
      <c r="D1910" s="55">
        <v>1472.0</v>
      </c>
      <c r="E1910" s="57" t="s">
        <v>1352</v>
      </c>
      <c r="F1910" s="2" t="s">
        <v>1578</v>
      </c>
    </row>
    <row r="1911">
      <c r="A1911" s="55">
        <f t="shared" si="2"/>
        <v>1910</v>
      </c>
      <c r="B1911" s="56" t="s">
        <v>1579</v>
      </c>
      <c r="C1911" s="55" t="s">
        <v>31</v>
      </c>
      <c r="D1911" s="55">
        <v>1507.0</v>
      </c>
      <c r="E1911" s="57" t="s">
        <v>1352</v>
      </c>
      <c r="F1911" s="2" t="s">
        <v>1578</v>
      </c>
    </row>
    <row r="1912">
      <c r="A1912" s="55">
        <f t="shared" si="2"/>
        <v>1911</v>
      </c>
      <c r="B1912" s="56" t="s">
        <v>1579</v>
      </c>
      <c r="C1912" s="55" t="s">
        <v>36</v>
      </c>
      <c r="D1912" s="55">
        <v>1312.0</v>
      </c>
      <c r="E1912" s="57" t="s">
        <v>1352</v>
      </c>
      <c r="F1912" s="2" t="s">
        <v>1578</v>
      </c>
    </row>
    <row r="1913">
      <c r="A1913" s="55">
        <f t="shared" si="2"/>
        <v>1912</v>
      </c>
      <c r="B1913" s="56" t="s">
        <v>1583</v>
      </c>
      <c r="C1913" s="55" t="s">
        <v>42</v>
      </c>
      <c r="D1913" s="55">
        <v>1278.0</v>
      </c>
      <c r="E1913" s="57" t="s">
        <v>1352</v>
      </c>
      <c r="F1913" s="2" t="s">
        <v>1582</v>
      </c>
    </row>
    <row r="1914">
      <c r="A1914" s="55">
        <f t="shared" si="2"/>
        <v>1913</v>
      </c>
      <c r="B1914" s="56" t="s">
        <v>1583</v>
      </c>
      <c r="C1914" s="55" t="s">
        <v>34</v>
      </c>
      <c r="D1914" s="55">
        <v>963.0</v>
      </c>
      <c r="E1914" s="57" t="s">
        <v>1352</v>
      </c>
      <c r="F1914" s="2" t="s">
        <v>1582</v>
      </c>
    </row>
    <row r="1915">
      <c r="A1915" s="55">
        <f t="shared" si="2"/>
        <v>1914</v>
      </c>
      <c r="B1915" s="56" t="s">
        <v>1583</v>
      </c>
      <c r="C1915" s="55" t="s">
        <v>36</v>
      </c>
      <c r="D1915" s="55">
        <v>1289.0</v>
      </c>
      <c r="E1915" s="57" t="s">
        <v>1352</v>
      </c>
      <c r="F1915" s="2" t="s">
        <v>1582</v>
      </c>
    </row>
    <row r="1916">
      <c r="A1916" s="55">
        <f t="shared" si="2"/>
        <v>1915</v>
      </c>
      <c r="B1916" s="56" t="s">
        <v>1583</v>
      </c>
      <c r="C1916" s="55" t="s">
        <v>26</v>
      </c>
      <c r="D1916" s="55">
        <v>1451.0</v>
      </c>
      <c r="E1916" s="57" t="s">
        <v>1352</v>
      </c>
      <c r="F1916" s="2" t="s">
        <v>1582</v>
      </c>
    </row>
    <row r="1917">
      <c r="A1917" s="55">
        <f t="shared" si="2"/>
        <v>1916</v>
      </c>
      <c r="B1917" s="56" t="s">
        <v>1583</v>
      </c>
      <c r="C1917" s="55" t="s">
        <v>30</v>
      </c>
      <c r="D1917" s="55">
        <v>1485.0</v>
      </c>
      <c r="E1917" s="57" t="s">
        <v>1352</v>
      </c>
      <c r="F1917" s="2" t="s">
        <v>1582</v>
      </c>
    </row>
    <row r="1918">
      <c r="A1918" s="55">
        <f t="shared" si="2"/>
        <v>1917</v>
      </c>
      <c r="B1918" s="56" t="s">
        <v>1583</v>
      </c>
      <c r="C1918" s="55" t="s">
        <v>27</v>
      </c>
      <c r="D1918" s="55">
        <v>1525.0</v>
      </c>
      <c r="E1918" s="57" t="s">
        <v>1352</v>
      </c>
      <c r="F1918" s="2" t="s">
        <v>1582</v>
      </c>
    </row>
    <row r="1919">
      <c r="A1919" s="55">
        <f t="shared" si="2"/>
        <v>1918</v>
      </c>
      <c r="B1919" s="56" t="s">
        <v>1588</v>
      </c>
      <c r="C1919" s="55" t="s">
        <v>30</v>
      </c>
      <c r="D1919" s="55">
        <v>1473.0</v>
      </c>
      <c r="E1919" s="57" t="s">
        <v>1352</v>
      </c>
      <c r="F1919" s="2" t="s">
        <v>1587</v>
      </c>
    </row>
    <row r="1920">
      <c r="A1920" s="55">
        <f t="shared" si="2"/>
        <v>1919</v>
      </c>
      <c r="B1920" s="56" t="s">
        <v>1588</v>
      </c>
      <c r="C1920" s="55" t="s">
        <v>34</v>
      </c>
      <c r="D1920" s="55">
        <v>973.0</v>
      </c>
      <c r="E1920" s="57" t="s">
        <v>1352</v>
      </c>
      <c r="F1920" s="2" t="s">
        <v>1587</v>
      </c>
    </row>
    <row r="1921">
      <c r="A1921" s="55">
        <f t="shared" si="2"/>
        <v>1920</v>
      </c>
      <c r="B1921" s="56" t="s">
        <v>1588</v>
      </c>
      <c r="C1921" s="55" t="s">
        <v>26</v>
      </c>
      <c r="D1921" s="55">
        <v>1438.0</v>
      </c>
      <c r="E1921" s="57" t="s">
        <v>1352</v>
      </c>
      <c r="F1921" s="2" t="s">
        <v>1587</v>
      </c>
    </row>
    <row r="1922">
      <c r="A1922" s="55">
        <f t="shared" si="2"/>
        <v>1921</v>
      </c>
      <c r="B1922" s="56" t="s">
        <v>1588</v>
      </c>
      <c r="C1922" s="55" t="s">
        <v>27</v>
      </c>
      <c r="D1922" s="55">
        <v>1516.0</v>
      </c>
      <c r="E1922" s="57" t="s">
        <v>1352</v>
      </c>
      <c r="F1922" s="2" t="s">
        <v>1587</v>
      </c>
    </row>
    <row r="1923">
      <c r="A1923" s="55">
        <f t="shared" si="2"/>
        <v>1922</v>
      </c>
      <c r="B1923" s="56" t="s">
        <v>1592</v>
      </c>
      <c r="C1923" s="55" t="s">
        <v>34</v>
      </c>
      <c r="D1923" s="55">
        <v>984.0</v>
      </c>
      <c r="E1923" s="57" t="s">
        <v>1352</v>
      </c>
      <c r="F1923" s="2" t="s">
        <v>1591</v>
      </c>
    </row>
    <row r="1924">
      <c r="A1924" s="55">
        <f t="shared" si="2"/>
        <v>1923</v>
      </c>
      <c r="B1924" s="56" t="s">
        <v>1592</v>
      </c>
      <c r="C1924" s="55" t="s">
        <v>30</v>
      </c>
      <c r="D1924" s="55">
        <v>1490.0</v>
      </c>
      <c r="E1924" s="57" t="s">
        <v>1352</v>
      </c>
      <c r="F1924" s="2" t="s">
        <v>1591</v>
      </c>
    </row>
    <row r="1925">
      <c r="A1925" s="55">
        <f t="shared" si="2"/>
        <v>1924</v>
      </c>
      <c r="B1925" s="56" t="s">
        <v>1592</v>
      </c>
      <c r="C1925" s="55" t="s">
        <v>26</v>
      </c>
      <c r="D1925" s="55">
        <v>1424.0</v>
      </c>
      <c r="E1925" s="57" t="s">
        <v>1352</v>
      </c>
      <c r="F1925" s="2" t="s">
        <v>1591</v>
      </c>
    </row>
    <row r="1926">
      <c r="A1926" s="55">
        <f t="shared" si="2"/>
        <v>1925</v>
      </c>
      <c r="B1926" s="56" t="s">
        <v>1592</v>
      </c>
      <c r="C1926" s="55" t="s">
        <v>27</v>
      </c>
      <c r="D1926" s="55">
        <v>1506.0</v>
      </c>
      <c r="E1926" s="57" t="s">
        <v>1352</v>
      </c>
      <c r="F1926" s="2" t="s">
        <v>1591</v>
      </c>
    </row>
    <row r="1927">
      <c r="A1927" s="55">
        <f t="shared" si="2"/>
        <v>1926</v>
      </c>
      <c r="B1927" s="56" t="s">
        <v>1596</v>
      </c>
      <c r="C1927" s="55" t="s">
        <v>26</v>
      </c>
      <c r="D1927" s="55">
        <v>1413.0</v>
      </c>
      <c r="E1927" s="57" t="s">
        <v>1352</v>
      </c>
      <c r="F1927" s="2" t="s">
        <v>1595</v>
      </c>
    </row>
    <row r="1928">
      <c r="A1928" s="55">
        <f t="shared" si="2"/>
        <v>1927</v>
      </c>
      <c r="B1928" s="56" t="s">
        <v>1596</v>
      </c>
      <c r="C1928" s="55" t="s">
        <v>30</v>
      </c>
      <c r="D1928" s="55">
        <v>1480.0</v>
      </c>
      <c r="E1928" s="57" t="s">
        <v>1352</v>
      </c>
      <c r="F1928" s="2" t="s">
        <v>1595</v>
      </c>
    </row>
    <row r="1929">
      <c r="A1929" s="55">
        <f t="shared" si="2"/>
        <v>1928</v>
      </c>
      <c r="B1929" s="56" t="s">
        <v>1596</v>
      </c>
      <c r="C1929" s="55" t="s">
        <v>27</v>
      </c>
      <c r="D1929" s="55">
        <v>1498.0</v>
      </c>
      <c r="E1929" s="57" t="s">
        <v>1352</v>
      </c>
      <c r="F1929" s="2" t="s">
        <v>1595</v>
      </c>
    </row>
    <row r="1930">
      <c r="A1930" s="55">
        <f t="shared" si="2"/>
        <v>1929</v>
      </c>
      <c r="B1930" s="56" t="s">
        <v>1596</v>
      </c>
      <c r="C1930" s="55" t="s">
        <v>34</v>
      </c>
      <c r="D1930" s="55">
        <v>996.0</v>
      </c>
      <c r="E1930" s="57" t="s">
        <v>1352</v>
      </c>
      <c r="F1930" s="2" t="s">
        <v>1595</v>
      </c>
    </row>
    <row r="1931">
      <c r="A1931" s="55">
        <f t="shared" si="2"/>
        <v>1930</v>
      </c>
      <c r="B1931" s="56" t="s">
        <v>1600</v>
      </c>
      <c r="C1931" s="55" t="s">
        <v>36</v>
      </c>
      <c r="D1931" s="55">
        <v>1274.0</v>
      </c>
      <c r="E1931" s="57" t="s">
        <v>1352</v>
      </c>
      <c r="F1931" s="2" t="s">
        <v>1599</v>
      </c>
    </row>
    <row r="1932">
      <c r="A1932" s="55">
        <f t="shared" si="2"/>
        <v>1931</v>
      </c>
      <c r="B1932" s="56" t="s">
        <v>1600</v>
      </c>
      <c r="C1932" s="55" t="s">
        <v>27</v>
      </c>
      <c r="D1932" s="55">
        <v>1481.0</v>
      </c>
      <c r="E1932" s="57" t="s">
        <v>1352</v>
      </c>
      <c r="F1932" s="2" t="s">
        <v>1599</v>
      </c>
    </row>
    <row r="1933">
      <c r="A1933" s="55">
        <f t="shared" si="2"/>
        <v>1932</v>
      </c>
      <c r="B1933" s="56" t="s">
        <v>1600</v>
      </c>
      <c r="C1933" s="55" t="s">
        <v>24</v>
      </c>
      <c r="D1933" s="55">
        <v>1501.0</v>
      </c>
      <c r="E1933" s="57" t="s">
        <v>1352</v>
      </c>
      <c r="F1933" s="2" t="s">
        <v>1599</v>
      </c>
    </row>
    <row r="1934">
      <c r="A1934" s="55">
        <f t="shared" si="2"/>
        <v>1933</v>
      </c>
      <c r="B1934" s="56" t="s">
        <v>1600</v>
      </c>
      <c r="C1934" s="55" t="s">
        <v>50</v>
      </c>
      <c r="D1934" s="55">
        <v>1222.0</v>
      </c>
      <c r="E1934" s="57" t="s">
        <v>1352</v>
      </c>
      <c r="F1934" s="2" t="s">
        <v>1599</v>
      </c>
    </row>
    <row r="1935">
      <c r="A1935" s="55">
        <f t="shared" si="2"/>
        <v>1934</v>
      </c>
      <c r="B1935" s="56" t="s">
        <v>1600</v>
      </c>
      <c r="C1935" s="55" t="s">
        <v>30</v>
      </c>
      <c r="D1935" s="55">
        <v>1503.0</v>
      </c>
      <c r="E1935" s="57" t="s">
        <v>1352</v>
      </c>
      <c r="F1935" s="2" t="s">
        <v>1599</v>
      </c>
    </row>
    <row r="1936">
      <c r="A1936" s="55">
        <f t="shared" si="2"/>
        <v>1935</v>
      </c>
      <c r="B1936" s="56" t="s">
        <v>1600</v>
      </c>
      <c r="C1936" s="55" t="s">
        <v>26</v>
      </c>
      <c r="D1936" s="55">
        <v>1435.0</v>
      </c>
      <c r="E1936" s="57" t="s">
        <v>1352</v>
      </c>
      <c r="F1936" s="2" t="s">
        <v>1599</v>
      </c>
    </row>
    <row r="1937">
      <c r="A1937" s="55">
        <f t="shared" si="2"/>
        <v>1936</v>
      </c>
      <c r="B1937" s="56" t="s">
        <v>1605</v>
      </c>
      <c r="C1937" s="55" t="s">
        <v>26</v>
      </c>
      <c r="D1937" s="55">
        <v>1418.0</v>
      </c>
      <c r="E1937" s="57" t="s">
        <v>1352</v>
      </c>
      <c r="F1937" s="2" t="s">
        <v>1604</v>
      </c>
    </row>
    <row r="1938">
      <c r="A1938" s="55">
        <f t="shared" si="2"/>
        <v>1937</v>
      </c>
      <c r="B1938" s="56" t="s">
        <v>1605</v>
      </c>
      <c r="C1938" s="55" t="s">
        <v>50</v>
      </c>
      <c r="D1938" s="55">
        <v>1201.0</v>
      </c>
      <c r="E1938" s="57" t="s">
        <v>1352</v>
      </c>
      <c r="F1938" s="2" t="s">
        <v>1604</v>
      </c>
    </row>
    <row r="1939">
      <c r="A1939" s="55">
        <f t="shared" si="2"/>
        <v>1938</v>
      </c>
      <c r="B1939" s="56" t="s">
        <v>1605</v>
      </c>
      <c r="C1939" s="55" t="s">
        <v>27</v>
      </c>
      <c r="D1939" s="55">
        <v>1498.0</v>
      </c>
      <c r="E1939" s="57" t="s">
        <v>1352</v>
      </c>
      <c r="F1939" s="2" t="s">
        <v>1604</v>
      </c>
    </row>
    <row r="1940">
      <c r="A1940" s="55">
        <f t="shared" si="2"/>
        <v>1939</v>
      </c>
      <c r="B1940" s="56" t="s">
        <v>1605</v>
      </c>
      <c r="C1940" s="55" t="s">
        <v>30</v>
      </c>
      <c r="D1940" s="55">
        <v>1489.0</v>
      </c>
      <c r="E1940" s="57" t="s">
        <v>1352</v>
      </c>
      <c r="F1940" s="2" t="s">
        <v>1604</v>
      </c>
    </row>
    <row r="1941">
      <c r="A1941" s="55">
        <f t="shared" si="2"/>
        <v>1940</v>
      </c>
      <c r="B1941" s="56" t="s">
        <v>1605</v>
      </c>
      <c r="C1941" s="55" t="s">
        <v>24</v>
      </c>
      <c r="D1941" s="55">
        <v>1486.0</v>
      </c>
      <c r="E1941" s="57" t="s">
        <v>1352</v>
      </c>
      <c r="F1941" s="2" t="s">
        <v>1604</v>
      </c>
    </row>
    <row r="1942">
      <c r="A1942" s="55">
        <f t="shared" si="2"/>
        <v>1941</v>
      </c>
      <c r="B1942" s="56" t="s">
        <v>1605</v>
      </c>
      <c r="C1942" s="55" t="s">
        <v>36</v>
      </c>
      <c r="D1942" s="55">
        <v>1289.0</v>
      </c>
      <c r="E1942" s="57" t="s">
        <v>1352</v>
      </c>
      <c r="F1942" s="2" t="s">
        <v>1604</v>
      </c>
    </row>
    <row r="1943">
      <c r="A1943" s="55">
        <f t="shared" si="2"/>
        <v>1942</v>
      </c>
      <c r="B1943" s="56" t="s">
        <v>1609</v>
      </c>
      <c r="C1943" s="55" t="s">
        <v>36</v>
      </c>
      <c r="D1943" s="55">
        <v>1267.0</v>
      </c>
      <c r="E1943" s="57" t="s">
        <v>1352</v>
      </c>
      <c r="F1943" s="2" t="s">
        <v>1608</v>
      </c>
    </row>
    <row r="1944">
      <c r="A1944" s="55">
        <f t="shared" si="2"/>
        <v>1943</v>
      </c>
      <c r="B1944" s="56" t="s">
        <v>1609</v>
      </c>
      <c r="C1944" s="55" t="s">
        <v>50</v>
      </c>
      <c r="D1944" s="55">
        <v>1213.0</v>
      </c>
      <c r="E1944" s="57" t="s">
        <v>1352</v>
      </c>
      <c r="F1944" s="2" t="s">
        <v>1608</v>
      </c>
    </row>
    <row r="1945">
      <c r="A1945" s="55">
        <f t="shared" si="2"/>
        <v>1944</v>
      </c>
      <c r="B1945" s="56" t="s">
        <v>1609</v>
      </c>
      <c r="C1945" s="55" t="s">
        <v>26</v>
      </c>
      <c r="D1945" s="55">
        <v>1432.0</v>
      </c>
      <c r="E1945" s="57" t="s">
        <v>1352</v>
      </c>
      <c r="F1945" s="2" t="s">
        <v>1608</v>
      </c>
    </row>
    <row r="1946">
      <c r="A1946" s="55">
        <f t="shared" si="2"/>
        <v>1945</v>
      </c>
      <c r="B1946" s="56" t="s">
        <v>1609</v>
      </c>
      <c r="C1946" s="55" t="s">
        <v>42</v>
      </c>
      <c r="D1946" s="55">
        <v>1291.0</v>
      </c>
      <c r="E1946" s="57" t="s">
        <v>1352</v>
      </c>
      <c r="F1946" s="2" t="s">
        <v>1608</v>
      </c>
    </row>
    <row r="1947">
      <c r="A1947" s="55">
        <f t="shared" si="2"/>
        <v>1946</v>
      </c>
      <c r="B1947" s="56" t="s">
        <v>1609</v>
      </c>
      <c r="C1947" s="55" t="s">
        <v>24</v>
      </c>
      <c r="D1947" s="55">
        <v>1468.0</v>
      </c>
      <c r="E1947" s="57" t="s">
        <v>1352</v>
      </c>
      <c r="F1947" s="2" t="s">
        <v>1608</v>
      </c>
    </row>
    <row r="1948">
      <c r="A1948" s="55">
        <f t="shared" si="2"/>
        <v>1947</v>
      </c>
      <c r="B1948" s="56" t="s">
        <v>1609</v>
      </c>
      <c r="C1948" s="55" t="s">
        <v>30</v>
      </c>
      <c r="D1948" s="55">
        <v>1471.0</v>
      </c>
      <c r="E1948" s="57" t="s">
        <v>1352</v>
      </c>
      <c r="F1948" s="2" t="s">
        <v>1608</v>
      </c>
    </row>
    <row r="1949">
      <c r="A1949" s="55">
        <f t="shared" si="2"/>
        <v>1948</v>
      </c>
      <c r="B1949" s="56" t="s">
        <v>1614</v>
      </c>
      <c r="C1949" s="55" t="s">
        <v>36</v>
      </c>
      <c r="D1949" s="55">
        <v>1278.0</v>
      </c>
      <c r="E1949" s="57" t="s">
        <v>1352</v>
      </c>
      <c r="F1949" s="2" t="s">
        <v>1613</v>
      </c>
    </row>
    <row r="1950">
      <c r="A1950" s="55">
        <f t="shared" si="2"/>
        <v>1949</v>
      </c>
      <c r="B1950" s="56" t="s">
        <v>1614</v>
      </c>
      <c r="C1950" s="55" t="s">
        <v>26</v>
      </c>
      <c r="D1950" s="55">
        <v>1417.0</v>
      </c>
      <c r="E1950" s="57" t="s">
        <v>1352</v>
      </c>
      <c r="F1950" s="2" t="s">
        <v>1613</v>
      </c>
    </row>
    <row r="1951">
      <c r="A1951" s="55">
        <f t="shared" si="2"/>
        <v>1950</v>
      </c>
      <c r="B1951" s="56" t="s">
        <v>1614</v>
      </c>
      <c r="C1951" s="55" t="s">
        <v>24</v>
      </c>
      <c r="D1951" s="55">
        <v>1454.0</v>
      </c>
      <c r="E1951" s="57" t="s">
        <v>1352</v>
      </c>
      <c r="F1951" s="2" t="s">
        <v>1613</v>
      </c>
    </row>
    <row r="1952">
      <c r="A1952" s="55">
        <f t="shared" si="2"/>
        <v>1951</v>
      </c>
      <c r="B1952" s="56" t="s">
        <v>1614</v>
      </c>
      <c r="C1952" s="55" t="s">
        <v>30</v>
      </c>
      <c r="D1952" s="55">
        <v>1457.0</v>
      </c>
      <c r="E1952" s="57" t="s">
        <v>1352</v>
      </c>
      <c r="F1952" s="2" t="s">
        <v>1613</v>
      </c>
    </row>
    <row r="1953">
      <c r="A1953" s="55">
        <f t="shared" si="2"/>
        <v>1952</v>
      </c>
      <c r="B1953" s="56" t="s">
        <v>1614</v>
      </c>
      <c r="C1953" s="55" t="s">
        <v>50</v>
      </c>
      <c r="D1953" s="55">
        <v>1224.0</v>
      </c>
      <c r="E1953" s="57" t="s">
        <v>1352</v>
      </c>
      <c r="F1953" s="2" t="s">
        <v>1613</v>
      </c>
    </row>
    <row r="1954">
      <c r="A1954" s="55">
        <f t="shared" si="2"/>
        <v>1953</v>
      </c>
      <c r="B1954" s="56" t="s">
        <v>1614</v>
      </c>
      <c r="C1954" s="55" t="s">
        <v>42</v>
      </c>
      <c r="D1954" s="55">
        <v>1271.0</v>
      </c>
      <c r="E1954" s="57" t="s">
        <v>1352</v>
      </c>
      <c r="F1954" s="2" t="s">
        <v>1613</v>
      </c>
    </row>
    <row r="1955">
      <c r="A1955" s="55">
        <f t="shared" si="2"/>
        <v>1954</v>
      </c>
      <c r="B1955" s="56" t="s">
        <v>1618</v>
      </c>
      <c r="C1955" s="55" t="s">
        <v>42</v>
      </c>
      <c r="D1955" s="55">
        <v>1244.0</v>
      </c>
      <c r="E1955" s="57" t="s">
        <v>1352</v>
      </c>
      <c r="F1955" s="2" t="s">
        <v>1617</v>
      </c>
    </row>
    <row r="1956">
      <c r="A1956" s="55">
        <f t="shared" si="2"/>
        <v>1955</v>
      </c>
      <c r="B1956" s="56" t="s">
        <v>1618</v>
      </c>
      <c r="C1956" s="55" t="s">
        <v>30</v>
      </c>
      <c r="D1956" s="55">
        <v>1437.0</v>
      </c>
      <c r="E1956" s="57" t="s">
        <v>1352</v>
      </c>
      <c r="F1956" s="2" t="s">
        <v>1617</v>
      </c>
    </row>
    <row r="1957">
      <c r="A1957" s="55">
        <f t="shared" si="2"/>
        <v>1956</v>
      </c>
      <c r="B1957" s="56" t="s">
        <v>1618</v>
      </c>
      <c r="C1957" s="55" t="s">
        <v>26</v>
      </c>
      <c r="D1957" s="55">
        <v>1434.0</v>
      </c>
      <c r="E1957" s="57" t="s">
        <v>1352</v>
      </c>
      <c r="F1957" s="2" t="s">
        <v>1617</v>
      </c>
    </row>
    <row r="1958">
      <c r="A1958" s="55">
        <f t="shared" si="2"/>
        <v>1957</v>
      </c>
      <c r="B1958" s="56" t="s">
        <v>1618</v>
      </c>
      <c r="C1958" s="55" t="s">
        <v>24</v>
      </c>
      <c r="D1958" s="55">
        <v>1471.0</v>
      </c>
      <c r="E1958" s="57" t="s">
        <v>1352</v>
      </c>
      <c r="F1958" s="2" t="s">
        <v>1617</v>
      </c>
    </row>
    <row r="1959">
      <c r="A1959" s="55">
        <f t="shared" si="2"/>
        <v>1958</v>
      </c>
      <c r="B1959" s="56" t="s">
        <v>1618</v>
      </c>
      <c r="C1959" s="55" t="s">
        <v>50</v>
      </c>
      <c r="D1959" s="55">
        <v>1200.0</v>
      </c>
      <c r="E1959" s="57" t="s">
        <v>1352</v>
      </c>
      <c r="F1959" s="2" t="s">
        <v>1617</v>
      </c>
    </row>
    <row r="1960">
      <c r="A1960" s="55">
        <f t="shared" si="2"/>
        <v>1959</v>
      </c>
      <c r="B1960" s="56" t="s">
        <v>1618</v>
      </c>
      <c r="C1960" s="55" t="s">
        <v>36</v>
      </c>
      <c r="D1960" s="55">
        <v>1293.0</v>
      </c>
      <c r="E1960" s="57" t="s">
        <v>1352</v>
      </c>
      <c r="F1960" s="2" t="s">
        <v>1617</v>
      </c>
    </row>
    <row r="1961">
      <c r="A1961" s="55">
        <f t="shared" si="2"/>
        <v>1960</v>
      </c>
      <c r="B1961" s="56" t="s">
        <v>1622</v>
      </c>
      <c r="C1961" s="55" t="s">
        <v>26</v>
      </c>
      <c r="D1961" s="55">
        <v>1451.0</v>
      </c>
      <c r="E1961" s="57" t="s">
        <v>1352</v>
      </c>
      <c r="F1961" s="2" t="s">
        <v>1621</v>
      </c>
    </row>
    <row r="1962">
      <c r="A1962" s="55">
        <f t="shared" si="2"/>
        <v>1961</v>
      </c>
      <c r="B1962" s="56" t="s">
        <v>1622</v>
      </c>
      <c r="C1962" s="55" t="s">
        <v>36</v>
      </c>
      <c r="D1962" s="55">
        <v>1272.0</v>
      </c>
      <c r="E1962" s="57" t="s">
        <v>1352</v>
      </c>
      <c r="F1962" s="2" t="s">
        <v>1621</v>
      </c>
    </row>
    <row r="1963">
      <c r="A1963" s="55">
        <f t="shared" si="2"/>
        <v>1962</v>
      </c>
      <c r="B1963" s="56" t="s">
        <v>1622</v>
      </c>
      <c r="C1963" s="55" t="s">
        <v>42</v>
      </c>
      <c r="D1963" s="55">
        <v>1259.0</v>
      </c>
      <c r="E1963" s="57" t="s">
        <v>1352</v>
      </c>
      <c r="F1963" s="2" t="s">
        <v>1621</v>
      </c>
    </row>
    <row r="1964">
      <c r="A1964" s="55">
        <f t="shared" si="2"/>
        <v>1963</v>
      </c>
      <c r="B1964" s="56" t="s">
        <v>1622</v>
      </c>
      <c r="C1964" s="55" t="s">
        <v>30</v>
      </c>
      <c r="D1964" s="55">
        <v>1454.0</v>
      </c>
      <c r="E1964" s="57" t="s">
        <v>1352</v>
      </c>
      <c r="F1964" s="2" t="s">
        <v>1621</v>
      </c>
    </row>
    <row r="1965">
      <c r="A1965" s="55">
        <f t="shared" si="2"/>
        <v>1964</v>
      </c>
      <c r="B1965" s="56" t="s">
        <v>1622</v>
      </c>
      <c r="C1965" s="55" t="s">
        <v>27</v>
      </c>
      <c r="D1965" s="55">
        <v>1513.0</v>
      </c>
      <c r="E1965" s="57" t="s">
        <v>1352</v>
      </c>
      <c r="F1965" s="2" t="s">
        <v>1621</v>
      </c>
    </row>
    <row r="1966">
      <c r="A1966" s="55">
        <f t="shared" si="2"/>
        <v>1965</v>
      </c>
      <c r="B1966" s="56" t="s">
        <v>1627</v>
      </c>
      <c r="C1966" s="55" t="s">
        <v>36</v>
      </c>
      <c r="D1966" s="55">
        <v>1289.0</v>
      </c>
      <c r="E1966" s="57" t="s">
        <v>1352</v>
      </c>
      <c r="F1966" s="2" t="s">
        <v>1626</v>
      </c>
    </row>
    <row r="1967">
      <c r="A1967" s="55">
        <f t="shared" si="2"/>
        <v>1966</v>
      </c>
      <c r="B1967" s="56" t="s">
        <v>1627</v>
      </c>
      <c r="C1967" s="55" t="s">
        <v>27</v>
      </c>
      <c r="D1967" s="55">
        <v>1499.0</v>
      </c>
      <c r="E1967" s="57" t="s">
        <v>1352</v>
      </c>
      <c r="F1967" s="2" t="s">
        <v>1626</v>
      </c>
    </row>
    <row r="1968">
      <c r="A1968" s="55">
        <f t="shared" si="2"/>
        <v>1967</v>
      </c>
      <c r="B1968" s="56" t="s">
        <v>1627</v>
      </c>
      <c r="C1968" s="55" t="s">
        <v>26</v>
      </c>
      <c r="D1968" s="55">
        <v>1470.0</v>
      </c>
      <c r="E1968" s="57" t="s">
        <v>1352</v>
      </c>
      <c r="F1968" s="2" t="s">
        <v>1626</v>
      </c>
    </row>
    <row r="1969">
      <c r="A1969" s="55">
        <f t="shared" si="2"/>
        <v>1968</v>
      </c>
      <c r="B1969" s="56" t="s">
        <v>1627</v>
      </c>
      <c r="C1969" s="55" t="s">
        <v>30</v>
      </c>
      <c r="D1969" s="55">
        <v>1435.0</v>
      </c>
      <c r="E1969" s="57" t="s">
        <v>1352</v>
      </c>
      <c r="F1969" s="2" t="s">
        <v>1626</v>
      </c>
    </row>
    <row r="1970">
      <c r="A1970" s="55">
        <f t="shared" si="2"/>
        <v>1969</v>
      </c>
      <c r="B1970" s="56" t="s">
        <v>1627</v>
      </c>
      <c r="C1970" s="55" t="s">
        <v>42</v>
      </c>
      <c r="D1970" s="55">
        <v>1275.0</v>
      </c>
      <c r="E1970" s="57" t="s">
        <v>1352</v>
      </c>
      <c r="F1970" s="2" t="s">
        <v>1626</v>
      </c>
    </row>
    <row r="1971">
      <c r="A1971" s="55">
        <f t="shared" si="2"/>
        <v>1970</v>
      </c>
      <c r="B1971" s="56" t="s">
        <v>1631</v>
      </c>
      <c r="C1971" s="55" t="s">
        <v>36</v>
      </c>
      <c r="D1971" s="55">
        <v>1304.0</v>
      </c>
      <c r="E1971" s="57" t="s">
        <v>1352</v>
      </c>
      <c r="F1971" s="2" t="s">
        <v>1630</v>
      </c>
    </row>
    <row r="1972">
      <c r="A1972" s="55">
        <f t="shared" si="2"/>
        <v>1971</v>
      </c>
      <c r="B1972" s="56" t="s">
        <v>1631</v>
      </c>
      <c r="C1972" s="55" t="s">
        <v>42</v>
      </c>
      <c r="D1972" s="55">
        <v>1247.0</v>
      </c>
      <c r="E1972" s="57" t="s">
        <v>1352</v>
      </c>
      <c r="F1972" s="2" t="s">
        <v>1630</v>
      </c>
    </row>
    <row r="1973">
      <c r="A1973" s="55">
        <f t="shared" si="2"/>
        <v>1972</v>
      </c>
      <c r="B1973" s="56" t="s">
        <v>1631</v>
      </c>
      <c r="C1973" s="55" t="s">
        <v>26</v>
      </c>
      <c r="D1973" s="55">
        <v>1487.0</v>
      </c>
      <c r="E1973" s="57" t="s">
        <v>1352</v>
      </c>
      <c r="F1973" s="2" t="s">
        <v>1630</v>
      </c>
    </row>
    <row r="1974">
      <c r="A1974" s="55">
        <f t="shared" si="2"/>
        <v>1973</v>
      </c>
      <c r="B1974" s="56" t="s">
        <v>1631</v>
      </c>
      <c r="C1974" s="55" t="s">
        <v>27</v>
      </c>
      <c r="D1974" s="55">
        <v>1517.0</v>
      </c>
      <c r="E1974" s="57" t="s">
        <v>1352</v>
      </c>
      <c r="F1974" s="2" t="s">
        <v>1630</v>
      </c>
    </row>
    <row r="1975">
      <c r="A1975" s="55">
        <f t="shared" si="2"/>
        <v>1974</v>
      </c>
      <c r="B1975" s="56" t="s">
        <v>1631</v>
      </c>
      <c r="C1975" s="55" t="s">
        <v>30</v>
      </c>
      <c r="D1975" s="55">
        <v>1414.0</v>
      </c>
      <c r="E1975" s="57" t="s">
        <v>1352</v>
      </c>
      <c r="F1975" s="2" t="s">
        <v>1630</v>
      </c>
    </row>
    <row r="1976">
      <c r="A1976" s="55">
        <f t="shared" si="2"/>
        <v>1975</v>
      </c>
      <c r="B1976" s="56" t="s">
        <v>1635</v>
      </c>
      <c r="C1976" s="55" t="s">
        <v>26</v>
      </c>
      <c r="D1976" s="55">
        <v>1473.0</v>
      </c>
      <c r="E1976" s="57" t="s">
        <v>1352</v>
      </c>
      <c r="F1976" s="2" t="s">
        <v>1634</v>
      </c>
    </row>
    <row r="1977">
      <c r="A1977" s="55">
        <f t="shared" si="2"/>
        <v>1976</v>
      </c>
      <c r="B1977" s="56" t="s">
        <v>1635</v>
      </c>
      <c r="C1977" s="55" t="s">
        <v>30</v>
      </c>
      <c r="D1977" s="55">
        <v>1397.0</v>
      </c>
      <c r="E1977" s="57" t="s">
        <v>1352</v>
      </c>
      <c r="F1977" s="2" t="s">
        <v>1634</v>
      </c>
    </row>
    <row r="1978">
      <c r="A1978" s="55">
        <f t="shared" si="2"/>
        <v>1977</v>
      </c>
      <c r="B1978" s="56" t="s">
        <v>1635</v>
      </c>
      <c r="C1978" s="55" t="s">
        <v>29</v>
      </c>
      <c r="D1978" s="55">
        <v>1450.0</v>
      </c>
      <c r="E1978" s="57" t="s">
        <v>1352</v>
      </c>
      <c r="F1978" s="2" t="s">
        <v>1634</v>
      </c>
    </row>
    <row r="1979">
      <c r="A1979" s="55">
        <f t="shared" si="2"/>
        <v>1978</v>
      </c>
      <c r="B1979" s="56" t="s">
        <v>1635</v>
      </c>
      <c r="C1979" s="55" t="s">
        <v>36</v>
      </c>
      <c r="D1979" s="55">
        <v>1322.0</v>
      </c>
      <c r="E1979" s="57" t="s">
        <v>1352</v>
      </c>
      <c r="F1979" s="2" t="s">
        <v>1634</v>
      </c>
    </row>
    <row r="1980">
      <c r="A1980" s="55">
        <f t="shared" si="2"/>
        <v>1979</v>
      </c>
      <c r="B1980" s="56" t="s">
        <v>1635</v>
      </c>
      <c r="C1980" s="55" t="s">
        <v>42</v>
      </c>
      <c r="D1980" s="55">
        <v>1264.0</v>
      </c>
      <c r="E1980" s="57" t="s">
        <v>1352</v>
      </c>
      <c r="F1980" s="2" t="s">
        <v>1634</v>
      </c>
    </row>
    <row r="1981">
      <c r="A1981" s="55">
        <f t="shared" si="2"/>
        <v>1980</v>
      </c>
      <c r="B1981" s="56" t="s">
        <v>1639</v>
      </c>
      <c r="C1981" s="55" t="s">
        <v>36</v>
      </c>
      <c r="D1981" s="55">
        <v>1304.0</v>
      </c>
      <c r="E1981" s="57" t="s">
        <v>1352</v>
      </c>
      <c r="F1981" s="2" t="s">
        <v>1638</v>
      </c>
    </row>
    <row r="1982">
      <c r="A1982" s="55">
        <f t="shared" si="2"/>
        <v>1981</v>
      </c>
      <c r="B1982" s="56" t="s">
        <v>1639</v>
      </c>
      <c r="C1982" s="55" t="s">
        <v>31</v>
      </c>
      <c r="D1982" s="55">
        <v>1487.0</v>
      </c>
      <c r="E1982" s="57" t="s">
        <v>1352</v>
      </c>
      <c r="F1982" s="2" t="s">
        <v>1638</v>
      </c>
    </row>
    <row r="1983">
      <c r="A1983" s="55">
        <f t="shared" si="2"/>
        <v>1982</v>
      </c>
      <c r="B1983" s="56" t="s">
        <v>1639</v>
      </c>
      <c r="C1983" s="55" t="s">
        <v>42</v>
      </c>
      <c r="D1983" s="55">
        <v>1244.0</v>
      </c>
      <c r="E1983" s="57" t="s">
        <v>1352</v>
      </c>
      <c r="F1983" s="2" t="s">
        <v>1638</v>
      </c>
    </row>
    <row r="1984">
      <c r="A1984" s="55">
        <f t="shared" si="2"/>
        <v>1983</v>
      </c>
      <c r="B1984" s="56" t="s">
        <v>1639</v>
      </c>
      <c r="C1984" s="55" t="s">
        <v>26</v>
      </c>
      <c r="D1984" s="55">
        <v>1488.0</v>
      </c>
      <c r="E1984" s="57" t="s">
        <v>1352</v>
      </c>
      <c r="F1984" s="2" t="s">
        <v>1638</v>
      </c>
    </row>
    <row r="1985">
      <c r="A1985" s="55">
        <f t="shared" si="2"/>
        <v>1984</v>
      </c>
      <c r="B1985" s="56" t="s">
        <v>1639</v>
      </c>
      <c r="C1985" s="55" t="s">
        <v>30</v>
      </c>
      <c r="D1985" s="55">
        <v>1411.0</v>
      </c>
      <c r="E1985" s="57" t="s">
        <v>1352</v>
      </c>
      <c r="F1985" s="2" t="s">
        <v>1638</v>
      </c>
    </row>
    <row r="1986">
      <c r="A1986" s="55">
        <f t="shared" si="2"/>
        <v>1985</v>
      </c>
      <c r="B1986" s="56" t="s">
        <v>1643</v>
      </c>
      <c r="C1986" s="55" t="s">
        <v>30</v>
      </c>
      <c r="D1986" s="55">
        <v>1393.0</v>
      </c>
      <c r="E1986" s="57" t="s">
        <v>1352</v>
      </c>
      <c r="F1986" s="2" t="s">
        <v>1642</v>
      </c>
    </row>
    <row r="1987">
      <c r="A1987" s="55">
        <f t="shared" si="2"/>
        <v>1986</v>
      </c>
      <c r="B1987" s="56" t="s">
        <v>1643</v>
      </c>
      <c r="C1987" s="55" t="s">
        <v>36</v>
      </c>
      <c r="D1987" s="55">
        <v>1319.0</v>
      </c>
      <c r="E1987" s="57" t="s">
        <v>1352</v>
      </c>
      <c r="F1987" s="2" t="s">
        <v>1642</v>
      </c>
    </row>
    <row r="1988">
      <c r="A1988" s="55">
        <f t="shared" si="2"/>
        <v>1987</v>
      </c>
      <c r="B1988" s="56" t="s">
        <v>1643</v>
      </c>
      <c r="C1988" s="55" t="s">
        <v>42</v>
      </c>
      <c r="D1988" s="55">
        <v>1224.0</v>
      </c>
      <c r="E1988" s="57" t="s">
        <v>1352</v>
      </c>
      <c r="F1988" s="2" t="s">
        <v>1642</v>
      </c>
    </row>
    <row r="1989">
      <c r="A1989" s="55">
        <f t="shared" si="2"/>
        <v>1988</v>
      </c>
      <c r="B1989" s="56" t="s">
        <v>1643</v>
      </c>
      <c r="C1989" s="55" t="s">
        <v>31</v>
      </c>
      <c r="D1989" s="55">
        <v>1504.0</v>
      </c>
      <c r="E1989" s="57" t="s">
        <v>1352</v>
      </c>
      <c r="F1989" s="2" t="s">
        <v>1642</v>
      </c>
    </row>
    <row r="1990">
      <c r="A1990" s="55">
        <f t="shared" si="2"/>
        <v>1989</v>
      </c>
      <c r="B1990" s="56" t="s">
        <v>1643</v>
      </c>
      <c r="C1990" s="55" t="s">
        <v>26</v>
      </c>
      <c r="D1990" s="55">
        <v>1473.0</v>
      </c>
      <c r="E1990" s="57" t="s">
        <v>1352</v>
      </c>
      <c r="F1990" s="2" t="s">
        <v>1642</v>
      </c>
    </row>
    <row r="1991">
      <c r="A1991" s="55">
        <f t="shared" si="2"/>
        <v>1990</v>
      </c>
      <c r="B1991" s="56" t="s">
        <v>1643</v>
      </c>
      <c r="C1991" s="55" t="s">
        <v>27</v>
      </c>
      <c r="D1991" s="55">
        <v>1506.0</v>
      </c>
      <c r="E1991" s="57" t="s">
        <v>1352</v>
      </c>
      <c r="F1991" s="2" t="s">
        <v>1642</v>
      </c>
    </row>
    <row r="1992">
      <c r="A1992" s="55">
        <f t="shared" si="2"/>
        <v>1991</v>
      </c>
      <c r="B1992" s="56" t="s">
        <v>1647</v>
      </c>
      <c r="C1992" s="55" t="s">
        <v>26</v>
      </c>
      <c r="D1992" s="55">
        <v>1457.0</v>
      </c>
      <c r="E1992" s="57" t="s">
        <v>1352</v>
      </c>
      <c r="F1992" s="2" t="s">
        <v>1646</v>
      </c>
    </row>
    <row r="1993">
      <c r="A1993" s="55">
        <f t="shared" si="2"/>
        <v>1992</v>
      </c>
      <c r="B1993" s="56" t="s">
        <v>1647</v>
      </c>
      <c r="C1993" s="55" t="s">
        <v>30</v>
      </c>
      <c r="D1993" s="55">
        <v>1406.0</v>
      </c>
      <c r="E1993" s="57" t="s">
        <v>1352</v>
      </c>
      <c r="F1993" s="2" t="s">
        <v>1646</v>
      </c>
    </row>
    <row r="1994">
      <c r="A1994" s="55">
        <f t="shared" si="2"/>
        <v>1993</v>
      </c>
      <c r="B1994" s="56" t="s">
        <v>1647</v>
      </c>
      <c r="C1994" s="55" t="s">
        <v>36</v>
      </c>
      <c r="D1994" s="55">
        <v>1331.0</v>
      </c>
      <c r="E1994" s="57" t="s">
        <v>1352</v>
      </c>
      <c r="F1994" s="2" t="s">
        <v>1646</v>
      </c>
    </row>
    <row r="1995">
      <c r="A1995" s="55">
        <f t="shared" si="2"/>
        <v>1994</v>
      </c>
      <c r="B1995" s="56" t="s">
        <v>1647</v>
      </c>
      <c r="C1995" s="55" t="s">
        <v>27</v>
      </c>
      <c r="D1995" s="55">
        <v>1493.0</v>
      </c>
      <c r="E1995" s="57" t="s">
        <v>1352</v>
      </c>
      <c r="F1995" s="2" t="s">
        <v>1646</v>
      </c>
    </row>
    <row r="1996">
      <c r="A1996" s="55">
        <f t="shared" si="2"/>
        <v>1995</v>
      </c>
      <c r="B1996" s="56" t="s">
        <v>1647</v>
      </c>
      <c r="C1996" s="55" t="s">
        <v>42</v>
      </c>
      <c r="D1996" s="55">
        <v>1235.0</v>
      </c>
      <c r="E1996" s="57" t="s">
        <v>1352</v>
      </c>
      <c r="F1996" s="2" t="s">
        <v>1646</v>
      </c>
    </row>
    <row r="1997">
      <c r="A1997" s="55">
        <f t="shared" si="2"/>
        <v>1996</v>
      </c>
      <c r="B1997" s="56" t="s">
        <v>1651</v>
      </c>
      <c r="C1997" s="55" t="s">
        <v>34</v>
      </c>
      <c r="D1997" s="55">
        <v>964.0</v>
      </c>
      <c r="E1997" s="57" t="s">
        <v>1352</v>
      </c>
      <c r="F1997" s="2" t="s">
        <v>1650</v>
      </c>
    </row>
    <row r="1998">
      <c r="A1998" s="55">
        <f t="shared" si="2"/>
        <v>1997</v>
      </c>
      <c r="B1998" s="56" t="s">
        <v>1651</v>
      </c>
      <c r="C1998" s="55" t="s">
        <v>30</v>
      </c>
      <c r="D1998" s="55">
        <v>1422.0</v>
      </c>
      <c r="E1998" s="57" t="s">
        <v>1352</v>
      </c>
      <c r="F1998" s="2" t="s">
        <v>1650</v>
      </c>
    </row>
    <row r="1999">
      <c r="A1999" s="55">
        <f t="shared" si="2"/>
        <v>1998</v>
      </c>
      <c r="B1999" s="56" t="s">
        <v>1651</v>
      </c>
      <c r="C1999" s="55" t="s">
        <v>27</v>
      </c>
      <c r="D1999" s="55">
        <v>1480.0</v>
      </c>
      <c r="E1999" s="57" t="s">
        <v>1352</v>
      </c>
      <c r="F1999" s="2" t="s">
        <v>1650</v>
      </c>
    </row>
    <row r="2000">
      <c r="A2000" s="55">
        <f t="shared" si="2"/>
        <v>1999</v>
      </c>
      <c r="B2000" s="56" t="s">
        <v>1651</v>
      </c>
      <c r="C2000" s="55" t="s">
        <v>31</v>
      </c>
      <c r="D2000" s="55">
        <v>1489.0</v>
      </c>
      <c r="E2000" s="57" t="s">
        <v>1352</v>
      </c>
      <c r="F2000" s="2" t="s">
        <v>1650</v>
      </c>
    </row>
    <row r="2001">
      <c r="A2001" s="55">
        <f t="shared" si="2"/>
        <v>2000</v>
      </c>
      <c r="B2001" s="56" t="s">
        <v>1651</v>
      </c>
      <c r="C2001" s="55" t="s">
        <v>26</v>
      </c>
      <c r="D2001" s="55">
        <v>1474.0</v>
      </c>
      <c r="E2001" s="57" t="s">
        <v>1352</v>
      </c>
      <c r="F2001" s="2" t="s">
        <v>1650</v>
      </c>
    </row>
    <row r="2002">
      <c r="A2002" s="55">
        <f t="shared" si="2"/>
        <v>2001</v>
      </c>
      <c r="B2002" s="56" t="s">
        <v>1651</v>
      </c>
      <c r="C2002" s="55" t="s">
        <v>42</v>
      </c>
      <c r="D2002" s="55">
        <v>1214.0</v>
      </c>
      <c r="E2002" s="57" t="s">
        <v>1352</v>
      </c>
      <c r="F2002" s="2" t="s">
        <v>1650</v>
      </c>
    </row>
    <row r="2003">
      <c r="A2003" s="55">
        <f t="shared" si="2"/>
        <v>2002</v>
      </c>
      <c r="B2003" s="56" t="s">
        <v>1655</v>
      </c>
      <c r="C2003" s="55" t="s">
        <v>30</v>
      </c>
      <c r="D2003" s="55">
        <v>1434.0</v>
      </c>
      <c r="E2003" s="57" t="s">
        <v>1352</v>
      </c>
      <c r="F2003" s="2" t="s">
        <v>1654</v>
      </c>
    </row>
    <row r="2004">
      <c r="A2004" s="55">
        <f t="shared" si="2"/>
        <v>2003</v>
      </c>
      <c r="B2004" s="56" t="s">
        <v>1655</v>
      </c>
      <c r="C2004" s="55" t="s">
        <v>42</v>
      </c>
      <c r="D2004" s="55">
        <v>1192.0</v>
      </c>
      <c r="E2004" s="57" t="s">
        <v>1352</v>
      </c>
      <c r="F2004" s="2" t="s">
        <v>1654</v>
      </c>
    </row>
    <row r="2005">
      <c r="A2005" s="55">
        <f t="shared" si="2"/>
        <v>2004</v>
      </c>
      <c r="B2005" s="56" t="s">
        <v>1655</v>
      </c>
      <c r="C2005" s="55" t="s">
        <v>26</v>
      </c>
      <c r="D2005" s="55">
        <v>1458.0</v>
      </c>
      <c r="E2005" s="57" t="s">
        <v>1352</v>
      </c>
      <c r="F2005" s="2" t="s">
        <v>1654</v>
      </c>
    </row>
    <row r="2006">
      <c r="A2006" s="55">
        <f t="shared" si="2"/>
        <v>2005</v>
      </c>
      <c r="B2006" s="56" t="s">
        <v>1655</v>
      </c>
      <c r="C2006" s="55" t="s">
        <v>36</v>
      </c>
      <c r="D2006" s="55">
        <v>1313.0</v>
      </c>
      <c r="E2006" s="57" t="s">
        <v>1352</v>
      </c>
      <c r="F2006" s="2" t="s">
        <v>1654</v>
      </c>
    </row>
    <row r="2007">
      <c r="A2007" s="55">
        <f t="shared" si="2"/>
        <v>2006</v>
      </c>
      <c r="B2007" s="56" t="s">
        <v>1655</v>
      </c>
      <c r="C2007" s="55" t="s">
        <v>31</v>
      </c>
      <c r="D2007" s="55">
        <v>1474.0</v>
      </c>
      <c r="E2007" s="57" t="s">
        <v>1352</v>
      </c>
      <c r="F2007" s="2" t="s">
        <v>1654</v>
      </c>
    </row>
    <row r="2008">
      <c r="A2008" s="55">
        <f t="shared" si="2"/>
        <v>2007</v>
      </c>
      <c r="B2008" s="56" t="s">
        <v>1659</v>
      </c>
      <c r="C2008" s="55" t="s">
        <v>36</v>
      </c>
      <c r="D2008" s="55">
        <v>1293.0</v>
      </c>
      <c r="E2008" s="57" t="s">
        <v>1352</v>
      </c>
      <c r="F2008" s="2" t="s">
        <v>1658</v>
      </c>
    </row>
    <row r="2009">
      <c r="A2009" s="55">
        <f t="shared" si="2"/>
        <v>2008</v>
      </c>
      <c r="B2009" s="56" t="s">
        <v>1659</v>
      </c>
      <c r="C2009" s="55" t="s">
        <v>34</v>
      </c>
      <c r="D2009" s="55">
        <v>972.0</v>
      </c>
      <c r="E2009" s="57" t="s">
        <v>1352</v>
      </c>
      <c r="F2009" s="2" t="s">
        <v>1658</v>
      </c>
    </row>
    <row r="2010">
      <c r="A2010" s="55">
        <f t="shared" si="2"/>
        <v>2009</v>
      </c>
      <c r="B2010" s="56" t="s">
        <v>1659</v>
      </c>
      <c r="C2010" s="55" t="s">
        <v>42</v>
      </c>
      <c r="D2010" s="55">
        <v>1204.0</v>
      </c>
      <c r="E2010" s="57" t="s">
        <v>1352</v>
      </c>
      <c r="F2010" s="2" t="s">
        <v>1658</v>
      </c>
    </row>
    <row r="2011">
      <c r="A2011" s="55">
        <f t="shared" si="2"/>
        <v>2010</v>
      </c>
      <c r="B2011" s="56" t="s">
        <v>1659</v>
      </c>
      <c r="C2011" s="55" t="s">
        <v>26</v>
      </c>
      <c r="D2011" s="55">
        <v>1473.0</v>
      </c>
      <c r="E2011" s="57" t="s">
        <v>1352</v>
      </c>
      <c r="F2011" s="2" t="s">
        <v>1658</v>
      </c>
    </row>
    <row r="2012">
      <c r="A2012" s="55">
        <f t="shared" si="2"/>
        <v>2011</v>
      </c>
      <c r="B2012" s="56" t="s">
        <v>1659</v>
      </c>
      <c r="C2012" s="55" t="s">
        <v>27</v>
      </c>
      <c r="D2012" s="55">
        <v>1492.0</v>
      </c>
      <c r="E2012" s="57" t="s">
        <v>1352</v>
      </c>
      <c r="F2012" s="2" t="s">
        <v>1658</v>
      </c>
    </row>
    <row r="2013">
      <c r="A2013" s="55">
        <f t="shared" si="2"/>
        <v>2012</v>
      </c>
      <c r="B2013" s="56" t="s">
        <v>1659</v>
      </c>
      <c r="C2013" s="55" t="s">
        <v>30</v>
      </c>
      <c r="D2013" s="55">
        <v>1449.0</v>
      </c>
      <c r="E2013" s="57" t="s">
        <v>1352</v>
      </c>
      <c r="F2013" s="2" t="s">
        <v>1658</v>
      </c>
    </row>
    <row r="2014">
      <c r="A2014" s="55">
        <f t="shared" si="2"/>
        <v>2013</v>
      </c>
      <c r="B2014" s="56" t="s">
        <v>1663</v>
      </c>
      <c r="C2014" s="55" t="s">
        <v>34</v>
      </c>
      <c r="D2014" s="55">
        <v>980.0</v>
      </c>
      <c r="E2014" s="57" t="s">
        <v>1352</v>
      </c>
      <c r="F2014" s="2" t="s">
        <v>1662</v>
      </c>
    </row>
    <row r="2015">
      <c r="A2015" s="55">
        <f t="shared" si="2"/>
        <v>2014</v>
      </c>
      <c r="B2015" s="56" t="s">
        <v>1663</v>
      </c>
      <c r="C2015" s="55" t="s">
        <v>36</v>
      </c>
      <c r="D2015" s="55">
        <v>1303.0</v>
      </c>
      <c r="E2015" s="57" t="s">
        <v>1352</v>
      </c>
      <c r="F2015" s="2" t="s">
        <v>1662</v>
      </c>
    </row>
    <row r="2016">
      <c r="A2016" s="55">
        <f t="shared" si="2"/>
        <v>2015</v>
      </c>
      <c r="B2016" s="56" t="s">
        <v>1663</v>
      </c>
      <c r="C2016" s="55" t="s">
        <v>30</v>
      </c>
      <c r="D2016" s="55">
        <v>1435.0</v>
      </c>
      <c r="E2016" s="57" t="s">
        <v>1352</v>
      </c>
      <c r="F2016" s="2" t="s">
        <v>1662</v>
      </c>
    </row>
    <row r="2017">
      <c r="A2017" s="55">
        <f t="shared" si="2"/>
        <v>2016</v>
      </c>
      <c r="B2017" s="56" t="s">
        <v>1663</v>
      </c>
      <c r="C2017" s="55" t="s">
        <v>26</v>
      </c>
      <c r="D2017" s="55">
        <v>1460.0</v>
      </c>
      <c r="E2017" s="57" t="s">
        <v>1352</v>
      </c>
      <c r="F2017" s="2" t="s">
        <v>1662</v>
      </c>
    </row>
    <row r="2018">
      <c r="A2018" s="55">
        <f t="shared" si="2"/>
        <v>2017</v>
      </c>
      <c r="B2018" s="56" t="s">
        <v>1663</v>
      </c>
      <c r="C2018" s="55" t="s">
        <v>27</v>
      </c>
      <c r="D2018" s="55">
        <v>1481.0</v>
      </c>
      <c r="E2018" s="57" t="s">
        <v>1352</v>
      </c>
      <c r="F2018" s="2" t="s">
        <v>1662</v>
      </c>
    </row>
    <row r="2019">
      <c r="A2019" s="55">
        <f t="shared" si="2"/>
        <v>2018</v>
      </c>
      <c r="B2019" s="56" t="s">
        <v>1667</v>
      </c>
      <c r="C2019" s="55" t="s">
        <v>36</v>
      </c>
      <c r="D2019" s="55">
        <v>1319.0</v>
      </c>
      <c r="E2019" s="57" t="s">
        <v>1352</v>
      </c>
      <c r="F2019" s="2" t="s">
        <v>1666</v>
      </c>
    </row>
    <row r="2020">
      <c r="A2020" s="55">
        <f t="shared" si="2"/>
        <v>2019</v>
      </c>
      <c r="B2020" s="56" t="s">
        <v>1667</v>
      </c>
      <c r="C2020" s="55" t="s">
        <v>30</v>
      </c>
      <c r="D2020" s="55">
        <v>1452.0</v>
      </c>
      <c r="E2020" s="57" t="s">
        <v>1352</v>
      </c>
      <c r="F2020" s="2" t="s">
        <v>1666</v>
      </c>
    </row>
    <row r="2021">
      <c r="A2021" s="55">
        <f t="shared" si="2"/>
        <v>2020</v>
      </c>
      <c r="B2021" s="56" t="s">
        <v>1667</v>
      </c>
      <c r="C2021" s="55" t="s">
        <v>27</v>
      </c>
      <c r="D2021" s="55">
        <v>1465.0</v>
      </c>
      <c r="E2021" s="57" t="s">
        <v>1352</v>
      </c>
      <c r="F2021" s="2" t="s">
        <v>1666</v>
      </c>
    </row>
    <row r="2022">
      <c r="A2022" s="55">
        <f t="shared" si="2"/>
        <v>2021</v>
      </c>
      <c r="B2022" s="56" t="s">
        <v>1667</v>
      </c>
      <c r="C2022" s="55" t="s">
        <v>31</v>
      </c>
      <c r="D2022" s="55">
        <v>1456.0</v>
      </c>
      <c r="E2022" s="57" t="s">
        <v>1352</v>
      </c>
      <c r="F2022" s="2" t="s">
        <v>1666</v>
      </c>
    </row>
    <row r="2023">
      <c r="A2023" s="55">
        <f t="shared" si="2"/>
        <v>2022</v>
      </c>
      <c r="B2023" s="56" t="s">
        <v>1667</v>
      </c>
      <c r="C2023" s="55" t="s">
        <v>34</v>
      </c>
      <c r="D2023" s="55">
        <v>992.0</v>
      </c>
      <c r="E2023" s="57" t="s">
        <v>1352</v>
      </c>
      <c r="F2023" s="2" t="s">
        <v>1666</v>
      </c>
    </row>
    <row r="2024">
      <c r="A2024" s="55">
        <f t="shared" si="2"/>
        <v>2023</v>
      </c>
      <c r="B2024" s="56" t="s">
        <v>1667</v>
      </c>
      <c r="C2024" s="55" t="s">
        <v>26</v>
      </c>
      <c r="D2024" s="55">
        <v>1477.0</v>
      </c>
      <c r="E2024" s="57" t="s">
        <v>1352</v>
      </c>
      <c r="F2024" s="2" t="s">
        <v>1666</v>
      </c>
    </row>
    <row r="2025">
      <c r="A2025" s="55">
        <f t="shared" si="2"/>
        <v>2024</v>
      </c>
      <c r="B2025" s="56" t="s">
        <v>1671</v>
      </c>
      <c r="C2025" s="55" t="s">
        <v>24</v>
      </c>
      <c r="D2025" s="55">
        <v>1452.0</v>
      </c>
      <c r="E2025" s="57" t="s">
        <v>1352</v>
      </c>
      <c r="F2025" s="2" t="s">
        <v>1670</v>
      </c>
    </row>
    <row r="2026">
      <c r="A2026" s="55">
        <f t="shared" si="2"/>
        <v>2025</v>
      </c>
      <c r="B2026" s="56" t="s">
        <v>1671</v>
      </c>
      <c r="C2026" s="55" t="s">
        <v>42</v>
      </c>
      <c r="D2026" s="55">
        <v>1214.0</v>
      </c>
      <c r="E2026" s="57" t="s">
        <v>1352</v>
      </c>
      <c r="F2026" s="2" t="s">
        <v>1670</v>
      </c>
    </row>
    <row r="2027">
      <c r="A2027" s="55">
        <f t="shared" si="2"/>
        <v>2026</v>
      </c>
      <c r="B2027" s="56" t="s">
        <v>1671</v>
      </c>
      <c r="C2027" s="55" t="s">
        <v>34</v>
      </c>
      <c r="D2027" s="55">
        <v>954.0</v>
      </c>
      <c r="E2027" s="57" t="s">
        <v>1352</v>
      </c>
      <c r="F2027" s="2" t="s">
        <v>1670</v>
      </c>
    </row>
    <row r="2028">
      <c r="A2028" s="55">
        <f t="shared" si="2"/>
        <v>2027</v>
      </c>
      <c r="B2028" s="56" t="s">
        <v>1671</v>
      </c>
      <c r="C2028" s="55" t="s">
        <v>26</v>
      </c>
      <c r="D2028" s="55">
        <v>1457.0</v>
      </c>
      <c r="E2028" s="57" t="s">
        <v>1352</v>
      </c>
      <c r="F2028" s="2" t="s">
        <v>1670</v>
      </c>
    </row>
    <row r="2029">
      <c r="A2029" s="55">
        <f t="shared" si="2"/>
        <v>2028</v>
      </c>
      <c r="B2029" s="56" t="s">
        <v>1671</v>
      </c>
      <c r="C2029" s="55" t="s">
        <v>36</v>
      </c>
      <c r="D2029" s="55">
        <v>1333.0</v>
      </c>
      <c r="E2029" s="57" t="s">
        <v>1352</v>
      </c>
      <c r="F2029" s="2" t="s">
        <v>1670</v>
      </c>
    </row>
    <row r="2030">
      <c r="A2030" s="55">
        <f t="shared" si="2"/>
        <v>2029</v>
      </c>
      <c r="B2030" s="56" t="s">
        <v>1671</v>
      </c>
      <c r="C2030" s="55" t="s">
        <v>30</v>
      </c>
      <c r="D2030" s="55">
        <v>1467.0</v>
      </c>
      <c r="E2030" s="57" t="s">
        <v>1352</v>
      </c>
      <c r="F2030" s="2" t="s">
        <v>1670</v>
      </c>
    </row>
    <row r="2031">
      <c r="A2031" s="55">
        <f t="shared" si="2"/>
        <v>2030</v>
      </c>
      <c r="B2031" s="56" t="s">
        <v>1676</v>
      </c>
      <c r="C2031" s="55" t="s">
        <v>36</v>
      </c>
      <c r="D2031" s="55">
        <v>1314.0</v>
      </c>
      <c r="E2031" s="57" t="s">
        <v>1352</v>
      </c>
      <c r="F2031" s="2" t="s">
        <v>1675</v>
      </c>
    </row>
    <row r="2032">
      <c r="A2032" s="55">
        <f t="shared" si="2"/>
        <v>2031</v>
      </c>
      <c r="B2032" s="56" t="s">
        <v>1676</v>
      </c>
      <c r="C2032" s="55" t="s">
        <v>30</v>
      </c>
      <c r="D2032" s="55">
        <v>1449.0</v>
      </c>
      <c r="E2032" s="57" t="s">
        <v>1352</v>
      </c>
      <c r="F2032" s="2" t="s">
        <v>1675</v>
      </c>
    </row>
    <row r="2033">
      <c r="A2033" s="55">
        <f t="shared" si="2"/>
        <v>2032</v>
      </c>
      <c r="B2033" s="56" t="s">
        <v>1676</v>
      </c>
      <c r="C2033" s="55" t="s">
        <v>24</v>
      </c>
      <c r="D2033" s="55">
        <v>1467.0</v>
      </c>
      <c r="E2033" s="57" t="s">
        <v>1352</v>
      </c>
      <c r="F2033" s="2" t="s">
        <v>1675</v>
      </c>
    </row>
    <row r="2034">
      <c r="A2034" s="55">
        <f t="shared" si="2"/>
        <v>2033</v>
      </c>
      <c r="B2034" s="56" t="s">
        <v>1676</v>
      </c>
      <c r="C2034" s="55" t="s">
        <v>42</v>
      </c>
      <c r="D2034" s="55">
        <v>1227.0</v>
      </c>
      <c r="E2034" s="57" t="s">
        <v>1352</v>
      </c>
      <c r="F2034" s="2" t="s">
        <v>1675</v>
      </c>
    </row>
    <row r="2035">
      <c r="A2035" s="55">
        <f t="shared" si="2"/>
        <v>2034</v>
      </c>
      <c r="B2035" s="56" t="s">
        <v>1676</v>
      </c>
      <c r="C2035" s="55" t="s">
        <v>29</v>
      </c>
      <c r="D2035" s="55">
        <v>1433.0</v>
      </c>
      <c r="E2035" s="57" t="s">
        <v>1352</v>
      </c>
      <c r="F2035" s="2" t="s">
        <v>1675</v>
      </c>
    </row>
    <row r="2036">
      <c r="A2036" s="55">
        <f t="shared" si="2"/>
        <v>2035</v>
      </c>
      <c r="B2036" s="56" t="s">
        <v>1676</v>
      </c>
      <c r="C2036" s="55" t="s">
        <v>27</v>
      </c>
      <c r="D2036" s="55">
        <v>1480.0</v>
      </c>
      <c r="E2036" s="57" t="s">
        <v>1352</v>
      </c>
      <c r="F2036" s="2" t="s">
        <v>1675</v>
      </c>
    </row>
    <row r="2037">
      <c r="A2037" s="55">
        <f t="shared" si="2"/>
        <v>2036</v>
      </c>
      <c r="B2037" s="56" t="s">
        <v>1676</v>
      </c>
      <c r="C2037" s="55" t="s">
        <v>26</v>
      </c>
      <c r="D2037" s="55">
        <v>1472.0</v>
      </c>
      <c r="E2037" s="57" t="s">
        <v>1352</v>
      </c>
      <c r="F2037" s="2" t="s">
        <v>1675</v>
      </c>
    </row>
    <row r="2038">
      <c r="A2038" s="55">
        <f t="shared" si="2"/>
        <v>2037</v>
      </c>
      <c r="B2038" s="56" t="s">
        <v>1676</v>
      </c>
      <c r="C2038" s="55" t="s">
        <v>31</v>
      </c>
      <c r="D2038" s="55">
        <v>1435.0</v>
      </c>
      <c r="E2038" s="57" t="s">
        <v>1352</v>
      </c>
      <c r="F2038" s="2" t="s">
        <v>1675</v>
      </c>
    </row>
    <row r="2039">
      <c r="A2039" s="55">
        <f t="shared" si="2"/>
        <v>2038</v>
      </c>
      <c r="B2039" s="56" t="s">
        <v>1681</v>
      </c>
      <c r="C2039" s="55" t="s">
        <v>24</v>
      </c>
      <c r="D2039" s="55">
        <v>1480.0</v>
      </c>
      <c r="E2039" s="57" t="s">
        <v>1352</v>
      </c>
      <c r="F2039" s="2" t="s">
        <v>1680</v>
      </c>
    </row>
    <row r="2040">
      <c r="A2040" s="55">
        <f t="shared" si="2"/>
        <v>2039</v>
      </c>
      <c r="B2040" s="56" t="s">
        <v>1681</v>
      </c>
      <c r="C2040" s="55" t="s">
        <v>42</v>
      </c>
      <c r="D2040" s="55">
        <v>1238.0</v>
      </c>
      <c r="E2040" s="57" t="s">
        <v>1352</v>
      </c>
      <c r="F2040" s="2" t="s">
        <v>1680</v>
      </c>
    </row>
    <row r="2041">
      <c r="A2041" s="55">
        <f t="shared" si="2"/>
        <v>2040</v>
      </c>
      <c r="B2041" s="56" t="s">
        <v>1681</v>
      </c>
      <c r="C2041" s="55" t="s">
        <v>26</v>
      </c>
      <c r="D2041" s="55">
        <v>1450.0</v>
      </c>
      <c r="E2041" s="57" t="s">
        <v>1352</v>
      </c>
      <c r="F2041" s="2" t="s">
        <v>1680</v>
      </c>
    </row>
    <row r="2042">
      <c r="A2042" s="55">
        <f t="shared" si="2"/>
        <v>2041</v>
      </c>
      <c r="B2042" s="56" t="s">
        <v>1681</v>
      </c>
      <c r="C2042" s="55" t="s">
        <v>36</v>
      </c>
      <c r="D2042" s="55">
        <v>1326.0</v>
      </c>
      <c r="E2042" s="57" t="s">
        <v>1352</v>
      </c>
      <c r="F2042" s="2" t="s">
        <v>1680</v>
      </c>
    </row>
    <row r="2043">
      <c r="A2043" s="55">
        <f t="shared" si="2"/>
        <v>2042</v>
      </c>
      <c r="B2043" s="56" t="s">
        <v>1681</v>
      </c>
      <c r="C2043" s="55" t="s">
        <v>29</v>
      </c>
      <c r="D2043" s="55">
        <v>1410.0</v>
      </c>
      <c r="E2043" s="57" t="s">
        <v>1352</v>
      </c>
      <c r="F2043" s="2" t="s">
        <v>1680</v>
      </c>
    </row>
    <row r="2044">
      <c r="A2044" s="55">
        <f t="shared" si="2"/>
        <v>2043</v>
      </c>
      <c r="B2044" s="56" t="s">
        <v>1681</v>
      </c>
      <c r="C2044" s="55" t="s">
        <v>30</v>
      </c>
      <c r="D2044" s="55">
        <v>1462.0</v>
      </c>
      <c r="E2044" s="57" t="s">
        <v>1352</v>
      </c>
      <c r="F2044" s="2" t="s">
        <v>1680</v>
      </c>
    </row>
    <row r="2045">
      <c r="A2045" s="55">
        <f t="shared" si="2"/>
        <v>2044</v>
      </c>
      <c r="B2045" s="56" t="s">
        <v>1681</v>
      </c>
      <c r="C2045" s="55" t="s">
        <v>27</v>
      </c>
      <c r="D2045" s="55">
        <v>1462.0</v>
      </c>
      <c r="E2045" s="57" t="s">
        <v>1352</v>
      </c>
      <c r="F2045" s="2" t="s">
        <v>1680</v>
      </c>
    </row>
    <row r="2046">
      <c r="A2046" s="55">
        <f t="shared" si="2"/>
        <v>2045</v>
      </c>
      <c r="B2046" s="56" t="s">
        <v>1681</v>
      </c>
      <c r="C2046" s="55" t="s">
        <v>31</v>
      </c>
      <c r="D2046" s="55">
        <v>1412.0</v>
      </c>
      <c r="E2046" s="57" t="s">
        <v>1352</v>
      </c>
      <c r="F2046" s="2" t="s">
        <v>1680</v>
      </c>
    </row>
    <row r="2047">
      <c r="A2047" s="55">
        <f t="shared" si="2"/>
        <v>2046</v>
      </c>
      <c r="B2047" s="56" t="s">
        <v>1685</v>
      </c>
      <c r="C2047" s="55" t="s">
        <v>36</v>
      </c>
      <c r="D2047" s="55">
        <v>1340.0</v>
      </c>
      <c r="E2047" s="57" t="s">
        <v>1352</v>
      </c>
      <c r="F2047" s="2" t="s">
        <v>1684</v>
      </c>
    </row>
    <row r="2048">
      <c r="A2048" s="55">
        <f t="shared" si="2"/>
        <v>2047</v>
      </c>
      <c r="B2048" s="56" t="s">
        <v>1685</v>
      </c>
      <c r="C2048" s="55" t="s">
        <v>24</v>
      </c>
      <c r="D2048" s="55">
        <v>1495.0</v>
      </c>
      <c r="E2048" s="57" t="s">
        <v>1352</v>
      </c>
      <c r="F2048" s="2" t="s">
        <v>1684</v>
      </c>
    </row>
    <row r="2049">
      <c r="A2049" s="55">
        <f t="shared" si="2"/>
        <v>2048</v>
      </c>
      <c r="B2049" s="56" t="s">
        <v>1685</v>
      </c>
      <c r="C2049" s="55" t="s">
        <v>42</v>
      </c>
      <c r="D2049" s="55">
        <v>1251.0</v>
      </c>
      <c r="E2049" s="57" t="s">
        <v>1352</v>
      </c>
      <c r="F2049" s="2" t="s">
        <v>1684</v>
      </c>
    </row>
    <row r="2050">
      <c r="A2050" s="55">
        <f t="shared" si="2"/>
        <v>2049</v>
      </c>
      <c r="B2050" s="56" t="s">
        <v>1685</v>
      </c>
      <c r="C2050" s="55" t="s">
        <v>26</v>
      </c>
      <c r="D2050" s="55">
        <v>1465.0</v>
      </c>
      <c r="E2050" s="57" t="s">
        <v>1352</v>
      </c>
      <c r="F2050" s="2" t="s">
        <v>1684</v>
      </c>
    </row>
    <row r="2051">
      <c r="A2051" s="55">
        <f t="shared" si="2"/>
        <v>2050</v>
      </c>
      <c r="B2051" s="56" t="s">
        <v>1685</v>
      </c>
      <c r="C2051" s="55" t="s">
        <v>29</v>
      </c>
      <c r="D2051" s="55">
        <v>1385.0</v>
      </c>
      <c r="E2051" s="57" t="s">
        <v>1352</v>
      </c>
      <c r="F2051" s="2" t="s">
        <v>1684</v>
      </c>
    </row>
    <row r="2052">
      <c r="A2052" s="55">
        <f t="shared" si="2"/>
        <v>2051</v>
      </c>
      <c r="B2052" s="56" t="s">
        <v>1685</v>
      </c>
      <c r="C2052" s="55" t="s">
        <v>27</v>
      </c>
      <c r="D2052" s="55">
        <v>1443.0</v>
      </c>
      <c r="E2052" s="57" t="s">
        <v>1352</v>
      </c>
      <c r="F2052" s="2" t="s">
        <v>1684</v>
      </c>
    </row>
    <row r="2053">
      <c r="A2053" s="55">
        <f t="shared" si="2"/>
        <v>2052</v>
      </c>
      <c r="B2053" s="56" t="s">
        <v>1685</v>
      </c>
      <c r="C2053" s="55" t="s">
        <v>30</v>
      </c>
      <c r="D2053" s="55">
        <v>1440.0</v>
      </c>
      <c r="E2053" s="57" t="s">
        <v>1352</v>
      </c>
      <c r="F2053" s="2" t="s">
        <v>1684</v>
      </c>
    </row>
    <row r="2054">
      <c r="A2054" s="55">
        <f t="shared" si="2"/>
        <v>2053</v>
      </c>
      <c r="B2054" s="56" t="s">
        <v>1685</v>
      </c>
      <c r="C2054" s="55" t="s">
        <v>31</v>
      </c>
      <c r="D2054" s="55">
        <v>1387.0</v>
      </c>
      <c r="E2054" s="57" t="s">
        <v>1352</v>
      </c>
      <c r="F2054" s="2" t="s">
        <v>1684</v>
      </c>
    </row>
    <row r="2055">
      <c r="A2055" s="55">
        <f t="shared" si="2"/>
        <v>2054</v>
      </c>
      <c r="B2055" s="56" t="s">
        <v>1689</v>
      </c>
      <c r="C2055" s="55" t="s">
        <v>29</v>
      </c>
      <c r="D2055" s="55">
        <v>1359.0</v>
      </c>
      <c r="E2055" s="57" t="s">
        <v>1352</v>
      </c>
      <c r="F2055" s="2" t="s">
        <v>1688</v>
      </c>
    </row>
    <row r="2056">
      <c r="A2056" s="55">
        <f t="shared" si="2"/>
        <v>2055</v>
      </c>
      <c r="B2056" s="56" t="s">
        <v>1689</v>
      </c>
      <c r="C2056" s="55" t="s">
        <v>31</v>
      </c>
      <c r="D2056" s="55">
        <v>1361.0</v>
      </c>
      <c r="E2056" s="57" t="s">
        <v>1352</v>
      </c>
      <c r="F2056" s="2" t="s">
        <v>1688</v>
      </c>
    </row>
    <row r="2057">
      <c r="A2057" s="55">
        <f t="shared" si="2"/>
        <v>2056</v>
      </c>
      <c r="B2057" s="56" t="s">
        <v>1689</v>
      </c>
      <c r="C2057" s="55" t="s">
        <v>27</v>
      </c>
      <c r="D2057" s="55">
        <v>1423.0</v>
      </c>
      <c r="E2057" s="57" t="s">
        <v>1352</v>
      </c>
      <c r="F2057" s="2" t="s">
        <v>1688</v>
      </c>
    </row>
    <row r="2058">
      <c r="A2058" s="55">
        <f t="shared" si="2"/>
        <v>2057</v>
      </c>
      <c r="B2058" s="56" t="s">
        <v>1689</v>
      </c>
      <c r="C2058" s="55" t="s">
        <v>30</v>
      </c>
      <c r="D2058" s="55">
        <v>1416.0</v>
      </c>
      <c r="E2058" s="57" t="s">
        <v>1352</v>
      </c>
      <c r="F2058" s="2" t="s">
        <v>1688</v>
      </c>
    </row>
    <row r="2059">
      <c r="A2059" s="55">
        <f t="shared" si="2"/>
        <v>2058</v>
      </c>
      <c r="B2059" s="56" t="s">
        <v>1689</v>
      </c>
      <c r="C2059" s="55" t="s">
        <v>36</v>
      </c>
      <c r="D2059" s="55">
        <v>1350.0</v>
      </c>
      <c r="E2059" s="57" t="s">
        <v>1352</v>
      </c>
      <c r="F2059" s="2" t="s">
        <v>1688</v>
      </c>
    </row>
    <row r="2060">
      <c r="A2060" s="55">
        <f t="shared" si="2"/>
        <v>2059</v>
      </c>
      <c r="B2060" s="56" t="s">
        <v>1689</v>
      </c>
      <c r="C2060" s="55" t="s">
        <v>24</v>
      </c>
      <c r="D2060" s="55">
        <v>1507.0</v>
      </c>
      <c r="E2060" s="57" t="s">
        <v>1352</v>
      </c>
      <c r="F2060" s="2" t="s">
        <v>1688</v>
      </c>
    </row>
    <row r="2061">
      <c r="A2061" s="55">
        <f t="shared" si="2"/>
        <v>2060</v>
      </c>
      <c r="B2061" s="56" t="s">
        <v>1689</v>
      </c>
      <c r="C2061" s="55" t="s">
        <v>26</v>
      </c>
      <c r="D2061" s="55">
        <v>1477.0</v>
      </c>
      <c r="E2061" s="57" t="s">
        <v>1352</v>
      </c>
      <c r="F2061" s="2" t="s">
        <v>1688</v>
      </c>
    </row>
    <row r="2062">
      <c r="A2062" s="55">
        <f t="shared" si="2"/>
        <v>2061</v>
      </c>
      <c r="B2062" s="56" t="s">
        <v>1689</v>
      </c>
      <c r="C2062" s="55" t="s">
        <v>42</v>
      </c>
      <c r="D2062" s="55">
        <v>1261.0</v>
      </c>
      <c r="E2062" s="57" t="s">
        <v>1352</v>
      </c>
      <c r="F2062" s="2" t="s">
        <v>1688</v>
      </c>
    </row>
    <row r="2063">
      <c r="A2063" s="55">
        <f t="shared" si="2"/>
        <v>2062</v>
      </c>
      <c r="B2063" s="56" t="s">
        <v>1693</v>
      </c>
      <c r="C2063" s="55" t="s">
        <v>36</v>
      </c>
      <c r="D2063" s="55">
        <v>1327.0</v>
      </c>
      <c r="E2063" s="57" t="s">
        <v>1352</v>
      </c>
      <c r="F2063" s="2" t="s">
        <v>1692</v>
      </c>
    </row>
    <row r="2064">
      <c r="A2064" s="55">
        <f t="shared" si="2"/>
        <v>2063</v>
      </c>
      <c r="B2064" s="56" t="s">
        <v>1693</v>
      </c>
      <c r="C2064" s="55" t="s">
        <v>42</v>
      </c>
      <c r="D2064" s="55">
        <v>1235.0</v>
      </c>
      <c r="E2064" s="57" t="s">
        <v>1352</v>
      </c>
      <c r="F2064" s="2" t="s">
        <v>1692</v>
      </c>
    </row>
    <row r="2065">
      <c r="A2065" s="55">
        <f t="shared" si="2"/>
        <v>2064</v>
      </c>
      <c r="B2065" s="56" t="s">
        <v>1693</v>
      </c>
      <c r="C2065" s="55" t="s">
        <v>26</v>
      </c>
      <c r="D2065" s="55">
        <v>1455.0</v>
      </c>
      <c r="E2065" s="57" t="s">
        <v>1352</v>
      </c>
      <c r="F2065" s="2" t="s">
        <v>1692</v>
      </c>
    </row>
    <row r="2066">
      <c r="A2066" s="55">
        <f t="shared" si="2"/>
        <v>2065</v>
      </c>
      <c r="B2066" s="56" t="s">
        <v>1693</v>
      </c>
      <c r="C2066" s="55" t="s">
        <v>30</v>
      </c>
      <c r="D2066" s="55">
        <v>1429.0</v>
      </c>
      <c r="E2066" s="57" t="s">
        <v>1352</v>
      </c>
      <c r="F2066" s="2" t="s">
        <v>1692</v>
      </c>
    </row>
    <row r="2067">
      <c r="A2067" s="55">
        <f t="shared" si="2"/>
        <v>2066</v>
      </c>
      <c r="B2067" s="56" t="s">
        <v>1693</v>
      </c>
      <c r="C2067" s="55" t="s">
        <v>31</v>
      </c>
      <c r="D2067" s="55">
        <v>1374.0</v>
      </c>
      <c r="E2067" s="57" t="s">
        <v>1352</v>
      </c>
      <c r="F2067" s="2" t="s">
        <v>1692</v>
      </c>
    </row>
    <row r="2068">
      <c r="A2068" s="55">
        <f t="shared" si="2"/>
        <v>2067</v>
      </c>
      <c r="B2068" s="56" t="s">
        <v>1693</v>
      </c>
      <c r="C2068" s="55" t="s">
        <v>27</v>
      </c>
      <c r="D2068" s="55">
        <v>1436.0</v>
      </c>
      <c r="E2068" s="57" t="s">
        <v>1352</v>
      </c>
      <c r="F2068" s="2" t="s">
        <v>1692</v>
      </c>
    </row>
    <row r="2069">
      <c r="A2069" s="55">
        <f t="shared" si="2"/>
        <v>2068</v>
      </c>
      <c r="B2069" s="56" t="s">
        <v>1693</v>
      </c>
      <c r="C2069" s="55" t="s">
        <v>34</v>
      </c>
      <c r="D2069" s="55">
        <v>964.0</v>
      </c>
      <c r="E2069" s="57" t="s">
        <v>1352</v>
      </c>
      <c r="F2069" s="2" t="s">
        <v>1692</v>
      </c>
    </row>
    <row r="2070">
      <c r="A2070" s="55">
        <f t="shared" si="2"/>
        <v>2069</v>
      </c>
      <c r="B2070" s="56" t="s">
        <v>1697</v>
      </c>
      <c r="C2070" s="55" t="s">
        <v>26</v>
      </c>
      <c r="D2070" s="55">
        <v>1472.0</v>
      </c>
      <c r="E2070" s="57" t="s">
        <v>1352</v>
      </c>
      <c r="F2070" s="2" t="s">
        <v>1696</v>
      </c>
    </row>
    <row r="2071">
      <c r="A2071" s="55">
        <f t="shared" si="2"/>
        <v>2070</v>
      </c>
      <c r="B2071" s="56" t="s">
        <v>1697</v>
      </c>
      <c r="C2071" s="55" t="s">
        <v>34</v>
      </c>
      <c r="D2071" s="55">
        <v>933.0</v>
      </c>
      <c r="E2071" s="57" t="s">
        <v>1352</v>
      </c>
      <c r="F2071" s="2" t="s">
        <v>1696</v>
      </c>
    </row>
    <row r="2072">
      <c r="A2072" s="55">
        <f t="shared" si="2"/>
        <v>2071</v>
      </c>
      <c r="B2072" s="56" t="s">
        <v>1697</v>
      </c>
      <c r="C2072" s="55" t="s">
        <v>42</v>
      </c>
      <c r="D2072" s="55">
        <v>1249.0</v>
      </c>
      <c r="E2072" s="57" t="s">
        <v>1352</v>
      </c>
      <c r="F2072" s="2" t="s">
        <v>1696</v>
      </c>
    </row>
    <row r="2073">
      <c r="A2073" s="55">
        <f t="shared" si="2"/>
        <v>2072</v>
      </c>
      <c r="B2073" s="56" t="s">
        <v>1697</v>
      </c>
      <c r="C2073" s="55" t="s">
        <v>27</v>
      </c>
      <c r="D2073" s="55">
        <v>1420.0</v>
      </c>
      <c r="E2073" s="57" t="s">
        <v>1352</v>
      </c>
      <c r="F2073" s="2" t="s">
        <v>1696</v>
      </c>
    </row>
    <row r="2074">
      <c r="A2074" s="55">
        <f t="shared" si="2"/>
        <v>2073</v>
      </c>
      <c r="B2074" s="56" t="s">
        <v>1697</v>
      </c>
      <c r="C2074" s="55" t="s">
        <v>30</v>
      </c>
      <c r="D2074" s="55">
        <v>1410.0</v>
      </c>
      <c r="E2074" s="57" t="s">
        <v>1352</v>
      </c>
      <c r="F2074" s="2" t="s">
        <v>1696</v>
      </c>
    </row>
    <row r="2075">
      <c r="A2075" s="55">
        <f t="shared" si="2"/>
        <v>2074</v>
      </c>
      <c r="B2075" s="56" t="s">
        <v>1697</v>
      </c>
      <c r="C2075" s="55" t="s">
        <v>36</v>
      </c>
      <c r="D2075" s="55">
        <v>1342.0</v>
      </c>
      <c r="E2075" s="57" t="s">
        <v>1352</v>
      </c>
      <c r="F2075" s="2" t="s">
        <v>1696</v>
      </c>
    </row>
    <row r="2076">
      <c r="A2076" s="55">
        <f t="shared" si="2"/>
        <v>2075</v>
      </c>
      <c r="B2076" s="56" t="s">
        <v>1697</v>
      </c>
      <c r="C2076" s="55" t="s">
        <v>31</v>
      </c>
      <c r="D2076" s="55">
        <v>1352.0</v>
      </c>
      <c r="E2076" s="57" t="s">
        <v>1352</v>
      </c>
      <c r="F2076" s="2" t="s">
        <v>1696</v>
      </c>
    </row>
    <row r="2077">
      <c r="A2077" s="55">
        <f t="shared" si="2"/>
        <v>2076</v>
      </c>
      <c r="B2077" s="56" t="s">
        <v>1702</v>
      </c>
      <c r="C2077" s="55" t="s">
        <v>30</v>
      </c>
      <c r="D2077" s="55">
        <v>1390.0</v>
      </c>
      <c r="E2077" s="57" t="s">
        <v>1352</v>
      </c>
      <c r="F2077" s="2" t="s">
        <v>1701</v>
      </c>
    </row>
    <row r="2078">
      <c r="A2078" s="55">
        <f t="shared" si="2"/>
        <v>2077</v>
      </c>
      <c r="B2078" s="56" t="s">
        <v>1702</v>
      </c>
      <c r="C2078" s="55" t="s">
        <v>31</v>
      </c>
      <c r="D2078" s="55">
        <v>1329.0</v>
      </c>
      <c r="E2078" s="57" t="s">
        <v>1352</v>
      </c>
      <c r="F2078" s="2" t="s">
        <v>1701</v>
      </c>
    </row>
    <row r="2079">
      <c r="A2079" s="55">
        <f t="shared" si="2"/>
        <v>2078</v>
      </c>
      <c r="B2079" s="56" t="s">
        <v>1702</v>
      </c>
      <c r="C2079" s="55" t="s">
        <v>34</v>
      </c>
      <c r="D2079" s="55">
        <v>944.0</v>
      </c>
      <c r="E2079" s="57" t="s">
        <v>1352</v>
      </c>
      <c r="F2079" s="2" t="s">
        <v>1701</v>
      </c>
    </row>
    <row r="2080">
      <c r="A2080" s="55">
        <f t="shared" si="2"/>
        <v>2079</v>
      </c>
      <c r="B2080" s="56" t="s">
        <v>1702</v>
      </c>
      <c r="C2080" s="55" t="s">
        <v>26</v>
      </c>
      <c r="D2080" s="55">
        <v>1489.0</v>
      </c>
      <c r="E2080" s="57" t="s">
        <v>1352</v>
      </c>
      <c r="F2080" s="2" t="s">
        <v>1701</v>
      </c>
    </row>
    <row r="2081">
      <c r="A2081" s="55">
        <f t="shared" si="2"/>
        <v>2080</v>
      </c>
      <c r="B2081" s="56" t="s">
        <v>1702</v>
      </c>
      <c r="C2081" s="55" t="s">
        <v>36</v>
      </c>
      <c r="D2081" s="55">
        <v>1323.0</v>
      </c>
      <c r="E2081" s="57" t="s">
        <v>1352</v>
      </c>
      <c r="F2081" s="2" t="s">
        <v>1701</v>
      </c>
    </row>
    <row r="2082">
      <c r="A2082" s="55">
        <f t="shared" si="2"/>
        <v>2081</v>
      </c>
      <c r="B2082" s="56" t="s">
        <v>1702</v>
      </c>
      <c r="C2082" s="55" t="s">
        <v>42</v>
      </c>
      <c r="D2082" s="55">
        <v>1263.0</v>
      </c>
      <c r="E2082" s="57" t="s">
        <v>1352</v>
      </c>
      <c r="F2082" s="2" t="s">
        <v>1701</v>
      </c>
    </row>
    <row r="2083">
      <c r="A2083" s="55">
        <f t="shared" si="2"/>
        <v>2082</v>
      </c>
      <c r="B2083" s="56" t="s">
        <v>1702</v>
      </c>
      <c r="C2083" s="55" t="s">
        <v>27</v>
      </c>
      <c r="D2083" s="55">
        <v>1436.0</v>
      </c>
      <c r="E2083" s="57" t="s">
        <v>1352</v>
      </c>
      <c r="F2083" s="2" t="s">
        <v>1701</v>
      </c>
    </row>
    <row r="2084">
      <c r="A2084" s="55">
        <f t="shared" si="2"/>
        <v>2083</v>
      </c>
      <c r="B2084" s="56" t="s">
        <v>1706</v>
      </c>
      <c r="C2084" s="55" t="s">
        <v>31</v>
      </c>
      <c r="D2084" s="55">
        <v>1340.0</v>
      </c>
      <c r="E2084" s="57" t="s">
        <v>1352</v>
      </c>
      <c r="F2084" s="2" t="s">
        <v>1705</v>
      </c>
    </row>
    <row r="2085">
      <c r="A2085" s="55">
        <f t="shared" si="2"/>
        <v>2084</v>
      </c>
      <c r="B2085" s="56" t="s">
        <v>1706</v>
      </c>
      <c r="C2085" s="55" t="s">
        <v>42</v>
      </c>
      <c r="D2085" s="55">
        <v>1241.0</v>
      </c>
      <c r="E2085" s="57" t="s">
        <v>1352</v>
      </c>
      <c r="F2085" s="2" t="s">
        <v>1705</v>
      </c>
    </row>
    <row r="2086">
      <c r="A2086" s="55">
        <f t="shared" si="2"/>
        <v>2085</v>
      </c>
      <c r="B2086" s="56" t="s">
        <v>1706</v>
      </c>
      <c r="C2086" s="55" t="s">
        <v>24</v>
      </c>
      <c r="D2086" s="55">
        <v>1486.0</v>
      </c>
      <c r="E2086" s="57" t="s">
        <v>1352</v>
      </c>
      <c r="F2086" s="2" t="s">
        <v>1705</v>
      </c>
    </row>
    <row r="2087">
      <c r="A2087" s="55">
        <f t="shared" si="2"/>
        <v>2086</v>
      </c>
      <c r="B2087" s="56" t="s">
        <v>1706</v>
      </c>
      <c r="C2087" s="55" t="s">
        <v>30</v>
      </c>
      <c r="D2087" s="55">
        <v>1401.0</v>
      </c>
      <c r="E2087" s="57" t="s">
        <v>1352</v>
      </c>
      <c r="F2087" s="2" t="s">
        <v>1705</v>
      </c>
    </row>
    <row r="2088">
      <c r="A2088" s="55">
        <f t="shared" si="2"/>
        <v>2087</v>
      </c>
      <c r="B2088" s="56" t="s">
        <v>1706</v>
      </c>
      <c r="C2088" s="55" t="s">
        <v>36</v>
      </c>
      <c r="D2088" s="55">
        <v>1303.0</v>
      </c>
      <c r="E2088" s="57" t="s">
        <v>1352</v>
      </c>
      <c r="F2088" s="2" t="s">
        <v>1705</v>
      </c>
    </row>
    <row r="2089">
      <c r="A2089" s="55">
        <f t="shared" si="2"/>
        <v>2088</v>
      </c>
      <c r="B2089" s="56" t="s">
        <v>1706</v>
      </c>
      <c r="C2089" s="55" t="s">
        <v>29</v>
      </c>
      <c r="D2089" s="55">
        <v>1372.0</v>
      </c>
      <c r="E2089" s="57" t="s">
        <v>1352</v>
      </c>
      <c r="F2089" s="2" t="s">
        <v>1705</v>
      </c>
    </row>
    <row r="2090">
      <c r="A2090" s="55">
        <f t="shared" si="2"/>
        <v>2089</v>
      </c>
      <c r="B2090" s="56" t="s">
        <v>1706</v>
      </c>
      <c r="C2090" s="55" t="s">
        <v>26</v>
      </c>
      <c r="D2090" s="55">
        <v>1501.0</v>
      </c>
      <c r="E2090" s="57" t="s">
        <v>1352</v>
      </c>
      <c r="F2090" s="2" t="s">
        <v>1705</v>
      </c>
    </row>
    <row r="2091">
      <c r="A2091" s="55">
        <f t="shared" si="2"/>
        <v>2090</v>
      </c>
      <c r="B2091" s="56" t="s">
        <v>1706</v>
      </c>
      <c r="C2091" s="55" t="s">
        <v>34</v>
      </c>
      <c r="D2091" s="55">
        <v>952.0</v>
      </c>
      <c r="E2091" s="57" t="s">
        <v>1352</v>
      </c>
      <c r="F2091" s="2" t="s">
        <v>1705</v>
      </c>
    </row>
    <row r="2092">
      <c r="A2092" s="55">
        <f t="shared" si="2"/>
        <v>2091</v>
      </c>
      <c r="B2092" s="56" t="s">
        <v>1711</v>
      </c>
      <c r="C2092" s="55" t="s">
        <v>29</v>
      </c>
      <c r="D2092" s="55">
        <v>1346.0</v>
      </c>
      <c r="E2092" s="57" t="s">
        <v>1352</v>
      </c>
      <c r="F2092" s="2" t="s">
        <v>1710</v>
      </c>
    </row>
    <row r="2093">
      <c r="A2093" s="55">
        <f t="shared" si="2"/>
        <v>2092</v>
      </c>
      <c r="B2093" s="56" t="s">
        <v>1711</v>
      </c>
      <c r="C2093" s="55" t="s">
        <v>34</v>
      </c>
      <c r="D2093" s="55">
        <v>919.0</v>
      </c>
      <c r="E2093" s="57" t="s">
        <v>1352</v>
      </c>
      <c r="F2093" s="2" t="s">
        <v>1710</v>
      </c>
    </row>
    <row r="2094">
      <c r="A2094" s="55">
        <f t="shared" si="2"/>
        <v>2093</v>
      </c>
      <c r="B2094" s="56" t="s">
        <v>1711</v>
      </c>
      <c r="C2094" s="55" t="s">
        <v>30</v>
      </c>
      <c r="D2094" s="55">
        <v>1417.0</v>
      </c>
      <c r="E2094" s="57" t="s">
        <v>1352</v>
      </c>
      <c r="F2094" s="2" t="s">
        <v>1710</v>
      </c>
    </row>
    <row r="2095">
      <c r="A2095" s="55">
        <f t="shared" si="2"/>
        <v>2094</v>
      </c>
      <c r="B2095" s="56" t="s">
        <v>1711</v>
      </c>
      <c r="C2095" s="55" t="s">
        <v>31</v>
      </c>
      <c r="D2095" s="55">
        <v>1355.0</v>
      </c>
      <c r="E2095" s="57" t="s">
        <v>1352</v>
      </c>
      <c r="F2095" s="2" t="s">
        <v>1710</v>
      </c>
    </row>
    <row r="2096">
      <c r="A2096" s="55">
        <f t="shared" si="2"/>
        <v>2095</v>
      </c>
      <c r="B2096" s="56" t="s">
        <v>1711</v>
      </c>
      <c r="C2096" s="55" t="s">
        <v>24</v>
      </c>
      <c r="D2096" s="55">
        <v>1503.0</v>
      </c>
      <c r="E2096" s="57" t="s">
        <v>1352</v>
      </c>
      <c r="F2096" s="2" t="s">
        <v>1710</v>
      </c>
    </row>
    <row r="2097">
      <c r="A2097" s="55">
        <f t="shared" si="2"/>
        <v>2096</v>
      </c>
      <c r="B2097" s="56" t="s">
        <v>1711</v>
      </c>
      <c r="C2097" s="55" t="s">
        <v>36</v>
      </c>
      <c r="D2097" s="55">
        <v>1279.0</v>
      </c>
      <c r="E2097" s="57" t="s">
        <v>1352</v>
      </c>
      <c r="F2097" s="2" t="s">
        <v>1710</v>
      </c>
    </row>
    <row r="2098">
      <c r="A2098" s="55">
        <f t="shared" si="2"/>
        <v>2097</v>
      </c>
      <c r="B2098" s="56" t="s">
        <v>1711</v>
      </c>
      <c r="C2098" s="55" t="s">
        <v>42</v>
      </c>
      <c r="D2098" s="55">
        <v>1255.0</v>
      </c>
      <c r="E2098" s="57" t="s">
        <v>1352</v>
      </c>
      <c r="F2098" s="2" t="s">
        <v>1710</v>
      </c>
    </row>
    <row r="2099">
      <c r="A2099" s="55">
        <f t="shared" si="2"/>
        <v>2098</v>
      </c>
      <c r="B2099" s="56" t="s">
        <v>1711</v>
      </c>
      <c r="C2099" s="55" t="s">
        <v>26</v>
      </c>
      <c r="D2099" s="55">
        <v>1480.0</v>
      </c>
      <c r="E2099" s="57" t="s">
        <v>1352</v>
      </c>
      <c r="F2099" s="2" t="s">
        <v>1710</v>
      </c>
    </row>
    <row r="2100">
      <c r="A2100" s="55">
        <f t="shared" si="2"/>
        <v>2099</v>
      </c>
      <c r="B2100" s="56" t="s">
        <v>1715</v>
      </c>
      <c r="C2100" s="55" t="s">
        <v>36</v>
      </c>
      <c r="D2100" s="55">
        <v>1258.0</v>
      </c>
      <c r="E2100" s="57" t="s">
        <v>1352</v>
      </c>
      <c r="F2100" s="2" t="s">
        <v>1714</v>
      </c>
    </row>
    <row r="2101">
      <c r="A2101" s="55">
        <f t="shared" si="2"/>
        <v>2100</v>
      </c>
      <c r="B2101" s="56" t="s">
        <v>1715</v>
      </c>
      <c r="C2101" s="55" t="s">
        <v>31</v>
      </c>
      <c r="D2101" s="55">
        <v>1370.0</v>
      </c>
      <c r="E2101" s="57" t="s">
        <v>1352</v>
      </c>
      <c r="F2101" s="2" t="s">
        <v>1714</v>
      </c>
    </row>
    <row r="2102">
      <c r="A2102" s="55">
        <f t="shared" si="2"/>
        <v>2101</v>
      </c>
      <c r="B2102" s="56" t="s">
        <v>1715</v>
      </c>
      <c r="C2102" s="55" t="s">
        <v>34</v>
      </c>
      <c r="D2102" s="55">
        <v>929.0</v>
      </c>
      <c r="E2102" s="57" t="s">
        <v>1352</v>
      </c>
      <c r="F2102" s="2" t="s">
        <v>1714</v>
      </c>
    </row>
    <row r="2103">
      <c r="A2103" s="55">
        <f t="shared" si="2"/>
        <v>2102</v>
      </c>
      <c r="B2103" s="56" t="s">
        <v>1715</v>
      </c>
      <c r="C2103" s="55" t="s">
        <v>42</v>
      </c>
      <c r="D2103" s="55">
        <v>1233.0</v>
      </c>
      <c r="E2103" s="57" t="s">
        <v>1352</v>
      </c>
      <c r="F2103" s="2" t="s">
        <v>1714</v>
      </c>
    </row>
    <row r="2104">
      <c r="A2104" s="55">
        <f t="shared" si="2"/>
        <v>2103</v>
      </c>
      <c r="B2104" s="56" t="s">
        <v>1715</v>
      </c>
      <c r="C2104" s="55" t="s">
        <v>26</v>
      </c>
      <c r="D2104" s="55">
        <v>1463.0</v>
      </c>
      <c r="E2104" s="57" t="s">
        <v>1352</v>
      </c>
      <c r="F2104" s="2" t="s">
        <v>1714</v>
      </c>
    </row>
    <row r="2105">
      <c r="A2105" s="55">
        <f t="shared" si="2"/>
        <v>2104</v>
      </c>
      <c r="B2105" s="56" t="s">
        <v>1715</v>
      </c>
      <c r="C2105" s="55" t="s">
        <v>30</v>
      </c>
      <c r="D2105" s="55">
        <v>1432.0</v>
      </c>
      <c r="E2105" s="57" t="s">
        <v>1352</v>
      </c>
      <c r="F2105" s="2" t="s">
        <v>1714</v>
      </c>
    </row>
    <row r="2106">
      <c r="A2106" s="55">
        <f t="shared" si="2"/>
        <v>2105</v>
      </c>
      <c r="B2106" s="56" t="s">
        <v>1715</v>
      </c>
      <c r="C2106" s="55" t="s">
        <v>29</v>
      </c>
      <c r="D2106" s="55">
        <v>1360.0</v>
      </c>
      <c r="E2106" s="57" t="s">
        <v>1352</v>
      </c>
      <c r="F2106" s="2" t="s">
        <v>1714</v>
      </c>
    </row>
    <row r="2107">
      <c r="A2107" s="55">
        <f t="shared" si="2"/>
        <v>2106</v>
      </c>
      <c r="B2107" s="56" t="s">
        <v>1715</v>
      </c>
      <c r="C2107" s="55" t="s">
        <v>24</v>
      </c>
      <c r="D2107" s="55">
        <v>1487.0</v>
      </c>
      <c r="E2107" s="57" t="s">
        <v>1352</v>
      </c>
      <c r="F2107" s="2" t="s">
        <v>1714</v>
      </c>
    </row>
    <row r="2108">
      <c r="A2108" s="55">
        <f t="shared" si="2"/>
        <v>2107</v>
      </c>
      <c r="B2108" s="56" t="s">
        <v>1719</v>
      </c>
      <c r="C2108" s="55" t="s">
        <v>30</v>
      </c>
      <c r="D2108" s="55">
        <v>1415.0</v>
      </c>
      <c r="E2108" s="57" t="s">
        <v>1352</v>
      </c>
      <c r="F2108" s="2" t="s">
        <v>1718</v>
      </c>
    </row>
    <row r="2109">
      <c r="A2109" s="55">
        <f t="shared" si="2"/>
        <v>2108</v>
      </c>
      <c r="B2109" s="56" t="s">
        <v>1719</v>
      </c>
      <c r="C2109" s="55" t="s">
        <v>27</v>
      </c>
      <c r="D2109" s="55">
        <v>1419.0</v>
      </c>
      <c r="E2109" s="57" t="s">
        <v>1352</v>
      </c>
      <c r="F2109" s="2" t="s">
        <v>1718</v>
      </c>
    </row>
    <row r="2110">
      <c r="A2110" s="55">
        <f t="shared" si="2"/>
        <v>2109</v>
      </c>
      <c r="B2110" s="56" t="s">
        <v>1719</v>
      </c>
      <c r="C2110" s="55" t="s">
        <v>31</v>
      </c>
      <c r="D2110" s="55">
        <v>1384.0</v>
      </c>
      <c r="E2110" s="57" t="s">
        <v>1352</v>
      </c>
      <c r="F2110" s="2" t="s">
        <v>1718</v>
      </c>
    </row>
    <row r="2111">
      <c r="A2111" s="55">
        <f t="shared" si="2"/>
        <v>2110</v>
      </c>
      <c r="B2111" s="56" t="s">
        <v>1724</v>
      </c>
      <c r="C2111" s="55" t="s">
        <v>30</v>
      </c>
      <c r="D2111" s="55">
        <v>1403.0</v>
      </c>
      <c r="E2111" s="57" t="s">
        <v>1352</v>
      </c>
      <c r="F2111" s="2" t="s">
        <v>1723</v>
      </c>
    </row>
    <row r="2112">
      <c r="A2112" s="55">
        <f t="shared" si="2"/>
        <v>2111</v>
      </c>
      <c r="B2112" s="56" t="s">
        <v>1724</v>
      </c>
      <c r="C2112" s="55" t="s">
        <v>31</v>
      </c>
      <c r="D2112" s="55">
        <v>1371.0</v>
      </c>
      <c r="E2112" s="57" t="s">
        <v>1352</v>
      </c>
      <c r="F2112" s="2" t="s">
        <v>1723</v>
      </c>
    </row>
    <row r="2113">
      <c r="A2113" s="55">
        <f t="shared" si="2"/>
        <v>2112</v>
      </c>
      <c r="B2113" s="56" t="s">
        <v>1724</v>
      </c>
      <c r="C2113" s="55" t="s">
        <v>27</v>
      </c>
      <c r="D2113" s="55">
        <v>1407.0</v>
      </c>
      <c r="E2113" s="57" t="s">
        <v>1352</v>
      </c>
      <c r="F2113" s="2" t="s">
        <v>1723</v>
      </c>
    </row>
    <row r="2114">
      <c r="A2114" s="55">
        <f t="shared" si="2"/>
        <v>2113</v>
      </c>
      <c r="B2114" s="56" t="s">
        <v>1728</v>
      </c>
      <c r="C2114" s="55" t="s">
        <v>36</v>
      </c>
      <c r="D2114" s="55">
        <v>1271.0</v>
      </c>
      <c r="E2114" s="57" t="s">
        <v>1352</v>
      </c>
      <c r="F2114" s="2" t="s">
        <v>1727</v>
      </c>
    </row>
    <row r="2115">
      <c r="A2115" s="55">
        <f t="shared" si="2"/>
        <v>2114</v>
      </c>
      <c r="B2115" s="56" t="s">
        <v>1728</v>
      </c>
      <c r="C2115" s="55" t="s">
        <v>34</v>
      </c>
      <c r="D2115" s="55">
        <v>938.0</v>
      </c>
      <c r="E2115" s="57" t="s">
        <v>1352</v>
      </c>
      <c r="F2115" s="2" t="s">
        <v>1727</v>
      </c>
    </row>
    <row r="2116">
      <c r="A2116" s="55">
        <f t="shared" si="2"/>
        <v>2115</v>
      </c>
      <c r="B2116" s="56" t="s">
        <v>1728</v>
      </c>
      <c r="C2116" s="55" t="s">
        <v>42</v>
      </c>
      <c r="D2116" s="55">
        <v>1246.0</v>
      </c>
      <c r="E2116" s="57" t="s">
        <v>1352</v>
      </c>
      <c r="F2116" s="2" t="s">
        <v>1727</v>
      </c>
    </row>
    <row r="2117">
      <c r="A2117" s="55">
        <f t="shared" si="2"/>
        <v>2116</v>
      </c>
      <c r="B2117" s="56" t="s">
        <v>1728</v>
      </c>
      <c r="C2117" s="55" t="s">
        <v>30</v>
      </c>
      <c r="D2117" s="55">
        <v>1423.0</v>
      </c>
      <c r="E2117" s="57" t="s">
        <v>1352</v>
      </c>
      <c r="F2117" s="2" t="s">
        <v>1727</v>
      </c>
    </row>
    <row r="2118">
      <c r="A2118" s="55">
        <f t="shared" si="2"/>
        <v>2117</v>
      </c>
      <c r="B2118" s="56" t="s">
        <v>1728</v>
      </c>
      <c r="C2118" s="55" t="s">
        <v>27</v>
      </c>
      <c r="D2118" s="55">
        <v>1392.0</v>
      </c>
      <c r="E2118" s="57" t="s">
        <v>1352</v>
      </c>
      <c r="F2118" s="2" t="s">
        <v>1727</v>
      </c>
    </row>
    <row r="2119">
      <c r="A2119" s="55">
        <f t="shared" si="2"/>
        <v>2118</v>
      </c>
      <c r="B2119" s="56" t="s">
        <v>1728</v>
      </c>
      <c r="C2119" s="55" t="s">
        <v>26</v>
      </c>
      <c r="D2119" s="55">
        <v>1447.0</v>
      </c>
      <c r="E2119" s="57" t="s">
        <v>1352</v>
      </c>
      <c r="F2119" s="2" t="s">
        <v>1727</v>
      </c>
    </row>
    <row r="2120">
      <c r="A2120" s="55">
        <f t="shared" si="2"/>
        <v>2119</v>
      </c>
      <c r="B2120" s="56" t="s">
        <v>1732</v>
      </c>
      <c r="C2120" s="55" t="s">
        <v>34</v>
      </c>
      <c r="D2120" s="55">
        <v>946.0</v>
      </c>
      <c r="E2120" s="57" t="s">
        <v>1352</v>
      </c>
      <c r="F2120" s="2" t="s">
        <v>1731</v>
      </c>
    </row>
    <row r="2121">
      <c r="A2121" s="55">
        <f t="shared" si="2"/>
        <v>2120</v>
      </c>
      <c r="B2121" s="56" t="s">
        <v>1732</v>
      </c>
      <c r="C2121" s="55" t="s">
        <v>42</v>
      </c>
      <c r="D2121" s="55">
        <v>1256.0</v>
      </c>
      <c r="E2121" s="57" t="s">
        <v>1352</v>
      </c>
      <c r="F2121" s="2" t="s">
        <v>1731</v>
      </c>
    </row>
    <row r="2122">
      <c r="A2122" s="55">
        <f t="shared" si="2"/>
        <v>2121</v>
      </c>
      <c r="B2122" s="56" t="s">
        <v>1732</v>
      </c>
      <c r="C2122" s="55" t="s">
        <v>30</v>
      </c>
      <c r="D2122" s="55">
        <v>1408.0</v>
      </c>
      <c r="E2122" s="57" t="s">
        <v>1352</v>
      </c>
      <c r="F2122" s="2" t="s">
        <v>1731</v>
      </c>
    </row>
    <row r="2123">
      <c r="A2123" s="55">
        <f t="shared" si="2"/>
        <v>2122</v>
      </c>
      <c r="B2123" s="56" t="s">
        <v>1732</v>
      </c>
      <c r="C2123" s="55" t="s">
        <v>26</v>
      </c>
      <c r="D2123" s="55">
        <v>1433.0</v>
      </c>
      <c r="E2123" s="57" t="s">
        <v>1352</v>
      </c>
      <c r="F2123" s="2" t="s">
        <v>1731</v>
      </c>
    </row>
    <row r="2124">
      <c r="A2124" s="55">
        <f t="shared" si="2"/>
        <v>2123</v>
      </c>
      <c r="B2124" s="56" t="s">
        <v>1732</v>
      </c>
      <c r="C2124" s="55" t="s">
        <v>27</v>
      </c>
      <c r="D2124" s="55">
        <v>1378.0</v>
      </c>
      <c r="E2124" s="57" t="s">
        <v>1352</v>
      </c>
      <c r="F2124" s="2" t="s">
        <v>1731</v>
      </c>
    </row>
    <row r="2125">
      <c r="A2125" s="55">
        <f t="shared" si="2"/>
        <v>2124</v>
      </c>
      <c r="B2125" s="56" t="s">
        <v>1732</v>
      </c>
      <c r="C2125" s="55" t="s">
        <v>36</v>
      </c>
      <c r="D2125" s="55">
        <v>1281.0</v>
      </c>
      <c r="E2125" s="57" t="s">
        <v>1352</v>
      </c>
      <c r="F2125" s="2" t="s">
        <v>1731</v>
      </c>
    </row>
    <row r="2126">
      <c r="A2126" s="55">
        <f t="shared" si="2"/>
        <v>2125</v>
      </c>
      <c r="B2126" s="56" t="s">
        <v>1736</v>
      </c>
      <c r="C2126" s="55" t="s">
        <v>29</v>
      </c>
      <c r="D2126" s="55">
        <v>1341.0</v>
      </c>
      <c r="E2126" s="57" t="s">
        <v>1352</v>
      </c>
      <c r="F2126" s="2" t="s">
        <v>1735</v>
      </c>
    </row>
    <row r="2127">
      <c r="A2127" s="55">
        <f t="shared" si="2"/>
        <v>2126</v>
      </c>
      <c r="B2127" s="56" t="s">
        <v>1736</v>
      </c>
      <c r="C2127" s="55" t="s">
        <v>30</v>
      </c>
      <c r="D2127" s="55">
        <v>1422.0</v>
      </c>
      <c r="E2127" s="57" t="s">
        <v>1352</v>
      </c>
      <c r="F2127" s="2" t="s">
        <v>1735</v>
      </c>
    </row>
    <row r="2128">
      <c r="A2128" s="55">
        <f t="shared" si="2"/>
        <v>2127</v>
      </c>
      <c r="B2128" s="56" t="s">
        <v>1736</v>
      </c>
      <c r="C2128" s="55" t="s">
        <v>26</v>
      </c>
      <c r="D2128" s="55">
        <v>1418.0</v>
      </c>
      <c r="E2128" s="57" t="s">
        <v>1352</v>
      </c>
      <c r="F2128" s="2" t="s">
        <v>1735</v>
      </c>
    </row>
    <row r="2129">
      <c r="A2129" s="55">
        <f t="shared" si="2"/>
        <v>2128</v>
      </c>
      <c r="B2129" s="56" t="s">
        <v>1736</v>
      </c>
      <c r="C2129" s="55" t="s">
        <v>27</v>
      </c>
      <c r="D2129" s="55">
        <v>1363.0</v>
      </c>
      <c r="E2129" s="57" t="s">
        <v>1352</v>
      </c>
      <c r="F2129" s="2" t="s">
        <v>1735</v>
      </c>
    </row>
    <row r="2130">
      <c r="A2130" s="55">
        <f t="shared" si="2"/>
        <v>2129</v>
      </c>
      <c r="B2130" s="56" t="s">
        <v>1736</v>
      </c>
      <c r="C2130" s="55" t="s">
        <v>24</v>
      </c>
      <c r="D2130" s="55">
        <v>1472.0</v>
      </c>
      <c r="E2130" s="57" t="s">
        <v>1352</v>
      </c>
      <c r="F2130" s="2" t="s">
        <v>1735</v>
      </c>
    </row>
    <row r="2131">
      <c r="A2131" s="55">
        <f t="shared" si="2"/>
        <v>2130</v>
      </c>
      <c r="B2131" s="56" t="s">
        <v>1736</v>
      </c>
      <c r="C2131" s="55" t="s">
        <v>31</v>
      </c>
      <c r="D2131" s="55">
        <v>1355.0</v>
      </c>
      <c r="E2131" s="57" t="s">
        <v>1352</v>
      </c>
      <c r="F2131" s="2" t="s">
        <v>1735</v>
      </c>
    </row>
    <row r="2132">
      <c r="A2132" s="55">
        <f t="shared" si="2"/>
        <v>2131</v>
      </c>
      <c r="B2132" s="56" t="s">
        <v>1736</v>
      </c>
      <c r="C2132" s="55" t="s">
        <v>42</v>
      </c>
      <c r="D2132" s="55">
        <v>1268.0</v>
      </c>
      <c r="E2132" s="57" t="s">
        <v>1352</v>
      </c>
      <c r="F2132" s="2" t="s">
        <v>1735</v>
      </c>
    </row>
    <row r="2133">
      <c r="A2133" s="55">
        <f t="shared" si="2"/>
        <v>2132</v>
      </c>
      <c r="B2133" s="56" t="s">
        <v>1741</v>
      </c>
      <c r="C2133" s="55" t="s">
        <v>24</v>
      </c>
      <c r="D2133" s="55">
        <v>1449.0</v>
      </c>
      <c r="E2133" s="57" t="s">
        <v>1352</v>
      </c>
      <c r="F2133" s="2" t="s">
        <v>1740</v>
      </c>
    </row>
    <row r="2134">
      <c r="A2134" s="55">
        <f t="shared" si="2"/>
        <v>2133</v>
      </c>
      <c r="B2134" s="56" t="s">
        <v>1741</v>
      </c>
      <c r="C2134" s="55" t="s">
        <v>42</v>
      </c>
      <c r="D2134" s="55">
        <v>1242.0</v>
      </c>
      <c r="E2134" s="57" t="s">
        <v>1352</v>
      </c>
      <c r="F2134" s="2" t="s">
        <v>1740</v>
      </c>
    </row>
    <row r="2135">
      <c r="A2135" s="55">
        <f t="shared" si="2"/>
        <v>2134</v>
      </c>
      <c r="B2135" s="56" t="s">
        <v>1741</v>
      </c>
      <c r="C2135" s="55" t="s">
        <v>27</v>
      </c>
      <c r="D2135" s="55">
        <v>1381.0</v>
      </c>
      <c r="E2135" s="57" t="s">
        <v>1352</v>
      </c>
      <c r="F2135" s="2" t="s">
        <v>1740</v>
      </c>
    </row>
    <row r="2136">
      <c r="A2136" s="55">
        <f t="shared" si="2"/>
        <v>2135</v>
      </c>
      <c r="B2136" s="56" t="s">
        <v>1741</v>
      </c>
      <c r="C2136" s="55" t="s">
        <v>26</v>
      </c>
      <c r="D2136" s="55">
        <v>1436.0</v>
      </c>
      <c r="E2136" s="57" t="s">
        <v>1352</v>
      </c>
      <c r="F2136" s="2" t="s">
        <v>1740</v>
      </c>
    </row>
    <row r="2137">
      <c r="A2137" s="55">
        <f t="shared" si="2"/>
        <v>2136</v>
      </c>
      <c r="B2137" s="56" t="s">
        <v>1741</v>
      </c>
      <c r="C2137" s="55" t="s">
        <v>30</v>
      </c>
      <c r="D2137" s="55">
        <v>1440.0</v>
      </c>
      <c r="E2137" s="57" t="s">
        <v>1352</v>
      </c>
      <c r="F2137" s="2" t="s">
        <v>1740</v>
      </c>
    </row>
    <row r="2138">
      <c r="A2138" s="55">
        <f t="shared" si="2"/>
        <v>2137</v>
      </c>
      <c r="B2138" s="56" t="s">
        <v>1741</v>
      </c>
      <c r="C2138" s="55" t="s">
        <v>31</v>
      </c>
      <c r="D2138" s="55">
        <v>1327.0</v>
      </c>
      <c r="E2138" s="57" t="s">
        <v>1352</v>
      </c>
      <c r="F2138" s="2" t="s">
        <v>1740</v>
      </c>
    </row>
    <row r="2139">
      <c r="A2139" s="55">
        <f t="shared" si="2"/>
        <v>2138</v>
      </c>
      <c r="B2139" s="56" t="s">
        <v>1741</v>
      </c>
      <c r="C2139" s="55" t="s">
        <v>29</v>
      </c>
      <c r="D2139" s="55">
        <v>1358.0</v>
      </c>
      <c r="E2139" s="57" t="s">
        <v>1352</v>
      </c>
      <c r="F2139" s="2" t="s">
        <v>1740</v>
      </c>
    </row>
    <row r="2140">
      <c r="A2140" s="55">
        <f t="shared" si="2"/>
        <v>2139</v>
      </c>
      <c r="B2140" s="56" t="s">
        <v>1746</v>
      </c>
      <c r="C2140" s="55" t="s">
        <v>31</v>
      </c>
      <c r="D2140" s="55">
        <v>1299.0</v>
      </c>
      <c r="E2140" s="57" t="s">
        <v>1352</v>
      </c>
      <c r="F2140" s="2" t="s">
        <v>1745</v>
      </c>
    </row>
    <row r="2141">
      <c r="A2141" s="55">
        <f t="shared" si="2"/>
        <v>2140</v>
      </c>
      <c r="B2141" s="56" t="s">
        <v>1746</v>
      </c>
      <c r="C2141" s="55" t="s">
        <v>42</v>
      </c>
      <c r="D2141" s="55">
        <v>1252.0</v>
      </c>
      <c r="E2141" s="57" t="s">
        <v>1352</v>
      </c>
      <c r="F2141" s="2" t="s">
        <v>1745</v>
      </c>
    </row>
    <row r="2142">
      <c r="A2142" s="55">
        <f t="shared" si="2"/>
        <v>2141</v>
      </c>
      <c r="B2142" s="56" t="s">
        <v>1746</v>
      </c>
      <c r="C2142" s="55" t="s">
        <v>9614</v>
      </c>
      <c r="D2142" s="55">
        <v>1100.0</v>
      </c>
      <c r="E2142" s="57" t="s">
        <v>1352</v>
      </c>
      <c r="F2142" s="2" t="s">
        <v>1745</v>
      </c>
    </row>
    <row r="2143">
      <c r="A2143" s="55">
        <f t="shared" si="2"/>
        <v>2142</v>
      </c>
      <c r="B2143" s="56" t="s">
        <v>1746</v>
      </c>
      <c r="C2143" s="55" t="s">
        <v>26</v>
      </c>
      <c r="D2143" s="55">
        <v>1448.0</v>
      </c>
      <c r="E2143" s="57" t="s">
        <v>1352</v>
      </c>
      <c r="F2143" s="2" t="s">
        <v>1745</v>
      </c>
    </row>
    <row r="2144">
      <c r="A2144" s="55">
        <f t="shared" si="2"/>
        <v>2143</v>
      </c>
      <c r="B2144" s="56" t="s">
        <v>1746</v>
      </c>
      <c r="C2144" s="55" t="s">
        <v>29</v>
      </c>
      <c r="D2144" s="55">
        <v>1331.0</v>
      </c>
      <c r="E2144" s="57" t="s">
        <v>1352</v>
      </c>
      <c r="F2144" s="2" t="s">
        <v>1745</v>
      </c>
    </row>
    <row r="2145">
      <c r="A2145" s="55">
        <f t="shared" si="2"/>
        <v>2144</v>
      </c>
      <c r="B2145" s="56" t="s">
        <v>1746</v>
      </c>
      <c r="C2145" s="55" t="s">
        <v>24</v>
      </c>
      <c r="D2145" s="55">
        <v>1461.0</v>
      </c>
      <c r="E2145" s="57" t="s">
        <v>1352</v>
      </c>
      <c r="F2145" s="2" t="s">
        <v>1745</v>
      </c>
    </row>
    <row r="2146">
      <c r="A2146" s="55">
        <f t="shared" si="2"/>
        <v>2145</v>
      </c>
      <c r="B2146" s="56" t="s">
        <v>1746</v>
      </c>
      <c r="C2146" s="55" t="s">
        <v>30</v>
      </c>
      <c r="D2146" s="55">
        <v>1417.0</v>
      </c>
      <c r="E2146" s="57" t="s">
        <v>1352</v>
      </c>
      <c r="F2146" s="2" t="s">
        <v>1745</v>
      </c>
    </row>
    <row r="2147">
      <c r="A2147" s="55">
        <f t="shared" si="2"/>
        <v>2146</v>
      </c>
      <c r="B2147" s="56" t="s">
        <v>1751</v>
      </c>
      <c r="C2147" s="55" t="s">
        <v>24</v>
      </c>
      <c r="D2147" s="55">
        <v>1445.0</v>
      </c>
      <c r="E2147" s="57" t="s">
        <v>1352</v>
      </c>
      <c r="F2147" s="2" t="s">
        <v>1750</v>
      </c>
    </row>
    <row r="2148">
      <c r="A2148" s="55">
        <f t="shared" si="2"/>
        <v>2147</v>
      </c>
      <c r="B2148" s="56" t="s">
        <v>1751</v>
      </c>
      <c r="C2148" s="55" t="s">
        <v>26</v>
      </c>
      <c r="D2148" s="55">
        <v>1432.0</v>
      </c>
      <c r="E2148" s="57" t="s">
        <v>1352</v>
      </c>
      <c r="F2148" s="2" t="s">
        <v>1750</v>
      </c>
    </row>
    <row r="2149">
      <c r="A2149" s="55">
        <f t="shared" si="2"/>
        <v>2148</v>
      </c>
      <c r="B2149" s="56" t="s">
        <v>1751</v>
      </c>
      <c r="C2149" s="55" t="s">
        <v>30</v>
      </c>
      <c r="D2149" s="55">
        <v>1400.0</v>
      </c>
      <c r="E2149" s="57" t="s">
        <v>1352</v>
      </c>
      <c r="F2149" s="2" t="s">
        <v>1750</v>
      </c>
    </row>
    <row r="2150">
      <c r="A2150" s="55">
        <f t="shared" si="2"/>
        <v>2149</v>
      </c>
      <c r="B2150" s="56" t="s">
        <v>1751</v>
      </c>
      <c r="C2150" s="55" t="s">
        <v>27</v>
      </c>
      <c r="D2150" s="55">
        <v>1393.0</v>
      </c>
      <c r="E2150" s="57" t="s">
        <v>1352</v>
      </c>
      <c r="F2150" s="2" t="s">
        <v>1750</v>
      </c>
    </row>
    <row r="2151">
      <c r="A2151" s="55">
        <f t="shared" si="2"/>
        <v>2150</v>
      </c>
      <c r="B2151" s="56" t="s">
        <v>1751</v>
      </c>
      <c r="C2151" s="55" t="s">
        <v>29</v>
      </c>
      <c r="D2151" s="55">
        <v>1310.0</v>
      </c>
      <c r="E2151" s="57" t="s">
        <v>1352</v>
      </c>
      <c r="F2151" s="2" t="s">
        <v>1750</v>
      </c>
    </row>
    <row r="2152">
      <c r="A2152" s="55">
        <f t="shared" si="2"/>
        <v>2151</v>
      </c>
      <c r="B2152" s="56" t="s">
        <v>1756</v>
      </c>
      <c r="C2152" s="55" t="s">
        <v>27</v>
      </c>
      <c r="D2152" s="55">
        <v>1375.0</v>
      </c>
      <c r="E2152" s="57" t="s">
        <v>1352</v>
      </c>
      <c r="F2152" s="2" t="s">
        <v>1755</v>
      </c>
    </row>
    <row r="2153">
      <c r="A2153" s="55">
        <f t="shared" si="2"/>
        <v>2152</v>
      </c>
      <c r="B2153" s="56" t="s">
        <v>1756</v>
      </c>
      <c r="C2153" s="55" t="s">
        <v>29</v>
      </c>
      <c r="D2153" s="55">
        <v>1285.0</v>
      </c>
      <c r="E2153" s="57" t="s">
        <v>1352</v>
      </c>
      <c r="F2153" s="2" t="s">
        <v>1755</v>
      </c>
    </row>
    <row r="2154">
      <c r="A2154" s="55">
        <f t="shared" si="2"/>
        <v>2153</v>
      </c>
      <c r="B2154" s="56" t="s">
        <v>1756</v>
      </c>
      <c r="C2154" s="55" t="s">
        <v>26</v>
      </c>
      <c r="D2154" s="55">
        <v>1450.0</v>
      </c>
      <c r="E2154" s="57" t="s">
        <v>1352</v>
      </c>
      <c r="F2154" s="2" t="s">
        <v>1755</v>
      </c>
    </row>
    <row r="2155">
      <c r="A2155" s="55">
        <f t="shared" si="2"/>
        <v>2154</v>
      </c>
      <c r="B2155" s="56" t="s">
        <v>1756</v>
      </c>
      <c r="C2155" s="55" t="s">
        <v>31</v>
      </c>
      <c r="D2155" s="55">
        <v>1314.0</v>
      </c>
      <c r="E2155" s="57" t="s">
        <v>1352</v>
      </c>
      <c r="F2155" s="2" t="s">
        <v>1755</v>
      </c>
    </row>
    <row r="2156">
      <c r="A2156" s="55">
        <f t="shared" si="2"/>
        <v>2155</v>
      </c>
      <c r="B2156" s="56" t="s">
        <v>1756</v>
      </c>
      <c r="C2156" s="55" t="s">
        <v>30</v>
      </c>
      <c r="D2156" s="55">
        <v>1379.0</v>
      </c>
      <c r="E2156" s="57" t="s">
        <v>1352</v>
      </c>
      <c r="F2156" s="2" t="s">
        <v>1755</v>
      </c>
    </row>
    <row r="2157">
      <c r="A2157" s="55">
        <f t="shared" si="2"/>
        <v>2156</v>
      </c>
      <c r="B2157" s="56" t="s">
        <v>1761</v>
      </c>
      <c r="C2157" s="55" t="s">
        <v>42</v>
      </c>
      <c r="D2157" s="55">
        <v>1267.0</v>
      </c>
      <c r="E2157" s="57" t="s">
        <v>1352</v>
      </c>
      <c r="F2157" s="2" t="s">
        <v>1760</v>
      </c>
    </row>
    <row r="2158">
      <c r="A2158" s="55">
        <f t="shared" si="2"/>
        <v>2157</v>
      </c>
      <c r="B2158" s="56" t="s">
        <v>1761</v>
      </c>
      <c r="C2158" s="55" t="s">
        <v>26</v>
      </c>
      <c r="D2158" s="55">
        <v>1435.0</v>
      </c>
      <c r="E2158" s="57" t="s">
        <v>1352</v>
      </c>
      <c r="F2158" s="2" t="s">
        <v>1760</v>
      </c>
    </row>
    <row r="2159">
      <c r="A2159" s="55">
        <f t="shared" si="2"/>
        <v>2158</v>
      </c>
      <c r="B2159" s="56" t="s">
        <v>1761</v>
      </c>
      <c r="C2159" s="55" t="s">
        <v>31</v>
      </c>
      <c r="D2159" s="55">
        <v>1294.0</v>
      </c>
      <c r="E2159" s="57" t="s">
        <v>1352</v>
      </c>
      <c r="F2159" s="2" t="s">
        <v>1760</v>
      </c>
    </row>
    <row r="2160">
      <c r="A2160" s="55">
        <f t="shared" si="2"/>
        <v>2159</v>
      </c>
      <c r="B2160" s="56" t="s">
        <v>1761</v>
      </c>
      <c r="C2160" s="55" t="s">
        <v>27</v>
      </c>
      <c r="D2160" s="55">
        <v>1388.0</v>
      </c>
      <c r="E2160" s="57" t="s">
        <v>1352</v>
      </c>
      <c r="F2160" s="2" t="s">
        <v>1760</v>
      </c>
    </row>
    <row r="2161">
      <c r="A2161" s="55">
        <f t="shared" si="2"/>
        <v>2160</v>
      </c>
      <c r="B2161" s="56" t="s">
        <v>1761</v>
      </c>
      <c r="C2161" s="55" t="s">
        <v>30</v>
      </c>
      <c r="D2161" s="55">
        <v>1362.0</v>
      </c>
      <c r="E2161" s="57" t="s">
        <v>1352</v>
      </c>
      <c r="F2161" s="2" t="s">
        <v>1760</v>
      </c>
    </row>
    <row r="2162">
      <c r="A2162" s="55">
        <f t="shared" si="2"/>
        <v>2161</v>
      </c>
      <c r="B2162" s="56" t="s">
        <v>1766</v>
      </c>
      <c r="C2162" s="55" t="s">
        <v>30</v>
      </c>
      <c r="D2162" s="55">
        <v>1341.0</v>
      </c>
      <c r="E2162" s="57" t="s">
        <v>1352</v>
      </c>
      <c r="F2162" s="2" t="s">
        <v>1765</v>
      </c>
    </row>
    <row r="2163">
      <c r="A2163" s="55">
        <f t="shared" si="2"/>
        <v>2162</v>
      </c>
      <c r="B2163" s="56" t="s">
        <v>1766</v>
      </c>
      <c r="C2163" s="55" t="s">
        <v>42</v>
      </c>
      <c r="D2163" s="55">
        <v>1280.0</v>
      </c>
      <c r="E2163" s="57" t="s">
        <v>1352</v>
      </c>
      <c r="F2163" s="2" t="s">
        <v>1765</v>
      </c>
    </row>
    <row r="2164">
      <c r="A2164" s="55">
        <f t="shared" si="2"/>
        <v>2163</v>
      </c>
      <c r="B2164" s="56" t="s">
        <v>1766</v>
      </c>
      <c r="C2164" s="55" t="s">
        <v>26</v>
      </c>
      <c r="D2164" s="55">
        <v>1449.0</v>
      </c>
      <c r="E2164" s="57" t="s">
        <v>1352</v>
      </c>
      <c r="F2164" s="2" t="s">
        <v>1765</v>
      </c>
    </row>
    <row r="2165">
      <c r="A2165" s="55">
        <f t="shared" si="2"/>
        <v>2164</v>
      </c>
      <c r="B2165" s="56" t="s">
        <v>1766</v>
      </c>
      <c r="C2165" s="55" t="s">
        <v>31</v>
      </c>
      <c r="D2165" s="55">
        <v>1270.0</v>
      </c>
      <c r="E2165" s="57" t="s">
        <v>1352</v>
      </c>
      <c r="F2165" s="2" t="s">
        <v>1765</v>
      </c>
    </row>
    <row r="2166">
      <c r="A2166" s="55">
        <f t="shared" si="2"/>
        <v>2165</v>
      </c>
      <c r="B2166" s="56" t="s">
        <v>1766</v>
      </c>
      <c r="C2166" s="55" t="s">
        <v>27</v>
      </c>
      <c r="D2166" s="55">
        <v>1372.0</v>
      </c>
      <c r="E2166" s="57" t="s">
        <v>1352</v>
      </c>
      <c r="F2166" s="2" t="s">
        <v>1765</v>
      </c>
    </row>
    <row r="2167">
      <c r="A2167" s="55">
        <f t="shared" si="2"/>
        <v>2166</v>
      </c>
      <c r="B2167" s="56" t="s">
        <v>1770</v>
      </c>
      <c r="C2167" s="55" t="s">
        <v>31</v>
      </c>
      <c r="D2167" s="55">
        <v>1247.0</v>
      </c>
      <c r="E2167" s="57" t="s">
        <v>1352</v>
      </c>
      <c r="F2167" s="2" t="s">
        <v>1769</v>
      </c>
    </row>
    <row r="2168">
      <c r="A2168" s="55">
        <f t="shared" si="2"/>
        <v>2167</v>
      </c>
      <c r="B2168" s="56" t="s">
        <v>1770</v>
      </c>
      <c r="C2168" s="55" t="s">
        <v>26</v>
      </c>
      <c r="D2168" s="55">
        <v>1433.0</v>
      </c>
      <c r="E2168" s="57" t="s">
        <v>1352</v>
      </c>
      <c r="F2168" s="2" t="s">
        <v>1769</v>
      </c>
    </row>
    <row r="2169">
      <c r="A2169" s="55">
        <f t="shared" si="2"/>
        <v>2168</v>
      </c>
      <c r="B2169" s="56" t="s">
        <v>1770</v>
      </c>
      <c r="C2169" s="55" t="s">
        <v>27</v>
      </c>
      <c r="D2169" s="55">
        <v>1356.0</v>
      </c>
      <c r="E2169" s="57" t="s">
        <v>1352</v>
      </c>
      <c r="F2169" s="2" t="s">
        <v>1769</v>
      </c>
    </row>
    <row r="2170">
      <c r="A2170" s="55">
        <f t="shared" si="2"/>
        <v>2169</v>
      </c>
      <c r="B2170" s="56" t="s">
        <v>1770</v>
      </c>
      <c r="C2170" s="55" t="s">
        <v>42</v>
      </c>
      <c r="D2170" s="55">
        <v>1296.0</v>
      </c>
      <c r="E2170" s="57" t="s">
        <v>1352</v>
      </c>
      <c r="F2170" s="2" t="s">
        <v>1769</v>
      </c>
    </row>
    <row r="2171">
      <c r="A2171" s="55">
        <f t="shared" si="2"/>
        <v>2170</v>
      </c>
      <c r="B2171" s="56" t="s">
        <v>1770</v>
      </c>
      <c r="C2171" s="55" t="s">
        <v>30</v>
      </c>
      <c r="D2171" s="55">
        <v>1358.0</v>
      </c>
      <c r="E2171" s="57" t="s">
        <v>1352</v>
      </c>
      <c r="F2171" s="2" t="s">
        <v>1769</v>
      </c>
    </row>
    <row r="2172">
      <c r="A2172" s="55">
        <f t="shared" si="2"/>
        <v>2171</v>
      </c>
      <c r="B2172" s="56" t="s">
        <v>1774</v>
      </c>
      <c r="C2172" s="55" t="s">
        <v>30</v>
      </c>
      <c r="D2172" s="55">
        <v>1339.0</v>
      </c>
      <c r="E2172" s="57" t="s">
        <v>1352</v>
      </c>
      <c r="F2172" s="2" t="s">
        <v>1773</v>
      </c>
    </row>
    <row r="2173">
      <c r="A2173" s="55">
        <f t="shared" si="2"/>
        <v>2172</v>
      </c>
      <c r="B2173" s="56" t="s">
        <v>1774</v>
      </c>
      <c r="C2173" s="55" t="s">
        <v>34</v>
      </c>
      <c r="D2173" s="55">
        <v>955.0</v>
      </c>
      <c r="E2173" s="57" t="s">
        <v>1352</v>
      </c>
      <c r="F2173" s="2" t="s">
        <v>1773</v>
      </c>
    </row>
    <row r="2174">
      <c r="A2174" s="55">
        <f t="shared" si="2"/>
        <v>2173</v>
      </c>
      <c r="B2174" s="56" t="s">
        <v>1774</v>
      </c>
      <c r="C2174" s="55" t="s">
        <v>27</v>
      </c>
      <c r="D2174" s="55">
        <v>1340.0</v>
      </c>
      <c r="E2174" s="57" t="s">
        <v>1352</v>
      </c>
      <c r="F2174" s="2" t="s">
        <v>1773</v>
      </c>
    </row>
    <row r="2175">
      <c r="A2175" s="55">
        <f t="shared" si="2"/>
        <v>2174</v>
      </c>
      <c r="B2175" s="56" t="s">
        <v>1774</v>
      </c>
      <c r="C2175" s="55" t="s">
        <v>36</v>
      </c>
      <c r="D2175" s="55">
        <v>1263.0</v>
      </c>
      <c r="E2175" s="57" t="s">
        <v>1352</v>
      </c>
      <c r="F2175" s="2" t="s">
        <v>1773</v>
      </c>
    </row>
    <row r="2176">
      <c r="A2176" s="55">
        <f t="shared" si="2"/>
        <v>2175</v>
      </c>
      <c r="B2176" s="56" t="s">
        <v>1774</v>
      </c>
      <c r="C2176" s="55" t="s">
        <v>31</v>
      </c>
      <c r="D2176" s="55">
        <v>1258.0</v>
      </c>
      <c r="E2176" s="57" t="s">
        <v>1352</v>
      </c>
      <c r="F2176" s="2" t="s">
        <v>1773</v>
      </c>
    </row>
    <row r="2177">
      <c r="A2177" s="55">
        <f t="shared" si="2"/>
        <v>2176</v>
      </c>
      <c r="B2177" s="56" t="s">
        <v>1774</v>
      </c>
      <c r="C2177" s="55" t="s">
        <v>26</v>
      </c>
      <c r="D2177" s="55">
        <v>1445.0</v>
      </c>
      <c r="E2177" s="57" t="s">
        <v>1352</v>
      </c>
      <c r="F2177" s="2" t="s">
        <v>1773</v>
      </c>
    </row>
    <row r="2178">
      <c r="A2178" s="55">
        <f t="shared" si="2"/>
        <v>2177</v>
      </c>
      <c r="B2178" s="56" t="s">
        <v>1774</v>
      </c>
      <c r="C2178" s="55" t="s">
        <v>42</v>
      </c>
      <c r="D2178" s="55">
        <v>1278.0</v>
      </c>
      <c r="E2178" s="57" t="s">
        <v>1352</v>
      </c>
      <c r="F2178" s="2" t="s">
        <v>1773</v>
      </c>
    </row>
    <row r="2179">
      <c r="A2179" s="55">
        <f t="shared" si="2"/>
        <v>2178</v>
      </c>
      <c r="B2179" s="56" t="s">
        <v>1779</v>
      </c>
      <c r="C2179" s="55" t="s">
        <v>26</v>
      </c>
      <c r="D2179" s="55">
        <v>1428.0</v>
      </c>
      <c r="E2179" s="57" t="s">
        <v>1352</v>
      </c>
      <c r="F2179" s="2" t="s">
        <v>1778</v>
      </c>
    </row>
    <row r="2180">
      <c r="A2180" s="55">
        <f t="shared" si="2"/>
        <v>2179</v>
      </c>
      <c r="B2180" s="56" t="s">
        <v>1779</v>
      </c>
      <c r="C2180" s="55" t="s">
        <v>36</v>
      </c>
      <c r="D2180" s="55">
        <v>1276.0</v>
      </c>
      <c r="E2180" s="57" t="s">
        <v>1352</v>
      </c>
      <c r="F2180" s="2" t="s">
        <v>1778</v>
      </c>
    </row>
    <row r="2181">
      <c r="A2181" s="55">
        <f t="shared" si="2"/>
        <v>2180</v>
      </c>
      <c r="B2181" s="56" t="s">
        <v>1779</v>
      </c>
      <c r="C2181" s="55" t="s">
        <v>27</v>
      </c>
      <c r="D2181" s="55">
        <v>1354.0</v>
      </c>
      <c r="E2181" s="57" t="s">
        <v>1352</v>
      </c>
      <c r="F2181" s="2" t="s">
        <v>1778</v>
      </c>
    </row>
    <row r="2182">
      <c r="A2182" s="55">
        <f t="shared" si="2"/>
        <v>2181</v>
      </c>
      <c r="B2182" s="56" t="s">
        <v>1779</v>
      </c>
      <c r="C2182" s="55" t="s">
        <v>31</v>
      </c>
      <c r="D2182" s="55">
        <v>1233.0</v>
      </c>
      <c r="E2182" s="57" t="s">
        <v>1352</v>
      </c>
      <c r="F2182" s="2" t="s">
        <v>1778</v>
      </c>
    </row>
    <row r="2183">
      <c r="A2183" s="55">
        <f t="shared" si="2"/>
        <v>2182</v>
      </c>
      <c r="B2183" s="56" t="s">
        <v>1779</v>
      </c>
      <c r="C2183" s="55" t="s">
        <v>42</v>
      </c>
      <c r="D2183" s="55">
        <v>1258.0</v>
      </c>
      <c r="E2183" s="57" t="s">
        <v>1352</v>
      </c>
      <c r="F2183" s="2" t="s">
        <v>1778</v>
      </c>
    </row>
    <row r="2184">
      <c r="A2184" s="55">
        <f t="shared" si="2"/>
        <v>2183</v>
      </c>
      <c r="B2184" s="56" t="s">
        <v>1779</v>
      </c>
      <c r="C2184" s="55" t="s">
        <v>30</v>
      </c>
      <c r="D2184" s="55">
        <v>1353.0</v>
      </c>
      <c r="E2184" s="57" t="s">
        <v>1352</v>
      </c>
      <c r="F2184" s="2" t="s">
        <v>1778</v>
      </c>
    </row>
    <row r="2185">
      <c r="A2185" s="55">
        <f t="shared" si="2"/>
        <v>2184</v>
      </c>
      <c r="B2185" s="56" t="s">
        <v>1779</v>
      </c>
      <c r="C2185" s="55" t="s">
        <v>34</v>
      </c>
      <c r="D2185" s="55">
        <v>965.0</v>
      </c>
      <c r="E2185" s="57" t="s">
        <v>1352</v>
      </c>
      <c r="F2185" s="2" t="s">
        <v>1778</v>
      </c>
    </row>
    <row r="2186">
      <c r="A2186" s="55">
        <f t="shared" si="2"/>
        <v>2185</v>
      </c>
      <c r="B2186" s="56" t="s">
        <v>1783</v>
      </c>
      <c r="C2186" s="55" t="s">
        <v>36</v>
      </c>
      <c r="D2186" s="55">
        <v>1290.0</v>
      </c>
      <c r="E2186" s="57" t="s">
        <v>1352</v>
      </c>
      <c r="F2186" s="2" t="s">
        <v>1782</v>
      </c>
    </row>
    <row r="2187">
      <c r="A2187" s="55">
        <f t="shared" si="2"/>
        <v>2186</v>
      </c>
      <c r="B2187" s="56" t="s">
        <v>1783</v>
      </c>
      <c r="C2187" s="55" t="s">
        <v>34</v>
      </c>
      <c r="D2187" s="55">
        <v>934.0</v>
      </c>
      <c r="E2187" s="57" t="s">
        <v>1352</v>
      </c>
      <c r="F2187" s="2" t="s">
        <v>1782</v>
      </c>
    </row>
    <row r="2188">
      <c r="A2188" s="55">
        <f t="shared" si="2"/>
        <v>2187</v>
      </c>
      <c r="B2188" s="56" t="s">
        <v>1783</v>
      </c>
      <c r="C2188" s="55" t="s">
        <v>27</v>
      </c>
      <c r="D2188" s="55">
        <v>1368.0</v>
      </c>
      <c r="E2188" s="57" t="s">
        <v>1352</v>
      </c>
      <c r="F2188" s="2" t="s">
        <v>1782</v>
      </c>
    </row>
    <row r="2189">
      <c r="A2189" s="55">
        <f t="shared" si="2"/>
        <v>2188</v>
      </c>
      <c r="B2189" s="56" t="s">
        <v>1783</v>
      </c>
      <c r="C2189" s="55" t="s">
        <v>31</v>
      </c>
      <c r="D2189" s="55">
        <v>1205.0</v>
      </c>
      <c r="E2189" s="57" t="s">
        <v>1352</v>
      </c>
      <c r="F2189" s="2" t="s">
        <v>1782</v>
      </c>
    </row>
    <row r="2190">
      <c r="A2190" s="55">
        <f t="shared" si="2"/>
        <v>2189</v>
      </c>
      <c r="B2190" s="56" t="s">
        <v>1783</v>
      </c>
      <c r="C2190" s="55" t="s">
        <v>30</v>
      </c>
      <c r="D2190" s="55">
        <v>1330.0</v>
      </c>
      <c r="E2190" s="57" t="s">
        <v>1352</v>
      </c>
      <c r="F2190" s="2" t="s">
        <v>1782</v>
      </c>
    </row>
    <row r="2191">
      <c r="A2191" s="55">
        <f t="shared" si="2"/>
        <v>2190</v>
      </c>
      <c r="B2191" s="56" t="s">
        <v>1783</v>
      </c>
      <c r="C2191" s="55" t="s">
        <v>29</v>
      </c>
      <c r="D2191" s="55">
        <v>1220.0</v>
      </c>
      <c r="E2191" s="57" t="s">
        <v>1352</v>
      </c>
      <c r="F2191" s="2" t="s">
        <v>1782</v>
      </c>
    </row>
    <row r="2192">
      <c r="A2192" s="55">
        <f t="shared" si="2"/>
        <v>2191</v>
      </c>
      <c r="B2192" s="56" t="s">
        <v>1783</v>
      </c>
      <c r="C2192" s="55" t="s">
        <v>42</v>
      </c>
      <c r="D2192" s="55">
        <v>1236.0</v>
      </c>
      <c r="E2192" s="57" t="s">
        <v>1352</v>
      </c>
      <c r="F2192" s="2" t="s">
        <v>1782</v>
      </c>
    </row>
    <row r="2193">
      <c r="A2193" s="55">
        <f t="shared" si="2"/>
        <v>2192</v>
      </c>
      <c r="B2193" s="56" t="s">
        <v>1783</v>
      </c>
      <c r="C2193" s="55" t="s">
        <v>26</v>
      </c>
      <c r="D2193" s="55">
        <v>1443.0</v>
      </c>
      <c r="E2193" s="57" t="s">
        <v>1352</v>
      </c>
      <c r="F2193" s="2" t="s">
        <v>1782</v>
      </c>
    </row>
    <row r="2194">
      <c r="A2194" s="55">
        <f t="shared" si="2"/>
        <v>2193</v>
      </c>
      <c r="B2194" s="56" t="s">
        <v>1787</v>
      </c>
      <c r="C2194" s="55" t="s">
        <v>31</v>
      </c>
      <c r="D2194" s="55">
        <v>1215.0</v>
      </c>
      <c r="E2194" s="57" t="s">
        <v>1352</v>
      </c>
      <c r="F2194" s="2" t="s">
        <v>1786</v>
      </c>
    </row>
    <row r="2195">
      <c r="A2195" s="55">
        <f t="shared" si="2"/>
        <v>2194</v>
      </c>
      <c r="B2195" s="56" t="s">
        <v>1787</v>
      </c>
      <c r="C2195" s="55" t="s">
        <v>30</v>
      </c>
      <c r="D2195" s="55">
        <v>1309.0</v>
      </c>
      <c r="E2195" s="57" t="s">
        <v>1352</v>
      </c>
      <c r="F2195" s="2" t="s">
        <v>1786</v>
      </c>
    </row>
    <row r="2196">
      <c r="A2196" s="55">
        <f t="shared" si="2"/>
        <v>2195</v>
      </c>
      <c r="B2196" s="56" t="s">
        <v>1787</v>
      </c>
      <c r="C2196" s="55" t="s">
        <v>24</v>
      </c>
      <c r="D2196" s="55">
        <v>1464.0</v>
      </c>
      <c r="E2196" s="57" t="s">
        <v>1352</v>
      </c>
      <c r="F2196" s="2" t="s">
        <v>1786</v>
      </c>
    </row>
    <row r="2197">
      <c r="A2197" s="55">
        <f t="shared" si="2"/>
        <v>2196</v>
      </c>
      <c r="B2197" s="56" t="s">
        <v>1787</v>
      </c>
      <c r="C2197" s="55" t="s">
        <v>36</v>
      </c>
      <c r="D2197" s="55">
        <v>1301.0</v>
      </c>
      <c r="E2197" s="57" t="s">
        <v>1352</v>
      </c>
      <c r="F2197" s="2" t="s">
        <v>1786</v>
      </c>
    </row>
    <row r="2198">
      <c r="A2198" s="55">
        <f t="shared" si="2"/>
        <v>2197</v>
      </c>
      <c r="B2198" s="56" t="s">
        <v>1787</v>
      </c>
      <c r="C2198" s="55" t="s">
        <v>27</v>
      </c>
      <c r="D2198" s="55">
        <v>1380.0</v>
      </c>
      <c r="E2198" s="57" t="s">
        <v>1352</v>
      </c>
      <c r="F2198" s="2" t="s">
        <v>1786</v>
      </c>
    </row>
    <row r="2199">
      <c r="A2199" s="55">
        <f t="shared" si="2"/>
        <v>2198</v>
      </c>
      <c r="B2199" s="56" t="s">
        <v>1787</v>
      </c>
      <c r="C2199" s="55" t="s">
        <v>26</v>
      </c>
      <c r="D2199" s="55">
        <v>1427.0</v>
      </c>
      <c r="E2199" s="57" t="s">
        <v>1352</v>
      </c>
      <c r="F2199" s="2" t="s">
        <v>1786</v>
      </c>
    </row>
    <row r="2200">
      <c r="A2200" s="55">
        <f t="shared" si="2"/>
        <v>2199</v>
      </c>
      <c r="B2200" s="56" t="s">
        <v>1787</v>
      </c>
      <c r="C2200" s="55" t="s">
        <v>42</v>
      </c>
      <c r="D2200" s="55">
        <v>1216.0</v>
      </c>
      <c r="E2200" s="57" t="s">
        <v>1352</v>
      </c>
      <c r="F2200" s="2" t="s">
        <v>1786</v>
      </c>
    </row>
    <row r="2201">
      <c r="A2201" s="55">
        <f t="shared" si="2"/>
        <v>2200</v>
      </c>
      <c r="B2201" s="56" t="s">
        <v>1792</v>
      </c>
      <c r="C2201" s="55" t="s">
        <v>30</v>
      </c>
      <c r="D2201" s="55">
        <v>1324.0</v>
      </c>
      <c r="E2201" s="57" t="s">
        <v>1352</v>
      </c>
      <c r="F2201" s="2" t="s">
        <v>1791</v>
      </c>
    </row>
    <row r="2202">
      <c r="A2202" s="55">
        <f t="shared" si="2"/>
        <v>2201</v>
      </c>
      <c r="B2202" s="56" t="s">
        <v>1792</v>
      </c>
      <c r="C2202" s="55" t="s">
        <v>36</v>
      </c>
      <c r="D2202" s="55">
        <v>1280.0</v>
      </c>
      <c r="E2202" s="57" t="s">
        <v>1352</v>
      </c>
      <c r="F2202" s="2" t="s">
        <v>1791</v>
      </c>
    </row>
    <row r="2203">
      <c r="A2203" s="55">
        <f t="shared" si="2"/>
        <v>2202</v>
      </c>
      <c r="B2203" s="56" t="s">
        <v>1792</v>
      </c>
      <c r="C2203" s="55" t="s">
        <v>27</v>
      </c>
      <c r="D2203" s="55">
        <v>1361.0</v>
      </c>
      <c r="E2203" s="57" t="s">
        <v>1352</v>
      </c>
      <c r="F2203" s="2" t="s">
        <v>1791</v>
      </c>
    </row>
    <row r="2204">
      <c r="A2204" s="55">
        <f t="shared" si="2"/>
        <v>2203</v>
      </c>
      <c r="B2204" s="56" t="s">
        <v>1792</v>
      </c>
      <c r="C2204" s="55" t="s">
        <v>24</v>
      </c>
      <c r="D2204" s="55">
        <v>1480.0</v>
      </c>
      <c r="E2204" s="57" t="s">
        <v>1352</v>
      </c>
      <c r="F2204" s="2" t="s">
        <v>1791</v>
      </c>
    </row>
    <row r="2205">
      <c r="A2205" s="55">
        <f t="shared" si="2"/>
        <v>2204</v>
      </c>
      <c r="B2205" s="56" t="s">
        <v>1792</v>
      </c>
      <c r="C2205" s="55" t="s">
        <v>26</v>
      </c>
      <c r="D2205" s="55">
        <v>1406.0</v>
      </c>
      <c r="E2205" s="57" t="s">
        <v>1352</v>
      </c>
      <c r="F2205" s="2" t="s">
        <v>1791</v>
      </c>
    </row>
    <row r="2206">
      <c r="A2206" s="55">
        <f t="shared" si="2"/>
        <v>2205</v>
      </c>
      <c r="B2206" s="56" t="s">
        <v>1792</v>
      </c>
      <c r="C2206" s="55" t="s">
        <v>42</v>
      </c>
      <c r="D2206" s="55">
        <v>1192.0</v>
      </c>
      <c r="E2206" s="57" t="s">
        <v>1352</v>
      </c>
      <c r="F2206" s="2" t="s">
        <v>1791</v>
      </c>
    </row>
    <row r="2207">
      <c r="A2207" s="55">
        <f t="shared" si="2"/>
        <v>2206</v>
      </c>
      <c r="B2207" s="56" t="s">
        <v>1792</v>
      </c>
      <c r="C2207" s="55" t="s">
        <v>31</v>
      </c>
      <c r="D2207" s="55">
        <v>1228.0</v>
      </c>
      <c r="E2207" s="57" t="s">
        <v>1352</v>
      </c>
      <c r="F2207" s="2" t="s">
        <v>1791</v>
      </c>
    </row>
    <row r="2208">
      <c r="A2208" s="55">
        <f t="shared" si="2"/>
        <v>2207</v>
      </c>
      <c r="B2208" s="56" t="s">
        <v>1796</v>
      </c>
      <c r="C2208" s="55" t="s">
        <v>36</v>
      </c>
      <c r="D2208" s="55">
        <v>1294.0</v>
      </c>
      <c r="E2208" s="57" t="s">
        <v>1352</v>
      </c>
      <c r="F2208" s="2" t="s">
        <v>1795</v>
      </c>
    </row>
    <row r="2209">
      <c r="A2209" s="55">
        <f t="shared" si="2"/>
        <v>2208</v>
      </c>
      <c r="B2209" s="56" t="s">
        <v>1796</v>
      </c>
      <c r="C2209" s="55" t="s">
        <v>31</v>
      </c>
      <c r="D2209" s="55">
        <v>1200.0</v>
      </c>
      <c r="E2209" s="57" t="s">
        <v>1352</v>
      </c>
      <c r="F2209" s="2" t="s">
        <v>1795</v>
      </c>
    </row>
    <row r="2210">
      <c r="A2210" s="55">
        <f t="shared" si="2"/>
        <v>2209</v>
      </c>
      <c r="B2210" s="56" t="s">
        <v>1796</v>
      </c>
      <c r="C2210" s="55" t="s">
        <v>42</v>
      </c>
      <c r="D2210" s="55">
        <v>1167.0</v>
      </c>
      <c r="E2210" s="57" t="s">
        <v>1352</v>
      </c>
      <c r="F2210" s="2" t="s">
        <v>1795</v>
      </c>
    </row>
    <row r="2211">
      <c r="A2211" s="55">
        <f t="shared" si="2"/>
        <v>2210</v>
      </c>
      <c r="B2211" s="56" t="s">
        <v>1796</v>
      </c>
      <c r="C2211" s="55" t="s">
        <v>26</v>
      </c>
      <c r="D2211" s="55">
        <v>1385.0</v>
      </c>
      <c r="E2211" s="57" t="s">
        <v>1352</v>
      </c>
      <c r="F2211" s="2" t="s">
        <v>1795</v>
      </c>
    </row>
    <row r="2212">
      <c r="A2212" s="55">
        <f t="shared" si="2"/>
        <v>2211</v>
      </c>
      <c r="B2212" s="56" t="s">
        <v>1796</v>
      </c>
      <c r="C2212" s="55" t="s">
        <v>27</v>
      </c>
      <c r="D2212" s="55">
        <v>1376.0</v>
      </c>
      <c r="E2212" s="57" t="s">
        <v>1352</v>
      </c>
      <c r="F2212" s="2" t="s">
        <v>1795</v>
      </c>
    </row>
    <row r="2213">
      <c r="A2213" s="55">
        <f t="shared" si="2"/>
        <v>2212</v>
      </c>
      <c r="B2213" s="56" t="s">
        <v>1796</v>
      </c>
      <c r="C2213" s="55" t="s">
        <v>30</v>
      </c>
      <c r="D2213" s="55">
        <v>1339.0</v>
      </c>
      <c r="E2213" s="57" t="s">
        <v>1352</v>
      </c>
      <c r="F2213" s="2" t="s">
        <v>1795</v>
      </c>
    </row>
    <row r="2214">
      <c r="A2214" s="55">
        <f t="shared" si="2"/>
        <v>2213</v>
      </c>
      <c r="B2214" s="56" t="s">
        <v>1796</v>
      </c>
      <c r="C2214" s="55" t="s">
        <v>24</v>
      </c>
      <c r="D2214" s="55">
        <v>1462.0</v>
      </c>
      <c r="E2214" s="57" t="s">
        <v>1352</v>
      </c>
      <c r="F2214" s="2" t="s">
        <v>1795</v>
      </c>
    </row>
    <row r="2215">
      <c r="A2215" s="55">
        <f t="shared" si="2"/>
        <v>2214</v>
      </c>
      <c r="B2215" s="56" t="s">
        <v>1800</v>
      </c>
      <c r="C2215" s="55" t="s">
        <v>24</v>
      </c>
      <c r="D2215" s="55">
        <v>1446.0</v>
      </c>
      <c r="E2215" s="57" t="s">
        <v>1352</v>
      </c>
      <c r="F2215" s="2" t="s">
        <v>1799</v>
      </c>
    </row>
    <row r="2216">
      <c r="A2216" s="55">
        <f t="shared" si="2"/>
        <v>2215</v>
      </c>
      <c r="B2216" s="56" t="s">
        <v>1800</v>
      </c>
      <c r="C2216" s="55" t="s">
        <v>34</v>
      </c>
      <c r="D2216" s="55">
        <v>942.0</v>
      </c>
      <c r="E2216" s="57" t="s">
        <v>1352</v>
      </c>
      <c r="F2216" s="2" t="s">
        <v>1799</v>
      </c>
    </row>
    <row r="2217">
      <c r="A2217" s="55">
        <f t="shared" si="2"/>
        <v>2216</v>
      </c>
      <c r="B2217" s="56" t="s">
        <v>1800</v>
      </c>
      <c r="C2217" s="55" t="s">
        <v>27</v>
      </c>
      <c r="D2217" s="55">
        <v>1360.0</v>
      </c>
      <c r="E2217" s="57" t="s">
        <v>1352</v>
      </c>
      <c r="F2217" s="2" t="s">
        <v>1799</v>
      </c>
    </row>
    <row r="2218">
      <c r="A2218" s="55">
        <f t="shared" si="2"/>
        <v>2217</v>
      </c>
      <c r="B2218" s="56" t="s">
        <v>1800</v>
      </c>
      <c r="C2218" s="55" t="s">
        <v>30</v>
      </c>
      <c r="D2218" s="55">
        <v>1318.0</v>
      </c>
      <c r="E2218" s="57" t="s">
        <v>1352</v>
      </c>
      <c r="F2218" s="2" t="s">
        <v>1799</v>
      </c>
    </row>
    <row r="2219">
      <c r="A2219" s="55">
        <f t="shared" si="2"/>
        <v>2218</v>
      </c>
      <c r="B2219" s="56" t="s">
        <v>1800</v>
      </c>
      <c r="C2219" s="55" t="s">
        <v>42</v>
      </c>
      <c r="D2219" s="55">
        <v>1176.0</v>
      </c>
      <c r="E2219" s="57" t="s">
        <v>1352</v>
      </c>
      <c r="F2219" s="2" t="s">
        <v>1799</v>
      </c>
    </row>
    <row r="2220">
      <c r="A2220" s="55">
        <f t="shared" si="2"/>
        <v>2219</v>
      </c>
      <c r="B2220" s="56" t="s">
        <v>1800</v>
      </c>
      <c r="C2220" s="55" t="s">
        <v>26</v>
      </c>
      <c r="D2220" s="55">
        <v>1366.0</v>
      </c>
      <c r="E2220" s="57" t="s">
        <v>1352</v>
      </c>
      <c r="F2220" s="2" t="s">
        <v>1799</v>
      </c>
    </row>
    <row r="2221">
      <c r="A2221" s="55">
        <f t="shared" si="2"/>
        <v>2220</v>
      </c>
      <c r="B2221" s="56" t="s">
        <v>1800</v>
      </c>
      <c r="C2221" s="55" t="s">
        <v>36</v>
      </c>
      <c r="D2221" s="55">
        <v>1304.0</v>
      </c>
      <c r="E2221" s="57" t="s">
        <v>1352</v>
      </c>
      <c r="F2221" s="2" t="s">
        <v>1799</v>
      </c>
    </row>
    <row r="2222">
      <c r="A2222" s="55">
        <f t="shared" si="2"/>
        <v>2221</v>
      </c>
      <c r="B2222" s="56" t="s">
        <v>1805</v>
      </c>
      <c r="C2222" s="55" t="s">
        <v>42</v>
      </c>
      <c r="D2222" s="55">
        <v>1153.0</v>
      </c>
      <c r="E2222" s="57" t="s">
        <v>1352</v>
      </c>
      <c r="F2222" s="2" t="s">
        <v>1804</v>
      </c>
    </row>
    <row r="2223">
      <c r="A2223" s="55">
        <f t="shared" si="2"/>
        <v>2222</v>
      </c>
      <c r="B2223" s="56" t="s">
        <v>1805</v>
      </c>
      <c r="C2223" s="55" t="s">
        <v>34</v>
      </c>
      <c r="D2223" s="55">
        <v>956.0</v>
      </c>
      <c r="E2223" s="57" t="s">
        <v>1352</v>
      </c>
      <c r="F2223" s="2" t="s">
        <v>1804</v>
      </c>
    </row>
    <row r="2224">
      <c r="A2224" s="55">
        <f t="shared" si="2"/>
        <v>2223</v>
      </c>
      <c r="B2224" s="56" t="s">
        <v>1805</v>
      </c>
      <c r="C2224" s="55" t="s">
        <v>36</v>
      </c>
      <c r="D2224" s="55">
        <v>1286.0</v>
      </c>
      <c r="E2224" s="57" t="s">
        <v>1352</v>
      </c>
      <c r="F2224" s="2" t="s">
        <v>1804</v>
      </c>
    </row>
    <row r="2225">
      <c r="A2225" s="55">
        <f t="shared" si="2"/>
        <v>2224</v>
      </c>
      <c r="B2225" s="56" t="s">
        <v>1805</v>
      </c>
      <c r="C2225" s="55" t="s">
        <v>27</v>
      </c>
      <c r="D2225" s="55">
        <v>1379.0</v>
      </c>
      <c r="E2225" s="57" t="s">
        <v>1352</v>
      </c>
      <c r="F2225" s="2" t="s">
        <v>1804</v>
      </c>
    </row>
    <row r="2226">
      <c r="A2226" s="55">
        <f t="shared" si="2"/>
        <v>2225</v>
      </c>
      <c r="B2226" s="56" t="s">
        <v>1805</v>
      </c>
      <c r="C2226" s="55" t="s">
        <v>24</v>
      </c>
      <c r="D2226" s="55">
        <v>1467.0</v>
      </c>
      <c r="E2226" s="57" t="s">
        <v>1352</v>
      </c>
      <c r="F2226" s="2" t="s">
        <v>1804</v>
      </c>
    </row>
    <row r="2227">
      <c r="A2227" s="55">
        <f t="shared" si="2"/>
        <v>2226</v>
      </c>
      <c r="B2227" s="56" t="s">
        <v>1805</v>
      </c>
      <c r="C2227" s="55" t="s">
        <v>26</v>
      </c>
      <c r="D2227" s="55">
        <v>1347.0</v>
      </c>
      <c r="E2227" s="57" t="s">
        <v>1352</v>
      </c>
      <c r="F2227" s="2" t="s">
        <v>1804</v>
      </c>
    </row>
    <row r="2228">
      <c r="A2228" s="55">
        <f t="shared" si="2"/>
        <v>2227</v>
      </c>
      <c r="B2228" s="56" t="s">
        <v>1810</v>
      </c>
      <c r="C2228" s="55" t="s">
        <v>31</v>
      </c>
      <c r="D2228" s="55">
        <v>1209.0</v>
      </c>
      <c r="E2228" s="57" t="s">
        <v>1352</v>
      </c>
      <c r="F2228" s="2" t="s">
        <v>1809</v>
      </c>
    </row>
    <row r="2229">
      <c r="A2229" s="55">
        <f t="shared" si="2"/>
        <v>2228</v>
      </c>
      <c r="B2229" s="56" t="s">
        <v>1810</v>
      </c>
      <c r="C2229" s="55" t="s">
        <v>34</v>
      </c>
      <c r="D2229" s="55">
        <v>968.0</v>
      </c>
      <c r="E2229" s="57" t="s">
        <v>1352</v>
      </c>
      <c r="F2229" s="2" t="s">
        <v>1809</v>
      </c>
    </row>
    <row r="2230">
      <c r="A2230" s="55">
        <f t="shared" si="2"/>
        <v>2229</v>
      </c>
      <c r="B2230" s="56" t="s">
        <v>1810</v>
      </c>
      <c r="C2230" s="55" t="s">
        <v>42</v>
      </c>
      <c r="D2230" s="55">
        <v>1167.0</v>
      </c>
      <c r="E2230" s="57" t="s">
        <v>1352</v>
      </c>
      <c r="F2230" s="2" t="s">
        <v>1809</v>
      </c>
    </row>
    <row r="2231">
      <c r="A2231" s="55">
        <f t="shared" si="2"/>
        <v>2230</v>
      </c>
      <c r="B2231" s="56" t="s">
        <v>1810</v>
      </c>
      <c r="C2231" s="55" t="s">
        <v>36</v>
      </c>
      <c r="D2231" s="55">
        <v>1272.0</v>
      </c>
      <c r="E2231" s="57" t="s">
        <v>1352</v>
      </c>
      <c r="F2231" s="2" t="s">
        <v>1809</v>
      </c>
    </row>
    <row r="2232">
      <c r="A2232" s="55">
        <f t="shared" si="2"/>
        <v>2231</v>
      </c>
      <c r="B2232" s="56" t="s">
        <v>1810</v>
      </c>
      <c r="C2232" s="55" t="s">
        <v>24</v>
      </c>
      <c r="D2232" s="55">
        <v>1456.0</v>
      </c>
      <c r="E2232" s="57" t="s">
        <v>1352</v>
      </c>
      <c r="F2232" s="2" t="s">
        <v>1809</v>
      </c>
    </row>
    <row r="2233">
      <c r="A2233" s="55">
        <f t="shared" si="2"/>
        <v>2232</v>
      </c>
      <c r="B2233" s="56" t="s">
        <v>1810</v>
      </c>
      <c r="C2233" s="55" t="s">
        <v>27</v>
      </c>
      <c r="D2233" s="55">
        <v>1367.0</v>
      </c>
      <c r="E2233" s="57" t="s">
        <v>1352</v>
      </c>
      <c r="F2233" s="2" t="s">
        <v>1809</v>
      </c>
    </row>
    <row r="2234">
      <c r="A2234" s="55">
        <f t="shared" si="2"/>
        <v>2233</v>
      </c>
      <c r="B2234" s="56" t="s">
        <v>1815</v>
      </c>
      <c r="C2234" s="55" t="s">
        <v>34</v>
      </c>
      <c r="D2234" s="55">
        <v>978.0</v>
      </c>
      <c r="E2234" s="57" t="s">
        <v>1352</v>
      </c>
      <c r="F2234" s="2" t="s">
        <v>1814</v>
      </c>
    </row>
    <row r="2235">
      <c r="A2235" s="55">
        <f t="shared" si="2"/>
        <v>2234</v>
      </c>
      <c r="B2235" s="56" t="s">
        <v>1815</v>
      </c>
      <c r="C2235" s="55" t="s">
        <v>27</v>
      </c>
      <c r="D2235" s="55">
        <v>1352.0</v>
      </c>
      <c r="E2235" s="57" t="s">
        <v>1352</v>
      </c>
      <c r="F2235" s="2" t="s">
        <v>1814</v>
      </c>
    </row>
    <row r="2236">
      <c r="A2236" s="55">
        <f t="shared" si="2"/>
        <v>2235</v>
      </c>
      <c r="B2236" s="56" t="s">
        <v>1815</v>
      </c>
      <c r="C2236" s="55" t="s">
        <v>36</v>
      </c>
      <c r="D2236" s="55">
        <v>1285.0</v>
      </c>
      <c r="E2236" s="57" t="s">
        <v>1352</v>
      </c>
      <c r="F2236" s="2" t="s">
        <v>1814</v>
      </c>
    </row>
    <row r="2237">
      <c r="A2237" s="55">
        <f t="shared" si="2"/>
        <v>2236</v>
      </c>
      <c r="B2237" s="56" t="s">
        <v>1815</v>
      </c>
      <c r="C2237" s="55" t="s">
        <v>24</v>
      </c>
      <c r="D2237" s="55">
        <v>1442.0</v>
      </c>
      <c r="E2237" s="57" t="s">
        <v>1352</v>
      </c>
      <c r="F2237" s="2" t="s">
        <v>1814</v>
      </c>
    </row>
    <row r="2238">
      <c r="A2238" s="55">
        <f t="shared" si="2"/>
        <v>2237</v>
      </c>
      <c r="B2238" s="56" t="s">
        <v>1815</v>
      </c>
      <c r="C2238" s="55" t="s">
        <v>31</v>
      </c>
      <c r="D2238" s="55">
        <v>1222.0</v>
      </c>
      <c r="E2238" s="57" t="s">
        <v>1352</v>
      </c>
      <c r="F2238" s="2" t="s">
        <v>1814</v>
      </c>
    </row>
    <row r="2239">
      <c r="A2239" s="55">
        <f t="shared" si="2"/>
        <v>2238</v>
      </c>
      <c r="B2239" s="56" t="s">
        <v>1815</v>
      </c>
      <c r="C2239" s="55" t="s">
        <v>42</v>
      </c>
      <c r="D2239" s="55">
        <v>1179.0</v>
      </c>
      <c r="E2239" s="57" t="s">
        <v>1352</v>
      </c>
      <c r="F2239" s="2" t="s">
        <v>1814</v>
      </c>
    </row>
    <row r="2240">
      <c r="A2240" s="55">
        <f t="shared" si="2"/>
        <v>2239</v>
      </c>
      <c r="B2240" s="56" t="s">
        <v>1820</v>
      </c>
      <c r="C2240" s="55" t="s">
        <v>31</v>
      </c>
      <c r="D2240" s="55">
        <v>1198.0</v>
      </c>
      <c r="E2240" s="57" t="s">
        <v>1352</v>
      </c>
      <c r="F2240" s="2" t="s">
        <v>1819</v>
      </c>
    </row>
    <row r="2241">
      <c r="A2241" s="55">
        <f t="shared" si="2"/>
        <v>2240</v>
      </c>
      <c r="B2241" s="56" t="s">
        <v>1820</v>
      </c>
      <c r="C2241" s="55" t="s">
        <v>42</v>
      </c>
      <c r="D2241" s="55">
        <v>1158.0</v>
      </c>
      <c r="E2241" s="57" t="s">
        <v>1352</v>
      </c>
      <c r="F2241" s="2" t="s">
        <v>1819</v>
      </c>
    </row>
    <row r="2242">
      <c r="A2242" s="55">
        <f t="shared" si="2"/>
        <v>2241</v>
      </c>
      <c r="B2242" s="56" t="s">
        <v>1820</v>
      </c>
      <c r="C2242" s="55" t="s">
        <v>34</v>
      </c>
      <c r="D2242" s="55">
        <v>992.0</v>
      </c>
      <c r="E2242" s="57" t="s">
        <v>1352</v>
      </c>
      <c r="F2242" s="2" t="s">
        <v>1819</v>
      </c>
    </row>
    <row r="2243">
      <c r="A2243" s="55">
        <f t="shared" si="2"/>
        <v>2242</v>
      </c>
      <c r="B2243" s="56" t="s">
        <v>1820</v>
      </c>
      <c r="C2243" s="55" t="s">
        <v>36</v>
      </c>
      <c r="D2243" s="55">
        <v>1302.0</v>
      </c>
      <c r="E2243" s="57" t="s">
        <v>1352</v>
      </c>
      <c r="F2243" s="2" t="s">
        <v>1819</v>
      </c>
    </row>
    <row r="2244">
      <c r="A2244" s="55">
        <f t="shared" si="2"/>
        <v>2243</v>
      </c>
      <c r="B2244" s="56" t="s">
        <v>1820</v>
      </c>
      <c r="C2244" s="55" t="s">
        <v>27</v>
      </c>
      <c r="D2244" s="55">
        <v>1370.0</v>
      </c>
      <c r="E2244" s="57" t="s">
        <v>1352</v>
      </c>
      <c r="F2244" s="2" t="s">
        <v>1819</v>
      </c>
    </row>
    <row r="2245">
      <c r="A2245" s="55">
        <f t="shared" si="2"/>
        <v>2244</v>
      </c>
      <c r="B2245" s="56" t="s">
        <v>1820</v>
      </c>
      <c r="C2245" s="55" t="s">
        <v>24</v>
      </c>
      <c r="D2245" s="55">
        <v>1427.0</v>
      </c>
      <c r="E2245" s="57" t="s">
        <v>1352</v>
      </c>
      <c r="F2245" s="2" t="s">
        <v>1819</v>
      </c>
    </row>
    <row r="2246">
      <c r="A2246" s="55">
        <f t="shared" si="2"/>
        <v>2245</v>
      </c>
      <c r="B2246" s="56" t="s">
        <v>1824</v>
      </c>
      <c r="C2246" s="55" t="s">
        <v>27</v>
      </c>
      <c r="D2246" s="55">
        <v>1357.0</v>
      </c>
      <c r="E2246" s="57" t="s">
        <v>1352</v>
      </c>
      <c r="F2246" s="2" t="s">
        <v>1823</v>
      </c>
    </row>
    <row r="2247">
      <c r="A2247" s="55">
        <f t="shared" si="2"/>
        <v>2246</v>
      </c>
      <c r="B2247" s="56" t="s">
        <v>1824</v>
      </c>
      <c r="C2247" s="55" t="s">
        <v>34</v>
      </c>
      <c r="D2247" s="55">
        <v>1006.0</v>
      </c>
      <c r="E2247" s="57" t="s">
        <v>1352</v>
      </c>
      <c r="F2247" s="2" t="s">
        <v>1823</v>
      </c>
    </row>
    <row r="2248">
      <c r="A2248" s="55">
        <f t="shared" si="2"/>
        <v>2247</v>
      </c>
      <c r="B2248" s="56" t="s">
        <v>1824</v>
      </c>
      <c r="C2248" s="55" t="s">
        <v>42</v>
      </c>
      <c r="D2248" s="55">
        <v>1175.0</v>
      </c>
      <c r="E2248" s="57" t="s">
        <v>1352</v>
      </c>
      <c r="F2248" s="2" t="s">
        <v>1823</v>
      </c>
    </row>
    <row r="2249">
      <c r="A2249" s="55">
        <f t="shared" si="2"/>
        <v>2248</v>
      </c>
      <c r="B2249" s="56" t="s">
        <v>1824</v>
      </c>
      <c r="C2249" s="55" t="s">
        <v>36</v>
      </c>
      <c r="D2249" s="55">
        <v>1287.0</v>
      </c>
      <c r="E2249" s="57" t="s">
        <v>1352</v>
      </c>
      <c r="F2249" s="2" t="s">
        <v>1823</v>
      </c>
    </row>
    <row r="2250">
      <c r="A2250" s="55">
        <f t="shared" si="2"/>
        <v>2249</v>
      </c>
      <c r="B2250" s="56" t="s">
        <v>1824</v>
      </c>
      <c r="C2250" s="55" t="s">
        <v>30</v>
      </c>
      <c r="D2250" s="55">
        <v>1297.0</v>
      </c>
      <c r="E2250" s="57" t="s">
        <v>1352</v>
      </c>
      <c r="F2250" s="2" t="s">
        <v>1823</v>
      </c>
    </row>
    <row r="2251">
      <c r="A2251" s="55">
        <f t="shared" si="2"/>
        <v>2250</v>
      </c>
      <c r="B2251" s="56" t="s">
        <v>1828</v>
      </c>
      <c r="C2251" s="55" t="s">
        <v>30</v>
      </c>
      <c r="D2251" s="55">
        <v>1277.0</v>
      </c>
      <c r="E2251" s="57" t="s">
        <v>1352</v>
      </c>
      <c r="F2251" s="2" t="s">
        <v>1827</v>
      </c>
    </row>
    <row r="2252">
      <c r="A2252" s="55">
        <f t="shared" si="2"/>
        <v>2251</v>
      </c>
      <c r="B2252" s="56" t="s">
        <v>1828</v>
      </c>
      <c r="C2252" s="55" t="s">
        <v>34</v>
      </c>
      <c r="D2252" s="55">
        <v>1016.0</v>
      </c>
      <c r="E2252" s="57" t="s">
        <v>1352</v>
      </c>
      <c r="F2252" s="2" t="s">
        <v>1827</v>
      </c>
    </row>
    <row r="2253">
      <c r="A2253" s="55">
        <f t="shared" si="2"/>
        <v>2252</v>
      </c>
      <c r="B2253" s="56" t="s">
        <v>1828</v>
      </c>
      <c r="C2253" s="55" t="s">
        <v>36</v>
      </c>
      <c r="D2253" s="55">
        <v>1270.0</v>
      </c>
      <c r="E2253" s="57" t="s">
        <v>1352</v>
      </c>
      <c r="F2253" s="2" t="s">
        <v>1827</v>
      </c>
    </row>
    <row r="2254">
      <c r="A2254" s="55">
        <f t="shared" si="2"/>
        <v>2253</v>
      </c>
      <c r="B2254" s="56" t="s">
        <v>1828</v>
      </c>
      <c r="C2254" s="55" t="s">
        <v>42</v>
      </c>
      <c r="D2254" s="55">
        <v>1186.0</v>
      </c>
      <c r="E2254" s="57" t="s">
        <v>1352</v>
      </c>
      <c r="F2254" s="2" t="s">
        <v>1827</v>
      </c>
    </row>
    <row r="2255">
      <c r="A2255" s="55">
        <f t="shared" si="2"/>
        <v>2254</v>
      </c>
      <c r="B2255" s="56" t="s">
        <v>1828</v>
      </c>
      <c r="C2255" s="55" t="s">
        <v>27</v>
      </c>
      <c r="D2255" s="55">
        <v>1369.0</v>
      </c>
      <c r="E2255" s="57" t="s">
        <v>1352</v>
      </c>
      <c r="F2255" s="2" t="s">
        <v>1827</v>
      </c>
    </row>
    <row r="2256">
      <c r="A2256" s="55">
        <f t="shared" si="2"/>
        <v>2255</v>
      </c>
      <c r="B2256" s="56" t="s">
        <v>1832</v>
      </c>
      <c r="C2256" s="55" t="s">
        <v>36</v>
      </c>
      <c r="D2256" s="55">
        <v>1254.0</v>
      </c>
      <c r="E2256" s="57" t="s">
        <v>1352</v>
      </c>
      <c r="F2256" s="2" t="s">
        <v>1831</v>
      </c>
    </row>
    <row r="2257">
      <c r="A2257" s="55">
        <f t="shared" si="2"/>
        <v>2256</v>
      </c>
      <c r="B2257" s="56" t="s">
        <v>1832</v>
      </c>
      <c r="C2257" s="55" t="s">
        <v>30</v>
      </c>
      <c r="D2257" s="55">
        <v>1296.0</v>
      </c>
      <c r="E2257" s="57" t="s">
        <v>1352</v>
      </c>
      <c r="F2257" s="2" t="s">
        <v>1831</v>
      </c>
    </row>
    <row r="2258">
      <c r="A2258" s="55">
        <f t="shared" si="2"/>
        <v>2257</v>
      </c>
      <c r="B2258" s="56" t="s">
        <v>1832</v>
      </c>
      <c r="C2258" s="55" t="s">
        <v>42</v>
      </c>
      <c r="D2258" s="55">
        <v>1168.0</v>
      </c>
      <c r="E2258" s="57" t="s">
        <v>1352</v>
      </c>
      <c r="F2258" s="2" t="s">
        <v>1831</v>
      </c>
    </row>
    <row r="2259">
      <c r="A2259" s="55">
        <f t="shared" si="2"/>
        <v>2258</v>
      </c>
      <c r="B2259" s="56" t="s">
        <v>1832</v>
      </c>
      <c r="C2259" s="55" t="s">
        <v>27</v>
      </c>
      <c r="D2259" s="55">
        <v>1356.0</v>
      </c>
      <c r="E2259" s="57" t="s">
        <v>1352</v>
      </c>
      <c r="F2259" s="2" t="s">
        <v>1831</v>
      </c>
    </row>
    <row r="2260">
      <c r="A2260" s="55">
        <f t="shared" si="2"/>
        <v>2259</v>
      </c>
      <c r="B2260" s="56" t="s">
        <v>1832</v>
      </c>
      <c r="C2260" s="55" t="s">
        <v>34</v>
      </c>
      <c r="D2260" s="55">
        <v>1031.0</v>
      </c>
      <c r="E2260" s="57" t="s">
        <v>1352</v>
      </c>
      <c r="F2260" s="2" t="s">
        <v>1831</v>
      </c>
    </row>
    <row r="2261">
      <c r="A2261" s="55">
        <f t="shared" si="2"/>
        <v>2260</v>
      </c>
      <c r="B2261" s="56" t="s">
        <v>1836</v>
      </c>
      <c r="C2261" s="55" t="s">
        <v>30</v>
      </c>
      <c r="D2261" s="55">
        <v>1308.0</v>
      </c>
      <c r="E2261" s="57" t="s">
        <v>1352</v>
      </c>
      <c r="F2261" s="2" t="s">
        <v>1835</v>
      </c>
    </row>
    <row r="2262">
      <c r="A2262" s="55">
        <f t="shared" si="2"/>
        <v>2261</v>
      </c>
      <c r="B2262" s="56" t="s">
        <v>1836</v>
      </c>
      <c r="C2262" s="55" t="s">
        <v>42</v>
      </c>
      <c r="D2262" s="55">
        <v>1179.0</v>
      </c>
      <c r="E2262" s="57" t="s">
        <v>1352</v>
      </c>
      <c r="F2262" s="2" t="s">
        <v>1835</v>
      </c>
    </row>
    <row r="2263">
      <c r="A2263" s="55">
        <f t="shared" si="2"/>
        <v>2262</v>
      </c>
      <c r="B2263" s="56" t="s">
        <v>1836</v>
      </c>
      <c r="C2263" s="55" t="s">
        <v>34</v>
      </c>
      <c r="D2263" s="55">
        <v>1004.0</v>
      </c>
      <c r="E2263" s="57" t="s">
        <v>1352</v>
      </c>
      <c r="F2263" s="2" t="s">
        <v>1835</v>
      </c>
    </row>
    <row r="2264">
      <c r="A2264" s="55">
        <f t="shared" si="2"/>
        <v>2263</v>
      </c>
      <c r="B2264" s="56" t="s">
        <v>1836</v>
      </c>
      <c r="C2264" s="55" t="s">
        <v>27</v>
      </c>
      <c r="D2264" s="55">
        <v>1340.0</v>
      </c>
      <c r="E2264" s="57" t="s">
        <v>1352</v>
      </c>
      <c r="F2264" s="2" t="s">
        <v>1835</v>
      </c>
    </row>
    <row r="2265">
      <c r="A2265" s="55">
        <f t="shared" si="2"/>
        <v>2264</v>
      </c>
      <c r="B2265" s="56" t="s">
        <v>1836</v>
      </c>
      <c r="C2265" s="55" t="s">
        <v>36</v>
      </c>
      <c r="D2265" s="55">
        <v>1266.0</v>
      </c>
      <c r="E2265" s="57" t="s">
        <v>1352</v>
      </c>
      <c r="F2265" s="2" t="s">
        <v>1835</v>
      </c>
    </row>
    <row r="2266">
      <c r="A2266" s="55">
        <f t="shared" si="2"/>
        <v>2265</v>
      </c>
      <c r="B2266" s="56" t="s">
        <v>1840</v>
      </c>
      <c r="C2266" s="55" t="s">
        <v>36</v>
      </c>
      <c r="D2266" s="55">
        <v>1246.0</v>
      </c>
      <c r="E2266" s="57" t="s">
        <v>1352</v>
      </c>
      <c r="F2266" s="2" t="s">
        <v>1839</v>
      </c>
    </row>
    <row r="2267">
      <c r="A2267" s="55">
        <f t="shared" si="2"/>
        <v>2266</v>
      </c>
      <c r="B2267" s="56" t="s">
        <v>1840</v>
      </c>
      <c r="C2267" s="55" t="s">
        <v>42</v>
      </c>
      <c r="D2267" s="55">
        <v>1197.0</v>
      </c>
      <c r="E2267" s="57" t="s">
        <v>1352</v>
      </c>
      <c r="F2267" s="2" t="s">
        <v>1839</v>
      </c>
    </row>
    <row r="2268">
      <c r="A2268" s="55">
        <f t="shared" si="2"/>
        <v>2267</v>
      </c>
      <c r="B2268" s="56" t="s">
        <v>1840</v>
      </c>
      <c r="C2268" s="55" t="s">
        <v>30</v>
      </c>
      <c r="D2268" s="55">
        <v>1327.0</v>
      </c>
      <c r="E2268" s="57" t="s">
        <v>1352</v>
      </c>
      <c r="F2268" s="2" t="s">
        <v>1839</v>
      </c>
    </row>
    <row r="2269">
      <c r="A2269" s="55">
        <f t="shared" si="2"/>
        <v>2268</v>
      </c>
      <c r="B2269" s="56" t="s">
        <v>1840</v>
      </c>
      <c r="C2269" s="55" t="s">
        <v>24</v>
      </c>
      <c r="D2269" s="55">
        <v>1414.0</v>
      </c>
      <c r="E2269" s="57" t="s">
        <v>1352</v>
      </c>
      <c r="F2269" s="2" t="s">
        <v>1839</v>
      </c>
    </row>
    <row r="2270">
      <c r="A2270" s="55">
        <f t="shared" si="2"/>
        <v>2269</v>
      </c>
      <c r="B2270" s="56" t="s">
        <v>1840</v>
      </c>
      <c r="C2270" s="55" t="s">
        <v>27</v>
      </c>
      <c r="D2270" s="55">
        <v>1360.0</v>
      </c>
      <c r="E2270" s="57" t="s">
        <v>1352</v>
      </c>
      <c r="F2270" s="2" t="s">
        <v>1839</v>
      </c>
    </row>
    <row r="2271">
      <c r="A2271" s="55">
        <f t="shared" si="2"/>
        <v>2270</v>
      </c>
      <c r="B2271" s="56" t="s">
        <v>1845</v>
      </c>
      <c r="C2271" s="55" t="s">
        <v>36</v>
      </c>
      <c r="D2271" s="55">
        <v>1279.0</v>
      </c>
      <c r="E2271" s="57" t="s">
        <v>1352</v>
      </c>
      <c r="F2271" s="2" t="s">
        <v>1844</v>
      </c>
    </row>
    <row r="2272">
      <c r="A2272" s="55">
        <f t="shared" si="2"/>
        <v>2271</v>
      </c>
      <c r="B2272" s="56" t="s">
        <v>1845</v>
      </c>
      <c r="C2272" s="55" t="s">
        <v>34</v>
      </c>
      <c r="D2272" s="55">
        <v>1019.0</v>
      </c>
      <c r="E2272" s="57" t="s">
        <v>1352</v>
      </c>
      <c r="F2272" s="2" t="s">
        <v>1844</v>
      </c>
    </row>
    <row r="2273">
      <c r="A2273" s="55">
        <f t="shared" si="2"/>
        <v>2272</v>
      </c>
      <c r="B2273" s="56" t="s">
        <v>1845</v>
      </c>
      <c r="C2273" s="55" t="s">
        <v>30</v>
      </c>
      <c r="D2273" s="55">
        <v>1363.0</v>
      </c>
      <c r="E2273" s="57" t="s">
        <v>1352</v>
      </c>
      <c r="F2273" s="2" t="s">
        <v>1844</v>
      </c>
    </row>
    <row r="2274">
      <c r="A2274" s="55">
        <f t="shared" si="2"/>
        <v>2273</v>
      </c>
      <c r="B2274" s="56" t="s">
        <v>1845</v>
      </c>
      <c r="C2274" s="55" t="s">
        <v>24</v>
      </c>
      <c r="D2274" s="55">
        <v>1381.0</v>
      </c>
      <c r="E2274" s="57" t="s">
        <v>1352</v>
      </c>
      <c r="F2274" s="2" t="s">
        <v>1844</v>
      </c>
    </row>
    <row r="2275">
      <c r="A2275" s="55">
        <f t="shared" si="2"/>
        <v>2274</v>
      </c>
      <c r="B2275" s="56" t="s">
        <v>1845</v>
      </c>
      <c r="C2275" s="55" t="s">
        <v>27</v>
      </c>
      <c r="D2275" s="55">
        <v>1328.0</v>
      </c>
      <c r="E2275" s="57" t="s">
        <v>1352</v>
      </c>
      <c r="F2275" s="2" t="s">
        <v>1844</v>
      </c>
    </row>
    <row r="2276">
      <c r="A2276" s="55">
        <f t="shared" si="2"/>
        <v>2275</v>
      </c>
      <c r="B2276" s="56" t="s">
        <v>1845</v>
      </c>
      <c r="C2276" s="55" t="s">
        <v>42</v>
      </c>
      <c r="D2276" s="55">
        <v>1232.0</v>
      </c>
      <c r="E2276" s="57" t="s">
        <v>1352</v>
      </c>
      <c r="F2276" s="2" t="s">
        <v>1844</v>
      </c>
    </row>
    <row r="2277">
      <c r="A2277" s="55">
        <f t="shared" si="2"/>
        <v>2276</v>
      </c>
      <c r="B2277" s="56" t="s">
        <v>9615</v>
      </c>
      <c r="C2277" s="55" t="s">
        <v>24</v>
      </c>
      <c r="D2277" s="55">
        <v>1365.0</v>
      </c>
      <c r="E2277" s="57" t="s">
        <v>1352</v>
      </c>
      <c r="F2277" s="2" t="s">
        <v>9616</v>
      </c>
    </row>
    <row r="2278">
      <c r="A2278" s="55">
        <f t="shared" si="2"/>
        <v>2277</v>
      </c>
      <c r="B2278" s="56" t="s">
        <v>9615</v>
      </c>
      <c r="C2278" s="55" t="s">
        <v>27</v>
      </c>
      <c r="D2278" s="55">
        <v>1313.0</v>
      </c>
      <c r="E2278" s="57" t="s">
        <v>1352</v>
      </c>
      <c r="F2278" s="2" t="s">
        <v>9616</v>
      </c>
    </row>
    <row r="2279">
      <c r="A2279" s="55">
        <f t="shared" si="2"/>
        <v>2278</v>
      </c>
      <c r="B2279" s="56" t="s">
        <v>9615</v>
      </c>
      <c r="C2279" s="55" t="s">
        <v>36</v>
      </c>
      <c r="D2279" s="55">
        <v>1295.0</v>
      </c>
      <c r="E2279" s="57" t="s">
        <v>1352</v>
      </c>
      <c r="F2279" s="2" t="s">
        <v>9616</v>
      </c>
    </row>
    <row r="2280">
      <c r="A2280" s="55">
        <f t="shared" si="2"/>
        <v>2279</v>
      </c>
      <c r="B2280" s="56" t="s">
        <v>9615</v>
      </c>
      <c r="C2280" s="55" t="s">
        <v>42</v>
      </c>
      <c r="D2280" s="55">
        <v>1214.0</v>
      </c>
      <c r="E2280" s="57" t="s">
        <v>1352</v>
      </c>
      <c r="F2280" s="2" t="s">
        <v>9616</v>
      </c>
    </row>
    <row r="2281">
      <c r="A2281" s="55">
        <f t="shared" si="2"/>
        <v>2280</v>
      </c>
      <c r="B2281" s="56" t="s">
        <v>9615</v>
      </c>
      <c r="C2281" s="55" t="s">
        <v>30</v>
      </c>
      <c r="D2281" s="55">
        <v>1347.0</v>
      </c>
      <c r="E2281" s="57" t="s">
        <v>1352</v>
      </c>
      <c r="F2281" s="2" t="s">
        <v>9616</v>
      </c>
    </row>
    <row r="2282">
      <c r="A2282" s="55">
        <f t="shared" si="2"/>
        <v>2281</v>
      </c>
      <c r="B2282" s="56" t="s">
        <v>1849</v>
      </c>
      <c r="C2282" s="55" t="s">
        <v>30</v>
      </c>
      <c r="D2282" s="55">
        <v>1327.0</v>
      </c>
      <c r="E2282" s="57" t="s">
        <v>1352</v>
      </c>
      <c r="F2282" s="2" t="s">
        <v>1848</v>
      </c>
    </row>
    <row r="2283">
      <c r="A2283" s="55">
        <f t="shared" si="2"/>
        <v>2282</v>
      </c>
      <c r="B2283" s="56" t="s">
        <v>1849</v>
      </c>
      <c r="C2283" s="55" t="s">
        <v>27</v>
      </c>
      <c r="D2283" s="55">
        <v>1329.0</v>
      </c>
      <c r="E2283" s="57" t="s">
        <v>1352</v>
      </c>
      <c r="F2283" s="2" t="s">
        <v>1848</v>
      </c>
    </row>
    <row r="2284">
      <c r="A2284" s="55">
        <f t="shared" si="2"/>
        <v>2283</v>
      </c>
      <c r="B2284" s="56" t="s">
        <v>1849</v>
      </c>
      <c r="C2284" s="55" t="s">
        <v>36</v>
      </c>
      <c r="D2284" s="55">
        <v>1277.0</v>
      </c>
      <c r="E2284" s="57" t="s">
        <v>1352</v>
      </c>
      <c r="F2284" s="2" t="s">
        <v>1848</v>
      </c>
    </row>
    <row r="2285">
      <c r="A2285" s="55">
        <f t="shared" si="2"/>
        <v>2284</v>
      </c>
      <c r="B2285" s="56" t="s">
        <v>1849</v>
      </c>
      <c r="C2285" s="55" t="s">
        <v>42</v>
      </c>
      <c r="D2285" s="55">
        <v>1193.0</v>
      </c>
      <c r="E2285" s="57" t="s">
        <v>1352</v>
      </c>
      <c r="F2285" s="2" t="s">
        <v>1848</v>
      </c>
    </row>
    <row r="2286">
      <c r="A2286" s="55">
        <f t="shared" si="2"/>
        <v>2285</v>
      </c>
      <c r="B2286" s="56" t="s">
        <v>1849</v>
      </c>
      <c r="C2286" s="55" t="s">
        <v>24</v>
      </c>
      <c r="D2286" s="55">
        <v>1381.0</v>
      </c>
      <c r="E2286" s="57" t="s">
        <v>1352</v>
      </c>
      <c r="F2286" s="2" t="s">
        <v>1848</v>
      </c>
    </row>
    <row r="2287">
      <c r="A2287" s="55">
        <f t="shared" si="2"/>
        <v>2286</v>
      </c>
      <c r="B2287" s="56" t="s">
        <v>1853</v>
      </c>
      <c r="C2287" s="55" t="s">
        <v>42</v>
      </c>
      <c r="D2287" s="55">
        <v>1172.0</v>
      </c>
      <c r="E2287" s="57" t="s">
        <v>1352</v>
      </c>
      <c r="F2287" s="2" t="s">
        <v>1852</v>
      </c>
    </row>
    <row r="2288">
      <c r="A2288" s="55">
        <f t="shared" si="2"/>
        <v>2287</v>
      </c>
      <c r="B2288" s="56" t="s">
        <v>1853</v>
      </c>
      <c r="C2288" s="55" t="s">
        <v>34</v>
      </c>
      <c r="D2288" s="55">
        <v>1032.0</v>
      </c>
      <c r="E2288" s="57" t="s">
        <v>1352</v>
      </c>
      <c r="F2288" s="2" t="s">
        <v>1852</v>
      </c>
    </row>
    <row r="2289">
      <c r="A2289" s="55">
        <f t="shared" si="2"/>
        <v>2288</v>
      </c>
      <c r="B2289" s="56" t="s">
        <v>1853</v>
      </c>
      <c r="C2289" s="55" t="s">
        <v>36</v>
      </c>
      <c r="D2289" s="55">
        <v>1259.0</v>
      </c>
      <c r="E2289" s="57" t="s">
        <v>1352</v>
      </c>
      <c r="F2289" s="2" t="s">
        <v>1852</v>
      </c>
    </row>
    <row r="2290">
      <c r="A2290" s="55">
        <f t="shared" si="2"/>
        <v>2289</v>
      </c>
      <c r="B2290" s="56" t="s">
        <v>1853</v>
      </c>
      <c r="C2290" s="55" t="s">
        <v>30</v>
      </c>
      <c r="D2290" s="55">
        <v>1343.0</v>
      </c>
      <c r="E2290" s="57" t="s">
        <v>1352</v>
      </c>
      <c r="F2290" s="2" t="s">
        <v>1852</v>
      </c>
    </row>
    <row r="2291">
      <c r="A2291" s="55">
        <f t="shared" si="2"/>
        <v>2290</v>
      </c>
      <c r="B2291" s="56" t="s">
        <v>1853</v>
      </c>
      <c r="C2291" s="55" t="s">
        <v>26</v>
      </c>
      <c r="D2291" s="55">
        <v>1332.0</v>
      </c>
      <c r="E2291" s="57" t="s">
        <v>1352</v>
      </c>
      <c r="F2291" s="2" t="s">
        <v>1852</v>
      </c>
    </row>
    <row r="2292">
      <c r="A2292" s="55">
        <f t="shared" si="2"/>
        <v>2291</v>
      </c>
      <c r="B2292" s="56" t="s">
        <v>1853</v>
      </c>
      <c r="C2292" s="55" t="s">
        <v>27</v>
      </c>
      <c r="D2292" s="55">
        <v>1345.0</v>
      </c>
      <c r="E2292" s="57" t="s">
        <v>1352</v>
      </c>
      <c r="F2292" s="2" t="s">
        <v>1852</v>
      </c>
    </row>
    <row r="2293">
      <c r="A2293" s="55">
        <f t="shared" si="2"/>
        <v>2292</v>
      </c>
      <c r="B2293" s="56" t="s">
        <v>1858</v>
      </c>
      <c r="C2293" s="55" t="s">
        <v>26</v>
      </c>
      <c r="D2293" s="55">
        <v>1314.0</v>
      </c>
      <c r="E2293" s="57" t="s">
        <v>1352</v>
      </c>
      <c r="F2293" s="2" t="s">
        <v>1857</v>
      </c>
    </row>
    <row r="2294">
      <c r="A2294" s="55">
        <f t="shared" si="2"/>
        <v>2293</v>
      </c>
      <c r="B2294" s="56" t="s">
        <v>1858</v>
      </c>
      <c r="C2294" s="55" t="s">
        <v>34</v>
      </c>
      <c r="D2294" s="55">
        <v>1046.0</v>
      </c>
      <c r="E2294" s="57" t="s">
        <v>1352</v>
      </c>
      <c r="F2294" s="2" t="s">
        <v>1857</v>
      </c>
    </row>
    <row r="2295">
      <c r="A2295" s="55">
        <f t="shared" si="2"/>
        <v>2294</v>
      </c>
      <c r="B2295" s="56" t="s">
        <v>1858</v>
      </c>
      <c r="C2295" s="55" t="s">
        <v>36</v>
      </c>
      <c r="D2295" s="55">
        <v>1276.0</v>
      </c>
      <c r="E2295" s="57" t="s">
        <v>1352</v>
      </c>
      <c r="F2295" s="2" t="s">
        <v>1857</v>
      </c>
    </row>
    <row r="2296">
      <c r="A2296" s="55">
        <f t="shared" si="2"/>
        <v>2295</v>
      </c>
      <c r="B2296" s="56" t="s">
        <v>1858</v>
      </c>
      <c r="C2296" s="55" t="s">
        <v>27</v>
      </c>
      <c r="D2296" s="55">
        <v>1331.0</v>
      </c>
      <c r="E2296" s="57" t="s">
        <v>1352</v>
      </c>
      <c r="F2296" s="2" t="s">
        <v>1857</v>
      </c>
    </row>
    <row r="2297">
      <c r="A2297" s="55">
        <f t="shared" si="2"/>
        <v>2296</v>
      </c>
      <c r="B2297" s="56" t="s">
        <v>1858</v>
      </c>
      <c r="C2297" s="55" t="s">
        <v>30</v>
      </c>
      <c r="D2297" s="55">
        <v>1326.0</v>
      </c>
      <c r="E2297" s="57" t="s">
        <v>1352</v>
      </c>
      <c r="F2297" s="2" t="s">
        <v>1857</v>
      </c>
    </row>
    <row r="2298">
      <c r="A2298" s="55">
        <f t="shared" si="2"/>
        <v>2297</v>
      </c>
      <c r="B2298" s="56" t="s">
        <v>1858</v>
      </c>
      <c r="C2298" s="55" t="s">
        <v>42</v>
      </c>
      <c r="D2298" s="55">
        <v>1188.0</v>
      </c>
      <c r="E2298" s="57" t="s">
        <v>1352</v>
      </c>
      <c r="F2298" s="2" t="s">
        <v>1857</v>
      </c>
    </row>
    <row r="2299">
      <c r="A2299" s="55">
        <f t="shared" si="2"/>
        <v>2298</v>
      </c>
      <c r="B2299" s="56" t="s">
        <v>1862</v>
      </c>
      <c r="C2299" s="55" t="s">
        <v>30</v>
      </c>
      <c r="D2299" s="55">
        <v>1309.0</v>
      </c>
      <c r="E2299" s="57" t="s">
        <v>1352</v>
      </c>
      <c r="F2299" s="2" t="s">
        <v>1861</v>
      </c>
    </row>
    <row r="2300">
      <c r="A2300" s="55">
        <f t="shared" si="2"/>
        <v>2299</v>
      </c>
      <c r="B2300" s="56" t="s">
        <v>1862</v>
      </c>
      <c r="C2300" s="55" t="s">
        <v>42</v>
      </c>
      <c r="D2300" s="55">
        <v>1170.0</v>
      </c>
      <c r="E2300" s="57" t="s">
        <v>1352</v>
      </c>
      <c r="F2300" s="2" t="s">
        <v>1861</v>
      </c>
    </row>
    <row r="2301">
      <c r="A2301" s="55">
        <f t="shared" si="2"/>
        <v>2300</v>
      </c>
      <c r="B2301" s="56" t="s">
        <v>1862</v>
      </c>
      <c r="C2301" s="55" t="s">
        <v>34</v>
      </c>
      <c r="D2301" s="55">
        <v>1060.0</v>
      </c>
      <c r="E2301" s="57" t="s">
        <v>1352</v>
      </c>
      <c r="F2301" s="2" t="s">
        <v>1861</v>
      </c>
    </row>
    <row r="2302">
      <c r="A2302" s="55">
        <f t="shared" si="2"/>
        <v>2301</v>
      </c>
      <c r="B2302" s="56" t="s">
        <v>1862</v>
      </c>
      <c r="C2302" s="55" t="s">
        <v>36</v>
      </c>
      <c r="D2302" s="55">
        <v>1261.0</v>
      </c>
      <c r="E2302" s="57" t="s">
        <v>1352</v>
      </c>
      <c r="F2302" s="2" t="s">
        <v>1861</v>
      </c>
    </row>
    <row r="2303">
      <c r="A2303" s="55">
        <f t="shared" si="2"/>
        <v>2302</v>
      </c>
      <c r="B2303" s="56" t="s">
        <v>1862</v>
      </c>
      <c r="C2303" s="55" t="s">
        <v>26</v>
      </c>
      <c r="D2303" s="55">
        <v>1331.0</v>
      </c>
      <c r="E2303" s="57" t="s">
        <v>1352</v>
      </c>
      <c r="F2303" s="2" t="s">
        <v>1861</v>
      </c>
    </row>
    <row r="2304">
      <c r="A2304" s="55">
        <f t="shared" si="2"/>
        <v>2303</v>
      </c>
      <c r="B2304" s="56" t="s">
        <v>1862</v>
      </c>
      <c r="C2304" s="55" t="s">
        <v>27</v>
      </c>
      <c r="D2304" s="55">
        <v>1317.0</v>
      </c>
      <c r="E2304" s="57" t="s">
        <v>1352</v>
      </c>
      <c r="F2304" s="2" t="s">
        <v>1861</v>
      </c>
    </row>
    <row r="2305">
      <c r="A2305" s="55">
        <f t="shared" si="2"/>
        <v>2304</v>
      </c>
      <c r="B2305" s="56" t="s">
        <v>1866</v>
      </c>
      <c r="C2305" s="55" t="s">
        <v>26</v>
      </c>
      <c r="D2305" s="55">
        <v>1311.0</v>
      </c>
      <c r="E2305" s="57" t="s">
        <v>1352</v>
      </c>
      <c r="F2305" s="2" t="s">
        <v>1865</v>
      </c>
    </row>
    <row r="2306">
      <c r="A2306" s="55">
        <f t="shared" si="2"/>
        <v>2305</v>
      </c>
      <c r="B2306" s="56" t="s">
        <v>1866</v>
      </c>
      <c r="C2306" s="55" t="s">
        <v>30</v>
      </c>
      <c r="D2306" s="55">
        <v>1322.0</v>
      </c>
      <c r="E2306" s="57" t="s">
        <v>1352</v>
      </c>
      <c r="F2306" s="2" t="s">
        <v>1865</v>
      </c>
    </row>
    <row r="2307">
      <c r="A2307" s="55">
        <f t="shared" si="2"/>
        <v>2306</v>
      </c>
      <c r="B2307" s="56" t="s">
        <v>1866</v>
      </c>
      <c r="C2307" s="55" t="s">
        <v>42</v>
      </c>
      <c r="D2307" s="55">
        <v>1182.0</v>
      </c>
      <c r="E2307" s="57" t="s">
        <v>1352</v>
      </c>
      <c r="F2307" s="2" t="s">
        <v>1865</v>
      </c>
    </row>
    <row r="2308">
      <c r="A2308" s="55">
        <f t="shared" si="2"/>
        <v>2307</v>
      </c>
      <c r="B2308" s="56" t="s">
        <v>1866</v>
      </c>
      <c r="C2308" s="55" t="s">
        <v>31</v>
      </c>
      <c r="D2308" s="55">
        <v>1215.0</v>
      </c>
      <c r="E2308" s="57" t="s">
        <v>1352</v>
      </c>
      <c r="F2308" s="2" t="s">
        <v>1865</v>
      </c>
    </row>
    <row r="2309">
      <c r="A2309" s="55">
        <f t="shared" si="2"/>
        <v>2308</v>
      </c>
      <c r="B2309" s="56" t="s">
        <v>1866</v>
      </c>
      <c r="C2309" s="55" t="s">
        <v>34</v>
      </c>
      <c r="D2309" s="55">
        <v>1071.0</v>
      </c>
      <c r="E2309" s="57" t="s">
        <v>1352</v>
      </c>
      <c r="F2309" s="2" t="s">
        <v>1865</v>
      </c>
    </row>
    <row r="2310">
      <c r="A2310" s="55">
        <f t="shared" si="2"/>
        <v>2309</v>
      </c>
      <c r="B2310" s="56" t="s">
        <v>1866</v>
      </c>
      <c r="C2310" s="55" t="s">
        <v>27</v>
      </c>
      <c r="D2310" s="55">
        <v>1300.0</v>
      </c>
      <c r="E2310" s="57" t="s">
        <v>1352</v>
      </c>
      <c r="F2310" s="2" t="s">
        <v>1865</v>
      </c>
    </row>
    <row r="2311">
      <c r="A2311" s="55">
        <f t="shared" si="2"/>
        <v>2310</v>
      </c>
      <c r="B2311" s="56" t="s">
        <v>1866</v>
      </c>
      <c r="C2311" s="55" t="s">
        <v>36</v>
      </c>
      <c r="D2311" s="55">
        <v>1242.0</v>
      </c>
      <c r="E2311" s="57" t="s">
        <v>1352</v>
      </c>
      <c r="F2311" s="2" t="s">
        <v>1865</v>
      </c>
    </row>
    <row r="2312">
      <c r="A2312" s="55">
        <f t="shared" si="2"/>
        <v>2311</v>
      </c>
      <c r="B2312" s="56" t="s">
        <v>1871</v>
      </c>
      <c r="C2312" s="55" t="s">
        <v>34</v>
      </c>
      <c r="D2312" s="55">
        <v>1043.0</v>
      </c>
      <c r="E2312" s="57" t="s">
        <v>1352</v>
      </c>
      <c r="F2312" s="2" t="s">
        <v>1870</v>
      </c>
    </row>
    <row r="2313">
      <c r="A2313" s="55">
        <f t="shared" si="2"/>
        <v>2312</v>
      </c>
      <c r="B2313" s="56" t="s">
        <v>1871</v>
      </c>
      <c r="C2313" s="55" t="s">
        <v>24</v>
      </c>
      <c r="D2313" s="55">
        <v>1363.0</v>
      </c>
      <c r="E2313" s="57" t="s">
        <v>1352</v>
      </c>
      <c r="F2313" s="2" t="s">
        <v>1870</v>
      </c>
    </row>
    <row r="2314">
      <c r="A2314" s="55">
        <f t="shared" si="2"/>
        <v>2313</v>
      </c>
      <c r="B2314" s="56" t="s">
        <v>1871</v>
      </c>
      <c r="C2314" s="55" t="s">
        <v>26</v>
      </c>
      <c r="D2314" s="55">
        <v>1325.0</v>
      </c>
      <c r="E2314" s="57" t="s">
        <v>1352</v>
      </c>
      <c r="F2314" s="2" t="s">
        <v>1870</v>
      </c>
    </row>
    <row r="2315">
      <c r="A2315" s="55">
        <f t="shared" si="2"/>
        <v>2314</v>
      </c>
      <c r="B2315" s="56" t="s">
        <v>1871</v>
      </c>
      <c r="C2315" s="55" t="s">
        <v>36</v>
      </c>
      <c r="D2315" s="55">
        <v>1220.0</v>
      </c>
      <c r="E2315" s="57" t="s">
        <v>1352</v>
      </c>
      <c r="F2315" s="2" t="s">
        <v>1870</v>
      </c>
    </row>
    <row r="2316">
      <c r="A2316" s="55">
        <f t="shared" si="2"/>
        <v>2315</v>
      </c>
      <c r="B2316" s="56" t="s">
        <v>1871</v>
      </c>
      <c r="C2316" s="55" t="s">
        <v>27</v>
      </c>
      <c r="D2316" s="55">
        <v>1280.0</v>
      </c>
      <c r="E2316" s="57" t="s">
        <v>1352</v>
      </c>
      <c r="F2316" s="2" t="s">
        <v>1870</v>
      </c>
    </row>
    <row r="2317">
      <c r="A2317" s="55">
        <f t="shared" si="2"/>
        <v>2316</v>
      </c>
      <c r="B2317" s="56" t="s">
        <v>1871</v>
      </c>
      <c r="C2317" s="55" t="s">
        <v>30</v>
      </c>
      <c r="D2317" s="55">
        <v>1336.0</v>
      </c>
      <c r="E2317" s="57" t="s">
        <v>1352</v>
      </c>
      <c r="F2317" s="2" t="s">
        <v>1870</v>
      </c>
    </row>
    <row r="2318">
      <c r="A2318" s="55">
        <f t="shared" si="2"/>
        <v>2317</v>
      </c>
      <c r="B2318" s="56" t="s">
        <v>1871</v>
      </c>
      <c r="C2318" s="55" t="s">
        <v>42</v>
      </c>
      <c r="D2318" s="55">
        <v>1195.0</v>
      </c>
      <c r="E2318" s="57" t="s">
        <v>1352</v>
      </c>
      <c r="F2318" s="2" t="s">
        <v>1870</v>
      </c>
    </row>
    <row r="2319">
      <c r="A2319" s="55">
        <f t="shared" si="2"/>
        <v>2318</v>
      </c>
      <c r="B2319" s="56" t="s">
        <v>1876</v>
      </c>
      <c r="C2319" s="55" t="s">
        <v>30</v>
      </c>
      <c r="D2319" s="55">
        <v>1316.0</v>
      </c>
      <c r="E2319" s="57" t="s">
        <v>1352</v>
      </c>
      <c r="F2319" s="2" t="s">
        <v>1875</v>
      </c>
    </row>
    <row r="2320">
      <c r="A2320" s="55">
        <f t="shared" si="2"/>
        <v>2319</v>
      </c>
      <c r="B2320" s="56" t="s">
        <v>1876</v>
      </c>
      <c r="C2320" s="55" t="s">
        <v>34</v>
      </c>
      <c r="D2320" s="55">
        <v>1052.0</v>
      </c>
      <c r="E2320" s="57" t="s">
        <v>1352</v>
      </c>
      <c r="F2320" s="2" t="s">
        <v>1875</v>
      </c>
    </row>
    <row r="2321">
      <c r="A2321" s="55">
        <f t="shared" si="2"/>
        <v>2320</v>
      </c>
      <c r="B2321" s="56" t="s">
        <v>1876</v>
      </c>
      <c r="C2321" s="55" t="s">
        <v>42</v>
      </c>
      <c r="D2321" s="55">
        <v>1174.0</v>
      </c>
      <c r="E2321" s="57" t="s">
        <v>1352</v>
      </c>
      <c r="F2321" s="2" t="s">
        <v>1875</v>
      </c>
    </row>
    <row r="2322">
      <c r="A2322" s="55">
        <f t="shared" si="2"/>
        <v>2321</v>
      </c>
      <c r="B2322" s="56" t="s">
        <v>1876</v>
      </c>
      <c r="C2322" s="55" t="s">
        <v>31</v>
      </c>
      <c r="D2322" s="55">
        <v>1228.0</v>
      </c>
      <c r="E2322" s="57" t="s">
        <v>1352</v>
      </c>
      <c r="F2322" s="2" t="s">
        <v>1875</v>
      </c>
    </row>
    <row r="2323">
      <c r="A2323" s="55">
        <f t="shared" si="2"/>
        <v>2322</v>
      </c>
      <c r="B2323" s="56" t="s">
        <v>1876</v>
      </c>
      <c r="C2323" s="55" t="s">
        <v>36</v>
      </c>
      <c r="D2323" s="55">
        <v>1200.0</v>
      </c>
      <c r="E2323" s="57" t="s">
        <v>1352</v>
      </c>
      <c r="F2323" s="2" t="s">
        <v>1875</v>
      </c>
    </row>
    <row r="2324">
      <c r="A2324" s="55">
        <f t="shared" si="2"/>
        <v>2323</v>
      </c>
      <c r="B2324" s="56" t="s">
        <v>1876</v>
      </c>
      <c r="C2324" s="55" t="s">
        <v>24</v>
      </c>
      <c r="D2324" s="55">
        <v>1375.0</v>
      </c>
      <c r="E2324" s="57" t="s">
        <v>1352</v>
      </c>
      <c r="F2324" s="2" t="s">
        <v>1875</v>
      </c>
    </row>
    <row r="2325">
      <c r="A2325" s="55">
        <f t="shared" si="2"/>
        <v>2324</v>
      </c>
      <c r="B2325" s="56" t="s">
        <v>1876</v>
      </c>
      <c r="C2325" s="55" t="s">
        <v>26</v>
      </c>
      <c r="D2325" s="55">
        <v>1337.0</v>
      </c>
      <c r="E2325" s="57" t="s">
        <v>1352</v>
      </c>
      <c r="F2325" s="2" t="s">
        <v>1875</v>
      </c>
    </row>
    <row r="2326">
      <c r="A2326" s="55">
        <f t="shared" si="2"/>
        <v>2325</v>
      </c>
      <c r="B2326" s="56" t="s">
        <v>1881</v>
      </c>
      <c r="C2326" s="55" t="s">
        <v>26</v>
      </c>
      <c r="D2326" s="55">
        <v>1317.0</v>
      </c>
      <c r="E2326" s="57" t="s">
        <v>1352</v>
      </c>
      <c r="F2326" s="2" t="s">
        <v>1880</v>
      </c>
    </row>
    <row r="2327">
      <c r="A2327" s="55">
        <f t="shared" si="2"/>
        <v>2326</v>
      </c>
      <c r="B2327" s="56" t="s">
        <v>1881</v>
      </c>
      <c r="C2327" s="55" t="s">
        <v>31</v>
      </c>
      <c r="D2327" s="55">
        <v>1246.0</v>
      </c>
      <c r="E2327" s="57" t="s">
        <v>1352</v>
      </c>
      <c r="F2327" s="2" t="s">
        <v>1880</v>
      </c>
    </row>
    <row r="2328">
      <c r="A2328" s="55">
        <f t="shared" si="2"/>
        <v>2327</v>
      </c>
      <c r="B2328" s="56" t="s">
        <v>1881</v>
      </c>
      <c r="C2328" s="55" t="s">
        <v>34</v>
      </c>
      <c r="D2328" s="55">
        <v>1067.0</v>
      </c>
      <c r="E2328" s="57" t="s">
        <v>1352</v>
      </c>
      <c r="F2328" s="2" t="s">
        <v>1880</v>
      </c>
    </row>
    <row r="2329">
      <c r="A2329" s="55">
        <f t="shared" si="2"/>
        <v>2328</v>
      </c>
      <c r="B2329" s="56" t="s">
        <v>1881</v>
      </c>
      <c r="C2329" s="55" t="s">
        <v>24</v>
      </c>
      <c r="D2329" s="55">
        <v>1356.0</v>
      </c>
      <c r="E2329" s="57" t="s">
        <v>1352</v>
      </c>
      <c r="F2329" s="2" t="s">
        <v>1880</v>
      </c>
    </row>
    <row r="2330">
      <c r="A2330" s="55">
        <f t="shared" si="2"/>
        <v>2329</v>
      </c>
      <c r="B2330" s="56" t="s">
        <v>1881</v>
      </c>
      <c r="C2330" s="55" t="s">
        <v>30</v>
      </c>
      <c r="D2330" s="55">
        <v>1335.0</v>
      </c>
      <c r="E2330" s="57" t="s">
        <v>1352</v>
      </c>
      <c r="F2330" s="2" t="s">
        <v>1880</v>
      </c>
    </row>
    <row r="2331">
      <c r="A2331" s="55">
        <f t="shared" si="2"/>
        <v>2330</v>
      </c>
      <c r="B2331" s="56" t="s">
        <v>1881</v>
      </c>
      <c r="C2331" s="55" t="s">
        <v>42</v>
      </c>
      <c r="D2331" s="55">
        <v>1191.0</v>
      </c>
      <c r="E2331" s="57" t="s">
        <v>1352</v>
      </c>
      <c r="F2331" s="2" t="s">
        <v>1880</v>
      </c>
    </row>
    <row r="2332">
      <c r="A2332" s="55">
        <f t="shared" si="2"/>
        <v>2331</v>
      </c>
      <c r="B2332" s="56" t="s">
        <v>1885</v>
      </c>
      <c r="C2332" s="55" t="s">
        <v>31</v>
      </c>
      <c r="D2332" s="55">
        <v>1220.0</v>
      </c>
      <c r="E2332" s="57" t="s">
        <v>1352</v>
      </c>
      <c r="F2332" s="2" t="s">
        <v>1884</v>
      </c>
    </row>
    <row r="2333">
      <c r="A2333" s="55">
        <f t="shared" si="2"/>
        <v>2332</v>
      </c>
      <c r="B2333" s="56" t="s">
        <v>1885</v>
      </c>
      <c r="C2333" s="55" t="s">
        <v>42</v>
      </c>
      <c r="D2333" s="55">
        <v>1169.0</v>
      </c>
      <c r="E2333" s="57" t="s">
        <v>1352</v>
      </c>
      <c r="F2333" s="2" t="s">
        <v>1884</v>
      </c>
    </row>
    <row r="2334">
      <c r="A2334" s="55">
        <f t="shared" si="2"/>
        <v>2333</v>
      </c>
      <c r="B2334" s="56" t="s">
        <v>1885</v>
      </c>
      <c r="C2334" s="55" t="s">
        <v>26</v>
      </c>
      <c r="D2334" s="55">
        <v>1336.0</v>
      </c>
      <c r="E2334" s="57" t="s">
        <v>1352</v>
      </c>
      <c r="F2334" s="2" t="s">
        <v>1884</v>
      </c>
    </row>
    <row r="2335">
      <c r="A2335" s="55">
        <f t="shared" si="2"/>
        <v>2334</v>
      </c>
      <c r="B2335" s="56" t="s">
        <v>1885</v>
      </c>
      <c r="C2335" s="55" t="s">
        <v>34</v>
      </c>
      <c r="D2335" s="55">
        <v>1083.0</v>
      </c>
      <c r="E2335" s="57" t="s">
        <v>1352</v>
      </c>
      <c r="F2335" s="2" t="s">
        <v>1884</v>
      </c>
    </row>
    <row r="2336">
      <c r="A2336" s="55">
        <f t="shared" si="2"/>
        <v>2335</v>
      </c>
      <c r="B2336" s="56" t="s">
        <v>1885</v>
      </c>
      <c r="C2336" s="55" t="s">
        <v>24</v>
      </c>
      <c r="D2336" s="55">
        <v>1280.0</v>
      </c>
      <c r="E2336" s="57" t="s">
        <v>1352</v>
      </c>
      <c r="F2336" s="2" t="s">
        <v>1884</v>
      </c>
    </row>
    <row r="2337">
      <c r="A2337" s="55">
        <f t="shared" si="2"/>
        <v>2336</v>
      </c>
      <c r="B2337" s="56" t="s">
        <v>1885</v>
      </c>
      <c r="C2337" s="55" t="s">
        <v>30</v>
      </c>
      <c r="D2337" s="55">
        <v>1314.0</v>
      </c>
      <c r="E2337" s="57" t="s">
        <v>1352</v>
      </c>
      <c r="F2337" s="2" t="s">
        <v>1884</v>
      </c>
    </row>
    <row r="2338">
      <c r="A2338" s="55">
        <f t="shared" si="2"/>
        <v>2337</v>
      </c>
      <c r="B2338" s="56" t="s">
        <v>1889</v>
      </c>
      <c r="C2338" s="55" t="s">
        <v>42</v>
      </c>
      <c r="D2338" s="55">
        <v>1180.0</v>
      </c>
      <c r="E2338" s="57" t="s">
        <v>1352</v>
      </c>
      <c r="F2338" s="2" t="s">
        <v>1888</v>
      </c>
    </row>
    <row r="2339">
      <c r="A2339" s="55">
        <f t="shared" si="2"/>
        <v>2338</v>
      </c>
      <c r="B2339" s="56" t="s">
        <v>1889</v>
      </c>
      <c r="C2339" s="55" t="s">
        <v>26</v>
      </c>
      <c r="D2339" s="55">
        <v>1348.0</v>
      </c>
      <c r="E2339" s="57" t="s">
        <v>1352</v>
      </c>
      <c r="F2339" s="2" t="s">
        <v>1888</v>
      </c>
    </row>
    <row r="2340">
      <c r="A2340" s="55">
        <f t="shared" si="2"/>
        <v>2339</v>
      </c>
      <c r="B2340" s="56" t="s">
        <v>1889</v>
      </c>
      <c r="C2340" s="55" t="s">
        <v>30</v>
      </c>
      <c r="D2340" s="55">
        <v>1291.0</v>
      </c>
      <c r="E2340" s="57" t="s">
        <v>1352</v>
      </c>
      <c r="F2340" s="2" t="s">
        <v>1888</v>
      </c>
    </row>
    <row r="2341">
      <c r="A2341" s="55">
        <f t="shared" si="2"/>
        <v>2340</v>
      </c>
      <c r="B2341" s="56" t="s">
        <v>1889</v>
      </c>
      <c r="C2341" s="55" t="s">
        <v>34</v>
      </c>
      <c r="D2341" s="55">
        <v>1057.0</v>
      </c>
      <c r="E2341" s="57" t="s">
        <v>1352</v>
      </c>
      <c r="F2341" s="2" t="s">
        <v>1888</v>
      </c>
    </row>
    <row r="2342">
      <c r="A2342" s="55">
        <f t="shared" si="2"/>
        <v>2341</v>
      </c>
      <c r="B2342" s="56" t="s">
        <v>1893</v>
      </c>
      <c r="C2342" s="55" t="s">
        <v>30</v>
      </c>
      <c r="D2342" s="55">
        <v>1271.0</v>
      </c>
      <c r="E2342" s="57" t="s">
        <v>1352</v>
      </c>
      <c r="F2342" s="2" t="s">
        <v>1892</v>
      </c>
    </row>
    <row r="2343">
      <c r="A2343" s="55">
        <f t="shared" si="2"/>
        <v>2342</v>
      </c>
      <c r="B2343" s="56" t="s">
        <v>1893</v>
      </c>
      <c r="C2343" s="55" t="s">
        <v>34</v>
      </c>
      <c r="D2343" s="55">
        <v>1033.0</v>
      </c>
      <c r="E2343" s="57" t="s">
        <v>1352</v>
      </c>
      <c r="F2343" s="2" t="s">
        <v>1892</v>
      </c>
    </row>
    <row r="2344">
      <c r="A2344" s="55">
        <f t="shared" si="2"/>
        <v>2343</v>
      </c>
      <c r="B2344" s="56" t="s">
        <v>1893</v>
      </c>
      <c r="C2344" s="55" t="s">
        <v>26</v>
      </c>
      <c r="D2344" s="55">
        <v>1330.0</v>
      </c>
      <c r="E2344" s="57" t="s">
        <v>1352</v>
      </c>
      <c r="F2344" s="2" t="s">
        <v>1892</v>
      </c>
    </row>
    <row r="2345">
      <c r="A2345" s="55">
        <f t="shared" si="2"/>
        <v>2344</v>
      </c>
      <c r="B2345" s="56" t="s">
        <v>1897</v>
      </c>
      <c r="C2345" s="55" t="s">
        <v>26</v>
      </c>
      <c r="D2345" s="55">
        <v>1313.0</v>
      </c>
      <c r="E2345" s="57" t="s">
        <v>1352</v>
      </c>
      <c r="F2345" s="2" t="s">
        <v>1896</v>
      </c>
    </row>
    <row r="2346">
      <c r="A2346" s="55">
        <f t="shared" si="2"/>
        <v>2345</v>
      </c>
      <c r="B2346" s="56" t="s">
        <v>1897</v>
      </c>
      <c r="C2346" s="55" t="s">
        <v>30</v>
      </c>
      <c r="D2346" s="55">
        <v>1290.0</v>
      </c>
      <c r="E2346" s="57" t="s">
        <v>1352</v>
      </c>
      <c r="F2346" s="2" t="s">
        <v>1896</v>
      </c>
    </row>
    <row r="2347">
      <c r="A2347" s="55">
        <f t="shared" si="2"/>
        <v>2346</v>
      </c>
      <c r="B2347" s="56" t="s">
        <v>1902</v>
      </c>
      <c r="C2347" s="55" t="s">
        <v>30</v>
      </c>
      <c r="D2347" s="55">
        <v>1270.0</v>
      </c>
      <c r="E2347" s="57" t="s">
        <v>1352</v>
      </c>
      <c r="F2347" s="2" t="s">
        <v>1901</v>
      </c>
    </row>
    <row r="2348">
      <c r="A2348" s="55">
        <f t="shared" si="2"/>
        <v>2347</v>
      </c>
      <c r="B2348" s="56" t="s">
        <v>1902</v>
      </c>
      <c r="C2348" s="55" t="s">
        <v>26</v>
      </c>
      <c r="D2348" s="55">
        <v>1325.0</v>
      </c>
      <c r="E2348" s="57" t="s">
        <v>1352</v>
      </c>
      <c r="F2348" s="2" t="s">
        <v>1901</v>
      </c>
    </row>
    <row r="2349">
      <c r="A2349" s="55">
        <f t="shared" si="2"/>
        <v>2348</v>
      </c>
      <c r="B2349" s="56" t="s">
        <v>1907</v>
      </c>
      <c r="C2349" s="55" t="s">
        <v>26</v>
      </c>
      <c r="D2349" s="55">
        <v>1307.0</v>
      </c>
      <c r="E2349" s="57" t="s">
        <v>1352</v>
      </c>
      <c r="F2349" s="2" t="s">
        <v>1906</v>
      </c>
    </row>
    <row r="2350">
      <c r="A2350" s="55">
        <f t="shared" si="2"/>
        <v>2349</v>
      </c>
      <c r="B2350" s="56" t="s">
        <v>1907</v>
      </c>
      <c r="C2350" s="55" t="s">
        <v>30</v>
      </c>
      <c r="D2350" s="55">
        <v>1250.0</v>
      </c>
      <c r="E2350" s="57" t="s">
        <v>1352</v>
      </c>
      <c r="F2350" s="2" t="s">
        <v>1906</v>
      </c>
    </row>
    <row r="2351">
      <c r="A2351" s="55">
        <f t="shared" si="2"/>
        <v>2350</v>
      </c>
      <c r="B2351" s="56" t="s">
        <v>1911</v>
      </c>
      <c r="C2351" s="55" t="s">
        <v>30</v>
      </c>
      <c r="D2351" s="55">
        <v>1230.0</v>
      </c>
      <c r="E2351" s="57" t="s">
        <v>1352</v>
      </c>
      <c r="F2351" s="2" t="s">
        <v>1910</v>
      </c>
    </row>
    <row r="2352">
      <c r="A2352" s="55">
        <f t="shared" si="2"/>
        <v>2351</v>
      </c>
      <c r="B2352" s="56" t="s">
        <v>1911</v>
      </c>
      <c r="C2352" s="55" t="s">
        <v>26</v>
      </c>
      <c r="D2352" s="55">
        <v>1327.0</v>
      </c>
      <c r="E2352" s="57" t="s">
        <v>1352</v>
      </c>
      <c r="F2352" s="2" t="s">
        <v>1910</v>
      </c>
    </row>
    <row r="2353">
      <c r="A2353" s="55">
        <f t="shared" si="2"/>
        <v>2352</v>
      </c>
      <c r="B2353" s="56" t="s">
        <v>1916</v>
      </c>
      <c r="C2353" s="55" t="s">
        <v>26</v>
      </c>
      <c r="D2353" s="55">
        <v>1344.0</v>
      </c>
      <c r="E2353" s="57" t="s">
        <v>1352</v>
      </c>
      <c r="F2353" s="2" t="s">
        <v>1915</v>
      </c>
    </row>
    <row r="2354">
      <c r="A2354" s="55">
        <f t="shared" si="2"/>
        <v>2353</v>
      </c>
      <c r="B2354" s="56" t="s">
        <v>1916</v>
      </c>
      <c r="C2354" s="55" t="s">
        <v>30</v>
      </c>
      <c r="D2354" s="55">
        <v>1246.0</v>
      </c>
      <c r="E2354" s="57" t="s">
        <v>1352</v>
      </c>
      <c r="F2354" s="2" t="s">
        <v>1915</v>
      </c>
    </row>
    <row r="2355">
      <c r="A2355" s="55">
        <f t="shared" si="2"/>
        <v>2354</v>
      </c>
      <c r="B2355" s="56" t="s">
        <v>1920</v>
      </c>
      <c r="C2355" s="55" t="s">
        <v>34</v>
      </c>
      <c r="D2355" s="55">
        <v>1049.0</v>
      </c>
      <c r="E2355" s="57" t="s">
        <v>1352</v>
      </c>
      <c r="F2355" s="2" t="s">
        <v>1919</v>
      </c>
    </row>
    <row r="2356">
      <c r="A2356" s="55">
        <f t="shared" si="2"/>
        <v>2355</v>
      </c>
      <c r="B2356" s="56" t="s">
        <v>1920</v>
      </c>
      <c r="C2356" s="55" t="s">
        <v>26</v>
      </c>
      <c r="D2356" s="55">
        <v>1326.0</v>
      </c>
      <c r="E2356" s="57" t="s">
        <v>1352</v>
      </c>
      <c r="F2356" s="2" t="s">
        <v>1919</v>
      </c>
    </row>
    <row r="2357">
      <c r="A2357" s="55">
        <f t="shared" si="2"/>
        <v>2356</v>
      </c>
      <c r="B2357" s="56" t="s">
        <v>1920</v>
      </c>
      <c r="C2357" s="55" t="s">
        <v>30</v>
      </c>
      <c r="D2357" s="55">
        <v>1224.0</v>
      </c>
      <c r="E2357" s="57" t="s">
        <v>1352</v>
      </c>
      <c r="F2357" s="2" t="s">
        <v>1919</v>
      </c>
    </row>
    <row r="2358">
      <c r="A2358" s="55">
        <f t="shared" si="2"/>
        <v>2357</v>
      </c>
      <c r="B2358" s="56" t="s">
        <v>1924</v>
      </c>
      <c r="C2358" s="55" t="s">
        <v>30</v>
      </c>
      <c r="D2358" s="55">
        <v>1242.0</v>
      </c>
      <c r="E2358" s="57" t="s">
        <v>1352</v>
      </c>
      <c r="F2358" s="2" t="s">
        <v>1923</v>
      </c>
    </row>
    <row r="2359">
      <c r="A2359" s="55">
        <f t="shared" si="2"/>
        <v>2358</v>
      </c>
      <c r="B2359" s="56" t="s">
        <v>1924</v>
      </c>
      <c r="C2359" s="55" t="s">
        <v>34</v>
      </c>
      <c r="D2359" s="55">
        <v>1065.0</v>
      </c>
      <c r="E2359" s="57" t="s">
        <v>1352</v>
      </c>
      <c r="F2359" s="2" t="s">
        <v>1923</v>
      </c>
    </row>
    <row r="2360">
      <c r="A2360" s="55">
        <f t="shared" si="2"/>
        <v>2359</v>
      </c>
      <c r="B2360" s="56" t="s">
        <v>1924</v>
      </c>
      <c r="C2360" s="55" t="s">
        <v>26</v>
      </c>
      <c r="D2360" s="55">
        <v>1345.0</v>
      </c>
      <c r="E2360" s="57" t="s">
        <v>1352</v>
      </c>
      <c r="F2360" s="2" t="s">
        <v>1923</v>
      </c>
    </row>
    <row r="2361">
      <c r="A2361" s="55">
        <f t="shared" si="2"/>
        <v>2360</v>
      </c>
      <c r="B2361" s="56" t="s">
        <v>1928</v>
      </c>
      <c r="C2361" s="55" t="s">
        <v>34</v>
      </c>
      <c r="D2361" s="55">
        <v>1080.0</v>
      </c>
      <c r="E2361" s="57" t="s">
        <v>1352</v>
      </c>
      <c r="F2361" s="2" t="s">
        <v>1927</v>
      </c>
    </row>
    <row r="2362">
      <c r="A2362" s="55">
        <f t="shared" si="2"/>
        <v>2361</v>
      </c>
      <c r="B2362" s="56" t="s">
        <v>1928</v>
      </c>
      <c r="C2362" s="55" t="s">
        <v>30</v>
      </c>
      <c r="D2362" s="55">
        <v>1259.0</v>
      </c>
      <c r="E2362" s="57" t="s">
        <v>1352</v>
      </c>
      <c r="F2362" s="2" t="s">
        <v>1927</v>
      </c>
    </row>
    <row r="2363">
      <c r="A2363" s="55">
        <f t="shared" si="2"/>
        <v>2362</v>
      </c>
      <c r="B2363" s="56" t="s">
        <v>1928</v>
      </c>
      <c r="C2363" s="55" t="s">
        <v>26</v>
      </c>
      <c r="D2363" s="55">
        <v>1329.0</v>
      </c>
      <c r="E2363" s="57" t="s">
        <v>1352</v>
      </c>
      <c r="F2363" s="2" t="s">
        <v>1927</v>
      </c>
    </row>
    <row r="2364">
      <c r="A2364" s="55">
        <f t="shared" si="2"/>
        <v>2363</v>
      </c>
      <c r="B2364" s="56" t="s">
        <v>1932</v>
      </c>
      <c r="C2364" s="55" t="s">
        <v>30</v>
      </c>
      <c r="D2364" s="55">
        <v>1200.0</v>
      </c>
      <c r="E2364" s="57" t="s">
        <v>1352</v>
      </c>
      <c r="F2364" s="2" t="s">
        <v>1931</v>
      </c>
    </row>
    <row r="2365">
      <c r="A2365" s="55">
        <f t="shared" si="2"/>
        <v>2364</v>
      </c>
      <c r="B2365" s="56" t="s">
        <v>1932</v>
      </c>
      <c r="C2365" s="55" t="s">
        <v>26</v>
      </c>
      <c r="D2365" s="55">
        <v>1260.0</v>
      </c>
      <c r="E2365" s="57" t="s">
        <v>1352</v>
      </c>
      <c r="F2365" s="2" t="s">
        <v>1931</v>
      </c>
    </row>
    <row r="2366">
      <c r="A2366" s="55">
        <f t="shared" si="2"/>
        <v>2365</v>
      </c>
      <c r="B2366" s="56" t="s">
        <v>2014</v>
      </c>
      <c r="C2366" s="55" t="s">
        <v>24</v>
      </c>
      <c r="D2366" s="55">
        <v>1472.0</v>
      </c>
      <c r="E2366" s="57" t="s">
        <v>2017</v>
      </c>
      <c r="F2366" s="2" t="s">
        <v>2013</v>
      </c>
    </row>
    <row r="2367">
      <c r="A2367" s="55">
        <f t="shared" si="2"/>
        <v>2366</v>
      </c>
      <c r="B2367" s="56" t="s">
        <v>2014</v>
      </c>
      <c r="C2367" s="55" t="s">
        <v>42</v>
      </c>
      <c r="D2367" s="55">
        <v>1313.0</v>
      </c>
      <c r="E2367" s="57" t="s">
        <v>2017</v>
      </c>
      <c r="F2367" s="2" t="s">
        <v>2013</v>
      </c>
    </row>
    <row r="2368">
      <c r="A2368" s="55">
        <f t="shared" si="2"/>
        <v>2367</v>
      </c>
      <c r="B2368" s="56" t="s">
        <v>2014</v>
      </c>
      <c r="C2368" s="55" t="s">
        <v>31</v>
      </c>
      <c r="D2368" s="55">
        <v>1425.0</v>
      </c>
      <c r="E2368" s="57" t="s">
        <v>2017</v>
      </c>
      <c r="F2368" s="2" t="s">
        <v>2013</v>
      </c>
    </row>
    <row r="2369">
      <c r="A2369" s="55">
        <f t="shared" si="2"/>
        <v>2368</v>
      </c>
      <c r="B2369" s="56" t="s">
        <v>2014</v>
      </c>
      <c r="C2369" s="55" t="s">
        <v>30</v>
      </c>
      <c r="D2369" s="55">
        <v>1241.0</v>
      </c>
      <c r="E2369" s="57" t="s">
        <v>2017</v>
      </c>
      <c r="F2369" s="2" t="s">
        <v>2013</v>
      </c>
    </row>
    <row r="2370">
      <c r="A2370" s="55">
        <f t="shared" si="2"/>
        <v>2369</v>
      </c>
      <c r="B2370" s="56" t="s">
        <v>2014</v>
      </c>
      <c r="C2370" s="55" t="s">
        <v>29</v>
      </c>
      <c r="D2370" s="55">
        <v>1414.0</v>
      </c>
      <c r="E2370" s="57" t="s">
        <v>2017</v>
      </c>
      <c r="F2370" s="2" t="s">
        <v>2013</v>
      </c>
    </row>
    <row r="2371">
      <c r="A2371" s="55">
        <f t="shared" si="2"/>
        <v>2370</v>
      </c>
      <c r="B2371" s="56" t="s">
        <v>2014</v>
      </c>
      <c r="C2371" s="55" t="s">
        <v>27</v>
      </c>
      <c r="D2371" s="55">
        <v>1455.0</v>
      </c>
      <c r="E2371" s="57" t="s">
        <v>2017</v>
      </c>
      <c r="F2371" s="2" t="s">
        <v>2013</v>
      </c>
    </row>
    <row r="2372">
      <c r="A2372" s="55">
        <f t="shared" si="2"/>
        <v>2371</v>
      </c>
      <c r="B2372" s="56" t="s">
        <v>2014</v>
      </c>
      <c r="C2372" s="55" t="s">
        <v>26</v>
      </c>
      <c r="D2372" s="55">
        <v>1385.0</v>
      </c>
      <c r="E2372" s="57" t="s">
        <v>2017</v>
      </c>
      <c r="F2372" s="2" t="s">
        <v>2013</v>
      </c>
    </row>
    <row r="2373">
      <c r="A2373" s="55">
        <f t="shared" si="2"/>
        <v>2372</v>
      </c>
      <c r="B2373" s="56" t="s">
        <v>2014</v>
      </c>
      <c r="C2373" s="55" t="s">
        <v>34</v>
      </c>
      <c r="D2373" s="55">
        <v>1188.0</v>
      </c>
      <c r="E2373" s="57" t="s">
        <v>2017</v>
      </c>
      <c r="F2373" s="2" t="s">
        <v>2013</v>
      </c>
    </row>
    <row r="2374">
      <c r="A2374" s="55">
        <f t="shared" si="2"/>
        <v>2373</v>
      </c>
      <c r="B2374" s="56" t="s">
        <v>2020</v>
      </c>
      <c r="C2374" s="55" t="s">
        <v>30</v>
      </c>
      <c r="D2374" s="55">
        <v>1253.0</v>
      </c>
      <c r="E2374" s="57" t="s">
        <v>2017</v>
      </c>
      <c r="F2374" s="2" t="s">
        <v>2019</v>
      </c>
    </row>
    <row r="2375">
      <c r="A2375" s="55">
        <f t="shared" si="2"/>
        <v>2374</v>
      </c>
      <c r="B2375" s="56" t="s">
        <v>2020</v>
      </c>
      <c r="C2375" s="55" t="s">
        <v>29</v>
      </c>
      <c r="D2375" s="55">
        <v>1390.0</v>
      </c>
      <c r="E2375" s="57" t="s">
        <v>2017</v>
      </c>
      <c r="F2375" s="2" t="s">
        <v>2019</v>
      </c>
    </row>
    <row r="2376">
      <c r="A2376" s="55">
        <f t="shared" si="2"/>
        <v>2375</v>
      </c>
      <c r="B2376" s="56" t="s">
        <v>2020</v>
      </c>
      <c r="C2376" s="55" t="s">
        <v>42</v>
      </c>
      <c r="D2376" s="55">
        <v>1325.0</v>
      </c>
      <c r="E2376" s="57" t="s">
        <v>2017</v>
      </c>
      <c r="F2376" s="2" t="s">
        <v>2019</v>
      </c>
    </row>
    <row r="2377">
      <c r="A2377" s="55">
        <f t="shared" si="2"/>
        <v>2376</v>
      </c>
      <c r="B2377" s="56" t="s">
        <v>2020</v>
      </c>
      <c r="C2377" s="55" t="s">
        <v>27</v>
      </c>
      <c r="D2377" s="55">
        <v>1436.0</v>
      </c>
      <c r="E2377" s="57" t="s">
        <v>2017</v>
      </c>
      <c r="F2377" s="2" t="s">
        <v>2019</v>
      </c>
    </row>
    <row r="2378">
      <c r="A2378" s="55">
        <f t="shared" si="2"/>
        <v>2377</v>
      </c>
      <c r="B2378" s="56" t="s">
        <v>2020</v>
      </c>
      <c r="C2378" s="55" t="s">
        <v>31</v>
      </c>
      <c r="D2378" s="55">
        <v>1439.0</v>
      </c>
      <c r="E2378" s="57" t="s">
        <v>2017</v>
      </c>
      <c r="F2378" s="2" t="s">
        <v>2019</v>
      </c>
    </row>
    <row r="2379">
      <c r="A2379" s="55">
        <f t="shared" si="2"/>
        <v>2378</v>
      </c>
      <c r="B2379" s="56" t="s">
        <v>2020</v>
      </c>
      <c r="C2379" s="55" t="s">
        <v>34</v>
      </c>
      <c r="D2379" s="55">
        <v>1161.0</v>
      </c>
      <c r="E2379" s="57" t="s">
        <v>2017</v>
      </c>
      <c r="F2379" s="2" t="s">
        <v>2019</v>
      </c>
    </row>
    <row r="2380">
      <c r="A2380" s="55">
        <f t="shared" si="2"/>
        <v>2379</v>
      </c>
      <c r="B2380" s="56" t="s">
        <v>2020</v>
      </c>
      <c r="C2380" s="55" t="s">
        <v>24</v>
      </c>
      <c r="D2380" s="55">
        <v>1486.0</v>
      </c>
      <c r="E2380" s="57" t="s">
        <v>2017</v>
      </c>
      <c r="F2380" s="2" t="s">
        <v>2019</v>
      </c>
    </row>
    <row r="2381">
      <c r="A2381" s="55">
        <f t="shared" si="2"/>
        <v>2380</v>
      </c>
      <c r="B2381" s="56" t="s">
        <v>2020</v>
      </c>
      <c r="C2381" s="55" t="s">
        <v>26</v>
      </c>
      <c r="D2381" s="55">
        <v>1360.0</v>
      </c>
      <c r="E2381" s="57" t="s">
        <v>2017</v>
      </c>
      <c r="F2381" s="2" t="s">
        <v>2019</v>
      </c>
    </row>
    <row r="2382">
      <c r="A2382" s="55">
        <f t="shared" si="2"/>
        <v>2381</v>
      </c>
      <c r="B2382" s="56" t="s">
        <v>2024</v>
      </c>
      <c r="C2382" s="55" t="s">
        <v>24</v>
      </c>
      <c r="D2382" s="55">
        <v>1465.0</v>
      </c>
      <c r="E2382" s="57" t="s">
        <v>2017</v>
      </c>
      <c r="F2382" s="2" t="s">
        <v>2023</v>
      </c>
    </row>
    <row r="2383">
      <c r="A2383" s="55">
        <f t="shared" si="2"/>
        <v>2382</v>
      </c>
      <c r="B2383" s="56" t="s">
        <v>2024</v>
      </c>
      <c r="C2383" s="55" t="s">
        <v>36</v>
      </c>
      <c r="D2383" s="55">
        <v>1243.0</v>
      </c>
      <c r="E2383" s="57" t="s">
        <v>2017</v>
      </c>
      <c r="F2383" s="2" t="s">
        <v>2023</v>
      </c>
    </row>
    <row r="2384">
      <c r="A2384" s="55">
        <f t="shared" si="2"/>
        <v>2383</v>
      </c>
      <c r="B2384" s="56" t="s">
        <v>2024</v>
      </c>
      <c r="C2384" s="55" t="s">
        <v>30</v>
      </c>
      <c r="D2384" s="55">
        <v>1268.0</v>
      </c>
      <c r="E2384" s="57" t="s">
        <v>2017</v>
      </c>
      <c r="F2384" s="2" t="s">
        <v>2023</v>
      </c>
    </row>
    <row r="2385">
      <c r="A2385" s="55">
        <f t="shared" si="2"/>
        <v>2384</v>
      </c>
      <c r="B2385" s="56" t="s">
        <v>2024</v>
      </c>
      <c r="C2385" s="55" t="s">
        <v>42</v>
      </c>
      <c r="D2385" s="55">
        <v>1341.0</v>
      </c>
      <c r="E2385" s="57" t="s">
        <v>2017</v>
      </c>
      <c r="F2385" s="2" t="s">
        <v>2023</v>
      </c>
    </row>
    <row r="2386">
      <c r="A2386" s="55">
        <f t="shared" si="2"/>
        <v>2385</v>
      </c>
      <c r="B2386" s="56" t="s">
        <v>2024</v>
      </c>
      <c r="C2386" s="55" t="s">
        <v>29</v>
      </c>
      <c r="D2386" s="55">
        <v>1407.0</v>
      </c>
      <c r="E2386" s="57" t="s">
        <v>2017</v>
      </c>
      <c r="F2386" s="2" t="s">
        <v>2023</v>
      </c>
    </row>
    <row r="2387">
      <c r="A2387" s="55">
        <f t="shared" si="2"/>
        <v>2386</v>
      </c>
      <c r="B2387" s="56" t="s">
        <v>2024</v>
      </c>
      <c r="C2387" s="55" t="s">
        <v>27</v>
      </c>
      <c r="D2387" s="55">
        <v>1454.0</v>
      </c>
      <c r="E2387" s="57" t="s">
        <v>2017</v>
      </c>
      <c r="F2387" s="2" t="s">
        <v>2023</v>
      </c>
    </row>
    <row r="2388">
      <c r="A2388" s="55">
        <f t="shared" si="2"/>
        <v>2387</v>
      </c>
      <c r="B2388" s="56" t="s">
        <v>2024</v>
      </c>
      <c r="C2388" s="55" t="s">
        <v>26</v>
      </c>
      <c r="D2388" s="55">
        <v>1334.0</v>
      </c>
      <c r="E2388" s="57" t="s">
        <v>2017</v>
      </c>
      <c r="F2388" s="2" t="s">
        <v>2023</v>
      </c>
    </row>
    <row r="2389">
      <c r="A2389" s="55">
        <f t="shared" si="2"/>
        <v>2388</v>
      </c>
      <c r="B2389" s="56" t="s">
        <v>2024</v>
      </c>
      <c r="C2389" s="55" t="s">
        <v>34</v>
      </c>
      <c r="D2389" s="55">
        <v>1133.0</v>
      </c>
      <c r="E2389" s="57" t="s">
        <v>2017</v>
      </c>
      <c r="F2389" s="2" t="s">
        <v>2023</v>
      </c>
    </row>
    <row r="2390">
      <c r="A2390" s="55">
        <f t="shared" si="2"/>
        <v>2389</v>
      </c>
      <c r="B2390" s="56" t="s">
        <v>2029</v>
      </c>
      <c r="C2390" s="55" t="s">
        <v>36</v>
      </c>
      <c r="D2390" s="55">
        <v>1255.0</v>
      </c>
      <c r="E2390" s="57" t="s">
        <v>2017</v>
      </c>
      <c r="F2390" s="2" t="s">
        <v>2028</v>
      </c>
    </row>
    <row r="2391">
      <c r="A2391" s="55">
        <f t="shared" si="2"/>
        <v>2390</v>
      </c>
      <c r="B2391" s="56" t="s">
        <v>2029</v>
      </c>
      <c r="C2391" s="55" t="s">
        <v>34</v>
      </c>
      <c r="D2391" s="55">
        <v>1105.0</v>
      </c>
      <c r="E2391" s="57" t="s">
        <v>2017</v>
      </c>
      <c r="F2391" s="2" t="s">
        <v>2028</v>
      </c>
    </row>
    <row r="2392">
      <c r="A2392" s="55">
        <f t="shared" si="2"/>
        <v>2391</v>
      </c>
      <c r="B2392" s="56" t="s">
        <v>2029</v>
      </c>
      <c r="C2392" s="55" t="s">
        <v>42</v>
      </c>
      <c r="D2392" s="55">
        <v>1354.0</v>
      </c>
      <c r="E2392" s="57" t="s">
        <v>2017</v>
      </c>
      <c r="F2392" s="2" t="s">
        <v>2028</v>
      </c>
    </row>
    <row r="2393">
      <c r="A2393" s="55">
        <f t="shared" si="2"/>
        <v>2392</v>
      </c>
      <c r="B2393" s="56" t="s">
        <v>2029</v>
      </c>
      <c r="C2393" s="55" t="s">
        <v>27</v>
      </c>
      <c r="D2393" s="55">
        <v>1437.0</v>
      </c>
      <c r="E2393" s="57" t="s">
        <v>2017</v>
      </c>
      <c r="F2393" s="2" t="s">
        <v>2028</v>
      </c>
    </row>
    <row r="2394">
      <c r="A2394" s="55">
        <f t="shared" si="2"/>
        <v>2393</v>
      </c>
      <c r="B2394" s="56" t="s">
        <v>2029</v>
      </c>
      <c r="C2394" s="55" t="s">
        <v>26</v>
      </c>
      <c r="D2394" s="55">
        <v>1308.0</v>
      </c>
      <c r="E2394" s="57" t="s">
        <v>2017</v>
      </c>
      <c r="F2394" s="2" t="s">
        <v>2028</v>
      </c>
    </row>
    <row r="2395">
      <c r="A2395" s="55">
        <f t="shared" si="2"/>
        <v>2394</v>
      </c>
      <c r="B2395" s="56" t="s">
        <v>2029</v>
      </c>
      <c r="C2395" s="55" t="s">
        <v>30</v>
      </c>
      <c r="D2395" s="55">
        <v>1280.0</v>
      </c>
      <c r="E2395" s="57" t="s">
        <v>2017</v>
      </c>
      <c r="F2395" s="2" t="s">
        <v>2028</v>
      </c>
    </row>
    <row r="2396">
      <c r="A2396" s="55">
        <f t="shared" si="2"/>
        <v>2395</v>
      </c>
      <c r="B2396" s="56" t="s">
        <v>2029</v>
      </c>
      <c r="C2396" s="55" t="s">
        <v>29</v>
      </c>
      <c r="D2396" s="55">
        <v>1384.0</v>
      </c>
      <c r="E2396" s="57" t="s">
        <v>2017</v>
      </c>
      <c r="F2396" s="2" t="s">
        <v>2028</v>
      </c>
    </row>
    <row r="2397">
      <c r="A2397" s="55">
        <f t="shared" si="2"/>
        <v>2396</v>
      </c>
      <c r="B2397" s="56" t="s">
        <v>2029</v>
      </c>
      <c r="C2397" s="55" t="s">
        <v>24</v>
      </c>
      <c r="D2397" s="55">
        <v>1479.0</v>
      </c>
      <c r="E2397" s="57" t="s">
        <v>2017</v>
      </c>
      <c r="F2397" s="2" t="s">
        <v>2028</v>
      </c>
    </row>
    <row r="2398">
      <c r="A2398" s="55">
        <f t="shared" si="2"/>
        <v>2397</v>
      </c>
      <c r="B2398" s="56" t="s">
        <v>2033</v>
      </c>
      <c r="C2398" s="55" t="s">
        <v>29</v>
      </c>
      <c r="D2398" s="55">
        <v>1362.0</v>
      </c>
      <c r="E2398" s="57" t="s">
        <v>2017</v>
      </c>
      <c r="F2398" s="2" t="s">
        <v>2032</v>
      </c>
    </row>
    <row r="2399">
      <c r="A2399" s="55">
        <f t="shared" si="2"/>
        <v>2398</v>
      </c>
      <c r="B2399" s="56" t="s">
        <v>2033</v>
      </c>
      <c r="C2399" s="55" t="s">
        <v>27</v>
      </c>
      <c r="D2399" s="55">
        <v>1455.0</v>
      </c>
      <c r="E2399" s="57" t="s">
        <v>2017</v>
      </c>
      <c r="F2399" s="2" t="s">
        <v>2032</v>
      </c>
    </row>
    <row r="2400">
      <c r="A2400" s="55">
        <f t="shared" si="2"/>
        <v>2399</v>
      </c>
      <c r="B2400" s="56" t="s">
        <v>2033</v>
      </c>
      <c r="C2400" s="55" t="s">
        <v>26</v>
      </c>
      <c r="D2400" s="55">
        <v>1283.0</v>
      </c>
      <c r="E2400" s="57" t="s">
        <v>2017</v>
      </c>
      <c r="F2400" s="2" t="s">
        <v>2032</v>
      </c>
    </row>
    <row r="2401">
      <c r="A2401" s="55">
        <f t="shared" si="2"/>
        <v>2400</v>
      </c>
      <c r="B2401" s="56" t="s">
        <v>2033</v>
      </c>
      <c r="C2401" s="55" t="s">
        <v>24</v>
      </c>
      <c r="D2401" s="55">
        <v>1461.0</v>
      </c>
      <c r="E2401" s="57" t="s">
        <v>2017</v>
      </c>
      <c r="F2401" s="2" t="s">
        <v>2032</v>
      </c>
    </row>
    <row r="2402">
      <c r="A2402" s="55">
        <f t="shared" si="2"/>
        <v>2401</v>
      </c>
      <c r="B2402" s="56" t="s">
        <v>2033</v>
      </c>
      <c r="C2402" s="55" t="s">
        <v>42</v>
      </c>
      <c r="D2402" s="55">
        <v>1371.0</v>
      </c>
      <c r="E2402" s="57" t="s">
        <v>2017</v>
      </c>
      <c r="F2402" s="2" t="s">
        <v>2032</v>
      </c>
    </row>
    <row r="2403">
      <c r="A2403" s="55">
        <f t="shared" si="2"/>
        <v>2402</v>
      </c>
      <c r="B2403" s="56" t="s">
        <v>2033</v>
      </c>
      <c r="C2403" s="55" t="s">
        <v>30</v>
      </c>
      <c r="D2403" s="55">
        <v>1254.0</v>
      </c>
      <c r="E2403" s="57" t="s">
        <v>2017</v>
      </c>
      <c r="F2403" s="2" t="s">
        <v>2032</v>
      </c>
    </row>
    <row r="2404">
      <c r="A2404" s="55">
        <f t="shared" si="2"/>
        <v>2403</v>
      </c>
      <c r="B2404" s="56" t="s">
        <v>2033</v>
      </c>
      <c r="C2404" s="55" t="s">
        <v>36</v>
      </c>
      <c r="D2404" s="55">
        <v>1270.0</v>
      </c>
      <c r="E2404" s="57" t="s">
        <v>2017</v>
      </c>
      <c r="F2404" s="2" t="s">
        <v>2032</v>
      </c>
    </row>
    <row r="2405">
      <c r="A2405" s="55">
        <f t="shared" si="2"/>
        <v>2404</v>
      </c>
      <c r="B2405" s="56" t="s">
        <v>2037</v>
      </c>
      <c r="C2405" s="55" t="s">
        <v>30</v>
      </c>
      <c r="D2405" s="55">
        <v>1227.0</v>
      </c>
      <c r="E2405" s="57" t="s">
        <v>2017</v>
      </c>
      <c r="F2405" s="2" t="s">
        <v>2036</v>
      </c>
    </row>
    <row r="2406">
      <c r="A2406" s="55">
        <f t="shared" si="2"/>
        <v>2405</v>
      </c>
      <c r="B2406" s="56" t="s">
        <v>2037</v>
      </c>
      <c r="C2406" s="55" t="s">
        <v>24</v>
      </c>
      <c r="D2406" s="55">
        <v>1442.0</v>
      </c>
      <c r="E2406" s="57" t="s">
        <v>2017</v>
      </c>
      <c r="F2406" s="2" t="s">
        <v>2036</v>
      </c>
    </row>
    <row r="2407">
      <c r="A2407" s="55">
        <f t="shared" si="2"/>
        <v>2406</v>
      </c>
      <c r="B2407" s="56" t="s">
        <v>2037</v>
      </c>
      <c r="C2407" s="55" t="s">
        <v>26</v>
      </c>
      <c r="D2407" s="55">
        <v>1294.0</v>
      </c>
      <c r="E2407" s="57" t="s">
        <v>2017</v>
      </c>
      <c r="F2407" s="2" t="s">
        <v>2036</v>
      </c>
    </row>
    <row r="2408">
      <c r="A2408" s="55">
        <f t="shared" si="2"/>
        <v>2407</v>
      </c>
      <c r="B2408" s="56" t="s">
        <v>2037</v>
      </c>
      <c r="C2408" s="55" t="s">
        <v>36</v>
      </c>
      <c r="D2408" s="55">
        <v>1248.0</v>
      </c>
      <c r="E2408" s="57" t="s">
        <v>2017</v>
      </c>
      <c r="F2408" s="2" t="s">
        <v>2036</v>
      </c>
    </row>
    <row r="2409">
      <c r="A2409" s="55">
        <f t="shared" si="2"/>
        <v>2408</v>
      </c>
      <c r="B2409" s="56" t="s">
        <v>2037</v>
      </c>
      <c r="C2409" s="55" t="s">
        <v>29</v>
      </c>
      <c r="D2409" s="55">
        <v>1373.0</v>
      </c>
      <c r="E2409" s="57" t="s">
        <v>2017</v>
      </c>
      <c r="F2409" s="2" t="s">
        <v>2036</v>
      </c>
    </row>
    <row r="2410">
      <c r="A2410" s="55">
        <f t="shared" si="2"/>
        <v>2409</v>
      </c>
      <c r="B2410" s="56" t="s">
        <v>2037</v>
      </c>
      <c r="C2410" s="55" t="s">
        <v>27</v>
      </c>
      <c r="D2410" s="55">
        <v>1467.0</v>
      </c>
      <c r="E2410" s="57" t="s">
        <v>2017</v>
      </c>
      <c r="F2410" s="2" t="s">
        <v>2036</v>
      </c>
    </row>
    <row r="2411">
      <c r="A2411" s="55">
        <f t="shared" si="2"/>
        <v>2410</v>
      </c>
      <c r="B2411" s="56" t="s">
        <v>2037</v>
      </c>
      <c r="C2411" s="55" t="s">
        <v>42</v>
      </c>
      <c r="D2411" s="55">
        <v>1352.0</v>
      </c>
      <c r="E2411" s="57" t="s">
        <v>2017</v>
      </c>
      <c r="F2411" s="2" t="s">
        <v>2036</v>
      </c>
    </row>
    <row r="2412">
      <c r="A2412" s="55">
        <f t="shared" si="2"/>
        <v>2411</v>
      </c>
      <c r="B2412" s="56" t="s">
        <v>2041</v>
      </c>
      <c r="C2412" s="55" t="s">
        <v>24</v>
      </c>
      <c r="D2412" s="55">
        <v>1462.0</v>
      </c>
      <c r="E2412" s="57" t="s">
        <v>2017</v>
      </c>
      <c r="F2412" s="2" t="s">
        <v>2040</v>
      </c>
    </row>
    <row r="2413">
      <c r="A2413" s="55">
        <f t="shared" si="2"/>
        <v>2412</v>
      </c>
      <c r="B2413" s="56" t="s">
        <v>2041</v>
      </c>
      <c r="C2413" s="55" t="s">
        <v>42</v>
      </c>
      <c r="D2413" s="55">
        <v>1334.0</v>
      </c>
      <c r="E2413" s="57" t="s">
        <v>2017</v>
      </c>
      <c r="F2413" s="2" t="s">
        <v>2040</v>
      </c>
    </row>
    <row r="2414">
      <c r="A2414" s="55">
        <f t="shared" si="2"/>
        <v>2413</v>
      </c>
      <c r="B2414" s="56" t="s">
        <v>2041</v>
      </c>
      <c r="C2414" s="55" t="s">
        <v>36</v>
      </c>
      <c r="D2414" s="55">
        <v>1226.0</v>
      </c>
      <c r="E2414" s="57" t="s">
        <v>2017</v>
      </c>
      <c r="F2414" s="2" t="s">
        <v>2040</v>
      </c>
    </row>
    <row r="2415">
      <c r="A2415" s="55">
        <f t="shared" si="2"/>
        <v>2414</v>
      </c>
      <c r="B2415" s="56" t="s">
        <v>2041</v>
      </c>
      <c r="C2415" s="55" t="s">
        <v>26</v>
      </c>
      <c r="D2415" s="55">
        <v>1312.0</v>
      </c>
      <c r="E2415" s="57" t="s">
        <v>2017</v>
      </c>
      <c r="F2415" s="2" t="s">
        <v>2040</v>
      </c>
    </row>
    <row r="2416">
      <c r="A2416" s="55">
        <f t="shared" si="2"/>
        <v>2415</v>
      </c>
      <c r="B2416" s="56" t="s">
        <v>2041</v>
      </c>
      <c r="C2416" s="55" t="s">
        <v>27</v>
      </c>
      <c r="D2416" s="55">
        <v>1452.0</v>
      </c>
      <c r="E2416" s="57" t="s">
        <v>2017</v>
      </c>
      <c r="F2416" s="2" t="s">
        <v>2040</v>
      </c>
    </row>
    <row r="2417">
      <c r="A2417" s="55">
        <f t="shared" si="2"/>
        <v>2416</v>
      </c>
      <c r="B2417" s="56" t="s">
        <v>2041</v>
      </c>
      <c r="C2417" s="55" t="s">
        <v>31</v>
      </c>
      <c r="D2417" s="55">
        <v>1416.0</v>
      </c>
      <c r="E2417" s="57" t="s">
        <v>2017</v>
      </c>
      <c r="F2417" s="2" t="s">
        <v>2040</v>
      </c>
    </row>
    <row r="2418">
      <c r="A2418" s="55">
        <f t="shared" si="2"/>
        <v>2417</v>
      </c>
      <c r="B2418" s="56" t="s">
        <v>2041</v>
      </c>
      <c r="C2418" s="55" t="s">
        <v>30</v>
      </c>
      <c r="D2418" s="55">
        <v>1244.0</v>
      </c>
      <c r="E2418" s="57" t="s">
        <v>2017</v>
      </c>
      <c r="F2418" s="2" t="s">
        <v>2040</v>
      </c>
    </row>
    <row r="2419">
      <c r="A2419" s="55">
        <f t="shared" si="2"/>
        <v>2418</v>
      </c>
      <c r="B2419" s="56" t="s">
        <v>2046</v>
      </c>
      <c r="C2419" s="55" t="s">
        <v>26</v>
      </c>
      <c r="D2419" s="55">
        <v>1288.0</v>
      </c>
      <c r="E2419" s="57" t="s">
        <v>2017</v>
      </c>
      <c r="F2419" s="2" t="s">
        <v>2045</v>
      </c>
    </row>
    <row r="2420">
      <c r="A2420" s="55">
        <f t="shared" si="2"/>
        <v>2419</v>
      </c>
      <c r="B2420" s="56" t="s">
        <v>2046</v>
      </c>
      <c r="C2420" s="55" t="s">
        <v>24</v>
      </c>
      <c r="D2420" s="55">
        <v>1476.0</v>
      </c>
      <c r="E2420" s="57" t="s">
        <v>2017</v>
      </c>
      <c r="F2420" s="2" t="s">
        <v>2045</v>
      </c>
    </row>
    <row r="2421">
      <c r="A2421" s="55">
        <f t="shared" si="2"/>
        <v>2420</v>
      </c>
      <c r="B2421" s="56" t="s">
        <v>2046</v>
      </c>
      <c r="C2421" s="55" t="s">
        <v>27</v>
      </c>
      <c r="D2421" s="55">
        <v>1437.0</v>
      </c>
      <c r="E2421" s="57" t="s">
        <v>2017</v>
      </c>
      <c r="F2421" s="2" t="s">
        <v>2045</v>
      </c>
    </row>
    <row r="2422">
      <c r="A2422" s="55">
        <f t="shared" si="2"/>
        <v>2421</v>
      </c>
      <c r="B2422" s="56" t="s">
        <v>2046</v>
      </c>
      <c r="C2422" s="55" t="s">
        <v>36</v>
      </c>
      <c r="D2422" s="55">
        <v>1238.0</v>
      </c>
      <c r="E2422" s="57" t="s">
        <v>2017</v>
      </c>
      <c r="F2422" s="2" t="s">
        <v>2045</v>
      </c>
    </row>
    <row r="2423">
      <c r="A2423" s="55">
        <f t="shared" si="2"/>
        <v>2422</v>
      </c>
      <c r="B2423" s="56" t="s">
        <v>2046</v>
      </c>
      <c r="C2423" s="55" t="s">
        <v>31</v>
      </c>
      <c r="D2423" s="55">
        <v>1397.0</v>
      </c>
      <c r="E2423" s="57" t="s">
        <v>2017</v>
      </c>
      <c r="F2423" s="2" t="s">
        <v>2045</v>
      </c>
    </row>
    <row r="2424">
      <c r="A2424" s="55">
        <f t="shared" si="2"/>
        <v>2423</v>
      </c>
      <c r="B2424" s="56" t="s">
        <v>2046</v>
      </c>
      <c r="C2424" s="55" t="s">
        <v>30</v>
      </c>
      <c r="D2424" s="55">
        <v>1218.0</v>
      </c>
      <c r="E2424" s="57" t="s">
        <v>2017</v>
      </c>
      <c r="F2424" s="2" t="s">
        <v>2045</v>
      </c>
    </row>
    <row r="2425">
      <c r="A2425" s="55">
        <f t="shared" si="2"/>
        <v>2424</v>
      </c>
      <c r="B2425" s="56" t="s">
        <v>2046</v>
      </c>
      <c r="C2425" s="55" t="s">
        <v>42</v>
      </c>
      <c r="D2425" s="55">
        <v>1347.0</v>
      </c>
      <c r="E2425" s="57" t="s">
        <v>2017</v>
      </c>
      <c r="F2425" s="2" t="s">
        <v>2045</v>
      </c>
    </row>
    <row r="2426">
      <c r="A2426" s="55">
        <f t="shared" si="2"/>
        <v>2425</v>
      </c>
      <c r="B2426" s="56" t="s">
        <v>2050</v>
      </c>
      <c r="C2426" s="55" t="s">
        <v>36</v>
      </c>
      <c r="D2426" s="55">
        <v>1241.0</v>
      </c>
      <c r="E2426" s="57" t="s">
        <v>2017</v>
      </c>
      <c r="F2426" s="2" t="s">
        <v>2049</v>
      </c>
    </row>
    <row r="2427">
      <c r="A2427" s="55">
        <f t="shared" si="2"/>
        <v>2426</v>
      </c>
      <c r="B2427" s="56" t="s">
        <v>2050</v>
      </c>
      <c r="C2427" s="55" t="s">
        <v>34</v>
      </c>
      <c r="D2427" s="55">
        <v>1148.0</v>
      </c>
      <c r="E2427" s="57" t="s">
        <v>2017</v>
      </c>
      <c r="F2427" s="2" t="s">
        <v>2049</v>
      </c>
    </row>
    <row r="2428">
      <c r="A2428" s="55">
        <f t="shared" si="2"/>
        <v>2427</v>
      </c>
      <c r="B2428" s="56" t="s">
        <v>2050</v>
      </c>
      <c r="C2428" s="55" t="s">
        <v>27</v>
      </c>
      <c r="D2428" s="55">
        <v>1481.0</v>
      </c>
      <c r="E2428" s="57" t="s">
        <v>2017</v>
      </c>
      <c r="F2428" s="2" t="s">
        <v>2049</v>
      </c>
    </row>
    <row r="2429">
      <c r="A2429" s="55">
        <f t="shared" si="2"/>
        <v>2428</v>
      </c>
      <c r="B2429" s="56" t="s">
        <v>2050</v>
      </c>
      <c r="C2429" s="55" t="s">
        <v>31</v>
      </c>
      <c r="D2429" s="55">
        <v>1401.0</v>
      </c>
      <c r="E2429" s="57" t="s">
        <v>2017</v>
      </c>
      <c r="F2429" s="2" t="s">
        <v>2049</v>
      </c>
    </row>
    <row r="2430">
      <c r="A2430" s="55">
        <f t="shared" si="2"/>
        <v>2429</v>
      </c>
      <c r="B2430" s="56" t="s">
        <v>2050</v>
      </c>
      <c r="C2430" s="55" t="s">
        <v>42</v>
      </c>
      <c r="D2430" s="55">
        <v>1354.0</v>
      </c>
      <c r="E2430" s="57" t="s">
        <v>2017</v>
      </c>
      <c r="F2430" s="2" t="s">
        <v>2049</v>
      </c>
    </row>
    <row r="2431">
      <c r="A2431" s="55">
        <f t="shared" si="2"/>
        <v>2430</v>
      </c>
      <c r="B2431" s="56" t="s">
        <v>2050</v>
      </c>
      <c r="C2431" s="55" t="s">
        <v>30</v>
      </c>
      <c r="D2431" s="55">
        <v>1215.0</v>
      </c>
      <c r="E2431" s="57" t="s">
        <v>2017</v>
      </c>
      <c r="F2431" s="2" t="s">
        <v>2049</v>
      </c>
    </row>
    <row r="2432">
      <c r="A2432" s="55">
        <f t="shared" si="2"/>
        <v>2431</v>
      </c>
      <c r="B2432" s="56" t="s">
        <v>2050</v>
      </c>
      <c r="C2432" s="55" t="s">
        <v>26</v>
      </c>
      <c r="D2432" s="55">
        <v>1331.0</v>
      </c>
      <c r="E2432" s="57" t="s">
        <v>2017</v>
      </c>
      <c r="F2432" s="2" t="s">
        <v>2049</v>
      </c>
    </row>
    <row r="2433">
      <c r="A2433" s="55">
        <f t="shared" si="2"/>
        <v>2432</v>
      </c>
      <c r="B2433" s="56" t="s">
        <v>2054</v>
      </c>
      <c r="C2433" s="55" t="s">
        <v>26</v>
      </c>
      <c r="D2433" s="55">
        <v>1310.0</v>
      </c>
      <c r="E2433" s="57" t="s">
        <v>2017</v>
      </c>
      <c r="F2433" s="2" t="s">
        <v>2053</v>
      </c>
    </row>
    <row r="2434">
      <c r="A2434" s="55">
        <f t="shared" si="2"/>
        <v>2433</v>
      </c>
      <c r="B2434" s="56" t="s">
        <v>2054</v>
      </c>
      <c r="C2434" s="55" t="s">
        <v>42</v>
      </c>
      <c r="D2434" s="55">
        <v>1337.0</v>
      </c>
      <c r="E2434" s="57" t="s">
        <v>2017</v>
      </c>
      <c r="F2434" s="2" t="s">
        <v>2053</v>
      </c>
    </row>
    <row r="2435">
      <c r="A2435" s="55">
        <f t="shared" si="2"/>
        <v>2434</v>
      </c>
      <c r="B2435" s="56" t="s">
        <v>2054</v>
      </c>
      <c r="C2435" s="55" t="s">
        <v>34</v>
      </c>
      <c r="D2435" s="55">
        <v>1161.0</v>
      </c>
      <c r="E2435" s="57" t="s">
        <v>2017</v>
      </c>
      <c r="F2435" s="2" t="s">
        <v>2053</v>
      </c>
    </row>
    <row r="2436">
      <c r="A2436" s="55">
        <f t="shared" si="2"/>
        <v>2435</v>
      </c>
      <c r="B2436" s="56" t="s">
        <v>2054</v>
      </c>
      <c r="C2436" s="55" t="s">
        <v>30</v>
      </c>
      <c r="D2436" s="55">
        <v>1189.0</v>
      </c>
      <c r="E2436" s="57" t="s">
        <v>2017</v>
      </c>
      <c r="F2436" s="2" t="s">
        <v>2053</v>
      </c>
    </row>
    <row r="2437">
      <c r="A2437" s="55">
        <f t="shared" si="2"/>
        <v>2436</v>
      </c>
      <c r="B2437" s="56" t="s">
        <v>2054</v>
      </c>
      <c r="C2437" s="55" t="s">
        <v>27</v>
      </c>
      <c r="D2437" s="55">
        <v>1498.0</v>
      </c>
      <c r="E2437" s="57" t="s">
        <v>2017</v>
      </c>
      <c r="F2437" s="2" t="s">
        <v>2053</v>
      </c>
    </row>
    <row r="2438">
      <c r="A2438" s="55">
        <f t="shared" si="2"/>
        <v>2437</v>
      </c>
      <c r="B2438" s="56" t="s">
        <v>2054</v>
      </c>
      <c r="C2438" s="55" t="s">
        <v>31</v>
      </c>
      <c r="D2438" s="55">
        <v>1382.0</v>
      </c>
      <c r="E2438" s="57" t="s">
        <v>2017</v>
      </c>
      <c r="F2438" s="2" t="s">
        <v>2053</v>
      </c>
    </row>
    <row r="2439">
      <c r="A2439" s="55">
        <f t="shared" si="2"/>
        <v>2438</v>
      </c>
      <c r="B2439" s="56" t="s">
        <v>2054</v>
      </c>
      <c r="C2439" s="55" t="s">
        <v>36</v>
      </c>
      <c r="D2439" s="55">
        <v>1255.0</v>
      </c>
      <c r="E2439" s="57" t="s">
        <v>2017</v>
      </c>
      <c r="F2439" s="2" t="s">
        <v>2053</v>
      </c>
    </row>
    <row r="2440">
      <c r="A2440" s="55">
        <f t="shared" si="2"/>
        <v>2439</v>
      </c>
      <c r="B2440" s="56" t="s">
        <v>2058</v>
      </c>
      <c r="C2440" s="55" t="s">
        <v>31</v>
      </c>
      <c r="D2440" s="55">
        <v>1363.0</v>
      </c>
      <c r="E2440" s="57" t="s">
        <v>2017</v>
      </c>
      <c r="F2440" s="2" t="s">
        <v>2057</v>
      </c>
    </row>
    <row r="2441">
      <c r="A2441" s="55">
        <f t="shared" si="2"/>
        <v>2440</v>
      </c>
      <c r="B2441" s="56" t="s">
        <v>2058</v>
      </c>
      <c r="C2441" s="55" t="s">
        <v>34</v>
      </c>
      <c r="D2441" s="55">
        <v>1174.0</v>
      </c>
      <c r="E2441" s="57" t="s">
        <v>2017</v>
      </c>
      <c r="F2441" s="2" t="s">
        <v>2057</v>
      </c>
    </row>
    <row r="2442">
      <c r="A2442" s="55">
        <f t="shared" si="2"/>
        <v>2441</v>
      </c>
      <c r="B2442" s="56" t="s">
        <v>2058</v>
      </c>
      <c r="C2442" s="55" t="s">
        <v>30</v>
      </c>
      <c r="D2442" s="55">
        <v>1163.0</v>
      </c>
      <c r="E2442" s="57" t="s">
        <v>2017</v>
      </c>
      <c r="F2442" s="2" t="s">
        <v>2057</v>
      </c>
    </row>
    <row r="2443">
      <c r="A2443" s="55">
        <f t="shared" si="2"/>
        <v>2442</v>
      </c>
      <c r="B2443" s="56" t="s">
        <v>2058</v>
      </c>
      <c r="C2443" s="55" t="s">
        <v>36</v>
      </c>
      <c r="D2443" s="55">
        <v>1235.0</v>
      </c>
      <c r="E2443" s="57" t="s">
        <v>2017</v>
      </c>
      <c r="F2443" s="2" t="s">
        <v>2057</v>
      </c>
    </row>
    <row r="2444">
      <c r="A2444" s="55">
        <f t="shared" si="2"/>
        <v>2443</v>
      </c>
      <c r="B2444" s="56" t="s">
        <v>2058</v>
      </c>
      <c r="C2444" s="55" t="s">
        <v>26</v>
      </c>
      <c r="D2444" s="55">
        <v>1325.0</v>
      </c>
      <c r="E2444" s="57" t="s">
        <v>2017</v>
      </c>
      <c r="F2444" s="2" t="s">
        <v>2057</v>
      </c>
    </row>
    <row r="2445">
      <c r="A2445" s="55">
        <f t="shared" si="2"/>
        <v>2444</v>
      </c>
      <c r="B2445" s="56" t="s">
        <v>2058</v>
      </c>
      <c r="C2445" s="55" t="s">
        <v>27</v>
      </c>
      <c r="D2445" s="55">
        <v>1486.0</v>
      </c>
      <c r="E2445" s="57" t="s">
        <v>2017</v>
      </c>
      <c r="F2445" s="2" t="s">
        <v>2057</v>
      </c>
    </row>
    <row r="2446">
      <c r="A2446" s="55">
        <f t="shared" si="2"/>
        <v>2445</v>
      </c>
      <c r="B2446" s="56" t="s">
        <v>2058</v>
      </c>
      <c r="C2446" s="55" t="s">
        <v>42</v>
      </c>
      <c r="D2446" s="55">
        <v>1352.0</v>
      </c>
      <c r="E2446" s="57" t="s">
        <v>2017</v>
      </c>
      <c r="F2446" s="2" t="s">
        <v>2057</v>
      </c>
    </row>
    <row r="2447">
      <c r="A2447" s="55">
        <f t="shared" si="2"/>
        <v>2446</v>
      </c>
      <c r="B2447" s="56" t="s">
        <v>2062</v>
      </c>
      <c r="C2447" s="55" t="s">
        <v>26</v>
      </c>
      <c r="D2447" s="55">
        <v>1305.0</v>
      </c>
      <c r="E2447" s="57" t="s">
        <v>2017</v>
      </c>
      <c r="F2447" s="2" t="s">
        <v>2061</v>
      </c>
    </row>
    <row r="2448">
      <c r="A2448" s="55">
        <f t="shared" si="2"/>
        <v>2447</v>
      </c>
      <c r="B2448" s="56" t="s">
        <v>2062</v>
      </c>
      <c r="C2448" s="55" t="s">
        <v>42</v>
      </c>
      <c r="D2448" s="55">
        <v>1336.0</v>
      </c>
      <c r="E2448" s="57" t="s">
        <v>2017</v>
      </c>
      <c r="F2448" s="2" t="s">
        <v>2061</v>
      </c>
    </row>
    <row r="2449">
      <c r="A2449" s="55">
        <f t="shared" si="2"/>
        <v>2448</v>
      </c>
      <c r="B2449" s="56" t="s">
        <v>2062</v>
      </c>
      <c r="C2449" s="55" t="s">
        <v>34</v>
      </c>
      <c r="D2449" s="55">
        <v>1187.0</v>
      </c>
      <c r="E2449" s="57" t="s">
        <v>2017</v>
      </c>
      <c r="F2449" s="2" t="s">
        <v>2061</v>
      </c>
    </row>
    <row r="2450">
      <c r="A2450" s="55">
        <f t="shared" si="2"/>
        <v>2449</v>
      </c>
      <c r="B2450" s="56" t="s">
        <v>2062</v>
      </c>
      <c r="C2450" s="55" t="s">
        <v>30</v>
      </c>
      <c r="D2450" s="55">
        <v>1176.0</v>
      </c>
      <c r="E2450" s="57" t="s">
        <v>2017</v>
      </c>
      <c r="F2450" s="2" t="s">
        <v>2061</v>
      </c>
    </row>
    <row r="2451">
      <c r="A2451" s="55">
        <f t="shared" si="2"/>
        <v>2450</v>
      </c>
      <c r="B2451" s="56" t="s">
        <v>2062</v>
      </c>
      <c r="C2451" s="55" t="s">
        <v>36</v>
      </c>
      <c r="D2451" s="55">
        <v>1216.0</v>
      </c>
      <c r="E2451" s="57" t="s">
        <v>2017</v>
      </c>
      <c r="F2451" s="2" t="s">
        <v>2061</v>
      </c>
    </row>
    <row r="2452">
      <c r="A2452" s="55">
        <f t="shared" si="2"/>
        <v>2451</v>
      </c>
      <c r="B2452" s="56" t="s">
        <v>2062</v>
      </c>
      <c r="C2452" s="55" t="s">
        <v>31</v>
      </c>
      <c r="D2452" s="55">
        <v>1378.0</v>
      </c>
      <c r="E2452" s="57" t="s">
        <v>2017</v>
      </c>
      <c r="F2452" s="2" t="s">
        <v>2061</v>
      </c>
    </row>
    <row r="2453">
      <c r="A2453" s="55">
        <f t="shared" si="2"/>
        <v>2452</v>
      </c>
      <c r="B2453" s="56" t="s">
        <v>2062</v>
      </c>
      <c r="C2453" s="55" t="s">
        <v>27</v>
      </c>
      <c r="D2453" s="55">
        <v>1474.0</v>
      </c>
      <c r="E2453" s="57" t="s">
        <v>2017</v>
      </c>
      <c r="F2453" s="2" t="s">
        <v>2061</v>
      </c>
    </row>
    <row r="2454">
      <c r="A2454" s="55">
        <f t="shared" si="2"/>
        <v>2453</v>
      </c>
      <c r="B2454" s="56" t="s">
        <v>2066</v>
      </c>
      <c r="C2454" s="55" t="s">
        <v>26</v>
      </c>
      <c r="D2454" s="55">
        <v>1322.0</v>
      </c>
      <c r="E2454" s="57" t="s">
        <v>2017</v>
      </c>
      <c r="F2454" s="2" t="s">
        <v>2065</v>
      </c>
    </row>
    <row r="2455">
      <c r="A2455" s="55">
        <f t="shared" si="2"/>
        <v>2454</v>
      </c>
      <c r="B2455" s="56" t="s">
        <v>2066</v>
      </c>
      <c r="C2455" s="55" t="s">
        <v>36</v>
      </c>
      <c r="D2455" s="55">
        <v>1195.0</v>
      </c>
      <c r="E2455" s="57" t="s">
        <v>2017</v>
      </c>
      <c r="F2455" s="2" t="s">
        <v>2065</v>
      </c>
    </row>
    <row r="2456">
      <c r="A2456" s="55">
        <f t="shared" si="2"/>
        <v>2455</v>
      </c>
      <c r="B2456" s="56" t="s">
        <v>2066</v>
      </c>
      <c r="C2456" s="55" t="s">
        <v>31</v>
      </c>
      <c r="D2456" s="55">
        <v>1359.0</v>
      </c>
      <c r="E2456" s="57" t="s">
        <v>2017</v>
      </c>
      <c r="F2456" s="2" t="s">
        <v>2065</v>
      </c>
    </row>
    <row r="2457">
      <c r="A2457" s="55">
        <f t="shared" si="2"/>
        <v>2456</v>
      </c>
      <c r="B2457" s="56" t="s">
        <v>2066</v>
      </c>
      <c r="C2457" s="55" t="s">
        <v>34</v>
      </c>
      <c r="D2457" s="55">
        <v>1202.0</v>
      </c>
      <c r="E2457" s="57" t="s">
        <v>2017</v>
      </c>
      <c r="F2457" s="2" t="s">
        <v>2065</v>
      </c>
    </row>
    <row r="2458">
      <c r="A2458" s="55">
        <f t="shared" si="2"/>
        <v>2457</v>
      </c>
      <c r="B2458" s="56" t="s">
        <v>2066</v>
      </c>
      <c r="C2458" s="55" t="s">
        <v>24</v>
      </c>
      <c r="D2458" s="55">
        <v>1521.0</v>
      </c>
      <c r="E2458" s="57" t="s">
        <v>2017</v>
      </c>
      <c r="F2458" s="2" t="s">
        <v>2065</v>
      </c>
    </row>
    <row r="2459">
      <c r="A2459" s="55">
        <f t="shared" si="2"/>
        <v>2458</v>
      </c>
      <c r="B2459" s="56" t="s">
        <v>2066</v>
      </c>
      <c r="C2459" s="55" t="s">
        <v>30</v>
      </c>
      <c r="D2459" s="55">
        <v>1149.0</v>
      </c>
      <c r="E2459" s="57" t="s">
        <v>2017</v>
      </c>
      <c r="F2459" s="2" t="s">
        <v>2065</v>
      </c>
    </row>
    <row r="2460">
      <c r="A2460" s="55">
        <f t="shared" si="2"/>
        <v>2459</v>
      </c>
      <c r="B2460" s="56" t="s">
        <v>2066</v>
      </c>
      <c r="C2460" s="55" t="s">
        <v>27</v>
      </c>
      <c r="D2460" s="55">
        <v>1461.0</v>
      </c>
      <c r="E2460" s="57" t="s">
        <v>2017</v>
      </c>
      <c r="F2460" s="2" t="s">
        <v>2065</v>
      </c>
    </row>
    <row r="2461">
      <c r="A2461" s="55">
        <f t="shared" si="2"/>
        <v>2460</v>
      </c>
      <c r="B2461" s="56" t="s">
        <v>2071</v>
      </c>
      <c r="C2461" s="55" t="s">
        <v>31</v>
      </c>
      <c r="D2461" s="55">
        <v>1374.0</v>
      </c>
      <c r="E2461" s="57" t="s">
        <v>2017</v>
      </c>
      <c r="F2461" s="2" t="s">
        <v>2070</v>
      </c>
    </row>
    <row r="2462">
      <c r="A2462" s="55">
        <f t="shared" si="2"/>
        <v>2461</v>
      </c>
      <c r="B2462" s="56" t="s">
        <v>2071</v>
      </c>
      <c r="C2462" s="55" t="s">
        <v>27</v>
      </c>
      <c r="D2462" s="55">
        <v>1446.0</v>
      </c>
      <c r="E2462" s="57" t="s">
        <v>2017</v>
      </c>
      <c r="F2462" s="2" t="s">
        <v>2070</v>
      </c>
    </row>
    <row r="2463">
      <c r="A2463" s="55">
        <f t="shared" si="2"/>
        <v>2462</v>
      </c>
      <c r="B2463" s="56" t="s">
        <v>2071</v>
      </c>
      <c r="C2463" s="55" t="s">
        <v>26</v>
      </c>
      <c r="D2463" s="55">
        <v>1337.0</v>
      </c>
      <c r="E2463" s="57" t="s">
        <v>2017</v>
      </c>
      <c r="F2463" s="2" t="s">
        <v>2070</v>
      </c>
    </row>
    <row r="2464">
      <c r="A2464" s="55">
        <f t="shared" si="2"/>
        <v>2463</v>
      </c>
      <c r="B2464" s="56" t="s">
        <v>2071</v>
      </c>
      <c r="C2464" s="55" t="s">
        <v>36</v>
      </c>
      <c r="D2464" s="55">
        <v>1208.0</v>
      </c>
      <c r="E2464" s="57" t="s">
        <v>2017</v>
      </c>
      <c r="F2464" s="2" t="s">
        <v>2070</v>
      </c>
    </row>
    <row r="2465">
      <c r="A2465" s="55">
        <f t="shared" si="2"/>
        <v>2464</v>
      </c>
      <c r="B2465" s="56" t="s">
        <v>2071</v>
      </c>
      <c r="C2465" s="55" t="s">
        <v>34</v>
      </c>
      <c r="D2465" s="55">
        <v>1216.0</v>
      </c>
      <c r="E2465" s="57" t="s">
        <v>2017</v>
      </c>
      <c r="F2465" s="2" t="s">
        <v>2070</v>
      </c>
    </row>
    <row r="2466">
      <c r="A2466" s="55">
        <f t="shared" si="2"/>
        <v>2465</v>
      </c>
      <c r="B2466" s="56" t="s">
        <v>2071</v>
      </c>
      <c r="C2466" s="55" t="s">
        <v>24</v>
      </c>
      <c r="D2466" s="55">
        <v>1505.0</v>
      </c>
      <c r="E2466" s="57" t="s">
        <v>2017</v>
      </c>
      <c r="F2466" s="2" t="s">
        <v>2070</v>
      </c>
    </row>
    <row r="2467">
      <c r="A2467" s="55">
        <f t="shared" si="2"/>
        <v>2466</v>
      </c>
      <c r="B2467" s="56" t="s">
        <v>2071</v>
      </c>
      <c r="C2467" s="55" t="s">
        <v>30</v>
      </c>
      <c r="D2467" s="55">
        <v>1118.0</v>
      </c>
      <c r="E2467" s="57" t="s">
        <v>2017</v>
      </c>
      <c r="F2467" s="2" t="s">
        <v>2070</v>
      </c>
    </row>
    <row r="2468">
      <c r="A2468" s="55">
        <f t="shared" si="2"/>
        <v>2467</v>
      </c>
      <c r="B2468" s="56" t="s">
        <v>2075</v>
      </c>
      <c r="C2468" s="55" t="s">
        <v>36</v>
      </c>
      <c r="D2468" s="55">
        <v>1183.0</v>
      </c>
      <c r="E2468" s="57" t="s">
        <v>2017</v>
      </c>
      <c r="F2468" s="2" t="s">
        <v>2074</v>
      </c>
    </row>
    <row r="2469">
      <c r="A2469" s="55">
        <f t="shared" si="2"/>
        <v>2468</v>
      </c>
      <c r="B2469" s="56" t="s">
        <v>2075</v>
      </c>
      <c r="C2469" s="55" t="s">
        <v>30</v>
      </c>
      <c r="D2469" s="55">
        <v>1085.0</v>
      </c>
      <c r="E2469" s="57" t="s">
        <v>2017</v>
      </c>
      <c r="F2469" s="2" t="s">
        <v>2074</v>
      </c>
    </row>
    <row r="2470">
      <c r="A2470" s="55">
        <f t="shared" si="2"/>
        <v>2469</v>
      </c>
      <c r="B2470" s="56" t="s">
        <v>2075</v>
      </c>
      <c r="C2470" s="55" t="s">
        <v>31</v>
      </c>
      <c r="D2470" s="55">
        <v>1386.0</v>
      </c>
      <c r="E2470" s="57" t="s">
        <v>2017</v>
      </c>
      <c r="F2470" s="2" t="s">
        <v>2074</v>
      </c>
    </row>
    <row r="2471">
      <c r="A2471" s="55">
        <f t="shared" si="2"/>
        <v>2470</v>
      </c>
      <c r="B2471" s="56" t="s">
        <v>2075</v>
      </c>
      <c r="C2471" s="55" t="s">
        <v>24</v>
      </c>
      <c r="D2471" s="55">
        <v>1487.0</v>
      </c>
      <c r="E2471" s="57" t="s">
        <v>2017</v>
      </c>
      <c r="F2471" s="2" t="s">
        <v>2074</v>
      </c>
    </row>
    <row r="2472">
      <c r="A2472" s="55">
        <f t="shared" si="2"/>
        <v>2471</v>
      </c>
      <c r="B2472" s="56" t="s">
        <v>2075</v>
      </c>
      <c r="C2472" s="55" t="s">
        <v>26</v>
      </c>
      <c r="D2472" s="55">
        <v>1349.0</v>
      </c>
      <c r="E2472" s="57" t="s">
        <v>2017</v>
      </c>
      <c r="F2472" s="2" t="s">
        <v>2074</v>
      </c>
    </row>
    <row r="2473">
      <c r="A2473" s="55">
        <f t="shared" si="2"/>
        <v>2472</v>
      </c>
      <c r="B2473" s="56" t="s">
        <v>2075</v>
      </c>
      <c r="C2473" s="55" t="s">
        <v>27</v>
      </c>
      <c r="D2473" s="55">
        <v>1459.0</v>
      </c>
      <c r="E2473" s="57" t="s">
        <v>2017</v>
      </c>
      <c r="F2473" s="2" t="s">
        <v>2074</v>
      </c>
    </row>
    <row r="2474">
      <c r="A2474" s="55">
        <f t="shared" si="2"/>
        <v>2473</v>
      </c>
      <c r="B2474" s="56" t="s">
        <v>2075</v>
      </c>
      <c r="C2474" s="55" t="s">
        <v>34</v>
      </c>
      <c r="D2474" s="55">
        <v>1191.0</v>
      </c>
      <c r="E2474" s="57" t="s">
        <v>2017</v>
      </c>
      <c r="F2474" s="2" t="s">
        <v>2074</v>
      </c>
    </row>
    <row r="2475">
      <c r="A2475" s="55">
        <f t="shared" si="2"/>
        <v>2474</v>
      </c>
      <c r="B2475" s="56" t="s">
        <v>2079</v>
      </c>
      <c r="C2475" s="55" t="s">
        <v>26</v>
      </c>
      <c r="D2475" s="55">
        <v>1330.0</v>
      </c>
      <c r="E2475" s="57" t="s">
        <v>2017</v>
      </c>
      <c r="F2475" s="2" t="s">
        <v>2078</v>
      </c>
    </row>
    <row r="2476">
      <c r="A2476" s="55">
        <f t="shared" si="2"/>
        <v>2475</v>
      </c>
      <c r="B2476" s="56" t="s">
        <v>2079</v>
      </c>
      <c r="C2476" s="55" t="s">
        <v>34</v>
      </c>
      <c r="D2476" s="55">
        <v>1170.0</v>
      </c>
      <c r="E2476" s="57" t="s">
        <v>2017</v>
      </c>
      <c r="F2476" s="2" t="s">
        <v>2078</v>
      </c>
    </row>
    <row r="2477">
      <c r="A2477" s="55">
        <f t="shared" si="2"/>
        <v>2476</v>
      </c>
      <c r="B2477" s="56" t="s">
        <v>2079</v>
      </c>
      <c r="C2477" s="55" t="s">
        <v>40</v>
      </c>
      <c r="D2477" s="55">
        <v>1234.0</v>
      </c>
      <c r="E2477" s="57" t="s">
        <v>2017</v>
      </c>
      <c r="F2477" s="2" t="s">
        <v>2078</v>
      </c>
    </row>
    <row r="2478">
      <c r="A2478" s="55">
        <f t="shared" si="2"/>
        <v>2477</v>
      </c>
      <c r="B2478" s="56" t="s">
        <v>2079</v>
      </c>
      <c r="C2478" s="55" t="s">
        <v>30</v>
      </c>
      <c r="D2478" s="55">
        <v>1098.0</v>
      </c>
      <c r="E2478" s="57" t="s">
        <v>2017</v>
      </c>
      <c r="F2478" s="2" t="s">
        <v>2078</v>
      </c>
    </row>
    <row r="2479">
      <c r="A2479" s="55">
        <f t="shared" si="2"/>
        <v>2478</v>
      </c>
      <c r="B2479" s="56" t="s">
        <v>2079</v>
      </c>
      <c r="C2479" s="55" t="s">
        <v>27</v>
      </c>
      <c r="D2479" s="55">
        <v>1446.0</v>
      </c>
      <c r="E2479" s="57" t="s">
        <v>2017</v>
      </c>
      <c r="F2479" s="2" t="s">
        <v>2078</v>
      </c>
    </row>
    <row r="2480">
      <c r="A2480" s="55">
        <f t="shared" si="2"/>
        <v>2479</v>
      </c>
      <c r="B2480" s="56" t="s">
        <v>2079</v>
      </c>
      <c r="C2480" s="55" t="s">
        <v>24</v>
      </c>
      <c r="D2480" s="55">
        <v>1473.0</v>
      </c>
      <c r="E2480" s="57" t="s">
        <v>2017</v>
      </c>
      <c r="F2480" s="2" t="s">
        <v>2078</v>
      </c>
    </row>
    <row r="2481">
      <c r="A2481" s="55">
        <f t="shared" si="2"/>
        <v>2480</v>
      </c>
      <c r="B2481" s="56" t="s">
        <v>2079</v>
      </c>
      <c r="C2481" s="55" t="s">
        <v>36</v>
      </c>
      <c r="D2481" s="55">
        <v>1197.0</v>
      </c>
      <c r="E2481" s="57" t="s">
        <v>2017</v>
      </c>
      <c r="F2481" s="2" t="s">
        <v>2078</v>
      </c>
    </row>
    <row r="2482">
      <c r="A2482" s="55">
        <f t="shared" si="2"/>
        <v>2481</v>
      </c>
      <c r="B2482" s="56" t="s">
        <v>2091</v>
      </c>
      <c r="C2482" s="55" t="s">
        <v>30</v>
      </c>
      <c r="D2482" s="55">
        <v>1086.0</v>
      </c>
      <c r="E2482" s="57" t="s">
        <v>2017</v>
      </c>
      <c r="F2482" s="2" t="s">
        <v>2090</v>
      </c>
    </row>
    <row r="2483">
      <c r="A2483" s="55">
        <f t="shared" si="2"/>
        <v>2482</v>
      </c>
      <c r="B2483" s="56" t="s">
        <v>2091</v>
      </c>
      <c r="C2483" s="55" t="s">
        <v>31</v>
      </c>
      <c r="D2483" s="55">
        <v>1368.0</v>
      </c>
      <c r="E2483" s="57" t="s">
        <v>2017</v>
      </c>
      <c r="F2483" s="2" t="s">
        <v>2090</v>
      </c>
    </row>
    <row r="2484">
      <c r="A2484" s="55">
        <f t="shared" si="2"/>
        <v>2483</v>
      </c>
      <c r="B2484" s="56" t="s">
        <v>2091</v>
      </c>
      <c r="C2484" s="55" t="s">
        <v>29</v>
      </c>
      <c r="D2484" s="55">
        <v>1382.0</v>
      </c>
      <c r="E2484" s="57" t="s">
        <v>2017</v>
      </c>
      <c r="F2484" s="2" t="s">
        <v>2090</v>
      </c>
    </row>
    <row r="2485">
      <c r="A2485" s="55">
        <f t="shared" si="2"/>
        <v>2484</v>
      </c>
      <c r="B2485" s="56" t="s">
        <v>2091</v>
      </c>
      <c r="C2485" s="55" t="s">
        <v>34</v>
      </c>
      <c r="D2485" s="55">
        <v>1144.0</v>
      </c>
      <c r="E2485" s="57" t="s">
        <v>2017</v>
      </c>
      <c r="F2485" s="2" t="s">
        <v>2090</v>
      </c>
    </row>
    <row r="2486">
      <c r="A2486" s="55">
        <f t="shared" si="2"/>
        <v>2485</v>
      </c>
      <c r="B2486" s="56" t="s">
        <v>2091</v>
      </c>
      <c r="C2486" s="55" t="s">
        <v>36</v>
      </c>
      <c r="D2486" s="55">
        <v>1195.0</v>
      </c>
      <c r="E2486" s="57" t="s">
        <v>2017</v>
      </c>
      <c r="F2486" s="2" t="s">
        <v>2090</v>
      </c>
    </row>
    <row r="2487">
      <c r="A2487" s="55">
        <f t="shared" si="2"/>
        <v>2486</v>
      </c>
      <c r="B2487" s="56" t="s">
        <v>2091</v>
      </c>
      <c r="C2487" s="55" t="s">
        <v>27</v>
      </c>
      <c r="D2487" s="55">
        <v>1405.0</v>
      </c>
      <c r="E2487" s="57" t="s">
        <v>2017</v>
      </c>
      <c r="F2487" s="2" t="s">
        <v>2090</v>
      </c>
    </row>
    <row r="2488">
      <c r="A2488" s="55">
        <f t="shared" si="2"/>
        <v>2487</v>
      </c>
      <c r="B2488" s="56" t="s">
        <v>2091</v>
      </c>
      <c r="C2488" s="55" t="s">
        <v>42</v>
      </c>
      <c r="D2488" s="55">
        <v>1353.0</v>
      </c>
      <c r="E2488" s="57" t="s">
        <v>2017</v>
      </c>
      <c r="F2488" s="2" t="s">
        <v>2090</v>
      </c>
    </row>
    <row r="2489">
      <c r="A2489" s="55">
        <f t="shared" si="2"/>
        <v>2488</v>
      </c>
      <c r="B2489" s="56" t="s">
        <v>2091</v>
      </c>
      <c r="C2489" s="55" t="s">
        <v>26</v>
      </c>
      <c r="D2489" s="55">
        <v>1373.0</v>
      </c>
      <c r="E2489" s="57" t="s">
        <v>2017</v>
      </c>
      <c r="F2489" s="2" t="s">
        <v>2090</v>
      </c>
    </row>
    <row r="2490">
      <c r="A2490" s="55">
        <f t="shared" si="2"/>
        <v>2489</v>
      </c>
      <c r="B2490" s="56" t="s">
        <v>2096</v>
      </c>
      <c r="C2490" s="55" t="s">
        <v>26</v>
      </c>
      <c r="D2490" s="55">
        <v>1352.0</v>
      </c>
      <c r="E2490" s="57" t="s">
        <v>2017</v>
      </c>
      <c r="F2490" s="2" t="s">
        <v>2095</v>
      </c>
    </row>
    <row r="2491">
      <c r="A2491" s="55">
        <f t="shared" si="2"/>
        <v>2490</v>
      </c>
      <c r="B2491" s="56" t="s">
        <v>2096</v>
      </c>
      <c r="C2491" s="55" t="s">
        <v>30</v>
      </c>
      <c r="D2491" s="55">
        <v>1097.0</v>
      </c>
      <c r="E2491" s="57" t="s">
        <v>2017</v>
      </c>
      <c r="F2491" s="2" t="s">
        <v>2095</v>
      </c>
    </row>
    <row r="2492">
      <c r="A2492" s="55">
        <f t="shared" si="2"/>
        <v>2491</v>
      </c>
      <c r="B2492" s="56" t="s">
        <v>2096</v>
      </c>
      <c r="C2492" s="55" t="s">
        <v>31</v>
      </c>
      <c r="D2492" s="55">
        <v>1381.0</v>
      </c>
      <c r="E2492" s="57" t="s">
        <v>2017</v>
      </c>
      <c r="F2492" s="2" t="s">
        <v>2095</v>
      </c>
    </row>
    <row r="2493">
      <c r="A2493" s="55">
        <f t="shared" si="2"/>
        <v>2492</v>
      </c>
      <c r="B2493" s="56" t="s">
        <v>2096</v>
      </c>
      <c r="C2493" s="55" t="s">
        <v>36</v>
      </c>
      <c r="D2493" s="55">
        <v>1172.0</v>
      </c>
      <c r="E2493" s="57" t="s">
        <v>2017</v>
      </c>
      <c r="F2493" s="2" t="s">
        <v>2095</v>
      </c>
    </row>
    <row r="2494">
      <c r="A2494" s="55">
        <f t="shared" si="2"/>
        <v>2493</v>
      </c>
      <c r="B2494" s="56" t="s">
        <v>2096</v>
      </c>
      <c r="C2494" s="55" t="s">
        <v>29</v>
      </c>
      <c r="D2494" s="55">
        <v>1395.0</v>
      </c>
      <c r="E2494" s="57" t="s">
        <v>2017</v>
      </c>
      <c r="F2494" s="2" t="s">
        <v>2095</v>
      </c>
    </row>
    <row r="2495">
      <c r="A2495" s="55">
        <f t="shared" si="2"/>
        <v>2494</v>
      </c>
      <c r="B2495" s="56" t="s">
        <v>2096</v>
      </c>
      <c r="C2495" s="55" t="s">
        <v>34</v>
      </c>
      <c r="D2495" s="55">
        <v>1155.0</v>
      </c>
      <c r="E2495" s="57" t="s">
        <v>2017</v>
      </c>
      <c r="F2495" s="2" t="s">
        <v>2095</v>
      </c>
    </row>
    <row r="2496">
      <c r="A2496" s="55">
        <f t="shared" si="2"/>
        <v>2495</v>
      </c>
      <c r="B2496" s="56" t="s">
        <v>2096</v>
      </c>
      <c r="C2496" s="55" t="s">
        <v>27</v>
      </c>
      <c r="D2496" s="55">
        <v>1389.0</v>
      </c>
      <c r="E2496" s="57" t="s">
        <v>2017</v>
      </c>
      <c r="F2496" s="2" t="s">
        <v>2095</v>
      </c>
    </row>
    <row r="2497">
      <c r="A2497" s="55">
        <f t="shared" si="2"/>
        <v>2496</v>
      </c>
      <c r="B2497" s="56" t="s">
        <v>2096</v>
      </c>
      <c r="C2497" s="55" t="s">
        <v>42</v>
      </c>
      <c r="D2497" s="55">
        <v>1335.0</v>
      </c>
      <c r="E2497" s="57" t="s">
        <v>2017</v>
      </c>
      <c r="F2497" s="2" t="s">
        <v>2095</v>
      </c>
    </row>
    <row r="2498">
      <c r="A2498" s="55">
        <f t="shared" si="2"/>
        <v>2497</v>
      </c>
      <c r="B2498" s="56" t="s">
        <v>2100</v>
      </c>
      <c r="C2498" s="55" t="s">
        <v>24</v>
      </c>
      <c r="D2498" s="55">
        <v>1457.0</v>
      </c>
      <c r="E2498" s="57" t="s">
        <v>2017</v>
      </c>
      <c r="F2498" s="2" t="s">
        <v>2099</v>
      </c>
    </row>
    <row r="2499">
      <c r="A2499" s="55">
        <f t="shared" si="2"/>
        <v>2498</v>
      </c>
      <c r="B2499" s="56" t="s">
        <v>2100</v>
      </c>
      <c r="C2499" s="55" t="s">
        <v>34</v>
      </c>
      <c r="D2499" s="55">
        <v>1130.0</v>
      </c>
      <c r="E2499" s="57" t="s">
        <v>2017</v>
      </c>
      <c r="F2499" s="2" t="s">
        <v>2099</v>
      </c>
    </row>
    <row r="2500">
      <c r="A2500" s="55">
        <f t="shared" si="2"/>
        <v>2499</v>
      </c>
      <c r="B2500" s="56" t="s">
        <v>2100</v>
      </c>
      <c r="C2500" s="55" t="s">
        <v>26</v>
      </c>
      <c r="D2500" s="55">
        <v>1363.0</v>
      </c>
      <c r="E2500" s="57" t="s">
        <v>2017</v>
      </c>
      <c r="F2500" s="2" t="s">
        <v>2099</v>
      </c>
    </row>
    <row r="2501">
      <c r="A2501" s="55">
        <f t="shared" si="2"/>
        <v>2500</v>
      </c>
      <c r="B2501" s="56" t="s">
        <v>2100</v>
      </c>
      <c r="C2501" s="55" t="s">
        <v>27</v>
      </c>
      <c r="D2501" s="55">
        <v>1372.0</v>
      </c>
      <c r="E2501" s="57" t="s">
        <v>2017</v>
      </c>
      <c r="F2501" s="2" t="s">
        <v>2099</v>
      </c>
    </row>
    <row r="2502">
      <c r="A2502" s="55">
        <f t="shared" si="2"/>
        <v>2501</v>
      </c>
      <c r="B2502" s="56" t="s">
        <v>2100</v>
      </c>
      <c r="C2502" s="55" t="s">
        <v>36</v>
      </c>
      <c r="D2502" s="55">
        <v>1182.0</v>
      </c>
      <c r="E2502" s="57" t="s">
        <v>2017</v>
      </c>
      <c r="F2502" s="2" t="s">
        <v>2099</v>
      </c>
    </row>
    <row r="2503">
      <c r="A2503" s="55">
        <f t="shared" si="2"/>
        <v>2502</v>
      </c>
      <c r="B2503" s="56" t="s">
        <v>2100</v>
      </c>
      <c r="C2503" s="55" t="s">
        <v>31</v>
      </c>
      <c r="D2503" s="55">
        <v>1393.0</v>
      </c>
      <c r="E2503" s="57" t="s">
        <v>2017</v>
      </c>
      <c r="F2503" s="2" t="s">
        <v>2099</v>
      </c>
    </row>
    <row r="2504">
      <c r="A2504" s="55">
        <f t="shared" si="2"/>
        <v>2503</v>
      </c>
      <c r="B2504" s="56" t="s">
        <v>2105</v>
      </c>
      <c r="C2504" s="55" t="s">
        <v>36</v>
      </c>
      <c r="D2504" s="55">
        <v>1156.0</v>
      </c>
      <c r="E2504" s="57" t="s">
        <v>2017</v>
      </c>
      <c r="F2504" s="2" t="s">
        <v>2104</v>
      </c>
    </row>
    <row r="2505">
      <c r="A2505" s="55">
        <f t="shared" si="2"/>
        <v>2504</v>
      </c>
      <c r="B2505" s="56" t="s">
        <v>2105</v>
      </c>
      <c r="C2505" s="55" t="s">
        <v>31</v>
      </c>
      <c r="D2505" s="55">
        <v>1370.0</v>
      </c>
      <c r="E2505" s="57" t="s">
        <v>2017</v>
      </c>
      <c r="F2505" s="2" t="s">
        <v>2104</v>
      </c>
    </row>
    <row r="2506">
      <c r="A2506" s="55">
        <f t="shared" si="2"/>
        <v>2505</v>
      </c>
      <c r="B2506" s="56" t="s">
        <v>2105</v>
      </c>
      <c r="C2506" s="55" t="s">
        <v>34</v>
      </c>
      <c r="D2506" s="55">
        <v>1140.0</v>
      </c>
      <c r="E2506" s="57" t="s">
        <v>2017</v>
      </c>
      <c r="F2506" s="2" t="s">
        <v>2104</v>
      </c>
    </row>
    <row r="2507">
      <c r="A2507" s="55">
        <f t="shared" si="2"/>
        <v>2506</v>
      </c>
      <c r="B2507" s="56" t="s">
        <v>2105</v>
      </c>
      <c r="C2507" s="55" t="s">
        <v>40</v>
      </c>
      <c r="D2507" s="55">
        <v>1252.0</v>
      </c>
      <c r="E2507" s="57" t="s">
        <v>2017</v>
      </c>
      <c r="F2507" s="2" t="s">
        <v>2104</v>
      </c>
    </row>
    <row r="2508">
      <c r="A2508" s="55">
        <f t="shared" si="2"/>
        <v>2507</v>
      </c>
      <c r="B2508" s="56" t="s">
        <v>2105</v>
      </c>
      <c r="C2508" s="55" t="s">
        <v>30</v>
      </c>
      <c r="D2508" s="55">
        <v>1106.0</v>
      </c>
      <c r="E2508" s="57" t="s">
        <v>2017</v>
      </c>
      <c r="F2508" s="2" t="s">
        <v>2104</v>
      </c>
    </row>
    <row r="2509">
      <c r="A2509" s="55">
        <f t="shared" si="2"/>
        <v>2508</v>
      </c>
      <c r="B2509" s="56" t="s">
        <v>2105</v>
      </c>
      <c r="C2509" s="55" t="s">
        <v>24</v>
      </c>
      <c r="D2509" s="55">
        <v>1470.0</v>
      </c>
      <c r="E2509" s="57" t="s">
        <v>2017</v>
      </c>
      <c r="F2509" s="2" t="s">
        <v>2104</v>
      </c>
    </row>
    <row r="2510">
      <c r="A2510" s="55">
        <f t="shared" si="2"/>
        <v>2509</v>
      </c>
      <c r="B2510" s="56" t="s">
        <v>2110</v>
      </c>
      <c r="C2510" s="55" t="s">
        <v>30</v>
      </c>
      <c r="D2510" s="55">
        <v>1081.0</v>
      </c>
      <c r="E2510" s="57" t="s">
        <v>2017</v>
      </c>
      <c r="F2510" s="2" t="s">
        <v>2109</v>
      </c>
    </row>
    <row r="2511">
      <c r="A2511" s="55">
        <f t="shared" si="2"/>
        <v>2510</v>
      </c>
      <c r="B2511" s="56" t="s">
        <v>2110</v>
      </c>
      <c r="C2511" s="55" t="s">
        <v>34</v>
      </c>
      <c r="D2511" s="55">
        <v>1152.0</v>
      </c>
      <c r="E2511" s="57" t="s">
        <v>2017</v>
      </c>
      <c r="F2511" s="2" t="s">
        <v>2109</v>
      </c>
    </row>
    <row r="2512">
      <c r="A2512" s="55">
        <f t="shared" si="2"/>
        <v>2511</v>
      </c>
      <c r="B2512" s="56" t="s">
        <v>2110</v>
      </c>
      <c r="C2512" s="55" t="s">
        <v>36</v>
      </c>
      <c r="D2512" s="55">
        <v>1168.0</v>
      </c>
      <c r="E2512" s="57" t="s">
        <v>2017</v>
      </c>
      <c r="F2512" s="2" t="s">
        <v>2109</v>
      </c>
    </row>
    <row r="2513">
      <c r="A2513" s="55">
        <f t="shared" si="2"/>
        <v>2512</v>
      </c>
      <c r="B2513" s="56" t="s">
        <v>2110</v>
      </c>
      <c r="C2513" s="55" t="s">
        <v>24</v>
      </c>
      <c r="D2513" s="55">
        <v>1455.0</v>
      </c>
      <c r="E2513" s="57" t="s">
        <v>2017</v>
      </c>
      <c r="F2513" s="2" t="s">
        <v>2109</v>
      </c>
    </row>
    <row r="2514">
      <c r="A2514" s="55">
        <f t="shared" si="2"/>
        <v>2513</v>
      </c>
      <c r="B2514" s="56" t="s">
        <v>2110</v>
      </c>
      <c r="C2514" s="55" t="s">
        <v>40</v>
      </c>
      <c r="D2514" s="55">
        <v>1232.0</v>
      </c>
      <c r="E2514" s="57" t="s">
        <v>2017</v>
      </c>
      <c r="F2514" s="2" t="s">
        <v>2109</v>
      </c>
    </row>
    <row r="2515">
      <c r="A2515" s="55">
        <f t="shared" si="2"/>
        <v>2514</v>
      </c>
      <c r="B2515" s="56" t="s">
        <v>2110</v>
      </c>
      <c r="C2515" s="55" t="s">
        <v>31</v>
      </c>
      <c r="D2515" s="55">
        <v>1384.0</v>
      </c>
      <c r="E2515" s="57" t="s">
        <v>2017</v>
      </c>
      <c r="F2515" s="2" t="s">
        <v>2109</v>
      </c>
    </row>
    <row r="2516">
      <c r="A2516" s="55">
        <f t="shared" si="2"/>
        <v>2515</v>
      </c>
      <c r="B2516" s="56" t="s">
        <v>2114</v>
      </c>
      <c r="C2516" s="55" t="s">
        <v>40</v>
      </c>
      <c r="D2516" s="55">
        <v>1214.0</v>
      </c>
      <c r="E2516" s="57" t="s">
        <v>2017</v>
      </c>
      <c r="F2516" s="2" t="s">
        <v>2113</v>
      </c>
    </row>
    <row r="2517">
      <c r="A2517" s="55">
        <f t="shared" si="2"/>
        <v>2516</v>
      </c>
      <c r="B2517" s="56" t="s">
        <v>2114</v>
      </c>
      <c r="C2517" s="55" t="s">
        <v>36</v>
      </c>
      <c r="D2517" s="55">
        <v>1185.0</v>
      </c>
      <c r="E2517" s="57" t="s">
        <v>2017</v>
      </c>
      <c r="F2517" s="2" t="s">
        <v>2113</v>
      </c>
    </row>
    <row r="2518">
      <c r="A2518" s="55">
        <f t="shared" si="2"/>
        <v>2517</v>
      </c>
      <c r="B2518" s="56" t="s">
        <v>2114</v>
      </c>
      <c r="C2518" s="55" t="s">
        <v>31</v>
      </c>
      <c r="D2518" s="55">
        <v>1368.0</v>
      </c>
      <c r="E2518" s="57" t="s">
        <v>2017</v>
      </c>
      <c r="F2518" s="2" t="s">
        <v>2113</v>
      </c>
    </row>
    <row r="2519">
      <c r="A2519" s="55">
        <f t="shared" si="2"/>
        <v>2518</v>
      </c>
      <c r="B2519" s="56" t="s">
        <v>2114</v>
      </c>
      <c r="C2519" s="55" t="s">
        <v>34</v>
      </c>
      <c r="D2519" s="55">
        <v>1168.0</v>
      </c>
      <c r="E2519" s="57" t="s">
        <v>2017</v>
      </c>
      <c r="F2519" s="2" t="s">
        <v>2113</v>
      </c>
    </row>
    <row r="2520">
      <c r="A2520" s="55">
        <f t="shared" si="2"/>
        <v>2519</v>
      </c>
      <c r="B2520" s="56" t="s">
        <v>2114</v>
      </c>
      <c r="C2520" s="55" t="s">
        <v>30</v>
      </c>
      <c r="D2520" s="55">
        <v>1096.0</v>
      </c>
      <c r="E2520" s="57" t="s">
        <v>2017</v>
      </c>
      <c r="F2520" s="2" t="s">
        <v>2113</v>
      </c>
    </row>
    <row r="2521">
      <c r="A2521" s="55">
        <f t="shared" si="2"/>
        <v>2520</v>
      </c>
      <c r="B2521" s="56" t="s">
        <v>2114</v>
      </c>
      <c r="C2521" s="55" t="s">
        <v>26</v>
      </c>
      <c r="D2521" s="55">
        <v>1375.0</v>
      </c>
      <c r="E2521" s="57" t="s">
        <v>2017</v>
      </c>
      <c r="F2521" s="2" t="s">
        <v>2113</v>
      </c>
    </row>
    <row r="2522">
      <c r="A2522" s="55">
        <f t="shared" si="2"/>
        <v>2521</v>
      </c>
      <c r="B2522" s="56" t="s">
        <v>2114</v>
      </c>
      <c r="C2522" s="55" t="s">
        <v>24</v>
      </c>
      <c r="D2522" s="55">
        <v>1442.0</v>
      </c>
      <c r="E2522" s="57" t="s">
        <v>2017</v>
      </c>
      <c r="F2522" s="2" t="s">
        <v>2113</v>
      </c>
    </row>
    <row r="2523">
      <c r="A2523" s="55">
        <f t="shared" si="2"/>
        <v>2522</v>
      </c>
      <c r="B2523" s="56" t="s">
        <v>2119</v>
      </c>
      <c r="C2523" s="55" t="s">
        <v>26</v>
      </c>
      <c r="D2523" s="55">
        <v>1354.0</v>
      </c>
      <c r="E2523" s="57" t="s">
        <v>2017</v>
      </c>
      <c r="F2523" s="2" t="s">
        <v>2118</v>
      </c>
    </row>
    <row r="2524">
      <c r="A2524" s="55">
        <f t="shared" si="2"/>
        <v>2523</v>
      </c>
      <c r="B2524" s="56" t="s">
        <v>2119</v>
      </c>
      <c r="C2524" s="55" t="s">
        <v>34</v>
      </c>
      <c r="D2524" s="55">
        <v>1185.0</v>
      </c>
      <c r="E2524" s="57" t="s">
        <v>2017</v>
      </c>
      <c r="F2524" s="2" t="s">
        <v>2118</v>
      </c>
    </row>
    <row r="2525">
      <c r="A2525" s="55">
        <f t="shared" si="2"/>
        <v>2524</v>
      </c>
      <c r="B2525" s="56" t="s">
        <v>2119</v>
      </c>
      <c r="C2525" s="55" t="s">
        <v>24</v>
      </c>
      <c r="D2525" s="55">
        <v>1424.0</v>
      </c>
      <c r="E2525" s="57" t="s">
        <v>2017</v>
      </c>
      <c r="F2525" s="2" t="s">
        <v>2118</v>
      </c>
    </row>
    <row r="2526">
      <c r="A2526" s="55">
        <f t="shared" si="2"/>
        <v>2525</v>
      </c>
      <c r="B2526" s="56" t="s">
        <v>2119</v>
      </c>
      <c r="C2526" s="55" t="s">
        <v>36</v>
      </c>
      <c r="D2526" s="55">
        <v>1203.0</v>
      </c>
      <c r="E2526" s="57" t="s">
        <v>2017</v>
      </c>
      <c r="F2526" s="2" t="s">
        <v>2118</v>
      </c>
    </row>
    <row r="2527">
      <c r="A2527" s="55">
        <f t="shared" si="2"/>
        <v>2526</v>
      </c>
      <c r="B2527" s="56" t="s">
        <v>2119</v>
      </c>
      <c r="C2527" s="55" t="s">
        <v>40</v>
      </c>
      <c r="D2527" s="55">
        <v>1232.0</v>
      </c>
      <c r="E2527" s="57" t="s">
        <v>2017</v>
      </c>
      <c r="F2527" s="2" t="s">
        <v>2118</v>
      </c>
    </row>
    <row r="2528">
      <c r="A2528" s="55">
        <f t="shared" si="2"/>
        <v>2527</v>
      </c>
      <c r="B2528" s="56" t="s">
        <v>2119</v>
      </c>
      <c r="C2528" s="55" t="s">
        <v>30</v>
      </c>
      <c r="D2528" s="55">
        <v>1070.0</v>
      </c>
      <c r="E2528" s="57" t="s">
        <v>2017</v>
      </c>
      <c r="F2528" s="2" t="s">
        <v>2118</v>
      </c>
    </row>
    <row r="2529">
      <c r="A2529" s="55">
        <f t="shared" si="2"/>
        <v>2528</v>
      </c>
      <c r="B2529" s="56" t="s">
        <v>2123</v>
      </c>
      <c r="C2529" s="55" t="s">
        <v>30</v>
      </c>
      <c r="D2529" s="55">
        <v>1040.0</v>
      </c>
      <c r="E2529" s="57" t="s">
        <v>2017</v>
      </c>
      <c r="F2529" s="2" t="s">
        <v>2122</v>
      </c>
    </row>
    <row r="2530">
      <c r="A2530" s="55">
        <f t="shared" si="2"/>
        <v>2529</v>
      </c>
      <c r="B2530" s="56" t="s">
        <v>2123</v>
      </c>
      <c r="C2530" s="55" t="s">
        <v>36</v>
      </c>
      <c r="D2530" s="55">
        <v>1177.0</v>
      </c>
      <c r="E2530" s="57" t="s">
        <v>2017</v>
      </c>
      <c r="F2530" s="2" t="s">
        <v>2122</v>
      </c>
    </row>
    <row r="2531">
      <c r="A2531" s="55">
        <f t="shared" si="2"/>
        <v>2530</v>
      </c>
      <c r="B2531" s="56" t="s">
        <v>2123</v>
      </c>
      <c r="C2531" s="55" t="s">
        <v>42</v>
      </c>
      <c r="D2531" s="55">
        <v>1316.0</v>
      </c>
      <c r="E2531" s="57" t="s">
        <v>2017</v>
      </c>
      <c r="F2531" s="2" t="s">
        <v>2122</v>
      </c>
    </row>
    <row r="2532">
      <c r="A2532" s="55">
        <f t="shared" si="2"/>
        <v>2531</v>
      </c>
      <c r="B2532" s="56" t="s">
        <v>2123</v>
      </c>
      <c r="C2532" s="55" t="s">
        <v>31</v>
      </c>
      <c r="D2532" s="55">
        <v>1388.0</v>
      </c>
      <c r="E2532" s="57" t="s">
        <v>2017</v>
      </c>
      <c r="F2532" s="2" t="s">
        <v>2122</v>
      </c>
    </row>
    <row r="2533">
      <c r="A2533" s="55">
        <f t="shared" si="2"/>
        <v>2532</v>
      </c>
      <c r="B2533" s="56" t="s">
        <v>2123</v>
      </c>
      <c r="C2533" s="55" t="s">
        <v>40</v>
      </c>
      <c r="D2533" s="55">
        <v>1207.0</v>
      </c>
      <c r="E2533" s="57" t="s">
        <v>2017</v>
      </c>
      <c r="F2533" s="2" t="s">
        <v>2122</v>
      </c>
    </row>
    <row r="2534">
      <c r="A2534" s="55">
        <f t="shared" si="2"/>
        <v>2533</v>
      </c>
      <c r="B2534" s="56" t="s">
        <v>2123</v>
      </c>
      <c r="C2534" s="55" t="s">
        <v>27</v>
      </c>
      <c r="D2534" s="55">
        <v>1384.0</v>
      </c>
      <c r="E2534" s="57" t="s">
        <v>2017</v>
      </c>
      <c r="F2534" s="2" t="s">
        <v>2122</v>
      </c>
    </row>
    <row r="2535">
      <c r="A2535" s="55">
        <f t="shared" si="2"/>
        <v>2534</v>
      </c>
      <c r="B2535" s="56" t="s">
        <v>2123</v>
      </c>
      <c r="C2535" s="55" t="s">
        <v>26</v>
      </c>
      <c r="D2535" s="55">
        <v>1369.0</v>
      </c>
      <c r="E2535" s="57" t="s">
        <v>2017</v>
      </c>
      <c r="F2535" s="2" t="s">
        <v>2122</v>
      </c>
    </row>
    <row r="2536">
      <c r="A2536" s="55">
        <f t="shared" si="2"/>
        <v>2535</v>
      </c>
      <c r="B2536" s="56" t="s">
        <v>2123</v>
      </c>
      <c r="C2536" s="55" t="s">
        <v>34</v>
      </c>
      <c r="D2536" s="55">
        <v>1198.0</v>
      </c>
      <c r="E2536" s="57" t="s">
        <v>2017</v>
      </c>
      <c r="F2536" s="2" t="s">
        <v>2122</v>
      </c>
    </row>
    <row r="2537">
      <c r="A2537" s="55">
        <f t="shared" si="2"/>
        <v>2536</v>
      </c>
      <c r="B2537" s="56" t="s">
        <v>2127</v>
      </c>
      <c r="C2537" s="55" t="s">
        <v>36</v>
      </c>
      <c r="D2537" s="55">
        <v>1192.0</v>
      </c>
      <c r="E2537" s="57" t="s">
        <v>2017</v>
      </c>
      <c r="F2537" s="2" t="s">
        <v>2126</v>
      </c>
    </row>
    <row r="2538">
      <c r="A2538" s="55">
        <f t="shared" si="2"/>
        <v>2537</v>
      </c>
      <c r="B2538" s="56" t="s">
        <v>2127</v>
      </c>
      <c r="C2538" s="55" t="s">
        <v>34</v>
      </c>
      <c r="D2538" s="55">
        <v>1175.0</v>
      </c>
      <c r="E2538" s="57" t="s">
        <v>2017</v>
      </c>
      <c r="F2538" s="2" t="s">
        <v>2126</v>
      </c>
    </row>
    <row r="2539">
      <c r="A2539" s="55">
        <f t="shared" si="2"/>
        <v>2538</v>
      </c>
      <c r="B2539" s="56" t="s">
        <v>2127</v>
      </c>
      <c r="C2539" s="55" t="s">
        <v>27</v>
      </c>
      <c r="D2539" s="55">
        <v>1367.0</v>
      </c>
      <c r="E2539" s="57" t="s">
        <v>2017</v>
      </c>
      <c r="F2539" s="2" t="s">
        <v>2126</v>
      </c>
    </row>
    <row r="2540">
      <c r="A2540" s="55">
        <f t="shared" si="2"/>
        <v>2539</v>
      </c>
      <c r="B2540" s="56" t="s">
        <v>2127</v>
      </c>
      <c r="C2540" s="55" t="s">
        <v>30</v>
      </c>
      <c r="D2540" s="55">
        <v>1054.0</v>
      </c>
      <c r="E2540" s="57" t="s">
        <v>2017</v>
      </c>
      <c r="F2540" s="2" t="s">
        <v>2126</v>
      </c>
    </row>
    <row r="2541">
      <c r="A2541" s="55">
        <f t="shared" si="2"/>
        <v>2540</v>
      </c>
      <c r="B2541" s="56" t="s">
        <v>2127</v>
      </c>
      <c r="C2541" s="55" t="s">
        <v>26</v>
      </c>
      <c r="D2541" s="55">
        <v>1348.0</v>
      </c>
      <c r="E2541" s="57" t="s">
        <v>2017</v>
      </c>
      <c r="F2541" s="2" t="s">
        <v>2126</v>
      </c>
    </row>
    <row r="2542">
      <c r="A2542" s="55">
        <f t="shared" si="2"/>
        <v>2541</v>
      </c>
      <c r="B2542" s="56" t="s">
        <v>2127</v>
      </c>
      <c r="C2542" s="55" t="s">
        <v>40</v>
      </c>
      <c r="D2542" s="55">
        <v>1184.0</v>
      </c>
      <c r="E2542" s="57" t="s">
        <v>2017</v>
      </c>
      <c r="F2542" s="2" t="s">
        <v>2126</v>
      </c>
    </row>
    <row r="2543">
      <c r="A2543" s="55">
        <f t="shared" si="2"/>
        <v>2542</v>
      </c>
      <c r="B2543" s="56" t="s">
        <v>2127</v>
      </c>
      <c r="C2543" s="55" t="s">
        <v>31</v>
      </c>
      <c r="D2543" s="55">
        <v>1406.0</v>
      </c>
      <c r="E2543" s="57" t="s">
        <v>2017</v>
      </c>
      <c r="F2543" s="2" t="s">
        <v>2126</v>
      </c>
    </row>
    <row r="2544">
      <c r="A2544" s="55">
        <f t="shared" si="2"/>
        <v>2543</v>
      </c>
      <c r="B2544" s="56" t="s">
        <v>2127</v>
      </c>
      <c r="C2544" s="55" t="s">
        <v>42</v>
      </c>
      <c r="D2544" s="55">
        <v>1333.0</v>
      </c>
      <c r="E2544" s="57" t="s">
        <v>2017</v>
      </c>
      <c r="F2544" s="2" t="s">
        <v>2126</v>
      </c>
    </row>
    <row r="2545">
      <c r="A2545" s="55">
        <f t="shared" si="2"/>
        <v>2544</v>
      </c>
      <c r="B2545" s="56" t="s">
        <v>2131</v>
      </c>
      <c r="C2545" s="55" t="s">
        <v>40</v>
      </c>
      <c r="D2545" s="55">
        <v>1162.0</v>
      </c>
      <c r="E2545" s="57" t="s">
        <v>2017</v>
      </c>
      <c r="F2545" s="2" t="s">
        <v>2130</v>
      </c>
    </row>
    <row r="2546">
      <c r="A2546" s="55">
        <f t="shared" si="2"/>
        <v>2545</v>
      </c>
      <c r="B2546" s="56" t="s">
        <v>2131</v>
      </c>
      <c r="C2546" s="55" t="s">
        <v>30</v>
      </c>
      <c r="D2546" s="55">
        <v>1064.0</v>
      </c>
      <c r="E2546" s="57" t="s">
        <v>2017</v>
      </c>
      <c r="F2546" s="2" t="s">
        <v>2130</v>
      </c>
    </row>
    <row r="2547">
      <c r="A2547" s="55">
        <f t="shared" si="2"/>
        <v>2546</v>
      </c>
      <c r="B2547" s="56" t="s">
        <v>2131</v>
      </c>
      <c r="C2547" s="55" t="s">
        <v>42</v>
      </c>
      <c r="D2547" s="55">
        <v>1316.0</v>
      </c>
      <c r="E2547" s="57" t="s">
        <v>2017</v>
      </c>
      <c r="F2547" s="2" t="s">
        <v>2130</v>
      </c>
    </row>
    <row r="2548">
      <c r="A2548" s="55">
        <f t="shared" si="2"/>
        <v>2547</v>
      </c>
      <c r="B2548" s="56" t="s">
        <v>2131</v>
      </c>
      <c r="C2548" s="55" t="s">
        <v>34</v>
      </c>
      <c r="D2548" s="55">
        <v>1187.0</v>
      </c>
      <c r="E2548" s="57" t="s">
        <v>2017</v>
      </c>
      <c r="F2548" s="2" t="s">
        <v>2130</v>
      </c>
    </row>
    <row r="2549">
      <c r="A2549" s="55">
        <f t="shared" si="2"/>
        <v>2548</v>
      </c>
      <c r="B2549" s="56" t="s">
        <v>2131</v>
      </c>
      <c r="C2549" s="55" t="s">
        <v>31</v>
      </c>
      <c r="D2549" s="55">
        <v>1388.0</v>
      </c>
      <c r="E2549" s="57" t="s">
        <v>2017</v>
      </c>
      <c r="F2549" s="2" t="s">
        <v>2130</v>
      </c>
    </row>
    <row r="2550">
      <c r="A2550" s="55">
        <f t="shared" si="2"/>
        <v>2549</v>
      </c>
      <c r="B2550" s="56" t="s">
        <v>2131</v>
      </c>
      <c r="C2550" s="55" t="s">
        <v>27</v>
      </c>
      <c r="D2550" s="55">
        <v>1380.0</v>
      </c>
      <c r="E2550" s="57" t="s">
        <v>2017</v>
      </c>
      <c r="F2550" s="2" t="s">
        <v>2130</v>
      </c>
    </row>
    <row r="2551">
      <c r="A2551" s="55">
        <f t="shared" si="2"/>
        <v>2550</v>
      </c>
      <c r="B2551" s="56" t="s">
        <v>2131</v>
      </c>
      <c r="C2551" s="55" t="s">
        <v>26</v>
      </c>
      <c r="D2551" s="55">
        <v>1328.0</v>
      </c>
      <c r="E2551" s="57" t="s">
        <v>2017</v>
      </c>
      <c r="F2551" s="2" t="s">
        <v>2130</v>
      </c>
    </row>
    <row r="2552">
      <c r="A2552" s="55">
        <f t="shared" si="2"/>
        <v>2551</v>
      </c>
      <c r="B2552" s="56" t="s">
        <v>2131</v>
      </c>
      <c r="C2552" s="55" t="s">
        <v>36</v>
      </c>
      <c r="D2552" s="55">
        <v>1204.0</v>
      </c>
      <c r="E2552" s="57" t="s">
        <v>2017</v>
      </c>
      <c r="F2552" s="2" t="s">
        <v>2130</v>
      </c>
    </row>
    <row r="2553">
      <c r="A2553" s="55">
        <f t="shared" si="2"/>
        <v>2552</v>
      </c>
      <c r="B2553" s="56" t="s">
        <v>2135</v>
      </c>
      <c r="C2553" s="55" t="s">
        <v>30</v>
      </c>
      <c r="D2553" s="55">
        <v>1077.0</v>
      </c>
      <c r="E2553" s="57" t="s">
        <v>2017</v>
      </c>
      <c r="F2553" s="2" t="s">
        <v>2134</v>
      </c>
    </row>
    <row r="2554">
      <c r="A2554" s="55">
        <f t="shared" si="2"/>
        <v>2553</v>
      </c>
      <c r="B2554" s="56" t="s">
        <v>2135</v>
      </c>
      <c r="C2554" s="55" t="s">
        <v>40</v>
      </c>
      <c r="D2554" s="55">
        <v>1177.0</v>
      </c>
      <c r="E2554" s="57" t="s">
        <v>2017</v>
      </c>
      <c r="F2554" s="2" t="s">
        <v>2134</v>
      </c>
    </row>
    <row r="2555">
      <c r="A2555" s="55">
        <f t="shared" si="2"/>
        <v>2554</v>
      </c>
      <c r="B2555" s="56" t="s">
        <v>2135</v>
      </c>
      <c r="C2555" s="55" t="s">
        <v>31</v>
      </c>
      <c r="D2555" s="55">
        <v>1370.0</v>
      </c>
      <c r="E2555" s="57" t="s">
        <v>2017</v>
      </c>
      <c r="F2555" s="2" t="s">
        <v>2134</v>
      </c>
    </row>
    <row r="2556">
      <c r="A2556" s="55">
        <f t="shared" si="2"/>
        <v>2555</v>
      </c>
      <c r="B2556" s="56" t="s">
        <v>2135</v>
      </c>
      <c r="C2556" s="55" t="s">
        <v>26</v>
      </c>
      <c r="D2556" s="55">
        <v>1308.0</v>
      </c>
      <c r="E2556" s="57" t="s">
        <v>2017</v>
      </c>
      <c r="F2556" s="2" t="s">
        <v>2134</v>
      </c>
    </row>
    <row r="2557">
      <c r="A2557" s="55">
        <f t="shared" si="2"/>
        <v>2556</v>
      </c>
      <c r="B2557" s="56" t="s">
        <v>2135</v>
      </c>
      <c r="C2557" s="55" t="s">
        <v>36</v>
      </c>
      <c r="D2557" s="55">
        <v>1183.0</v>
      </c>
      <c r="E2557" s="57" t="s">
        <v>2017</v>
      </c>
      <c r="F2557" s="2" t="s">
        <v>2134</v>
      </c>
    </row>
    <row r="2558">
      <c r="A2558" s="55">
        <f t="shared" si="2"/>
        <v>2557</v>
      </c>
      <c r="B2558" s="56" t="s">
        <v>2135</v>
      </c>
      <c r="C2558" s="55" t="s">
        <v>34</v>
      </c>
      <c r="D2558" s="55">
        <v>1202.0</v>
      </c>
      <c r="E2558" s="57" t="s">
        <v>2017</v>
      </c>
      <c r="F2558" s="2" t="s">
        <v>2134</v>
      </c>
    </row>
    <row r="2559">
      <c r="A2559" s="55">
        <f t="shared" si="2"/>
        <v>2558</v>
      </c>
      <c r="B2559" s="56" t="s">
        <v>2135</v>
      </c>
      <c r="C2559" s="55" t="s">
        <v>27</v>
      </c>
      <c r="D2559" s="55">
        <v>1365.0</v>
      </c>
      <c r="E2559" s="57" t="s">
        <v>2017</v>
      </c>
      <c r="F2559" s="2" t="s">
        <v>2134</v>
      </c>
    </row>
    <row r="2560">
      <c r="A2560" s="55">
        <f t="shared" si="2"/>
        <v>2559</v>
      </c>
      <c r="B2560" s="56" t="s">
        <v>2135</v>
      </c>
      <c r="C2560" s="55" t="s">
        <v>42</v>
      </c>
      <c r="D2560" s="55">
        <v>1333.0</v>
      </c>
      <c r="E2560" s="57" t="s">
        <v>2017</v>
      </c>
      <c r="F2560" s="2" t="s">
        <v>2134</v>
      </c>
    </row>
    <row r="2561">
      <c r="A2561" s="55">
        <f t="shared" si="2"/>
        <v>2560</v>
      </c>
      <c r="B2561" s="56" t="s">
        <v>2139</v>
      </c>
      <c r="C2561" s="55" t="s">
        <v>40</v>
      </c>
      <c r="D2561" s="55">
        <v>1192.0</v>
      </c>
      <c r="E2561" s="57" t="s">
        <v>2017</v>
      </c>
      <c r="F2561" s="2" t="s">
        <v>2138</v>
      </c>
    </row>
    <row r="2562">
      <c r="A2562" s="55">
        <f t="shared" si="2"/>
        <v>2561</v>
      </c>
      <c r="B2562" s="56" t="s">
        <v>2139</v>
      </c>
      <c r="C2562" s="55" t="s">
        <v>30</v>
      </c>
      <c r="D2562" s="55">
        <v>1091.0</v>
      </c>
      <c r="E2562" s="57" t="s">
        <v>2017</v>
      </c>
      <c r="F2562" s="2" t="s">
        <v>2138</v>
      </c>
    </row>
    <row r="2563">
      <c r="A2563" s="55">
        <f t="shared" si="2"/>
        <v>2562</v>
      </c>
      <c r="B2563" s="56" t="s">
        <v>2139</v>
      </c>
      <c r="C2563" s="55" t="s">
        <v>42</v>
      </c>
      <c r="D2563" s="55">
        <v>1315.0</v>
      </c>
      <c r="E2563" s="57" t="s">
        <v>2017</v>
      </c>
      <c r="F2563" s="2" t="s">
        <v>2138</v>
      </c>
    </row>
    <row r="2564">
      <c r="A2564" s="55">
        <f t="shared" si="2"/>
        <v>2563</v>
      </c>
      <c r="B2564" s="56" t="s">
        <v>2139</v>
      </c>
      <c r="C2564" s="55" t="s">
        <v>27</v>
      </c>
      <c r="D2564" s="55">
        <v>1348.0</v>
      </c>
      <c r="E2564" s="57" t="s">
        <v>2017</v>
      </c>
      <c r="F2564" s="2" t="s">
        <v>2138</v>
      </c>
    </row>
    <row r="2565">
      <c r="A2565" s="55">
        <f t="shared" si="2"/>
        <v>2564</v>
      </c>
      <c r="B2565" s="56" t="s">
        <v>2139</v>
      </c>
      <c r="C2565" s="55" t="s">
        <v>36</v>
      </c>
      <c r="D2565" s="55">
        <v>1160.0</v>
      </c>
      <c r="E2565" s="57" t="s">
        <v>2017</v>
      </c>
      <c r="F2565" s="2" t="s">
        <v>2138</v>
      </c>
    </row>
    <row r="2566">
      <c r="A2566" s="55">
        <f t="shared" si="2"/>
        <v>2565</v>
      </c>
      <c r="B2566" s="56" t="s">
        <v>2139</v>
      </c>
      <c r="C2566" s="55" t="s">
        <v>26</v>
      </c>
      <c r="D2566" s="55">
        <v>1325.0</v>
      </c>
      <c r="E2566" s="57" t="s">
        <v>2017</v>
      </c>
      <c r="F2566" s="2" t="s">
        <v>2138</v>
      </c>
    </row>
    <row r="2567">
      <c r="A2567" s="55">
        <f t="shared" si="2"/>
        <v>2566</v>
      </c>
      <c r="B2567" s="56" t="s">
        <v>2139</v>
      </c>
      <c r="C2567" s="55" t="s">
        <v>31</v>
      </c>
      <c r="D2567" s="55">
        <v>1388.0</v>
      </c>
      <c r="E2567" s="57" t="s">
        <v>2017</v>
      </c>
      <c r="F2567" s="2" t="s">
        <v>2138</v>
      </c>
    </row>
    <row r="2568">
      <c r="A2568" s="55">
        <f t="shared" si="2"/>
        <v>2567</v>
      </c>
      <c r="B2568" s="56" t="s">
        <v>2139</v>
      </c>
      <c r="C2568" s="55" t="s">
        <v>24</v>
      </c>
      <c r="D2568" s="55">
        <v>1440.0</v>
      </c>
      <c r="E2568" s="57" t="s">
        <v>2017</v>
      </c>
      <c r="F2568" s="2" t="s">
        <v>2138</v>
      </c>
    </row>
    <row r="2569">
      <c r="A2569" s="55">
        <f t="shared" si="2"/>
        <v>2568</v>
      </c>
      <c r="B2569" s="56" t="s">
        <v>2144</v>
      </c>
      <c r="C2569" s="55" t="s">
        <v>30</v>
      </c>
      <c r="D2569" s="55">
        <v>1105.0</v>
      </c>
      <c r="E2569" s="57" t="s">
        <v>2017</v>
      </c>
      <c r="F2569" s="2" t="s">
        <v>2143</v>
      </c>
    </row>
    <row r="2570">
      <c r="A2570" s="55">
        <f t="shared" si="2"/>
        <v>2569</v>
      </c>
      <c r="B2570" s="56" t="s">
        <v>2144</v>
      </c>
      <c r="C2570" s="55" t="s">
        <v>40</v>
      </c>
      <c r="D2570" s="55">
        <v>1207.0</v>
      </c>
      <c r="E2570" s="57" t="s">
        <v>2017</v>
      </c>
      <c r="F2570" s="2" t="s">
        <v>2143</v>
      </c>
    </row>
    <row r="2571">
      <c r="A2571" s="55">
        <f t="shared" si="2"/>
        <v>2570</v>
      </c>
      <c r="B2571" s="56" t="s">
        <v>2144</v>
      </c>
      <c r="C2571" s="55" t="s">
        <v>26</v>
      </c>
      <c r="D2571" s="55">
        <v>1302.0</v>
      </c>
      <c r="E2571" s="57" t="s">
        <v>2017</v>
      </c>
      <c r="F2571" s="2" t="s">
        <v>2143</v>
      </c>
    </row>
    <row r="2572">
      <c r="A2572" s="55">
        <f t="shared" si="2"/>
        <v>2571</v>
      </c>
      <c r="B2572" s="56" t="s">
        <v>2144</v>
      </c>
      <c r="C2572" s="55" t="s">
        <v>36</v>
      </c>
      <c r="D2572" s="55">
        <v>1136.0</v>
      </c>
      <c r="E2572" s="57" t="s">
        <v>2017</v>
      </c>
      <c r="F2572" s="2" t="s">
        <v>2143</v>
      </c>
    </row>
    <row r="2573">
      <c r="A2573" s="55">
        <f t="shared" si="2"/>
        <v>2572</v>
      </c>
      <c r="B2573" s="56" t="s">
        <v>2144</v>
      </c>
      <c r="C2573" s="55" t="s">
        <v>31</v>
      </c>
      <c r="D2573" s="55">
        <v>1368.0</v>
      </c>
      <c r="E2573" s="57" t="s">
        <v>2017</v>
      </c>
      <c r="F2573" s="2" t="s">
        <v>2143</v>
      </c>
    </row>
    <row r="2574">
      <c r="A2574" s="55">
        <f t="shared" si="2"/>
        <v>2573</v>
      </c>
      <c r="B2574" s="56" t="s">
        <v>2144</v>
      </c>
      <c r="C2574" s="55" t="s">
        <v>34</v>
      </c>
      <c r="D2574" s="55">
        <v>1179.0</v>
      </c>
      <c r="E2574" s="57" t="s">
        <v>2017</v>
      </c>
      <c r="F2574" s="2" t="s">
        <v>2143</v>
      </c>
    </row>
    <row r="2575">
      <c r="A2575" s="55">
        <f t="shared" si="2"/>
        <v>2574</v>
      </c>
      <c r="B2575" s="56" t="s">
        <v>2144</v>
      </c>
      <c r="C2575" s="55" t="s">
        <v>24</v>
      </c>
      <c r="D2575" s="55">
        <v>1422.0</v>
      </c>
      <c r="E2575" s="57" t="s">
        <v>2017</v>
      </c>
      <c r="F2575" s="2" t="s">
        <v>2143</v>
      </c>
    </row>
    <row r="2576">
      <c r="A2576" s="55">
        <f t="shared" si="2"/>
        <v>2575</v>
      </c>
      <c r="B2576" s="56" t="s">
        <v>2144</v>
      </c>
      <c r="C2576" s="55" t="s">
        <v>42</v>
      </c>
      <c r="D2576" s="55">
        <v>1332.0</v>
      </c>
      <c r="E2576" s="57" t="s">
        <v>2017</v>
      </c>
      <c r="F2576" s="2" t="s">
        <v>2143</v>
      </c>
    </row>
    <row r="2577">
      <c r="A2577" s="55">
        <f t="shared" si="2"/>
        <v>2576</v>
      </c>
      <c r="B2577" s="56" t="s">
        <v>2148</v>
      </c>
      <c r="C2577" s="55" t="s">
        <v>30</v>
      </c>
      <c r="D2577" s="55">
        <v>1116.0</v>
      </c>
      <c r="E2577" s="57" t="s">
        <v>2017</v>
      </c>
      <c r="F2577" s="2" t="s">
        <v>2147</v>
      </c>
    </row>
    <row r="2578">
      <c r="A2578" s="55">
        <f t="shared" si="2"/>
        <v>2577</v>
      </c>
      <c r="B2578" s="56" t="s">
        <v>2148</v>
      </c>
      <c r="C2578" s="55" t="s">
        <v>34</v>
      </c>
      <c r="D2578" s="55">
        <v>1157.0</v>
      </c>
      <c r="E2578" s="57" t="s">
        <v>2017</v>
      </c>
      <c r="F2578" s="2" t="s">
        <v>2147</v>
      </c>
    </row>
    <row r="2579">
      <c r="A2579" s="55">
        <f t="shared" si="2"/>
        <v>2578</v>
      </c>
      <c r="B2579" s="56" t="s">
        <v>2148</v>
      </c>
      <c r="C2579" s="55" t="s">
        <v>31</v>
      </c>
      <c r="D2579" s="55">
        <v>1349.0</v>
      </c>
      <c r="E2579" s="57" t="s">
        <v>2017</v>
      </c>
      <c r="F2579" s="2" t="s">
        <v>2147</v>
      </c>
    </row>
    <row r="2580">
      <c r="A2580" s="55">
        <f t="shared" si="2"/>
        <v>2579</v>
      </c>
      <c r="B2580" s="56" t="s">
        <v>2148</v>
      </c>
      <c r="C2580" s="55" t="s">
        <v>36</v>
      </c>
      <c r="D2580" s="55">
        <v>1147.0</v>
      </c>
      <c r="E2580" s="57" t="s">
        <v>2017</v>
      </c>
      <c r="F2580" s="2" t="s">
        <v>2147</v>
      </c>
    </row>
    <row r="2581">
      <c r="A2581" s="55">
        <f t="shared" si="2"/>
        <v>2580</v>
      </c>
      <c r="B2581" s="56" t="s">
        <v>2148</v>
      </c>
      <c r="C2581" s="55" t="s">
        <v>40</v>
      </c>
      <c r="D2581" s="55">
        <v>1219.0</v>
      </c>
      <c r="E2581" s="57" t="s">
        <v>2017</v>
      </c>
      <c r="F2581" s="2" t="s">
        <v>2147</v>
      </c>
    </row>
    <row r="2582">
      <c r="A2582" s="55">
        <f t="shared" si="2"/>
        <v>2581</v>
      </c>
      <c r="B2582" s="56" t="s">
        <v>2148</v>
      </c>
      <c r="C2582" s="55" t="s">
        <v>26</v>
      </c>
      <c r="D2582" s="55">
        <v>1315.0</v>
      </c>
      <c r="E2582" s="57" t="s">
        <v>2017</v>
      </c>
      <c r="F2582" s="2" t="s">
        <v>2147</v>
      </c>
    </row>
    <row r="2583">
      <c r="A2583" s="55">
        <f t="shared" si="2"/>
        <v>2582</v>
      </c>
      <c r="B2583" s="56" t="s">
        <v>2148</v>
      </c>
      <c r="C2583" s="55" t="s">
        <v>42</v>
      </c>
      <c r="D2583" s="55">
        <v>1315.0</v>
      </c>
      <c r="E2583" s="57" t="s">
        <v>2017</v>
      </c>
      <c r="F2583" s="2" t="s">
        <v>2147</v>
      </c>
    </row>
    <row r="2584">
      <c r="A2584" s="55">
        <f t="shared" si="2"/>
        <v>2583</v>
      </c>
      <c r="B2584" s="56" t="s">
        <v>2148</v>
      </c>
      <c r="C2584" s="55" t="s">
        <v>24</v>
      </c>
      <c r="D2584" s="55">
        <v>1405.0</v>
      </c>
      <c r="E2584" s="57" t="s">
        <v>2017</v>
      </c>
      <c r="F2584" s="2" t="s">
        <v>2147</v>
      </c>
    </row>
    <row r="2585">
      <c r="A2585" s="55">
        <f t="shared" si="2"/>
        <v>2584</v>
      </c>
      <c r="B2585" s="56" t="s">
        <v>2152</v>
      </c>
      <c r="C2585" s="55" t="s">
        <v>36</v>
      </c>
      <c r="D2585" s="55">
        <v>1160.0</v>
      </c>
      <c r="E2585" s="57" t="s">
        <v>2017</v>
      </c>
      <c r="F2585" s="2" t="s">
        <v>2151</v>
      </c>
    </row>
    <row r="2586">
      <c r="A2586" s="55">
        <f t="shared" si="2"/>
        <v>2585</v>
      </c>
      <c r="B2586" s="56" t="s">
        <v>2152</v>
      </c>
      <c r="C2586" s="55" t="s">
        <v>30</v>
      </c>
      <c r="D2586" s="55">
        <v>1129.0</v>
      </c>
      <c r="E2586" s="57" t="s">
        <v>2017</v>
      </c>
      <c r="F2586" s="2" t="s">
        <v>2151</v>
      </c>
    </row>
    <row r="2587">
      <c r="A2587" s="55">
        <f t="shared" si="2"/>
        <v>2586</v>
      </c>
      <c r="B2587" s="56" t="s">
        <v>2152</v>
      </c>
      <c r="C2587" s="55" t="s">
        <v>24</v>
      </c>
      <c r="D2587" s="55">
        <v>1387.0</v>
      </c>
      <c r="E2587" s="57" t="s">
        <v>2017</v>
      </c>
      <c r="F2587" s="2" t="s">
        <v>2151</v>
      </c>
    </row>
    <row r="2588">
      <c r="A2588" s="55">
        <f t="shared" si="2"/>
        <v>2587</v>
      </c>
      <c r="B2588" s="56" t="s">
        <v>2152</v>
      </c>
      <c r="C2588" s="55" t="s">
        <v>42</v>
      </c>
      <c r="D2588" s="55">
        <v>1297.0</v>
      </c>
      <c r="E2588" s="57" t="s">
        <v>2017</v>
      </c>
      <c r="F2588" s="2" t="s">
        <v>2151</v>
      </c>
    </row>
    <row r="2589">
      <c r="A2589" s="55">
        <f t="shared" si="2"/>
        <v>2588</v>
      </c>
      <c r="B2589" s="56" t="s">
        <v>2152</v>
      </c>
      <c r="C2589" s="55" t="s">
        <v>26</v>
      </c>
      <c r="D2589" s="55">
        <v>1294.0</v>
      </c>
      <c r="E2589" s="57" t="s">
        <v>2017</v>
      </c>
      <c r="F2589" s="2" t="s">
        <v>2151</v>
      </c>
    </row>
    <row r="2590">
      <c r="A2590" s="55">
        <f t="shared" si="2"/>
        <v>2589</v>
      </c>
      <c r="B2590" s="56" t="s">
        <v>2152</v>
      </c>
      <c r="C2590" s="55" t="s">
        <v>40</v>
      </c>
      <c r="D2590" s="55">
        <v>1198.0</v>
      </c>
      <c r="E2590" s="57" t="s">
        <v>2017</v>
      </c>
      <c r="F2590" s="2" t="s">
        <v>2151</v>
      </c>
    </row>
    <row r="2591">
      <c r="A2591" s="55">
        <f t="shared" si="2"/>
        <v>2590</v>
      </c>
      <c r="B2591" s="56" t="s">
        <v>2152</v>
      </c>
      <c r="C2591" s="55" t="s">
        <v>27</v>
      </c>
      <c r="D2591" s="55">
        <v>1365.0</v>
      </c>
      <c r="E2591" s="57" t="s">
        <v>2017</v>
      </c>
      <c r="F2591" s="2" t="s">
        <v>2151</v>
      </c>
    </row>
    <row r="2592">
      <c r="A2592" s="55">
        <f t="shared" si="2"/>
        <v>2591</v>
      </c>
      <c r="B2592" s="56" t="s">
        <v>2152</v>
      </c>
      <c r="C2592" s="55" t="s">
        <v>34</v>
      </c>
      <c r="D2592" s="55">
        <v>1170.0</v>
      </c>
      <c r="E2592" s="57" t="s">
        <v>2017</v>
      </c>
      <c r="F2592" s="2" t="s">
        <v>2151</v>
      </c>
    </row>
    <row r="2593">
      <c r="A2593" s="55">
        <f t="shared" si="2"/>
        <v>2592</v>
      </c>
      <c r="B2593" s="56" t="s">
        <v>2156</v>
      </c>
      <c r="C2593" s="55" t="s">
        <v>40</v>
      </c>
      <c r="D2593" s="55">
        <v>1175.0</v>
      </c>
      <c r="E2593" s="57" t="s">
        <v>2017</v>
      </c>
      <c r="F2593" s="2" t="s">
        <v>2155</v>
      </c>
    </row>
    <row r="2594">
      <c r="A2594" s="55">
        <f t="shared" si="2"/>
        <v>2593</v>
      </c>
      <c r="B2594" s="56" t="s">
        <v>2156</v>
      </c>
      <c r="C2594" s="55" t="s">
        <v>34</v>
      </c>
      <c r="D2594" s="55">
        <v>1146.0</v>
      </c>
      <c r="E2594" s="57" t="s">
        <v>2017</v>
      </c>
      <c r="F2594" s="2" t="s">
        <v>2155</v>
      </c>
    </row>
    <row r="2595">
      <c r="A2595" s="55">
        <f t="shared" si="2"/>
        <v>2594</v>
      </c>
      <c r="B2595" s="56" t="s">
        <v>2156</v>
      </c>
      <c r="C2595" s="55" t="s">
        <v>42</v>
      </c>
      <c r="D2595" s="55">
        <v>1308.0</v>
      </c>
      <c r="E2595" s="57" t="s">
        <v>2017</v>
      </c>
      <c r="F2595" s="2" t="s">
        <v>2155</v>
      </c>
    </row>
    <row r="2596">
      <c r="A2596" s="55">
        <f t="shared" si="2"/>
        <v>2595</v>
      </c>
      <c r="B2596" s="56" t="s">
        <v>2156</v>
      </c>
      <c r="C2596" s="55" t="s">
        <v>30</v>
      </c>
      <c r="D2596" s="55">
        <v>1139.0</v>
      </c>
      <c r="E2596" s="57" t="s">
        <v>2017</v>
      </c>
      <c r="F2596" s="2" t="s">
        <v>2155</v>
      </c>
    </row>
    <row r="2597">
      <c r="A2597" s="55">
        <f t="shared" si="2"/>
        <v>2596</v>
      </c>
      <c r="B2597" s="56" t="s">
        <v>2156</v>
      </c>
      <c r="C2597" s="55" t="s">
        <v>24</v>
      </c>
      <c r="D2597" s="55">
        <v>1399.0</v>
      </c>
      <c r="E2597" s="57" t="s">
        <v>2017</v>
      </c>
      <c r="F2597" s="2" t="s">
        <v>2155</v>
      </c>
    </row>
    <row r="2598">
      <c r="A2598" s="55">
        <f t="shared" si="2"/>
        <v>2597</v>
      </c>
      <c r="B2598" s="56" t="s">
        <v>2156</v>
      </c>
      <c r="C2598" s="55" t="s">
        <v>36</v>
      </c>
      <c r="D2598" s="55">
        <v>1170.0</v>
      </c>
      <c r="E2598" s="57" t="s">
        <v>2017</v>
      </c>
      <c r="F2598" s="2" t="s">
        <v>2155</v>
      </c>
    </row>
    <row r="2599">
      <c r="A2599" s="55">
        <f t="shared" si="2"/>
        <v>2598</v>
      </c>
      <c r="B2599" s="56" t="s">
        <v>2156</v>
      </c>
      <c r="C2599" s="55" t="s">
        <v>26</v>
      </c>
      <c r="D2599" s="55">
        <v>1270.0</v>
      </c>
      <c r="E2599" s="57" t="s">
        <v>2017</v>
      </c>
      <c r="F2599" s="2" t="s">
        <v>2155</v>
      </c>
    </row>
    <row r="2600">
      <c r="A2600" s="55">
        <f t="shared" si="2"/>
        <v>2599</v>
      </c>
      <c r="B2600" s="56" t="s">
        <v>2156</v>
      </c>
      <c r="C2600" s="55" t="s">
        <v>27</v>
      </c>
      <c r="D2600" s="55">
        <v>1348.0</v>
      </c>
      <c r="E2600" s="57" t="s">
        <v>2017</v>
      </c>
      <c r="F2600" s="2" t="s">
        <v>2155</v>
      </c>
    </row>
    <row r="2601">
      <c r="A2601" s="55">
        <f t="shared" si="2"/>
        <v>2600</v>
      </c>
      <c r="B2601" s="56" t="s">
        <v>2160</v>
      </c>
      <c r="C2601" s="55" t="s">
        <v>30</v>
      </c>
      <c r="D2601" s="55">
        <v>1155.0</v>
      </c>
      <c r="E2601" s="57" t="s">
        <v>2017</v>
      </c>
      <c r="F2601" s="2" t="s">
        <v>2159</v>
      </c>
    </row>
    <row r="2602">
      <c r="A2602" s="55">
        <f t="shared" si="2"/>
        <v>2601</v>
      </c>
      <c r="B2602" s="56" t="s">
        <v>2160</v>
      </c>
      <c r="C2602" s="55" t="s">
        <v>40</v>
      </c>
      <c r="D2602" s="55">
        <v>1192.0</v>
      </c>
      <c r="E2602" s="57" t="s">
        <v>2017</v>
      </c>
      <c r="F2602" s="2" t="s">
        <v>2159</v>
      </c>
    </row>
    <row r="2603">
      <c r="A2603" s="55">
        <f t="shared" si="2"/>
        <v>2602</v>
      </c>
      <c r="B2603" s="56" t="s">
        <v>2160</v>
      </c>
      <c r="C2603" s="55" t="s">
        <v>24</v>
      </c>
      <c r="D2603" s="55">
        <v>1381.0</v>
      </c>
      <c r="E2603" s="57" t="s">
        <v>2017</v>
      </c>
      <c r="F2603" s="2" t="s">
        <v>2159</v>
      </c>
    </row>
    <row r="2604">
      <c r="A2604" s="55">
        <f t="shared" si="2"/>
        <v>2603</v>
      </c>
      <c r="B2604" s="56" t="s">
        <v>2160</v>
      </c>
      <c r="C2604" s="55" t="s">
        <v>26</v>
      </c>
      <c r="D2604" s="55">
        <v>1247.0</v>
      </c>
      <c r="E2604" s="57" t="s">
        <v>2017</v>
      </c>
      <c r="F2604" s="2" t="s">
        <v>2159</v>
      </c>
    </row>
    <row r="2605">
      <c r="A2605" s="55">
        <f t="shared" si="2"/>
        <v>2604</v>
      </c>
      <c r="B2605" s="56" t="s">
        <v>2160</v>
      </c>
      <c r="C2605" s="55" t="s">
        <v>36</v>
      </c>
      <c r="D2605" s="55">
        <v>1147.0</v>
      </c>
      <c r="E2605" s="57" t="s">
        <v>2017</v>
      </c>
      <c r="F2605" s="2" t="s">
        <v>2159</v>
      </c>
    </row>
    <row r="2606">
      <c r="A2606" s="55">
        <f t="shared" si="2"/>
        <v>2605</v>
      </c>
      <c r="B2606" s="56" t="s">
        <v>2160</v>
      </c>
      <c r="C2606" s="55" t="s">
        <v>42</v>
      </c>
      <c r="D2606" s="55">
        <v>1327.0</v>
      </c>
      <c r="E2606" s="57" t="s">
        <v>2017</v>
      </c>
      <c r="F2606" s="2" t="s">
        <v>2159</v>
      </c>
    </row>
    <row r="2607">
      <c r="A2607" s="55">
        <f t="shared" si="2"/>
        <v>2606</v>
      </c>
      <c r="B2607" s="56" t="s">
        <v>2160</v>
      </c>
      <c r="C2607" s="55" t="s">
        <v>27</v>
      </c>
      <c r="D2607" s="55">
        <v>1331.0</v>
      </c>
      <c r="E2607" s="57" t="s">
        <v>2017</v>
      </c>
      <c r="F2607" s="2" t="s">
        <v>2159</v>
      </c>
    </row>
    <row r="2608">
      <c r="A2608" s="55">
        <f t="shared" si="2"/>
        <v>2607</v>
      </c>
      <c r="B2608" s="56" t="s">
        <v>2160</v>
      </c>
      <c r="C2608" s="55" t="s">
        <v>34</v>
      </c>
      <c r="D2608" s="55">
        <v>1162.0</v>
      </c>
      <c r="E2608" s="57" t="s">
        <v>2017</v>
      </c>
      <c r="F2608" s="2" t="s">
        <v>2159</v>
      </c>
    </row>
    <row r="2609">
      <c r="A2609" s="55">
        <f t="shared" si="2"/>
        <v>2608</v>
      </c>
      <c r="B2609" s="56" t="s">
        <v>2164</v>
      </c>
      <c r="C2609" s="55" t="s">
        <v>40</v>
      </c>
      <c r="D2609" s="55">
        <v>1210.0</v>
      </c>
      <c r="E2609" s="57" t="s">
        <v>2017</v>
      </c>
      <c r="F2609" s="2" t="s">
        <v>2163</v>
      </c>
    </row>
    <row r="2610">
      <c r="A2610" s="55">
        <f t="shared" si="2"/>
        <v>2609</v>
      </c>
      <c r="B2610" s="56" t="s">
        <v>2164</v>
      </c>
      <c r="C2610" s="55" t="s">
        <v>30</v>
      </c>
      <c r="D2610" s="55">
        <v>1172.0</v>
      </c>
      <c r="E2610" s="57" t="s">
        <v>2017</v>
      </c>
      <c r="F2610" s="2" t="s">
        <v>2163</v>
      </c>
    </row>
    <row r="2611">
      <c r="A2611" s="55">
        <f t="shared" si="2"/>
        <v>2610</v>
      </c>
      <c r="B2611" s="56" t="s">
        <v>2164</v>
      </c>
      <c r="C2611" s="55" t="s">
        <v>42</v>
      </c>
      <c r="D2611" s="55">
        <v>1308.0</v>
      </c>
      <c r="E2611" s="57" t="s">
        <v>2017</v>
      </c>
      <c r="F2611" s="2" t="s">
        <v>2163</v>
      </c>
    </row>
    <row r="2612">
      <c r="A2612" s="55">
        <f t="shared" si="2"/>
        <v>2611</v>
      </c>
      <c r="B2612" s="56" t="s">
        <v>2164</v>
      </c>
      <c r="C2612" s="55" t="s">
        <v>36</v>
      </c>
      <c r="D2612" s="55">
        <v>1122.0</v>
      </c>
      <c r="E2612" s="57" t="s">
        <v>2017</v>
      </c>
      <c r="F2612" s="2" t="s">
        <v>2163</v>
      </c>
    </row>
    <row r="2613">
      <c r="A2613" s="55">
        <f t="shared" si="2"/>
        <v>2612</v>
      </c>
      <c r="B2613" s="56" t="s">
        <v>2164</v>
      </c>
      <c r="C2613" s="55" t="s">
        <v>24</v>
      </c>
      <c r="D2613" s="55">
        <v>1402.0</v>
      </c>
      <c r="E2613" s="57" t="s">
        <v>2017</v>
      </c>
      <c r="F2613" s="2" t="s">
        <v>2163</v>
      </c>
    </row>
    <row r="2614">
      <c r="A2614" s="55">
        <f t="shared" si="2"/>
        <v>2613</v>
      </c>
      <c r="B2614" s="56" t="s">
        <v>2164</v>
      </c>
      <c r="C2614" s="55" t="s">
        <v>34</v>
      </c>
      <c r="D2614" s="55">
        <v>1137.0</v>
      </c>
      <c r="E2614" s="57" t="s">
        <v>2017</v>
      </c>
      <c r="F2614" s="2" t="s">
        <v>2163</v>
      </c>
    </row>
    <row r="2615">
      <c r="A2615" s="55">
        <f t="shared" si="2"/>
        <v>2614</v>
      </c>
      <c r="B2615" s="56" t="s">
        <v>2164</v>
      </c>
      <c r="C2615" s="55" t="s">
        <v>26</v>
      </c>
      <c r="D2615" s="55">
        <v>1266.0</v>
      </c>
      <c r="E2615" s="57" t="s">
        <v>2017</v>
      </c>
      <c r="F2615" s="2" t="s">
        <v>2163</v>
      </c>
    </row>
    <row r="2616">
      <c r="A2616" s="55">
        <f t="shared" si="2"/>
        <v>2615</v>
      </c>
      <c r="B2616" s="56" t="s">
        <v>2164</v>
      </c>
      <c r="C2616" s="55" t="s">
        <v>27</v>
      </c>
      <c r="D2616" s="55">
        <v>1312.0</v>
      </c>
      <c r="E2616" s="57" t="s">
        <v>2017</v>
      </c>
      <c r="F2616" s="2" t="s">
        <v>2163</v>
      </c>
    </row>
    <row r="2617">
      <c r="A2617" s="55">
        <f t="shared" si="2"/>
        <v>2616</v>
      </c>
      <c r="B2617" s="56" t="s">
        <v>2168</v>
      </c>
      <c r="C2617" s="55" t="s">
        <v>36</v>
      </c>
      <c r="D2617" s="55">
        <v>1138.0</v>
      </c>
      <c r="E2617" s="57" t="s">
        <v>2017</v>
      </c>
      <c r="F2617" s="2" t="s">
        <v>2167</v>
      </c>
    </row>
    <row r="2618">
      <c r="A2618" s="55">
        <f t="shared" si="2"/>
        <v>2617</v>
      </c>
      <c r="B2618" s="56" t="s">
        <v>2168</v>
      </c>
      <c r="C2618" s="55" t="s">
        <v>30</v>
      </c>
      <c r="D2618" s="55">
        <v>1189.0</v>
      </c>
      <c r="E2618" s="57" t="s">
        <v>2017</v>
      </c>
      <c r="F2618" s="2" t="s">
        <v>2167</v>
      </c>
    </row>
    <row r="2619">
      <c r="A2619" s="55">
        <f t="shared" si="2"/>
        <v>2618</v>
      </c>
      <c r="B2619" s="56" t="s">
        <v>2168</v>
      </c>
      <c r="C2619" s="55" t="s">
        <v>42</v>
      </c>
      <c r="D2619" s="55">
        <v>1327.0</v>
      </c>
      <c r="E2619" s="57" t="s">
        <v>2017</v>
      </c>
      <c r="F2619" s="2" t="s">
        <v>2167</v>
      </c>
    </row>
    <row r="2620">
      <c r="A2620" s="55">
        <f t="shared" si="2"/>
        <v>2619</v>
      </c>
      <c r="B2620" s="56" t="s">
        <v>2168</v>
      </c>
      <c r="C2620" s="55" t="s">
        <v>34</v>
      </c>
      <c r="D2620" s="55">
        <v>1113.0</v>
      </c>
      <c r="E2620" s="57" t="s">
        <v>2017</v>
      </c>
      <c r="F2620" s="2" t="s">
        <v>2167</v>
      </c>
    </row>
    <row r="2621">
      <c r="A2621" s="55">
        <f t="shared" si="2"/>
        <v>2620</v>
      </c>
      <c r="B2621" s="56" t="s">
        <v>2168</v>
      </c>
      <c r="C2621" s="55" t="s">
        <v>31</v>
      </c>
      <c r="D2621" s="55">
        <v>1364.0</v>
      </c>
      <c r="E2621" s="57" t="s">
        <v>2017</v>
      </c>
      <c r="F2621" s="2" t="s">
        <v>2167</v>
      </c>
    </row>
    <row r="2622">
      <c r="A2622" s="55">
        <f t="shared" si="2"/>
        <v>2621</v>
      </c>
      <c r="B2622" s="56" t="s">
        <v>2168</v>
      </c>
      <c r="C2622" s="55" t="s">
        <v>29</v>
      </c>
      <c r="D2622" s="55">
        <v>1375.0</v>
      </c>
      <c r="E2622" s="57" t="s">
        <v>2017</v>
      </c>
      <c r="F2622" s="2" t="s">
        <v>2167</v>
      </c>
    </row>
    <row r="2623">
      <c r="A2623" s="55">
        <f t="shared" si="2"/>
        <v>2622</v>
      </c>
      <c r="B2623" s="56" t="s">
        <v>2168</v>
      </c>
      <c r="C2623" s="55" t="s">
        <v>24</v>
      </c>
      <c r="D2623" s="55">
        <v>1384.0</v>
      </c>
      <c r="E2623" s="57" t="s">
        <v>2017</v>
      </c>
      <c r="F2623" s="2" t="s">
        <v>2167</v>
      </c>
    </row>
    <row r="2624">
      <c r="A2624" s="55">
        <f t="shared" si="2"/>
        <v>2623</v>
      </c>
      <c r="B2624" s="56" t="s">
        <v>2173</v>
      </c>
      <c r="C2624" s="55" t="s">
        <v>31</v>
      </c>
      <c r="D2624" s="55">
        <v>1345.0</v>
      </c>
      <c r="E2624" s="57" t="s">
        <v>2017</v>
      </c>
      <c r="F2624" s="2" t="s">
        <v>2172</v>
      </c>
    </row>
    <row r="2625">
      <c r="A2625" s="55">
        <f t="shared" si="2"/>
        <v>2624</v>
      </c>
      <c r="B2625" s="56" t="s">
        <v>2173</v>
      </c>
      <c r="C2625" s="55" t="s">
        <v>34</v>
      </c>
      <c r="D2625" s="55">
        <v>1127.0</v>
      </c>
      <c r="E2625" s="57" t="s">
        <v>2017</v>
      </c>
      <c r="F2625" s="2" t="s">
        <v>2172</v>
      </c>
    </row>
    <row r="2626">
      <c r="A2626" s="55">
        <f t="shared" si="2"/>
        <v>2625</v>
      </c>
      <c r="B2626" s="56" t="s">
        <v>2173</v>
      </c>
      <c r="C2626" s="55" t="s">
        <v>36</v>
      </c>
      <c r="D2626" s="55">
        <v>1153.0</v>
      </c>
      <c r="E2626" s="57" t="s">
        <v>2017</v>
      </c>
      <c r="F2626" s="2" t="s">
        <v>2172</v>
      </c>
    </row>
    <row r="2627">
      <c r="A2627" s="55">
        <f t="shared" si="2"/>
        <v>2626</v>
      </c>
      <c r="B2627" s="56" t="s">
        <v>2173</v>
      </c>
      <c r="C2627" s="55" t="s">
        <v>29</v>
      </c>
      <c r="D2627" s="55">
        <v>1356.0</v>
      </c>
      <c r="E2627" s="57" t="s">
        <v>2017</v>
      </c>
      <c r="F2627" s="2" t="s">
        <v>2172</v>
      </c>
    </row>
    <row r="2628">
      <c r="A2628" s="55">
        <f t="shared" si="2"/>
        <v>2627</v>
      </c>
      <c r="B2628" s="56" t="s">
        <v>2173</v>
      </c>
      <c r="C2628" s="55" t="s">
        <v>42</v>
      </c>
      <c r="D2628" s="55">
        <v>1344.0</v>
      </c>
      <c r="E2628" s="57" t="s">
        <v>2017</v>
      </c>
      <c r="F2628" s="2" t="s">
        <v>2172</v>
      </c>
    </row>
    <row r="2629">
      <c r="A2629" s="55">
        <f t="shared" si="2"/>
        <v>2628</v>
      </c>
      <c r="B2629" s="56" t="s">
        <v>2173</v>
      </c>
      <c r="C2629" s="55" t="s">
        <v>24</v>
      </c>
      <c r="D2629" s="55">
        <v>1366.0</v>
      </c>
      <c r="E2629" s="57" t="s">
        <v>2017</v>
      </c>
      <c r="F2629" s="2" t="s">
        <v>2172</v>
      </c>
    </row>
    <row r="2630">
      <c r="A2630" s="55">
        <f t="shared" si="2"/>
        <v>2629</v>
      </c>
      <c r="B2630" s="56" t="s">
        <v>2173</v>
      </c>
      <c r="C2630" s="55" t="s">
        <v>30</v>
      </c>
      <c r="D2630" s="55">
        <v>1204.0</v>
      </c>
      <c r="E2630" s="57" t="s">
        <v>2017</v>
      </c>
      <c r="F2630" s="2" t="s">
        <v>2172</v>
      </c>
    </row>
    <row r="2631">
      <c r="A2631" s="55">
        <f t="shared" si="2"/>
        <v>2630</v>
      </c>
      <c r="B2631" s="56" t="s">
        <v>2177</v>
      </c>
      <c r="C2631" s="55" t="s">
        <v>30</v>
      </c>
      <c r="D2631" s="55">
        <v>1183.0</v>
      </c>
      <c r="E2631" s="57" t="s">
        <v>2017</v>
      </c>
      <c r="F2631" s="2" t="s">
        <v>2176</v>
      </c>
    </row>
    <row r="2632">
      <c r="A2632" s="55">
        <f t="shared" si="2"/>
        <v>2631</v>
      </c>
      <c r="B2632" s="56" t="s">
        <v>2177</v>
      </c>
      <c r="C2632" s="55" t="s">
        <v>36</v>
      </c>
      <c r="D2632" s="55">
        <v>1168.0</v>
      </c>
      <c r="E2632" s="57" t="s">
        <v>2017</v>
      </c>
      <c r="F2632" s="2" t="s">
        <v>2176</v>
      </c>
    </row>
    <row r="2633">
      <c r="A2633" s="55">
        <f t="shared" si="2"/>
        <v>2632</v>
      </c>
      <c r="B2633" s="56" t="s">
        <v>2177</v>
      </c>
      <c r="C2633" s="55" t="s">
        <v>29</v>
      </c>
      <c r="D2633" s="55">
        <v>1337.0</v>
      </c>
      <c r="E2633" s="57" t="s">
        <v>2017</v>
      </c>
      <c r="F2633" s="2" t="s">
        <v>2176</v>
      </c>
    </row>
    <row r="2634">
      <c r="A2634" s="55">
        <f t="shared" si="2"/>
        <v>2633</v>
      </c>
      <c r="B2634" s="56" t="s">
        <v>2177</v>
      </c>
      <c r="C2634" s="55" t="s">
        <v>24</v>
      </c>
      <c r="D2634" s="55">
        <v>1348.0</v>
      </c>
      <c r="E2634" s="57" t="s">
        <v>2017</v>
      </c>
      <c r="F2634" s="2" t="s">
        <v>2176</v>
      </c>
    </row>
    <row r="2635">
      <c r="A2635" s="55">
        <f t="shared" si="2"/>
        <v>2634</v>
      </c>
      <c r="B2635" s="56" t="s">
        <v>2177</v>
      </c>
      <c r="C2635" s="55" t="s">
        <v>31</v>
      </c>
      <c r="D2635" s="55">
        <v>1362.0</v>
      </c>
      <c r="E2635" s="57" t="s">
        <v>2017</v>
      </c>
      <c r="F2635" s="2" t="s">
        <v>2176</v>
      </c>
    </row>
    <row r="2636">
      <c r="A2636" s="55">
        <f t="shared" si="2"/>
        <v>2635</v>
      </c>
      <c r="B2636" s="56" t="s">
        <v>2177</v>
      </c>
      <c r="C2636" s="55" t="s">
        <v>42</v>
      </c>
      <c r="D2636" s="55">
        <v>1328.0</v>
      </c>
      <c r="E2636" s="57" t="s">
        <v>2017</v>
      </c>
      <c r="F2636" s="2" t="s">
        <v>2176</v>
      </c>
    </row>
    <row r="2637">
      <c r="A2637" s="55">
        <f t="shared" si="2"/>
        <v>2636</v>
      </c>
      <c r="B2637" s="56" t="s">
        <v>2177</v>
      </c>
      <c r="C2637" s="55" t="s">
        <v>34</v>
      </c>
      <c r="D2637" s="55">
        <v>1141.0</v>
      </c>
      <c r="E2637" s="57" t="s">
        <v>2017</v>
      </c>
      <c r="F2637" s="2" t="s">
        <v>2176</v>
      </c>
    </row>
    <row r="2638">
      <c r="A2638" s="55">
        <f t="shared" si="2"/>
        <v>2637</v>
      </c>
      <c r="B2638" s="56" t="s">
        <v>2181</v>
      </c>
      <c r="C2638" s="55" t="s">
        <v>31</v>
      </c>
      <c r="D2638" s="55">
        <v>1343.0</v>
      </c>
      <c r="E2638" s="57" t="s">
        <v>2017</v>
      </c>
      <c r="F2638" s="2" t="s">
        <v>2180</v>
      </c>
    </row>
    <row r="2639">
      <c r="A2639" s="55">
        <f t="shared" si="2"/>
        <v>2638</v>
      </c>
      <c r="B2639" s="56" t="s">
        <v>2181</v>
      </c>
      <c r="C2639" s="55" t="s">
        <v>36</v>
      </c>
      <c r="D2639" s="55">
        <v>1180.0</v>
      </c>
      <c r="E2639" s="57" t="s">
        <v>2017</v>
      </c>
      <c r="F2639" s="2" t="s">
        <v>2180</v>
      </c>
    </row>
    <row r="2640">
      <c r="A2640" s="55">
        <f t="shared" si="2"/>
        <v>2639</v>
      </c>
      <c r="B2640" s="56" t="s">
        <v>2181</v>
      </c>
      <c r="C2640" s="55" t="s">
        <v>42</v>
      </c>
      <c r="D2640" s="55">
        <v>1311.0</v>
      </c>
      <c r="E2640" s="57" t="s">
        <v>2017</v>
      </c>
      <c r="F2640" s="2" t="s">
        <v>2180</v>
      </c>
    </row>
    <row r="2641">
      <c r="A2641" s="55">
        <f t="shared" si="2"/>
        <v>2640</v>
      </c>
      <c r="B2641" s="56" t="s">
        <v>2181</v>
      </c>
      <c r="C2641" s="55" t="s">
        <v>30</v>
      </c>
      <c r="D2641" s="55">
        <v>1195.0</v>
      </c>
      <c r="E2641" s="57" t="s">
        <v>2017</v>
      </c>
      <c r="F2641" s="2" t="s">
        <v>2180</v>
      </c>
    </row>
    <row r="2642">
      <c r="A2642" s="55">
        <f t="shared" si="2"/>
        <v>2641</v>
      </c>
      <c r="B2642" s="56" t="s">
        <v>2181</v>
      </c>
      <c r="C2642" s="55" t="s">
        <v>29</v>
      </c>
      <c r="D2642" s="55">
        <v>1350.0</v>
      </c>
      <c r="E2642" s="57" t="s">
        <v>2017</v>
      </c>
      <c r="F2642" s="2" t="s">
        <v>2180</v>
      </c>
    </row>
    <row r="2643">
      <c r="A2643" s="55">
        <f t="shared" si="2"/>
        <v>2642</v>
      </c>
      <c r="B2643" s="56" t="s">
        <v>2181</v>
      </c>
      <c r="C2643" s="55" t="s">
        <v>34</v>
      </c>
      <c r="D2643" s="55">
        <v>1118.0</v>
      </c>
      <c r="E2643" s="57" t="s">
        <v>2017</v>
      </c>
      <c r="F2643" s="2" t="s">
        <v>2180</v>
      </c>
    </row>
    <row r="2644">
      <c r="A2644" s="55">
        <f t="shared" si="2"/>
        <v>2643</v>
      </c>
      <c r="B2644" s="56" t="s">
        <v>2181</v>
      </c>
      <c r="C2644" s="55" t="s">
        <v>24</v>
      </c>
      <c r="D2644" s="55">
        <v>1280.0</v>
      </c>
      <c r="E2644" s="57" t="s">
        <v>2017</v>
      </c>
      <c r="F2644" s="2" t="s">
        <v>2180</v>
      </c>
    </row>
    <row r="2645">
      <c r="A2645" s="55">
        <f t="shared" si="2"/>
        <v>2644</v>
      </c>
      <c r="B2645" s="56" t="s">
        <v>2185</v>
      </c>
      <c r="C2645" s="55" t="s">
        <v>30</v>
      </c>
      <c r="D2645" s="55">
        <v>1212.0</v>
      </c>
      <c r="E2645" s="57" t="s">
        <v>2017</v>
      </c>
      <c r="F2645" s="2" t="s">
        <v>2184</v>
      </c>
    </row>
    <row r="2646">
      <c r="A2646" s="55">
        <f t="shared" si="2"/>
        <v>2645</v>
      </c>
      <c r="B2646" s="56" t="s">
        <v>2185</v>
      </c>
      <c r="C2646" s="55" t="s">
        <v>42</v>
      </c>
      <c r="D2646" s="55">
        <v>1329.0</v>
      </c>
      <c r="E2646" s="57" t="s">
        <v>2017</v>
      </c>
      <c r="F2646" s="2" t="s">
        <v>2184</v>
      </c>
    </row>
    <row r="2647">
      <c r="A2647" s="55">
        <f t="shared" si="2"/>
        <v>2646</v>
      </c>
      <c r="B2647" s="56" t="s">
        <v>2185</v>
      </c>
      <c r="C2647" s="55" t="s">
        <v>34</v>
      </c>
      <c r="D2647" s="55">
        <v>1092.0</v>
      </c>
      <c r="E2647" s="57" t="s">
        <v>2017</v>
      </c>
      <c r="F2647" s="2" t="s">
        <v>2184</v>
      </c>
    </row>
    <row r="2648">
      <c r="A2648" s="55">
        <f t="shared" si="2"/>
        <v>2647</v>
      </c>
      <c r="B2648" s="56" t="s">
        <v>2185</v>
      </c>
      <c r="C2648" s="55" t="s">
        <v>36</v>
      </c>
      <c r="D2648" s="55">
        <v>1196.0</v>
      </c>
      <c r="E2648" s="57" t="s">
        <v>2017</v>
      </c>
      <c r="F2648" s="2" t="s">
        <v>2184</v>
      </c>
    </row>
    <row r="2649">
      <c r="A2649" s="55">
        <f t="shared" si="2"/>
        <v>2648</v>
      </c>
      <c r="B2649" s="56" t="s">
        <v>2185</v>
      </c>
      <c r="C2649" s="55" t="s">
        <v>27</v>
      </c>
      <c r="D2649" s="55">
        <v>1294.0</v>
      </c>
      <c r="E2649" s="57" t="s">
        <v>2017</v>
      </c>
      <c r="F2649" s="2" t="s">
        <v>2184</v>
      </c>
    </row>
    <row r="2650">
      <c r="A2650" s="55">
        <f t="shared" si="2"/>
        <v>2649</v>
      </c>
      <c r="B2650" s="56" t="s">
        <v>2185</v>
      </c>
      <c r="C2650" s="55" t="s">
        <v>29</v>
      </c>
      <c r="D2650" s="55">
        <v>1328.0</v>
      </c>
      <c r="E2650" s="57" t="s">
        <v>2017</v>
      </c>
      <c r="F2650" s="2" t="s">
        <v>2184</v>
      </c>
    </row>
    <row r="2651">
      <c r="A2651" s="55">
        <f t="shared" si="2"/>
        <v>2650</v>
      </c>
      <c r="B2651" s="56" t="s">
        <v>2190</v>
      </c>
      <c r="C2651" s="55" t="s">
        <v>42</v>
      </c>
      <c r="D2651" s="55">
        <v>1343.0</v>
      </c>
      <c r="E2651" s="57" t="s">
        <v>2017</v>
      </c>
      <c r="F2651" s="2" t="s">
        <v>2189</v>
      </c>
    </row>
    <row r="2652">
      <c r="A2652" s="55">
        <f t="shared" si="2"/>
        <v>2651</v>
      </c>
      <c r="B2652" s="56" t="s">
        <v>2190</v>
      </c>
      <c r="C2652" s="55" t="s">
        <v>31</v>
      </c>
      <c r="D2652" s="55">
        <v>1361.0</v>
      </c>
      <c r="E2652" s="57" t="s">
        <v>2017</v>
      </c>
      <c r="F2652" s="2" t="s">
        <v>2189</v>
      </c>
    </row>
    <row r="2653">
      <c r="A2653" s="55">
        <f t="shared" si="2"/>
        <v>2652</v>
      </c>
      <c r="B2653" s="56" t="s">
        <v>2190</v>
      </c>
      <c r="C2653" s="55" t="s">
        <v>30</v>
      </c>
      <c r="D2653" s="55">
        <v>1225.0</v>
      </c>
      <c r="E2653" s="57" t="s">
        <v>2017</v>
      </c>
      <c r="F2653" s="2" t="s">
        <v>2189</v>
      </c>
    </row>
    <row r="2654">
      <c r="A2654" s="55">
        <f t="shared" si="2"/>
        <v>2653</v>
      </c>
      <c r="B2654" s="56" t="s">
        <v>2190</v>
      </c>
      <c r="C2654" s="55" t="s">
        <v>34</v>
      </c>
      <c r="D2654" s="55">
        <v>1104.0</v>
      </c>
      <c r="E2654" s="57" t="s">
        <v>2017</v>
      </c>
      <c r="F2654" s="2" t="s">
        <v>2189</v>
      </c>
    </row>
    <row r="2655">
      <c r="A2655" s="55">
        <f t="shared" si="2"/>
        <v>2654</v>
      </c>
      <c r="B2655" s="56" t="s">
        <v>2190</v>
      </c>
      <c r="C2655" s="55" t="s">
        <v>27</v>
      </c>
      <c r="D2655" s="55">
        <v>1275.0</v>
      </c>
      <c r="E2655" s="57" t="s">
        <v>2017</v>
      </c>
      <c r="F2655" s="2" t="s">
        <v>2189</v>
      </c>
    </row>
    <row r="2656">
      <c r="A2656" s="55">
        <f t="shared" si="2"/>
        <v>2655</v>
      </c>
      <c r="B2656" s="56" t="s">
        <v>2190</v>
      </c>
      <c r="C2656" s="55" t="s">
        <v>29</v>
      </c>
      <c r="D2656" s="55">
        <v>1306.0</v>
      </c>
      <c r="E2656" s="57" t="s">
        <v>2017</v>
      </c>
      <c r="F2656" s="2" t="s">
        <v>2189</v>
      </c>
    </row>
    <row r="2657">
      <c r="A2657" s="55">
        <f t="shared" si="2"/>
        <v>2656</v>
      </c>
      <c r="B2657" s="56" t="s">
        <v>2195</v>
      </c>
      <c r="C2657" s="55" t="s">
        <v>31</v>
      </c>
      <c r="D2657" s="55">
        <v>1375.0</v>
      </c>
      <c r="E2657" s="57" t="s">
        <v>2017</v>
      </c>
      <c r="F2657" s="2" t="s">
        <v>2194</v>
      </c>
    </row>
    <row r="2658">
      <c r="A2658" s="55">
        <f t="shared" si="2"/>
        <v>2657</v>
      </c>
      <c r="B2658" s="56" t="s">
        <v>2195</v>
      </c>
      <c r="C2658" s="55" t="s">
        <v>42</v>
      </c>
      <c r="D2658" s="55">
        <v>1357.0</v>
      </c>
      <c r="E2658" s="57" t="s">
        <v>2017</v>
      </c>
      <c r="F2658" s="2" t="s">
        <v>2194</v>
      </c>
    </row>
    <row r="2659">
      <c r="A2659" s="55">
        <f t="shared" si="2"/>
        <v>2658</v>
      </c>
      <c r="B2659" s="56" t="s">
        <v>2195</v>
      </c>
      <c r="C2659" s="55" t="s">
        <v>29</v>
      </c>
      <c r="D2659" s="55">
        <v>1282.0</v>
      </c>
      <c r="E2659" s="57" t="s">
        <v>2017</v>
      </c>
      <c r="F2659" s="2" t="s">
        <v>2194</v>
      </c>
    </row>
    <row r="2660">
      <c r="A2660" s="55">
        <f t="shared" si="2"/>
        <v>2659</v>
      </c>
      <c r="B2660" s="56" t="s">
        <v>2195</v>
      </c>
      <c r="C2660" s="55" t="s">
        <v>34</v>
      </c>
      <c r="D2660" s="55">
        <v>1078.0</v>
      </c>
      <c r="E2660" s="57" t="s">
        <v>2017</v>
      </c>
      <c r="F2660" s="2" t="s">
        <v>2194</v>
      </c>
    </row>
    <row r="2661">
      <c r="A2661" s="55">
        <f t="shared" si="2"/>
        <v>2660</v>
      </c>
      <c r="B2661" s="56" t="s">
        <v>2195</v>
      </c>
      <c r="C2661" s="55" t="s">
        <v>30</v>
      </c>
      <c r="D2661" s="55">
        <v>1203.0</v>
      </c>
      <c r="E2661" s="57" t="s">
        <v>2017</v>
      </c>
      <c r="F2661" s="2" t="s">
        <v>2194</v>
      </c>
    </row>
    <row r="2662">
      <c r="A2662" s="55">
        <f t="shared" si="2"/>
        <v>2661</v>
      </c>
      <c r="B2662" s="56" t="s">
        <v>2195</v>
      </c>
      <c r="C2662" s="55" t="s">
        <v>27</v>
      </c>
      <c r="D2662" s="55">
        <v>1254.0</v>
      </c>
      <c r="E2662" s="57" t="s">
        <v>2017</v>
      </c>
      <c r="F2662" s="2" t="s">
        <v>2194</v>
      </c>
    </row>
    <row r="2663">
      <c r="A2663" s="55">
        <f t="shared" si="2"/>
        <v>2662</v>
      </c>
      <c r="B2663" s="56" t="s">
        <v>2199</v>
      </c>
      <c r="C2663" s="55" t="s">
        <v>34</v>
      </c>
      <c r="D2663" s="55">
        <v>1088.0</v>
      </c>
      <c r="E2663" s="57" t="s">
        <v>2017</v>
      </c>
      <c r="F2663" s="2" t="s">
        <v>2198</v>
      </c>
    </row>
    <row r="2664">
      <c r="A2664" s="55">
        <f t="shared" si="2"/>
        <v>2663</v>
      </c>
      <c r="B2664" s="56" t="s">
        <v>2199</v>
      </c>
      <c r="C2664" s="55" t="s">
        <v>27</v>
      </c>
      <c r="D2664" s="55">
        <v>1232.0</v>
      </c>
      <c r="E2664" s="57" t="s">
        <v>2017</v>
      </c>
      <c r="F2664" s="2" t="s">
        <v>2198</v>
      </c>
    </row>
    <row r="2665">
      <c r="A2665" s="55">
        <f t="shared" si="2"/>
        <v>2664</v>
      </c>
      <c r="B2665" s="56" t="s">
        <v>2199</v>
      </c>
      <c r="C2665" s="55" t="s">
        <v>31</v>
      </c>
      <c r="D2665" s="55">
        <v>1388.0</v>
      </c>
      <c r="E2665" s="57" t="s">
        <v>2017</v>
      </c>
      <c r="F2665" s="2" t="s">
        <v>2198</v>
      </c>
    </row>
    <row r="2666">
      <c r="A2666" s="55">
        <f t="shared" si="2"/>
        <v>2665</v>
      </c>
      <c r="B2666" s="56" t="s">
        <v>2199</v>
      </c>
      <c r="C2666" s="55" t="s">
        <v>30</v>
      </c>
      <c r="D2666" s="55">
        <v>1179.0</v>
      </c>
      <c r="E2666" s="57" t="s">
        <v>2017</v>
      </c>
      <c r="F2666" s="2" t="s">
        <v>2198</v>
      </c>
    </row>
    <row r="2667">
      <c r="A2667" s="55">
        <f t="shared" si="2"/>
        <v>2666</v>
      </c>
      <c r="B2667" s="56" t="s">
        <v>2199</v>
      </c>
      <c r="C2667" s="55" t="s">
        <v>29</v>
      </c>
      <c r="D2667" s="55">
        <v>1294.0</v>
      </c>
      <c r="E2667" s="57" t="s">
        <v>2017</v>
      </c>
      <c r="F2667" s="2" t="s">
        <v>2198</v>
      </c>
    </row>
    <row r="2668">
      <c r="A2668" s="55">
        <f t="shared" si="2"/>
        <v>2667</v>
      </c>
      <c r="B2668" s="56" t="s">
        <v>2199</v>
      </c>
      <c r="C2668" s="55" t="s">
        <v>42</v>
      </c>
      <c r="D2668" s="55">
        <v>1369.0</v>
      </c>
      <c r="E2668" s="57" t="s">
        <v>2017</v>
      </c>
      <c r="F2668" s="2" t="s">
        <v>2198</v>
      </c>
    </row>
    <row r="2669">
      <c r="A2669" s="55">
        <f t="shared" si="2"/>
        <v>2668</v>
      </c>
      <c r="B2669" s="56" t="s">
        <v>2203</v>
      </c>
      <c r="C2669" s="55" t="s">
        <v>31</v>
      </c>
      <c r="D2669" s="55">
        <v>1402.0</v>
      </c>
      <c r="E2669" s="57" t="s">
        <v>2017</v>
      </c>
      <c r="F2669" s="2" t="s">
        <v>2202</v>
      </c>
    </row>
    <row r="2670">
      <c r="A2670" s="55">
        <f t="shared" si="2"/>
        <v>2669</v>
      </c>
      <c r="B2670" s="56" t="s">
        <v>2203</v>
      </c>
      <c r="C2670" s="55" t="s">
        <v>30</v>
      </c>
      <c r="D2670" s="55">
        <v>1157.0</v>
      </c>
      <c r="E2670" s="57" t="s">
        <v>2017</v>
      </c>
      <c r="F2670" s="2" t="s">
        <v>2202</v>
      </c>
    </row>
    <row r="2671">
      <c r="A2671" s="55">
        <f t="shared" si="2"/>
        <v>2670</v>
      </c>
      <c r="B2671" s="56" t="s">
        <v>2203</v>
      </c>
      <c r="C2671" s="55" t="s">
        <v>29</v>
      </c>
      <c r="D2671" s="55">
        <v>1273.0</v>
      </c>
      <c r="E2671" s="57" t="s">
        <v>2017</v>
      </c>
      <c r="F2671" s="2" t="s">
        <v>2202</v>
      </c>
    </row>
    <row r="2672">
      <c r="A2672" s="55">
        <f t="shared" si="2"/>
        <v>2671</v>
      </c>
      <c r="B2672" s="56" t="s">
        <v>2203</v>
      </c>
      <c r="C2672" s="55" t="s">
        <v>27</v>
      </c>
      <c r="D2672" s="55">
        <v>1245.0</v>
      </c>
      <c r="E2672" s="57" t="s">
        <v>2017</v>
      </c>
      <c r="F2672" s="2" t="s">
        <v>2202</v>
      </c>
    </row>
    <row r="2673">
      <c r="A2673" s="55">
        <f t="shared" si="2"/>
        <v>2672</v>
      </c>
      <c r="B2673" s="56" t="s">
        <v>2203</v>
      </c>
      <c r="C2673" s="55" t="s">
        <v>42</v>
      </c>
      <c r="D2673" s="55">
        <v>1354.0</v>
      </c>
      <c r="E2673" s="57" t="s">
        <v>2017</v>
      </c>
      <c r="F2673" s="2" t="s">
        <v>2202</v>
      </c>
    </row>
    <row r="2674">
      <c r="A2674" s="55">
        <f t="shared" si="2"/>
        <v>2673</v>
      </c>
      <c r="B2674" s="56" t="s">
        <v>2203</v>
      </c>
      <c r="C2674" s="55" t="s">
        <v>34</v>
      </c>
      <c r="D2674" s="55">
        <v>1099.0</v>
      </c>
      <c r="E2674" s="57" t="s">
        <v>2017</v>
      </c>
      <c r="F2674" s="2" t="s">
        <v>2202</v>
      </c>
    </row>
    <row r="2675">
      <c r="A2675" s="55">
        <f t="shared" si="2"/>
        <v>2674</v>
      </c>
      <c r="B2675" s="56" t="s">
        <v>2207</v>
      </c>
      <c r="C2675" s="55" t="s">
        <v>29</v>
      </c>
      <c r="D2675" s="55">
        <v>1240.0</v>
      </c>
      <c r="E2675" s="57" t="s">
        <v>2017</v>
      </c>
      <c r="F2675" s="2" t="s">
        <v>2206</v>
      </c>
    </row>
    <row r="2676">
      <c r="A2676" s="55">
        <f t="shared" si="2"/>
        <v>2675</v>
      </c>
      <c r="B2676" s="56" t="s">
        <v>2207</v>
      </c>
      <c r="C2676" s="55" t="s">
        <v>34</v>
      </c>
      <c r="D2676" s="55">
        <v>1074.0</v>
      </c>
      <c r="E2676" s="57" t="s">
        <v>2017</v>
      </c>
      <c r="F2676" s="2" t="s">
        <v>2206</v>
      </c>
    </row>
    <row r="2677">
      <c r="A2677" s="55">
        <f t="shared" si="2"/>
        <v>2676</v>
      </c>
      <c r="B2677" s="56" t="s">
        <v>2207</v>
      </c>
      <c r="C2677" s="55" t="s">
        <v>27</v>
      </c>
      <c r="D2677" s="55">
        <v>1224.0</v>
      </c>
      <c r="E2677" s="57" t="s">
        <v>2017</v>
      </c>
      <c r="F2677" s="2" t="s">
        <v>2206</v>
      </c>
    </row>
    <row r="2678">
      <c r="A2678" s="55">
        <f t="shared" si="2"/>
        <v>2677</v>
      </c>
      <c r="B2678" s="56" t="s">
        <v>2207</v>
      </c>
      <c r="C2678" s="55" t="s">
        <v>30</v>
      </c>
      <c r="D2678" s="55">
        <v>1171.0</v>
      </c>
      <c r="E2678" s="57" t="s">
        <v>2017</v>
      </c>
      <c r="F2678" s="2" t="s">
        <v>2206</v>
      </c>
    </row>
    <row r="2679">
      <c r="A2679" s="55">
        <f t="shared" si="2"/>
        <v>2678</v>
      </c>
      <c r="B2679" s="56" t="s">
        <v>2207</v>
      </c>
      <c r="C2679" s="55" t="s">
        <v>31</v>
      </c>
      <c r="D2679" s="55">
        <v>1419.0</v>
      </c>
      <c r="E2679" s="57" t="s">
        <v>2017</v>
      </c>
      <c r="F2679" s="2" t="s">
        <v>2206</v>
      </c>
    </row>
    <row r="2680">
      <c r="A2680" s="55">
        <f t="shared" si="2"/>
        <v>2679</v>
      </c>
      <c r="B2680" s="56" t="s">
        <v>2207</v>
      </c>
      <c r="C2680" s="55" t="s">
        <v>42</v>
      </c>
      <c r="D2680" s="55">
        <v>1337.0</v>
      </c>
      <c r="E2680" s="57" t="s">
        <v>2017</v>
      </c>
      <c r="F2680" s="2" t="s">
        <v>2206</v>
      </c>
    </row>
    <row r="2681">
      <c r="A2681" s="55">
        <f t="shared" si="2"/>
        <v>2680</v>
      </c>
      <c r="B2681" s="56" t="s">
        <v>2211</v>
      </c>
      <c r="C2681" s="55" t="s">
        <v>30</v>
      </c>
      <c r="D2681" s="55">
        <v>1151.0</v>
      </c>
      <c r="E2681" s="57" t="s">
        <v>2017</v>
      </c>
      <c r="F2681" s="2" t="s">
        <v>2210</v>
      </c>
    </row>
    <row r="2682">
      <c r="A2682" s="55">
        <f t="shared" si="2"/>
        <v>2681</v>
      </c>
      <c r="B2682" s="56" t="s">
        <v>2211</v>
      </c>
      <c r="C2682" s="55" t="s">
        <v>42</v>
      </c>
      <c r="D2682" s="55">
        <v>1322.0</v>
      </c>
      <c r="E2682" s="57" t="s">
        <v>2017</v>
      </c>
      <c r="F2682" s="2" t="s">
        <v>2210</v>
      </c>
    </row>
    <row r="2683">
      <c r="A2683" s="55">
        <f t="shared" si="2"/>
        <v>2682</v>
      </c>
      <c r="B2683" s="56" t="s">
        <v>2211</v>
      </c>
      <c r="C2683" s="55" t="s">
        <v>27</v>
      </c>
      <c r="D2683" s="55">
        <v>1238.0</v>
      </c>
      <c r="E2683" s="57" t="s">
        <v>2017</v>
      </c>
      <c r="F2683" s="2" t="s">
        <v>2210</v>
      </c>
    </row>
    <row r="2684">
      <c r="A2684" s="55">
        <f t="shared" si="2"/>
        <v>2683</v>
      </c>
      <c r="B2684" s="56" t="s">
        <v>2211</v>
      </c>
      <c r="C2684" s="55" t="s">
        <v>40</v>
      </c>
      <c r="D2684" s="55">
        <v>1228.0</v>
      </c>
      <c r="E2684" s="57" t="s">
        <v>2017</v>
      </c>
      <c r="F2684" s="2" t="s">
        <v>2210</v>
      </c>
    </row>
    <row r="2685">
      <c r="A2685" s="55">
        <f t="shared" si="2"/>
        <v>2684</v>
      </c>
      <c r="B2685" s="56" t="s">
        <v>2211</v>
      </c>
      <c r="C2685" s="55" t="s">
        <v>34</v>
      </c>
      <c r="D2685" s="55">
        <v>1086.0</v>
      </c>
      <c r="E2685" s="57" t="s">
        <v>2017</v>
      </c>
      <c r="F2685" s="2" t="s">
        <v>2210</v>
      </c>
    </row>
    <row r="2686">
      <c r="A2686" s="55">
        <f t="shared" si="2"/>
        <v>2685</v>
      </c>
      <c r="B2686" s="56" t="s">
        <v>2216</v>
      </c>
      <c r="C2686" s="55" t="s">
        <v>30</v>
      </c>
      <c r="D2686" s="55">
        <v>1162.0</v>
      </c>
      <c r="E2686" s="57" t="s">
        <v>2017</v>
      </c>
      <c r="F2686" s="2" t="s">
        <v>2215</v>
      </c>
    </row>
    <row r="2687">
      <c r="A2687" s="55">
        <f t="shared" si="2"/>
        <v>2686</v>
      </c>
      <c r="B2687" s="56" t="s">
        <v>2216</v>
      </c>
      <c r="C2687" s="55" t="s">
        <v>34</v>
      </c>
      <c r="D2687" s="55">
        <v>1061.0</v>
      </c>
      <c r="E2687" s="57" t="s">
        <v>2017</v>
      </c>
      <c r="F2687" s="2" t="s">
        <v>2215</v>
      </c>
    </row>
    <row r="2688">
      <c r="A2688" s="55">
        <f t="shared" si="2"/>
        <v>2687</v>
      </c>
      <c r="B2688" s="56" t="s">
        <v>2216</v>
      </c>
      <c r="C2688" s="55" t="s">
        <v>40</v>
      </c>
      <c r="D2688" s="55">
        <v>1208.0</v>
      </c>
      <c r="E2688" s="57" t="s">
        <v>2017</v>
      </c>
      <c r="F2688" s="2" t="s">
        <v>2215</v>
      </c>
    </row>
    <row r="2689">
      <c r="A2689" s="55">
        <f t="shared" si="2"/>
        <v>2688</v>
      </c>
      <c r="B2689" s="56" t="s">
        <v>2216</v>
      </c>
      <c r="C2689" s="55" t="s">
        <v>42</v>
      </c>
      <c r="D2689" s="55">
        <v>1334.0</v>
      </c>
      <c r="E2689" s="57" t="s">
        <v>2017</v>
      </c>
      <c r="F2689" s="2" t="s">
        <v>2215</v>
      </c>
    </row>
    <row r="2690">
      <c r="A2690" s="55">
        <f t="shared" si="2"/>
        <v>2689</v>
      </c>
      <c r="B2690" s="56" t="s">
        <v>2216</v>
      </c>
      <c r="C2690" s="55" t="s">
        <v>27</v>
      </c>
      <c r="D2690" s="55">
        <v>1250.0</v>
      </c>
      <c r="E2690" s="57" t="s">
        <v>2017</v>
      </c>
      <c r="F2690" s="2" t="s">
        <v>2215</v>
      </c>
    </row>
    <row r="2691">
      <c r="A2691" s="55">
        <f t="shared" si="2"/>
        <v>2690</v>
      </c>
      <c r="B2691" s="56" t="s">
        <v>2220</v>
      </c>
      <c r="C2691" s="55" t="s">
        <v>30</v>
      </c>
      <c r="D2691" s="55">
        <v>1174.0</v>
      </c>
      <c r="E2691" s="57" t="s">
        <v>2017</v>
      </c>
      <c r="F2691" s="2" t="s">
        <v>2219</v>
      </c>
    </row>
    <row r="2692">
      <c r="A2692" s="55">
        <f t="shared" si="2"/>
        <v>2691</v>
      </c>
      <c r="B2692" s="56" t="s">
        <v>2220</v>
      </c>
      <c r="C2692" s="55" t="s">
        <v>36</v>
      </c>
      <c r="D2692" s="55">
        <v>1174.0</v>
      </c>
      <c r="E2692" s="57" t="s">
        <v>2017</v>
      </c>
      <c r="F2692" s="2" t="s">
        <v>2219</v>
      </c>
    </row>
    <row r="2693">
      <c r="A2693" s="55">
        <f t="shared" si="2"/>
        <v>2692</v>
      </c>
      <c r="B2693" s="56" t="s">
        <v>2220</v>
      </c>
      <c r="C2693" s="55" t="s">
        <v>34</v>
      </c>
      <c r="D2693" s="55">
        <v>1072.0</v>
      </c>
      <c r="E2693" s="57" t="s">
        <v>2017</v>
      </c>
      <c r="F2693" s="2" t="s">
        <v>2219</v>
      </c>
    </row>
    <row r="2694">
      <c r="A2694" s="55">
        <f t="shared" si="2"/>
        <v>2693</v>
      </c>
      <c r="B2694" s="56" t="s">
        <v>2220</v>
      </c>
      <c r="C2694" s="55" t="s">
        <v>26</v>
      </c>
      <c r="D2694" s="55">
        <v>1242.0</v>
      </c>
      <c r="E2694" s="57" t="s">
        <v>2017</v>
      </c>
      <c r="F2694" s="2" t="s">
        <v>2219</v>
      </c>
    </row>
    <row r="2695">
      <c r="A2695" s="55">
        <f t="shared" si="2"/>
        <v>2694</v>
      </c>
      <c r="B2695" s="56" t="s">
        <v>2220</v>
      </c>
      <c r="C2695" s="55" t="s">
        <v>31</v>
      </c>
      <c r="D2695" s="55">
        <v>1404.0</v>
      </c>
      <c r="E2695" s="57" t="s">
        <v>2017</v>
      </c>
      <c r="F2695" s="2" t="s">
        <v>2219</v>
      </c>
    </row>
    <row r="2696">
      <c r="A2696" s="55">
        <f t="shared" si="2"/>
        <v>2695</v>
      </c>
      <c r="B2696" s="56" t="s">
        <v>2220</v>
      </c>
      <c r="C2696" s="55" t="s">
        <v>27</v>
      </c>
      <c r="D2696" s="55">
        <v>1233.0</v>
      </c>
      <c r="E2696" s="57" t="s">
        <v>2017</v>
      </c>
      <c r="F2696" s="2" t="s">
        <v>2219</v>
      </c>
    </row>
    <row r="2697">
      <c r="A2697" s="55">
        <f t="shared" si="2"/>
        <v>2696</v>
      </c>
      <c r="B2697" s="56" t="s">
        <v>2225</v>
      </c>
      <c r="C2697" s="55" t="s">
        <v>34</v>
      </c>
      <c r="D2697" s="55">
        <v>1088.0</v>
      </c>
      <c r="E2697" s="57" t="s">
        <v>2017</v>
      </c>
      <c r="F2697" s="2" t="s">
        <v>2224</v>
      </c>
    </row>
    <row r="2698">
      <c r="A2698" s="55">
        <f t="shared" si="2"/>
        <v>2697</v>
      </c>
      <c r="B2698" s="56" t="s">
        <v>2225</v>
      </c>
      <c r="C2698" s="55" t="s">
        <v>27</v>
      </c>
      <c r="D2698" s="55">
        <v>1214.0</v>
      </c>
      <c r="E2698" s="57" t="s">
        <v>2017</v>
      </c>
      <c r="F2698" s="2" t="s">
        <v>2224</v>
      </c>
    </row>
    <row r="2699">
      <c r="A2699" s="55">
        <f t="shared" si="2"/>
        <v>2698</v>
      </c>
      <c r="B2699" s="56" t="s">
        <v>2225</v>
      </c>
      <c r="C2699" s="55" t="s">
        <v>36</v>
      </c>
      <c r="D2699" s="55">
        <v>1191.0</v>
      </c>
      <c r="E2699" s="57" t="s">
        <v>2017</v>
      </c>
      <c r="F2699" s="2" t="s">
        <v>2224</v>
      </c>
    </row>
    <row r="2700">
      <c r="A2700" s="55">
        <f t="shared" si="2"/>
        <v>2699</v>
      </c>
      <c r="B2700" s="56" t="s">
        <v>2225</v>
      </c>
      <c r="C2700" s="55" t="s">
        <v>30</v>
      </c>
      <c r="D2700" s="55">
        <v>1191.0</v>
      </c>
      <c r="E2700" s="57" t="s">
        <v>2017</v>
      </c>
      <c r="F2700" s="2" t="s">
        <v>2224</v>
      </c>
    </row>
    <row r="2701">
      <c r="A2701" s="55">
        <f t="shared" si="2"/>
        <v>2700</v>
      </c>
      <c r="B2701" s="56" t="s">
        <v>2225</v>
      </c>
      <c r="C2701" s="55" t="s">
        <v>26</v>
      </c>
      <c r="D2701" s="55">
        <v>1260.0</v>
      </c>
      <c r="E2701" s="57" t="s">
        <v>2017</v>
      </c>
      <c r="F2701" s="2" t="s">
        <v>2224</v>
      </c>
    </row>
    <row r="2702">
      <c r="A2702" s="55">
        <f t="shared" si="2"/>
        <v>2701</v>
      </c>
      <c r="B2702" s="56" t="s">
        <v>2225</v>
      </c>
      <c r="C2702" s="55" t="s">
        <v>31</v>
      </c>
      <c r="D2702" s="55">
        <v>1387.0</v>
      </c>
      <c r="E2702" s="57" t="s">
        <v>2017</v>
      </c>
      <c r="F2702" s="2" t="s">
        <v>2224</v>
      </c>
    </row>
    <row r="2703">
      <c r="A2703" s="55">
        <f t="shared" si="2"/>
        <v>2702</v>
      </c>
      <c r="B2703" s="56" t="s">
        <v>9617</v>
      </c>
      <c r="C2703" s="55" t="s">
        <v>30</v>
      </c>
      <c r="D2703" s="55">
        <v>1171.0</v>
      </c>
      <c r="E2703" s="57" t="s">
        <v>2017</v>
      </c>
      <c r="F2703" s="2" t="s">
        <v>9618</v>
      </c>
    </row>
    <row r="2704">
      <c r="A2704" s="55">
        <f t="shared" si="2"/>
        <v>2703</v>
      </c>
      <c r="B2704" s="56" t="s">
        <v>9617</v>
      </c>
      <c r="C2704" s="55" t="s">
        <v>26</v>
      </c>
      <c r="D2704" s="55">
        <v>1239.0</v>
      </c>
      <c r="E2704" s="57" t="s">
        <v>2017</v>
      </c>
      <c r="F2704" s="2" t="s">
        <v>9618</v>
      </c>
    </row>
    <row r="2705">
      <c r="A2705" s="55">
        <f t="shared" si="2"/>
        <v>2704</v>
      </c>
      <c r="B2705" s="56" t="s">
        <v>9617</v>
      </c>
      <c r="C2705" s="55" t="s">
        <v>31</v>
      </c>
      <c r="D2705" s="55">
        <v>1370.0</v>
      </c>
      <c r="E2705" s="57" t="s">
        <v>2017</v>
      </c>
      <c r="F2705" s="2" t="s">
        <v>9618</v>
      </c>
    </row>
    <row r="2706">
      <c r="A2706" s="55">
        <f t="shared" si="2"/>
        <v>2705</v>
      </c>
      <c r="B2706" s="56" t="s">
        <v>2229</v>
      </c>
      <c r="C2706" s="55" t="s">
        <v>31</v>
      </c>
      <c r="D2706" s="55">
        <v>1353.0</v>
      </c>
      <c r="E2706" s="57" t="s">
        <v>2017</v>
      </c>
      <c r="F2706" s="2" t="s">
        <v>2228</v>
      </c>
    </row>
    <row r="2707">
      <c r="A2707" s="55">
        <f t="shared" si="2"/>
        <v>2706</v>
      </c>
      <c r="B2707" s="56" t="s">
        <v>2229</v>
      </c>
      <c r="C2707" s="55" t="s">
        <v>26</v>
      </c>
      <c r="D2707" s="55">
        <v>1216.0</v>
      </c>
      <c r="E2707" s="57" t="s">
        <v>2017</v>
      </c>
      <c r="F2707" s="2" t="s">
        <v>2228</v>
      </c>
    </row>
    <row r="2708">
      <c r="A2708" s="55">
        <f t="shared" si="2"/>
        <v>2707</v>
      </c>
      <c r="B2708" s="56" t="s">
        <v>2229</v>
      </c>
      <c r="C2708" s="55" t="s">
        <v>34</v>
      </c>
      <c r="D2708" s="55">
        <v>1099.0</v>
      </c>
      <c r="E2708" s="57" t="s">
        <v>2017</v>
      </c>
      <c r="F2708" s="2" t="s">
        <v>2228</v>
      </c>
    </row>
    <row r="2709">
      <c r="A2709" s="55">
        <f t="shared" si="2"/>
        <v>2708</v>
      </c>
      <c r="B2709" s="56" t="s">
        <v>2229</v>
      </c>
      <c r="C2709" s="55" t="s">
        <v>27</v>
      </c>
      <c r="D2709" s="55">
        <v>1226.0</v>
      </c>
      <c r="E2709" s="57" t="s">
        <v>2017</v>
      </c>
      <c r="F2709" s="2" t="s">
        <v>2228</v>
      </c>
    </row>
    <row r="2710">
      <c r="A2710" s="55">
        <f t="shared" si="2"/>
        <v>2709</v>
      </c>
      <c r="B2710" s="56" t="s">
        <v>2229</v>
      </c>
      <c r="C2710" s="55" t="s">
        <v>36</v>
      </c>
      <c r="D2710" s="55">
        <v>1216.0</v>
      </c>
      <c r="E2710" s="57" t="s">
        <v>2017</v>
      </c>
      <c r="F2710" s="2" t="s">
        <v>2228</v>
      </c>
    </row>
    <row r="2711">
      <c r="A2711" s="55">
        <f t="shared" si="2"/>
        <v>2710</v>
      </c>
      <c r="B2711" s="56" t="s">
        <v>2229</v>
      </c>
      <c r="C2711" s="55" t="s">
        <v>30</v>
      </c>
      <c r="D2711" s="55">
        <v>1150.0</v>
      </c>
      <c r="E2711" s="57" t="s">
        <v>2017</v>
      </c>
      <c r="F2711" s="2" t="s">
        <v>2228</v>
      </c>
    </row>
    <row r="2712">
      <c r="A2712" s="55">
        <f t="shared" si="2"/>
        <v>2711</v>
      </c>
      <c r="B2712" s="56" t="s">
        <v>2233</v>
      </c>
      <c r="C2712" s="55" t="s">
        <v>30</v>
      </c>
      <c r="D2712" s="55">
        <v>1126.0</v>
      </c>
      <c r="E2712" s="57" t="s">
        <v>2017</v>
      </c>
      <c r="F2712" s="2" t="s">
        <v>2232</v>
      </c>
    </row>
    <row r="2713">
      <c r="A2713" s="55">
        <f t="shared" si="2"/>
        <v>2712</v>
      </c>
      <c r="B2713" s="56" t="s">
        <v>2233</v>
      </c>
      <c r="C2713" s="55" t="s">
        <v>27</v>
      </c>
      <c r="D2713" s="55">
        <v>1243.0</v>
      </c>
      <c r="E2713" s="57" t="s">
        <v>2017</v>
      </c>
      <c r="F2713" s="2" t="s">
        <v>2232</v>
      </c>
    </row>
    <row r="2714">
      <c r="A2714" s="55">
        <f t="shared" si="2"/>
        <v>2713</v>
      </c>
      <c r="B2714" s="56" t="s">
        <v>2233</v>
      </c>
      <c r="C2714" s="55" t="s">
        <v>26</v>
      </c>
      <c r="D2714" s="55">
        <v>1233.0</v>
      </c>
      <c r="E2714" s="57" t="s">
        <v>2017</v>
      </c>
      <c r="F2714" s="2" t="s">
        <v>2232</v>
      </c>
    </row>
    <row r="2715">
      <c r="A2715" s="55">
        <f t="shared" si="2"/>
        <v>2714</v>
      </c>
      <c r="B2715" s="56" t="s">
        <v>2233</v>
      </c>
      <c r="C2715" s="55" t="s">
        <v>31</v>
      </c>
      <c r="D2715" s="55">
        <v>1372.0</v>
      </c>
      <c r="E2715" s="57" t="s">
        <v>2017</v>
      </c>
      <c r="F2715" s="2" t="s">
        <v>2232</v>
      </c>
    </row>
    <row r="2716">
      <c r="A2716" s="55">
        <f t="shared" si="2"/>
        <v>2715</v>
      </c>
      <c r="B2716" s="56" t="s">
        <v>2233</v>
      </c>
      <c r="C2716" s="55" t="s">
        <v>34</v>
      </c>
      <c r="D2716" s="55">
        <v>1115.0</v>
      </c>
      <c r="E2716" s="57" t="s">
        <v>2017</v>
      </c>
      <c r="F2716" s="2" t="s">
        <v>2232</v>
      </c>
    </row>
    <row r="2717">
      <c r="A2717" s="55">
        <f t="shared" si="2"/>
        <v>2716</v>
      </c>
      <c r="B2717" s="56" t="s">
        <v>2238</v>
      </c>
      <c r="C2717" s="55" t="s">
        <v>31</v>
      </c>
      <c r="D2717" s="55">
        <v>1356.0</v>
      </c>
      <c r="E2717" s="57" t="s">
        <v>2017</v>
      </c>
      <c r="F2717" s="2" t="s">
        <v>2237</v>
      </c>
    </row>
    <row r="2718">
      <c r="A2718" s="55">
        <f t="shared" si="2"/>
        <v>2717</v>
      </c>
      <c r="B2718" s="56" t="s">
        <v>2238</v>
      </c>
      <c r="C2718" s="55" t="s">
        <v>34</v>
      </c>
      <c r="D2718" s="55">
        <v>1089.0</v>
      </c>
      <c r="E2718" s="57" t="s">
        <v>2017</v>
      </c>
      <c r="F2718" s="2" t="s">
        <v>2237</v>
      </c>
    </row>
    <row r="2719">
      <c r="A2719" s="55">
        <f t="shared" si="2"/>
        <v>2718</v>
      </c>
      <c r="B2719" s="56" t="s">
        <v>2238</v>
      </c>
      <c r="C2719" s="55" t="s">
        <v>30</v>
      </c>
      <c r="D2719" s="55">
        <v>1140.0</v>
      </c>
      <c r="E2719" s="57" t="s">
        <v>2017</v>
      </c>
      <c r="F2719" s="2" t="s">
        <v>2237</v>
      </c>
    </row>
    <row r="2720">
      <c r="A2720" s="55">
        <f t="shared" si="2"/>
        <v>2719</v>
      </c>
      <c r="B2720" s="56" t="s">
        <v>2238</v>
      </c>
      <c r="C2720" s="55" t="s">
        <v>27</v>
      </c>
      <c r="D2720" s="55">
        <v>1258.0</v>
      </c>
      <c r="E2720" s="57" t="s">
        <v>2017</v>
      </c>
      <c r="F2720" s="2" t="s">
        <v>2237</v>
      </c>
    </row>
    <row r="2721">
      <c r="A2721" s="55">
        <f t="shared" si="2"/>
        <v>2720</v>
      </c>
      <c r="B2721" s="56" t="s">
        <v>2238</v>
      </c>
      <c r="C2721" s="55" t="s">
        <v>26</v>
      </c>
      <c r="D2721" s="55">
        <v>1212.0</v>
      </c>
      <c r="E2721" s="57" t="s">
        <v>2017</v>
      </c>
      <c r="F2721" s="2" t="s">
        <v>2237</v>
      </c>
    </row>
    <row r="2722">
      <c r="A2722" s="55">
        <f t="shared" si="2"/>
        <v>2721</v>
      </c>
      <c r="B2722" s="56" t="s">
        <v>2242</v>
      </c>
      <c r="C2722" s="55" t="s">
        <v>30</v>
      </c>
      <c r="D2722" s="55">
        <v>1158.0</v>
      </c>
      <c r="E2722" s="57" t="s">
        <v>2017</v>
      </c>
      <c r="F2722" s="2" t="s">
        <v>2241</v>
      </c>
    </row>
    <row r="2723">
      <c r="A2723" s="55">
        <f t="shared" si="2"/>
        <v>2722</v>
      </c>
      <c r="B2723" s="56" t="s">
        <v>2242</v>
      </c>
      <c r="C2723" s="55" t="s">
        <v>34</v>
      </c>
      <c r="D2723" s="55">
        <v>1107.0</v>
      </c>
      <c r="E2723" s="57" t="s">
        <v>2017</v>
      </c>
      <c r="F2723" s="2" t="s">
        <v>2241</v>
      </c>
    </row>
    <row r="2724">
      <c r="A2724" s="55">
        <f t="shared" si="2"/>
        <v>2723</v>
      </c>
      <c r="B2724" s="56" t="s">
        <v>2242</v>
      </c>
      <c r="C2724" s="55" t="s">
        <v>26</v>
      </c>
      <c r="D2724" s="55">
        <v>1188.0</v>
      </c>
      <c r="E2724" s="57" t="s">
        <v>2017</v>
      </c>
      <c r="F2724" s="2" t="s">
        <v>2241</v>
      </c>
    </row>
    <row r="2725">
      <c r="A2725" s="55">
        <f t="shared" si="2"/>
        <v>2724</v>
      </c>
      <c r="B2725" s="56" t="s">
        <v>2242</v>
      </c>
      <c r="C2725" s="55" t="s">
        <v>27</v>
      </c>
      <c r="D2725" s="55">
        <v>1240.0</v>
      </c>
      <c r="E2725" s="57" t="s">
        <v>2017</v>
      </c>
      <c r="F2725" s="2" t="s">
        <v>2241</v>
      </c>
    </row>
    <row r="2726">
      <c r="A2726" s="55">
        <f t="shared" si="2"/>
        <v>2725</v>
      </c>
      <c r="B2726" s="56" t="s">
        <v>2242</v>
      </c>
      <c r="C2726" s="55" t="s">
        <v>31</v>
      </c>
      <c r="D2726" s="55">
        <v>1377.0</v>
      </c>
      <c r="E2726" s="57" t="s">
        <v>2017</v>
      </c>
      <c r="F2726" s="2" t="s">
        <v>2241</v>
      </c>
    </row>
    <row r="2727">
      <c r="A2727" s="55">
        <f t="shared" si="2"/>
        <v>2726</v>
      </c>
      <c r="B2727" s="56" t="s">
        <v>2246</v>
      </c>
      <c r="C2727" s="55" t="s">
        <v>31</v>
      </c>
      <c r="D2727" s="55">
        <v>1359.0</v>
      </c>
      <c r="E2727" s="57" t="s">
        <v>2017</v>
      </c>
      <c r="F2727" s="2" t="s">
        <v>2245</v>
      </c>
    </row>
    <row r="2728">
      <c r="A2728" s="55">
        <f t="shared" si="2"/>
        <v>2727</v>
      </c>
      <c r="B2728" s="56" t="s">
        <v>2246</v>
      </c>
      <c r="C2728" s="55" t="s">
        <v>34</v>
      </c>
      <c r="D2728" s="55">
        <v>1125.0</v>
      </c>
      <c r="E2728" s="57" t="s">
        <v>2017</v>
      </c>
      <c r="F2728" s="2" t="s">
        <v>2245</v>
      </c>
    </row>
    <row r="2729">
      <c r="A2729" s="55">
        <f t="shared" si="2"/>
        <v>2728</v>
      </c>
      <c r="B2729" s="56" t="s">
        <v>2246</v>
      </c>
      <c r="C2729" s="55" t="s">
        <v>26</v>
      </c>
      <c r="D2729" s="55">
        <v>1207.0</v>
      </c>
      <c r="E2729" s="57" t="s">
        <v>2017</v>
      </c>
      <c r="F2729" s="2" t="s">
        <v>2245</v>
      </c>
    </row>
    <row r="2730">
      <c r="A2730" s="55">
        <f t="shared" si="2"/>
        <v>2729</v>
      </c>
      <c r="B2730" s="56" t="s">
        <v>2246</v>
      </c>
      <c r="C2730" s="55" t="s">
        <v>42</v>
      </c>
      <c r="D2730" s="55">
        <v>1320.0</v>
      </c>
      <c r="E2730" s="57" t="s">
        <v>2017</v>
      </c>
      <c r="F2730" s="2" t="s">
        <v>2245</v>
      </c>
    </row>
    <row r="2731">
      <c r="A2731" s="55">
        <f t="shared" si="2"/>
        <v>2730</v>
      </c>
      <c r="B2731" s="56" t="s">
        <v>2246</v>
      </c>
      <c r="C2731" s="55" t="s">
        <v>36</v>
      </c>
      <c r="D2731" s="55">
        <v>1194.0</v>
      </c>
      <c r="E2731" s="57" t="s">
        <v>2017</v>
      </c>
      <c r="F2731" s="2" t="s">
        <v>2245</v>
      </c>
    </row>
    <row r="2732">
      <c r="A2732" s="55">
        <f t="shared" si="2"/>
        <v>2731</v>
      </c>
      <c r="B2732" s="56" t="s">
        <v>2246</v>
      </c>
      <c r="C2732" s="55" t="s">
        <v>40</v>
      </c>
      <c r="D2732" s="55">
        <v>1190.0</v>
      </c>
      <c r="E2732" s="57" t="s">
        <v>2017</v>
      </c>
      <c r="F2732" s="2" t="s">
        <v>2245</v>
      </c>
    </row>
    <row r="2733">
      <c r="A2733" s="55">
        <f t="shared" si="2"/>
        <v>2732</v>
      </c>
      <c r="B2733" s="56" t="s">
        <v>2246</v>
      </c>
      <c r="C2733" s="55" t="s">
        <v>27</v>
      </c>
      <c r="D2733" s="55">
        <v>1259.0</v>
      </c>
      <c r="E2733" s="57" t="s">
        <v>2017</v>
      </c>
      <c r="F2733" s="2" t="s">
        <v>2245</v>
      </c>
    </row>
    <row r="2734">
      <c r="A2734" s="55">
        <f t="shared" si="2"/>
        <v>2733</v>
      </c>
      <c r="B2734" s="56" t="s">
        <v>2246</v>
      </c>
      <c r="C2734" s="55" t="s">
        <v>30</v>
      </c>
      <c r="D2734" s="55">
        <v>1176.0</v>
      </c>
      <c r="E2734" s="57" t="s">
        <v>2017</v>
      </c>
      <c r="F2734" s="2" t="s">
        <v>2245</v>
      </c>
    </row>
    <row r="2735">
      <c r="A2735" s="55">
        <f t="shared" si="2"/>
        <v>2734</v>
      </c>
      <c r="B2735" s="56" t="s">
        <v>2251</v>
      </c>
      <c r="C2735" s="55" t="s">
        <v>26</v>
      </c>
      <c r="D2735" s="55">
        <v>1222.0</v>
      </c>
      <c r="E2735" s="57" t="s">
        <v>2017</v>
      </c>
      <c r="F2735" s="2" t="s">
        <v>2250</v>
      </c>
    </row>
    <row r="2736">
      <c r="A2736" s="55">
        <f t="shared" si="2"/>
        <v>2735</v>
      </c>
      <c r="B2736" s="56" t="s">
        <v>2251</v>
      </c>
      <c r="C2736" s="55" t="s">
        <v>30</v>
      </c>
      <c r="D2736" s="55">
        <v>1152.0</v>
      </c>
      <c r="E2736" s="57" t="s">
        <v>2017</v>
      </c>
      <c r="F2736" s="2" t="s">
        <v>2250</v>
      </c>
    </row>
    <row r="2737">
      <c r="A2737" s="55">
        <f t="shared" si="2"/>
        <v>2736</v>
      </c>
      <c r="B2737" s="56" t="s">
        <v>2251</v>
      </c>
      <c r="C2737" s="55" t="s">
        <v>27</v>
      </c>
      <c r="D2737" s="55">
        <v>1237.0</v>
      </c>
      <c r="E2737" s="57" t="s">
        <v>2017</v>
      </c>
      <c r="F2737" s="2" t="s">
        <v>2250</v>
      </c>
    </row>
    <row r="2738">
      <c r="A2738" s="55">
        <f t="shared" si="2"/>
        <v>2737</v>
      </c>
      <c r="B2738" s="56" t="s">
        <v>2251</v>
      </c>
      <c r="C2738" s="55" t="s">
        <v>34</v>
      </c>
      <c r="D2738" s="55">
        <v>1139.0</v>
      </c>
      <c r="E2738" s="57" t="s">
        <v>2017</v>
      </c>
      <c r="F2738" s="2" t="s">
        <v>2250</v>
      </c>
    </row>
    <row r="2739">
      <c r="A2739" s="55">
        <f t="shared" si="2"/>
        <v>2738</v>
      </c>
      <c r="B2739" s="56" t="s">
        <v>2251</v>
      </c>
      <c r="C2739" s="55" t="s">
        <v>36</v>
      </c>
      <c r="D2739" s="55">
        <v>1170.0</v>
      </c>
      <c r="E2739" s="57" t="s">
        <v>2017</v>
      </c>
      <c r="F2739" s="2" t="s">
        <v>2250</v>
      </c>
    </row>
    <row r="2740">
      <c r="A2740" s="55">
        <f t="shared" si="2"/>
        <v>2739</v>
      </c>
      <c r="B2740" s="56" t="s">
        <v>2251</v>
      </c>
      <c r="C2740" s="55" t="s">
        <v>40</v>
      </c>
      <c r="D2740" s="55">
        <v>1166.0</v>
      </c>
      <c r="E2740" s="57" t="s">
        <v>2017</v>
      </c>
      <c r="F2740" s="2" t="s">
        <v>2250</v>
      </c>
    </row>
    <row r="2741">
      <c r="A2741" s="55">
        <f t="shared" si="2"/>
        <v>2740</v>
      </c>
      <c r="B2741" s="56" t="s">
        <v>2251</v>
      </c>
      <c r="C2741" s="55" t="s">
        <v>42</v>
      </c>
      <c r="D2741" s="55">
        <v>1336.0</v>
      </c>
      <c r="E2741" s="57" t="s">
        <v>2017</v>
      </c>
      <c r="F2741" s="2" t="s">
        <v>2250</v>
      </c>
    </row>
    <row r="2742">
      <c r="A2742" s="55">
        <f t="shared" si="2"/>
        <v>2741</v>
      </c>
      <c r="B2742" s="56" t="s">
        <v>2251</v>
      </c>
      <c r="C2742" s="55" t="s">
        <v>31</v>
      </c>
      <c r="D2742" s="55">
        <v>1376.0</v>
      </c>
      <c r="E2742" s="57" t="s">
        <v>2017</v>
      </c>
      <c r="F2742" s="2" t="s">
        <v>2250</v>
      </c>
    </row>
    <row r="2743">
      <c r="A2743" s="55">
        <f t="shared" si="2"/>
        <v>2742</v>
      </c>
      <c r="B2743" s="56" t="s">
        <v>2255</v>
      </c>
      <c r="C2743" s="55" t="s">
        <v>36</v>
      </c>
      <c r="D2743" s="55">
        <v>1148.0</v>
      </c>
      <c r="E2743" s="57" t="s">
        <v>2017</v>
      </c>
      <c r="F2743" s="2" t="s">
        <v>2254</v>
      </c>
    </row>
    <row r="2744">
      <c r="A2744" s="55">
        <f t="shared" si="2"/>
        <v>2743</v>
      </c>
      <c r="B2744" s="56" t="s">
        <v>2255</v>
      </c>
      <c r="C2744" s="55" t="s">
        <v>30</v>
      </c>
      <c r="D2744" s="55">
        <v>1169.0</v>
      </c>
      <c r="E2744" s="57" t="s">
        <v>2017</v>
      </c>
      <c r="F2744" s="2" t="s">
        <v>2254</v>
      </c>
    </row>
    <row r="2745">
      <c r="A2745" s="55">
        <f t="shared" si="2"/>
        <v>2744</v>
      </c>
      <c r="B2745" s="56" t="s">
        <v>2255</v>
      </c>
      <c r="C2745" s="55" t="s">
        <v>27</v>
      </c>
      <c r="D2745" s="55">
        <v>1255.0</v>
      </c>
      <c r="E2745" s="57" t="s">
        <v>2017</v>
      </c>
      <c r="F2745" s="2" t="s">
        <v>2254</v>
      </c>
    </row>
    <row r="2746">
      <c r="A2746" s="55">
        <f t="shared" si="2"/>
        <v>2745</v>
      </c>
      <c r="B2746" s="56" t="s">
        <v>2255</v>
      </c>
      <c r="C2746" s="55" t="s">
        <v>42</v>
      </c>
      <c r="D2746" s="55">
        <v>1319.0</v>
      </c>
      <c r="E2746" s="57" t="s">
        <v>2017</v>
      </c>
      <c r="F2746" s="2" t="s">
        <v>2254</v>
      </c>
    </row>
    <row r="2747">
      <c r="A2747" s="55">
        <f t="shared" si="2"/>
        <v>2746</v>
      </c>
      <c r="B2747" s="56" t="s">
        <v>2255</v>
      </c>
      <c r="C2747" s="55" t="s">
        <v>40</v>
      </c>
      <c r="D2747" s="55">
        <v>1144.0</v>
      </c>
      <c r="E2747" s="57" t="s">
        <v>2017</v>
      </c>
      <c r="F2747" s="2" t="s">
        <v>2254</v>
      </c>
    </row>
    <row r="2748">
      <c r="A2748" s="55">
        <f t="shared" si="2"/>
        <v>2747</v>
      </c>
      <c r="B2748" s="56" t="s">
        <v>2255</v>
      </c>
      <c r="C2748" s="55" t="s">
        <v>34</v>
      </c>
      <c r="D2748" s="55">
        <v>1156.0</v>
      </c>
      <c r="E2748" s="57" t="s">
        <v>2017</v>
      </c>
      <c r="F2748" s="2" t="s">
        <v>2254</v>
      </c>
    </row>
    <row r="2749">
      <c r="A2749" s="55">
        <f t="shared" si="2"/>
        <v>2748</v>
      </c>
      <c r="B2749" s="56" t="s">
        <v>2255</v>
      </c>
      <c r="C2749" s="55" t="s">
        <v>26</v>
      </c>
      <c r="D2749" s="55">
        <v>1200.0</v>
      </c>
      <c r="E2749" s="57" t="s">
        <v>2017</v>
      </c>
      <c r="F2749" s="2" t="s">
        <v>2254</v>
      </c>
    </row>
    <row r="2750">
      <c r="A2750" s="55">
        <f t="shared" si="2"/>
        <v>2749</v>
      </c>
      <c r="B2750" s="56" t="s">
        <v>2255</v>
      </c>
      <c r="C2750" s="55" t="s">
        <v>31</v>
      </c>
      <c r="D2750" s="55">
        <v>1357.0</v>
      </c>
      <c r="E2750" s="57" t="s">
        <v>2017</v>
      </c>
      <c r="F2750" s="2" t="s">
        <v>2254</v>
      </c>
    </row>
    <row r="2751">
      <c r="A2751" s="55">
        <f t="shared" si="2"/>
        <v>2750</v>
      </c>
      <c r="B2751" s="56" t="s">
        <v>2259</v>
      </c>
      <c r="C2751" s="55" t="s">
        <v>30</v>
      </c>
      <c r="D2751" s="55">
        <v>1181.0</v>
      </c>
      <c r="E2751" s="57" t="s">
        <v>2017</v>
      </c>
      <c r="F2751" s="2" t="s">
        <v>2258</v>
      </c>
    </row>
    <row r="2752">
      <c r="A2752" s="55">
        <f t="shared" si="2"/>
        <v>2751</v>
      </c>
      <c r="B2752" s="56" t="s">
        <v>2259</v>
      </c>
      <c r="C2752" s="55" t="s">
        <v>27</v>
      </c>
      <c r="D2752" s="55">
        <v>1268.0</v>
      </c>
      <c r="E2752" s="57" t="s">
        <v>2017</v>
      </c>
      <c r="F2752" s="2" t="s">
        <v>2258</v>
      </c>
    </row>
    <row r="2753">
      <c r="A2753" s="55">
        <f t="shared" si="2"/>
        <v>2752</v>
      </c>
      <c r="B2753" s="56" t="s">
        <v>2259</v>
      </c>
      <c r="C2753" s="55" t="s">
        <v>40</v>
      </c>
      <c r="D2753" s="55">
        <v>1120.0</v>
      </c>
      <c r="E2753" s="57" t="s">
        <v>2017</v>
      </c>
      <c r="F2753" s="2" t="s">
        <v>2258</v>
      </c>
    </row>
    <row r="2754">
      <c r="A2754" s="55">
        <f t="shared" si="2"/>
        <v>2753</v>
      </c>
      <c r="B2754" s="56" t="s">
        <v>2259</v>
      </c>
      <c r="C2754" s="55" t="s">
        <v>31</v>
      </c>
      <c r="D2754" s="55">
        <v>1280.0</v>
      </c>
      <c r="E2754" s="57" t="s">
        <v>2017</v>
      </c>
      <c r="F2754" s="2" t="s">
        <v>2258</v>
      </c>
    </row>
    <row r="2755">
      <c r="A2755" s="55">
        <f t="shared" si="2"/>
        <v>2754</v>
      </c>
      <c r="B2755" s="56" t="s">
        <v>2259</v>
      </c>
      <c r="C2755" s="55" t="s">
        <v>36</v>
      </c>
      <c r="D2755" s="55">
        <v>1160.0</v>
      </c>
      <c r="E2755" s="57" t="s">
        <v>2017</v>
      </c>
      <c r="F2755" s="2" t="s">
        <v>2258</v>
      </c>
    </row>
    <row r="2756">
      <c r="A2756" s="55">
        <f t="shared" si="2"/>
        <v>2755</v>
      </c>
      <c r="B2756" s="56" t="s">
        <v>2259</v>
      </c>
      <c r="C2756" s="55" t="s">
        <v>42</v>
      </c>
      <c r="D2756" s="55">
        <v>1333.0</v>
      </c>
      <c r="E2756" s="57" t="s">
        <v>2017</v>
      </c>
      <c r="F2756" s="2" t="s">
        <v>2258</v>
      </c>
    </row>
    <row r="2757">
      <c r="A2757" s="55">
        <f t="shared" si="2"/>
        <v>2756</v>
      </c>
      <c r="B2757" s="56" t="s">
        <v>2259</v>
      </c>
      <c r="C2757" s="55" t="s">
        <v>34</v>
      </c>
      <c r="D2757" s="55">
        <v>1120.0</v>
      </c>
      <c r="E2757" s="57" t="s">
        <v>2017</v>
      </c>
      <c r="F2757" s="2" t="s">
        <v>2258</v>
      </c>
    </row>
    <row r="2758">
      <c r="A2758" s="55">
        <f t="shared" si="2"/>
        <v>2757</v>
      </c>
      <c r="B2758" s="56" t="s">
        <v>2263</v>
      </c>
      <c r="C2758" s="55" t="s">
        <v>27</v>
      </c>
      <c r="D2758" s="55">
        <v>1279.0</v>
      </c>
      <c r="E2758" s="57" t="s">
        <v>2017</v>
      </c>
      <c r="F2758" s="2" t="s">
        <v>2262</v>
      </c>
    </row>
    <row r="2759">
      <c r="A2759" s="55">
        <f t="shared" si="2"/>
        <v>2758</v>
      </c>
      <c r="B2759" s="56" t="s">
        <v>2263</v>
      </c>
      <c r="C2759" s="55" t="s">
        <v>30</v>
      </c>
      <c r="D2759" s="55">
        <v>1192.0</v>
      </c>
      <c r="E2759" s="57" t="s">
        <v>2017</v>
      </c>
      <c r="F2759" s="2" t="s">
        <v>2262</v>
      </c>
    </row>
    <row r="2760">
      <c r="A2760" s="55">
        <f t="shared" si="2"/>
        <v>2759</v>
      </c>
      <c r="B2760" s="56" t="s">
        <v>2268</v>
      </c>
      <c r="C2760" s="55" t="s">
        <v>30</v>
      </c>
      <c r="D2760" s="55">
        <v>1171.0</v>
      </c>
      <c r="E2760" s="57" t="s">
        <v>2017</v>
      </c>
      <c r="F2760" s="2" t="s">
        <v>2267</v>
      </c>
    </row>
    <row r="2761">
      <c r="A2761" s="55">
        <f t="shared" si="2"/>
        <v>2760</v>
      </c>
      <c r="B2761" s="56" t="s">
        <v>2268</v>
      </c>
      <c r="C2761" s="55" t="s">
        <v>27</v>
      </c>
      <c r="D2761" s="55">
        <v>1299.0</v>
      </c>
      <c r="E2761" s="57" t="s">
        <v>2017</v>
      </c>
      <c r="F2761" s="2" t="s">
        <v>2267</v>
      </c>
    </row>
    <row r="2762">
      <c r="A2762" s="55">
        <f t="shared" si="2"/>
        <v>2761</v>
      </c>
      <c r="B2762" s="56" t="s">
        <v>2272</v>
      </c>
      <c r="C2762" s="55" t="s">
        <v>36</v>
      </c>
      <c r="D2762" s="55">
        <v>1138.0</v>
      </c>
      <c r="E2762" s="57" t="s">
        <v>2017</v>
      </c>
      <c r="F2762" s="2" t="s">
        <v>2271</v>
      </c>
    </row>
    <row r="2763">
      <c r="A2763" s="55">
        <f t="shared" si="2"/>
        <v>2762</v>
      </c>
      <c r="B2763" s="56" t="s">
        <v>2272</v>
      </c>
      <c r="C2763" s="55" t="s">
        <v>27</v>
      </c>
      <c r="D2763" s="55">
        <v>1283.0</v>
      </c>
      <c r="E2763" s="57" t="s">
        <v>2017</v>
      </c>
      <c r="F2763" s="2" t="s">
        <v>2271</v>
      </c>
    </row>
    <row r="2764">
      <c r="A2764" s="55">
        <f t="shared" si="2"/>
        <v>2763</v>
      </c>
      <c r="B2764" s="56" t="s">
        <v>2272</v>
      </c>
      <c r="C2764" s="55" t="s">
        <v>30</v>
      </c>
      <c r="D2764" s="55">
        <v>1184.0</v>
      </c>
      <c r="E2764" s="57" t="s">
        <v>2017</v>
      </c>
      <c r="F2764" s="2" t="s">
        <v>2271</v>
      </c>
    </row>
    <row r="2765">
      <c r="A2765" s="55">
        <f t="shared" si="2"/>
        <v>2764</v>
      </c>
      <c r="B2765" s="56" t="s">
        <v>2272</v>
      </c>
      <c r="C2765" s="55" t="s">
        <v>42</v>
      </c>
      <c r="D2765" s="55">
        <v>1316.0</v>
      </c>
      <c r="E2765" s="57" t="s">
        <v>2017</v>
      </c>
      <c r="F2765" s="2" t="s">
        <v>2271</v>
      </c>
    </row>
    <row r="2766">
      <c r="A2766" s="55">
        <f t="shared" si="2"/>
        <v>2765</v>
      </c>
      <c r="B2766" s="56" t="s">
        <v>2276</v>
      </c>
      <c r="C2766" s="55" t="s">
        <v>36</v>
      </c>
      <c r="D2766" s="55">
        <v>1149.0</v>
      </c>
      <c r="E2766" s="57" t="s">
        <v>2017</v>
      </c>
      <c r="F2766" s="2" t="s">
        <v>2275</v>
      </c>
    </row>
    <row r="2767">
      <c r="A2767" s="55">
        <f t="shared" si="2"/>
        <v>2766</v>
      </c>
      <c r="B2767" s="56" t="s">
        <v>2276</v>
      </c>
      <c r="C2767" s="55" t="s">
        <v>27</v>
      </c>
      <c r="D2767" s="55">
        <v>1295.0</v>
      </c>
      <c r="E2767" s="57" t="s">
        <v>2017</v>
      </c>
      <c r="F2767" s="2" t="s">
        <v>2275</v>
      </c>
    </row>
    <row r="2768">
      <c r="A2768" s="55">
        <f t="shared" si="2"/>
        <v>2767</v>
      </c>
      <c r="B2768" s="56" t="s">
        <v>2276</v>
      </c>
      <c r="C2768" s="55" t="s">
        <v>30</v>
      </c>
      <c r="D2768" s="55">
        <v>1163.0</v>
      </c>
      <c r="E2768" s="57" t="s">
        <v>2017</v>
      </c>
      <c r="F2768" s="2" t="s">
        <v>2275</v>
      </c>
    </row>
    <row r="2769">
      <c r="A2769" s="55">
        <f t="shared" si="2"/>
        <v>2768</v>
      </c>
      <c r="B2769" s="56" t="s">
        <v>2276</v>
      </c>
      <c r="C2769" s="55" t="s">
        <v>42</v>
      </c>
      <c r="D2769" s="55">
        <v>1299.0</v>
      </c>
      <c r="E2769" s="57" t="s">
        <v>2017</v>
      </c>
      <c r="F2769" s="2" t="s">
        <v>2275</v>
      </c>
    </row>
    <row r="2770">
      <c r="A2770" s="55">
        <f t="shared" si="2"/>
        <v>2769</v>
      </c>
      <c r="B2770" s="56" t="s">
        <v>2280</v>
      </c>
      <c r="C2770" s="55" t="s">
        <v>30</v>
      </c>
      <c r="D2770" s="55">
        <v>1142.0</v>
      </c>
      <c r="E2770" s="57" t="s">
        <v>2017</v>
      </c>
      <c r="F2770" s="2" t="s">
        <v>2279</v>
      </c>
    </row>
    <row r="2771">
      <c r="A2771" s="55">
        <f t="shared" si="2"/>
        <v>2770</v>
      </c>
      <c r="B2771" s="56" t="s">
        <v>2280</v>
      </c>
      <c r="C2771" s="55" t="s">
        <v>36</v>
      </c>
      <c r="D2771" s="55">
        <v>1159.0</v>
      </c>
      <c r="E2771" s="57" t="s">
        <v>2017</v>
      </c>
      <c r="F2771" s="2" t="s">
        <v>2279</v>
      </c>
    </row>
    <row r="2772">
      <c r="A2772" s="55">
        <f t="shared" si="2"/>
        <v>2771</v>
      </c>
      <c r="B2772" s="56" t="s">
        <v>2280</v>
      </c>
      <c r="C2772" s="55" t="s">
        <v>27</v>
      </c>
      <c r="D2772" s="55">
        <v>1307.0</v>
      </c>
      <c r="E2772" s="57" t="s">
        <v>2017</v>
      </c>
      <c r="F2772" s="2" t="s">
        <v>2279</v>
      </c>
    </row>
    <row r="2773">
      <c r="A2773" s="55">
        <f t="shared" si="2"/>
        <v>2772</v>
      </c>
      <c r="B2773" s="56" t="s">
        <v>2280</v>
      </c>
      <c r="C2773" s="55" t="s">
        <v>42</v>
      </c>
      <c r="D2773" s="55">
        <v>1283.0</v>
      </c>
      <c r="E2773" s="57" t="s">
        <v>2017</v>
      </c>
      <c r="F2773" s="2" t="s">
        <v>2279</v>
      </c>
    </row>
    <row r="2774">
      <c r="A2774" s="55">
        <f t="shared" si="2"/>
        <v>2773</v>
      </c>
      <c r="B2774" s="56" t="s">
        <v>2284</v>
      </c>
      <c r="C2774" s="55" t="s">
        <v>30</v>
      </c>
      <c r="D2774" s="55">
        <v>1154.0</v>
      </c>
      <c r="E2774" s="57" t="s">
        <v>2017</v>
      </c>
      <c r="F2774" s="2" t="s">
        <v>2283</v>
      </c>
    </row>
    <row r="2775">
      <c r="A2775" s="55">
        <f t="shared" si="2"/>
        <v>2774</v>
      </c>
      <c r="B2775" s="56" t="s">
        <v>2284</v>
      </c>
      <c r="C2775" s="55" t="s">
        <v>27</v>
      </c>
      <c r="D2775" s="55">
        <v>1292.0</v>
      </c>
      <c r="E2775" s="57" t="s">
        <v>2017</v>
      </c>
      <c r="F2775" s="2" t="s">
        <v>2283</v>
      </c>
    </row>
    <row r="2776">
      <c r="A2776" s="55">
        <f t="shared" si="2"/>
        <v>2775</v>
      </c>
      <c r="B2776" s="56" t="s">
        <v>2284</v>
      </c>
      <c r="C2776" s="55" t="s">
        <v>36</v>
      </c>
      <c r="D2776" s="55">
        <v>1171.0</v>
      </c>
      <c r="E2776" s="57" t="s">
        <v>2017</v>
      </c>
      <c r="F2776" s="2" t="s">
        <v>2283</v>
      </c>
    </row>
    <row r="2777">
      <c r="A2777" s="55">
        <f t="shared" si="2"/>
        <v>2776</v>
      </c>
      <c r="B2777" s="56" t="s">
        <v>2284</v>
      </c>
      <c r="C2777" s="55" t="s">
        <v>42</v>
      </c>
      <c r="D2777" s="55">
        <v>1267.0</v>
      </c>
      <c r="E2777" s="57" t="s">
        <v>2017</v>
      </c>
      <c r="F2777" s="2" t="s">
        <v>2283</v>
      </c>
    </row>
    <row r="2778">
      <c r="A2778" s="55">
        <f t="shared" si="2"/>
        <v>2777</v>
      </c>
      <c r="B2778" s="56" t="s">
        <v>2288</v>
      </c>
      <c r="C2778" s="55" t="s">
        <v>30</v>
      </c>
      <c r="D2778" s="55">
        <v>1169.0</v>
      </c>
      <c r="E2778" s="57" t="s">
        <v>2017</v>
      </c>
      <c r="F2778" s="2" t="s">
        <v>2287</v>
      </c>
    </row>
    <row r="2779">
      <c r="A2779" s="55">
        <f t="shared" si="2"/>
        <v>2778</v>
      </c>
      <c r="B2779" s="56" t="s">
        <v>2288</v>
      </c>
      <c r="C2779" s="55" t="s">
        <v>36</v>
      </c>
      <c r="D2779" s="55">
        <v>1186.0</v>
      </c>
      <c r="E2779" s="57" t="s">
        <v>2017</v>
      </c>
      <c r="F2779" s="2" t="s">
        <v>2287</v>
      </c>
    </row>
    <row r="2780">
      <c r="A2780" s="55">
        <f t="shared" si="2"/>
        <v>2779</v>
      </c>
      <c r="B2780" s="56" t="s">
        <v>2288</v>
      </c>
      <c r="C2780" s="55" t="s">
        <v>27</v>
      </c>
      <c r="D2780" s="55">
        <v>1308.0</v>
      </c>
      <c r="E2780" s="57" t="s">
        <v>2017</v>
      </c>
      <c r="F2780" s="2" t="s">
        <v>2287</v>
      </c>
    </row>
    <row r="2781">
      <c r="A2781" s="55">
        <f t="shared" si="2"/>
        <v>2780</v>
      </c>
      <c r="B2781" s="56" t="s">
        <v>2288</v>
      </c>
      <c r="C2781" s="55" t="s">
        <v>42</v>
      </c>
      <c r="D2781" s="55">
        <v>1220.0</v>
      </c>
      <c r="E2781" s="57" t="s">
        <v>2017</v>
      </c>
      <c r="F2781" s="2" t="s">
        <v>2287</v>
      </c>
    </row>
    <row r="2782">
      <c r="A2782" s="55">
        <f t="shared" si="2"/>
        <v>2781</v>
      </c>
      <c r="B2782" s="56" t="s">
        <v>2292</v>
      </c>
      <c r="C2782" s="55" t="s">
        <v>30</v>
      </c>
      <c r="D2782" s="55">
        <v>1187.0</v>
      </c>
      <c r="E2782" s="57" t="s">
        <v>2017</v>
      </c>
      <c r="F2782" s="2" t="s">
        <v>2291</v>
      </c>
    </row>
    <row r="2783">
      <c r="A2783" s="55">
        <f t="shared" si="2"/>
        <v>2782</v>
      </c>
      <c r="B2783" s="56" t="s">
        <v>2292</v>
      </c>
      <c r="C2783" s="55" t="s">
        <v>27</v>
      </c>
      <c r="D2783" s="55">
        <v>1293.0</v>
      </c>
      <c r="E2783" s="57" t="s">
        <v>2017</v>
      </c>
      <c r="F2783" s="2" t="s">
        <v>2291</v>
      </c>
    </row>
    <row r="2784">
      <c r="A2784" s="55">
        <f t="shared" si="2"/>
        <v>2783</v>
      </c>
      <c r="B2784" s="56" t="s">
        <v>2296</v>
      </c>
      <c r="C2784" s="55" t="s">
        <v>30</v>
      </c>
      <c r="D2784" s="55">
        <v>1180.0</v>
      </c>
      <c r="E2784" s="57" t="s">
        <v>2017</v>
      </c>
      <c r="F2784" s="2" t="s">
        <v>2295</v>
      </c>
    </row>
    <row r="2785">
      <c r="A2785" s="55">
        <f t="shared" si="2"/>
        <v>2784</v>
      </c>
      <c r="B2785" s="56" t="s">
        <v>2296</v>
      </c>
      <c r="C2785" s="55" t="s">
        <v>27</v>
      </c>
      <c r="D2785" s="55">
        <v>1278.0</v>
      </c>
      <c r="E2785" s="57" t="s">
        <v>2017</v>
      </c>
      <c r="F2785" s="2" t="s">
        <v>2295</v>
      </c>
    </row>
    <row r="2786">
      <c r="A2786" s="55">
        <f t="shared" si="2"/>
        <v>2785</v>
      </c>
      <c r="B2786" s="56" t="s">
        <v>2300</v>
      </c>
      <c r="C2786" s="55" t="s">
        <v>36</v>
      </c>
      <c r="D2786" s="55">
        <v>1167.0</v>
      </c>
      <c r="E2786" s="57" t="s">
        <v>2017</v>
      </c>
      <c r="F2786" s="2" t="s">
        <v>2299</v>
      </c>
    </row>
    <row r="2787">
      <c r="A2787" s="55">
        <f t="shared" si="2"/>
        <v>2786</v>
      </c>
      <c r="B2787" s="56" t="s">
        <v>2304</v>
      </c>
      <c r="C2787" s="55" t="s">
        <v>36</v>
      </c>
      <c r="D2787" s="55">
        <v>1180.0</v>
      </c>
      <c r="E2787" s="57" t="s">
        <v>2017</v>
      </c>
      <c r="F2787" s="2" t="s">
        <v>2303</v>
      </c>
    </row>
    <row r="2788">
      <c r="A2788" s="55">
        <f t="shared" si="2"/>
        <v>2787</v>
      </c>
      <c r="B2788" s="56" t="s">
        <v>2304</v>
      </c>
      <c r="C2788" s="55" t="s">
        <v>27</v>
      </c>
      <c r="D2788" s="55">
        <v>1260.0</v>
      </c>
      <c r="E2788" s="57" t="s">
        <v>2017</v>
      </c>
      <c r="F2788" s="2" t="s">
        <v>2303</v>
      </c>
    </row>
    <row r="2789">
      <c r="A2789" s="27"/>
      <c r="B2789" s="28"/>
      <c r="C2789" s="27"/>
      <c r="D2789" s="27"/>
      <c r="E2789" s="30"/>
    </row>
    <row r="2790">
      <c r="A2790" s="27"/>
      <c r="B2790" s="28"/>
      <c r="C2790" s="27"/>
      <c r="D2790" s="27"/>
      <c r="E2790" s="30"/>
    </row>
    <row r="2791">
      <c r="A2791" s="27"/>
      <c r="B2791" s="28"/>
      <c r="C2791" s="27"/>
      <c r="D2791" s="27"/>
      <c r="E2791" s="30"/>
    </row>
    <row r="2792">
      <c r="A2792" s="27"/>
      <c r="B2792" s="28"/>
      <c r="C2792" s="27"/>
      <c r="D2792" s="27"/>
      <c r="E2792" s="30"/>
    </row>
    <row r="2793">
      <c r="A2793" s="27"/>
      <c r="B2793" s="28"/>
      <c r="C2793" s="27"/>
      <c r="D2793" s="27"/>
      <c r="E2793" s="30"/>
    </row>
    <row r="2794">
      <c r="A2794" s="27"/>
      <c r="B2794" s="28"/>
      <c r="C2794" s="27"/>
      <c r="D2794" s="27"/>
      <c r="E2794" s="30"/>
    </row>
    <row r="2795">
      <c r="A2795" s="27"/>
      <c r="B2795" s="28"/>
      <c r="C2795" s="27"/>
      <c r="D2795" s="27"/>
      <c r="E2795" s="30"/>
    </row>
    <row r="2796">
      <c r="A2796" s="27"/>
      <c r="B2796" s="28"/>
      <c r="C2796" s="27"/>
      <c r="D2796" s="27"/>
      <c r="E2796" s="30"/>
    </row>
    <row r="2797">
      <c r="A2797" s="27"/>
      <c r="B2797" s="28"/>
      <c r="C2797" s="27"/>
      <c r="D2797" s="27"/>
      <c r="E2797" s="30"/>
    </row>
    <row r="2798">
      <c r="A2798" s="27"/>
      <c r="B2798" s="28"/>
      <c r="C2798" s="27"/>
      <c r="D2798" s="27"/>
      <c r="E2798" s="30"/>
    </row>
    <row r="2799">
      <c r="A2799" s="27"/>
      <c r="B2799" s="28"/>
      <c r="C2799" s="27"/>
      <c r="D2799" s="27"/>
      <c r="E2799" s="30"/>
    </row>
    <row r="2800">
      <c r="A2800" s="27"/>
      <c r="B2800" s="28"/>
      <c r="C2800" s="27"/>
      <c r="D2800" s="27"/>
      <c r="E2800" s="30"/>
    </row>
    <row r="2801">
      <c r="A2801" s="27"/>
      <c r="B2801" s="28"/>
      <c r="C2801" s="27"/>
      <c r="D2801" s="27"/>
      <c r="E2801" s="30"/>
    </row>
    <row r="2802">
      <c r="A2802" s="27"/>
      <c r="B2802" s="28"/>
      <c r="C2802" s="27"/>
      <c r="D2802" s="27"/>
      <c r="E2802" s="30"/>
    </row>
    <row r="2803">
      <c r="A2803" s="27"/>
      <c r="B2803" s="28"/>
      <c r="C2803" s="27"/>
      <c r="D2803" s="27"/>
      <c r="E2803" s="30"/>
    </row>
    <row r="2804">
      <c r="A2804" s="27"/>
      <c r="B2804" s="28"/>
      <c r="C2804" s="27"/>
      <c r="D2804" s="27"/>
      <c r="E2804" s="30"/>
    </row>
    <row r="2805">
      <c r="A2805" s="27"/>
      <c r="B2805" s="28"/>
      <c r="C2805" s="27"/>
      <c r="D2805" s="27"/>
      <c r="E2805" s="30"/>
    </row>
    <row r="2806">
      <c r="A2806" s="27"/>
      <c r="B2806" s="28"/>
      <c r="C2806" s="27"/>
      <c r="D2806" s="27"/>
      <c r="E2806" s="30"/>
    </row>
    <row r="2807">
      <c r="A2807" s="27"/>
      <c r="B2807" s="28"/>
      <c r="C2807" s="27"/>
      <c r="D2807" s="27"/>
      <c r="E2807" s="30"/>
    </row>
    <row r="2808">
      <c r="A2808" s="27"/>
      <c r="B2808" s="28"/>
      <c r="C2808" s="27"/>
      <c r="D2808" s="27"/>
      <c r="E2808" s="30"/>
    </row>
    <row r="2809">
      <c r="A2809" s="27"/>
      <c r="B2809" s="28"/>
      <c r="C2809" s="27"/>
      <c r="D2809" s="27"/>
      <c r="E2809" s="30"/>
    </row>
    <row r="2810">
      <c r="A2810" s="27"/>
      <c r="B2810" s="28"/>
      <c r="C2810" s="27"/>
      <c r="D2810" s="27"/>
      <c r="E2810" s="30"/>
    </row>
    <row r="2811">
      <c r="A2811" s="27"/>
      <c r="B2811" s="28"/>
      <c r="C2811" s="27"/>
      <c r="D2811" s="27"/>
      <c r="E2811" s="30"/>
    </row>
    <row r="2812">
      <c r="A2812" s="27"/>
      <c r="B2812" s="28"/>
      <c r="C2812" s="27"/>
      <c r="D2812" s="27"/>
      <c r="E2812" s="30"/>
    </row>
    <row r="2813">
      <c r="A2813" s="27"/>
      <c r="B2813" s="28"/>
      <c r="C2813" s="27"/>
      <c r="D2813" s="27"/>
      <c r="E2813" s="30"/>
    </row>
    <row r="2814">
      <c r="A2814" s="27"/>
      <c r="B2814" s="28"/>
      <c r="C2814" s="27"/>
      <c r="D2814" s="27"/>
      <c r="E2814" s="30"/>
    </row>
    <row r="2815">
      <c r="A2815" s="27"/>
      <c r="B2815" s="28"/>
      <c r="C2815" s="27"/>
      <c r="D2815" s="27"/>
      <c r="E2815" s="30"/>
    </row>
    <row r="2816">
      <c r="A2816" s="27"/>
      <c r="B2816" s="28"/>
      <c r="C2816" s="27"/>
      <c r="D2816" s="27"/>
      <c r="E2816" s="30"/>
    </row>
    <row r="2817">
      <c r="A2817" s="27"/>
      <c r="B2817" s="28"/>
      <c r="C2817" s="27"/>
      <c r="D2817" s="27"/>
      <c r="E2817" s="30"/>
    </row>
    <row r="2818">
      <c r="A2818" s="27"/>
      <c r="B2818" s="28"/>
      <c r="C2818" s="27"/>
      <c r="D2818" s="27"/>
      <c r="E2818" s="30"/>
    </row>
    <row r="2819">
      <c r="A2819" s="27"/>
      <c r="B2819" s="28"/>
      <c r="C2819" s="27"/>
      <c r="D2819" s="27"/>
      <c r="E2819" s="30"/>
    </row>
    <row r="2820">
      <c r="A2820" s="27"/>
      <c r="B2820" s="28"/>
      <c r="C2820" s="27"/>
      <c r="D2820" s="27"/>
      <c r="E2820" s="30"/>
    </row>
    <row r="2821">
      <c r="A2821" s="27"/>
      <c r="B2821" s="28"/>
      <c r="C2821" s="27"/>
      <c r="D2821" s="27"/>
      <c r="E2821" s="30"/>
    </row>
    <row r="2822">
      <c r="A2822" s="27"/>
      <c r="B2822" s="28"/>
      <c r="C2822" s="27"/>
      <c r="D2822" s="27"/>
      <c r="E2822" s="30"/>
    </row>
    <row r="2823">
      <c r="A2823" s="27"/>
      <c r="B2823" s="28"/>
      <c r="C2823" s="27"/>
      <c r="D2823" s="27"/>
      <c r="E2823" s="30"/>
    </row>
    <row r="2824">
      <c r="A2824" s="27"/>
      <c r="B2824" s="28"/>
      <c r="C2824" s="27"/>
      <c r="D2824" s="27"/>
      <c r="E2824" s="30"/>
    </row>
    <row r="2825">
      <c r="A2825" s="27"/>
      <c r="B2825" s="28"/>
      <c r="C2825" s="27"/>
      <c r="D2825" s="27"/>
      <c r="E2825" s="30"/>
    </row>
    <row r="2826">
      <c r="A2826" s="27"/>
      <c r="B2826" s="28"/>
      <c r="C2826" s="27"/>
      <c r="D2826" s="27"/>
      <c r="E2826" s="30"/>
    </row>
    <row r="2827">
      <c r="A2827" s="27"/>
      <c r="B2827" s="28"/>
      <c r="C2827" s="27"/>
      <c r="D2827" s="27"/>
      <c r="E2827" s="30"/>
    </row>
    <row r="2828">
      <c r="A2828" s="27"/>
      <c r="B2828" s="28"/>
      <c r="C2828" s="27"/>
      <c r="D2828" s="27"/>
      <c r="E2828" s="30"/>
    </row>
    <row r="2829">
      <c r="A2829" s="27"/>
      <c r="B2829" s="28"/>
      <c r="C2829" s="27"/>
      <c r="D2829" s="27"/>
      <c r="E2829" s="30"/>
    </row>
    <row r="2830">
      <c r="A2830" s="27"/>
      <c r="B2830" s="28"/>
      <c r="C2830" s="27"/>
      <c r="D2830" s="27"/>
      <c r="E2830" s="30"/>
    </row>
    <row r="2831">
      <c r="A2831" s="27"/>
      <c r="B2831" s="28"/>
      <c r="C2831" s="27"/>
      <c r="D2831" s="27"/>
      <c r="E2831" s="30"/>
    </row>
    <row r="2832">
      <c r="A2832" s="27"/>
      <c r="B2832" s="28"/>
      <c r="C2832" s="27"/>
      <c r="D2832" s="27"/>
      <c r="E2832" s="30"/>
    </row>
    <row r="2833">
      <c r="A2833" s="27"/>
      <c r="B2833" s="28"/>
      <c r="C2833" s="27"/>
      <c r="D2833" s="27"/>
      <c r="E2833" s="30"/>
    </row>
    <row r="2834">
      <c r="A2834" s="27"/>
      <c r="B2834" s="28"/>
      <c r="C2834" s="27"/>
      <c r="D2834" s="27"/>
      <c r="E2834" s="30"/>
    </row>
    <row r="2835">
      <c r="A2835" s="27"/>
      <c r="B2835" s="28"/>
      <c r="C2835" s="27"/>
      <c r="D2835" s="27"/>
      <c r="E2835" s="30"/>
    </row>
    <row r="2836">
      <c r="A2836" s="27"/>
      <c r="B2836" s="28"/>
      <c r="C2836" s="27"/>
      <c r="D2836" s="27"/>
      <c r="E2836" s="30"/>
    </row>
    <row r="2837">
      <c r="A2837" s="27"/>
      <c r="B2837" s="28"/>
      <c r="C2837" s="27"/>
      <c r="D2837" s="27"/>
      <c r="E2837" s="30"/>
    </row>
    <row r="2838">
      <c r="A2838" s="27"/>
      <c r="B2838" s="28"/>
      <c r="C2838" s="27"/>
      <c r="D2838" s="27"/>
      <c r="E2838" s="30"/>
    </row>
    <row r="2839">
      <c r="A2839" s="27"/>
      <c r="B2839" s="28"/>
      <c r="C2839" s="27"/>
      <c r="D2839" s="27"/>
      <c r="E2839" s="30"/>
    </row>
    <row r="2840">
      <c r="A2840" s="27"/>
      <c r="B2840" s="28"/>
      <c r="C2840" s="27"/>
      <c r="D2840" s="27"/>
      <c r="E2840" s="30"/>
    </row>
    <row r="2841">
      <c r="A2841" s="27"/>
      <c r="B2841" s="28"/>
      <c r="C2841" s="27"/>
      <c r="D2841" s="27"/>
      <c r="E2841" s="30"/>
    </row>
    <row r="2842">
      <c r="A2842" s="27"/>
      <c r="B2842" s="28"/>
      <c r="C2842" s="27"/>
      <c r="D2842" s="27"/>
      <c r="E2842" s="30"/>
    </row>
    <row r="2843">
      <c r="A2843" s="27"/>
      <c r="B2843" s="28"/>
      <c r="C2843" s="27"/>
      <c r="D2843" s="27"/>
      <c r="E2843" s="30"/>
    </row>
    <row r="2844">
      <c r="A2844" s="27"/>
      <c r="B2844" s="28"/>
      <c r="C2844" s="27"/>
      <c r="D2844" s="27"/>
      <c r="E2844" s="30"/>
    </row>
    <row r="2845">
      <c r="A2845" s="27"/>
      <c r="B2845" s="28"/>
      <c r="C2845" s="27"/>
      <c r="D2845" s="27"/>
      <c r="E2845" s="30"/>
    </row>
    <row r="2846">
      <c r="A2846" s="27"/>
      <c r="B2846" s="28"/>
      <c r="C2846" s="27"/>
      <c r="D2846" s="27"/>
      <c r="E2846" s="30"/>
    </row>
    <row r="2847">
      <c r="A2847" s="27"/>
      <c r="B2847" s="28"/>
      <c r="C2847" s="27"/>
      <c r="D2847" s="27"/>
      <c r="E2847" s="30"/>
    </row>
    <row r="2848">
      <c r="A2848" s="27"/>
      <c r="B2848" s="28"/>
      <c r="C2848" s="27"/>
      <c r="D2848" s="27"/>
      <c r="E2848" s="30"/>
    </row>
    <row r="2849">
      <c r="A2849" s="27"/>
      <c r="B2849" s="28"/>
      <c r="C2849" s="27"/>
      <c r="D2849" s="27"/>
      <c r="E2849" s="30"/>
    </row>
    <row r="2850">
      <c r="A2850" s="27"/>
      <c r="B2850" s="28"/>
      <c r="C2850" s="27"/>
      <c r="D2850" s="27"/>
      <c r="E2850" s="30"/>
    </row>
    <row r="2851">
      <c r="A2851" s="27"/>
      <c r="B2851" s="28"/>
      <c r="C2851" s="27"/>
      <c r="D2851" s="27"/>
      <c r="E2851" s="30"/>
    </row>
    <row r="2852">
      <c r="A2852" s="27"/>
      <c r="B2852" s="28"/>
      <c r="C2852" s="27"/>
      <c r="D2852" s="27"/>
      <c r="E2852" s="30"/>
    </row>
    <row r="2853">
      <c r="A2853" s="27"/>
      <c r="B2853" s="28"/>
      <c r="C2853" s="27"/>
      <c r="D2853" s="27"/>
      <c r="E2853" s="30"/>
    </row>
    <row r="2854">
      <c r="A2854" s="27"/>
      <c r="B2854" s="28"/>
      <c r="C2854" s="27"/>
      <c r="D2854" s="27"/>
      <c r="E2854" s="30"/>
    </row>
    <row r="2855">
      <c r="A2855" s="27"/>
      <c r="B2855" s="28"/>
      <c r="C2855" s="27"/>
      <c r="D2855" s="27"/>
      <c r="E2855" s="30"/>
    </row>
    <row r="2856">
      <c r="A2856" s="27"/>
      <c r="B2856" s="28"/>
      <c r="C2856" s="27"/>
      <c r="D2856" s="27"/>
      <c r="E2856" s="30"/>
    </row>
    <row r="2857">
      <c r="A2857" s="27"/>
      <c r="B2857" s="28"/>
      <c r="C2857" s="27"/>
      <c r="D2857" s="27"/>
      <c r="E2857" s="30"/>
    </row>
    <row r="2858">
      <c r="A2858" s="27"/>
      <c r="B2858" s="28"/>
      <c r="C2858" s="27"/>
      <c r="D2858" s="27"/>
      <c r="E2858" s="30"/>
    </row>
    <row r="2859">
      <c r="A2859" s="27"/>
      <c r="B2859" s="28"/>
      <c r="C2859" s="27"/>
      <c r="D2859" s="27"/>
      <c r="E2859" s="30"/>
    </row>
    <row r="2860">
      <c r="A2860" s="27"/>
      <c r="B2860" s="28"/>
      <c r="C2860" s="27"/>
      <c r="D2860" s="27"/>
      <c r="E2860" s="30"/>
    </row>
    <row r="2861">
      <c r="A2861" s="27"/>
      <c r="B2861" s="28"/>
      <c r="C2861" s="27"/>
      <c r="D2861" s="27"/>
      <c r="E2861" s="30"/>
    </row>
    <row r="2862">
      <c r="A2862" s="27"/>
      <c r="B2862" s="28"/>
      <c r="C2862" s="27"/>
      <c r="D2862" s="27"/>
      <c r="E2862" s="30"/>
    </row>
    <row r="2863">
      <c r="A2863" s="27"/>
      <c r="B2863" s="28"/>
      <c r="C2863" s="27"/>
      <c r="D2863" s="27"/>
      <c r="E2863" s="30"/>
    </row>
    <row r="2864">
      <c r="A2864" s="27"/>
      <c r="B2864" s="28"/>
      <c r="C2864" s="27"/>
      <c r="D2864" s="27"/>
      <c r="E2864" s="30"/>
    </row>
    <row r="2865">
      <c r="A2865" s="27"/>
      <c r="B2865" s="28"/>
      <c r="C2865" s="27"/>
      <c r="D2865" s="27"/>
      <c r="E2865" s="30"/>
    </row>
    <row r="2866">
      <c r="A2866" s="27"/>
      <c r="B2866" s="28"/>
      <c r="C2866" s="27"/>
      <c r="D2866" s="27"/>
      <c r="E2866" s="30"/>
    </row>
    <row r="2867">
      <c r="A2867" s="27"/>
      <c r="B2867" s="28"/>
      <c r="C2867" s="27"/>
      <c r="D2867" s="27"/>
      <c r="E2867" s="30"/>
    </row>
    <row r="2868">
      <c r="A2868" s="27"/>
      <c r="B2868" s="28"/>
      <c r="C2868" s="27"/>
      <c r="D2868" s="27"/>
      <c r="E2868" s="30"/>
    </row>
    <row r="2869">
      <c r="A2869" s="27"/>
      <c r="B2869" s="28"/>
      <c r="C2869" s="27"/>
      <c r="D2869" s="27"/>
      <c r="E2869" s="30"/>
    </row>
    <row r="2870">
      <c r="A2870" s="27"/>
      <c r="B2870" s="28"/>
      <c r="C2870" s="27"/>
      <c r="D2870" s="27"/>
      <c r="E2870" s="30"/>
    </row>
    <row r="2871">
      <c r="A2871" s="27"/>
      <c r="B2871" s="28"/>
      <c r="C2871" s="27"/>
      <c r="D2871" s="27"/>
      <c r="E2871" s="30"/>
    </row>
    <row r="2872">
      <c r="A2872" s="27"/>
      <c r="B2872" s="28"/>
      <c r="C2872" s="27"/>
      <c r="D2872" s="27"/>
      <c r="E2872" s="30"/>
    </row>
    <row r="2873">
      <c r="A2873" s="27"/>
      <c r="B2873" s="28"/>
      <c r="C2873" s="27"/>
      <c r="D2873" s="27"/>
      <c r="E2873" s="30"/>
    </row>
    <row r="2874">
      <c r="A2874" s="27"/>
      <c r="B2874" s="28"/>
      <c r="C2874" s="27"/>
      <c r="D2874" s="27"/>
      <c r="E2874" s="30"/>
    </row>
    <row r="2875">
      <c r="A2875" s="27"/>
      <c r="B2875" s="28"/>
      <c r="C2875" s="27"/>
      <c r="D2875" s="27"/>
      <c r="E2875" s="30"/>
    </row>
    <row r="2876">
      <c r="A2876" s="27"/>
      <c r="B2876" s="28"/>
      <c r="C2876" s="27"/>
      <c r="D2876" s="27"/>
      <c r="E2876" s="30"/>
    </row>
    <row r="2877">
      <c r="A2877" s="27"/>
      <c r="B2877" s="28"/>
      <c r="C2877" s="27"/>
      <c r="D2877" s="27"/>
      <c r="E2877" s="30"/>
    </row>
    <row r="2878">
      <c r="A2878" s="27"/>
      <c r="B2878" s="28"/>
      <c r="C2878" s="27"/>
      <c r="D2878" s="27"/>
      <c r="E2878" s="30"/>
    </row>
    <row r="2879">
      <c r="A2879" s="27"/>
      <c r="B2879" s="28"/>
      <c r="C2879" s="27"/>
      <c r="D2879" s="27"/>
      <c r="E2879" s="30"/>
    </row>
    <row r="2880">
      <c r="A2880" s="27"/>
      <c r="B2880" s="28"/>
      <c r="C2880" s="27"/>
      <c r="D2880" s="27"/>
      <c r="E2880" s="30"/>
    </row>
    <row r="2881">
      <c r="A2881" s="27"/>
      <c r="B2881" s="28"/>
      <c r="C2881" s="27"/>
      <c r="D2881" s="27"/>
      <c r="E2881" s="30"/>
    </row>
    <row r="2882">
      <c r="A2882" s="27"/>
      <c r="B2882" s="28"/>
      <c r="C2882" s="27"/>
      <c r="D2882" s="27"/>
      <c r="E2882" s="30"/>
    </row>
    <row r="2883">
      <c r="A2883" s="27"/>
      <c r="B2883" s="28"/>
      <c r="C2883" s="27"/>
      <c r="D2883" s="27"/>
      <c r="E2883" s="30"/>
    </row>
    <row r="2884">
      <c r="A2884" s="27"/>
      <c r="B2884" s="28"/>
      <c r="C2884" s="27"/>
      <c r="D2884" s="27"/>
      <c r="E2884" s="30"/>
    </row>
    <row r="2885">
      <c r="A2885" s="27"/>
      <c r="B2885" s="28"/>
      <c r="C2885" s="27"/>
      <c r="D2885" s="27"/>
      <c r="E2885" s="30"/>
    </row>
    <row r="2886">
      <c r="A2886" s="27"/>
      <c r="B2886" s="28"/>
      <c r="C2886" s="27"/>
      <c r="D2886" s="27"/>
      <c r="E2886" s="30"/>
    </row>
    <row r="2887">
      <c r="A2887" s="27"/>
      <c r="B2887" s="28"/>
      <c r="C2887" s="27"/>
      <c r="D2887" s="27"/>
      <c r="E2887" s="30"/>
    </row>
    <row r="2888">
      <c r="A2888" s="27"/>
      <c r="B2888" s="28"/>
      <c r="C2888" s="27"/>
      <c r="D2888" s="27"/>
      <c r="E2888" s="30"/>
    </row>
    <row r="2889">
      <c r="A2889" s="27"/>
      <c r="B2889" s="28"/>
      <c r="C2889" s="27"/>
      <c r="D2889" s="27"/>
      <c r="E2889" s="30"/>
    </row>
    <row r="2890">
      <c r="A2890" s="27"/>
      <c r="B2890" s="28"/>
      <c r="C2890" s="27"/>
      <c r="D2890" s="27"/>
      <c r="E2890" s="30"/>
    </row>
    <row r="2891">
      <c r="A2891" s="27"/>
      <c r="B2891" s="28"/>
      <c r="C2891" s="27"/>
      <c r="D2891" s="27"/>
      <c r="E2891" s="30"/>
    </row>
    <row r="2892">
      <c r="A2892" s="27"/>
      <c r="B2892" s="28"/>
      <c r="C2892" s="27"/>
      <c r="D2892" s="27"/>
      <c r="E2892" s="30"/>
    </row>
    <row r="2893">
      <c r="A2893" s="27"/>
      <c r="B2893" s="28"/>
      <c r="C2893" s="27"/>
      <c r="D2893" s="27"/>
      <c r="E2893" s="30"/>
    </row>
    <row r="2894">
      <c r="A2894" s="27"/>
      <c r="B2894" s="28"/>
      <c r="C2894" s="27"/>
      <c r="D2894" s="27"/>
      <c r="E2894" s="30"/>
    </row>
    <row r="2895">
      <c r="A2895" s="27"/>
      <c r="B2895" s="28"/>
      <c r="C2895" s="27"/>
      <c r="D2895" s="27"/>
      <c r="E2895" s="30"/>
    </row>
    <row r="2896">
      <c r="A2896" s="27"/>
      <c r="B2896" s="28"/>
      <c r="C2896" s="27"/>
      <c r="D2896" s="27"/>
      <c r="E2896" s="30"/>
    </row>
    <row r="2897">
      <c r="A2897" s="27"/>
      <c r="B2897" s="28"/>
      <c r="C2897" s="27"/>
      <c r="D2897" s="27"/>
      <c r="E2897" s="30"/>
    </row>
    <row r="2898">
      <c r="A2898" s="27"/>
      <c r="B2898" s="28"/>
      <c r="C2898" s="27"/>
      <c r="D2898" s="27"/>
      <c r="E2898" s="30"/>
    </row>
    <row r="2899">
      <c r="A2899" s="27"/>
      <c r="B2899" s="28"/>
      <c r="C2899" s="27"/>
      <c r="D2899" s="27"/>
      <c r="E2899" s="30"/>
    </row>
    <row r="2900">
      <c r="A2900" s="27"/>
      <c r="B2900" s="28"/>
      <c r="C2900" s="27"/>
      <c r="D2900" s="27"/>
      <c r="E2900" s="30"/>
    </row>
    <row r="2901">
      <c r="A2901" s="27"/>
      <c r="B2901" s="28"/>
      <c r="C2901" s="27"/>
      <c r="D2901" s="27"/>
      <c r="E2901" s="30"/>
    </row>
    <row r="2902">
      <c r="A2902" s="27"/>
      <c r="B2902" s="28"/>
      <c r="C2902" s="27"/>
      <c r="D2902" s="27"/>
      <c r="E2902" s="30"/>
    </row>
    <row r="2903">
      <c r="A2903" s="27"/>
      <c r="B2903" s="28"/>
      <c r="C2903" s="27"/>
      <c r="D2903" s="27"/>
      <c r="E2903" s="30"/>
    </row>
    <row r="2904">
      <c r="A2904" s="27"/>
      <c r="B2904" s="28"/>
      <c r="C2904" s="27"/>
      <c r="D2904" s="27"/>
      <c r="E2904" s="30"/>
    </row>
    <row r="2905">
      <c r="A2905" s="27"/>
      <c r="B2905" s="28"/>
      <c r="C2905" s="27"/>
      <c r="D2905" s="27"/>
      <c r="E2905" s="30"/>
    </row>
    <row r="2906">
      <c r="A2906" s="27"/>
      <c r="B2906" s="28"/>
      <c r="C2906" s="27"/>
      <c r="D2906" s="27"/>
      <c r="E2906" s="30"/>
    </row>
    <row r="2907">
      <c r="A2907" s="27"/>
      <c r="B2907" s="28"/>
      <c r="C2907" s="27"/>
      <c r="D2907" s="27"/>
      <c r="E2907" s="30"/>
    </row>
    <row r="2908">
      <c r="A2908" s="27"/>
      <c r="B2908" s="28"/>
      <c r="C2908" s="27"/>
      <c r="D2908" s="27"/>
      <c r="E2908" s="30"/>
    </row>
    <row r="2909">
      <c r="A2909" s="27"/>
      <c r="B2909" s="28"/>
      <c r="C2909" s="27"/>
      <c r="D2909" s="27"/>
      <c r="E2909" s="30"/>
    </row>
    <row r="2910">
      <c r="A2910" s="27"/>
      <c r="B2910" s="28"/>
      <c r="C2910" s="27"/>
      <c r="D2910" s="27"/>
      <c r="E2910" s="30"/>
    </row>
    <row r="2911">
      <c r="A2911" s="27"/>
      <c r="B2911" s="28"/>
      <c r="C2911" s="27"/>
      <c r="D2911" s="27"/>
      <c r="E2911" s="30"/>
    </row>
    <row r="2912">
      <c r="A2912" s="27"/>
      <c r="B2912" s="28"/>
      <c r="C2912" s="27"/>
      <c r="D2912" s="27"/>
      <c r="E2912" s="30"/>
    </row>
    <row r="2913">
      <c r="A2913" s="27"/>
      <c r="B2913" s="28"/>
      <c r="C2913" s="27"/>
      <c r="D2913" s="27"/>
      <c r="E2913" s="30"/>
    </row>
    <row r="2914">
      <c r="A2914" s="27"/>
      <c r="B2914" s="28"/>
      <c r="C2914" s="27"/>
      <c r="D2914" s="27"/>
      <c r="E2914" s="30"/>
    </row>
    <row r="2915">
      <c r="A2915" s="27"/>
      <c r="B2915" s="28"/>
      <c r="C2915" s="27"/>
      <c r="D2915" s="27"/>
      <c r="E2915" s="30"/>
    </row>
    <row r="2916">
      <c r="A2916" s="27"/>
      <c r="B2916" s="28"/>
      <c r="C2916" s="27"/>
      <c r="D2916" s="27"/>
      <c r="E2916" s="30"/>
    </row>
    <row r="2917">
      <c r="A2917" s="27"/>
      <c r="B2917" s="28"/>
      <c r="C2917" s="27"/>
      <c r="D2917" s="27"/>
      <c r="E2917" s="30"/>
    </row>
    <row r="2918">
      <c r="A2918" s="27"/>
      <c r="B2918" s="28"/>
      <c r="C2918" s="27"/>
      <c r="D2918" s="27"/>
      <c r="E2918" s="30"/>
    </row>
    <row r="2919">
      <c r="A2919" s="27"/>
      <c r="B2919" s="28"/>
      <c r="C2919" s="27"/>
      <c r="D2919" s="27"/>
      <c r="E2919" s="30"/>
    </row>
    <row r="2920">
      <c r="A2920" s="27"/>
      <c r="B2920" s="28"/>
      <c r="C2920" s="27"/>
      <c r="D2920" s="27"/>
      <c r="E2920" s="30"/>
    </row>
    <row r="2921">
      <c r="A2921" s="27"/>
      <c r="B2921" s="28"/>
      <c r="C2921" s="27"/>
      <c r="D2921" s="27"/>
      <c r="E2921" s="30"/>
    </row>
    <row r="2922">
      <c r="A2922" s="27"/>
      <c r="B2922" s="28"/>
      <c r="C2922" s="27"/>
      <c r="D2922" s="27"/>
      <c r="E2922" s="30"/>
    </row>
    <row r="2923">
      <c r="A2923" s="27"/>
      <c r="B2923" s="28"/>
      <c r="C2923" s="27"/>
      <c r="D2923" s="27"/>
      <c r="E2923" s="30"/>
    </row>
    <row r="2924">
      <c r="A2924" s="27"/>
      <c r="B2924" s="28"/>
      <c r="C2924" s="27"/>
      <c r="D2924" s="27"/>
      <c r="E2924" s="30"/>
    </row>
    <row r="2925">
      <c r="A2925" s="27"/>
      <c r="B2925" s="28"/>
      <c r="C2925" s="27"/>
      <c r="D2925" s="27"/>
      <c r="E2925" s="30"/>
    </row>
    <row r="2926">
      <c r="A2926" s="27"/>
      <c r="B2926" s="28"/>
      <c r="C2926" s="27"/>
      <c r="D2926" s="27"/>
      <c r="E2926" s="30"/>
    </row>
    <row r="2927">
      <c r="A2927" s="27"/>
      <c r="B2927" s="28"/>
      <c r="C2927" s="27"/>
      <c r="D2927" s="27"/>
      <c r="E2927" s="30"/>
    </row>
    <row r="2928">
      <c r="A2928" s="27"/>
      <c r="B2928" s="28"/>
      <c r="C2928" s="27"/>
      <c r="D2928" s="27"/>
      <c r="E2928" s="30"/>
    </row>
    <row r="2929">
      <c r="A2929" s="27"/>
      <c r="B2929" s="28"/>
      <c r="C2929" s="27"/>
      <c r="D2929" s="27"/>
      <c r="E2929" s="30"/>
    </row>
    <row r="2930">
      <c r="A2930" s="27"/>
      <c r="B2930" s="28"/>
      <c r="C2930" s="27"/>
      <c r="D2930" s="27"/>
      <c r="E2930" s="30"/>
    </row>
    <row r="2931">
      <c r="A2931" s="27"/>
      <c r="B2931" s="28"/>
      <c r="C2931" s="27"/>
      <c r="D2931" s="27"/>
      <c r="E2931" s="30"/>
    </row>
    <row r="2932">
      <c r="A2932" s="27"/>
      <c r="B2932" s="28"/>
      <c r="C2932" s="27"/>
      <c r="D2932" s="27"/>
      <c r="E2932" s="30"/>
    </row>
    <row r="2933">
      <c r="A2933" s="27"/>
      <c r="B2933" s="28"/>
      <c r="C2933" s="27"/>
      <c r="D2933" s="27"/>
      <c r="E2933" s="30"/>
    </row>
    <row r="2934">
      <c r="A2934" s="27"/>
      <c r="B2934" s="28"/>
      <c r="C2934" s="27"/>
      <c r="D2934" s="27"/>
      <c r="E2934" s="30"/>
    </row>
    <row r="2935">
      <c r="A2935" s="27"/>
      <c r="B2935" s="28"/>
      <c r="C2935" s="27"/>
      <c r="D2935" s="27"/>
      <c r="E2935" s="30"/>
    </row>
    <row r="2936">
      <c r="A2936" s="27"/>
      <c r="B2936" s="28"/>
      <c r="C2936" s="27"/>
      <c r="D2936" s="27"/>
      <c r="E2936" s="30"/>
    </row>
    <row r="2937">
      <c r="A2937" s="27"/>
      <c r="B2937" s="28"/>
      <c r="C2937" s="27"/>
      <c r="D2937" s="27"/>
      <c r="E2937" s="30"/>
    </row>
    <row r="2938">
      <c r="A2938" s="27"/>
      <c r="B2938" s="28"/>
      <c r="C2938" s="27"/>
      <c r="D2938" s="27"/>
      <c r="E2938" s="30"/>
    </row>
    <row r="2939">
      <c r="A2939" s="27"/>
      <c r="B2939" s="28"/>
      <c r="C2939" s="27"/>
      <c r="D2939" s="27"/>
      <c r="E2939" s="30"/>
    </row>
    <row r="2940">
      <c r="A2940" s="27"/>
      <c r="B2940" s="28"/>
      <c r="C2940" s="27"/>
      <c r="D2940" s="27"/>
      <c r="E2940" s="30"/>
    </row>
    <row r="2941">
      <c r="A2941" s="27"/>
      <c r="B2941" s="28"/>
      <c r="C2941" s="27"/>
      <c r="D2941" s="27"/>
      <c r="E2941" s="30"/>
    </row>
    <row r="2942">
      <c r="A2942" s="27"/>
      <c r="B2942" s="28"/>
      <c r="C2942" s="27"/>
      <c r="D2942" s="27"/>
      <c r="E2942" s="30"/>
    </row>
    <row r="2943">
      <c r="A2943" s="27"/>
      <c r="B2943" s="28"/>
      <c r="C2943" s="27"/>
      <c r="D2943" s="27"/>
      <c r="E2943" s="30"/>
    </row>
    <row r="2944">
      <c r="A2944" s="27"/>
      <c r="B2944" s="28"/>
      <c r="C2944" s="27"/>
      <c r="D2944" s="27"/>
      <c r="E2944" s="30"/>
    </row>
    <row r="2945">
      <c r="A2945" s="27"/>
      <c r="B2945" s="28"/>
      <c r="C2945" s="27"/>
      <c r="D2945" s="27"/>
      <c r="E2945" s="30"/>
    </row>
    <row r="2946">
      <c r="A2946" s="27"/>
      <c r="B2946" s="28"/>
      <c r="C2946" s="27"/>
      <c r="D2946" s="27"/>
      <c r="E2946" s="30"/>
    </row>
    <row r="2947">
      <c r="A2947" s="27"/>
      <c r="B2947" s="28"/>
      <c r="C2947" s="27"/>
      <c r="D2947" s="27"/>
      <c r="E2947" s="30"/>
    </row>
    <row r="2948">
      <c r="A2948" s="27"/>
      <c r="B2948" s="28"/>
      <c r="C2948" s="27"/>
      <c r="D2948" s="27"/>
      <c r="E2948" s="30"/>
    </row>
    <row r="2949">
      <c r="A2949" s="27"/>
      <c r="B2949" s="28"/>
      <c r="C2949" s="27"/>
      <c r="D2949" s="27"/>
      <c r="E2949" s="30"/>
    </row>
    <row r="2950">
      <c r="A2950" s="27"/>
      <c r="B2950" s="28"/>
      <c r="C2950" s="27"/>
      <c r="D2950" s="27"/>
      <c r="E2950" s="30"/>
    </row>
    <row r="2951">
      <c r="A2951" s="27"/>
      <c r="B2951" s="28"/>
      <c r="C2951" s="27"/>
      <c r="D2951" s="27"/>
      <c r="E2951" s="30"/>
    </row>
    <row r="2952">
      <c r="A2952" s="27"/>
      <c r="B2952" s="28"/>
      <c r="C2952" s="27"/>
      <c r="D2952" s="27"/>
      <c r="E2952" s="30"/>
    </row>
    <row r="2953">
      <c r="A2953" s="27"/>
      <c r="B2953" s="28"/>
      <c r="C2953" s="27"/>
      <c r="D2953" s="27"/>
      <c r="E2953" s="30"/>
    </row>
    <row r="2954">
      <c r="A2954" s="27"/>
      <c r="B2954" s="28"/>
      <c r="C2954" s="27"/>
      <c r="D2954" s="27"/>
      <c r="E2954" s="30"/>
    </row>
    <row r="2955">
      <c r="A2955" s="27"/>
      <c r="B2955" s="28"/>
      <c r="C2955" s="27"/>
      <c r="D2955" s="27"/>
      <c r="E2955" s="30"/>
    </row>
    <row r="2956">
      <c r="A2956" s="27"/>
      <c r="B2956" s="28"/>
      <c r="C2956" s="27"/>
      <c r="D2956" s="27"/>
      <c r="E2956" s="30"/>
    </row>
    <row r="2957">
      <c r="A2957" s="27"/>
      <c r="B2957" s="28"/>
      <c r="C2957" s="27"/>
      <c r="D2957" s="27"/>
      <c r="E2957" s="30"/>
    </row>
    <row r="2958">
      <c r="A2958" s="27"/>
      <c r="B2958" s="28"/>
      <c r="C2958" s="27"/>
      <c r="D2958" s="27"/>
      <c r="E2958" s="30"/>
    </row>
    <row r="2959">
      <c r="A2959" s="27"/>
      <c r="B2959" s="28"/>
      <c r="C2959" s="27"/>
      <c r="D2959" s="27"/>
      <c r="E2959" s="30"/>
    </row>
    <row r="2960">
      <c r="A2960" s="27"/>
      <c r="B2960" s="28"/>
      <c r="C2960" s="27"/>
      <c r="D2960" s="27"/>
      <c r="E2960" s="30"/>
    </row>
    <row r="2961">
      <c r="A2961" s="27"/>
      <c r="B2961" s="28"/>
      <c r="C2961" s="27"/>
      <c r="D2961" s="27"/>
      <c r="E2961" s="30"/>
    </row>
    <row r="2962">
      <c r="A2962" s="27"/>
      <c r="B2962" s="28"/>
      <c r="C2962" s="27"/>
      <c r="D2962" s="27"/>
      <c r="E2962" s="30"/>
    </row>
    <row r="2963">
      <c r="A2963" s="27"/>
      <c r="B2963" s="28"/>
      <c r="C2963" s="27"/>
      <c r="D2963" s="27"/>
      <c r="E2963" s="30"/>
    </row>
    <row r="2964">
      <c r="A2964" s="27"/>
      <c r="B2964" s="28"/>
      <c r="C2964" s="27"/>
      <c r="D2964" s="27"/>
      <c r="E2964" s="30"/>
    </row>
    <row r="2965">
      <c r="A2965" s="27"/>
      <c r="B2965" s="28"/>
      <c r="C2965" s="27"/>
      <c r="D2965" s="27"/>
      <c r="E2965" s="30"/>
    </row>
    <row r="2966">
      <c r="A2966" s="27"/>
      <c r="B2966" s="28"/>
      <c r="C2966" s="27"/>
      <c r="D2966" s="27"/>
      <c r="E2966" s="30"/>
    </row>
    <row r="2967">
      <c r="A2967" s="27"/>
      <c r="B2967" s="28"/>
      <c r="C2967" s="27"/>
      <c r="D2967" s="27"/>
      <c r="E2967" s="30"/>
    </row>
    <row r="2968">
      <c r="A2968" s="27"/>
      <c r="B2968" s="28"/>
      <c r="C2968" s="27"/>
      <c r="D2968" s="27"/>
      <c r="E2968" s="30"/>
    </row>
    <row r="2969">
      <c r="A2969" s="27"/>
      <c r="B2969" s="28"/>
      <c r="C2969" s="27"/>
      <c r="D2969" s="27"/>
      <c r="E2969" s="30"/>
    </row>
    <row r="2970">
      <c r="A2970" s="27"/>
      <c r="B2970" s="28"/>
      <c r="C2970" s="27"/>
      <c r="D2970" s="27"/>
      <c r="E2970" s="30"/>
    </row>
    <row r="2971">
      <c r="A2971" s="27"/>
      <c r="B2971" s="28"/>
      <c r="C2971" s="27"/>
      <c r="D2971" s="27"/>
      <c r="E2971" s="30"/>
    </row>
    <row r="2972">
      <c r="A2972" s="27"/>
      <c r="B2972" s="28"/>
      <c r="C2972" s="27"/>
      <c r="D2972" s="27"/>
      <c r="E2972" s="30"/>
    </row>
    <row r="2973">
      <c r="A2973" s="27"/>
      <c r="B2973" s="28"/>
      <c r="C2973" s="27"/>
      <c r="D2973" s="27"/>
      <c r="E2973" s="30"/>
    </row>
    <row r="2974">
      <c r="A2974" s="27"/>
      <c r="B2974" s="28"/>
      <c r="C2974" s="27"/>
      <c r="D2974" s="27"/>
      <c r="E2974" s="30"/>
    </row>
    <row r="2975">
      <c r="A2975" s="27"/>
      <c r="B2975" s="28"/>
      <c r="C2975" s="27"/>
      <c r="D2975" s="27"/>
      <c r="E2975" s="30"/>
    </row>
    <row r="2976">
      <c r="A2976" s="27"/>
      <c r="B2976" s="28"/>
      <c r="C2976" s="27"/>
      <c r="D2976" s="27"/>
      <c r="E2976" s="30"/>
    </row>
    <row r="2977">
      <c r="A2977" s="27"/>
      <c r="B2977" s="28"/>
      <c r="C2977" s="27"/>
      <c r="D2977" s="27"/>
      <c r="E2977" s="30"/>
    </row>
    <row r="2978">
      <c r="A2978" s="27"/>
      <c r="B2978" s="28"/>
      <c r="C2978" s="27"/>
      <c r="D2978" s="27"/>
      <c r="E2978" s="30"/>
    </row>
    <row r="2979">
      <c r="A2979" s="27"/>
      <c r="B2979" s="28"/>
      <c r="C2979" s="27"/>
      <c r="D2979" s="27"/>
      <c r="E2979" s="30"/>
    </row>
    <row r="2980">
      <c r="A2980" s="27"/>
      <c r="B2980" s="28"/>
      <c r="C2980" s="27"/>
      <c r="D2980" s="27"/>
      <c r="E2980" s="30"/>
    </row>
    <row r="2981">
      <c r="A2981" s="27"/>
      <c r="B2981" s="28"/>
      <c r="C2981" s="27"/>
      <c r="D2981" s="27"/>
      <c r="E2981" s="30"/>
    </row>
    <row r="2982">
      <c r="A2982" s="27"/>
      <c r="B2982" s="28"/>
      <c r="C2982" s="27"/>
      <c r="D2982" s="27"/>
      <c r="E2982" s="30"/>
    </row>
    <row r="2983">
      <c r="A2983" s="27"/>
      <c r="B2983" s="28"/>
      <c r="C2983" s="27"/>
      <c r="D2983" s="27"/>
      <c r="E2983" s="30"/>
    </row>
    <row r="2984">
      <c r="A2984" s="27"/>
      <c r="B2984" s="28"/>
      <c r="C2984" s="27"/>
      <c r="D2984" s="27"/>
      <c r="E2984" s="30"/>
    </row>
    <row r="2985">
      <c r="A2985" s="27"/>
      <c r="B2985" s="28"/>
      <c r="C2985" s="27"/>
      <c r="D2985" s="27"/>
      <c r="E2985" s="30"/>
    </row>
    <row r="2986">
      <c r="A2986" s="27"/>
      <c r="B2986" s="28"/>
      <c r="C2986" s="27"/>
      <c r="D2986" s="27"/>
      <c r="E2986" s="30"/>
    </row>
    <row r="2987">
      <c r="A2987" s="27"/>
      <c r="B2987" s="28"/>
      <c r="C2987" s="27"/>
      <c r="D2987" s="27"/>
      <c r="E2987" s="30"/>
    </row>
    <row r="2988">
      <c r="A2988" s="27"/>
      <c r="B2988" s="28"/>
      <c r="C2988" s="27"/>
      <c r="D2988" s="27"/>
      <c r="E2988" s="30"/>
    </row>
    <row r="2989">
      <c r="A2989" s="27"/>
      <c r="B2989" s="28"/>
      <c r="C2989" s="27"/>
      <c r="D2989" s="27"/>
      <c r="E2989" s="30"/>
    </row>
    <row r="2990">
      <c r="A2990" s="27"/>
      <c r="B2990" s="28"/>
      <c r="C2990" s="27"/>
      <c r="D2990" s="27"/>
      <c r="E2990" s="30"/>
    </row>
    <row r="2991">
      <c r="A2991" s="27"/>
      <c r="B2991" s="28"/>
      <c r="C2991" s="27"/>
      <c r="D2991" s="27"/>
      <c r="E2991" s="30"/>
    </row>
    <row r="2992">
      <c r="A2992" s="27"/>
      <c r="B2992" s="28"/>
      <c r="C2992" s="27"/>
      <c r="D2992" s="27"/>
      <c r="E2992" s="30"/>
    </row>
    <row r="2993">
      <c r="A2993" s="27"/>
      <c r="B2993" s="28"/>
      <c r="C2993" s="27"/>
      <c r="D2993" s="27"/>
      <c r="E2993" s="30"/>
    </row>
    <row r="2994">
      <c r="A2994" s="27"/>
      <c r="B2994" s="28"/>
      <c r="C2994" s="27"/>
      <c r="D2994" s="27"/>
      <c r="E2994" s="30"/>
    </row>
    <row r="2995">
      <c r="A2995" s="27"/>
      <c r="B2995" s="28"/>
      <c r="C2995" s="27"/>
      <c r="D2995" s="27"/>
      <c r="E2995" s="30"/>
    </row>
    <row r="2996">
      <c r="A2996" s="27"/>
      <c r="B2996" s="28"/>
      <c r="C2996" s="27"/>
      <c r="D2996" s="27"/>
      <c r="E2996" s="30"/>
    </row>
    <row r="2997">
      <c r="A2997" s="27"/>
      <c r="B2997" s="28"/>
      <c r="C2997" s="27"/>
      <c r="D2997" s="27"/>
      <c r="E2997" s="30"/>
    </row>
    <row r="2998">
      <c r="A2998" s="27"/>
      <c r="B2998" s="28"/>
      <c r="C2998" s="27"/>
      <c r="D2998" s="27"/>
      <c r="E2998" s="30"/>
    </row>
    <row r="2999">
      <c r="A2999" s="27"/>
      <c r="B2999" s="28"/>
      <c r="C2999" s="27"/>
      <c r="D2999" s="27"/>
      <c r="E2999" s="30"/>
    </row>
    <row r="3000">
      <c r="A3000" s="27"/>
      <c r="B3000" s="28"/>
      <c r="C3000" s="27"/>
      <c r="D3000" s="27"/>
      <c r="E3000" s="30"/>
    </row>
    <row r="3001">
      <c r="A3001" s="27"/>
      <c r="B3001" s="28"/>
      <c r="C3001" s="27"/>
      <c r="D3001" s="27"/>
      <c r="E3001" s="30"/>
    </row>
    <row r="3002">
      <c r="A3002" s="27"/>
      <c r="B3002" s="28"/>
      <c r="C3002" s="27"/>
      <c r="D3002" s="27"/>
      <c r="E3002" s="30"/>
    </row>
    <row r="3003">
      <c r="A3003" s="27"/>
      <c r="B3003" s="28"/>
      <c r="C3003" s="27"/>
      <c r="D3003" s="27"/>
      <c r="E3003" s="30"/>
    </row>
    <row r="3004">
      <c r="A3004" s="27"/>
      <c r="B3004" s="28"/>
      <c r="C3004" s="27"/>
      <c r="D3004" s="27"/>
      <c r="E3004" s="30"/>
    </row>
    <row r="3005">
      <c r="A3005" s="27"/>
      <c r="B3005" s="28"/>
      <c r="C3005" s="27"/>
      <c r="D3005" s="27"/>
      <c r="E3005" s="30"/>
    </row>
    <row r="3006">
      <c r="A3006" s="27"/>
      <c r="B3006" s="28"/>
      <c r="C3006" s="27"/>
      <c r="D3006" s="27"/>
      <c r="E3006" s="30"/>
    </row>
    <row r="3007">
      <c r="A3007" s="27"/>
      <c r="B3007" s="28"/>
      <c r="C3007" s="27"/>
      <c r="D3007" s="27"/>
      <c r="E3007" s="30"/>
    </row>
    <row r="3008">
      <c r="A3008" s="27"/>
      <c r="B3008" s="28"/>
      <c r="C3008" s="27"/>
      <c r="D3008" s="27"/>
      <c r="E3008" s="30"/>
    </row>
    <row r="3009">
      <c r="A3009" s="27"/>
      <c r="B3009" s="28"/>
      <c r="C3009" s="27"/>
      <c r="D3009" s="27"/>
      <c r="E3009" s="30"/>
    </row>
    <row r="3010">
      <c r="A3010" s="27"/>
      <c r="B3010" s="28"/>
      <c r="C3010" s="27"/>
      <c r="D3010" s="27"/>
      <c r="E3010" s="30"/>
    </row>
    <row r="3011">
      <c r="A3011" s="27"/>
      <c r="B3011" s="28"/>
      <c r="C3011" s="27"/>
      <c r="D3011" s="27"/>
      <c r="E3011" s="30"/>
    </row>
    <row r="3012">
      <c r="A3012" s="27"/>
      <c r="B3012" s="28"/>
      <c r="C3012" s="27"/>
      <c r="D3012" s="27"/>
      <c r="E3012" s="30"/>
    </row>
    <row r="3013">
      <c r="A3013" s="27"/>
      <c r="B3013" s="28"/>
      <c r="C3013" s="27"/>
      <c r="D3013" s="27"/>
      <c r="E3013" s="30"/>
    </row>
    <row r="3014">
      <c r="A3014" s="27"/>
      <c r="B3014" s="28"/>
      <c r="C3014" s="27"/>
      <c r="D3014" s="27"/>
      <c r="E3014" s="30"/>
    </row>
    <row r="3015">
      <c r="A3015" s="27"/>
      <c r="B3015" s="28"/>
      <c r="C3015" s="27"/>
      <c r="D3015" s="27"/>
      <c r="E3015" s="30"/>
    </row>
    <row r="3016">
      <c r="A3016" s="27"/>
      <c r="B3016" s="28"/>
      <c r="C3016" s="27"/>
      <c r="D3016" s="27"/>
      <c r="E3016" s="30"/>
    </row>
    <row r="3017">
      <c r="A3017" s="27"/>
      <c r="B3017" s="28"/>
      <c r="C3017" s="27"/>
      <c r="D3017" s="27"/>
      <c r="E3017" s="30"/>
    </row>
    <row r="3018">
      <c r="A3018" s="27"/>
      <c r="B3018" s="28"/>
      <c r="C3018" s="27"/>
      <c r="D3018" s="27"/>
      <c r="E3018" s="30"/>
    </row>
    <row r="3019">
      <c r="A3019" s="27"/>
      <c r="B3019" s="28"/>
      <c r="C3019" s="27"/>
      <c r="D3019" s="27"/>
      <c r="E3019" s="30"/>
    </row>
    <row r="3020">
      <c r="A3020" s="27"/>
      <c r="B3020" s="28"/>
      <c r="C3020" s="27"/>
      <c r="D3020" s="27"/>
      <c r="E3020" s="30"/>
    </row>
    <row r="3021">
      <c r="A3021" s="27"/>
      <c r="B3021" s="28"/>
      <c r="C3021" s="27"/>
      <c r="D3021" s="27"/>
      <c r="E3021" s="30"/>
    </row>
    <row r="3022">
      <c r="A3022" s="27"/>
      <c r="B3022" s="28"/>
      <c r="C3022" s="27"/>
      <c r="D3022" s="27"/>
      <c r="E3022" s="30"/>
    </row>
    <row r="3023">
      <c r="A3023" s="27"/>
      <c r="B3023" s="28"/>
      <c r="C3023" s="27"/>
      <c r="D3023" s="27"/>
      <c r="E3023" s="30"/>
    </row>
    <row r="3024">
      <c r="A3024" s="27"/>
      <c r="B3024" s="28"/>
      <c r="C3024" s="27"/>
      <c r="D3024" s="27"/>
      <c r="E3024" s="30"/>
    </row>
    <row r="3025">
      <c r="A3025" s="27"/>
      <c r="B3025" s="28"/>
      <c r="C3025" s="27"/>
      <c r="D3025" s="27"/>
      <c r="E3025" s="30"/>
    </row>
    <row r="3026">
      <c r="A3026" s="27"/>
      <c r="B3026" s="28"/>
      <c r="C3026" s="27"/>
      <c r="D3026" s="27"/>
      <c r="E3026" s="30"/>
    </row>
    <row r="3027">
      <c r="A3027" s="27"/>
      <c r="B3027" s="28"/>
      <c r="C3027" s="27"/>
      <c r="D3027" s="27"/>
      <c r="E3027" s="30"/>
    </row>
    <row r="3028">
      <c r="A3028" s="27"/>
      <c r="B3028" s="28"/>
      <c r="C3028" s="27"/>
      <c r="D3028" s="27"/>
      <c r="E3028" s="30"/>
    </row>
    <row r="3029">
      <c r="A3029" s="27"/>
      <c r="B3029" s="28"/>
      <c r="C3029" s="27"/>
      <c r="D3029" s="27"/>
      <c r="E3029" s="30"/>
    </row>
    <row r="3030">
      <c r="A3030" s="27"/>
      <c r="B3030" s="28"/>
      <c r="C3030" s="27"/>
      <c r="D3030" s="27"/>
      <c r="E3030" s="30"/>
    </row>
    <row r="3031">
      <c r="A3031" s="27"/>
      <c r="B3031" s="28"/>
      <c r="C3031" s="27"/>
      <c r="D3031" s="27"/>
      <c r="E3031" s="30"/>
    </row>
    <row r="3032">
      <c r="A3032" s="27"/>
      <c r="B3032" s="28"/>
      <c r="C3032" s="27"/>
      <c r="D3032" s="27"/>
      <c r="E3032" s="30"/>
    </row>
    <row r="3033">
      <c r="A3033" s="27"/>
      <c r="B3033" s="28"/>
      <c r="C3033" s="27"/>
      <c r="D3033" s="27"/>
      <c r="E3033" s="30"/>
    </row>
    <row r="3034">
      <c r="A3034" s="27"/>
      <c r="B3034" s="28"/>
      <c r="C3034" s="27"/>
      <c r="D3034" s="27"/>
      <c r="E3034" s="30"/>
    </row>
    <row r="3035">
      <c r="A3035" s="27"/>
      <c r="B3035" s="28"/>
      <c r="C3035" s="27"/>
      <c r="D3035" s="27"/>
      <c r="E3035" s="30"/>
    </row>
    <row r="3036">
      <c r="A3036" s="27"/>
      <c r="B3036" s="28"/>
      <c r="C3036" s="27"/>
      <c r="D3036" s="27"/>
      <c r="E3036" s="30"/>
    </row>
    <row r="3037">
      <c r="A3037" s="27"/>
      <c r="B3037" s="28"/>
      <c r="C3037" s="27"/>
      <c r="D3037" s="27"/>
      <c r="E3037" s="30"/>
    </row>
    <row r="3038">
      <c r="A3038" s="27"/>
      <c r="B3038" s="28"/>
      <c r="C3038" s="27"/>
      <c r="D3038" s="27"/>
      <c r="E3038" s="30"/>
    </row>
    <row r="3039">
      <c r="A3039" s="27"/>
      <c r="B3039" s="28"/>
      <c r="C3039" s="27"/>
      <c r="D3039" s="27"/>
      <c r="E3039" s="30"/>
    </row>
    <row r="3040">
      <c r="A3040" s="27"/>
      <c r="B3040" s="28"/>
      <c r="C3040" s="27"/>
      <c r="D3040" s="27"/>
      <c r="E3040" s="30"/>
    </row>
    <row r="3041">
      <c r="A3041" s="27"/>
      <c r="B3041" s="28"/>
      <c r="C3041" s="27"/>
      <c r="D3041" s="27"/>
      <c r="E3041" s="30"/>
    </row>
    <row r="3042">
      <c r="A3042" s="27"/>
      <c r="B3042" s="28"/>
      <c r="C3042" s="27"/>
      <c r="D3042" s="27"/>
      <c r="E3042" s="30"/>
    </row>
    <row r="3043">
      <c r="A3043" s="27"/>
      <c r="B3043" s="28"/>
      <c r="C3043" s="27"/>
      <c r="D3043" s="27"/>
      <c r="E3043" s="30"/>
    </row>
    <row r="3044">
      <c r="A3044" s="27"/>
      <c r="B3044" s="28"/>
      <c r="C3044" s="27"/>
      <c r="D3044" s="27"/>
      <c r="E3044" s="30"/>
    </row>
    <row r="3045">
      <c r="A3045" s="27"/>
      <c r="B3045" s="28"/>
      <c r="C3045" s="27"/>
      <c r="D3045" s="27"/>
      <c r="E3045" s="30"/>
    </row>
    <row r="3046">
      <c r="A3046" s="27"/>
      <c r="B3046" s="28"/>
      <c r="C3046" s="27"/>
      <c r="D3046" s="27"/>
      <c r="E3046" s="30"/>
    </row>
    <row r="3047">
      <c r="A3047" s="27"/>
      <c r="B3047" s="28"/>
      <c r="C3047" s="27"/>
      <c r="D3047" s="27"/>
      <c r="E3047" s="30"/>
    </row>
    <row r="3048">
      <c r="A3048" s="27"/>
      <c r="B3048" s="28"/>
      <c r="C3048" s="27"/>
      <c r="D3048" s="27"/>
      <c r="E3048" s="30"/>
    </row>
    <row r="3049">
      <c r="A3049" s="27"/>
      <c r="B3049" s="28"/>
      <c r="C3049" s="27"/>
      <c r="D3049" s="27"/>
      <c r="E3049" s="30"/>
    </row>
    <row r="3050">
      <c r="A3050" s="27"/>
      <c r="B3050" s="28"/>
      <c r="C3050" s="27"/>
      <c r="D3050" s="27"/>
      <c r="E3050" s="30"/>
    </row>
    <row r="3051">
      <c r="A3051" s="27"/>
      <c r="B3051" s="28"/>
      <c r="C3051" s="27"/>
      <c r="D3051" s="27"/>
      <c r="E3051" s="30"/>
    </row>
    <row r="3052">
      <c r="A3052" s="27"/>
      <c r="B3052" s="28"/>
      <c r="C3052" s="27"/>
      <c r="D3052" s="27"/>
      <c r="E3052" s="30"/>
    </row>
    <row r="3053">
      <c r="A3053" s="27"/>
      <c r="B3053" s="28"/>
      <c r="C3053" s="27"/>
      <c r="D3053" s="27"/>
      <c r="E3053" s="30"/>
    </row>
    <row r="3054">
      <c r="A3054" s="27"/>
      <c r="B3054" s="28"/>
      <c r="C3054" s="27"/>
      <c r="D3054" s="27"/>
      <c r="E3054" s="30"/>
    </row>
    <row r="3055">
      <c r="A3055" s="27"/>
      <c r="B3055" s="28"/>
      <c r="C3055" s="27"/>
      <c r="D3055" s="27"/>
      <c r="E3055" s="30"/>
    </row>
    <row r="3056">
      <c r="A3056" s="27"/>
      <c r="B3056" s="28"/>
      <c r="C3056" s="27"/>
      <c r="D3056" s="27"/>
      <c r="E3056" s="30"/>
    </row>
    <row r="3057">
      <c r="A3057" s="27"/>
      <c r="B3057" s="28"/>
      <c r="C3057" s="27"/>
      <c r="D3057" s="27"/>
      <c r="E3057" s="30"/>
    </row>
    <row r="3058">
      <c r="A3058" s="27"/>
      <c r="B3058" s="28"/>
      <c r="C3058" s="27"/>
      <c r="D3058" s="27"/>
      <c r="E3058" s="30"/>
    </row>
    <row r="3059">
      <c r="A3059" s="27"/>
      <c r="B3059" s="28"/>
      <c r="C3059" s="27"/>
      <c r="D3059" s="27"/>
      <c r="E3059" s="30"/>
    </row>
    <row r="3060">
      <c r="A3060" s="27"/>
      <c r="B3060" s="28"/>
      <c r="C3060" s="27"/>
      <c r="D3060" s="27"/>
      <c r="E3060" s="30"/>
    </row>
    <row r="3061">
      <c r="A3061" s="27"/>
      <c r="B3061" s="28"/>
      <c r="C3061" s="27"/>
      <c r="D3061" s="27"/>
      <c r="E3061" s="30"/>
    </row>
    <row r="3062">
      <c r="A3062" s="27"/>
      <c r="B3062" s="28"/>
      <c r="C3062" s="27"/>
      <c r="D3062" s="27"/>
      <c r="E3062" s="30"/>
    </row>
    <row r="3063">
      <c r="A3063" s="27"/>
      <c r="B3063" s="28"/>
      <c r="C3063" s="27"/>
      <c r="D3063" s="27"/>
      <c r="E3063" s="30"/>
    </row>
    <row r="3064">
      <c r="A3064" s="27"/>
      <c r="B3064" s="28"/>
      <c r="C3064" s="27"/>
      <c r="D3064" s="27"/>
      <c r="E3064" s="30"/>
    </row>
    <row r="3065">
      <c r="A3065" s="27"/>
      <c r="B3065" s="28"/>
      <c r="C3065" s="27"/>
      <c r="D3065" s="27"/>
      <c r="E3065" s="30"/>
    </row>
    <row r="3066">
      <c r="A3066" s="27"/>
      <c r="B3066" s="28"/>
      <c r="C3066" s="27"/>
      <c r="D3066" s="27"/>
      <c r="E3066" s="30"/>
    </row>
    <row r="3067">
      <c r="A3067" s="27"/>
      <c r="B3067" s="28"/>
      <c r="C3067" s="27"/>
      <c r="D3067" s="27"/>
      <c r="E3067" s="30"/>
    </row>
    <row r="3068">
      <c r="A3068" s="27"/>
      <c r="B3068" s="28"/>
      <c r="C3068" s="27"/>
      <c r="D3068" s="27"/>
      <c r="E3068" s="30"/>
    </row>
    <row r="3069">
      <c r="A3069" s="27"/>
      <c r="B3069" s="28"/>
      <c r="C3069" s="27"/>
      <c r="D3069" s="27"/>
      <c r="E3069" s="30"/>
    </row>
    <row r="3070">
      <c r="A3070" s="27"/>
      <c r="B3070" s="28"/>
      <c r="C3070" s="27"/>
      <c r="D3070" s="27"/>
      <c r="E3070" s="30"/>
    </row>
    <row r="3071">
      <c r="A3071" s="27"/>
      <c r="B3071" s="28"/>
      <c r="C3071" s="27"/>
      <c r="D3071" s="27"/>
      <c r="E3071" s="30"/>
    </row>
    <row r="3072">
      <c r="A3072" s="27"/>
      <c r="B3072" s="28"/>
      <c r="C3072" s="27"/>
      <c r="D3072" s="27"/>
      <c r="E3072" s="30"/>
    </row>
    <row r="3073">
      <c r="A3073" s="27"/>
      <c r="B3073" s="28"/>
      <c r="C3073" s="27"/>
      <c r="D3073" s="27"/>
      <c r="E3073" s="30"/>
    </row>
    <row r="3074">
      <c r="A3074" s="27"/>
      <c r="B3074" s="28"/>
      <c r="C3074" s="27"/>
      <c r="D3074" s="27"/>
      <c r="E3074" s="30"/>
    </row>
    <row r="3075">
      <c r="A3075" s="27"/>
      <c r="B3075" s="28"/>
      <c r="C3075" s="27"/>
      <c r="D3075" s="27"/>
      <c r="E3075" s="30"/>
    </row>
    <row r="3076">
      <c r="A3076" s="27"/>
      <c r="B3076" s="28"/>
      <c r="C3076" s="27"/>
      <c r="D3076" s="27"/>
      <c r="E3076" s="30"/>
    </row>
    <row r="3077">
      <c r="A3077" s="27"/>
      <c r="B3077" s="28"/>
      <c r="C3077" s="27"/>
      <c r="D3077" s="27"/>
      <c r="E3077" s="30"/>
    </row>
    <row r="3078">
      <c r="A3078" s="27"/>
      <c r="B3078" s="28"/>
      <c r="C3078" s="27"/>
      <c r="D3078" s="27"/>
      <c r="E3078" s="30"/>
    </row>
    <row r="3079">
      <c r="A3079" s="27"/>
      <c r="B3079" s="28"/>
      <c r="C3079" s="27"/>
      <c r="D3079" s="27"/>
      <c r="E3079" s="30"/>
    </row>
    <row r="3080">
      <c r="A3080" s="27"/>
      <c r="B3080" s="28"/>
      <c r="C3080" s="27"/>
      <c r="D3080" s="27"/>
      <c r="E3080" s="30"/>
    </row>
    <row r="3081">
      <c r="A3081" s="27"/>
      <c r="B3081" s="28"/>
      <c r="C3081" s="27"/>
      <c r="D3081" s="27"/>
      <c r="E3081" s="30"/>
    </row>
    <row r="3082">
      <c r="A3082" s="27"/>
      <c r="B3082" s="28"/>
      <c r="C3082" s="27"/>
      <c r="D3082" s="27"/>
      <c r="E3082" s="30"/>
    </row>
    <row r="3083">
      <c r="A3083" s="27"/>
      <c r="B3083" s="28"/>
      <c r="C3083" s="27"/>
      <c r="D3083" s="27"/>
      <c r="E3083" s="30"/>
    </row>
    <row r="3084">
      <c r="A3084" s="27"/>
      <c r="B3084" s="28"/>
      <c r="C3084" s="27"/>
      <c r="D3084" s="27"/>
      <c r="E3084" s="30"/>
    </row>
    <row r="3085">
      <c r="A3085" s="27"/>
      <c r="B3085" s="28"/>
      <c r="C3085" s="27"/>
      <c r="D3085" s="27"/>
      <c r="E3085" s="30"/>
    </row>
    <row r="3086">
      <c r="A3086" s="27"/>
      <c r="B3086" s="28"/>
      <c r="C3086" s="27"/>
      <c r="D3086" s="27"/>
      <c r="E3086" s="30"/>
    </row>
    <row r="3087">
      <c r="A3087" s="27"/>
      <c r="B3087" s="28"/>
      <c r="C3087" s="27"/>
      <c r="D3087" s="27"/>
      <c r="E3087" s="30"/>
    </row>
    <row r="3088">
      <c r="A3088" s="27"/>
      <c r="B3088" s="28"/>
      <c r="C3088" s="27"/>
      <c r="D3088" s="27"/>
      <c r="E3088" s="30"/>
    </row>
    <row r="3089">
      <c r="A3089" s="27"/>
      <c r="B3089" s="28"/>
      <c r="C3089" s="27"/>
      <c r="D3089" s="27"/>
      <c r="E3089" s="30"/>
    </row>
    <row r="3090">
      <c r="A3090" s="27"/>
      <c r="B3090" s="28"/>
      <c r="C3090" s="27"/>
      <c r="D3090" s="27"/>
      <c r="E3090" s="30"/>
    </row>
    <row r="3091">
      <c r="A3091" s="27"/>
      <c r="B3091" s="28"/>
      <c r="C3091" s="27"/>
      <c r="D3091" s="27"/>
      <c r="E3091" s="30"/>
    </row>
    <row r="3092" ht="14.25" customHeight="1">
      <c r="A3092" s="27"/>
      <c r="B3092" s="28"/>
      <c r="C3092" s="27"/>
      <c r="D3092" s="27"/>
      <c r="E3092" s="30"/>
    </row>
    <row r="3093">
      <c r="A3093" s="27"/>
      <c r="B3093" s="28"/>
      <c r="C3093" s="27"/>
      <c r="D3093" s="27"/>
      <c r="E3093" s="30"/>
    </row>
    <row r="3094">
      <c r="A3094" s="27"/>
      <c r="B3094" s="28"/>
      <c r="C3094" s="27"/>
      <c r="D3094" s="27"/>
      <c r="E3094" s="30"/>
    </row>
    <row r="3095">
      <c r="A3095" s="27"/>
      <c r="B3095" s="28"/>
      <c r="C3095" s="27"/>
      <c r="D3095" s="27"/>
      <c r="E3095" s="30"/>
    </row>
    <row r="3096">
      <c r="A3096" s="27"/>
      <c r="B3096" s="28"/>
      <c r="C3096" s="27"/>
      <c r="D3096" s="27"/>
      <c r="E3096" s="30"/>
    </row>
    <row r="3097">
      <c r="A3097" s="27"/>
      <c r="B3097" s="28"/>
      <c r="C3097" s="27"/>
      <c r="D3097" s="27"/>
      <c r="E3097" s="30"/>
    </row>
    <row r="3098">
      <c r="A3098" s="27"/>
      <c r="B3098" s="28"/>
      <c r="C3098" s="27"/>
      <c r="D3098" s="27"/>
      <c r="E3098" s="30"/>
    </row>
    <row r="3099">
      <c r="A3099" s="27"/>
      <c r="B3099" s="28"/>
      <c r="C3099" s="27"/>
      <c r="D3099" s="27"/>
      <c r="E3099" s="30"/>
    </row>
    <row r="3100">
      <c r="A3100" s="27"/>
      <c r="B3100" s="28"/>
      <c r="C3100" s="27"/>
      <c r="D3100" s="27"/>
      <c r="E3100" s="30"/>
    </row>
    <row r="3101">
      <c r="A3101" s="27"/>
      <c r="B3101" s="28"/>
      <c r="C3101" s="27"/>
      <c r="D3101" s="27"/>
      <c r="E3101" s="30"/>
    </row>
    <row r="3102">
      <c r="A3102" s="27"/>
      <c r="B3102" s="28"/>
      <c r="C3102" s="27"/>
      <c r="D3102" s="27"/>
      <c r="E3102" s="30"/>
    </row>
    <row r="3103">
      <c r="A3103" s="27"/>
      <c r="B3103" s="28"/>
      <c r="C3103" s="27"/>
      <c r="D3103" s="27"/>
      <c r="E3103" s="30"/>
    </row>
    <row r="3104">
      <c r="A3104" s="27"/>
      <c r="B3104" s="28"/>
      <c r="C3104" s="27"/>
      <c r="D3104" s="27"/>
      <c r="E3104" s="30"/>
    </row>
    <row r="3105">
      <c r="A3105" s="27"/>
      <c r="B3105" s="28"/>
      <c r="C3105" s="27"/>
      <c r="D3105" s="27"/>
      <c r="E3105" s="30"/>
    </row>
    <row r="3106">
      <c r="A3106" s="27"/>
      <c r="B3106" s="28"/>
      <c r="C3106" s="27"/>
      <c r="D3106" s="27"/>
      <c r="E3106" s="30"/>
    </row>
    <row r="3107">
      <c r="A3107" s="27"/>
      <c r="B3107" s="28"/>
      <c r="C3107" s="27"/>
      <c r="D3107" s="27"/>
      <c r="E3107" s="30"/>
    </row>
    <row r="3108">
      <c r="A3108" s="27"/>
      <c r="B3108" s="28"/>
      <c r="C3108" s="27"/>
      <c r="D3108" s="27"/>
      <c r="E3108" s="30"/>
    </row>
    <row r="3109">
      <c r="A3109" s="27"/>
      <c r="B3109" s="28"/>
      <c r="C3109" s="27"/>
      <c r="D3109" s="27"/>
      <c r="E3109" s="30"/>
    </row>
    <row r="3110">
      <c r="A3110" s="27"/>
      <c r="B3110" s="28"/>
      <c r="C3110" s="27"/>
      <c r="D3110" s="27"/>
      <c r="E3110" s="30"/>
    </row>
    <row r="3111">
      <c r="A3111" s="27"/>
      <c r="B3111" s="28"/>
      <c r="C3111" s="27"/>
      <c r="D3111" s="27"/>
      <c r="E3111" s="30"/>
    </row>
    <row r="3112">
      <c r="A3112" s="27"/>
      <c r="B3112" s="28"/>
      <c r="C3112" s="27"/>
      <c r="D3112" s="27"/>
      <c r="E3112" s="30"/>
    </row>
    <row r="3113">
      <c r="A3113" s="27"/>
      <c r="B3113" s="28"/>
      <c r="C3113" s="27"/>
      <c r="D3113" s="27"/>
      <c r="E3113" s="30"/>
    </row>
    <row r="3114">
      <c r="A3114" s="27"/>
      <c r="B3114" s="28"/>
      <c r="C3114" s="27"/>
      <c r="D3114" s="27"/>
      <c r="E3114" s="30"/>
    </row>
    <row r="3115">
      <c r="A3115" s="27"/>
      <c r="B3115" s="28"/>
      <c r="C3115" s="27"/>
      <c r="D3115" s="27"/>
      <c r="E3115" s="30"/>
    </row>
    <row r="3116">
      <c r="A3116" s="27"/>
      <c r="B3116" s="28"/>
      <c r="C3116" s="27"/>
      <c r="D3116" s="27"/>
      <c r="E3116" s="30"/>
    </row>
    <row r="3117">
      <c r="A3117" s="27"/>
      <c r="B3117" s="28"/>
      <c r="C3117" s="27"/>
      <c r="D3117" s="27"/>
      <c r="E3117" s="30"/>
    </row>
    <row r="3118">
      <c r="A3118" s="27"/>
      <c r="B3118" s="28"/>
      <c r="C3118" s="27"/>
      <c r="D3118" s="27"/>
      <c r="E3118" s="30"/>
    </row>
    <row r="3119">
      <c r="A3119" s="27"/>
      <c r="B3119" s="28"/>
      <c r="C3119" s="27"/>
      <c r="D3119" s="27"/>
      <c r="E3119" s="30"/>
    </row>
    <row r="3120">
      <c r="A3120" s="27"/>
      <c r="B3120" s="28"/>
      <c r="C3120" s="27"/>
      <c r="D3120" s="27"/>
      <c r="E3120" s="30"/>
    </row>
    <row r="3121">
      <c r="A3121" s="27"/>
      <c r="B3121" s="28"/>
      <c r="C3121" s="27"/>
      <c r="D3121" s="27"/>
      <c r="E3121" s="30"/>
    </row>
    <row r="3122">
      <c r="A3122" s="27"/>
      <c r="B3122" s="28"/>
      <c r="C3122" s="27"/>
      <c r="D3122" s="27"/>
      <c r="E3122" s="30"/>
    </row>
    <row r="3123">
      <c r="A3123" s="27"/>
      <c r="B3123" s="28"/>
      <c r="C3123" s="27"/>
      <c r="D3123" s="27"/>
      <c r="E3123" s="30"/>
    </row>
    <row r="3124">
      <c r="A3124" s="27"/>
      <c r="B3124" s="28"/>
      <c r="C3124" s="27"/>
      <c r="D3124" s="27"/>
      <c r="E3124" s="30"/>
    </row>
    <row r="3125">
      <c r="A3125" s="27"/>
      <c r="B3125" s="28"/>
      <c r="C3125" s="27"/>
      <c r="D3125" s="27"/>
      <c r="E3125" s="30"/>
    </row>
    <row r="3126">
      <c r="A3126" s="27"/>
      <c r="B3126" s="28"/>
      <c r="C3126" s="27"/>
      <c r="D3126" s="27"/>
      <c r="E3126" s="30"/>
    </row>
    <row r="3127">
      <c r="A3127" s="27"/>
      <c r="B3127" s="28"/>
      <c r="C3127" s="27"/>
      <c r="D3127" s="27"/>
      <c r="E3127" s="30"/>
    </row>
    <row r="3128">
      <c r="A3128" s="27"/>
      <c r="B3128" s="28"/>
      <c r="C3128" s="27"/>
      <c r="D3128" s="27"/>
      <c r="E3128" s="30"/>
    </row>
    <row r="3129">
      <c r="A3129" s="27"/>
      <c r="B3129" s="28"/>
      <c r="C3129" s="27"/>
      <c r="D3129" s="27"/>
      <c r="E3129" s="30"/>
    </row>
    <row r="3130">
      <c r="A3130" s="27"/>
      <c r="B3130" s="28"/>
      <c r="C3130" s="27"/>
      <c r="D3130" s="27"/>
      <c r="E3130" s="30"/>
    </row>
    <row r="3131">
      <c r="A3131" s="27"/>
      <c r="B3131" s="28"/>
      <c r="C3131" s="27"/>
      <c r="D3131" s="27"/>
      <c r="E3131" s="30"/>
    </row>
    <row r="3132">
      <c r="A3132" s="27"/>
      <c r="B3132" s="28"/>
      <c r="C3132" s="27"/>
      <c r="D3132" s="27"/>
      <c r="E3132" s="30"/>
    </row>
    <row r="3133">
      <c r="A3133" s="27"/>
      <c r="B3133" s="28"/>
      <c r="C3133" s="27"/>
      <c r="D3133" s="27"/>
      <c r="E3133" s="30"/>
    </row>
    <row r="3134">
      <c r="A3134" s="27"/>
      <c r="B3134" s="28"/>
      <c r="C3134" s="27"/>
      <c r="D3134" s="27"/>
      <c r="E3134" s="30"/>
    </row>
    <row r="3135">
      <c r="A3135" s="27"/>
      <c r="B3135" s="28"/>
      <c r="C3135" s="27"/>
      <c r="D3135" s="27"/>
      <c r="E3135" s="30"/>
    </row>
    <row r="3136">
      <c r="A3136" s="27"/>
      <c r="B3136" s="28"/>
      <c r="C3136" s="27"/>
      <c r="D3136" s="27"/>
      <c r="E3136" s="30"/>
    </row>
    <row r="3137">
      <c r="A3137" s="27"/>
      <c r="B3137" s="28"/>
      <c r="C3137" s="27"/>
      <c r="D3137" s="27"/>
      <c r="E3137" s="30"/>
    </row>
    <row r="3138">
      <c r="A3138" s="27"/>
      <c r="B3138" s="28"/>
      <c r="C3138" s="27"/>
      <c r="D3138" s="27"/>
      <c r="E3138" s="30"/>
    </row>
    <row r="3139">
      <c r="A3139" s="27"/>
      <c r="B3139" s="28"/>
      <c r="C3139" s="27"/>
      <c r="D3139" s="27"/>
      <c r="E3139" s="30"/>
    </row>
    <row r="3140">
      <c r="A3140" s="27"/>
      <c r="B3140" s="28"/>
      <c r="C3140" s="27"/>
      <c r="D3140" s="27"/>
      <c r="E3140" s="30"/>
    </row>
    <row r="3141">
      <c r="A3141" s="27"/>
      <c r="B3141" s="28"/>
      <c r="C3141" s="27"/>
      <c r="D3141" s="27"/>
      <c r="E3141" s="30"/>
    </row>
    <row r="3142">
      <c r="A3142" s="27"/>
      <c r="B3142" s="28"/>
      <c r="C3142" s="27"/>
      <c r="D3142" s="27"/>
      <c r="E3142" s="30"/>
    </row>
    <row r="3143">
      <c r="A3143" s="27"/>
      <c r="B3143" s="28"/>
      <c r="C3143" s="27"/>
      <c r="D3143" s="27"/>
      <c r="E3143" s="30"/>
    </row>
    <row r="3144">
      <c r="A3144" s="27"/>
      <c r="B3144" s="28"/>
      <c r="C3144" s="27"/>
      <c r="D3144" s="27"/>
      <c r="E3144" s="30"/>
    </row>
    <row r="3145">
      <c r="A3145" s="27"/>
      <c r="B3145" s="28"/>
      <c r="C3145" s="27"/>
      <c r="D3145" s="27"/>
      <c r="E3145" s="30"/>
    </row>
    <row r="3146">
      <c r="A3146" s="27"/>
      <c r="B3146" s="28"/>
      <c r="C3146" s="27"/>
      <c r="D3146" s="27"/>
      <c r="E3146" s="30"/>
    </row>
    <row r="3147">
      <c r="A3147" s="27"/>
      <c r="B3147" s="28"/>
      <c r="C3147" s="27"/>
      <c r="D3147" s="27"/>
      <c r="E3147" s="30"/>
    </row>
    <row r="3148">
      <c r="A3148" s="27"/>
      <c r="B3148" s="28"/>
      <c r="C3148" s="27"/>
      <c r="D3148" s="27"/>
      <c r="E3148" s="30"/>
    </row>
    <row r="3149">
      <c r="A3149" s="27"/>
      <c r="B3149" s="28"/>
      <c r="C3149" s="27"/>
      <c r="D3149" s="27"/>
      <c r="E3149" s="30"/>
    </row>
    <row r="3150">
      <c r="A3150" s="27"/>
      <c r="B3150" s="28"/>
      <c r="C3150" s="27"/>
      <c r="D3150" s="27"/>
      <c r="E3150" s="30"/>
    </row>
    <row r="3151">
      <c r="A3151" s="27"/>
      <c r="B3151" s="28"/>
      <c r="C3151" s="27"/>
      <c r="D3151" s="27"/>
      <c r="E3151" s="30"/>
    </row>
    <row r="3152">
      <c r="A3152" s="27"/>
      <c r="B3152" s="28"/>
      <c r="C3152" s="27"/>
      <c r="D3152" s="27"/>
      <c r="E3152" s="30"/>
    </row>
    <row r="3153">
      <c r="A3153" s="27"/>
      <c r="B3153" s="28"/>
      <c r="C3153" s="27"/>
      <c r="D3153" s="27"/>
      <c r="E3153" s="30"/>
    </row>
    <row r="3154">
      <c r="A3154" s="27"/>
      <c r="B3154" s="28"/>
      <c r="C3154" s="27"/>
      <c r="D3154" s="27"/>
      <c r="E3154" s="30"/>
    </row>
    <row r="3155">
      <c r="A3155" s="27"/>
      <c r="B3155" s="28"/>
      <c r="C3155" s="27"/>
      <c r="D3155" s="27"/>
      <c r="E3155" s="30"/>
    </row>
    <row r="3156">
      <c r="A3156" s="27"/>
      <c r="B3156" s="28"/>
      <c r="C3156" s="27"/>
      <c r="D3156" s="27"/>
      <c r="E3156" s="30"/>
    </row>
    <row r="3157">
      <c r="A3157" s="27"/>
      <c r="B3157" s="28"/>
      <c r="C3157" s="27"/>
      <c r="D3157" s="27"/>
      <c r="E3157" s="30"/>
    </row>
    <row r="3158">
      <c r="A3158" s="27"/>
      <c r="B3158" s="28"/>
      <c r="C3158" s="27"/>
      <c r="D3158" s="27"/>
      <c r="E3158" s="30"/>
    </row>
    <row r="3159">
      <c r="A3159" s="27"/>
      <c r="B3159" s="28"/>
      <c r="C3159" s="27"/>
      <c r="D3159" s="27"/>
      <c r="E3159" s="30"/>
    </row>
    <row r="3160">
      <c r="A3160" s="27"/>
      <c r="B3160" s="28"/>
      <c r="C3160" s="27"/>
      <c r="D3160" s="27"/>
      <c r="E3160" s="30"/>
    </row>
    <row r="3161">
      <c r="A3161" s="27"/>
      <c r="B3161" s="28"/>
      <c r="C3161" s="27"/>
      <c r="D3161" s="27"/>
      <c r="E3161" s="30"/>
    </row>
    <row r="3162">
      <c r="A3162" s="27"/>
      <c r="B3162" s="28"/>
      <c r="C3162" s="27"/>
      <c r="D3162" s="27"/>
      <c r="E3162" s="30"/>
    </row>
    <row r="3163">
      <c r="A3163" s="27"/>
      <c r="B3163" s="28"/>
      <c r="C3163" s="27"/>
      <c r="D3163" s="27"/>
      <c r="E3163" s="30"/>
    </row>
    <row r="3164">
      <c r="A3164" s="27"/>
      <c r="B3164" s="28"/>
      <c r="C3164" s="27"/>
      <c r="D3164" s="27"/>
      <c r="E3164" s="30"/>
    </row>
    <row r="3165">
      <c r="A3165" s="27"/>
      <c r="B3165" s="28"/>
      <c r="C3165" s="27"/>
      <c r="D3165" s="27"/>
      <c r="E3165" s="30"/>
    </row>
    <row r="3166">
      <c r="A3166" s="27"/>
      <c r="B3166" s="28"/>
      <c r="C3166" s="27"/>
      <c r="D3166" s="27"/>
      <c r="E3166" s="30"/>
    </row>
    <row r="3167">
      <c r="A3167" s="27"/>
      <c r="B3167" s="28"/>
      <c r="C3167" s="27"/>
      <c r="D3167" s="27"/>
      <c r="E3167" s="30"/>
    </row>
    <row r="3168">
      <c r="A3168" s="27"/>
      <c r="B3168" s="28"/>
      <c r="C3168" s="27"/>
      <c r="D3168" s="27"/>
      <c r="E3168" s="30"/>
    </row>
    <row r="3169">
      <c r="A3169" s="27"/>
      <c r="B3169" s="28"/>
      <c r="C3169" s="27"/>
      <c r="D3169" s="27"/>
      <c r="E3169" s="30"/>
    </row>
    <row r="3170">
      <c r="A3170" s="27"/>
      <c r="B3170" s="28"/>
      <c r="C3170" s="27"/>
      <c r="D3170" s="27"/>
      <c r="E3170" s="30"/>
    </row>
    <row r="3171">
      <c r="A3171" s="27"/>
      <c r="B3171" s="28"/>
      <c r="C3171" s="27"/>
      <c r="D3171" s="27"/>
      <c r="E3171" s="30"/>
    </row>
    <row r="3172">
      <c r="A3172" s="27"/>
      <c r="B3172" s="28"/>
      <c r="C3172" s="27"/>
      <c r="D3172" s="27"/>
      <c r="E3172" s="30"/>
    </row>
    <row r="3173">
      <c r="A3173" s="27"/>
      <c r="B3173" s="28"/>
      <c r="C3173" s="27"/>
      <c r="D3173" s="27"/>
      <c r="E3173" s="30"/>
    </row>
    <row r="3174">
      <c r="A3174" s="27"/>
      <c r="B3174" s="28"/>
      <c r="C3174" s="27"/>
      <c r="D3174" s="27"/>
      <c r="E3174" s="30"/>
    </row>
    <row r="3175">
      <c r="A3175" s="27"/>
      <c r="B3175" s="28"/>
      <c r="C3175" s="27"/>
      <c r="D3175" s="27"/>
      <c r="E3175" s="30"/>
    </row>
    <row r="3176">
      <c r="A3176" s="27"/>
      <c r="B3176" s="28"/>
      <c r="C3176" s="27"/>
      <c r="D3176" s="27"/>
      <c r="E3176" s="30"/>
    </row>
    <row r="3177">
      <c r="A3177" s="27"/>
      <c r="B3177" s="28"/>
      <c r="C3177" s="27"/>
      <c r="D3177" s="27"/>
      <c r="E3177" s="30"/>
    </row>
    <row r="3178">
      <c r="A3178" s="27"/>
      <c r="B3178" s="28"/>
      <c r="C3178" s="27"/>
      <c r="D3178" s="27"/>
      <c r="E3178" s="30"/>
    </row>
    <row r="3179">
      <c r="A3179" s="27"/>
      <c r="B3179" s="28"/>
      <c r="C3179" s="27"/>
      <c r="D3179" s="27"/>
      <c r="E3179" s="30"/>
    </row>
    <row r="3180">
      <c r="A3180" s="27"/>
      <c r="B3180" s="28"/>
      <c r="C3180" s="27"/>
      <c r="D3180" s="27"/>
      <c r="E3180" s="30"/>
    </row>
    <row r="3181">
      <c r="A3181" s="27"/>
      <c r="B3181" s="28"/>
      <c r="C3181" s="27"/>
      <c r="D3181" s="27"/>
      <c r="E3181" s="30"/>
    </row>
    <row r="3182">
      <c r="A3182" s="27"/>
      <c r="B3182" s="28"/>
      <c r="C3182" s="27"/>
      <c r="D3182" s="27"/>
      <c r="E3182" s="30"/>
    </row>
    <row r="3183">
      <c r="A3183" s="27"/>
      <c r="B3183" s="28"/>
      <c r="C3183" s="27"/>
      <c r="D3183" s="27"/>
      <c r="E3183" s="30"/>
    </row>
    <row r="3184">
      <c r="A3184" s="27"/>
      <c r="B3184" s="28"/>
      <c r="C3184" s="27"/>
      <c r="D3184" s="27"/>
      <c r="E3184" s="30"/>
    </row>
    <row r="3185">
      <c r="A3185" s="27"/>
      <c r="B3185" s="28"/>
      <c r="C3185" s="27"/>
      <c r="D3185" s="27"/>
      <c r="E3185" s="30"/>
    </row>
    <row r="3186">
      <c r="A3186" s="27"/>
      <c r="B3186" s="28"/>
      <c r="C3186" s="27"/>
      <c r="D3186" s="27"/>
      <c r="E3186" s="30"/>
    </row>
    <row r="3187">
      <c r="A3187" s="27"/>
      <c r="B3187" s="28"/>
      <c r="C3187" s="27"/>
      <c r="D3187" s="27"/>
      <c r="E3187" s="30"/>
    </row>
    <row r="3188">
      <c r="A3188" s="27"/>
      <c r="B3188" s="28"/>
      <c r="C3188" s="27"/>
      <c r="D3188" s="27"/>
      <c r="E3188" s="30"/>
    </row>
    <row r="3189">
      <c r="A3189" s="27"/>
      <c r="B3189" s="28"/>
      <c r="C3189" s="27"/>
      <c r="D3189" s="27"/>
      <c r="E3189" s="30"/>
    </row>
    <row r="3190">
      <c r="A3190" s="27"/>
      <c r="B3190" s="28"/>
      <c r="C3190" s="27"/>
      <c r="D3190" s="27"/>
      <c r="E3190" s="30"/>
    </row>
    <row r="3191">
      <c r="A3191" s="27"/>
      <c r="B3191" s="28"/>
      <c r="C3191" s="27"/>
      <c r="D3191" s="27"/>
      <c r="E3191" s="30"/>
    </row>
    <row r="3192">
      <c r="A3192" s="27"/>
      <c r="B3192" s="28"/>
      <c r="C3192" s="27"/>
      <c r="D3192" s="27"/>
      <c r="E3192" s="30"/>
    </row>
    <row r="3193">
      <c r="A3193" s="27"/>
      <c r="B3193" s="28"/>
      <c r="C3193" s="27"/>
      <c r="D3193" s="27"/>
      <c r="E3193" s="30"/>
    </row>
    <row r="3194">
      <c r="A3194" s="27"/>
      <c r="B3194" s="28"/>
      <c r="C3194" s="27"/>
      <c r="D3194" s="27"/>
      <c r="E3194" s="30"/>
    </row>
    <row r="3195">
      <c r="A3195" s="27"/>
      <c r="B3195" s="28"/>
      <c r="C3195" s="27"/>
      <c r="D3195" s="27"/>
      <c r="E3195" s="30"/>
    </row>
    <row r="3196">
      <c r="A3196" s="27"/>
      <c r="B3196" s="28"/>
      <c r="C3196" s="27"/>
      <c r="D3196" s="27"/>
      <c r="E3196" s="30"/>
    </row>
    <row r="3197">
      <c r="A3197" s="27"/>
      <c r="B3197" s="28"/>
      <c r="C3197" s="27"/>
      <c r="D3197" s="27"/>
      <c r="E3197" s="30"/>
    </row>
    <row r="3198">
      <c r="A3198" s="27"/>
      <c r="B3198" s="28"/>
      <c r="C3198" s="27"/>
      <c r="D3198" s="27"/>
      <c r="E3198" s="30"/>
    </row>
    <row r="3199">
      <c r="A3199" s="27"/>
      <c r="B3199" s="28"/>
      <c r="C3199" s="27"/>
      <c r="D3199" s="27"/>
      <c r="E3199" s="30"/>
    </row>
    <row r="3200">
      <c r="A3200" s="27"/>
      <c r="B3200" s="28"/>
      <c r="C3200" s="27"/>
      <c r="D3200" s="27"/>
      <c r="E3200" s="30"/>
    </row>
    <row r="3201">
      <c r="A3201" s="27"/>
      <c r="B3201" s="28"/>
      <c r="C3201" s="27"/>
      <c r="D3201" s="27"/>
      <c r="E3201" s="30"/>
    </row>
    <row r="3202">
      <c r="A3202" s="27"/>
      <c r="B3202" s="28"/>
      <c r="C3202" s="27"/>
      <c r="D3202" s="27"/>
      <c r="E3202" s="30"/>
    </row>
    <row r="3203">
      <c r="A3203" s="27"/>
      <c r="B3203" s="28"/>
      <c r="C3203" s="27"/>
      <c r="D3203" s="27"/>
      <c r="E3203" s="30"/>
    </row>
    <row r="3204">
      <c r="A3204" s="27"/>
      <c r="B3204" s="28"/>
      <c r="C3204" s="27"/>
      <c r="D3204" s="27"/>
      <c r="E3204" s="30"/>
    </row>
    <row r="3205">
      <c r="A3205" s="27"/>
      <c r="B3205" s="28"/>
      <c r="C3205" s="27"/>
      <c r="D3205" s="27"/>
      <c r="E3205" s="30"/>
    </row>
    <row r="3206">
      <c r="A3206" s="27"/>
      <c r="B3206" s="28"/>
      <c r="C3206" s="27"/>
      <c r="D3206" s="27"/>
      <c r="E3206" s="30"/>
    </row>
    <row r="3207">
      <c r="A3207" s="27"/>
      <c r="B3207" s="28"/>
      <c r="C3207" s="27"/>
      <c r="D3207" s="27"/>
      <c r="E3207" s="30"/>
    </row>
    <row r="3208">
      <c r="A3208" s="27"/>
      <c r="B3208" s="28"/>
      <c r="C3208" s="27"/>
      <c r="D3208" s="27"/>
      <c r="E3208" s="30"/>
    </row>
    <row r="3209">
      <c r="A3209" s="27"/>
      <c r="B3209" s="28"/>
      <c r="C3209" s="27"/>
      <c r="D3209" s="27"/>
      <c r="E3209" s="30"/>
    </row>
    <row r="3210">
      <c r="A3210" s="27"/>
      <c r="B3210" s="28"/>
      <c r="C3210" s="27"/>
      <c r="D3210" s="27"/>
      <c r="E3210" s="30"/>
    </row>
    <row r="3211">
      <c r="A3211" s="27"/>
      <c r="B3211" s="28"/>
      <c r="C3211" s="27"/>
      <c r="D3211" s="27"/>
      <c r="E3211" s="30"/>
    </row>
    <row r="3212">
      <c r="A3212" s="27"/>
      <c r="B3212" s="28"/>
      <c r="C3212" s="27"/>
      <c r="D3212" s="27"/>
      <c r="E3212" s="30"/>
    </row>
    <row r="3213">
      <c r="A3213" s="27"/>
      <c r="B3213" s="28"/>
      <c r="C3213" s="27"/>
      <c r="D3213" s="27"/>
      <c r="E3213" s="30"/>
    </row>
    <row r="3214">
      <c r="A3214" s="27"/>
      <c r="B3214" s="28"/>
      <c r="C3214" s="27"/>
      <c r="D3214" s="27"/>
      <c r="E3214" s="30"/>
    </row>
    <row r="3215">
      <c r="A3215" s="27"/>
      <c r="B3215" s="28"/>
      <c r="C3215" s="27"/>
      <c r="D3215" s="27"/>
      <c r="E3215" s="30"/>
    </row>
    <row r="3216">
      <c r="A3216" s="27"/>
      <c r="B3216" s="28"/>
      <c r="C3216" s="27"/>
      <c r="D3216" s="27"/>
      <c r="E3216" s="30"/>
    </row>
    <row r="3217">
      <c r="A3217" s="27"/>
      <c r="B3217" s="28"/>
      <c r="C3217" s="27"/>
      <c r="D3217" s="27"/>
      <c r="E3217" s="30"/>
    </row>
    <row r="3218">
      <c r="A3218" s="27"/>
      <c r="B3218" s="28"/>
      <c r="C3218" s="27"/>
      <c r="D3218" s="27"/>
      <c r="E3218" s="30"/>
    </row>
    <row r="3219">
      <c r="A3219" s="27"/>
      <c r="B3219" s="28"/>
      <c r="C3219" s="27"/>
      <c r="D3219" s="27"/>
      <c r="E3219" s="30"/>
    </row>
    <row r="3220">
      <c r="A3220" s="27"/>
      <c r="B3220" s="28"/>
      <c r="C3220" s="27"/>
      <c r="D3220" s="27"/>
      <c r="E3220" s="30"/>
    </row>
    <row r="3221">
      <c r="A3221" s="27"/>
      <c r="B3221" s="28"/>
      <c r="C3221" s="27"/>
      <c r="D3221" s="27"/>
      <c r="E3221" s="30"/>
    </row>
    <row r="3222">
      <c r="A3222" s="27"/>
      <c r="B3222" s="28"/>
      <c r="C3222" s="27"/>
      <c r="D3222" s="27"/>
      <c r="E3222" s="30"/>
    </row>
    <row r="3223">
      <c r="A3223" s="27"/>
      <c r="B3223" s="28"/>
      <c r="C3223" s="27"/>
      <c r="D3223" s="27"/>
      <c r="E3223" s="30"/>
    </row>
    <row r="3224">
      <c r="A3224" s="27"/>
      <c r="B3224" s="28"/>
      <c r="C3224" s="27"/>
      <c r="D3224" s="27"/>
      <c r="E3224" s="30"/>
    </row>
    <row r="3225">
      <c r="A3225" s="27"/>
      <c r="B3225" s="28"/>
      <c r="C3225" s="27"/>
      <c r="D3225" s="27"/>
      <c r="E3225" s="30"/>
    </row>
    <row r="3226">
      <c r="A3226" s="27"/>
      <c r="B3226" s="28"/>
      <c r="C3226" s="27"/>
      <c r="D3226" s="27"/>
      <c r="E3226" s="30"/>
    </row>
    <row r="3227">
      <c r="A3227" s="27"/>
      <c r="B3227" s="28"/>
      <c r="C3227" s="27"/>
      <c r="D3227" s="27"/>
      <c r="E3227" s="30"/>
    </row>
    <row r="3228">
      <c r="A3228" s="27"/>
      <c r="B3228" s="28"/>
      <c r="C3228" s="27"/>
      <c r="D3228" s="27"/>
      <c r="E3228" s="30"/>
    </row>
    <row r="3229">
      <c r="A3229" s="27"/>
      <c r="B3229" s="28"/>
      <c r="C3229" s="27"/>
      <c r="D3229" s="27"/>
      <c r="E3229" s="30"/>
    </row>
    <row r="3230">
      <c r="A3230" s="27"/>
      <c r="B3230" s="28"/>
      <c r="C3230" s="27"/>
      <c r="D3230" s="27"/>
      <c r="E3230" s="30"/>
    </row>
    <row r="3231">
      <c r="A3231" s="27"/>
      <c r="B3231" s="28"/>
      <c r="C3231" s="27"/>
      <c r="D3231" s="27"/>
      <c r="E3231" s="30"/>
    </row>
    <row r="3232">
      <c r="A3232" s="27"/>
      <c r="B3232" s="28"/>
      <c r="C3232" s="27"/>
      <c r="D3232" s="27"/>
      <c r="E3232" s="30"/>
    </row>
    <row r="3233">
      <c r="A3233" s="27"/>
      <c r="B3233" s="28"/>
      <c r="C3233" s="27"/>
      <c r="D3233" s="27"/>
      <c r="E3233" s="30"/>
    </row>
    <row r="3234">
      <c r="A3234" s="27"/>
      <c r="B3234" s="28"/>
      <c r="C3234" s="27"/>
      <c r="D3234" s="27"/>
      <c r="E3234" s="30"/>
    </row>
    <row r="3235">
      <c r="A3235" s="27"/>
      <c r="B3235" s="28"/>
      <c r="C3235" s="27"/>
      <c r="D3235" s="27"/>
      <c r="E3235" s="30"/>
    </row>
    <row r="3236">
      <c r="A3236" s="27"/>
      <c r="B3236" s="28"/>
      <c r="C3236" s="27"/>
      <c r="D3236" s="27"/>
      <c r="E3236" s="30"/>
    </row>
    <row r="3237">
      <c r="A3237" s="27"/>
      <c r="B3237" s="28"/>
      <c r="C3237" s="27"/>
      <c r="D3237" s="27"/>
      <c r="E3237" s="30"/>
    </row>
    <row r="3238">
      <c r="A3238" s="27"/>
      <c r="B3238" s="28"/>
      <c r="C3238" s="27"/>
      <c r="D3238" s="27"/>
      <c r="E3238" s="30"/>
    </row>
    <row r="3239">
      <c r="A3239" s="27"/>
      <c r="B3239" s="28"/>
      <c r="C3239" s="27"/>
      <c r="D3239" s="27"/>
      <c r="E3239" s="30"/>
    </row>
    <row r="3240">
      <c r="A3240" s="27"/>
      <c r="B3240" s="28"/>
      <c r="C3240" s="27"/>
      <c r="D3240" s="27"/>
      <c r="E3240" s="30"/>
    </row>
    <row r="3241">
      <c r="A3241" s="27"/>
      <c r="B3241" s="28"/>
      <c r="C3241" s="27"/>
      <c r="D3241" s="27"/>
      <c r="E3241" s="30"/>
    </row>
    <row r="3242">
      <c r="A3242" s="27"/>
      <c r="B3242" s="28"/>
      <c r="C3242" s="27"/>
      <c r="D3242" s="27"/>
      <c r="E3242" s="30"/>
    </row>
    <row r="3243">
      <c r="A3243" s="27"/>
      <c r="B3243" s="28"/>
      <c r="C3243" s="27"/>
      <c r="D3243" s="27"/>
      <c r="E3243" s="30"/>
    </row>
    <row r="3244">
      <c r="A3244" s="27"/>
      <c r="B3244" s="28"/>
      <c r="C3244" s="27"/>
      <c r="D3244" s="27"/>
      <c r="E3244" s="30"/>
    </row>
    <row r="3245">
      <c r="A3245" s="27"/>
      <c r="B3245" s="28"/>
      <c r="C3245" s="27"/>
      <c r="D3245" s="27"/>
      <c r="E3245" s="30"/>
    </row>
    <row r="3246">
      <c r="A3246" s="27"/>
      <c r="B3246" s="28"/>
      <c r="C3246" s="27"/>
      <c r="D3246" s="27"/>
      <c r="E3246" s="30"/>
    </row>
    <row r="3247">
      <c r="A3247" s="27"/>
      <c r="B3247" s="28"/>
      <c r="C3247" s="27"/>
      <c r="D3247" s="27"/>
      <c r="E3247" s="30"/>
    </row>
    <row r="3248">
      <c r="A3248" s="27"/>
      <c r="B3248" s="28"/>
      <c r="C3248" s="27"/>
      <c r="D3248" s="27"/>
      <c r="E3248" s="30"/>
    </row>
    <row r="3249">
      <c r="A3249" s="27"/>
      <c r="B3249" s="28"/>
      <c r="C3249" s="27"/>
      <c r="D3249" s="27"/>
      <c r="E3249" s="30"/>
    </row>
    <row r="3250">
      <c r="A3250" s="27"/>
      <c r="B3250" s="28"/>
      <c r="C3250" s="27"/>
      <c r="D3250" s="27"/>
      <c r="E3250" s="30"/>
    </row>
    <row r="3251">
      <c r="A3251" s="27"/>
      <c r="B3251" s="28"/>
      <c r="C3251" s="27"/>
      <c r="D3251" s="27"/>
      <c r="E3251" s="30"/>
    </row>
    <row r="3252">
      <c r="A3252" s="27"/>
      <c r="B3252" s="28"/>
      <c r="C3252" s="27"/>
      <c r="D3252" s="27"/>
      <c r="E3252" s="30"/>
    </row>
    <row r="3253">
      <c r="A3253" s="27"/>
      <c r="B3253" s="28"/>
      <c r="C3253" s="27"/>
      <c r="D3253" s="27"/>
      <c r="E3253" s="30"/>
    </row>
    <row r="3254">
      <c r="A3254" s="27"/>
      <c r="B3254" s="28"/>
      <c r="C3254" s="27"/>
      <c r="D3254" s="27"/>
      <c r="E3254" s="30"/>
    </row>
    <row r="3255">
      <c r="A3255" s="27"/>
      <c r="B3255" s="28"/>
      <c r="C3255" s="27"/>
      <c r="D3255" s="27"/>
      <c r="E3255" s="30"/>
    </row>
    <row r="3256">
      <c r="A3256" s="27"/>
      <c r="B3256" s="28"/>
      <c r="C3256" s="27"/>
      <c r="D3256" s="27"/>
      <c r="E3256" s="30"/>
    </row>
    <row r="3257">
      <c r="A3257" s="27"/>
      <c r="B3257" s="28"/>
      <c r="C3257" s="27"/>
      <c r="D3257" s="27"/>
      <c r="E3257" s="30"/>
    </row>
    <row r="3258">
      <c r="A3258" s="27"/>
      <c r="B3258" s="28"/>
      <c r="C3258" s="27"/>
      <c r="D3258" s="27"/>
      <c r="E3258" s="30"/>
    </row>
    <row r="3259">
      <c r="A3259" s="27"/>
      <c r="B3259" s="28"/>
      <c r="C3259" s="27"/>
      <c r="D3259" s="27"/>
      <c r="E3259" s="30"/>
    </row>
    <row r="3260">
      <c r="A3260" s="27"/>
      <c r="B3260" s="28"/>
      <c r="C3260" s="27"/>
      <c r="D3260" s="27"/>
      <c r="E3260" s="30"/>
    </row>
    <row r="3261">
      <c r="A3261" s="27"/>
      <c r="B3261" s="28"/>
      <c r="C3261" s="27"/>
      <c r="D3261" s="27"/>
      <c r="E3261" s="30"/>
    </row>
    <row r="3262">
      <c r="A3262" s="27"/>
      <c r="B3262" s="28"/>
      <c r="C3262" s="27"/>
      <c r="D3262" s="27"/>
      <c r="E3262" s="30"/>
    </row>
    <row r="3263">
      <c r="A3263" s="27"/>
      <c r="B3263" s="28"/>
      <c r="C3263" s="27"/>
      <c r="D3263" s="27"/>
      <c r="E3263" s="30"/>
    </row>
    <row r="3264">
      <c r="A3264" s="27"/>
      <c r="B3264" s="28"/>
      <c r="C3264" s="27"/>
      <c r="D3264" s="27"/>
      <c r="E3264" s="30"/>
    </row>
    <row r="3265">
      <c r="A3265" s="27"/>
      <c r="B3265" s="28"/>
      <c r="C3265" s="27"/>
      <c r="D3265" s="27"/>
      <c r="E3265" s="30"/>
    </row>
    <row r="3266">
      <c r="A3266" s="27"/>
      <c r="B3266" s="28"/>
      <c r="C3266" s="27"/>
      <c r="D3266" s="27"/>
      <c r="E3266" s="30"/>
    </row>
    <row r="3267">
      <c r="A3267" s="27"/>
      <c r="B3267" s="28"/>
      <c r="C3267" s="27"/>
      <c r="D3267" s="27"/>
      <c r="E3267" s="30"/>
    </row>
    <row r="3268">
      <c r="A3268" s="27"/>
      <c r="B3268" s="28"/>
      <c r="C3268" s="27"/>
      <c r="D3268" s="27"/>
      <c r="E3268" s="30"/>
    </row>
    <row r="3269">
      <c r="A3269" s="27"/>
      <c r="B3269" s="28"/>
      <c r="C3269" s="27"/>
      <c r="D3269" s="27"/>
      <c r="E3269" s="30"/>
    </row>
    <row r="3270">
      <c r="A3270" s="27"/>
      <c r="B3270" s="28"/>
      <c r="C3270" s="27"/>
      <c r="D3270" s="27"/>
      <c r="E3270" s="30"/>
    </row>
    <row r="3271">
      <c r="A3271" s="27"/>
      <c r="B3271" s="28"/>
      <c r="C3271" s="27"/>
      <c r="D3271" s="27"/>
      <c r="E3271" s="30"/>
    </row>
    <row r="3272">
      <c r="A3272" s="27"/>
      <c r="B3272" s="28"/>
      <c r="C3272" s="27"/>
      <c r="D3272" s="27"/>
      <c r="E3272" s="30"/>
    </row>
    <row r="3273">
      <c r="A3273" s="27"/>
      <c r="B3273" s="28"/>
      <c r="C3273" s="27"/>
      <c r="D3273" s="27"/>
      <c r="E3273" s="30"/>
    </row>
    <row r="3274">
      <c r="A3274" s="27"/>
      <c r="B3274" s="28"/>
      <c r="C3274" s="27"/>
      <c r="D3274" s="27"/>
      <c r="E3274" s="30"/>
    </row>
    <row r="3275">
      <c r="A3275" s="27"/>
      <c r="B3275" s="28"/>
      <c r="C3275" s="27"/>
      <c r="D3275" s="27"/>
      <c r="E3275" s="30"/>
    </row>
    <row r="3276">
      <c r="A3276" s="27"/>
      <c r="B3276" s="28"/>
      <c r="C3276" s="27"/>
      <c r="D3276" s="27"/>
      <c r="E3276" s="30"/>
    </row>
    <row r="3277">
      <c r="A3277" s="27"/>
      <c r="B3277" s="28"/>
      <c r="C3277" s="27"/>
      <c r="D3277" s="27"/>
      <c r="E3277" s="30"/>
    </row>
    <row r="3278">
      <c r="A3278" s="27"/>
      <c r="B3278" s="28"/>
      <c r="C3278" s="27"/>
      <c r="D3278" s="27"/>
      <c r="E3278" s="30"/>
    </row>
    <row r="3279">
      <c r="A3279" s="27"/>
      <c r="B3279" s="28"/>
      <c r="C3279" s="27"/>
      <c r="D3279" s="27"/>
      <c r="E3279" s="30"/>
    </row>
    <row r="3280">
      <c r="A3280" s="27"/>
      <c r="B3280" s="28"/>
      <c r="C3280" s="27"/>
      <c r="D3280" s="27"/>
      <c r="E3280" s="30"/>
    </row>
    <row r="3281">
      <c r="A3281" s="27"/>
      <c r="B3281" s="28"/>
      <c r="C3281" s="27"/>
      <c r="D3281" s="27"/>
      <c r="E3281" s="30"/>
    </row>
    <row r="3282">
      <c r="A3282" s="27"/>
      <c r="B3282" s="28"/>
      <c r="C3282" s="27"/>
      <c r="D3282" s="27"/>
      <c r="E3282" s="30"/>
    </row>
    <row r="3283">
      <c r="A3283" s="27"/>
      <c r="B3283" s="28"/>
      <c r="C3283" s="27"/>
      <c r="D3283" s="27"/>
      <c r="E3283" s="30"/>
    </row>
    <row r="3284">
      <c r="A3284" s="27"/>
      <c r="B3284" s="28"/>
      <c r="C3284" s="27"/>
      <c r="D3284" s="27"/>
      <c r="E3284" s="30"/>
    </row>
    <row r="3285">
      <c r="A3285" s="27"/>
      <c r="B3285" s="28"/>
      <c r="C3285" s="27"/>
      <c r="D3285" s="27"/>
      <c r="E3285" s="30"/>
    </row>
    <row r="3286">
      <c r="A3286" s="27"/>
      <c r="B3286" s="28"/>
      <c r="C3286" s="27"/>
      <c r="D3286" s="27"/>
      <c r="E3286" s="30"/>
    </row>
    <row r="3287">
      <c r="A3287" s="27"/>
      <c r="B3287" s="28"/>
      <c r="C3287" s="27"/>
      <c r="D3287" s="27"/>
      <c r="E3287" s="30"/>
    </row>
    <row r="3288">
      <c r="A3288" s="27"/>
      <c r="B3288" s="28"/>
      <c r="C3288" s="27"/>
      <c r="D3288" s="27"/>
      <c r="E3288" s="30"/>
    </row>
    <row r="3289">
      <c r="A3289" s="27"/>
      <c r="B3289" s="28"/>
      <c r="C3289" s="27"/>
      <c r="D3289" s="27"/>
      <c r="E3289" s="30"/>
    </row>
    <row r="3290">
      <c r="A3290" s="27"/>
      <c r="B3290" s="28"/>
      <c r="C3290" s="27"/>
      <c r="D3290" s="27"/>
      <c r="E3290" s="30"/>
    </row>
    <row r="3291">
      <c r="A3291" s="27"/>
      <c r="B3291" s="28"/>
      <c r="C3291" s="27"/>
      <c r="D3291" s="27"/>
      <c r="E3291" s="30"/>
    </row>
    <row r="3292">
      <c r="A3292" s="27"/>
      <c r="B3292" s="28"/>
      <c r="C3292" s="27"/>
      <c r="D3292" s="27"/>
      <c r="E3292" s="30"/>
    </row>
    <row r="3293">
      <c r="A3293" s="27"/>
      <c r="B3293" s="28"/>
      <c r="C3293" s="27"/>
      <c r="D3293" s="27"/>
      <c r="E3293" s="30"/>
    </row>
    <row r="3294">
      <c r="A3294" s="27"/>
      <c r="B3294" s="28"/>
      <c r="C3294" s="27"/>
      <c r="D3294" s="27"/>
      <c r="E3294" s="30"/>
    </row>
    <row r="3295">
      <c r="A3295" s="27"/>
      <c r="B3295" s="28"/>
      <c r="C3295" s="27"/>
      <c r="D3295" s="27"/>
      <c r="E3295" s="30"/>
    </row>
    <row r="3296">
      <c r="A3296" s="27"/>
      <c r="B3296" s="28"/>
      <c r="C3296" s="27"/>
      <c r="D3296" s="27"/>
      <c r="E3296" s="30"/>
    </row>
    <row r="3297">
      <c r="A3297" s="27"/>
      <c r="B3297" s="28"/>
      <c r="C3297" s="27"/>
      <c r="D3297" s="27"/>
      <c r="E3297" s="30"/>
    </row>
    <row r="3298">
      <c r="A3298" s="27"/>
      <c r="B3298" s="28"/>
      <c r="C3298" s="27"/>
      <c r="D3298" s="27"/>
      <c r="E3298" s="30"/>
    </row>
    <row r="3299">
      <c r="A3299" s="27"/>
      <c r="B3299" s="28"/>
      <c r="C3299" s="27"/>
      <c r="D3299" s="27"/>
      <c r="E3299" s="30"/>
    </row>
    <row r="3300">
      <c r="A3300" s="27"/>
      <c r="B3300" s="28"/>
      <c r="C3300" s="27"/>
      <c r="D3300" s="27"/>
      <c r="E3300" s="30"/>
    </row>
    <row r="3301">
      <c r="A3301" s="27"/>
      <c r="B3301" s="28"/>
      <c r="C3301" s="27"/>
      <c r="D3301" s="27"/>
      <c r="E3301" s="30"/>
    </row>
    <row r="3302">
      <c r="A3302" s="27"/>
      <c r="B3302" s="28"/>
      <c r="C3302" s="27"/>
      <c r="D3302" s="27"/>
      <c r="E3302" s="30"/>
    </row>
    <row r="3303">
      <c r="A3303" s="27"/>
      <c r="B3303" s="28"/>
      <c r="C3303" s="27"/>
      <c r="D3303" s="27"/>
      <c r="E3303" s="30"/>
    </row>
    <row r="3304">
      <c r="A3304" s="27"/>
      <c r="B3304" s="28"/>
      <c r="C3304" s="27"/>
      <c r="D3304" s="27"/>
      <c r="E3304" s="30"/>
    </row>
    <row r="3305">
      <c r="A3305" s="27"/>
      <c r="B3305" s="28"/>
      <c r="C3305" s="27"/>
      <c r="D3305" s="27"/>
      <c r="E3305" s="30"/>
    </row>
    <row r="3306">
      <c r="A3306" s="27"/>
      <c r="B3306" s="28"/>
      <c r="C3306" s="27"/>
      <c r="D3306" s="27"/>
      <c r="E3306" s="30"/>
    </row>
    <row r="3307">
      <c r="A3307" s="27"/>
      <c r="B3307" s="28"/>
      <c r="C3307" s="27"/>
      <c r="D3307" s="27"/>
      <c r="E3307" s="30"/>
    </row>
    <row r="3308">
      <c r="A3308" s="27"/>
      <c r="B3308" s="28"/>
      <c r="C3308" s="27"/>
      <c r="D3308" s="27"/>
      <c r="E3308" s="30"/>
    </row>
    <row r="3309">
      <c r="A3309" s="27"/>
      <c r="B3309" s="28"/>
      <c r="C3309" s="27"/>
      <c r="D3309" s="27"/>
      <c r="E3309" s="30"/>
    </row>
    <row r="3310">
      <c r="A3310" s="27"/>
      <c r="B3310" s="28"/>
      <c r="C3310" s="27"/>
      <c r="D3310" s="27"/>
      <c r="E3310" s="30"/>
    </row>
    <row r="3311">
      <c r="A3311" s="27"/>
      <c r="B3311" s="28"/>
      <c r="C3311" s="27"/>
      <c r="D3311" s="27"/>
      <c r="E3311" s="30"/>
    </row>
    <row r="3312">
      <c r="A3312" s="27"/>
      <c r="B3312" s="28"/>
      <c r="C3312" s="27"/>
      <c r="D3312" s="27"/>
      <c r="E3312" s="30"/>
    </row>
    <row r="3313">
      <c r="A3313" s="27"/>
      <c r="B3313" s="28"/>
      <c r="C3313" s="27"/>
      <c r="D3313" s="27"/>
      <c r="E3313" s="30"/>
    </row>
    <row r="3314">
      <c r="A3314" s="27"/>
      <c r="B3314" s="28"/>
      <c r="C3314" s="27"/>
      <c r="D3314" s="27"/>
      <c r="E3314" s="30"/>
    </row>
    <row r="3315">
      <c r="A3315" s="27"/>
      <c r="B3315" s="28"/>
      <c r="C3315" s="27"/>
      <c r="D3315" s="27"/>
      <c r="E3315" s="30"/>
    </row>
    <row r="3316">
      <c r="A3316" s="27"/>
      <c r="B3316" s="28"/>
      <c r="C3316" s="27"/>
      <c r="D3316" s="27"/>
      <c r="E3316" s="30"/>
    </row>
    <row r="3317">
      <c r="A3317" s="27"/>
      <c r="B3317" s="28"/>
      <c r="C3317" s="27"/>
      <c r="D3317" s="27"/>
      <c r="E3317" s="30"/>
    </row>
    <row r="3318">
      <c r="A3318" s="27"/>
      <c r="B3318" s="28"/>
      <c r="C3318" s="27"/>
      <c r="D3318" s="27"/>
      <c r="E3318" s="30"/>
    </row>
    <row r="3319">
      <c r="A3319" s="27"/>
      <c r="B3319" s="28"/>
      <c r="C3319" s="27"/>
      <c r="D3319" s="27"/>
      <c r="E3319" s="30"/>
    </row>
    <row r="3320">
      <c r="A3320" s="27"/>
      <c r="B3320" s="28"/>
      <c r="C3320" s="27"/>
      <c r="D3320" s="27"/>
      <c r="E3320" s="30"/>
    </row>
    <row r="3321">
      <c r="A3321" s="27"/>
      <c r="B3321" s="28"/>
      <c r="C3321" s="27"/>
      <c r="D3321" s="27"/>
      <c r="E3321" s="30"/>
    </row>
    <row r="3322">
      <c r="A3322" s="27"/>
      <c r="B3322" s="28"/>
      <c r="C3322" s="27"/>
      <c r="D3322" s="27"/>
      <c r="E3322" s="30"/>
    </row>
    <row r="3323">
      <c r="A3323" s="27"/>
      <c r="B3323" s="28"/>
      <c r="C3323" s="27"/>
      <c r="D3323" s="27"/>
      <c r="E3323" s="30"/>
    </row>
    <row r="3324">
      <c r="A3324" s="27"/>
      <c r="B3324" s="28"/>
      <c r="C3324" s="27"/>
      <c r="D3324" s="27"/>
      <c r="E3324" s="30"/>
    </row>
    <row r="3325">
      <c r="A3325" s="27"/>
      <c r="B3325" s="28"/>
      <c r="C3325" s="27"/>
      <c r="D3325" s="27"/>
      <c r="E3325" s="30"/>
    </row>
    <row r="3326">
      <c r="A3326" s="27"/>
      <c r="B3326" s="28"/>
      <c r="C3326" s="27"/>
      <c r="D3326" s="27"/>
      <c r="E3326" s="30"/>
    </row>
    <row r="3327">
      <c r="A3327" s="27"/>
      <c r="B3327" s="28"/>
      <c r="C3327" s="27"/>
      <c r="D3327" s="27"/>
      <c r="E3327" s="30"/>
    </row>
    <row r="3328">
      <c r="A3328" s="27"/>
      <c r="B3328" s="28"/>
      <c r="C3328" s="27"/>
      <c r="D3328" s="27"/>
      <c r="E3328" s="30"/>
    </row>
    <row r="3329">
      <c r="A3329" s="27"/>
      <c r="B3329" s="28"/>
      <c r="C3329" s="27"/>
      <c r="D3329" s="27"/>
      <c r="E3329" s="30"/>
    </row>
    <row r="3330">
      <c r="A3330" s="27"/>
      <c r="B3330" s="28"/>
      <c r="C3330" s="27"/>
      <c r="D3330" s="27"/>
      <c r="E3330" s="30"/>
    </row>
    <row r="3331">
      <c r="A3331" s="27"/>
      <c r="B3331" s="28"/>
      <c r="C3331" s="27"/>
      <c r="D3331" s="27"/>
      <c r="E3331" s="30"/>
    </row>
    <row r="3332">
      <c r="A3332" s="27"/>
      <c r="B3332" s="28"/>
      <c r="C3332" s="27"/>
      <c r="D3332" s="27"/>
      <c r="E3332" s="30"/>
    </row>
    <row r="3333">
      <c r="A3333" s="27"/>
      <c r="B3333" s="28"/>
      <c r="C3333" s="27"/>
      <c r="D3333" s="27"/>
      <c r="E3333" s="30"/>
    </row>
    <row r="3334">
      <c r="A3334" s="27"/>
      <c r="B3334" s="28"/>
      <c r="C3334" s="27"/>
      <c r="D3334" s="27"/>
      <c r="E3334" s="30"/>
    </row>
    <row r="3335">
      <c r="A3335" s="19"/>
      <c r="B3335" s="20"/>
      <c r="C3335" s="19"/>
      <c r="D3335" s="19"/>
      <c r="E3335" s="22"/>
      <c r="F3335" s="22"/>
    </row>
    <row r="3336">
      <c r="A3336" s="19"/>
      <c r="B3336" s="20"/>
      <c r="C3336" s="19"/>
      <c r="D3336" s="19"/>
      <c r="E3336" s="22"/>
      <c r="F3336" s="22"/>
    </row>
    <row r="3337">
      <c r="A3337" s="19"/>
      <c r="B3337" s="20"/>
      <c r="C3337" s="19"/>
      <c r="D3337" s="19"/>
      <c r="E3337" s="22"/>
      <c r="F3337" s="22"/>
    </row>
    <row r="3338">
      <c r="A3338" s="19"/>
      <c r="B3338" s="20"/>
      <c r="C3338" s="19"/>
      <c r="D3338" s="19"/>
      <c r="E3338" s="22"/>
      <c r="F3338" s="22"/>
    </row>
    <row r="3339">
      <c r="A3339" s="19"/>
      <c r="B3339" s="20"/>
      <c r="C3339" s="19"/>
      <c r="D3339" s="19"/>
      <c r="E3339" s="22"/>
      <c r="F3339" s="22"/>
    </row>
    <row r="3340">
      <c r="A3340" s="19"/>
      <c r="B3340" s="20"/>
      <c r="C3340" s="19"/>
      <c r="D3340" s="19"/>
      <c r="E3340" s="22"/>
      <c r="F3340" s="22"/>
    </row>
    <row r="3341">
      <c r="A3341" s="19"/>
      <c r="B3341" s="20"/>
      <c r="C3341" s="19"/>
      <c r="D3341" s="19"/>
      <c r="E3341" s="22"/>
      <c r="F3341" s="22"/>
    </row>
    <row r="3342">
      <c r="A3342" s="19"/>
      <c r="B3342" s="20"/>
      <c r="C3342" s="19"/>
      <c r="D3342" s="19"/>
      <c r="E3342" s="22"/>
      <c r="F3342" s="22"/>
    </row>
    <row r="3343">
      <c r="A3343" s="19"/>
      <c r="B3343" s="20"/>
      <c r="C3343" s="19"/>
      <c r="D3343" s="19"/>
      <c r="E3343" s="22"/>
      <c r="F3343" s="22"/>
    </row>
    <row r="3344">
      <c r="A3344" s="19"/>
      <c r="B3344" s="20"/>
      <c r="C3344" s="19"/>
      <c r="D3344" s="19"/>
      <c r="E3344" s="22"/>
      <c r="F3344" s="22"/>
    </row>
    <row r="3345">
      <c r="A3345" s="19"/>
      <c r="B3345" s="20"/>
      <c r="C3345" s="19"/>
      <c r="D3345" s="19"/>
      <c r="E3345" s="22"/>
      <c r="F3345" s="22"/>
    </row>
    <row r="3346">
      <c r="A3346" s="19"/>
      <c r="B3346" s="20"/>
      <c r="C3346" s="19"/>
      <c r="D3346" s="19"/>
      <c r="E3346" s="22"/>
      <c r="F3346" s="22"/>
    </row>
    <row r="3347">
      <c r="A3347" s="19"/>
      <c r="B3347" s="20"/>
      <c r="C3347" s="19"/>
      <c r="D3347" s="19"/>
      <c r="E3347" s="22"/>
      <c r="F3347" s="22"/>
    </row>
    <row r="3348">
      <c r="A3348" s="19"/>
      <c r="B3348" s="20"/>
      <c r="C3348" s="19"/>
      <c r="D3348" s="19"/>
      <c r="E3348" s="22"/>
      <c r="F3348" s="22"/>
    </row>
    <row r="3349">
      <c r="A3349" s="19"/>
      <c r="B3349" s="20"/>
      <c r="C3349" s="19"/>
      <c r="D3349" s="19"/>
      <c r="E3349" s="22"/>
      <c r="F3349" s="22"/>
    </row>
    <row r="3350">
      <c r="A3350" s="19"/>
      <c r="B3350" s="20"/>
      <c r="C3350" s="19"/>
      <c r="D3350" s="19"/>
      <c r="E3350" s="22"/>
      <c r="F3350" s="22"/>
    </row>
    <row r="3351">
      <c r="A3351" s="27"/>
      <c r="B3351" s="28"/>
      <c r="C3351" s="27"/>
      <c r="D3351" s="27"/>
      <c r="E3351" s="30"/>
    </row>
    <row r="3352">
      <c r="A3352" s="27"/>
      <c r="B3352" s="28"/>
      <c r="C3352" s="27"/>
      <c r="D3352" s="27"/>
      <c r="E3352" s="30"/>
    </row>
    <row r="3353">
      <c r="A3353" s="27"/>
      <c r="B3353" s="28"/>
      <c r="C3353" s="27"/>
      <c r="D3353" s="27"/>
      <c r="E3353" s="30"/>
    </row>
    <row r="3354">
      <c r="A3354" s="27"/>
      <c r="B3354" s="28"/>
      <c r="C3354" s="27"/>
      <c r="D3354" s="27"/>
      <c r="E3354" s="30"/>
    </row>
    <row r="3355">
      <c r="A3355" s="27"/>
      <c r="B3355" s="28"/>
      <c r="C3355" s="27"/>
      <c r="D3355" s="27"/>
      <c r="E3355" s="30"/>
    </row>
    <row r="3356">
      <c r="A3356" s="27"/>
      <c r="B3356" s="28"/>
      <c r="C3356" s="27"/>
      <c r="D3356" s="27"/>
      <c r="E3356" s="30"/>
    </row>
    <row r="3357">
      <c r="A3357" s="27"/>
      <c r="B3357" s="28"/>
      <c r="C3357" s="27"/>
      <c r="D3357" s="27"/>
      <c r="E3357" s="30"/>
    </row>
    <row r="3358">
      <c r="A3358" s="27"/>
      <c r="B3358" s="28"/>
      <c r="C3358" s="27"/>
      <c r="D3358" s="27"/>
      <c r="E3358" s="30"/>
    </row>
    <row r="3359">
      <c r="A3359" s="27"/>
      <c r="B3359" s="28"/>
      <c r="C3359" s="27"/>
      <c r="D3359" s="27"/>
      <c r="E3359" s="30"/>
    </row>
    <row r="3360">
      <c r="A3360" s="27"/>
      <c r="B3360" s="28"/>
      <c r="C3360" s="27"/>
      <c r="D3360" s="27"/>
      <c r="E3360" s="30"/>
    </row>
    <row r="3361">
      <c r="A3361" s="27"/>
      <c r="B3361" s="28"/>
      <c r="C3361" s="27"/>
      <c r="D3361" s="27"/>
      <c r="E3361" s="30"/>
    </row>
    <row r="3362">
      <c r="A3362" s="27"/>
      <c r="B3362" s="28"/>
      <c r="C3362" s="27"/>
      <c r="D3362" s="27"/>
      <c r="E3362" s="30"/>
    </row>
    <row r="3363">
      <c r="A3363" s="27"/>
      <c r="B3363" s="28"/>
      <c r="C3363" s="27"/>
      <c r="D3363" s="27"/>
      <c r="E3363" s="30"/>
    </row>
    <row r="3364">
      <c r="A3364" s="27"/>
      <c r="B3364" s="28"/>
      <c r="C3364" s="27"/>
      <c r="D3364" s="27"/>
      <c r="E3364" s="30"/>
    </row>
    <row r="3365">
      <c r="A3365" s="27"/>
      <c r="B3365" s="28"/>
      <c r="C3365" s="27"/>
      <c r="D3365" s="27"/>
      <c r="E3365" s="30"/>
    </row>
    <row r="3366">
      <c r="A3366" s="27"/>
      <c r="B3366" s="28"/>
      <c r="C3366" s="27"/>
      <c r="D3366" s="27"/>
      <c r="E3366" s="30"/>
    </row>
    <row r="3367">
      <c r="A3367" s="27"/>
      <c r="B3367" s="28"/>
      <c r="C3367" s="27"/>
      <c r="D3367" s="27"/>
      <c r="E3367" s="30"/>
    </row>
    <row r="3368">
      <c r="A3368" s="27"/>
      <c r="B3368" s="28"/>
      <c r="C3368" s="27"/>
      <c r="D3368" s="27"/>
      <c r="E3368" s="30"/>
    </row>
    <row r="3369">
      <c r="A3369" s="27"/>
      <c r="B3369" s="28"/>
      <c r="C3369" s="27"/>
      <c r="D3369" s="27"/>
      <c r="E3369" s="30"/>
    </row>
    <row r="3370">
      <c r="A3370" s="27"/>
      <c r="B3370" s="28"/>
      <c r="C3370" s="27"/>
      <c r="D3370" s="27"/>
      <c r="E3370" s="30"/>
    </row>
    <row r="3371">
      <c r="A3371" s="27"/>
      <c r="B3371" s="28"/>
      <c r="C3371" s="27"/>
      <c r="D3371" s="27"/>
      <c r="E3371" s="30"/>
    </row>
    <row r="3372">
      <c r="A3372" s="27"/>
      <c r="B3372" s="28"/>
      <c r="C3372" s="27"/>
      <c r="D3372" s="27"/>
      <c r="E3372" s="30"/>
    </row>
    <row r="3373">
      <c r="A3373" s="27"/>
      <c r="B3373" s="28"/>
      <c r="C3373" s="27"/>
      <c r="D3373" s="27"/>
      <c r="E3373" s="30"/>
    </row>
    <row r="3374">
      <c r="A3374" s="27"/>
      <c r="B3374" s="28"/>
      <c r="C3374" s="27"/>
      <c r="D3374" s="27"/>
      <c r="E3374" s="30"/>
    </row>
    <row r="3375">
      <c r="A3375" s="27"/>
      <c r="B3375" s="28"/>
      <c r="C3375" s="27"/>
      <c r="D3375" s="27"/>
      <c r="E3375" s="30"/>
    </row>
    <row r="3376">
      <c r="A3376" s="27"/>
      <c r="B3376" s="28"/>
      <c r="C3376" s="27"/>
      <c r="D3376" s="27"/>
      <c r="E3376" s="30"/>
    </row>
    <row r="3377">
      <c r="A3377" s="27"/>
      <c r="B3377" s="28"/>
      <c r="C3377" s="27"/>
      <c r="D3377" s="27"/>
      <c r="E3377" s="30"/>
    </row>
    <row r="3378">
      <c r="A3378" s="27"/>
      <c r="B3378" s="28"/>
      <c r="C3378" s="27"/>
      <c r="D3378" s="27"/>
      <c r="E3378" s="30"/>
    </row>
    <row r="3379">
      <c r="A3379" s="27"/>
      <c r="B3379" s="28"/>
      <c r="C3379" s="27"/>
      <c r="D3379" s="27"/>
      <c r="E3379" s="30"/>
    </row>
    <row r="3380">
      <c r="A3380" s="27"/>
      <c r="B3380" s="28"/>
      <c r="C3380" s="27"/>
      <c r="D3380" s="27"/>
      <c r="E3380" s="30"/>
    </row>
    <row r="3381">
      <c r="A3381" s="27"/>
      <c r="B3381" s="28"/>
      <c r="C3381" s="27"/>
      <c r="D3381" s="27"/>
      <c r="E3381" s="30"/>
    </row>
    <row r="3382">
      <c r="A3382" s="27"/>
      <c r="B3382" s="28"/>
      <c r="C3382" s="27"/>
      <c r="D3382" s="27"/>
      <c r="E3382" s="30"/>
    </row>
    <row r="3383">
      <c r="A3383" s="27"/>
      <c r="B3383" s="28"/>
      <c r="C3383" s="27"/>
      <c r="D3383" s="27"/>
      <c r="E3383" s="30"/>
    </row>
    <row r="3384">
      <c r="A3384" s="27"/>
      <c r="B3384" s="28"/>
      <c r="C3384" s="27"/>
      <c r="D3384" s="27"/>
      <c r="E3384" s="30"/>
    </row>
    <row r="3385">
      <c r="A3385" s="27"/>
      <c r="B3385" s="28"/>
      <c r="C3385" s="27"/>
      <c r="D3385" s="27"/>
      <c r="E3385" s="30"/>
    </row>
    <row r="3386">
      <c r="A3386" s="27"/>
      <c r="B3386" s="28"/>
      <c r="C3386" s="27"/>
      <c r="D3386" s="27"/>
      <c r="E3386" s="30"/>
    </row>
    <row r="3387">
      <c r="A3387" s="27"/>
      <c r="B3387" s="28"/>
      <c r="C3387" s="27"/>
      <c r="D3387" s="27"/>
      <c r="E3387" s="30"/>
    </row>
    <row r="3388">
      <c r="A3388" s="27"/>
      <c r="B3388" s="28"/>
      <c r="C3388" s="27"/>
      <c r="D3388" s="27"/>
      <c r="E3388" s="30"/>
    </row>
    <row r="3389">
      <c r="A3389" s="27"/>
      <c r="B3389" s="28"/>
      <c r="C3389" s="27"/>
      <c r="D3389" s="27"/>
      <c r="E3389" s="30"/>
    </row>
    <row r="3390">
      <c r="A3390" s="27"/>
      <c r="B3390" s="28"/>
      <c r="C3390" s="27"/>
      <c r="D3390" s="27"/>
      <c r="E3390" s="30"/>
    </row>
    <row r="3391">
      <c r="A3391" s="27"/>
      <c r="B3391" s="28"/>
      <c r="C3391" s="27"/>
      <c r="D3391" s="27"/>
      <c r="E3391" s="30"/>
    </row>
    <row r="3392">
      <c r="A3392" s="27"/>
      <c r="B3392" s="28"/>
      <c r="C3392" s="27"/>
      <c r="D3392" s="27"/>
      <c r="E3392" s="30"/>
    </row>
    <row r="3393">
      <c r="A3393" s="27"/>
      <c r="B3393" s="28"/>
      <c r="C3393" s="27"/>
      <c r="D3393" s="27"/>
      <c r="E3393" s="30"/>
    </row>
    <row r="3394">
      <c r="A3394" s="27"/>
      <c r="B3394" s="28"/>
      <c r="C3394" s="27"/>
      <c r="D3394" s="27"/>
      <c r="E3394" s="30"/>
    </row>
    <row r="3395">
      <c r="A3395" s="27"/>
      <c r="B3395" s="28"/>
      <c r="C3395" s="27"/>
      <c r="D3395" s="27"/>
      <c r="E3395" s="30"/>
    </row>
    <row r="3396">
      <c r="A3396" s="27"/>
      <c r="B3396" s="28"/>
      <c r="C3396" s="27"/>
      <c r="D3396" s="27"/>
      <c r="E3396" s="30"/>
    </row>
    <row r="3397">
      <c r="A3397" s="27"/>
      <c r="B3397" s="28"/>
      <c r="C3397" s="27"/>
      <c r="D3397" s="27"/>
      <c r="E3397" s="30"/>
    </row>
    <row r="3398">
      <c r="A3398" s="27"/>
      <c r="B3398" s="28"/>
      <c r="C3398" s="27"/>
      <c r="D3398" s="27"/>
      <c r="E3398" s="30"/>
    </row>
    <row r="3399">
      <c r="A3399" s="27"/>
      <c r="B3399" s="28"/>
      <c r="C3399" s="27"/>
      <c r="D3399" s="27"/>
      <c r="E3399" s="30"/>
    </row>
    <row r="3400">
      <c r="A3400" s="27"/>
      <c r="B3400" s="28"/>
      <c r="C3400" s="27"/>
      <c r="D3400" s="27"/>
      <c r="E3400" s="30"/>
    </row>
    <row r="3401">
      <c r="A3401" s="27"/>
      <c r="B3401" s="28"/>
      <c r="C3401" s="27"/>
      <c r="D3401" s="27"/>
      <c r="E3401" s="30"/>
    </row>
    <row r="3402">
      <c r="A3402" s="27"/>
      <c r="B3402" s="28"/>
      <c r="C3402" s="27"/>
      <c r="D3402" s="27"/>
      <c r="E3402" s="30"/>
    </row>
    <row r="3403">
      <c r="A3403" s="27"/>
      <c r="B3403" s="28"/>
      <c r="C3403" s="27"/>
      <c r="D3403" s="27"/>
      <c r="E3403" s="30"/>
    </row>
    <row r="3404">
      <c r="A3404" s="27"/>
      <c r="B3404" s="28"/>
      <c r="C3404" s="27"/>
      <c r="D3404" s="27"/>
      <c r="E3404" s="30"/>
    </row>
    <row r="3405">
      <c r="A3405" s="27"/>
      <c r="B3405" s="28"/>
      <c r="C3405" s="27"/>
      <c r="D3405" s="27"/>
      <c r="E3405" s="30"/>
    </row>
    <row r="3406">
      <c r="A3406" s="27"/>
      <c r="B3406" s="28"/>
      <c r="C3406" s="27"/>
      <c r="D3406" s="27"/>
      <c r="E3406" s="30"/>
    </row>
    <row r="3407">
      <c r="A3407" s="27"/>
      <c r="B3407" s="28"/>
      <c r="C3407" s="27"/>
      <c r="D3407" s="27"/>
      <c r="E3407" s="30"/>
    </row>
    <row r="3408">
      <c r="A3408" s="27"/>
      <c r="B3408" s="28"/>
      <c r="C3408" s="27"/>
      <c r="D3408" s="27"/>
      <c r="E3408" s="30"/>
    </row>
    <row r="3409">
      <c r="A3409" s="27"/>
      <c r="B3409" s="28"/>
      <c r="C3409" s="27"/>
      <c r="D3409" s="27"/>
      <c r="E3409" s="30"/>
    </row>
    <row r="3410">
      <c r="A3410" s="27"/>
      <c r="B3410" s="28"/>
      <c r="C3410" s="27"/>
      <c r="D3410" s="27"/>
      <c r="E3410" s="30"/>
    </row>
    <row r="3411">
      <c r="A3411" s="27"/>
      <c r="B3411" s="28"/>
      <c r="C3411" s="27"/>
      <c r="D3411" s="27"/>
      <c r="E3411" s="30"/>
    </row>
    <row r="3412">
      <c r="A3412" s="27"/>
      <c r="B3412" s="28"/>
      <c r="C3412" s="27"/>
      <c r="D3412" s="27"/>
      <c r="E3412" s="30"/>
    </row>
    <row r="3413">
      <c r="A3413" s="27"/>
      <c r="B3413" s="28"/>
      <c r="C3413" s="27"/>
      <c r="D3413" s="27"/>
      <c r="E3413" s="30"/>
    </row>
    <row r="3414">
      <c r="A3414" s="27"/>
      <c r="B3414" s="28"/>
      <c r="C3414" s="27"/>
      <c r="D3414" s="27"/>
      <c r="E3414" s="30"/>
    </row>
    <row r="3415">
      <c r="A3415" s="27"/>
      <c r="B3415" s="28"/>
      <c r="C3415" s="27"/>
      <c r="D3415" s="27"/>
      <c r="E3415" s="30"/>
    </row>
    <row r="3416">
      <c r="A3416" s="27"/>
      <c r="B3416" s="28"/>
      <c r="C3416" s="27"/>
      <c r="D3416" s="27"/>
      <c r="E3416" s="30"/>
    </row>
    <row r="3417">
      <c r="A3417" s="27"/>
      <c r="B3417" s="28"/>
      <c r="C3417" s="27"/>
      <c r="D3417" s="27"/>
      <c r="E3417" s="30"/>
    </row>
    <row r="3418">
      <c r="A3418" s="27"/>
      <c r="B3418" s="28"/>
      <c r="C3418" s="27"/>
      <c r="D3418" s="27"/>
      <c r="E3418" s="30"/>
    </row>
    <row r="3419">
      <c r="A3419" s="27"/>
      <c r="B3419" s="28"/>
      <c r="C3419" s="27"/>
      <c r="D3419" s="27"/>
      <c r="E3419" s="30"/>
    </row>
    <row r="3420">
      <c r="A3420" s="27"/>
      <c r="B3420" s="28"/>
      <c r="C3420" s="27"/>
      <c r="D3420" s="27"/>
      <c r="E3420" s="30"/>
    </row>
    <row r="3421">
      <c r="A3421" s="27"/>
      <c r="B3421" s="28"/>
      <c r="C3421" s="27"/>
      <c r="D3421" s="27"/>
      <c r="E3421" s="30"/>
    </row>
    <row r="3422">
      <c r="A3422" s="27"/>
      <c r="B3422" s="28"/>
      <c r="C3422" s="27"/>
      <c r="D3422" s="27"/>
      <c r="E3422" s="30"/>
    </row>
    <row r="3423">
      <c r="A3423" s="27"/>
      <c r="B3423" s="28"/>
      <c r="C3423" s="27"/>
      <c r="D3423" s="27"/>
      <c r="E3423" s="30"/>
    </row>
    <row r="3424">
      <c r="A3424" s="27"/>
      <c r="B3424" s="28"/>
      <c r="C3424" s="27"/>
      <c r="D3424" s="27"/>
      <c r="E3424" s="30"/>
    </row>
    <row r="3425">
      <c r="A3425" s="27"/>
      <c r="B3425" s="28"/>
      <c r="C3425" s="27"/>
      <c r="D3425" s="27"/>
      <c r="E3425" s="30"/>
    </row>
    <row r="3426">
      <c r="A3426" s="27"/>
      <c r="B3426" s="28"/>
      <c r="C3426" s="27"/>
      <c r="D3426" s="27"/>
      <c r="E3426" s="30"/>
    </row>
    <row r="3427">
      <c r="A3427" s="27"/>
      <c r="B3427" s="28"/>
      <c r="C3427" s="27"/>
      <c r="D3427" s="27"/>
      <c r="E3427" s="30"/>
    </row>
    <row r="3428">
      <c r="A3428" s="27"/>
      <c r="B3428" s="28"/>
      <c r="C3428" s="27"/>
      <c r="D3428" s="27"/>
      <c r="E3428" s="30"/>
    </row>
    <row r="3429">
      <c r="A3429" s="27"/>
      <c r="B3429" s="28"/>
      <c r="C3429" s="27"/>
      <c r="D3429" s="27"/>
      <c r="E3429" s="30"/>
    </row>
    <row r="3430">
      <c r="A3430" s="27"/>
      <c r="B3430" s="28"/>
      <c r="C3430" s="27"/>
      <c r="D3430" s="27"/>
      <c r="E3430" s="30"/>
    </row>
    <row r="3431">
      <c r="A3431" s="27"/>
      <c r="B3431" s="28"/>
      <c r="C3431" s="27"/>
      <c r="D3431" s="27"/>
      <c r="E3431" s="30"/>
    </row>
    <row r="3432">
      <c r="A3432" s="27"/>
      <c r="B3432" s="28"/>
      <c r="C3432" s="27"/>
      <c r="D3432" s="27"/>
      <c r="E3432" s="30"/>
    </row>
    <row r="3433">
      <c r="A3433" s="27"/>
      <c r="B3433" s="28"/>
      <c r="C3433" s="27"/>
      <c r="D3433" s="27"/>
      <c r="E3433" s="30"/>
    </row>
    <row r="3434">
      <c r="A3434" s="27"/>
      <c r="B3434" s="28"/>
      <c r="C3434" s="27"/>
      <c r="D3434" s="27"/>
      <c r="E3434" s="30"/>
    </row>
    <row r="3435">
      <c r="A3435" s="27"/>
      <c r="B3435" s="28"/>
      <c r="C3435" s="27"/>
      <c r="D3435" s="27"/>
      <c r="E3435" s="30"/>
    </row>
    <row r="3436">
      <c r="A3436" s="27"/>
      <c r="B3436" s="28"/>
      <c r="C3436" s="27"/>
      <c r="D3436" s="27"/>
      <c r="E3436" s="30"/>
    </row>
    <row r="3437">
      <c r="A3437" s="27"/>
      <c r="B3437" s="28"/>
      <c r="C3437" s="27"/>
      <c r="D3437" s="27"/>
      <c r="E3437" s="30"/>
    </row>
    <row r="3438">
      <c r="A3438" s="27"/>
      <c r="B3438" s="28"/>
      <c r="C3438" s="27"/>
      <c r="D3438" s="27"/>
      <c r="E3438" s="30"/>
    </row>
    <row r="3439">
      <c r="A3439" s="27"/>
      <c r="B3439" s="28"/>
      <c r="C3439" s="27"/>
      <c r="D3439" s="27"/>
      <c r="E3439" s="30"/>
    </row>
    <row r="3440">
      <c r="A3440" s="27"/>
      <c r="B3440" s="28"/>
      <c r="C3440" s="27"/>
      <c r="D3440" s="27"/>
      <c r="E3440" s="30"/>
    </row>
    <row r="3441">
      <c r="A3441" s="27"/>
      <c r="B3441" s="28"/>
      <c r="C3441" s="27"/>
      <c r="D3441" s="27"/>
      <c r="E3441" s="30"/>
    </row>
    <row r="3442">
      <c r="A3442" s="27"/>
      <c r="B3442" s="28"/>
      <c r="C3442" s="27"/>
      <c r="D3442" s="27"/>
      <c r="E3442" s="30"/>
    </row>
    <row r="3443">
      <c r="A3443" s="27"/>
      <c r="B3443" s="28"/>
      <c r="C3443" s="27"/>
      <c r="D3443" s="27"/>
      <c r="E3443" s="30"/>
    </row>
    <row r="3444">
      <c r="A3444" s="27"/>
      <c r="B3444" s="28"/>
      <c r="C3444" s="27"/>
      <c r="D3444" s="27"/>
      <c r="E3444" s="30"/>
    </row>
    <row r="3445">
      <c r="A3445" s="27"/>
      <c r="B3445" s="28"/>
      <c r="C3445" s="27"/>
      <c r="D3445" s="27"/>
      <c r="E3445" s="30"/>
    </row>
    <row r="3446">
      <c r="A3446" s="27"/>
      <c r="B3446" s="28"/>
      <c r="C3446" s="27"/>
      <c r="D3446" s="27"/>
      <c r="E3446" s="30"/>
    </row>
    <row r="3447">
      <c r="A3447" s="27"/>
      <c r="B3447" s="28"/>
      <c r="C3447" s="27"/>
      <c r="D3447" s="27"/>
      <c r="E3447" s="30"/>
    </row>
    <row r="3448">
      <c r="A3448" s="27"/>
      <c r="B3448" s="28"/>
      <c r="C3448" s="27"/>
      <c r="D3448" s="27"/>
      <c r="E3448" s="30"/>
    </row>
    <row r="3449">
      <c r="A3449" s="27"/>
      <c r="B3449" s="28"/>
      <c r="C3449" s="27"/>
      <c r="D3449" s="27"/>
      <c r="E3449" s="30"/>
    </row>
    <row r="3450">
      <c r="A3450" s="27"/>
      <c r="B3450" s="28"/>
      <c r="C3450" s="27"/>
      <c r="D3450" s="27"/>
      <c r="E3450" s="30"/>
    </row>
    <row r="3451">
      <c r="A3451" s="27"/>
      <c r="B3451" s="28"/>
      <c r="C3451" s="27"/>
      <c r="D3451" s="27"/>
      <c r="E3451" s="30"/>
    </row>
    <row r="3452">
      <c r="A3452" s="27"/>
      <c r="B3452" s="28"/>
      <c r="C3452" s="27"/>
      <c r="D3452" s="27"/>
      <c r="E3452" s="30"/>
    </row>
    <row r="3453">
      <c r="A3453" s="27"/>
      <c r="B3453" s="28"/>
      <c r="C3453" s="27"/>
      <c r="D3453" s="27"/>
      <c r="E3453" s="30"/>
    </row>
    <row r="3454">
      <c r="A3454" s="27"/>
      <c r="B3454" s="28"/>
      <c r="C3454" s="27"/>
      <c r="D3454" s="27"/>
      <c r="E3454" s="30"/>
    </row>
    <row r="3455">
      <c r="A3455" s="27"/>
      <c r="B3455" s="28"/>
      <c r="C3455" s="27"/>
      <c r="D3455" s="27"/>
      <c r="E3455" s="30"/>
    </row>
    <row r="3456">
      <c r="A3456" s="27"/>
      <c r="B3456" s="28"/>
      <c r="C3456" s="27"/>
      <c r="D3456" s="27"/>
      <c r="E3456" s="30"/>
    </row>
    <row r="3457">
      <c r="A3457" s="27"/>
      <c r="B3457" s="28"/>
      <c r="C3457" s="27"/>
      <c r="D3457" s="27"/>
      <c r="E3457" s="30"/>
    </row>
    <row r="3458">
      <c r="A3458" s="27"/>
      <c r="B3458" s="28"/>
      <c r="C3458" s="27"/>
      <c r="D3458" s="27"/>
      <c r="E3458" s="30"/>
    </row>
    <row r="3459">
      <c r="A3459" s="27"/>
      <c r="B3459" s="28"/>
      <c r="C3459" s="27"/>
      <c r="D3459" s="27"/>
      <c r="E3459" s="30"/>
    </row>
    <row r="3460">
      <c r="A3460" s="27"/>
      <c r="B3460" s="28"/>
      <c r="C3460" s="27"/>
      <c r="D3460" s="27"/>
      <c r="E3460" s="30"/>
    </row>
    <row r="3461">
      <c r="A3461" s="27"/>
      <c r="B3461" s="28"/>
      <c r="C3461" s="27"/>
      <c r="D3461" s="27"/>
      <c r="E3461" s="30"/>
    </row>
    <row r="3462">
      <c r="A3462" s="27"/>
      <c r="B3462" s="28"/>
      <c r="C3462" s="27"/>
      <c r="D3462" s="27"/>
      <c r="E3462" s="30"/>
    </row>
    <row r="3463">
      <c r="A3463" s="27"/>
      <c r="B3463" s="28"/>
      <c r="C3463" s="27"/>
      <c r="D3463" s="27"/>
      <c r="E3463" s="30"/>
    </row>
    <row r="3464">
      <c r="A3464" s="27"/>
      <c r="B3464" s="28"/>
      <c r="C3464" s="27"/>
      <c r="D3464" s="27"/>
      <c r="E3464" s="30"/>
    </row>
    <row r="3465">
      <c r="A3465" s="27"/>
      <c r="B3465" s="28"/>
      <c r="C3465" s="27"/>
      <c r="D3465" s="27"/>
      <c r="E3465" s="30"/>
    </row>
    <row r="3466">
      <c r="A3466" s="27"/>
      <c r="B3466" s="28"/>
      <c r="C3466" s="27"/>
      <c r="D3466" s="27"/>
      <c r="E3466" s="30"/>
    </row>
    <row r="3467">
      <c r="A3467" s="27"/>
      <c r="B3467" s="28"/>
      <c r="C3467" s="27"/>
      <c r="D3467" s="27"/>
      <c r="E3467" s="30"/>
    </row>
    <row r="3468">
      <c r="A3468" s="27"/>
      <c r="B3468" s="28"/>
      <c r="C3468" s="27"/>
      <c r="D3468" s="27"/>
      <c r="E3468" s="30"/>
    </row>
    <row r="3469">
      <c r="A3469" s="27"/>
      <c r="B3469" s="28"/>
      <c r="C3469" s="27"/>
      <c r="D3469" s="27"/>
      <c r="E3469" s="30"/>
    </row>
    <row r="3470">
      <c r="A3470" s="27"/>
      <c r="B3470" s="28"/>
      <c r="C3470" s="27"/>
      <c r="D3470" s="27"/>
      <c r="E3470" s="30"/>
    </row>
    <row r="3471">
      <c r="A3471" s="27"/>
      <c r="B3471" s="28"/>
      <c r="C3471" s="27"/>
      <c r="D3471" s="27"/>
      <c r="E3471" s="30"/>
    </row>
    <row r="3472">
      <c r="A3472" s="27"/>
      <c r="B3472" s="28"/>
      <c r="C3472" s="27"/>
      <c r="D3472" s="27"/>
      <c r="E3472" s="30"/>
    </row>
    <row r="3473">
      <c r="A3473" s="27"/>
      <c r="B3473" s="28"/>
      <c r="C3473" s="27"/>
      <c r="D3473" s="27"/>
      <c r="E3473" s="30"/>
    </row>
    <row r="3474">
      <c r="A3474" s="27"/>
      <c r="B3474" s="28"/>
      <c r="C3474" s="27"/>
      <c r="D3474" s="27"/>
      <c r="E3474" s="30"/>
    </row>
    <row r="3475">
      <c r="A3475" s="27"/>
      <c r="B3475" s="28"/>
      <c r="C3475" s="27"/>
      <c r="D3475" s="27"/>
      <c r="E3475" s="30"/>
    </row>
    <row r="3476">
      <c r="A3476" s="27"/>
      <c r="B3476" s="28"/>
      <c r="C3476" s="27"/>
      <c r="D3476" s="27"/>
      <c r="E3476" s="30"/>
    </row>
    <row r="3477">
      <c r="A3477" s="27"/>
      <c r="B3477" s="28"/>
      <c r="C3477" s="27"/>
      <c r="D3477" s="27"/>
      <c r="E3477" s="30"/>
    </row>
    <row r="3478">
      <c r="A3478" s="27"/>
      <c r="B3478" s="28"/>
      <c r="C3478" s="27"/>
      <c r="D3478" s="27"/>
      <c r="E3478" s="30"/>
    </row>
    <row r="3479">
      <c r="A3479" s="27"/>
      <c r="B3479" s="28"/>
      <c r="C3479" s="27"/>
      <c r="D3479" s="27"/>
      <c r="E3479" s="30"/>
    </row>
    <row r="3480">
      <c r="A3480" s="27"/>
      <c r="B3480" s="28"/>
      <c r="C3480" s="27"/>
      <c r="D3480" s="27"/>
      <c r="E3480" s="30"/>
    </row>
    <row r="3481">
      <c r="A3481" s="27"/>
      <c r="B3481" s="28"/>
      <c r="C3481" s="27"/>
      <c r="D3481" s="27"/>
      <c r="E3481" s="30"/>
    </row>
    <row r="3482">
      <c r="A3482" s="27"/>
      <c r="B3482" s="28"/>
      <c r="C3482" s="27"/>
      <c r="D3482" s="27"/>
      <c r="E3482" s="30"/>
    </row>
    <row r="3483">
      <c r="A3483" s="27"/>
      <c r="B3483" s="28"/>
      <c r="C3483" s="27"/>
      <c r="D3483" s="27"/>
      <c r="E3483" s="30"/>
    </row>
    <row r="3484">
      <c r="A3484" s="27"/>
      <c r="B3484" s="28"/>
      <c r="C3484" s="27"/>
      <c r="D3484" s="27"/>
      <c r="E3484" s="30"/>
    </row>
    <row r="3485">
      <c r="A3485" s="27"/>
      <c r="B3485" s="28"/>
      <c r="C3485" s="27"/>
      <c r="D3485" s="27"/>
      <c r="E3485" s="30"/>
    </row>
    <row r="3486">
      <c r="A3486" s="27"/>
      <c r="B3486" s="28"/>
      <c r="C3486" s="27"/>
      <c r="D3486" s="27"/>
      <c r="E3486" s="30"/>
    </row>
    <row r="3487">
      <c r="A3487" s="27"/>
      <c r="B3487" s="28"/>
      <c r="C3487" s="27"/>
      <c r="D3487" s="27"/>
      <c r="E3487" s="30"/>
    </row>
    <row r="3488">
      <c r="A3488" s="27"/>
      <c r="B3488" s="28"/>
      <c r="C3488" s="27"/>
      <c r="D3488" s="27"/>
      <c r="E3488" s="30"/>
    </row>
    <row r="3489">
      <c r="A3489" s="27"/>
      <c r="B3489" s="28"/>
      <c r="C3489" s="27"/>
      <c r="D3489" s="27"/>
      <c r="E3489" s="30"/>
    </row>
    <row r="3490">
      <c r="A3490" s="27"/>
      <c r="B3490" s="28"/>
      <c r="C3490" s="27"/>
      <c r="D3490" s="27"/>
      <c r="E3490" s="30"/>
    </row>
    <row r="3491">
      <c r="A3491" s="27"/>
      <c r="B3491" s="28"/>
      <c r="C3491" s="27"/>
      <c r="D3491" s="27"/>
      <c r="E3491" s="30"/>
    </row>
    <row r="3492">
      <c r="A3492" s="27"/>
      <c r="B3492" s="28"/>
      <c r="C3492" s="27"/>
      <c r="D3492" s="27"/>
      <c r="E3492" s="30"/>
    </row>
    <row r="3493">
      <c r="A3493" s="27"/>
      <c r="B3493" s="28"/>
      <c r="C3493" s="27"/>
      <c r="D3493" s="27"/>
      <c r="E3493" s="30"/>
    </row>
    <row r="3494">
      <c r="A3494" s="27"/>
      <c r="B3494" s="28"/>
      <c r="C3494" s="27"/>
      <c r="D3494" s="27"/>
      <c r="E3494" s="30"/>
    </row>
    <row r="3495">
      <c r="A3495" s="27"/>
      <c r="B3495" s="28"/>
      <c r="C3495" s="27"/>
      <c r="D3495" s="27"/>
      <c r="E3495" s="30"/>
    </row>
    <row r="3496">
      <c r="A3496" s="27"/>
      <c r="B3496" s="28"/>
      <c r="C3496" s="27"/>
      <c r="D3496" s="27"/>
      <c r="E3496" s="30"/>
    </row>
    <row r="3497">
      <c r="A3497" s="27"/>
      <c r="B3497" s="28"/>
      <c r="C3497" s="27"/>
      <c r="D3497" s="27"/>
      <c r="E3497" s="30"/>
    </row>
    <row r="3498">
      <c r="A3498" s="27"/>
      <c r="B3498" s="28"/>
      <c r="C3498" s="27"/>
      <c r="D3498" s="27"/>
      <c r="E3498" s="30"/>
    </row>
    <row r="3499">
      <c r="A3499" s="27"/>
      <c r="B3499" s="28"/>
      <c r="C3499" s="27"/>
      <c r="D3499" s="27"/>
      <c r="E3499" s="30"/>
    </row>
    <row r="3500">
      <c r="A3500" s="27"/>
      <c r="B3500" s="28"/>
      <c r="C3500" s="27"/>
      <c r="D3500" s="27"/>
      <c r="E3500" s="30"/>
    </row>
    <row r="3501">
      <c r="A3501" s="27"/>
      <c r="B3501" s="28"/>
      <c r="C3501" s="27"/>
      <c r="D3501" s="27"/>
      <c r="E3501" s="30"/>
    </row>
    <row r="3502">
      <c r="A3502" s="27"/>
      <c r="B3502" s="28"/>
      <c r="C3502" s="27"/>
      <c r="D3502" s="27"/>
      <c r="E3502" s="30"/>
    </row>
    <row r="3503">
      <c r="A3503" s="27"/>
      <c r="B3503" s="28"/>
      <c r="C3503" s="27"/>
      <c r="D3503" s="27"/>
      <c r="E3503" s="30"/>
    </row>
    <row r="3504">
      <c r="A3504" s="27"/>
      <c r="B3504" s="28"/>
      <c r="C3504" s="27"/>
      <c r="D3504" s="27"/>
      <c r="E3504" s="30"/>
    </row>
    <row r="3505">
      <c r="A3505" s="27"/>
      <c r="B3505" s="28"/>
      <c r="C3505" s="27"/>
      <c r="D3505" s="27"/>
      <c r="E3505" s="30"/>
    </row>
    <row r="3506">
      <c r="A3506" s="27"/>
      <c r="B3506" s="28"/>
      <c r="C3506" s="27"/>
      <c r="D3506" s="27"/>
      <c r="E3506" s="30"/>
    </row>
    <row r="3507">
      <c r="A3507" s="27"/>
      <c r="B3507" s="28"/>
      <c r="C3507" s="27"/>
      <c r="D3507" s="27"/>
      <c r="E3507" s="30"/>
    </row>
    <row r="3508">
      <c r="A3508" s="27"/>
      <c r="B3508" s="28"/>
      <c r="C3508" s="27"/>
      <c r="D3508" s="27"/>
      <c r="E3508" s="30"/>
    </row>
    <row r="3509">
      <c r="A3509" s="27"/>
      <c r="B3509" s="28"/>
      <c r="C3509" s="27"/>
      <c r="D3509" s="27"/>
      <c r="E3509" s="30"/>
    </row>
    <row r="3510">
      <c r="A3510" s="27"/>
      <c r="B3510" s="28"/>
      <c r="C3510" s="27"/>
      <c r="D3510" s="27"/>
      <c r="E3510" s="30"/>
    </row>
    <row r="3511">
      <c r="A3511" s="27"/>
      <c r="B3511" s="28"/>
      <c r="C3511" s="27"/>
      <c r="D3511" s="27"/>
      <c r="E3511" s="30"/>
    </row>
    <row r="3512">
      <c r="A3512" s="27"/>
      <c r="B3512" s="28"/>
      <c r="C3512" s="27"/>
      <c r="D3512" s="27"/>
      <c r="E3512" s="30"/>
    </row>
    <row r="3513">
      <c r="A3513" s="27"/>
      <c r="B3513" s="28"/>
      <c r="C3513" s="27"/>
      <c r="D3513" s="27"/>
      <c r="E3513" s="30"/>
    </row>
    <row r="3514">
      <c r="A3514" s="27"/>
      <c r="B3514" s="28"/>
      <c r="C3514" s="27"/>
      <c r="D3514" s="27"/>
      <c r="E3514" s="30"/>
    </row>
    <row r="3515">
      <c r="A3515" s="27"/>
      <c r="B3515" s="28"/>
      <c r="C3515" s="27"/>
      <c r="D3515" s="27"/>
      <c r="E3515" s="30"/>
    </row>
    <row r="3516">
      <c r="A3516" s="27"/>
      <c r="B3516" s="28"/>
      <c r="C3516" s="27"/>
      <c r="D3516" s="27"/>
      <c r="E3516" s="30"/>
    </row>
    <row r="3517">
      <c r="A3517" s="27"/>
      <c r="B3517" s="28"/>
      <c r="C3517" s="27"/>
      <c r="D3517" s="27"/>
      <c r="E3517" s="30"/>
    </row>
    <row r="3518">
      <c r="A3518" s="27"/>
      <c r="B3518" s="28"/>
      <c r="C3518" s="27"/>
      <c r="D3518" s="27"/>
      <c r="E3518" s="30"/>
    </row>
    <row r="3519">
      <c r="A3519" s="27"/>
      <c r="B3519" s="28"/>
      <c r="C3519" s="27"/>
      <c r="D3519" s="27"/>
      <c r="E3519" s="30"/>
    </row>
    <row r="3520">
      <c r="A3520" s="27"/>
      <c r="B3520" s="28"/>
      <c r="C3520" s="27"/>
      <c r="D3520" s="27"/>
      <c r="E3520" s="30"/>
    </row>
    <row r="3521">
      <c r="A3521" s="27"/>
      <c r="B3521" s="28"/>
      <c r="C3521" s="27"/>
      <c r="D3521" s="27"/>
      <c r="E3521" s="30"/>
    </row>
    <row r="3522">
      <c r="A3522" s="27"/>
      <c r="B3522" s="28"/>
      <c r="C3522" s="27"/>
      <c r="D3522" s="27"/>
      <c r="E3522" s="30"/>
    </row>
    <row r="3523">
      <c r="A3523" s="27"/>
      <c r="B3523" s="28"/>
      <c r="C3523" s="27"/>
      <c r="D3523" s="27"/>
      <c r="E3523" s="30"/>
    </row>
    <row r="3524">
      <c r="A3524" s="27"/>
      <c r="B3524" s="28"/>
      <c r="C3524" s="27"/>
      <c r="D3524" s="27"/>
      <c r="E3524" s="30"/>
    </row>
    <row r="3525">
      <c r="A3525" s="27"/>
      <c r="B3525" s="28"/>
      <c r="C3525" s="27"/>
      <c r="D3525" s="27"/>
      <c r="E3525" s="30"/>
    </row>
    <row r="3526">
      <c r="A3526" s="27"/>
      <c r="B3526" s="28"/>
      <c r="C3526" s="27"/>
      <c r="D3526" s="27"/>
      <c r="E3526" s="30"/>
    </row>
    <row r="3527">
      <c r="A3527" s="27"/>
      <c r="B3527" s="28"/>
      <c r="C3527" s="27"/>
      <c r="D3527" s="27"/>
      <c r="E3527" s="30"/>
    </row>
    <row r="3528">
      <c r="A3528" s="27"/>
      <c r="B3528" s="28"/>
      <c r="C3528" s="27"/>
      <c r="D3528" s="27"/>
      <c r="E3528" s="30"/>
    </row>
    <row r="3529">
      <c r="A3529" s="27"/>
      <c r="B3529" s="28"/>
      <c r="C3529" s="27"/>
      <c r="D3529" s="27"/>
      <c r="E3529" s="30"/>
    </row>
    <row r="3530">
      <c r="A3530" s="27"/>
      <c r="B3530" s="28"/>
      <c r="C3530" s="27"/>
      <c r="D3530" s="27"/>
      <c r="E3530" s="30"/>
    </row>
    <row r="3531">
      <c r="A3531" s="27"/>
      <c r="B3531" s="28"/>
      <c r="C3531" s="27"/>
      <c r="D3531" s="27"/>
      <c r="E3531" s="30"/>
    </row>
    <row r="3532">
      <c r="A3532" s="27"/>
      <c r="B3532" s="28"/>
      <c r="C3532" s="27"/>
      <c r="D3532" s="27"/>
      <c r="E3532" s="30"/>
    </row>
    <row r="3533">
      <c r="A3533" s="27"/>
      <c r="B3533" s="28"/>
      <c r="C3533" s="27"/>
      <c r="D3533" s="27"/>
      <c r="E3533" s="30"/>
    </row>
    <row r="3534">
      <c r="A3534" s="27"/>
      <c r="B3534" s="28"/>
      <c r="C3534" s="27"/>
      <c r="D3534" s="27"/>
      <c r="E3534" s="30"/>
    </row>
    <row r="3535">
      <c r="A3535" s="27"/>
      <c r="B3535" s="28"/>
      <c r="C3535" s="27"/>
      <c r="D3535" s="27"/>
      <c r="E3535" s="30"/>
    </row>
    <row r="3536">
      <c r="A3536" s="27"/>
      <c r="B3536" s="28"/>
      <c r="C3536" s="27"/>
      <c r="D3536" s="27"/>
      <c r="E3536" s="30"/>
    </row>
    <row r="3537">
      <c r="A3537" s="27"/>
      <c r="B3537" s="28"/>
      <c r="C3537" s="27"/>
      <c r="D3537" s="27"/>
      <c r="E3537" s="30"/>
    </row>
    <row r="3538">
      <c r="A3538" s="27"/>
      <c r="B3538" s="28"/>
      <c r="C3538" s="27"/>
      <c r="D3538" s="27"/>
      <c r="E3538" s="30"/>
    </row>
    <row r="3539">
      <c r="A3539" s="27"/>
      <c r="B3539" s="28"/>
      <c r="C3539" s="27"/>
      <c r="D3539" s="27"/>
      <c r="E3539" s="30"/>
    </row>
    <row r="3540">
      <c r="A3540" s="27"/>
      <c r="B3540" s="28"/>
      <c r="C3540" s="27"/>
      <c r="D3540" s="27"/>
      <c r="E3540" s="30"/>
    </row>
    <row r="3541">
      <c r="A3541" s="27"/>
      <c r="B3541" s="28"/>
      <c r="C3541" s="27"/>
      <c r="D3541" s="27"/>
      <c r="E3541" s="30"/>
    </row>
    <row r="3542">
      <c r="A3542" s="27"/>
      <c r="B3542" s="28"/>
      <c r="C3542" s="27"/>
      <c r="D3542" s="27"/>
      <c r="E3542" s="30"/>
    </row>
    <row r="3543">
      <c r="A3543" s="27"/>
      <c r="B3543" s="28"/>
      <c r="C3543" s="27"/>
      <c r="D3543" s="27"/>
      <c r="E3543" s="30"/>
    </row>
    <row r="3544">
      <c r="A3544" s="27"/>
      <c r="B3544" s="28"/>
      <c r="C3544" s="27"/>
      <c r="D3544" s="27"/>
      <c r="E3544" s="30"/>
    </row>
    <row r="3545">
      <c r="A3545" s="27"/>
      <c r="B3545" s="28"/>
      <c r="C3545" s="27"/>
      <c r="D3545" s="27"/>
      <c r="E3545" s="30"/>
    </row>
    <row r="3546">
      <c r="A3546" s="27"/>
      <c r="B3546" s="28"/>
      <c r="C3546" s="27"/>
      <c r="D3546" s="27"/>
      <c r="E3546" s="30"/>
    </row>
    <row r="3547">
      <c r="A3547" s="27"/>
      <c r="B3547" s="28"/>
      <c r="C3547" s="27"/>
      <c r="D3547" s="27"/>
      <c r="E3547" s="30"/>
    </row>
    <row r="3548">
      <c r="A3548" s="27"/>
      <c r="B3548" s="28"/>
      <c r="C3548" s="27"/>
      <c r="D3548" s="27"/>
      <c r="E3548" s="30"/>
    </row>
    <row r="3549">
      <c r="A3549" s="27"/>
      <c r="B3549" s="28"/>
      <c r="C3549" s="27"/>
      <c r="D3549" s="27"/>
      <c r="E3549" s="30"/>
    </row>
    <row r="3550">
      <c r="A3550" s="27"/>
      <c r="B3550" s="28"/>
      <c r="C3550" s="27"/>
      <c r="D3550" s="27"/>
      <c r="E3550" s="30"/>
    </row>
    <row r="3551">
      <c r="A3551" s="27"/>
      <c r="B3551" s="28"/>
      <c r="C3551" s="27"/>
      <c r="D3551" s="27"/>
      <c r="E3551" s="30"/>
    </row>
    <row r="3552">
      <c r="A3552" s="27"/>
      <c r="B3552" s="28"/>
      <c r="C3552" s="27"/>
      <c r="D3552" s="27"/>
      <c r="E3552" s="30"/>
    </row>
    <row r="3553">
      <c r="A3553" s="27"/>
      <c r="B3553" s="28"/>
      <c r="C3553" s="27"/>
      <c r="D3553" s="27"/>
      <c r="E3553" s="30"/>
    </row>
    <row r="3554">
      <c r="A3554" s="27"/>
      <c r="B3554" s="28"/>
      <c r="C3554" s="27"/>
      <c r="D3554" s="27"/>
      <c r="E3554" s="30"/>
    </row>
    <row r="3555">
      <c r="A3555" s="27"/>
      <c r="B3555" s="28"/>
      <c r="C3555" s="27"/>
      <c r="D3555" s="27"/>
      <c r="E3555" s="30"/>
    </row>
    <row r="3556">
      <c r="A3556" s="27"/>
      <c r="B3556" s="28"/>
      <c r="C3556" s="27"/>
      <c r="D3556" s="27"/>
      <c r="E3556" s="30"/>
    </row>
    <row r="3557">
      <c r="A3557" s="27"/>
      <c r="B3557" s="28"/>
      <c r="C3557" s="27"/>
      <c r="D3557" s="27"/>
      <c r="E3557" s="30"/>
    </row>
    <row r="3558">
      <c r="A3558" s="27"/>
      <c r="B3558" s="28"/>
      <c r="C3558" s="27"/>
      <c r="D3558" s="27"/>
      <c r="E3558" s="30"/>
    </row>
    <row r="3559">
      <c r="A3559" s="27"/>
      <c r="B3559" s="28"/>
      <c r="C3559" s="27"/>
      <c r="D3559" s="27"/>
      <c r="E3559" s="30"/>
    </row>
    <row r="3560">
      <c r="A3560" s="27"/>
      <c r="B3560" s="28"/>
      <c r="C3560" s="27"/>
      <c r="D3560" s="27"/>
      <c r="E3560" s="30"/>
    </row>
    <row r="3561">
      <c r="A3561" s="27"/>
      <c r="B3561" s="28"/>
      <c r="C3561" s="27"/>
      <c r="D3561" s="27"/>
      <c r="E3561" s="30"/>
    </row>
    <row r="3562">
      <c r="A3562" s="27"/>
      <c r="B3562" s="28"/>
      <c r="C3562" s="27"/>
      <c r="D3562" s="27"/>
      <c r="E3562" s="30"/>
    </row>
    <row r="3563">
      <c r="A3563" s="27"/>
      <c r="B3563" s="28"/>
      <c r="C3563" s="27"/>
      <c r="D3563" s="27"/>
      <c r="E3563" s="30"/>
    </row>
    <row r="3564">
      <c r="A3564" s="27"/>
      <c r="B3564" s="28"/>
      <c r="C3564" s="27"/>
      <c r="D3564" s="27"/>
      <c r="E3564" s="30"/>
    </row>
    <row r="3565">
      <c r="A3565" s="27"/>
      <c r="B3565" s="28"/>
      <c r="C3565" s="27"/>
      <c r="D3565" s="27"/>
      <c r="E3565" s="30"/>
    </row>
    <row r="3566">
      <c r="A3566" s="27"/>
      <c r="B3566" s="28"/>
      <c r="C3566" s="27"/>
      <c r="D3566" s="27"/>
      <c r="E3566" s="30"/>
    </row>
    <row r="3567">
      <c r="A3567" s="27"/>
      <c r="B3567" s="28"/>
      <c r="C3567" s="27"/>
      <c r="D3567" s="27"/>
      <c r="E3567" s="30"/>
    </row>
    <row r="3568">
      <c r="A3568" s="27"/>
      <c r="B3568" s="28"/>
      <c r="C3568" s="27"/>
      <c r="D3568" s="27"/>
      <c r="E3568" s="30"/>
    </row>
    <row r="3569">
      <c r="A3569" s="27"/>
      <c r="B3569" s="28"/>
      <c r="C3569" s="27"/>
      <c r="D3569" s="27"/>
      <c r="E3569" s="30"/>
    </row>
    <row r="3570">
      <c r="A3570" s="27"/>
      <c r="B3570" s="28"/>
      <c r="C3570" s="27"/>
      <c r="D3570" s="27"/>
      <c r="E3570" s="30"/>
    </row>
    <row r="3571">
      <c r="A3571" s="27"/>
      <c r="B3571" s="28"/>
      <c r="C3571" s="27"/>
      <c r="D3571" s="27"/>
      <c r="E3571" s="30"/>
    </row>
    <row r="3572">
      <c r="A3572" s="27"/>
      <c r="B3572" s="28"/>
      <c r="C3572" s="27"/>
      <c r="D3572" s="27"/>
      <c r="E3572" s="30"/>
    </row>
    <row r="3573">
      <c r="A3573" s="27"/>
      <c r="B3573" s="28"/>
      <c r="C3573" s="27"/>
      <c r="D3573" s="27"/>
      <c r="E3573" s="30"/>
    </row>
    <row r="3574">
      <c r="A3574" s="27"/>
      <c r="B3574" s="28"/>
      <c r="C3574" s="27"/>
      <c r="D3574" s="27"/>
      <c r="E3574" s="30"/>
    </row>
    <row r="3575">
      <c r="A3575" s="27"/>
      <c r="B3575" s="28"/>
      <c r="C3575" s="27"/>
      <c r="D3575" s="27"/>
      <c r="E3575" s="30"/>
    </row>
    <row r="3576">
      <c r="A3576" s="27"/>
      <c r="B3576" s="28"/>
      <c r="C3576" s="27"/>
      <c r="D3576" s="27"/>
      <c r="E3576" s="30"/>
    </row>
    <row r="3577">
      <c r="A3577" s="27"/>
      <c r="B3577" s="28"/>
      <c r="C3577" s="27"/>
      <c r="D3577" s="27"/>
      <c r="E3577" s="30"/>
    </row>
    <row r="3578">
      <c r="A3578" s="27"/>
      <c r="B3578" s="28"/>
      <c r="C3578" s="27"/>
      <c r="D3578" s="27"/>
      <c r="E3578" s="30"/>
    </row>
    <row r="3579">
      <c r="A3579" s="27"/>
      <c r="B3579" s="28"/>
      <c r="C3579" s="27"/>
      <c r="D3579" s="27"/>
      <c r="E3579" s="30"/>
    </row>
    <row r="3580">
      <c r="A3580" s="27"/>
      <c r="B3580" s="28"/>
      <c r="C3580" s="27"/>
      <c r="D3580" s="27"/>
      <c r="E3580" s="30"/>
    </row>
    <row r="3581">
      <c r="A3581" s="27"/>
      <c r="B3581" s="28"/>
      <c r="C3581" s="27"/>
      <c r="D3581" s="27"/>
      <c r="E3581" s="30"/>
    </row>
    <row r="3582">
      <c r="A3582" s="27"/>
      <c r="B3582" s="28"/>
      <c r="C3582" s="27"/>
      <c r="D3582" s="27"/>
      <c r="E3582" s="30"/>
    </row>
    <row r="3583">
      <c r="A3583" s="27"/>
      <c r="B3583" s="28"/>
      <c r="C3583" s="27"/>
      <c r="D3583" s="27"/>
      <c r="E3583" s="30"/>
    </row>
    <row r="3584">
      <c r="A3584" s="27"/>
      <c r="B3584" s="28"/>
      <c r="C3584" s="27"/>
      <c r="D3584" s="27"/>
      <c r="E3584" s="30"/>
    </row>
    <row r="3585">
      <c r="A3585" s="27"/>
      <c r="B3585" s="28"/>
      <c r="C3585" s="27"/>
      <c r="D3585" s="27"/>
      <c r="E3585" s="30"/>
    </row>
    <row r="3586">
      <c r="A3586" s="27"/>
      <c r="B3586" s="28"/>
      <c r="C3586" s="27"/>
      <c r="D3586" s="27"/>
      <c r="E3586" s="30"/>
    </row>
    <row r="3587">
      <c r="A3587" s="27"/>
      <c r="B3587" s="28"/>
      <c r="C3587" s="27"/>
      <c r="D3587" s="27"/>
      <c r="E3587" s="30"/>
    </row>
    <row r="3588">
      <c r="A3588" s="27"/>
      <c r="B3588" s="28"/>
      <c r="C3588" s="27"/>
      <c r="D3588" s="27"/>
      <c r="E3588" s="30"/>
    </row>
    <row r="3589">
      <c r="A3589" s="27"/>
      <c r="B3589" s="28"/>
      <c r="C3589" s="27"/>
      <c r="D3589" s="27"/>
      <c r="E3589" s="30"/>
    </row>
    <row r="3590">
      <c r="A3590" s="27"/>
      <c r="B3590" s="28"/>
      <c r="C3590" s="27"/>
      <c r="D3590" s="27"/>
      <c r="E3590" s="30"/>
    </row>
    <row r="3591">
      <c r="A3591" s="27"/>
      <c r="B3591" s="28"/>
      <c r="C3591" s="27"/>
      <c r="D3591" s="27"/>
      <c r="E3591" s="30"/>
    </row>
    <row r="3592">
      <c r="A3592" s="27"/>
      <c r="B3592" s="28"/>
      <c r="C3592" s="27"/>
      <c r="D3592" s="27"/>
      <c r="E3592" s="30"/>
    </row>
    <row r="3593">
      <c r="A3593" s="27"/>
      <c r="B3593" s="28"/>
      <c r="C3593" s="27"/>
      <c r="D3593" s="27"/>
      <c r="E3593" s="30"/>
    </row>
    <row r="3594">
      <c r="A3594" s="27"/>
      <c r="B3594" s="28"/>
      <c r="C3594" s="27"/>
      <c r="D3594" s="27"/>
      <c r="E3594" s="30"/>
    </row>
    <row r="3595">
      <c r="A3595" s="27"/>
      <c r="B3595" s="28"/>
      <c r="C3595" s="27"/>
      <c r="D3595" s="27"/>
      <c r="E3595" s="30"/>
    </row>
    <row r="3596">
      <c r="A3596" s="27"/>
      <c r="B3596" s="28"/>
      <c r="C3596" s="27"/>
      <c r="D3596" s="27"/>
      <c r="E3596" s="30"/>
    </row>
    <row r="3597">
      <c r="A3597" s="27"/>
      <c r="B3597" s="28"/>
      <c r="C3597" s="27"/>
      <c r="D3597" s="27"/>
      <c r="E3597" s="30"/>
    </row>
    <row r="3598">
      <c r="A3598" s="27"/>
      <c r="B3598" s="28"/>
      <c r="C3598" s="27"/>
      <c r="D3598" s="27"/>
      <c r="E3598" s="30"/>
    </row>
    <row r="3599">
      <c r="A3599" s="27"/>
      <c r="B3599" s="28"/>
      <c r="C3599" s="27"/>
      <c r="D3599" s="27"/>
      <c r="E3599" s="30"/>
    </row>
    <row r="3600">
      <c r="A3600" s="27"/>
      <c r="B3600" s="28"/>
      <c r="C3600" s="27"/>
      <c r="D3600" s="27"/>
      <c r="E3600" s="30"/>
    </row>
    <row r="3601">
      <c r="A3601" s="27"/>
      <c r="B3601" s="28"/>
      <c r="C3601" s="27"/>
      <c r="D3601" s="27"/>
      <c r="E3601" s="30"/>
    </row>
    <row r="3602">
      <c r="A3602" s="27"/>
      <c r="B3602" s="28"/>
      <c r="C3602" s="27"/>
      <c r="D3602" s="27"/>
      <c r="E3602" s="30"/>
    </row>
    <row r="3603">
      <c r="A3603" s="27"/>
      <c r="B3603" s="28"/>
      <c r="C3603" s="27"/>
      <c r="D3603" s="27"/>
      <c r="E3603" s="30"/>
    </row>
    <row r="3604">
      <c r="A3604" s="27"/>
      <c r="B3604" s="28"/>
      <c r="C3604" s="27"/>
      <c r="D3604" s="27"/>
      <c r="E3604" s="30"/>
    </row>
    <row r="3605">
      <c r="A3605" s="27"/>
      <c r="B3605" s="28"/>
      <c r="C3605" s="27"/>
      <c r="D3605" s="27"/>
      <c r="E3605" s="30"/>
    </row>
    <row r="3606">
      <c r="A3606" s="27"/>
      <c r="B3606" s="28"/>
      <c r="C3606" s="27"/>
      <c r="D3606" s="27"/>
      <c r="E3606" s="30"/>
    </row>
    <row r="3607">
      <c r="A3607" s="27"/>
      <c r="B3607" s="28"/>
      <c r="C3607" s="27"/>
      <c r="D3607" s="27"/>
      <c r="E3607" s="30"/>
    </row>
    <row r="3608">
      <c r="A3608" s="27"/>
      <c r="B3608" s="28"/>
      <c r="C3608" s="27"/>
      <c r="D3608" s="27"/>
      <c r="E3608" s="30"/>
    </row>
    <row r="3609">
      <c r="A3609" s="27"/>
      <c r="B3609" s="28"/>
      <c r="C3609" s="27"/>
      <c r="D3609" s="27"/>
      <c r="E3609" s="30"/>
    </row>
    <row r="3610">
      <c r="A3610" s="27"/>
      <c r="B3610" s="28"/>
      <c r="C3610" s="27"/>
      <c r="D3610" s="27"/>
      <c r="E3610" s="30"/>
    </row>
    <row r="3611">
      <c r="A3611" s="27"/>
      <c r="B3611" s="28"/>
      <c r="C3611" s="27"/>
      <c r="D3611" s="27"/>
      <c r="E3611" s="30"/>
    </row>
    <row r="3612">
      <c r="A3612" s="27"/>
      <c r="B3612" s="28"/>
      <c r="C3612" s="27"/>
      <c r="D3612" s="27"/>
      <c r="E3612" s="30"/>
    </row>
    <row r="3613">
      <c r="A3613" s="27"/>
      <c r="B3613" s="28"/>
      <c r="C3613" s="27"/>
      <c r="D3613" s="27"/>
      <c r="E3613" s="30"/>
    </row>
    <row r="3614">
      <c r="A3614" s="27"/>
      <c r="B3614" s="28"/>
      <c r="C3614" s="27"/>
      <c r="D3614" s="27"/>
      <c r="E3614" s="30"/>
    </row>
    <row r="3615">
      <c r="A3615" s="27"/>
      <c r="B3615" s="28"/>
      <c r="C3615" s="27"/>
      <c r="D3615" s="27"/>
      <c r="E3615" s="30"/>
    </row>
    <row r="3616">
      <c r="A3616" s="27"/>
      <c r="B3616" s="28"/>
      <c r="C3616" s="27"/>
      <c r="D3616" s="27"/>
      <c r="E3616" s="30"/>
    </row>
    <row r="3617">
      <c r="A3617" s="27"/>
      <c r="B3617" s="28"/>
      <c r="C3617" s="27"/>
      <c r="D3617" s="27"/>
      <c r="E3617" s="30"/>
    </row>
    <row r="3618">
      <c r="A3618" s="27"/>
      <c r="B3618" s="28"/>
      <c r="C3618" s="27"/>
      <c r="D3618" s="27"/>
      <c r="E3618" s="30"/>
    </row>
    <row r="3619">
      <c r="A3619" s="27"/>
      <c r="B3619" s="28"/>
      <c r="C3619" s="27"/>
      <c r="D3619" s="27"/>
      <c r="E3619" s="30"/>
    </row>
    <row r="3620">
      <c r="A3620" s="27"/>
      <c r="B3620" s="28"/>
      <c r="C3620" s="27"/>
      <c r="D3620" s="27"/>
      <c r="E3620" s="30"/>
    </row>
    <row r="3621">
      <c r="A3621" s="27"/>
      <c r="B3621" s="28"/>
      <c r="C3621" s="27"/>
      <c r="D3621" s="27"/>
      <c r="E3621" s="30"/>
    </row>
    <row r="3622">
      <c r="A3622" s="27"/>
      <c r="B3622" s="28"/>
      <c r="C3622" s="27"/>
      <c r="D3622" s="27"/>
      <c r="E3622" s="30"/>
    </row>
    <row r="3623">
      <c r="A3623" s="27"/>
      <c r="B3623" s="28"/>
      <c r="C3623" s="27"/>
      <c r="D3623" s="27"/>
      <c r="E3623" s="30"/>
    </row>
    <row r="3624">
      <c r="A3624" s="27"/>
      <c r="B3624" s="28"/>
      <c r="C3624" s="27"/>
      <c r="D3624" s="27"/>
      <c r="E3624" s="30"/>
    </row>
    <row r="3625">
      <c r="A3625" s="27"/>
      <c r="B3625" s="28"/>
      <c r="C3625" s="27"/>
      <c r="D3625" s="27"/>
      <c r="E3625" s="30"/>
    </row>
    <row r="3626">
      <c r="A3626" s="27"/>
      <c r="B3626" s="28"/>
      <c r="C3626" s="27"/>
      <c r="D3626" s="27"/>
      <c r="E3626" s="30"/>
    </row>
    <row r="3627">
      <c r="A3627" s="27"/>
      <c r="B3627" s="28"/>
      <c r="C3627" s="27"/>
      <c r="D3627" s="27"/>
      <c r="E3627" s="30"/>
    </row>
    <row r="3628">
      <c r="A3628" s="27"/>
      <c r="B3628" s="28"/>
      <c r="C3628" s="27"/>
      <c r="D3628" s="27"/>
      <c r="E3628" s="30"/>
    </row>
    <row r="3629">
      <c r="A3629" s="27"/>
      <c r="B3629" s="28"/>
      <c r="C3629" s="27"/>
      <c r="D3629" s="27"/>
      <c r="E3629" s="30"/>
    </row>
    <row r="3630">
      <c r="A3630" s="27"/>
      <c r="B3630" s="28"/>
      <c r="C3630" s="27"/>
      <c r="D3630" s="27"/>
      <c r="E3630" s="30"/>
    </row>
    <row r="3631">
      <c r="A3631" s="27"/>
      <c r="B3631" s="28"/>
      <c r="C3631" s="27"/>
      <c r="D3631" s="27"/>
      <c r="E3631" s="30"/>
    </row>
    <row r="3632">
      <c r="A3632" s="27"/>
      <c r="B3632" s="28"/>
      <c r="C3632" s="27"/>
      <c r="D3632" s="27"/>
      <c r="E3632" s="30"/>
    </row>
    <row r="3633">
      <c r="A3633" s="27"/>
      <c r="B3633" s="28"/>
      <c r="C3633" s="27"/>
      <c r="D3633" s="27"/>
      <c r="E3633" s="30"/>
    </row>
    <row r="3634">
      <c r="A3634" s="27"/>
      <c r="B3634" s="28"/>
      <c r="C3634" s="27"/>
      <c r="D3634" s="27"/>
      <c r="E3634" s="30"/>
    </row>
    <row r="3635">
      <c r="A3635" s="27"/>
      <c r="B3635" s="28"/>
      <c r="C3635" s="27"/>
      <c r="D3635" s="27"/>
      <c r="E3635" s="30"/>
    </row>
    <row r="3636">
      <c r="A3636" s="27"/>
      <c r="B3636" s="28"/>
      <c r="C3636" s="27"/>
      <c r="D3636" s="27"/>
      <c r="E3636" s="30"/>
    </row>
    <row r="3637">
      <c r="A3637" s="27"/>
      <c r="B3637" s="28"/>
      <c r="C3637" s="27"/>
      <c r="D3637" s="27"/>
      <c r="E3637" s="30"/>
    </row>
    <row r="3638">
      <c r="A3638" s="27"/>
      <c r="B3638" s="28"/>
      <c r="C3638" s="27"/>
      <c r="D3638" s="27"/>
      <c r="E3638" s="30"/>
    </row>
    <row r="3639">
      <c r="A3639" s="27"/>
      <c r="B3639" s="28"/>
      <c r="C3639" s="27"/>
      <c r="D3639" s="27"/>
      <c r="E3639" s="30"/>
    </row>
    <row r="3640">
      <c r="A3640" s="27"/>
      <c r="B3640" s="28"/>
      <c r="C3640" s="27"/>
      <c r="D3640" s="27"/>
      <c r="E3640" s="30"/>
    </row>
    <row r="3641">
      <c r="A3641" s="27"/>
      <c r="B3641" s="28"/>
      <c r="C3641" s="27"/>
      <c r="D3641" s="27"/>
      <c r="E3641" s="30"/>
    </row>
    <row r="3642">
      <c r="A3642" s="27"/>
      <c r="B3642" s="28"/>
      <c r="C3642" s="27"/>
      <c r="D3642" s="27"/>
      <c r="E3642" s="30"/>
    </row>
    <row r="3643">
      <c r="A3643" s="27"/>
      <c r="B3643" s="28"/>
      <c r="C3643" s="27"/>
      <c r="D3643" s="27"/>
      <c r="E3643" s="30"/>
    </row>
    <row r="3644">
      <c r="A3644" s="27"/>
      <c r="B3644" s="28"/>
      <c r="C3644" s="27"/>
      <c r="D3644" s="27"/>
      <c r="E3644" s="30"/>
    </row>
    <row r="3645">
      <c r="A3645" s="27"/>
      <c r="B3645" s="28"/>
      <c r="C3645" s="27"/>
      <c r="D3645" s="27"/>
      <c r="E3645" s="30"/>
    </row>
    <row r="3646">
      <c r="A3646" s="27"/>
      <c r="B3646" s="28"/>
      <c r="C3646" s="27"/>
      <c r="D3646" s="27"/>
      <c r="E3646" s="30"/>
    </row>
    <row r="3647">
      <c r="A3647" s="27"/>
      <c r="B3647" s="28"/>
      <c r="C3647" s="27"/>
      <c r="D3647" s="27"/>
      <c r="E3647" s="30"/>
    </row>
    <row r="3648">
      <c r="A3648" s="27"/>
      <c r="B3648" s="28"/>
      <c r="C3648" s="27"/>
      <c r="D3648" s="27"/>
      <c r="E3648" s="30"/>
    </row>
    <row r="3649">
      <c r="A3649" s="27"/>
      <c r="B3649" s="28"/>
      <c r="C3649" s="27"/>
      <c r="D3649" s="27"/>
      <c r="E3649" s="30"/>
    </row>
    <row r="3650">
      <c r="A3650" s="27"/>
      <c r="B3650" s="28"/>
      <c r="C3650" s="27"/>
      <c r="D3650" s="27"/>
      <c r="E3650" s="30"/>
    </row>
    <row r="3651">
      <c r="A3651" s="27"/>
      <c r="B3651" s="28"/>
      <c r="C3651" s="27"/>
      <c r="D3651" s="27"/>
      <c r="E3651" s="30"/>
    </row>
    <row r="3652">
      <c r="A3652" s="27"/>
      <c r="B3652" s="28"/>
      <c r="C3652" s="27"/>
      <c r="D3652" s="27"/>
      <c r="E3652" s="30"/>
    </row>
    <row r="3653">
      <c r="A3653" s="27"/>
      <c r="B3653" s="28"/>
      <c r="C3653" s="27"/>
      <c r="D3653" s="27"/>
      <c r="E3653" s="30"/>
    </row>
    <row r="3654">
      <c r="A3654" s="27"/>
      <c r="B3654" s="28"/>
      <c r="C3654" s="27"/>
      <c r="D3654" s="27"/>
      <c r="E3654" s="30"/>
    </row>
    <row r="3655">
      <c r="A3655" s="27"/>
      <c r="B3655" s="28"/>
      <c r="C3655" s="27"/>
      <c r="D3655" s="27"/>
      <c r="E3655" s="30"/>
    </row>
    <row r="3656">
      <c r="A3656" s="27"/>
      <c r="B3656" s="28"/>
      <c r="C3656" s="27"/>
      <c r="D3656" s="27"/>
      <c r="E3656" s="30"/>
    </row>
    <row r="3657">
      <c r="A3657" s="27"/>
      <c r="B3657" s="28"/>
      <c r="C3657" s="27"/>
      <c r="D3657" s="27"/>
      <c r="E3657" s="30"/>
    </row>
    <row r="3658">
      <c r="A3658" s="27"/>
      <c r="B3658" s="28"/>
      <c r="C3658" s="27"/>
      <c r="D3658" s="27"/>
      <c r="E3658" s="30"/>
    </row>
    <row r="3659">
      <c r="A3659" s="27"/>
      <c r="B3659" s="28"/>
      <c r="C3659" s="27"/>
      <c r="D3659" s="27"/>
      <c r="E3659" s="30"/>
    </row>
    <row r="3660">
      <c r="A3660" s="27"/>
      <c r="B3660" s="28"/>
      <c r="C3660" s="27"/>
      <c r="D3660" s="27"/>
      <c r="E3660" s="30"/>
    </row>
    <row r="3661">
      <c r="A3661" s="27"/>
      <c r="B3661" s="28"/>
      <c r="C3661" s="27"/>
      <c r="D3661" s="27"/>
      <c r="E3661" s="30"/>
    </row>
    <row r="3662">
      <c r="A3662" s="27"/>
      <c r="B3662" s="28"/>
      <c r="C3662" s="27"/>
      <c r="D3662" s="27"/>
      <c r="E3662" s="30"/>
    </row>
    <row r="3663">
      <c r="A3663" s="27"/>
      <c r="B3663" s="28"/>
      <c r="C3663" s="27"/>
      <c r="D3663" s="27"/>
      <c r="E3663" s="30"/>
    </row>
    <row r="3664">
      <c r="A3664" s="27"/>
      <c r="B3664" s="28"/>
      <c r="C3664" s="27"/>
      <c r="D3664" s="27"/>
      <c r="E3664" s="30"/>
    </row>
    <row r="3665">
      <c r="A3665" s="27"/>
      <c r="B3665" s="28"/>
      <c r="C3665" s="27"/>
      <c r="D3665" s="27"/>
      <c r="E3665" s="30"/>
    </row>
    <row r="3666">
      <c r="A3666" s="27"/>
      <c r="B3666" s="28"/>
      <c r="C3666" s="27"/>
      <c r="D3666" s="27"/>
      <c r="E3666" s="30"/>
    </row>
    <row r="3667">
      <c r="A3667" s="27"/>
      <c r="B3667" s="28"/>
      <c r="C3667" s="27"/>
      <c r="D3667" s="27"/>
      <c r="E3667" s="30"/>
    </row>
    <row r="3668">
      <c r="A3668" s="27"/>
      <c r="B3668" s="28"/>
      <c r="C3668" s="27"/>
      <c r="D3668" s="27"/>
      <c r="E3668" s="30"/>
    </row>
    <row r="3669">
      <c r="A3669" s="27"/>
      <c r="B3669" s="28"/>
      <c r="C3669" s="27"/>
      <c r="D3669" s="27"/>
      <c r="E3669" s="30"/>
    </row>
    <row r="3670">
      <c r="A3670" s="27"/>
      <c r="B3670" s="28"/>
      <c r="C3670" s="27"/>
      <c r="D3670" s="27"/>
      <c r="E3670" s="30"/>
    </row>
    <row r="3671">
      <c r="A3671" s="27"/>
      <c r="B3671" s="28"/>
      <c r="C3671" s="27"/>
      <c r="D3671" s="27"/>
      <c r="E3671" s="30"/>
    </row>
    <row r="3672">
      <c r="A3672" s="27"/>
      <c r="B3672" s="28"/>
      <c r="C3672" s="27"/>
      <c r="D3672" s="27"/>
      <c r="E3672" s="30"/>
    </row>
    <row r="3673">
      <c r="A3673" s="27"/>
      <c r="B3673" s="28"/>
      <c r="C3673" s="27"/>
      <c r="D3673" s="27"/>
      <c r="E3673" s="30"/>
    </row>
    <row r="3674">
      <c r="A3674" s="27"/>
      <c r="B3674" s="28"/>
      <c r="C3674" s="27"/>
      <c r="D3674" s="27"/>
      <c r="E3674" s="30"/>
    </row>
    <row r="3675">
      <c r="A3675" s="27"/>
      <c r="B3675" s="28"/>
      <c r="C3675" s="27"/>
      <c r="D3675" s="27"/>
      <c r="E3675" s="30"/>
    </row>
    <row r="3676">
      <c r="A3676" s="27"/>
      <c r="B3676" s="28"/>
      <c r="C3676" s="27"/>
      <c r="D3676" s="27"/>
      <c r="E3676" s="30"/>
    </row>
    <row r="3677">
      <c r="A3677" s="27"/>
      <c r="B3677" s="28"/>
      <c r="C3677" s="27"/>
      <c r="D3677" s="27"/>
      <c r="E3677" s="30"/>
    </row>
    <row r="3678">
      <c r="A3678" s="27"/>
      <c r="B3678" s="28"/>
      <c r="C3678" s="27"/>
      <c r="D3678" s="27"/>
      <c r="E3678" s="30"/>
    </row>
    <row r="3679">
      <c r="A3679" s="27"/>
      <c r="B3679" s="28"/>
      <c r="C3679" s="27"/>
      <c r="D3679" s="27"/>
      <c r="E3679" s="30"/>
    </row>
    <row r="3680">
      <c r="A3680" s="27"/>
      <c r="B3680" s="28"/>
      <c r="C3680" s="27"/>
      <c r="D3680" s="27"/>
      <c r="E3680" s="30"/>
    </row>
    <row r="3681">
      <c r="A3681" s="27"/>
      <c r="B3681" s="28"/>
      <c r="C3681" s="27"/>
      <c r="D3681" s="27"/>
      <c r="E3681" s="30"/>
    </row>
    <row r="3682">
      <c r="A3682" s="27"/>
      <c r="B3682" s="28"/>
      <c r="C3682" s="27"/>
      <c r="D3682" s="27"/>
      <c r="E3682" s="30"/>
    </row>
    <row r="3683">
      <c r="A3683" s="27"/>
      <c r="B3683" s="28"/>
      <c r="C3683" s="27"/>
      <c r="D3683" s="27"/>
      <c r="E3683" s="30"/>
    </row>
    <row r="3684">
      <c r="A3684" s="27"/>
      <c r="B3684" s="28"/>
      <c r="C3684" s="27"/>
      <c r="D3684" s="27"/>
      <c r="E3684" s="30"/>
    </row>
    <row r="3685">
      <c r="A3685" s="27"/>
      <c r="B3685" s="28"/>
      <c r="C3685" s="27"/>
      <c r="D3685" s="27"/>
      <c r="E3685" s="30"/>
    </row>
    <row r="3686">
      <c r="A3686" s="27"/>
      <c r="B3686" s="28"/>
      <c r="C3686" s="27"/>
      <c r="D3686" s="27"/>
      <c r="E3686" s="30"/>
    </row>
    <row r="3687">
      <c r="A3687" s="27"/>
      <c r="B3687" s="28"/>
      <c r="C3687" s="27"/>
      <c r="D3687" s="27"/>
      <c r="E3687" s="30"/>
    </row>
    <row r="3688">
      <c r="A3688" s="27"/>
      <c r="B3688" s="28"/>
      <c r="C3688" s="27"/>
      <c r="D3688" s="27"/>
      <c r="E3688" s="30"/>
    </row>
    <row r="3689">
      <c r="A3689" s="27"/>
      <c r="B3689" s="28"/>
      <c r="C3689" s="27"/>
      <c r="D3689" s="27"/>
      <c r="E3689" s="30"/>
    </row>
    <row r="3690">
      <c r="A3690" s="27"/>
      <c r="B3690" s="28"/>
      <c r="C3690" s="27"/>
      <c r="D3690" s="27"/>
      <c r="E3690" s="30"/>
    </row>
    <row r="3691">
      <c r="A3691" s="27"/>
      <c r="B3691" s="28"/>
      <c r="C3691" s="27"/>
      <c r="D3691" s="27"/>
      <c r="E3691" s="30"/>
    </row>
    <row r="3692">
      <c r="A3692" s="27"/>
      <c r="B3692" s="28"/>
      <c r="C3692" s="27"/>
      <c r="D3692" s="27"/>
      <c r="E3692" s="30"/>
    </row>
    <row r="3693">
      <c r="A3693" s="27"/>
      <c r="B3693" s="28"/>
      <c r="C3693" s="27"/>
      <c r="D3693" s="27"/>
      <c r="E3693" s="30"/>
    </row>
    <row r="3694">
      <c r="A3694" s="27"/>
      <c r="B3694" s="28"/>
      <c r="C3694" s="27"/>
      <c r="D3694" s="27"/>
      <c r="E3694" s="30"/>
    </row>
    <row r="3695">
      <c r="A3695" s="27"/>
      <c r="B3695" s="28"/>
      <c r="C3695" s="27"/>
      <c r="D3695" s="27"/>
      <c r="E3695" s="30"/>
    </row>
    <row r="3696">
      <c r="A3696" s="27"/>
      <c r="B3696" s="28"/>
      <c r="C3696" s="27"/>
      <c r="D3696" s="27"/>
      <c r="E3696" s="30"/>
    </row>
    <row r="3697">
      <c r="A3697" s="27"/>
      <c r="B3697" s="28"/>
      <c r="C3697" s="27"/>
      <c r="D3697" s="27"/>
      <c r="E3697" s="30"/>
    </row>
    <row r="3698">
      <c r="A3698" s="27"/>
      <c r="B3698" s="28"/>
      <c r="C3698" s="27"/>
      <c r="D3698" s="27"/>
      <c r="E3698" s="30"/>
    </row>
    <row r="3699">
      <c r="A3699" s="27"/>
      <c r="B3699" s="28"/>
      <c r="C3699" s="27"/>
      <c r="D3699" s="27"/>
      <c r="E3699" s="30"/>
    </row>
    <row r="3700">
      <c r="A3700" s="27"/>
      <c r="B3700" s="28"/>
      <c r="C3700" s="27"/>
      <c r="D3700" s="27"/>
      <c r="E3700" s="30"/>
    </row>
    <row r="3701">
      <c r="A3701" s="27"/>
      <c r="B3701" s="28"/>
      <c r="C3701" s="27"/>
      <c r="D3701" s="27"/>
      <c r="E3701" s="30"/>
    </row>
    <row r="3702">
      <c r="A3702" s="27"/>
      <c r="B3702" s="28"/>
      <c r="C3702" s="27"/>
      <c r="D3702" s="27"/>
      <c r="E3702" s="30"/>
    </row>
    <row r="3703">
      <c r="A3703" s="27"/>
      <c r="B3703" s="28"/>
      <c r="C3703" s="27"/>
      <c r="D3703" s="27"/>
      <c r="E3703" s="30"/>
    </row>
    <row r="3704">
      <c r="A3704" s="27"/>
      <c r="B3704" s="28"/>
      <c r="C3704" s="27"/>
      <c r="D3704" s="27"/>
      <c r="E3704" s="30"/>
    </row>
    <row r="3705">
      <c r="A3705" s="27"/>
      <c r="B3705" s="28"/>
      <c r="C3705" s="27"/>
      <c r="D3705" s="27"/>
      <c r="E3705" s="30"/>
    </row>
    <row r="3706">
      <c r="A3706" s="27"/>
      <c r="B3706" s="28"/>
      <c r="C3706" s="27"/>
      <c r="D3706" s="27"/>
      <c r="E3706" s="30"/>
    </row>
    <row r="3707">
      <c r="A3707" s="27"/>
      <c r="B3707" s="28"/>
      <c r="C3707" s="27"/>
      <c r="D3707" s="27"/>
      <c r="E3707" s="30"/>
    </row>
    <row r="3708">
      <c r="A3708" s="27"/>
      <c r="B3708" s="28"/>
      <c r="C3708" s="27"/>
      <c r="D3708" s="27"/>
      <c r="E3708" s="30"/>
    </row>
    <row r="3709">
      <c r="A3709" s="27"/>
      <c r="B3709" s="28"/>
      <c r="C3709" s="27"/>
      <c r="D3709" s="27"/>
      <c r="E3709" s="30"/>
    </row>
    <row r="3710">
      <c r="A3710" s="27"/>
      <c r="B3710" s="28"/>
      <c r="C3710" s="27"/>
      <c r="D3710" s="27"/>
      <c r="E3710" s="30"/>
    </row>
    <row r="3711">
      <c r="A3711" s="27"/>
      <c r="B3711" s="28"/>
      <c r="C3711" s="27"/>
      <c r="D3711" s="27"/>
      <c r="E3711" s="30"/>
    </row>
    <row r="3712">
      <c r="A3712" s="27"/>
      <c r="B3712" s="28"/>
      <c r="C3712" s="27"/>
      <c r="D3712" s="27"/>
      <c r="E3712" s="30"/>
    </row>
    <row r="3713">
      <c r="A3713" s="27"/>
      <c r="B3713" s="28"/>
      <c r="C3713" s="27"/>
      <c r="D3713" s="27"/>
      <c r="E3713" s="30"/>
    </row>
    <row r="3714">
      <c r="A3714" s="27"/>
      <c r="B3714" s="28"/>
      <c r="C3714" s="27"/>
      <c r="D3714" s="27"/>
      <c r="E3714" s="30"/>
    </row>
    <row r="3715">
      <c r="A3715" s="27"/>
      <c r="B3715" s="28"/>
      <c r="C3715" s="27"/>
      <c r="D3715" s="27"/>
      <c r="E3715" s="30"/>
    </row>
    <row r="3716">
      <c r="A3716" s="27"/>
      <c r="B3716" s="28"/>
      <c r="C3716" s="27"/>
      <c r="D3716" s="27"/>
      <c r="E3716" s="30"/>
    </row>
    <row r="3717">
      <c r="A3717" s="27"/>
      <c r="B3717" s="28"/>
      <c r="C3717" s="27"/>
      <c r="D3717" s="27"/>
      <c r="E3717" s="30"/>
    </row>
    <row r="3718">
      <c r="A3718" s="27"/>
      <c r="B3718" s="28"/>
      <c r="C3718" s="27"/>
      <c r="D3718" s="27"/>
      <c r="E3718" s="30"/>
    </row>
    <row r="3719">
      <c r="A3719" s="27"/>
      <c r="B3719" s="28"/>
      <c r="C3719" s="27"/>
      <c r="D3719" s="27"/>
      <c r="E3719" s="30"/>
    </row>
    <row r="3720">
      <c r="A3720" s="27"/>
      <c r="B3720" s="28"/>
      <c r="C3720" s="27"/>
      <c r="D3720" s="27"/>
      <c r="E3720" s="30"/>
    </row>
    <row r="3721">
      <c r="A3721" s="27"/>
      <c r="B3721" s="28"/>
      <c r="C3721" s="27"/>
      <c r="D3721" s="27"/>
      <c r="E3721" s="30"/>
    </row>
    <row r="3722">
      <c r="A3722" s="27"/>
      <c r="B3722" s="28"/>
      <c r="C3722" s="27"/>
      <c r="D3722" s="27"/>
      <c r="E3722" s="30"/>
    </row>
    <row r="3723">
      <c r="A3723" s="27"/>
      <c r="B3723" s="28"/>
      <c r="C3723" s="27"/>
      <c r="D3723" s="27"/>
      <c r="E3723" s="30"/>
    </row>
    <row r="3724">
      <c r="A3724" s="27"/>
      <c r="B3724" s="28"/>
      <c r="C3724" s="27"/>
      <c r="D3724" s="27"/>
      <c r="E3724" s="30"/>
    </row>
    <row r="3725">
      <c r="A3725" s="27"/>
      <c r="B3725" s="28"/>
      <c r="C3725" s="27"/>
      <c r="D3725" s="27"/>
      <c r="E3725" s="30"/>
    </row>
    <row r="3726">
      <c r="A3726" s="27"/>
      <c r="B3726" s="28"/>
      <c r="C3726" s="27"/>
      <c r="D3726" s="27"/>
      <c r="E3726" s="30"/>
    </row>
    <row r="3727">
      <c r="A3727" s="27"/>
      <c r="B3727" s="28"/>
      <c r="C3727" s="27"/>
      <c r="D3727" s="27"/>
      <c r="E3727" s="30"/>
    </row>
    <row r="3728">
      <c r="A3728" s="27"/>
      <c r="B3728" s="28"/>
      <c r="C3728" s="27"/>
      <c r="D3728" s="27"/>
      <c r="E3728" s="30"/>
    </row>
    <row r="3729">
      <c r="A3729" s="27"/>
      <c r="B3729" s="28"/>
      <c r="C3729" s="27"/>
      <c r="D3729" s="27"/>
      <c r="E3729" s="30"/>
    </row>
    <row r="3730">
      <c r="A3730" s="27"/>
      <c r="B3730" s="28"/>
      <c r="C3730" s="27"/>
      <c r="D3730" s="27"/>
      <c r="E3730" s="30"/>
    </row>
    <row r="3731">
      <c r="A3731" s="27"/>
      <c r="B3731" s="28"/>
      <c r="C3731" s="27"/>
      <c r="D3731" s="27"/>
      <c r="E3731" s="30"/>
    </row>
    <row r="3732">
      <c r="A3732" s="27"/>
      <c r="B3732" s="28"/>
      <c r="C3732" s="27"/>
      <c r="D3732" s="27"/>
      <c r="E3732" s="30"/>
    </row>
    <row r="3733">
      <c r="A3733" s="27"/>
      <c r="B3733" s="28"/>
      <c r="C3733" s="27"/>
      <c r="D3733" s="27"/>
      <c r="E3733" s="30"/>
    </row>
    <row r="3734">
      <c r="A3734" s="27"/>
      <c r="B3734" s="28"/>
      <c r="C3734" s="27"/>
      <c r="D3734" s="27"/>
      <c r="E3734" s="30"/>
    </row>
    <row r="3735">
      <c r="A3735" s="27"/>
      <c r="B3735" s="28"/>
      <c r="C3735" s="27"/>
      <c r="D3735" s="27"/>
      <c r="E3735" s="30"/>
    </row>
    <row r="3736">
      <c r="A3736" s="27"/>
      <c r="B3736" s="28"/>
      <c r="C3736" s="27"/>
      <c r="D3736" s="27"/>
      <c r="E3736" s="30"/>
    </row>
    <row r="3737">
      <c r="A3737" s="27"/>
      <c r="B3737" s="28"/>
      <c r="C3737" s="27"/>
      <c r="D3737" s="27"/>
      <c r="E3737" s="30"/>
    </row>
    <row r="3738">
      <c r="A3738" s="27"/>
      <c r="B3738" s="28"/>
      <c r="C3738" s="27"/>
      <c r="D3738" s="27"/>
      <c r="E3738" s="30"/>
    </row>
    <row r="3739">
      <c r="A3739" s="27"/>
      <c r="B3739" s="28"/>
      <c r="C3739" s="27"/>
      <c r="D3739" s="27"/>
      <c r="E3739" s="30"/>
    </row>
    <row r="3740">
      <c r="A3740" s="27"/>
      <c r="B3740" s="28"/>
      <c r="C3740" s="27"/>
      <c r="D3740" s="27"/>
      <c r="E3740" s="30"/>
    </row>
    <row r="3741">
      <c r="A3741" s="27"/>
      <c r="B3741" s="28"/>
      <c r="C3741" s="27"/>
      <c r="D3741" s="27"/>
      <c r="E3741" s="30"/>
    </row>
    <row r="3742">
      <c r="A3742" s="27"/>
      <c r="B3742" s="28"/>
      <c r="C3742" s="27"/>
      <c r="D3742" s="27"/>
      <c r="E3742" s="30"/>
    </row>
    <row r="3743">
      <c r="A3743" s="27"/>
      <c r="B3743" s="28"/>
      <c r="C3743" s="27"/>
      <c r="D3743" s="27"/>
      <c r="E3743" s="30"/>
    </row>
    <row r="3744">
      <c r="A3744" s="27"/>
      <c r="B3744" s="28"/>
      <c r="C3744" s="27"/>
      <c r="D3744" s="27"/>
      <c r="E3744" s="30"/>
    </row>
    <row r="3745">
      <c r="A3745" s="27"/>
      <c r="B3745" s="28"/>
      <c r="C3745" s="27"/>
      <c r="D3745" s="27"/>
      <c r="E3745" s="30"/>
    </row>
    <row r="3746">
      <c r="A3746" s="27"/>
      <c r="B3746" s="28"/>
      <c r="C3746" s="27"/>
      <c r="D3746" s="27"/>
      <c r="E3746" s="30"/>
    </row>
    <row r="3747">
      <c r="A3747" s="27"/>
      <c r="B3747" s="28"/>
      <c r="C3747" s="27"/>
      <c r="D3747" s="27"/>
      <c r="E3747" s="30"/>
    </row>
    <row r="3748">
      <c r="A3748" s="27"/>
      <c r="B3748" s="28"/>
      <c r="C3748" s="27"/>
      <c r="D3748" s="27"/>
      <c r="E3748" s="30"/>
    </row>
    <row r="3749">
      <c r="A3749" s="27"/>
      <c r="B3749" s="28"/>
      <c r="C3749" s="27"/>
      <c r="D3749" s="27"/>
      <c r="E3749" s="30"/>
    </row>
    <row r="3750">
      <c r="A3750" s="27"/>
      <c r="B3750" s="28"/>
      <c r="C3750" s="27"/>
      <c r="D3750" s="27"/>
      <c r="E3750" s="30"/>
    </row>
    <row r="3751">
      <c r="A3751" s="27"/>
      <c r="B3751" s="28"/>
      <c r="C3751" s="27"/>
      <c r="D3751" s="27"/>
      <c r="E3751" s="30"/>
    </row>
    <row r="3752">
      <c r="A3752" s="27"/>
      <c r="B3752" s="28"/>
      <c r="C3752" s="27"/>
      <c r="D3752" s="27"/>
      <c r="E3752" s="30"/>
    </row>
    <row r="3753">
      <c r="A3753" s="27"/>
      <c r="B3753" s="28"/>
      <c r="C3753" s="27"/>
      <c r="D3753" s="27"/>
      <c r="E3753" s="30"/>
    </row>
    <row r="3754">
      <c r="A3754" s="27"/>
      <c r="B3754" s="28"/>
      <c r="C3754" s="27"/>
      <c r="D3754" s="27"/>
      <c r="E3754" s="30"/>
    </row>
    <row r="3755">
      <c r="A3755" s="27"/>
      <c r="B3755" s="28"/>
      <c r="C3755" s="27"/>
      <c r="D3755" s="27"/>
      <c r="E3755" s="30"/>
    </row>
    <row r="3756">
      <c r="A3756" s="27"/>
      <c r="B3756" s="28"/>
      <c r="C3756" s="27"/>
      <c r="D3756" s="27"/>
      <c r="E3756" s="30"/>
    </row>
    <row r="3757">
      <c r="A3757" s="27"/>
      <c r="B3757" s="28"/>
      <c r="C3757" s="27"/>
      <c r="D3757" s="27"/>
      <c r="E3757" s="30"/>
    </row>
    <row r="3758">
      <c r="A3758" s="27"/>
      <c r="B3758" s="28"/>
      <c r="C3758" s="27"/>
      <c r="D3758" s="27"/>
      <c r="E3758" s="30"/>
    </row>
    <row r="3759">
      <c r="A3759" s="27"/>
      <c r="B3759" s="28"/>
      <c r="C3759" s="27"/>
      <c r="D3759" s="27"/>
      <c r="E3759" s="30"/>
    </row>
    <row r="3760">
      <c r="A3760" s="27"/>
      <c r="B3760" s="28"/>
      <c r="C3760" s="27"/>
      <c r="D3760" s="27"/>
      <c r="E3760" s="30"/>
    </row>
    <row r="3761">
      <c r="A3761" s="27"/>
      <c r="B3761" s="28"/>
      <c r="C3761" s="27"/>
      <c r="D3761" s="27"/>
      <c r="E3761" s="30"/>
    </row>
    <row r="3762">
      <c r="A3762" s="27"/>
      <c r="B3762" s="28"/>
      <c r="C3762" s="27"/>
      <c r="D3762" s="27"/>
      <c r="E3762" s="30"/>
    </row>
    <row r="3763">
      <c r="A3763" s="27"/>
      <c r="B3763" s="28"/>
      <c r="C3763" s="27"/>
      <c r="D3763" s="27"/>
      <c r="E3763" s="30"/>
    </row>
    <row r="3764">
      <c r="A3764" s="27"/>
      <c r="B3764" s="28"/>
      <c r="C3764" s="27"/>
      <c r="D3764" s="27"/>
      <c r="E3764" s="30"/>
    </row>
    <row r="3765">
      <c r="A3765" s="27"/>
      <c r="B3765" s="28"/>
      <c r="C3765" s="27"/>
      <c r="D3765" s="27"/>
      <c r="E3765" s="30"/>
    </row>
    <row r="3766">
      <c r="A3766" s="27"/>
      <c r="B3766" s="28"/>
      <c r="C3766" s="27"/>
      <c r="D3766" s="27"/>
      <c r="E3766" s="30"/>
    </row>
    <row r="3767">
      <c r="A3767" s="27"/>
      <c r="B3767" s="28"/>
      <c r="C3767" s="27"/>
      <c r="D3767" s="27"/>
      <c r="E3767" s="30"/>
    </row>
    <row r="3768">
      <c r="A3768" s="27"/>
      <c r="B3768" s="28"/>
      <c r="C3768" s="27"/>
      <c r="D3768" s="27"/>
      <c r="E3768" s="30"/>
    </row>
    <row r="3769">
      <c r="A3769" s="27"/>
      <c r="B3769" s="28"/>
      <c r="C3769" s="27"/>
      <c r="D3769" s="27"/>
      <c r="E3769" s="30"/>
    </row>
    <row r="3770">
      <c r="A3770" s="27"/>
      <c r="B3770" s="28"/>
      <c r="C3770" s="27"/>
      <c r="D3770" s="27"/>
      <c r="E3770" s="30"/>
    </row>
    <row r="3771">
      <c r="A3771" s="27"/>
      <c r="B3771" s="28"/>
      <c r="C3771" s="27"/>
      <c r="D3771" s="27"/>
      <c r="E3771" s="30"/>
    </row>
    <row r="3772">
      <c r="A3772" s="27"/>
      <c r="B3772" s="28"/>
      <c r="C3772" s="27"/>
      <c r="D3772" s="27"/>
      <c r="E3772" s="30"/>
    </row>
    <row r="3773">
      <c r="A3773" s="27"/>
      <c r="B3773" s="28"/>
      <c r="C3773" s="27"/>
      <c r="D3773" s="27"/>
      <c r="E3773" s="30"/>
    </row>
    <row r="3774">
      <c r="A3774" s="27"/>
      <c r="B3774" s="28"/>
      <c r="C3774" s="27"/>
      <c r="D3774" s="27"/>
      <c r="E3774" s="30"/>
    </row>
    <row r="3775">
      <c r="A3775" s="27"/>
      <c r="B3775" s="28"/>
      <c r="C3775" s="27"/>
      <c r="D3775" s="27"/>
      <c r="E3775" s="30"/>
    </row>
    <row r="3776">
      <c r="A3776" s="27"/>
      <c r="B3776" s="28"/>
      <c r="C3776" s="27"/>
      <c r="D3776" s="27"/>
      <c r="E3776" s="30"/>
    </row>
    <row r="3777">
      <c r="A3777" s="27"/>
      <c r="B3777" s="28"/>
      <c r="C3777" s="27"/>
      <c r="D3777" s="27"/>
      <c r="E3777" s="30"/>
    </row>
    <row r="3778">
      <c r="A3778" s="27"/>
      <c r="B3778" s="28"/>
      <c r="C3778" s="27"/>
      <c r="D3778" s="27"/>
      <c r="E3778" s="30"/>
    </row>
    <row r="3779">
      <c r="A3779" s="27"/>
      <c r="B3779" s="28"/>
      <c r="C3779" s="27"/>
      <c r="D3779" s="27"/>
      <c r="E3779" s="30"/>
    </row>
    <row r="3780">
      <c r="A3780" s="27"/>
      <c r="B3780" s="28"/>
      <c r="C3780" s="27"/>
      <c r="D3780" s="27"/>
      <c r="E3780" s="30"/>
    </row>
    <row r="3781">
      <c r="A3781" s="27"/>
      <c r="B3781" s="28"/>
      <c r="C3781" s="27"/>
      <c r="D3781" s="27"/>
      <c r="E3781" s="30"/>
    </row>
    <row r="3782">
      <c r="A3782" s="27"/>
      <c r="B3782" s="28"/>
      <c r="C3782" s="27"/>
      <c r="D3782" s="27"/>
      <c r="E3782" s="30"/>
    </row>
    <row r="3783">
      <c r="A3783" s="27"/>
      <c r="B3783" s="28"/>
      <c r="C3783" s="27"/>
      <c r="D3783" s="27"/>
      <c r="E3783" s="30"/>
    </row>
    <row r="3784">
      <c r="A3784" s="27"/>
      <c r="B3784" s="28"/>
      <c r="C3784" s="27"/>
      <c r="D3784" s="27"/>
      <c r="E3784" s="30"/>
    </row>
    <row r="3785">
      <c r="A3785" s="27"/>
      <c r="B3785" s="28"/>
      <c r="C3785" s="27"/>
      <c r="D3785" s="27"/>
      <c r="E3785" s="30"/>
    </row>
    <row r="3786">
      <c r="A3786" s="27"/>
      <c r="B3786" s="28"/>
      <c r="C3786" s="27"/>
      <c r="D3786" s="27"/>
      <c r="E3786" s="30"/>
    </row>
    <row r="3787">
      <c r="A3787" s="27"/>
      <c r="B3787" s="28"/>
      <c r="C3787" s="27"/>
      <c r="D3787" s="27"/>
      <c r="E3787" s="30"/>
    </row>
    <row r="3788">
      <c r="A3788" s="27"/>
      <c r="B3788" s="28"/>
      <c r="C3788" s="27"/>
      <c r="D3788" s="27"/>
      <c r="E3788" s="30"/>
    </row>
    <row r="3789">
      <c r="A3789" s="27"/>
      <c r="B3789" s="28"/>
      <c r="C3789" s="27"/>
      <c r="D3789" s="27"/>
      <c r="E3789" s="30"/>
    </row>
    <row r="3790">
      <c r="A3790" s="27"/>
      <c r="B3790" s="28"/>
      <c r="C3790" s="27"/>
      <c r="D3790" s="27"/>
      <c r="E3790" s="30"/>
    </row>
    <row r="3791">
      <c r="A3791" s="27"/>
      <c r="B3791" s="28"/>
      <c r="C3791" s="27"/>
      <c r="D3791" s="27"/>
      <c r="E3791" s="30"/>
    </row>
    <row r="3792">
      <c r="A3792" s="27"/>
      <c r="B3792" s="28"/>
      <c r="C3792" s="27"/>
      <c r="D3792" s="27"/>
      <c r="E3792" s="30"/>
    </row>
    <row r="3793">
      <c r="A3793" s="27"/>
      <c r="B3793" s="28"/>
      <c r="C3793" s="27"/>
      <c r="D3793" s="27"/>
      <c r="E3793" s="30"/>
    </row>
    <row r="3794">
      <c r="A3794" s="27"/>
      <c r="B3794" s="28"/>
      <c r="C3794" s="27"/>
      <c r="D3794" s="27"/>
      <c r="E3794" s="30"/>
    </row>
    <row r="3795">
      <c r="A3795" s="27"/>
      <c r="B3795" s="28"/>
      <c r="C3795" s="27"/>
      <c r="D3795" s="27"/>
      <c r="E3795" s="30"/>
    </row>
    <row r="3796">
      <c r="A3796" s="27"/>
      <c r="B3796" s="28"/>
      <c r="C3796" s="27"/>
      <c r="D3796" s="27"/>
      <c r="E3796" s="30"/>
    </row>
    <row r="3797">
      <c r="A3797" s="27"/>
      <c r="B3797" s="28"/>
      <c r="C3797" s="27"/>
      <c r="D3797" s="27"/>
      <c r="E3797" s="30"/>
    </row>
    <row r="3798">
      <c r="A3798" s="27"/>
      <c r="B3798" s="28"/>
      <c r="C3798" s="27"/>
      <c r="D3798" s="27"/>
      <c r="E3798" s="30"/>
    </row>
    <row r="3799">
      <c r="A3799" s="27"/>
      <c r="B3799" s="28"/>
      <c r="C3799" s="27"/>
      <c r="D3799" s="27"/>
      <c r="E3799" s="30"/>
    </row>
    <row r="3800">
      <c r="A3800" s="27"/>
      <c r="B3800" s="28"/>
      <c r="C3800" s="27"/>
      <c r="D3800" s="27"/>
      <c r="E3800" s="30"/>
    </row>
    <row r="3801">
      <c r="A3801" s="27"/>
      <c r="B3801" s="28"/>
      <c r="C3801" s="27"/>
      <c r="D3801" s="27"/>
      <c r="E3801" s="30"/>
    </row>
    <row r="3802">
      <c r="A3802" s="27"/>
      <c r="B3802" s="28"/>
      <c r="C3802" s="27"/>
      <c r="D3802" s="27"/>
      <c r="E3802" s="30"/>
    </row>
    <row r="3803">
      <c r="A3803" s="27"/>
      <c r="B3803" s="28"/>
      <c r="C3803" s="27"/>
      <c r="D3803" s="27"/>
      <c r="E3803" s="30"/>
    </row>
    <row r="3804">
      <c r="A3804" s="27"/>
      <c r="B3804" s="28"/>
      <c r="C3804" s="27"/>
      <c r="D3804" s="27"/>
      <c r="E3804" s="30"/>
    </row>
    <row r="3805">
      <c r="A3805" s="27"/>
      <c r="B3805" s="28"/>
      <c r="C3805" s="27"/>
      <c r="D3805" s="27"/>
      <c r="E3805" s="30"/>
    </row>
    <row r="3806">
      <c r="A3806" s="27"/>
      <c r="B3806" s="28"/>
      <c r="C3806" s="27"/>
      <c r="D3806" s="27"/>
      <c r="E3806" s="30"/>
    </row>
    <row r="3807">
      <c r="A3807" s="27"/>
      <c r="B3807" s="28"/>
      <c r="C3807" s="27"/>
      <c r="D3807" s="27"/>
      <c r="E3807" s="30"/>
    </row>
    <row r="3808">
      <c r="A3808" s="27"/>
      <c r="B3808" s="28"/>
      <c r="C3808" s="27"/>
      <c r="D3808" s="27"/>
      <c r="E3808" s="30"/>
    </row>
    <row r="3809">
      <c r="A3809" s="27"/>
      <c r="B3809" s="28"/>
      <c r="C3809" s="27"/>
      <c r="D3809" s="27"/>
      <c r="E3809" s="30"/>
    </row>
    <row r="3810">
      <c r="A3810" s="27"/>
      <c r="B3810" s="28"/>
      <c r="C3810" s="27"/>
      <c r="D3810" s="27"/>
      <c r="E3810" s="30"/>
    </row>
    <row r="3811">
      <c r="A3811" s="27"/>
      <c r="B3811" s="28"/>
      <c r="C3811" s="27"/>
      <c r="D3811" s="27"/>
      <c r="E3811" s="30"/>
    </row>
    <row r="3812">
      <c r="A3812" s="27"/>
      <c r="B3812" s="28"/>
      <c r="C3812" s="27"/>
      <c r="D3812" s="27"/>
      <c r="E3812" s="30"/>
    </row>
    <row r="3813">
      <c r="A3813" s="27"/>
      <c r="B3813" s="28"/>
      <c r="C3813" s="27"/>
      <c r="D3813" s="27"/>
      <c r="E3813" s="30"/>
    </row>
    <row r="3814">
      <c r="A3814" s="27"/>
      <c r="B3814" s="28"/>
      <c r="C3814" s="27"/>
      <c r="D3814" s="27"/>
      <c r="E3814" s="30"/>
    </row>
    <row r="3815">
      <c r="A3815" s="27"/>
      <c r="B3815" s="28"/>
      <c r="C3815" s="27"/>
      <c r="D3815" s="27"/>
      <c r="E3815" s="30"/>
    </row>
    <row r="3816">
      <c r="A3816" s="27"/>
      <c r="B3816" s="28"/>
      <c r="C3816" s="27"/>
      <c r="D3816" s="27"/>
      <c r="E3816" s="30"/>
    </row>
    <row r="3817">
      <c r="A3817" s="27"/>
      <c r="B3817" s="28"/>
      <c r="C3817" s="27"/>
      <c r="D3817" s="27"/>
      <c r="E3817" s="30"/>
    </row>
    <row r="3818">
      <c r="A3818" s="27"/>
      <c r="B3818" s="28"/>
      <c r="C3818" s="27"/>
      <c r="D3818" s="27"/>
      <c r="E3818" s="30"/>
    </row>
    <row r="3819">
      <c r="A3819" s="27"/>
      <c r="B3819" s="28"/>
      <c r="C3819" s="27"/>
      <c r="D3819" s="27"/>
      <c r="E3819" s="30"/>
    </row>
    <row r="3820">
      <c r="A3820" s="27"/>
      <c r="B3820" s="28"/>
      <c r="C3820" s="27"/>
      <c r="D3820" s="27"/>
      <c r="E3820" s="30"/>
    </row>
    <row r="3821">
      <c r="A3821" s="27"/>
      <c r="B3821" s="28"/>
      <c r="C3821" s="27"/>
      <c r="D3821" s="27"/>
      <c r="E3821" s="30"/>
    </row>
    <row r="3822">
      <c r="A3822" s="27"/>
      <c r="B3822" s="28"/>
      <c r="C3822" s="27"/>
      <c r="D3822" s="27"/>
      <c r="E3822" s="30"/>
    </row>
    <row r="3823">
      <c r="A3823" s="27"/>
      <c r="B3823" s="28"/>
      <c r="C3823" s="27"/>
      <c r="D3823" s="27"/>
      <c r="E3823" s="30"/>
    </row>
    <row r="3824">
      <c r="A3824" s="27"/>
      <c r="B3824" s="28"/>
      <c r="C3824" s="27"/>
      <c r="D3824" s="27"/>
      <c r="E3824" s="30"/>
    </row>
    <row r="3825">
      <c r="A3825" s="27"/>
      <c r="B3825" s="28"/>
      <c r="C3825" s="27"/>
      <c r="D3825" s="27"/>
      <c r="E3825" s="30"/>
    </row>
    <row r="3826">
      <c r="A3826" s="27"/>
      <c r="B3826" s="28"/>
      <c r="C3826" s="27"/>
      <c r="D3826" s="27"/>
      <c r="E3826" s="30"/>
    </row>
    <row r="3827">
      <c r="A3827" s="27"/>
      <c r="B3827" s="28"/>
      <c r="C3827" s="27"/>
      <c r="D3827" s="27"/>
      <c r="E3827" s="30"/>
    </row>
    <row r="3828">
      <c r="A3828" s="27"/>
      <c r="B3828" s="28"/>
      <c r="C3828" s="27"/>
      <c r="D3828" s="27"/>
      <c r="E3828" s="30"/>
    </row>
    <row r="3829">
      <c r="A3829" s="27"/>
      <c r="B3829" s="28"/>
      <c r="C3829" s="27"/>
      <c r="D3829" s="27"/>
      <c r="E3829" s="30"/>
    </row>
    <row r="3830">
      <c r="A3830" s="27"/>
      <c r="B3830" s="28"/>
      <c r="C3830" s="27"/>
      <c r="D3830" s="27"/>
      <c r="E3830" s="30"/>
    </row>
    <row r="3831">
      <c r="A3831" s="27"/>
      <c r="B3831" s="28"/>
      <c r="C3831" s="27"/>
      <c r="D3831" s="27"/>
      <c r="E3831" s="30"/>
    </row>
    <row r="3832">
      <c r="A3832" s="27"/>
      <c r="B3832" s="28"/>
      <c r="C3832" s="27"/>
      <c r="D3832" s="27"/>
      <c r="E3832" s="30"/>
    </row>
    <row r="3833">
      <c r="A3833" s="27"/>
      <c r="B3833" s="28"/>
      <c r="C3833" s="27"/>
      <c r="D3833" s="27"/>
      <c r="E3833" s="30"/>
    </row>
    <row r="3834">
      <c r="A3834" s="27"/>
      <c r="B3834" s="28"/>
      <c r="C3834" s="27"/>
      <c r="D3834" s="27"/>
      <c r="E3834" s="30"/>
    </row>
    <row r="3835">
      <c r="A3835" s="27"/>
      <c r="B3835" s="28"/>
      <c r="C3835" s="27"/>
      <c r="D3835" s="27"/>
      <c r="E3835" s="30"/>
    </row>
    <row r="3836">
      <c r="A3836" s="27"/>
      <c r="B3836" s="28"/>
      <c r="C3836" s="27"/>
      <c r="D3836" s="27"/>
      <c r="E3836" s="30"/>
    </row>
    <row r="3837">
      <c r="A3837" s="27"/>
      <c r="B3837" s="28"/>
      <c r="C3837" s="27"/>
      <c r="D3837" s="27"/>
      <c r="E3837" s="30"/>
    </row>
    <row r="3838">
      <c r="A3838" s="27"/>
      <c r="B3838" s="28"/>
      <c r="C3838" s="27"/>
      <c r="D3838" s="27"/>
      <c r="E3838" s="30"/>
    </row>
    <row r="3839">
      <c r="A3839" s="27"/>
      <c r="B3839" s="28"/>
      <c r="C3839" s="27"/>
      <c r="D3839" s="27"/>
      <c r="E3839" s="30"/>
    </row>
    <row r="3840">
      <c r="A3840" s="27"/>
      <c r="B3840" s="28"/>
      <c r="C3840" s="27"/>
      <c r="D3840" s="27"/>
      <c r="E3840" s="30"/>
    </row>
    <row r="3841">
      <c r="A3841" s="27"/>
      <c r="B3841" s="28"/>
      <c r="C3841" s="27"/>
      <c r="D3841" s="27"/>
      <c r="E3841" s="30"/>
    </row>
    <row r="3842">
      <c r="A3842" s="27"/>
      <c r="B3842" s="28"/>
      <c r="C3842" s="27"/>
      <c r="D3842" s="27"/>
      <c r="E3842" s="30"/>
    </row>
    <row r="3843">
      <c r="A3843" s="27"/>
      <c r="B3843" s="28"/>
      <c r="C3843" s="27"/>
      <c r="D3843" s="27"/>
      <c r="E3843" s="30"/>
    </row>
    <row r="3844">
      <c r="A3844" s="27"/>
      <c r="B3844" s="28"/>
      <c r="C3844" s="27"/>
      <c r="D3844" s="27"/>
      <c r="E3844" s="30"/>
    </row>
    <row r="3845">
      <c r="A3845" s="27"/>
      <c r="B3845" s="28"/>
      <c r="C3845" s="27"/>
      <c r="D3845" s="27"/>
      <c r="E3845" s="30"/>
    </row>
    <row r="3846">
      <c r="A3846" s="27"/>
      <c r="B3846" s="28"/>
      <c r="C3846" s="27"/>
      <c r="D3846" s="27"/>
      <c r="E3846" s="30"/>
    </row>
    <row r="3847">
      <c r="A3847" s="27"/>
      <c r="B3847" s="28"/>
      <c r="C3847" s="27"/>
      <c r="D3847" s="27"/>
      <c r="E3847" s="30"/>
    </row>
    <row r="3848">
      <c r="A3848" s="27"/>
      <c r="B3848" s="28"/>
      <c r="C3848" s="27"/>
      <c r="D3848" s="27"/>
      <c r="E3848" s="30"/>
    </row>
    <row r="3849">
      <c r="A3849" s="27"/>
      <c r="B3849" s="28"/>
      <c r="C3849" s="27"/>
      <c r="D3849" s="27"/>
      <c r="E3849" s="30"/>
    </row>
    <row r="3850">
      <c r="A3850" s="27"/>
      <c r="B3850" s="28"/>
      <c r="C3850" s="27"/>
      <c r="D3850" s="27"/>
      <c r="E3850" s="30"/>
    </row>
    <row r="3851">
      <c r="A3851" s="27"/>
      <c r="B3851" s="28"/>
      <c r="C3851" s="27"/>
      <c r="D3851" s="27"/>
      <c r="E3851" s="30"/>
    </row>
    <row r="3852">
      <c r="A3852" s="27"/>
      <c r="B3852" s="28"/>
      <c r="C3852" s="27"/>
      <c r="D3852" s="27"/>
      <c r="E3852" s="30"/>
    </row>
    <row r="3853">
      <c r="A3853" s="27"/>
      <c r="B3853" s="28"/>
      <c r="C3853" s="27"/>
      <c r="D3853" s="27"/>
      <c r="E3853" s="30"/>
    </row>
    <row r="3854">
      <c r="A3854" s="27"/>
      <c r="B3854" s="28"/>
      <c r="C3854" s="27"/>
      <c r="D3854" s="27"/>
      <c r="E3854" s="30"/>
    </row>
    <row r="3855">
      <c r="A3855" s="27"/>
      <c r="B3855" s="28"/>
      <c r="C3855" s="27"/>
      <c r="D3855" s="27"/>
      <c r="E3855" s="30"/>
    </row>
    <row r="3856">
      <c r="A3856" s="27"/>
      <c r="B3856" s="28"/>
      <c r="C3856" s="27"/>
      <c r="D3856" s="27"/>
      <c r="E3856" s="30"/>
    </row>
    <row r="3857">
      <c r="A3857" s="27"/>
      <c r="B3857" s="28"/>
      <c r="C3857" s="27"/>
      <c r="D3857" s="27"/>
      <c r="E3857" s="30"/>
    </row>
    <row r="3858">
      <c r="A3858" s="27"/>
      <c r="B3858" s="28"/>
      <c r="C3858" s="27"/>
      <c r="D3858" s="27"/>
      <c r="E3858" s="30"/>
    </row>
    <row r="3859">
      <c r="A3859" s="27"/>
      <c r="B3859" s="28"/>
      <c r="C3859" s="27"/>
      <c r="D3859" s="27"/>
      <c r="E3859" s="30"/>
    </row>
    <row r="3860">
      <c r="A3860" s="27"/>
      <c r="B3860" s="28"/>
      <c r="C3860" s="27"/>
      <c r="D3860" s="27"/>
      <c r="E3860" s="30"/>
    </row>
    <row r="3861">
      <c r="A3861" s="27"/>
      <c r="B3861" s="28"/>
      <c r="C3861" s="27"/>
      <c r="D3861" s="27"/>
      <c r="E3861" s="30"/>
    </row>
    <row r="3862">
      <c r="A3862" s="27"/>
      <c r="B3862" s="28"/>
      <c r="C3862" s="27"/>
      <c r="D3862" s="27"/>
      <c r="E3862" s="30"/>
    </row>
    <row r="3863">
      <c r="A3863" s="27"/>
      <c r="B3863" s="28"/>
      <c r="C3863" s="27"/>
      <c r="D3863" s="27"/>
      <c r="E3863" s="30"/>
    </row>
    <row r="3864">
      <c r="A3864" s="27"/>
      <c r="B3864" s="28"/>
      <c r="C3864" s="27"/>
      <c r="D3864" s="27"/>
      <c r="E3864" s="30"/>
    </row>
    <row r="3865">
      <c r="A3865" s="27"/>
      <c r="B3865" s="28"/>
      <c r="C3865" s="27"/>
      <c r="D3865" s="27"/>
      <c r="E3865" s="30"/>
    </row>
    <row r="3866">
      <c r="A3866" s="27"/>
      <c r="B3866" s="28"/>
      <c r="C3866" s="27"/>
      <c r="D3866" s="27"/>
      <c r="E3866" s="30"/>
    </row>
    <row r="3867">
      <c r="A3867" s="27"/>
      <c r="B3867" s="28"/>
      <c r="C3867" s="27"/>
      <c r="D3867" s="27"/>
      <c r="E3867" s="30"/>
    </row>
    <row r="3868">
      <c r="A3868" s="27"/>
      <c r="B3868" s="28"/>
      <c r="C3868" s="27"/>
      <c r="D3868" s="27"/>
      <c r="E3868" s="30"/>
    </row>
    <row r="3869">
      <c r="A3869" s="27"/>
      <c r="B3869" s="28"/>
      <c r="C3869" s="27"/>
      <c r="D3869" s="27"/>
      <c r="E3869" s="30"/>
    </row>
    <row r="3870">
      <c r="A3870" s="27"/>
      <c r="B3870" s="28"/>
      <c r="C3870" s="27"/>
      <c r="D3870" s="27"/>
      <c r="E3870" s="30"/>
    </row>
    <row r="3871">
      <c r="A3871" s="27"/>
      <c r="B3871" s="28"/>
      <c r="C3871" s="27"/>
      <c r="D3871" s="27"/>
      <c r="E3871" s="30"/>
    </row>
    <row r="3872">
      <c r="A3872" s="27"/>
      <c r="B3872" s="28"/>
      <c r="C3872" s="27"/>
      <c r="D3872" s="27"/>
      <c r="E3872" s="30"/>
    </row>
    <row r="3873">
      <c r="A3873" s="27"/>
      <c r="B3873" s="28"/>
      <c r="C3873" s="27"/>
      <c r="D3873" s="27"/>
      <c r="E3873" s="30"/>
    </row>
    <row r="3874">
      <c r="A3874" s="27"/>
      <c r="B3874" s="28"/>
      <c r="C3874" s="27"/>
      <c r="D3874" s="27"/>
      <c r="E3874" s="30"/>
    </row>
    <row r="3875">
      <c r="A3875" s="27"/>
      <c r="B3875" s="28"/>
      <c r="C3875" s="27"/>
      <c r="D3875" s="27"/>
      <c r="E3875" s="30"/>
    </row>
    <row r="3876">
      <c r="A3876" s="27"/>
      <c r="B3876" s="28"/>
      <c r="C3876" s="27"/>
      <c r="D3876" s="27"/>
      <c r="E3876" s="30"/>
    </row>
    <row r="3877">
      <c r="A3877" s="27"/>
      <c r="B3877" s="28"/>
      <c r="C3877" s="27"/>
      <c r="D3877" s="27"/>
      <c r="E3877" s="30"/>
    </row>
    <row r="3878">
      <c r="A3878" s="27"/>
      <c r="B3878" s="28"/>
      <c r="C3878" s="27"/>
      <c r="D3878" s="27"/>
      <c r="E3878" s="30"/>
    </row>
    <row r="3879">
      <c r="A3879" s="27"/>
      <c r="B3879" s="28"/>
      <c r="C3879" s="27"/>
      <c r="D3879" s="27"/>
      <c r="E3879" s="30"/>
    </row>
    <row r="3880">
      <c r="A3880" s="27"/>
      <c r="B3880" s="28"/>
      <c r="C3880" s="27"/>
      <c r="D3880" s="27"/>
      <c r="E3880" s="30"/>
    </row>
    <row r="3881">
      <c r="A3881" s="27"/>
      <c r="B3881" s="28"/>
      <c r="C3881" s="27"/>
      <c r="D3881" s="27"/>
      <c r="E3881" s="30"/>
    </row>
    <row r="3882">
      <c r="A3882" s="27"/>
      <c r="B3882" s="28"/>
      <c r="C3882" s="27"/>
      <c r="D3882" s="27"/>
      <c r="E3882" s="30"/>
    </row>
    <row r="3883">
      <c r="A3883" s="27"/>
      <c r="B3883" s="28"/>
      <c r="C3883" s="27"/>
      <c r="D3883" s="27"/>
      <c r="E3883" s="30"/>
    </row>
    <row r="3884">
      <c r="A3884" s="27"/>
      <c r="B3884" s="28"/>
      <c r="C3884" s="27"/>
      <c r="D3884" s="27"/>
      <c r="E3884" s="30"/>
    </row>
    <row r="3885">
      <c r="A3885" s="27"/>
      <c r="B3885" s="28"/>
      <c r="C3885" s="27"/>
      <c r="D3885" s="27"/>
      <c r="E3885" s="30"/>
    </row>
    <row r="3886">
      <c r="A3886" s="27"/>
      <c r="B3886" s="28"/>
      <c r="C3886" s="27"/>
      <c r="D3886" s="27"/>
      <c r="E3886" s="30"/>
    </row>
    <row r="3887">
      <c r="A3887" s="27"/>
      <c r="B3887" s="28"/>
      <c r="C3887" s="27"/>
      <c r="D3887" s="27"/>
      <c r="E3887" s="30"/>
    </row>
    <row r="3888">
      <c r="A3888" s="27"/>
      <c r="B3888" s="28"/>
      <c r="C3888" s="27"/>
      <c r="D3888" s="27"/>
      <c r="E3888" s="30"/>
    </row>
    <row r="3889">
      <c r="A3889" s="27"/>
      <c r="B3889" s="28"/>
      <c r="C3889" s="27"/>
      <c r="D3889" s="27"/>
      <c r="E3889" s="30"/>
    </row>
    <row r="3890">
      <c r="A3890" s="27"/>
      <c r="B3890" s="28"/>
      <c r="C3890" s="27"/>
      <c r="D3890" s="27"/>
      <c r="E3890" s="30"/>
    </row>
    <row r="3891">
      <c r="A3891" s="27"/>
      <c r="B3891" s="28"/>
      <c r="C3891" s="27"/>
      <c r="D3891" s="27"/>
      <c r="E3891" s="30"/>
    </row>
    <row r="3892">
      <c r="A3892" s="27"/>
      <c r="B3892" s="28"/>
      <c r="C3892" s="27"/>
      <c r="D3892" s="27"/>
      <c r="E3892" s="30"/>
    </row>
    <row r="3893">
      <c r="A3893" s="27"/>
      <c r="B3893" s="28"/>
      <c r="C3893" s="27"/>
      <c r="D3893" s="27"/>
      <c r="E3893" s="30"/>
    </row>
    <row r="3894">
      <c r="A3894" s="27"/>
      <c r="B3894" s="28"/>
      <c r="C3894" s="27"/>
      <c r="D3894" s="27"/>
      <c r="E3894" s="30"/>
    </row>
    <row r="3895">
      <c r="A3895" s="27"/>
      <c r="B3895" s="28"/>
      <c r="C3895" s="27"/>
      <c r="D3895" s="27"/>
      <c r="E3895" s="30"/>
    </row>
    <row r="3896">
      <c r="A3896" s="27"/>
      <c r="B3896" s="28"/>
      <c r="C3896" s="27"/>
      <c r="D3896" s="27"/>
      <c r="E3896" s="30"/>
    </row>
    <row r="3897">
      <c r="A3897" s="27"/>
      <c r="B3897" s="28"/>
      <c r="C3897" s="27"/>
      <c r="D3897" s="27"/>
      <c r="E3897" s="30"/>
    </row>
    <row r="3898">
      <c r="A3898" s="27"/>
      <c r="B3898" s="28"/>
      <c r="C3898" s="27"/>
      <c r="D3898" s="27"/>
      <c r="E3898" s="30"/>
    </row>
    <row r="3899">
      <c r="A3899" s="27"/>
      <c r="B3899" s="28"/>
      <c r="C3899" s="27"/>
      <c r="D3899" s="27"/>
      <c r="E3899" s="30"/>
    </row>
    <row r="3900">
      <c r="A3900" s="27"/>
      <c r="B3900" s="28"/>
      <c r="C3900" s="27"/>
      <c r="D3900" s="27"/>
      <c r="E3900" s="30"/>
    </row>
    <row r="3901">
      <c r="A3901" s="27"/>
      <c r="B3901" s="28"/>
      <c r="C3901" s="27"/>
      <c r="D3901" s="27"/>
      <c r="E3901" s="30"/>
    </row>
    <row r="3902">
      <c r="A3902" s="27"/>
      <c r="B3902" s="28"/>
      <c r="C3902" s="27"/>
      <c r="D3902" s="27"/>
      <c r="E3902" s="30"/>
    </row>
    <row r="3903">
      <c r="A3903" s="27"/>
      <c r="B3903" s="28"/>
      <c r="C3903" s="27"/>
      <c r="D3903" s="27"/>
      <c r="E3903" s="30"/>
    </row>
    <row r="3904">
      <c r="A3904" s="27"/>
      <c r="B3904" s="28"/>
      <c r="C3904" s="27"/>
      <c r="D3904" s="27"/>
      <c r="E3904" s="30"/>
    </row>
    <row r="3905">
      <c r="A3905" s="27"/>
      <c r="B3905" s="28"/>
      <c r="C3905" s="27"/>
      <c r="D3905" s="27"/>
      <c r="E3905" s="30"/>
    </row>
    <row r="3906">
      <c r="A3906" s="27"/>
      <c r="B3906" s="28"/>
      <c r="C3906" s="27"/>
      <c r="D3906" s="27"/>
      <c r="E3906" s="30"/>
    </row>
    <row r="3907">
      <c r="A3907" s="27"/>
      <c r="B3907" s="28"/>
      <c r="C3907" s="27"/>
      <c r="D3907" s="27"/>
      <c r="E3907" s="30"/>
    </row>
    <row r="3908">
      <c r="A3908" s="27"/>
      <c r="B3908" s="28"/>
      <c r="C3908" s="27"/>
      <c r="D3908" s="27"/>
      <c r="E3908" s="30"/>
    </row>
    <row r="3909">
      <c r="A3909" s="27"/>
      <c r="B3909" s="28"/>
      <c r="C3909" s="27"/>
      <c r="D3909" s="27"/>
      <c r="E3909" s="30"/>
    </row>
    <row r="3910">
      <c r="A3910" s="27"/>
      <c r="B3910" s="28"/>
      <c r="C3910" s="27"/>
      <c r="D3910" s="27"/>
      <c r="E3910" s="30"/>
    </row>
    <row r="3911">
      <c r="A3911" s="27"/>
      <c r="B3911" s="28"/>
      <c r="C3911" s="27"/>
      <c r="D3911" s="27"/>
      <c r="E3911" s="30"/>
    </row>
    <row r="3912">
      <c r="A3912" s="27"/>
      <c r="B3912" s="28"/>
      <c r="C3912" s="27"/>
      <c r="D3912" s="27"/>
      <c r="E3912" s="30"/>
    </row>
    <row r="3913">
      <c r="A3913" s="27"/>
      <c r="B3913" s="28"/>
      <c r="C3913" s="27"/>
      <c r="D3913" s="27"/>
      <c r="E3913" s="30"/>
    </row>
    <row r="3914">
      <c r="A3914" s="27"/>
      <c r="B3914" s="28"/>
      <c r="C3914" s="27"/>
      <c r="D3914" s="27"/>
      <c r="E3914" s="30"/>
    </row>
    <row r="3915">
      <c r="A3915" s="27"/>
      <c r="B3915" s="28"/>
      <c r="C3915" s="27"/>
      <c r="D3915" s="27"/>
      <c r="E3915" s="30"/>
    </row>
    <row r="3916">
      <c r="A3916" s="27"/>
      <c r="B3916" s="28"/>
      <c r="C3916" s="27"/>
      <c r="D3916" s="27"/>
      <c r="E3916" s="30"/>
    </row>
    <row r="3917">
      <c r="A3917" s="27"/>
      <c r="B3917" s="28"/>
      <c r="C3917" s="27"/>
      <c r="D3917" s="27"/>
      <c r="E3917" s="30"/>
    </row>
    <row r="3918">
      <c r="A3918" s="27"/>
      <c r="B3918" s="28"/>
      <c r="C3918" s="27"/>
      <c r="D3918" s="27"/>
      <c r="E3918" s="30"/>
    </row>
    <row r="3919">
      <c r="A3919" s="27"/>
      <c r="B3919" s="28"/>
      <c r="C3919" s="27"/>
      <c r="D3919" s="27"/>
      <c r="E3919" s="30"/>
    </row>
    <row r="3920">
      <c r="A3920" s="27"/>
      <c r="B3920" s="28"/>
      <c r="C3920" s="27"/>
      <c r="D3920" s="27"/>
      <c r="E3920" s="30"/>
    </row>
    <row r="3921">
      <c r="A3921" s="27"/>
      <c r="B3921" s="28"/>
      <c r="C3921" s="27"/>
      <c r="D3921" s="27"/>
      <c r="E3921" s="30"/>
    </row>
    <row r="3922">
      <c r="A3922" s="27"/>
      <c r="B3922" s="28"/>
      <c r="C3922" s="27"/>
      <c r="D3922" s="27"/>
      <c r="E3922" s="30"/>
    </row>
    <row r="3923">
      <c r="A3923" s="27"/>
      <c r="B3923" s="28"/>
      <c r="C3923" s="27"/>
      <c r="D3923" s="27"/>
      <c r="E3923" s="30"/>
    </row>
    <row r="3924">
      <c r="A3924" s="27"/>
      <c r="B3924" s="28"/>
      <c r="C3924" s="27"/>
      <c r="D3924" s="27"/>
      <c r="E3924" s="30"/>
    </row>
    <row r="3925">
      <c r="A3925" s="27"/>
      <c r="B3925" s="28"/>
      <c r="C3925" s="27"/>
      <c r="D3925" s="27"/>
      <c r="E3925" s="30"/>
    </row>
    <row r="3926">
      <c r="A3926" s="27"/>
      <c r="B3926" s="28"/>
      <c r="C3926" s="27"/>
      <c r="D3926" s="27"/>
      <c r="E3926" s="30"/>
    </row>
    <row r="3927">
      <c r="A3927" s="27"/>
      <c r="B3927" s="28"/>
      <c r="C3927" s="27"/>
      <c r="D3927" s="27"/>
      <c r="E3927" s="30"/>
    </row>
    <row r="3928">
      <c r="A3928" s="27"/>
      <c r="B3928" s="28"/>
      <c r="C3928" s="27"/>
      <c r="D3928" s="27"/>
      <c r="E3928" s="30"/>
    </row>
    <row r="3929">
      <c r="A3929" s="27"/>
      <c r="B3929" s="28"/>
      <c r="C3929" s="27"/>
      <c r="D3929" s="27"/>
      <c r="E3929" s="30"/>
    </row>
    <row r="3930">
      <c r="A3930" s="27"/>
      <c r="B3930" s="28"/>
      <c r="C3930" s="27"/>
      <c r="D3930" s="27"/>
      <c r="E3930" s="30"/>
    </row>
    <row r="3931">
      <c r="A3931" s="27"/>
      <c r="B3931" s="28"/>
      <c r="C3931" s="27"/>
      <c r="D3931" s="27"/>
      <c r="E3931" s="30"/>
    </row>
    <row r="3932">
      <c r="A3932" s="27"/>
      <c r="B3932" s="28"/>
      <c r="C3932" s="27"/>
      <c r="D3932" s="27"/>
      <c r="E3932" s="30"/>
    </row>
    <row r="3933">
      <c r="A3933" s="27"/>
      <c r="B3933" s="28"/>
      <c r="C3933" s="27"/>
      <c r="D3933" s="27"/>
      <c r="E3933" s="30"/>
    </row>
    <row r="3934">
      <c r="A3934" s="27"/>
      <c r="B3934" s="28"/>
      <c r="C3934" s="27"/>
      <c r="D3934" s="27"/>
      <c r="E3934" s="30"/>
    </row>
    <row r="3935">
      <c r="A3935" s="27"/>
      <c r="B3935" s="28"/>
      <c r="C3935" s="27"/>
      <c r="D3935" s="27"/>
      <c r="E3935" s="30"/>
    </row>
    <row r="3936">
      <c r="A3936" s="27"/>
      <c r="B3936" s="28"/>
      <c r="C3936" s="27"/>
      <c r="D3936" s="27"/>
      <c r="E3936" s="30"/>
    </row>
    <row r="3937">
      <c r="A3937" s="27"/>
      <c r="B3937" s="28"/>
      <c r="C3937" s="27"/>
      <c r="D3937" s="27"/>
      <c r="E3937" s="30"/>
    </row>
    <row r="3938">
      <c r="A3938" s="27"/>
      <c r="B3938" s="28"/>
      <c r="C3938" s="27"/>
      <c r="D3938" s="27"/>
      <c r="E3938" s="30"/>
    </row>
    <row r="3939">
      <c r="A3939" s="27"/>
      <c r="B3939" s="28"/>
      <c r="C3939" s="27"/>
      <c r="D3939" s="27"/>
      <c r="E3939" s="30"/>
    </row>
    <row r="3940">
      <c r="A3940" s="27"/>
      <c r="B3940" s="28"/>
      <c r="C3940" s="27"/>
      <c r="D3940" s="27"/>
      <c r="E3940" s="30"/>
    </row>
    <row r="3941">
      <c r="A3941" s="27"/>
      <c r="B3941" s="28"/>
      <c r="C3941" s="27"/>
      <c r="D3941" s="27"/>
      <c r="E3941" s="30"/>
    </row>
    <row r="3942">
      <c r="A3942" s="27"/>
      <c r="B3942" s="28"/>
      <c r="C3942" s="27"/>
      <c r="D3942" s="27"/>
      <c r="E3942" s="30"/>
    </row>
    <row r="3943">
      <c r="A3943" s="27"/>
      <c r="B3943" s="28"/>
      <c r="C3943" s="27"/>
      <c r="D3943" s="27"/>
      <c r="E3943" s="30"/>
    </row>
    <row r="3944">
      <c r="A3944" s="27"/>
      <c r="B3944" s="28"/>
      <c r="C3944" s="27"/>
      <c r="D3944" s="27"/>
      <c r="E3944" s="30"/>
    </row>
    <row r="3945">
      <c r="A3945" s="27"/>
      <c r="B3945" s="28"/>
      <c r="C3945" s="27"/>
      <c r="D3945" s="27"/>
      <c r="E3945" s="30"/>
    </row>
    <row r="3946">
      <c r="A3946" s="27"/>
      <c r="B3946" s="28"/>
      <c r="C3946" s="27"/>
      <c r="D3946" s="27"/>
      <c r="E3946" s="30"/>
    </row>
    <row r="3947">
      <c r="A3947" s="27"/>
      <c r="B3947" s="28"/>
      <c r="C3947" s="27"/>
      <c r="D3947" s="27"/>
      <c r="E3947" s="30"/>
    </row>
    <row r="3948">
      <c r="A3948" s="27"/>
      <c r="B3948" s="28"/>
      <c r="C3948" s="27"/>
      <c r="D3948" s="27"/>
      <c r="E3948" s="30"/>
    </row>
    <row r="3949">
      <c r="A3949" s="27"/>
      <c r="B3949" s="28"/>
      <c r="C3949" s="27"/>
      <c r="D3949" s="27"/>
      <c r="E3949" s="30"/>
    </row>
    <row r="3950">
      <c r="A3950" s="27"/>
      <c r="B3950" s="28"/>
      <c r="C3950" s="27"/>
      <c r="D3950" s="27"/>
      <c r="E3950" s="30"/>
    </row>
    <row r="3951">
      <c r="A3951" s="27"/>
      <c r="B3951" s="28"/>
      <c r="C3951" s="27"/>
      <c r="D3951" s="27"/>
      <c r="E3951" s="30"/>
    </row>
    <row r="3952">
      <c r="A3952" s="27"/>
      <c r="B3952" s="28"/>
      <c r="C3952" s="27"/>
      <c r="D3952" s="27"/>
      <c r="E3952" s="30"/>
    </row>
    <row r="3953">
      <c r="A3953" s="27"/>
      <c r="B3953" s="28"/>
      <c r="C3953" s="27"/>
      <c r="D3953" s="27"/>
      <c r="E3953" s="30"/>
    </row>
    <row r="3954">
      <c r="A3954" s="27"/>
      <c r="B3954" s="28"/>
      <c r="C3954" s="27"/>
      <c r="D3954" s="27"/>
      <c r="E3954" s="30"/>
    </row>
    <row r="3955">
      <c r="A3955" s="27"/>
      <c r="B3955" s="28"/>
      <c r="C3955" s="27"/>
      <c r="D3955" s="27"/>
      <c r="E3955" s="30"/>
    </row>
    <row r="3956">
      <c r="A3956" s="27"/>
      <c r="B3956" s="28"/>
      <c r="C3956" s="27"/>
      <c r="D3956" s="27"/>
      <c r="E3956" s="30"/>
    </row>
    <row r="3957">
      <c r="A3957" s="27"/>
      <c r="B3957" s="28"/>
      <c r="C3957" s="27"/>
      <c r="D3957" s="27"/>
      <c r="E3957" s="30"/>
    </row>
    <row r="3958">
      <c r="A3958" s="27"/>
      <c r="B3958" s="28"/>
      <c r="C3958" s="27"/>
      <c r="D3958" s="27"/>
      <c r="E3958" s="30"/>
    </row>
    <row r="3959">
      <c r="A3959" s="27"/>
      <c r="B3959" s="28"/>
      <c r="C3959" s="27"/>
      <c r="D3959" s="27"/>
      <c r="E3959" s="30"/>
    </row>
    <row r="3960">
      <c r="A3960" s="27"/>
      <c r="B3960" s="28"/>
      <c r="C3960" s="27"/>
      <c r="D3960" s="27"/>
      <c r="E3960" s="30"/>
    </row>
    <row r="3961">
      <c r="A3961" s="27"/>
      <c r="B3961" s="28"/>
      <c r="C3961" s="27"/>
      <c r="D3961" s="27"/>
      <c r="E3961" s="30"/>
    </row>
    <row r="3962">
      <c r="A3962" s="27"/>
      <c r="B3962" s="28"/>
      <c r="C3962" s="27"/>
      <c r="D3962" s="27"/>
      <c r="E3962" s="30"/>
    </row>
    <row r="3963">
      <c r="A3963" s="27"/>
      <c r="B3963" s="28"/>
      <c r="C3963" s="27"/>
      <c r="D3963" s="27"/>
      <c r="E3963" s="30"/>
    </row>
    <row r="3964">
      <c r="A3964" s="27"/>
      <c r="B3964" s="28"/>
      <c r="C3964" s="27"/>
      <c r="D3964" s="27"/>
      <c r="E3964" s="30"/>
    </row>
    <row r="3965">
      <c r="A3965" s="27"/>
      <c r="B3965" s="28"/>
      <c r="C3965" s="27"/>
      <c r="D3965" s="27"/>
      <c r="E3965" s="30"/>
    </row>
    <row r="3966">
      <c r="A3966" s="27"/>
      <c r="B3966" s="28"/>
      <c r="C3966" s="27"/>
      <c r="D3966" s="27"/>
      <c r="E3966" s="30"/>
    </row>
    <row r="3967">
      <c r="A3967" s="27"/>
      <c r="B3967" s="28"/>
      <c r="C3967" s="27"/>
      <c r="D3967" s="27"/>
      <c r="E3967" s="30"/>
    </row>
    <row r="3968">
      <c r="A3968" s="27"/>
      <c r="B3968" s="28"/>
      <c r="C3968" s="27"/>
      <c r="D3968" s="27"/>
      <c r="E3968" s="30"/>
    </row>
    <row r="3969">
      <c r="A3969" s="27"/>
      <c r="B3969" s="28"/>
      <c r="C3969" s="27"/>
      <c r="D3969" s="27"/>
      <c r="E3969" s="30"/>
    </row>
    <row r="3970">
      <c r="A3970" s="27"/>
      <c r="B3970" s="28"/>
      <c r="C3970" s="27"/>
      <c r="D3970" s="27"/>
      <c r="E3970" s="30"/>
    </row>
    <row r="3971">
      <c r="A3971" s="27"/>
      <c r="B3971" s="28"/>
      <c r="C3971" s="27"/>
      <c r="D3971" s="27"/>
      <c r="E3971" s="30"/>
    </row>
    <row r="3972">
      <c r="A3972" s="27"/>
      <c r="B3972" s="28"/>
      <c r="C3972" s="27"/>
      <c r="D3972" s="27"/>
      <c r="E3972" s="30"/>
    </row>
    <row r="3973">
      <c r="A3973" s="27"/>
      <c r="B3973" s="28"/>
      <c r="C3973" s="27"/>
      <c r="D3973" s="27"/>
      <c r="E3973" s="30"/>
    </row>
    <row r="3974">
      <c r="A3974" s="27"/>
      <c r="B3974" s="28"/>
      <c r="C3974" s="27"/>
      <c r="D3974" s="27"/>
      <c r="E3974" s="30"/>
    </row>
    <row r="3975">
      <c r="A3975" s="27"/>
      <c r="B3975" s="28"/>
      <c r="C3975" s="27"/>
      <c r="D3975" s="27"/>
      <c r="E3975" s="30"/>
    </row>
    <row r="3976">
      <c r="A3976" s="27"/>
      <c r="B3976" s="28"/>
      <c r="C3976" s="27"/>
      <c r="D3976" s="27"/>
      <c r="E3976" s="30"/>
    </row>
    <row r="3977">
      <c r="A3977" s="27"/>
      <c r="B3977" s="28"/>
      <c r="C3977" s="27"/>
      <c r="D3977" s="27"/>
      <c r="E3977" s="30"/>
    </row>
    <row r="3978">
      <c r="A3978" s="27"/>
      <c r="B3978" s="28"/>
      <c r="C3978" s="27"/>
      <c r="D3978" s="27"/>
      <c r="E3978" s="30"/>
    </row>
    <row r="3979">
      <c r="A3979" s="27"/>
      <c r="B3979" s="28"/>
      <c r="C3979" s="27"/>
      <c r="D3979" s="27"/>
      <c r="E3979" s="30"/>
    </row>
    <row r="3980">
      <c r="A3980" s="27"/>
      <c r="B3980" s="28"/>
      <c r="C3980" s="27"/>
      <c r="D3980" s="27"/>
      <c r="E3980" s="30"/>
    </row>
    <row r="3981">
      <c r="A3981" s="27"/>
      <c r="B3981" s="28"/>
      <c r="C3981" s="27"/>
      <c r="D3981" s="27"/>
      <c r="E3981" s="30"/>
    </row>
    <row r="3982">
      <c r="A3982" s="27"/>
      <c r="B3982" s="28"/>
      <c r="C3982" s="27"/>
      <c r="D3982" s="27"/>
      <c r="E3982" s="30"/>
    </row>
    <row r="3983">
      <c r="A3983" s="27"/>
      <c r="B3983" s="28"/>
      <c r="C3983" s="27"/>
      <c r="D3983" s="27"/>
      <c r="E3983" s="30"/>
    </row>
    <row r="3984">
      <c r="A3984" s="27"/>
      <c r="B3984" s="28"/>
      <c r="C3984" s="27"/>
      <c r="D3984" s="27"/>
      <c r="E3984" s="30"/>
    </row>
    <row r="3985">
      <c r="A3985" s="27"/>
      <c r="B3985" s="28"/>
      <c r="C3985" s="27"/>
      <c r="D3985" s="27"/>
      <c r="E3985" s="30"/>
    </row>
    <row r="3986">
      <c r="A3986" s="27"/>
      <c r="B3986" s="28"/>
      <c r="C3986" s="27"/>
      <c r="D3986" s="27"/>
      <c r="E3986" s="30"/>
    </row>
    <row r="3987">
      <c r="A3987" s="27"/>
      <c r="B3987" s="28"/>
      <c r="C3987" s="27"/>
      <c r="D3987" s="27"/>
      <c r="E3987" s="30"/>
    </row>
    <row r="3988">
      <c r="A3988" s="27"/>
      <c r="B3988" s="28"/>
      <c r="C3988" s="27"/>
      <c r="D3988" s="27"/>
      <c r="E3988" s="30"/>
    </row>
    <row r="3989">
      <c r="A3989" s="27"/>
      <c r="B3989" s="28"/>
      <c r="C3989" s="27"/>
      <c r="D3989" s="27"/>
      <c r="E3989" s="30"/>
    </row>
    <row r="3990">
      <c r="A3990" s="27"/>
      <c r="B3990" s="28"/>
      <c r="C3990" s="27"/>
      <c r="D3990" s="27"/>
      <c r="E3990" s="30"/>
    </row>
    <row r="3991">
      <c r="A3991" s="27"/>
      <c r="B3991" s="28"/>
      <c r="C3991" s="27"/>
      <c r="D3991" s="27"/>
      <c r="E3991" s="30"/>
    </row>
    <row r="3992">
      <c r="A3992" s="27"/>
      <c r="B3992" s="28"/>
      <c r="C3992" s="27"/>
      <c r="D3992" s="27"/>
      <c r="E3992" s="30"/>
    </row>
    <row r="3993">
      <c r="A3993" s="27"/>
      <c r="B3993" s="28"/>
      <c r="C3993" s="27"/>
      <c r="D3993" s="27"/>
      <c r="E3993" s="30"/>
    </row>
    <row r="3994">
      <c r="A3994" s="27"/>
      <c r="B3994" s="28"/>
      <c r="C3994" s="27"/>
      <c r="D3994" s="27"/>
      <c r="E3994" s="30"/>
    </row>
    <row r="3995">
      <c r="A3995" s="27"/>
      <c r="B3995" s="28"/>
      <c r="C3995" s="27"/>
      <c r="D3995" s="27"/>
      <c r="E3995" s="30"/>
    </row>
    <row r="3996">
      <c r="A3996" s="27"/>
      <c r="B3996" s="28"/>
      <c r="C3996" s="27"/>
      <c r="D3996" s="27"/>
      <c r="E3996" s="30"/>
    </row>
    <row r="3997">
      <c r="A3997" s="27"/>
      <c r="B3997" s="28"/>
      <c r="C3997" s="27"/>
      <c r="D3997" s="27"/>
      <c r="E3997" s="30"/>
    </row>
    <row r="3998">
      <c r="A3998" s="27"/>
      <c r="B3998" s="28"/>
      <c r="C3998" s="27"/>
      <c r="D3998" s="27"/>
      <c r="E3998" s="30"/>
    </row>
    <row r="3999">
      <c r="A3999" s="27"/>
      <c r="B3999" s="28"/>
      <c r="C3999" s="27"/>
      <c r="D3999" s="27"/>
      <c r="E3999" s="30"/>
    </row>
    <row r="4000">
      <c r="A4000" s="27"/>
      <c r="B4000" s="28"/>
      <c r="C4000" s="27"/>
      <c r="D4000" s="27"/>
      <c r="E4000" s="30"/>
    </row>
    <row r="4001">
      <c r="A4001" s="27"/>
      <c r="B4001" s="28"/>
      <c r="C4001" s="27"/>
      <c r="D4001" s="27"/>
      <c r="E4001" s="30"/>
    </row>
    <row r="4002">
      <c r="A4002" s="27"/>
      <c r="B4002" s="28"/>
      <c r="C4002" s="27"/>
      <c r="D4002" s="27"/>
      <c r="E4002" s="30"/>
    </row>
    <row r="4003">
      <c r="A4003" s="27"/>
      <c r="B4003" s="28"/>
      <c r="C4003" s="27"/>
      <c r="D4003" s="27"/>
      <c r="E4003" s="30"/>
    </row>
    <row r="4004">
      <c r="A4004" s="27"/>
      <c r="B4004" s="28"/>
      <c r="C4004" s="27"/>
      <c r="D4004" s="27"/>
      <c r="E4004" s="30"/>
    </row>
    <row r="4005">
      <c r="A4005" s="27"/>
      <c r="B4005" s="28"/>
      <c r="C4005" s="27"/>
      <c r="D4005" s="27"/>
      <c r="E4005" s="30"/>
    </row>
    <row r="4006">
      <c r="A4006" s="27"/>
      <c r="B4006" s="28"/>
      <c r="C4006" s="27"/>
      <c r="D4006" s="27"/>
      <c r="E4006" s="30"/>
    </row>
    <row r="4007">
      <c r="A4007" s="27"/>
      <c r="B4007" s="28"/>
      <c r="C4007" s="27"/>
      <c r="D4007" s="27"/>
      <c r="E4007" s="30"/>
    </row>
    <row r="4008">
      <c r="A4008" s="27"/>
      <c r="B4008" s="28"/>
      <c r="C4008" s="27"/>
      <c r="D4008" s="27"/>
      <c r="E4008" s="30"/>
    </row>
    <row r="4009">
      <c r="A4009" s="27"/>
      <c r="B4009" s="28"/>
      <c r="C4009" s="27"/>
      <c r="D4009" s="27"/>
      <c r="E4009" s="30"/>
    </row>
    <row r="4010">
      <c r="A4010" s="27"/>
      <c r="B4010" s="28"/>
      <c r="C4010" s="27"/>
      <c r="D4010" s="27"/>
      <c r="E4010" s="30"/>
    </row>
    <row r="4011">
      <c r="A4011" s="27"/>
      <c r="B4011" s="28"/>
      <c r="C4011" s="27"/>
      <c r="D4011" s="27"/>
      <c r="E4011" s="30"/>
    </row>
    <row r="4012">
      <c r="A4012" s="27"/>
      <c r="B4012" s="28"/>
      <c r="C4012" s="27"/>
      <c r="D4012" s="27"/>
      <c r="E4012" s="30"/>
    </row>
    <row r="4013">
      <c r="A4013" s="27"/>
      <c r="B4013" s="28"/>
      <c r="C4013" s="27"/>
      <c r="D4013" s="27"/>
      <c r="E4013" s="30"/>
    </row>
    <row r="4014">
      <c r="A4014" s="27"/>
      <c r="B4014" s="28"/>
      <c r="C4014" s="27"/>
      <c r="D4014" s="27"/>
      <c r="E4014" s="30"/>
    </row>
    <row r="4015">
      <c r="A4015" s="27"/>
      <c r="B4015" s="28"/>
      <c r="C4015" s="27"/>
      <c r="D4015" s="27"/>
      <c r="E4015" s="30"/>
    </row>
    <row r="4016">
      <c r="A4016" s="27"/>
      <c r="B4016" s="28"/>
      <c r="C4016" s="27"/>
      <c r="D4016" s="27"/>
      <c r="E4016" s="30"/>
    </row>
    <row r="4017">
      <c r="A4017" s="27"/>
      <c r="B4017" s="28"/>
      <c r="C4017" s="27"/>
      <c r="D4017" s="27"/>
      <c r="E4017" s="30"/>
    </row>
    <row r="4018">
      <c r="A4018" s="27"/>
      <c r="B4018" s="28"/>
      <c r="C4018" s="27"/>
      <c r="D4018" s="27"/>
      <c r="E4018" s="30"/>
    </row>
    <row r="4019">
      <c r="A4019" s="27"/>
      <c r="B4019" s="28"/>
      <c r="C4019" s="27"/>
      <c r="D4019" s="27"/>
      <c r="E4019" s="30"/>
    </row>
    <row r="4020">
      <c r="A4020" s="27"/>
      <c r="B4020" s="28"/>
      <c r="C4020" s="27"/>
      <c r="D4020" s="27"/>
      <c r="E4020" s="30"/>
    </row>
    <row r="4021">
      <c r="A4021" s="27"/>
      <c r="B4021" s="28"/>
      <c r="C4021" s="27"/>
      <c r="D4021" s="27"/>
      <c r="E4021" s="30"/>
    </row>
    <row r="4022">
      <c r="A4022" s="27"/>
      <c r="B4022" s="28"/>
      <c r="C4022" s="27"/>
      <c r="D4022" s="27"/>
      <c r="E4022" s="30"/>
    </row>
    <row r="4023">
      <c r="A4023" s="27"/>
      <c r="B4023" s="28"/>
      <c r="C4023" s="27"/>
      <c r="D4023" s="27"/>
      <c r="E4023" s="30"/>
    </row>
    <row r="4024">
      <c r="A4024" s="27"/>
      <c r="B4024" s="28"/>
      <c r="C4024" s="27"/>
      <c r="D4024" s="27"/>
      <c r="E4024" s="30"/>
    </row>
    <row r="4025">
      <c r="A4025" s="27"/>
      <c r="B4025" s="28"/>
      <c r="C4025" s="27"/>
      <c r="D4025" s="27"/>
      <c r="E4025" s="30"/>
    </row>
    <row r="4026">
      <c r="A4026" s="27"/>
      <c r="B4026" s="28"/>
      <c r="C4026" s="27"/>
      <c r="D4026" s="27"/>
      <c r="E4026" s="30"/>
    </row>
    <row r="4027">
      <c r="A4027" s="27"/>
      <c r="B4027" s="28"/>
      <c r="C4027" s="27"/>
      <c r="D4027" s="27"/>
      <c r="E4027" s="30"/>
    </row>
    <row r="4028">
      <c r="A4028" s="27"/>
      <c r="B4028" s="28"/>
      <c r="C4028" s="27"/>
      <c r="D4028" s="27"/>
      <c r="E4028" s="30"/>
    </row>
    <row r="4029">
      <c r="A4029" s="27"/>
      <c r="B4029" s="28"/>
      <c r="C4029" s="27"/>
      <c r="D4029" s="27"/>
      <c r="E4029" s="30"/>
    </row>
    <row r="4030">
      <c r="A4030" s="27"/>
      <c r="B4030" s="28"/>
      <c r="C4030" s="27"/>
      <c r="D4030" s="27"/>
      <c r="E4030" s="30"/>
    </row>
    <row r="4031">
      <c r="A4031" s="27"/>
      <c r="B4031" s="28"/>
      <c r="C4031" s="27"/>
      <c r="D4031" s="27"/>
      <c r="E4031" s="30"/>
    </row>
    <row r="4032">
      <c r="A4032" s="27"/>
      <c r="B4032" s="28"/>
      <c r="C4032" s="27"/>
      <c r="D4032" s="27"/>
      <c r="E4032" s="30"/>
    </row>
    <row r="4033">
      <c r="A4033" s="27"/>
      <c r="B4033" s="28"/>
      <c r="C4033" s="27"/>
      <c r="D4033" s="27"/>
      <c r="E4033" s="30"/>
    </row>
    <row r="4034">
      <c r="A4034" s="27"/>
      <c r="B4034" s="28"/>
      <c r="C4034" s="27"/>
      <c r="D4034" s="27"/>
      <c r="E4034" s="30"/>
    </row>
    <row r="4035">
      <c r="A4035" s="27"/>
      <c r="B4035" s="28"/>
      <c r="C4035" s="27"/>
      <c r="D4035" s="27"/>
      <c r="E4035" s="30"/>
    </row>
    <row r="4036">
      <c r="A4036" s="27"/>
      <c r="B4036" s="28"/>
      <c r="C4036" s="27"/>
      <c r="D4036" s="27"/>
      <c r="E4036" s="30"/>
    </row>
    <row r="4037">
      <c r="A4037" s="27"/>
      <c r="B4037" s="28"/>
      <c r="C4037" s="27"/>
      <c r="D4037" s="27"/>
      <c r="E4037" s="30"/>
    </row>
    <row r="4038">
      <c r="A4038" s="27"/>
      <c r="B4038" s="28"/>
      <c r="C4038" s="27"/>
      <c r="D4038" s="27"/>
      <c r="E4038" s="30"/>
    </row>
    <row r="4039">
      <c r="A4039" s="27"/>
      <c r="B4039" s="28"/>
      <c r="C4039" s="27"/>
      <c r="D4039" s="27"/>
      <c r="E4039" s="30"/>
    </row>
    <row r="4040">
      <c r="A4040" s="27"/>
      <c r="B4040" s="28"/>
      <c r="C4040" s="27"/>
      <c r="D4040" s="27"/>
      <c r="E4040" s="30"/>
    </row>
    <row r="4041">
      <c r="A4041" s="27"/>
      <c r="B4041" s="28"/>
      <c r="C4041" s="27"/>
      <c r="D4041" s="27"/>
      <c r="E4041" s="30"/>
    </row>
    <row r="4042">
      <c r="A4042" s="27"/>
      <c r="B4042" s="28"/>
      <c r="C4042" s="27"/>
      <c r="D4042" s="27"/>
      <c r="E4042" s="30"/>
    </row>
    <row r="4043">
      <c r="A4043" s="27"/>
      <c r="B4043" s="28"/>
      <c r="C4043" s="27"/>
      <c r="D4043" s="27"/>
      <c r="E4043" s="30"/>
    </row>
    <row r="4044">
      <c r="A4044" s="27"/>
      <c r="B4044" s="28"/>
      <c r="C4044" s="27"/>
      <c r="D4044" s="27"/>
      <c r="E4044" s="30"/>
    </row>
    <row r="4045">
      <c r="A4045" s="27"/>
      <c r="B4045" s="28"/>
      <c r="C4045" s="27"/>
      <c r="D4045" s="27"/>
      <c r="E4045" s="30"/>
    </row>
    <row r="4046">
      <c r="A4046" s="27"/>
      <c r="B4046" s="28"/>
      <c r="C4046" s="27"/>
      <c r="D4046" s="27"/>
      <c r="E4046" s="30"/>
    </row>
    <row r="4047">
      <c r="A4047" s="27"/>
      <c r="B4047" s="28"/>
      <c r="C4047" s="27"/>
      <c r="D4047" s="27"/>
      <c r="E4047" s="30"/>
    </row>
    <row r="4048">
      <c r="A4048" s="27"/>
      <c r="B4048" s="28"/>
      <c r="C4048" s="27"/>
      <c r="D4048" s="27"/>
      <c r="E4048" s="30"/>
    </row>
    <row r="4049">
      <c r="A4049" s="27"/>
      <c r="B4049" s="28"/>
      <c r="C4049" s="27"/>
      <c r="D4049" s="27"/>
      <c r="E4049" s="30"/>
    </row>
    <row r="4050">
      <c r="A4050" s="27"/>
      <c r="B4050" s="28"/>
      <c r="C4050" s="27"/>
      <c r="D4050" s="27"/>
      <c r="E4050" s="30"/>
    </row>
    <row r="4051">
      <c r="A4051" s="27"/>
      <c r="B4051" s="28"/>
      <c r="C4051" s="27"/>
      <c r="D4051" s="27"/>
      <c r="E4051" s="30"/>
    </row>
    <row r="4052">
      <c r="A4052" s="27"/>
      <c r="B4052" s="28"/>
      <c r="C4052" s="27"/>
      <c r="D4052" s="27"/>
      <c r="E4052" s="30"/>
    </row>
    <row r="4053">
      <c r="A4053" s="27"/>
      <c r="B4053" s="28"/>
      <c r="C4053" s="27"/>
      <c r="D4053" s="27"/>
      <c r="E4053" s="30"/>
    </row>
    <row r="4054">
      <c r="A4054" s="27"/>
      <c r="B4054" s="28"/>
      <c r="C4054" s="27"/>
      <c r="D4054" s="27"/>
      <c r="E4054" s="30"/>
    </row>
    <row r="4055">
      <c r="A4055" s="27"/>
      <c r="B4055" s="28"/>
      <c r="C4055" s="27"/>
      <c r="D4055" s="27"/>
      <c r="E4055" s="30"/>
    </row>
    <row r="4056">
      <c r="A4056" s="27"/>
      <c r="B4056" s="28"/>
      <c r="C4056" s="27"/>
      <c r="D4056" s="27"/>
      <c r="E4056" s="30"/>
    </row>
    <row r="4057">
      <c r="A4057" s="27"/>
      <c r="B4057" s="28"/>
      <c r="C4057" s="27"/>
      <c r="D4057" s="27"/>
      <c r="E4057" s="30"/>
    </row>
    <row r="4058">
      <c r="A4058" s="27"/>
      <c r="B4058" s="28"/>
      <c r="C4058" s="27"/>
      <c r="D4058" s="27"/>
      <c r="E4058" s="30"/>
    </row>
    <row r="4059">
      <c r="A4059" s="27"/>
      <c r="B4059" s="28"/>
      <c r="C4059" s="27"/>
      <c r="D4059" s="27"/>
      <c r="E4059" s="30"/>
    </row>
    <row r="4060">
      <c r="A4060" s="27"/>
      <c r="B4060" s="28"/>
      <c r="C4060" s="27"/>
      <c r="D4060" s="27"/>
      <c r="E4060" s="30"/>
    </row>
    <row r="4061">
      <c r="A4061" s="27"/>
      <c r="B4061" s="28"/>
      <c r="C4061" s="27"/>
      <c r="D4061" s="27"/>
      <c r="E4061" s="30"/>
    </row>
    <row r="4062">
      <c r="A4062" s="27"/>
      <c r="B4062" s="28"/>
      <c r="C4062" s="27"/>
      <c r="D4062" s="27"/>
      <c r="E4062" s="30"/>
    </row>
    <row r="4063">
      <c r="A4063" s="27"/>
      <c r="B4063" s="28"/>
      <c r="C4063" s="27"/>
      <c r="D4063" s="27"/>
      <c r="E4063" s="30"/>
    </row>
    <row r="4064">
      <c r="A4064" s="27"/>
      <c r="B4064" s="28"/>
      <c r="C4064" s="27"/>
      <c r="D4064" s="27"/>
      <c r="E4064" s="30"/>
    </row>
    <row r="4065">
      <c r="A4065" s="27"/>
      <c r="B4065" s="28"/>
      <c r="C4065" s="27"/>
      <c r="D4065" s="27"/>
      <c r="E4065" s="30"/>
    </row>
    <row r="4066">
      <c r="A4066" s="27"/>
      <c r="B4066" s="28"/>
      <c r="C4066" s="27"/>
      <c r="D4066" s="27"/>
      <c r="E4066" s="30"/>
    </row>
    <row r="4067">
      <c r="A4067" s="27"/>
      <c r="B4067" s="28"/>
      <c r="C4067" s="27"/>
      <c r="D4067" s="27"/>
      <c r="E4067" s="30"/>
    </row>
    <row r="4068">
      <c r="A4068" s="27"/>
      <c r="B4068" s="28"/>
      <c r="C4068" s="27"/>
      <c r="D4068" s="27"/>
      <c r="E4068" s="30"/>
    </row>
    <row r="4069">
      <c r="A4069" s="27"/>
      <c r="B4069" s="28"/>
      <c r="C4069" s="27"/>
      <c r="D4069" s="27"/>
      <c r="E4069" s="30"/>
    </row>
    <row r="4070">
      <c r="A4070" s="27"/>
      <c r="B4070" s="28"/>
      <c r="C4070" s="27"/>
      <c r="D4070" s="27"/>
      <c r="E4070" s="30"/>
    </row>
    <row r="4071">
      <c r="A4071" s="27"/>
      <c r="B4071" s="28"/>
      <c r="C4071" s="27"/>
      <c r="D4071" s="27"/>
      <c r="E4071" s="30"/>
    </row>
    <row r="4072">
      <c r="A4072" s="27"/>
      <c r="B4072" s="28"/>
      <c r="C4072" s="27"/>
      <c r="D4072" s="27"/>
      <c r="E4072" s="30"/>
    </row>
    <row r="4073">
      <c r="A4073" s="27"/>
      <c r="B4073" s="28"/>
      <c r="C4073" s="27"/>
      <c r="D4073" s="27"/>
      <c r="E4073" s="30"/>
    </row>
    <row r="4074">
      <c r="A4074" s="27"/>
      <c r="B4074" s="28"/>
      <c r="C4074" s="27"/>
      <c r="D4074" s="27"/>
      <c r="E4074" s="30"/>
    </row>
    <row r="4075">
      <c r="A4075" s="27"/>
      <c r="B4075" s="28"/>
      <c r="C4075" s="27"/>
      <c r="D4075" s="27"/>
      <c r="E4075" s="30"/>
    </row>
    <row r="4076">
      <c r="A4076" s="27"/>
      <c r="B4076" s="28"/>
      <c r="C4076" s="27"/>
      <c r="D4076" s="27"/>
      <c r="E4076" s="30"/>
    </row>
    <row r="4077">
      <c r="A4077" s="27"/>
      <c r="B4077" s="28"/>
      <c r="C4077" s="27"/>
      <c r="D4077" s="27"/>
      <c r="E4077" s="30"/>
    </row>
    <row r="4078">
      <c r="A4078" s="27"/>
      <c r="B4078" s="28"/>
      <c r="C4078" s="27"/>
      <c r="D4078" s="27"/>
      <c r="E4078" s="30"/>
    </row>
    <row r="4079">
      <c r="A4079" s="27"/>
      <c r="B4079" s="28"/>
      <c r="C4079" s="27"/>
      <c r="D4079" s="27"/>
      <c r="E4079" s="30"/>
    </row>
    <row r="4080">
      <c r="A4080" s="27"/>
      <c r="B4080" s="28"/>
      <c r="C4080" s="27"/>
      <c r="D4080" s="27"/>
      <c r="E4080" s="30"/>
    </row>
    <row r="4081">
      <c r="A4081" s="27"/>
      <c r="B4081" s="28"/>
      <c r="C4081" s="27"/>
      <c r="D4081" s="27"/>
      <c r="E4081" s="30"/>
    </row>
    <row r="4082">
      <c r="A4082" s="27"/>
      <c r="B4082" s="28"/>
      <c r="C4082" s="27"/>
      <c r="D4082" s="27"/>
      <c r="E4082" s="30"/>
    </row>
    <row r="4083">
      <c r="A4083" s="27"/>
      <c r="B4083" s="28"/>
      <c r="C4083" s="27"/>
      <c r="D4083" s="27"/>
      <c r="E4083" s="30"/>
    </row>
    <row r="4084">
      <c r="A4084" s="27"/>
      <c r="B4084" s="28"/>
      <c r="C4084" s="27"/>
      <c r="D4084" s="27"/>
      <c r="E4084" s="30"/>
    </row>
    <row r="4085">
      <c r="A4085" s="27"/>
      <c r="B4085" s="28"/>
      <c r="C4085" s="27"/>
      <c r="D4085" s="27"/>
      <c r="E4085" s="30"/>
    </row>
    <row r="4086">
      <c r="A4086" s="27"/>
      <c r="B4086" s="28"/>
      <c r="C4086" s="27"/>
      <c r="D4086" s="27"/>
      <c r="E4086" s="30"/>
    </row>
    <row r="4087">
      <c r="A4087" s="27"/>
      <c r="B4087" s="28"/>
      <c r="C4087" s="27"/>
      <c r="D4087" s="27"/>
      <c r="E4087" s="30"/>
    </row>
    <row r="4088">
      <c r="A4088" s="27"/>
      <c r="B4088" s="28"/>
      <c r="C4088" s="27"/>
      <c r="D4088" s="27"/>
      <c r="E4088" s="30"/>
    </row>
    <row r="4089">
      <c r="A4089" s="27"/>
      <c r="B4089" s="28"/>
      <c r="C4089" s="27"/>
      <c r="D4089" s="27"/>
      <c r="E4089" s="30"/>
    </row>
    <row r="4090">
      <c r="A4090" s="27"/>
      <c r="B4090" s="28"/>
      <c r="C4090" s="27"/>
      <c r="D4090" s="27"/>
      <c r="E4090" s="30"/>
    </row>
    <row r="4091">
      <c r="A4091" s="27"/>
      <c r="B4091" s="28"/>
      <c r="C4091" s="27"/>
      <c r="D4091" s="27"/>
      <c r="E4091" s="30"/>
    </row>
    <row r="4092">
      <c r="A4092" s="27"/>
      <c r="B4092" s="28"/>
      <c r="C4092" s="27"/>
      <c r="D4092" s="27"/>
      <c r="E4092" s="30"/>
    </row>
    <row r="4093">
      <c r="A4093" s="27"/>
      <c r="B4093" s="28"/>
      <c r="C4093" s="27"/>
      <c r="D4093" s="27"/>
      <c r="E4093" s="30"/>
    </row>
    <row r="4094">
      <c r="A4094" s="27"/>
      <c r="B4094" s="28"/>
      <c r="C4094" s="27"/>
      <c r="D4094" s="27"/>
      <c r="E4094" s="30"/>
    </row>
    <row r="4095">
      <c r="A4095" s="27"/>
      <c r="B4095" s="28"/>
      <c r="C4095" s="27"/>
      <c r="D4095" s="27"/>
      <c r="E4095" s="30"/>
    </row>
    <row r="4096">
      <c r="A4096" s="27"/>
      <c r="B4096" s="28"/>
      <c r="C4096" s="27"/>
      <c r="D4096" s="27"/>
      <c r="E4096" s="30"/>
    </row>
    <row r="4097">
      <c r="A4097" s="27"/>
      <c r="B4097" s="28"/>
      <c r="C4097" s="27"/>
      <c r="D4097" s="27"/>
      <c r="E4097" s="30"/>
    </row>
    <row r="4098">
      <c r="A4098" s="27"/>
      <c r="B4098" s="28"/>
      <c r="C4098" s="27"/>
      <c r="D4098" s="27"/>
      <c r="E4098" s="30"/>
    </row>
    <row r="4099">
      <c r="A4099" s="27"/>
      <c r="B4099" s="28"/>
      <c r="C4099" s="27"/>
      <c r="D4099" s="27"/>
      <c r="E4099" s="30"/>
    </row>
    <row r="4100">
      <c r="A4100" s="27"/>
      <c r="B4100" s="28"/>
      <c r="C4100" s="27"/>
      <c r="D4100" s="27"/>
      <c r="E4100" s="30"/>
    </row>
    <row r="4101">
      <c r="A4101" s="27"/>
      <c r="B4101" s="28"/>
      <c r="C4101" s="27"/>
      <c r="D4101" s="27"/>
      <c r="E4101" s="30"/>
    </row>
    <row r="4102">
      <c r="A4102" s="27"/>
      <c r="B4102" s="28"/>
      <c r="C4102" s="27"/>
      <c r="D4102" s="27"/>
      <c r="E4102" s="30"/>
    </row>
    <row r="4103">
      <c r="A4103" s="27"/>
      <c r="B4103" s="28"/>
      <c r="C4103" s="27"/>
      <c r="D4103" s="27"/>
      <c r="E4103" s="30"/>
    </row>
    <row r="4104">
      <c r="A4104" s="27"/>
      <c r="B4104" s="28"/>
      <c r="C4104" s="27"/>
      <c r="D4104" s="27"/>
      <c r="E4104" s="30"/>
    </row>
    <row r="4105">
      <c r="A4105" s="27"/>
      <c r="B4105" s="28"/>
      <c r="C4105" s="27"/>
      <c r="D4105" s="27"/>
      <c r="E4105" s="30"/>
    </row>
    <row r="4106">
      <c r="A4106" s="27"/>
      <c r="B4106" s="28"/>
      <c r="C4106" s="27"/>
      <c r="D4106" s="27"/>
      <c r="E4106" s="30"/>
    </row>
    <row r="4107">
      <c r="A4107" s="27"/>
      <c r="B4107" s="28"/>
      <c r="C4107" s="27"/>
      <c r="D4107" s="27"/>
      <c r="E4107" s="30"/>
    </row>
    <row r="4108">
      <c r="A4108" s="27"/>
      <c r="B4108" s="28"/>
      <c r="C4108" s="27"/>
      <c r="D4108" s="27"/>
      <c r="E4108" s="30"/>
    </row>
    <row r="4109">
      <c r="A4109" s="27"/>
      <c r="B4109" s="28"/>
      <c r="C4109" s="27"/>
      <c r="D4109" s="27"/>
      <c r="E4109" s="30"/>
    </row>
    <row r="4110">
      <c r="A4110" s="27"/>
      <c r="B4110" s="28"/>
      <c r="C4110" s="27"/>
      <c r="D4110" s="27"/>
      <c r="E4110" s="30"/>
    </row>
    <row r="4111">
      <c r="A4111" s="27"/>
      <c r="B4111" s="28"/>
      <c r="C4111" s="27"/>
      <c r="D4111" s="27"/>
      <c r="E4111" s="30"/>
    </row>
    <row r="4112">
      <c r="A4112" s="27"/>
      <c r="B4112" s="28"/>
      <c r="C4112" s="27"/>
      <c r="D4112" s="27"/>
      <c r="E4112" s="30"/>
    </row>
    <row r="4113">
      <c r="A4113" s="27"/>
      <c r="B4113" s="28"/>
      <c r="C4113" s="27"/>
      <c r="D4113" s="27"/>
      <c r="E4113" s="30"/>
    </row>
    <row r="4114">
      <c r="A4114" s="27"/>
      <c r="B4114" s="28"/>
      <c r="C4114" s="27"/>
      <c r="D4114" s="27"/>
      <c r="E4114" s="30"/>
    </row>
    <row r="4115">
      <c r="A4115" s="27"/>
      <c r="B4115" s="28"/>
      <c r="C4115" s="27"/>
      <c r="D4115" s="27"/>
      <c r="E4115" s="30"/>
    </row>
    <row r="4116">
      <c r="A4116" s="27"/>
      <c r="B4116" s="28"/>
      <c r="C4116" s="27"/>
      <c r="D4116" s="27"/>
      <c r="E4116" s="30"/>
    </row>
    <row r="4117">
      <c r="A4117" s="27"/>
      <c r="B4117" s="28"/>
      <c r="C4117" s="27"/>
      <c r="D4117" s="27"/>
      <c r="E4117" s="30"/>
    </row>
    <row r="4118">
      <c r="A4118" s="27"/>
      <c r="B4118" s="28"/>
      <c r="C4118" s="27"/>
      <c r="D4118" s="27"/>
      <c r="E4118" s="30"/>
    </row>
    <row r="4119">
      <c r="A4119" s="27"/>
      <c r="B4119" s="28"/>
      <c r="C4119" s="27"/>
      <c r="D4119" s="27"/>
      <c r="E4119" s="30"/>
    </row>
    <row r="4120">
      <c r="A4120" s="27"/>
      <c r="B4120" s="28"/>
      <c r="C4120" s="27"/>
      <c r="D4120" s="27"/>
      <c r="E4120" s="30"/>
    </row>
    <row r="4121">
      <c r="A4121" s="27"/>
      <c r="B4121" s="28"/>
      <c r="C4121" s="27"/>
      <c r="D4121" s="27"/>
      <c r="E4121" s="30"/>
    </row>
    <row r="4122">
      <c r="A4122" s="27"/>
      <c r="B4122" s="28"/>
      <c r="C4122" s="27"/>
      <c r="D4122" s="27"/>
      <c r="E4122" s="30"/>
    </row>
    <row r="4123">
      <c r="A4123" s="27"/>
      <c r="B4123" s="28"/>
      <c r="C4123" s="27"/>
      <c r="D4123" s="27"/>
      <c r="E4123" s="30"/>
    </row>
    <row r="4124">
      <c r="A4124" s="27"/>
      <c r="B4124" s="28"/>
      <c r="C4124" s="27"/>
      <c r="D4124" s="27"/>
      <c r="E4124" s="30"/>
    </row>
    <row r="4125">
      <c r="A4125" s="27"/>
      <c r="B4125" s="28"/>
      <c r="C4125" s="27"/>
      <c r="D4125" s="27"/>
      <c r="E4125" s="30"/>
    </row>
    <row r="4126">
      <c r="A4126" s="27"/>
      <c r="B4126" s="28"/>
      <c r="C4126" s="27"/>
      <c r="D4126" s="27"/>
      <c r="E4126" s="30"/>
    </row>
    <row r="4127">
      <c r="A4127" s="27"/>
      <c r="B4127" s="28"/>
      <c r="C4127" s="27"/>
      <c r="D4127" s="27"/>
      <c r="E4127" s="30"/>
    </row>
    <row r="4128">
      <c r="A4128" s="27"/>
      <c r="B4128" s="28"/>
      <c r="C4128" s="27"/>
      <c r="D4128" s="27"/>
      <c r="E4128" s="30"/>
    </row>
    <row r="4129">
      <c r="A4129" s="27"/>
      <c r="B4129" s="28"/>
      <c r="C4129" s="27"/>
      <c r="D4129" s="27"/>
      <c r="E4129" s="30"/>
    </row>
    <row r="4130">
      <c r="A4130" s="27"/>
      <c r="B4130" s="28"/>
      <c r="C4130" s="27"/>
      <c r="D4130" s="27"/>
      <c r="E4130" s="30"/>
    </row>
    <row r="4131">
      <c r="A4131" s="27"/>
      <c r="B4131" s="28"/>
      <c r="C4131" s="27"/>
      <c r="D4131" s="27"/>
      <c r="E4131" s="30"/>
    </row>
    <row r="4132">
      <c r="A4132" s="27"/>
      <c r="B4132" s="28"/>
      <c r="C4132" s="27"/>
      <c r="D4132" s="27"/>
      <c r="E4132" s="30"/>
    </row>
    <row r="4133">
      <c r="A4133" s="27"/>
      <c r="B4133" s="28"/>
      <c r="C4133" s="27"/>
      <c r="D4133" s="27"/>
      <c r="E4133" s="30"/>
    </row>
    <row r="4134">
      <c r="A4134" s="27"/>
      <c r="B4134" s="28"/>
      <c r="C4134" s="27"/>
      <c r="D4134" s="27"/>
      <c r="E4134" s="30"/>
    </row>
    <row r="4135">
      <c r="A4135" s="27"/>
      <c r="B4135" s="28"/>
      <c r="C4135" s="27"/>
      <c r="D4135" s="27"/>
      <c r="E4135" s="30"/>
    </row>
    <row r="4136">
      <c r="A4136" s="27"/>
      <c r="B4136" s="28"/>
      <c r="C4136" s="27"/>
      <c r="D4136" s="27"/>
      <c r="E4136" s="30"/>
    </row>
    <row r="4137">
      <c r="A4137" s="27"/>
      <c r="B4137" s="28"/>
      <c r="C4137" s="27"/>
      <c r="D4137" s="27"/>
      <c r="E4137" s="30"/>
    </row>
    <row r="4138">
      <c r="A4138" s="27"/>
      <c r="B4138" s="28"/>
      <c r="C4138" s="27"/>
      <c r="D4138" s="27"/>
      <c r="E4138" s="30"/>
    </row>
    <row r="4139">
      <c r="A4139" s="27"/>
      <c r="B4139" s="28"/>
      <c r="C4139" s="27"/>
      <c r="D4139" s="27"/>
      <c r="E4139" s="30"/>
    </row>
    <row r="4140">
      <c r="A4140" s="27"/>
      <c r="B4140" s="28"/>
      <c r="C4140" s="27"/>
      <c r="D4140" s="27"/>
      <c r="E4140" s="30"/>
    </row>
    <row r="4141">
      <c r="A4141" s="27"/>
      <c r="B4141" s="28"/>
      <c r="C4141" s="27"/>
      <c r="D4141" s="27"/>
      <c r="E4141" s="30"/>
    </row>
    <row r="4142">
      <c r="A4142" s="27"/>
      <c r="B4142" s="28"/>
      <c r="C4142" s="27"/>
      <c r="D4142" s="27"/>
      <c r="E4142" s="30"/>
    </row>
    <row r="4143">
      <c r="A4143" s="27"/>
      <c r="B4143" s="28"/>
      <c r="C4143" s="27"/>
      <c r="D4143" s="27"/>
      <c r="E4143" s="30"/>
    </row>
    <row r="4144">
      <c r="A4144" s="27"/>
      <c r="B4144" s="28"/>
      <c r="C4144" s="27"/>
      <c r="D4144" s="27"/>
      <c r="E4144" s="30"/>
    </row>
    <row r="4145">
      <c r="A4145" s="27"/>
      <c r="B4145" s="28"/>
      <c r="C4145" s="27"/>
      <c r="D4145" s="27"/>
      <c r="E4145" s="30"/>
    </row>
    <row r="4146">
      <c r="A4146" s="27"/>
      <c r="B4146" s="28"/>
      <c r="C4146" s="27"/>
      <c r="D4146" s="27"/>
      <c r="E4146" s="30"/>
    </row>
    <row r="4147">
      <c r="A4147" s="27"/>
      <c r="B4147" s="28"/>
      <c r="C4147" s="27"/>
      <c r="D4147" s="27"/>
      <c r="E4147" s="30"/>
    </row>
    <row r="4148">
      <c r="A4148" s="27"/>
      <c r="B4148" s="28"/>
      <c r="C4148" s="27"/>
      <c r="D4148" s="27"/>
      <c r="E4148" s="30"/>
    </row>
    <row r="4149">
      <c r="A4149" s="27"/>
      <c r="B4149" s="28"/>
      <c r="C4149" s="27"/>
      <c r="D4149" s="27"/>
      <c r="E4149" s="30"/>
    </row>
    <row r="4150">
      <c r="A4150" s="27"/>
      <c r="B4150" s="28"/>
      <c r="C4150" s="27"/>
      <c r="D4150" s="27"/>
      <c r="E4150" s="30"/>
    </row>
    <row r="4151">
      <c r="A4151" s="27"/>
      <c r="B4151" s="28"/>
      <c r="C4151" s="27"/>
      <c r="D4151" s="27"/>
      <c r="E4151" s="30"/>
    </row>
    <row r="4152">
      <c r="A4152" s="27"/>
      <c r="B4152" s="28"/>
      <c r="C4152" s="27"/>
      <c r="D4152" s="27"/>
      <c r="E4152" s="30"/>
    </row>
    <row r="4153">
      <c r="A4153" s="27"/>
      <c r="B4153" s="28"/>
      <c r="C4153" s="27"/>
      <c r="D4153" s="27"/>
      <c r="E4153" s="30"/>
    </row>
    <row r="4154">
      <c r="A4154" s="27"/>
      <c r="B4154" s="28"/>
      <c r="C4154" s="27"/>
      <c r="D4154" s="27"/>
      <c r="E4154" s="30"/>
    </row>
    <row r="4155">
      <c r="A4155" s="27"/>
      <c r="B4155" s="28"/>
      <c r="C4155" s="27"/>
      <c r="D4155" s="27"/>
      <c r="E4155" s="30"/>
    </row>
    <row r="4156">
      <c r="A4156" s="27"/>
      <c r="B4156" s="28"/>
      <c r="C4156" s="27"/>
      <c r="D4156" s="27"/>
      <c r="E4156" s="30"/>
    </row>
    <row r="4157">
      <c r="A4157" s="27"/>
      <c r="B4157" s="28"/>
      <c r="C4157" s="27"/>
      <c r="D4157" s="27"/>
      <c r="E4157" s="30"/>
    </row>
    <row r="4158">
      <c r="A4158" s="27"/>
      <c r="B4158" s="28"/>
      <c r="C4158" s="27"/>
      <c r="D4158" s="27"/>
      <c r="E4158" s="30"/>
    </row>
    <row r="4159">
      <c r="A4159" s="27"/>
      <c r="B4159" s="28"/>
      <c r="C4159" s="27"/>
      <c r="D4159" s="27"/>
      <c r="E4159" s="30"/>
    </row>
    <row r="4160">
      <c r="A4160" s="27"/>
      <c r="B4160" s="28"/>
      <c r="C4160" s="27"/>
      <c r="D4160" s="27"/>
      <c r="E4160" s="30"/>
    </row>
    <row r="4161">
      <c r="A4161" s="27"/>
      <c r="B4161" s="28"/>
      <c r="C4161" s="27"/>
      <c r="D4161" s="27"/>
      <c r="E4161" s="30"/>
    </row>
    <row r="4162">
      <c r="A4162" s="27"/>
      <c r="B4162" s="28"/>
      <c r="C4162" s="27"/>
      <c r="D4162" s="27"/>
      <c r="E4162" s="30"/>
    </row>
    <row r="4163">
      <c r="A4163" s="27"/>
      <c r="B4163" s="28"/>
      <c r="C4163" s="27"/>
      <c r="D4163" s="27"/>
      <c r="E4163" s="30"/>
    </row>
    <row r="4164">
      <c r="A4164" s="27"/>
      <c r="B4164" s="28"/>
      <c r="C4164" s="27"/>
      <c r="D4164" s="27"/>
      <c r="E4164" s="30"/>
    </row>
    <row r="4165">
      <c r="A4165" s="27"/>
      <c r="B4165" s="28"/>
      <c r="C4165" s="27"/>
      <c r="D4165" s="27"/>
      <c r="E4165" s="30"/>
    </row>
    <row r="4166">
      <c r="A4166" s="27"/>
      <c r="B4166" s="28"/>
      <c r="C4166" s="27"/>
      <c r="D4166" s="27"/>
      <c r="E4166" s="30"/>
    </row>
    <row r="4167">
      <c r="A4167" s="27"/>
      <c r="B4167" s="28"/>
      <c r="C4167" s="27"/>
      <c r="D4167" s="27"/>
      <c r="E4167" s="30"/>
    </row>
    <row r="4168">
      <c r="A4168" s="27"/>
      <c r="B4168" s="28"/>
      <c r="C4168" s="27"/>
      <c r="D4168" s="27"/>
      <c r="E4168" s="30"/>
    </row>
    <row r="4169">
      <c r="A4169" s="27"/>
      <c r="B4169" s="28"/>
      <c r="C4169" s="27"/>
      <c r="D4169" s="27"/>
      <c r="E4169" s="30"/>
    </row>
    <row r="4170">
      <c r="A4170" s="27"/>
      <c r="B4170" s="28"/>
      <c r="C4170" s="27"/>
      <c r="D4170" s="27"/>
      <c r="E4170" s="30"/>
    </row>
    <row r="4171">
      <c r="A4171" s="27"/>
      <c r="B4171" s="28"/>
      <c r="C4171" s="27"/>
      <c r="D4171" s="27"/>
      <c r="E4171" s="30"/>
    </row>
    <row r="4172">
      <c r="A4172" s="27"/>
      <c r="B4172" s="28"/>
      <c r="C4172" s="27"/>
      <c r="D4172" s="27"/>
      <c r="E4172" s="30"/>
    </row>
    <row r="4173">
      <c r="A4173" s="27"/>
      <c r="B4173" s="28"/>
      <c r="C4173" s="27"/>
      <c r="D4173" s="27"/>
      <c r="E4173" s="30"/>
    </row>
    <row r="4174">
      <c r="A4174" s="27"/>
      <c r="B4174" s="28"/>
      <c r="C4174" s="27"/>
      <c r="D4174" s="27"/>
      <c r="E4174" s="30"/>
    </row>
    <row r="4175">
      <c r="A4175" s="27"/>
      <c r="B4175" s="28"/>
      <c r="C4175" s="27"/>
      <c r="D4175" s="27"/>
      <c r="E4175" s="30"/>
    </row>
    <row r="4176">
      <c r="A4176" s="27"/>
      <c r="B4176" s="28"/>
      <c r="C4176" s="27"/>
      <c r="D4176" s="27"/>
      <c r="E4176" s="30"/>
    </row>
    <row r="4177">
      <c r="A4177" s="27"/>
      <c r="B4177" s="28"/>
      <c r="C4177" s="27"/>
      <c r="D4177" s="27"/>
      <c r="E4177" s="30"/>
    </row>
    <row r="4178">
      <c r="A4178" s="27"/>
      <c r="B4178" s="28"/>
      <c r="C4178" s="27"/>
      <c r="D4178" s="27"/>
      <c r="E4178" s="30"/>
    </row>
    <row r="4179">
      <c r="A4179" s="27"/>
      <c r="B4179" s="28"/>
      <c r="C4179" s="27"/>
      <c r="D4179" s="27"/>
      <c r="E4179" s="30"/>
    </row>
    <row r="4180">
      <c r="A4180" s="27"/>
      <c r="B4180" s="28"/>
      <c r="C4180" s="27"/>
      <c r="D4180" s="27"/>
      <c r="E4180" s="30"/>
    </row>
    <row r="4181">
      <c r="A4181" s="27"/>
      <c r="B4181" s="28"/>
      <c r="C4181" s="27"/>
      <c r="D4181" s="27"/>
      <c r="E4181" s="30"/>
    </row>
    <row r="4182">
      <c r="A4182" s="27"/>
      <c r="B4182" s="28"/>
      <c r="C4182" s="27"/>
      <c r="D4182" s="27"/>
      <c r="E4182" s="30"/>
    </row>
    <row r="4183">
      <c r="A4183" s="27"/>
      <c r="B4183" s="28"/>
      <c r="C4183" s="27"/>
      <c r="D4183" s="27"/>
      <c r="E4183" s="30"/>
    </row>
    <row r="4184">
      <c r="A4184" s="27"/>
      <c r="B4184" s="28"/>
      <c r="C4184" s="27"/>
      <c r="D4184" s="27"/>
      <c r="E4184" s="30"/>
    </row>
    <row r="4185">
      <c r="A4185" s="27"/>
      <c r="B4185" s="28"/>
      <c r="C4185" s="27"/>
      <c r="D4185" s="27"/>
      <c r="E4185" s="30"/>
    </row>
    <row r="4186">
      <c r="A4186" s="27"/>
      <c r="B4186" s="28"/>
      <c r="C4186" s="27"/>
      <c r="D4186" s="27"/>
      <c r="E4186" s="30"/>
    </row>
    <row r="4187">
      <c r="A4187" s="27"/>
      <c r="B4187" s="28"/>
      <c r="C4187" s="27"/>
      <c r="D4187" s="27"/>
      <c r="E4187" s="30"/>
    </row>
    <row r="4188">
      <c r="A4188" s="27"/>
      <c r="B4188" s="28"/>
      <c r="C4188" s="27"/>
      <c r="D4188" s="27"/>
      <c r="E4188" s="30"/>
    </row>
    <row r="4189">
      <c r="A4189" s="27"/>
      <c r="B4189" s="28"/>
      <c r="C4189" s="27"/>
      <c r="D4189" s="27"/>
      <c r="E4189" s="30"/>
    </row>
    <row r="4190">
      <c r="A4190" s="27"/>
      <c r="B4190" s="28"/>
      <c r="C4190" s="27"/>
      <c r="D4190" s="27"/>
      <c r="E4190" s="30"/>
    </row>
    <row r="4191">
      <c r="A4191" s="27"/>
      <c r="B4191" s="28"/>
      <c r="C4191" s="27"/>
      <c r="D4191" s="27"/>
      <c r="E4191" s="30"/>
    </row>
    <row r="4192">
      <c r="A4192" s="27"/>
      <c r="B4192" s="28"/>
      <c r="C4192" s="27"/>
      <c r="D4192" s="27"/>
      <c r="E4192" s="30"/>
    </row>
    <row r="4193">
      <c r="A4193" s="27"/>
      <c r="B4193" s="28"/>
      <c r="C4193" s="27"/>
      <c r="D4193" s="27"/>
      <c r="E4193" s="30"/>
    </row>
    <row r="4194">
      <c r="A4194" s="27"/>
      <c r="B4194" s="28"/>
      <c r="C4194" s="27"/>
      <c r="D4194" s="27"/>
      <c r="E4194" s="30"/>
    </row>
    <row r="4195">
      <c r="A4195" s="27"/>
      <c r="B4195" s="28"/>
      <c r="C4195" s="27"/>
      <c r="D4195" s="27"/>
      <c r="E4195" s="30"/>
    </row>
    <row r="4196">
      <c r="A4196" s="27"/>
      <c r="B4196" s="28"/>
      <c r="C4196" s="27"/>
      <c r="D4196" s="27"/>
      <c r="E4196" s="30"/>
    </row>
    <row r="4197">
      <c r="A4197" s="27"/>
      <c r="B4197" s="28"/>
      <c r="C4197" s="27"/>
      <c r="D4197" s="27"/>
      <c r="E4197" s="30"/>
    </row>
    <row r="4198">
      <c r="A4198" s="27"/>
      <c r="B4198" s="28"/>
      <c r="C4198" s="27"/>
      <c r="D4198" s="27"/>
      <c r="E4198" s="30"/>
    </row>
    <row r="4199">
      <c r="A4199" s="27"/>
      <c r="B4199" s="28"/>
      <c r="C4199" s="27"/>
      <c r="D4199" s="27"/>
      <c r="E4199" s="30"/>
    </row>
    <row r="4200">
      <c r="A4200" s="27"/>
      <c r="B4200" s="28"/>
      <c r="C4200" s="27"/>
      <c r="D4200" s="27"/>
      <c r="E4200" s="30"/>
    </row>
    <row r="4201">
      <c r="A4201" s="27"/>
      <c r="B4201" s="28"/>
      <c r="C4201" s="27"/>
      <c r="D4201" s="27"/>
      <c r="E4201" s="30"/>
    </row>
    <row r="4202">
      <c r="A4202" s="27"/>
      <c r="B4202" s="28"/>
      <c r="C4202" s="27"/>
      <c r="D4202" s="27"/>
      <c r="E4202" s="30"/>
    </row>
    <row r="4203">
      <c r="A4203" s="27"/>
      <c r="B4203" s="28"/>
      <c r="C4203" s="27"/>
      <c r="D4203" s="27"/>
      <c r="E4203" s="30"/>
    </row>
    <row r="4204">
      <c r="A4204" s="27"/>
      <c r="B4204" s="28"/>
      <c r="C4204" s="27"/>
      <c r="D4204" s="27"/>
      <c r="E4204" s="30"/>
    </row>
    <row r="4205">
      <c r="A4205" s="27"/>
      <c r="B4205" s="28"/>
      <c r="C4205" s="27"/>
      <c r="D4205" s="27"/>
      <c r="E4205" s="30"/>
    </row>
    <row r="4206">
      <c r="A4206" s="27"/>
      <c r="B4206" s="28"/>
      <c r="C4206" s="27"/>
      <c r="D4206" s="27"/>
      <c r="E4206" s="30"/>
    </row>
    <row r="4207">
      <c r="A4207" s="27"/>
      <c r="B4207" s="28"/>
      <c r="C4207" s="27"/>
      <c r="D4207" s="27"/>
      <c r="E4207" s="30"/>
    </row>
    <row r="4208">
      <c r="A4208" s="27"/>
      <c r="B4208" s="28"/>
      <c r="C4208" s="27"/>
      <c r="D4208" s="27"/>
      <c r="E4208" s="30"/>
    </row>
    <row r="4209">
      <c r="A4209" s="27"/>
      <c r="B4209" s="28"/>
      <c r="C4209" s="27"/>
      <c r="D4209" s="27"/>
      <c r="E4209" s="30"/>
    </row>
    <row r="4210">
      <c r="A4210" s="27"/>
      <c r="B4210" s="28"/>
      <c r="C4210" s="27"/>
      <c r="D4210" s="27"/>
      <c r="E4210" s="30"/>
    </row>
    <row r="4211">
      <c r="A4211" s="27"/>
      <c r="B4211" s="28"/>
      <c r="C4211" s="27"/>
      <c r="D4211" s="27"/>
      <c r="E4211" s="30"/>
    </row>
    <row r="4212">
      <c r="A4212" s="27"/>
      <c r="B4212" s="28"/>
      <c r="C4212" s="27"/>
      <c r="D4212" s="27"/>
      <c r="E4212" s="30"/>
    </row>
    <row r="4213">
      <c r="A4213" s="27"/>
      <c r="B4213" s="28"/>
      <c r="C4213" s="27"/>
      <c r="D4213" s="27"/>
      <c r="E4213" s="30"/>
    </row>
    <row r="4214">
      <c r="A4214" s="27"/>
      <c r="B4214" s="28"/>
      <c r="C4214" s="27"/>
      <c r="D4214" s="27"/>
      <c r="E4214" s="30"/>
    </row>
    <row r="4215">
      <c r="A4215" s="27"/>
      <c r="B4215" s="28"/>
      <c r="C4215" s="27"/>
      <c r="D4215" s="27"/>
      <c r="E4215" s="30"/>
    </row>
    <row r="4216">
      <c r="A4216" s="27"/>
      <c r="B4216" s="28"/>
      <c r="C4216" s="27"/>
      <c r="D4216" s="27"/>
      <c r="E4216" s="30"/>
    </row>
    <row r="4217">
      <c r="A4217" s="27"/>
      <c r="B4217" s="28"/>
      <c r="C4217" s="27"/>
      <c r="D4217" s="27"/>
      <c r="E4217" s="30"/>
    </row>
    <row r="4218">
      <c r="A4218" s="27"/>
      <c r="B4218" s="28"/>
      <c r="C4218" s="27"/>
      <c r="D4218" s="27"/>
      <c r="E4218" s="30"/>
    </row>
    <row r="4219">
      <c r="A4219" s="27"/>
      <c r="B4219" s="28"/>
      <c r="C4219" s="27"/>
      <c r="D4219" s="27"/>
      <c r="E4219" s="30"/>
    </row>
    <row r="4220">
      <c r="A4220" s="27"/>
      <c r="B4220" s="28"/>
      <c r="C4220" s="27"/>
      <c r="D4220" s="27"/>
      <c r="E4220" s="30"/>
    </row>
    <row r="4221">
      <c r="A4221" s="27"/>
      <c r="B4221" s="28"/>
      <c r="C4221" s="27"/>
      <c r="D4221" s="27"/>
      <c r="E4221" s="30"/>
    </row>
    <row r="4222">
      <c r="A4222" s="27"/>
      <c r="B4222" s="28"/>
      <c r="C4222" s="27"/>
      <c r="D4222" s="27"/>
      <c r="E4222" s="30"/>
    </row>
    <row r="4223">
      <c r="A4223" s="27"/>
      <c r="B4223" s="28"/>
      <c r="C4223" s="27"/>
      <c r="D4223" s="27"/>
      <c r="E4223" s="30"/>
    </row>
    <row r="4224">
      <c r="A4224" s="27"/>
      <c r="B4224" s="28"/>
      <c r="C4224" s="27"/>
      <c r="D4224" s="27"/>
      <c r="E4224" s="30"/>
    </row>
    <row r="4225">
      <c r="A4225" s="27"/>
      <c r="B4225" s="28"/>
      <c r="C4225" s="27"/>
      <c r="D4225" s="27"/>
      <c r="E4225" s="30"/>
    </row>
    <row r="4226">
      <c r="A4226" s="27"/>
      <c r="B4226" s="28"/>
      <c r="C4226" s="27"/>
      <c r="D4226" s="27"/>
      <c r="E4226" s="30"/>
    </row>
    <row r="4227">
      <c r="A4227" s="27"/>
      <c r="B4227" s="28"/>
      <c r="C4227" s="27"/>
      <c r="D4227" s="27"/>
      <c r="E4227" s="30"/>
    </row>
    <row r="4228">
      <c r="A4228" s="27"/>
      <c r="B4228" s="28"/>
      <c r="C4228" s="27"/>
      <c r="D4228" s="27"/>
      <c r="E4228" s="30"/>
    </row>
    <row r="4229">
      <c r="A4229" s="27"/>
      <c r="B4229" s="28"/>
      <c r="C4229" s="27"/>
      <c r="D4229" s="27"/>
      <c r="E4229" s="30"/>
    </row>
    <row r="4230">
      <c r="A4230" s="27"/>
      <c r="B4230" s="28"/>
      <c r="C4230" s="27"/>
      <c r="D4230" s="27"/>
      <c r="E4230" s="30"/>
    </row>
    <row r="4231">
      <c r="A4231" s="27"/>
      <c r="B4231" s="28"/>
      <c r="C4231" s="27"/>
      <c r="D4231" s="27"/>
      <c r="E4231" s="30"/>
    </row>
    <row r="4232">
      <c r="A4232" s="27"/>
      <c r="B4232" s="28"/>
      <c r="C4232" s="27"/>
      <c r="D4232" s="27"/>
      <c r="E4232" s="30"/>
    </row>
    <row r="4233">
      <c r="A4233" s="27"/>
      <c r="B4233" s="28"/>
      <c r="C4233" s="27"/>
      <c r="D4233" s="27"/>
      <c r="E4233" s="30"/>
    </row>
    <row r="4234">
      <c r="A4234" s="27"/>
      <c r="B4234" s="28"/>
      <c r="C4234" s="27"/>
      <c r="D4234" s="27"/>
      <c r="E4234" s="30"/>
    </row>
    <row r="4235">
      <c r="A4235" s="27"/>
      <c r="B4235" s="28"/>
      <c r="C4235" s="27"/>
      <c r="D4235" s="27"/>
      <c r="E4235" s="30"/>
    </row>
    <row r="4236">
      <c r="A4236" s="27"/>
      <c r="B4236" s="28"/>
      <c r="C4236" s="27"/>
      <c r="D4236" s="27"/>
      <c r="E4236" s="30"/>
    </row>
    <row r="4237">
      <c r="A4237" s="27"/>
      <c r="B4237" s="28"/>
      <c r="C4237" s="27"/>
      <c r="D4237" s="27"/>
      <c r="E4237" s="30"/>
    </row>
    <row r="4238">
      <c r="A4238" s="27"/>
      <c r="B4238" s="28"/>
      <c r="C4238" s="27"/>
      <c r="D4238" s="27"/>
      <c r="E4238" s="30"/>
    </row>
    <row r="4239">
      <c r="A4239" s="27"/>
      <c r="B4239" s="28"/>
      <c r="C4239" s="27"/>
      <c r="D4239" s="27"/>
      <c r="E4239" s="30"/>
    </row>
    <row r="4240">
      <c r="A4240" s="27"/>
      <c r="B4240" s="28"/>
      <c r="C4240" s="27"/>
      <c r="D4240" s="27"/>
      <c r="E4240" s="30"/>
    </row>
    <row r="4241">
      <c r="A4241" s="27"/>
      <c r="B4241" s="28"/>
      <c r="C4241" s="27"/>
      <c r="D4241" s="27"/>
      <c r="E4241" s="30"/>
    </row>
    <row r="4242">
      <c r="A4242" s="27"/>
      <c r="B4242" s="28"/>
      <c r="C4242" s="27"/>
      <c r="D4242" s="27"/>
      <c r="E4242" s="30"/>
    </row>
    <row r="4243">
      <c r="A4243" s="27"/>
      <c r="B4243" s="28"/>
      <c r="C4243" s="27"/>
      <c r="D4243" s="27"/>
      <c r="E4243" s="30"/>
    </row>
    <row r="4244">
      <c r="A4244" s="27"/>
      <c r="B4244" s="28"/>
      <c r="C4244" s="27"/>
      <c r="D4244" s="27"/>
      <c r="E4244" s="30"/>
    </row>
    <row r="4245">
      <c r="A4245" s="27"/>
      <c r="B4245" s="28"/>
      <c r="C4245" s="27"/>
      <c r="D4245" s="27"/>
      <c r="E4245" s="30"/>
    </row>
    <row r="4246">
      <c r="A4246" s="27"/>
      <c r="B4246" s="28"/>
      <c r="C4246" s="27"/>
      <c r="D4246" s="27"/>
      <c r="E4246" s="30"/>
    </row>
    <row r="4247">
      <c r="A4247" s="27"/>
      <c r="B4247" s="28"/>
      <c r="C4247" s="27"/>
      <c r="D4247" s="27"/>
      <c r="E4247" s="30"/>
    </row>
    <row r="4248">
      <c r="A4248" s="27"/>
      <c r="B4248" s="28"/>
      <c r="C4248" s="27"/>
      <c r="D4248" s="27"/>
      <c r="E4248" s="30"/>
    </row>
    <row r="4249">
      <c r="A4249" s="27"/>
      <c r="B4249" s="28"/>
      <c r="C4249" s="27"/>
      <c r="D4249" s="27"/>
      <c r="E4249" s="30"/>
    </row>
    <row r="4250">
      <c r="A4250" s="27"/>
      <c r="B4250" s="28"/>
      <c r="C4250" s="27"/>
      <c r="D4250" s="27"/>
      <c r="E4250" s="30"/>
    </row>
    <row r="4251">
      <c r="A4251" s="27"/>
      <c r="B4251" s="28"/>
      <c r="C4251" s="27"/>
      <c r="D4251" s="27"/>
      <c r="E4251" s="30"/>
    </row>
    <row r="4252">
      <c r="A4252" s="27"/>
      <c r="B4252" s="28"/>
      <c r="C4252" s="27"/>
      <c r="D4252" s="27"/>
      <c r="E4252" s="30"/>
    </row>
    <row r="4253">
      <c r="A4253" s="27"/>
      <c r="B4253" s="28"/>
      <c r="C4253" s="27"/>
      <c r="D4253" s="27"/>
      <c r="E4253" s="30"/>
    </row>
    <row r="4254">
      <c r="A4254" s="27"/>
      <c r="B4254" s="28"/>
      <c r="C4254" s="27"/>
      <c r="D4254" s="27"/>
      <c r="E4254" s="30"/>
    </row>
    <row r="4255">
      <c r="A4255" s="27"/>
      <c r="B4255" s="28"/>
      <c r="C4255" s="27"/>
      <c r="D4255" s="27"/>
      <c r="E4255" s="30"/>
    </row>
    <row r="4256">
      <c r="A4256" s="27"/>
      <c r="B4256" s="28"/>
      <c r="C4256" s="27"/>
      <c r="D4256" s="27"/>
      <c r="E4256" s="30"/>
    </row>
    <row r="4257">
      <c r="A4257" s="27"/>
      <c r="B4257" s="28"/>
      <c r="C4257" s="27"/>
      <c r="D4257" s="27"/>
      <c r="E4257" s="30"/>
    </row>
    <row r="4258">
      <c r="A4258" s="27"/>
      <c r="B4258" s="28"/>
      <c r="C4258" s="27"/>
      <c r="D4258" s="27"/>
      <c r="E4258" s="30"/>
    </row>
    <row r="4259">
      <c r="A4259" s="27"/>
      <c r="B4259" s="28"/>
      <c r="C4259" s="27"/>
      <c r="D4259" s="27"/>
      <c r="E4259" s="30"/>
    </row>
    <row r="4260">
      <c r="A4260" s="27"/>
      <c r="B4260" s="28"/>
      <c r="C4260" s="27"/>
      <c r="D4260" s="27"/>
      <c r="E4260" s="30"/>
    </row>
    <row r="4261">
      <c r="A4261" s="27"/>
      <c r="B4261" s="28"/>
      <c r="C4261" s="27"/>
      <c r="D4261" s="27"/>
      <c r="E4261" s="30"/>
    </row>
    <row r="4262">
      <c r="A4262" s="27"/>
      <c r="B4262" s="28"/>
      <c r="C4262" s="27"/>
      <c r="D4262" s="27"/>
      <c r="E4262" s="30"/>
    </row>
    <row r="4263">
      <c r="A4263" s="27"/>
      <c r="B4263" s="28"/>
      <c r="C4263" s="27"/>
      <c r="D4263" s="27"/>
      <c r="E4263" s="30"/>
    </row>
    <row r="4264">
      <c r="A4264" s="27"/>
      <c r="B4264" s="28"/>
      <c r="C4264" s="27"/>
      <c r="D4264" s="27"/>
      <c r="E4264" s="30"/>
    </row>
    <row r="4265">
      <c r="A4265" s="27"/>
      <c r="B4265" s="28"/>
      <c r="C4265" s="27"/>
      <c r="D4265" s="27"/>
      <c r="E4265" s="30"/>
    </row>
    <row r="4266">
      <c r="A4266" s="27"/>
      <c r="B4266" s="28"/>
      <c r="C4266" s="27"/>
      <c r="D4266" s="27"/>
      <c r="E4266" s="30"/>
    </row>
    <row r="4267">
      <c r="A4267" s="27"/>
      <c r="B4267" s="28"/>
      <c r="C4267" s="27"/>
      <c r="D4267" s="27"/>
      <c r="E4267" s="30"/>
    </row>
    <row r="4268">
      <c r="A4268" s="27"/>
      <c r="B4268" s="28"/>
      <c r="C4268" s="27"/>
      <c r="D4268" s="27"/>
      <c r="E4268" s="30"/>
    </row>
    <row r="4269">
      <c r="A4269" s="27"/>
      <c r="B4269" s="28"/>
      <c r="C4269" s="27"/>
      <c r="D4269" s="27"/>
      <c r="E4269" s="30"/>
    </row>
    <row r="4270">
      <c r="A4270" s="27"/>
      <c r="B4270" s="28"/>
      <c r="C4270" s="27"/>
      <c r="D4270" s="27"/>
      <c r="E4270" s="30"/>
    </row>
    <row r="4271">
      <c r="A4271" s="27"/>
      <c r="B4271" s="28"/>
      <c r="C4271" s="27"/>
      <c r="D4271" s="27"/>
      <c r="E4271" s="30"/>
    </row>
    <row r="4272">
      <c r="A4272" s="27"/>
      <c r="B4272" s="28"/>
      <c r="C4272" s="27"/>
      <c r="D4272" s="27"/>
      <c r="E4272" s="30"/>
    </row>
    <row r="4273">
      <c r="A4273" s="27"/>
      <c r="B4273" s="28"/>
      <c r="C4273" s="27"/>
      <c r="D4273" s="27"/>
      <c r="E4273" s="30"/>
    </row>
    <row r="4274">
      <c r="A4274" s="27"/>
      <c r="B4274" s="28"/>
      <c r="C4274" s="27"/>
      <c r="D4274" s="27"/>
      <c r="E4274" s="30"/>
    </row>
    <row r="4275">
      <c r="A4275" s="27"/>
      <c r="B4275" s="28"/>
      <c r="C4275" s="27"/>
      <c r="D4275" s="27"/>
      <c r="E4275" s="30"/>
    </row>
    <row r="4276">
      <c r="A4276" s="27"/>
      <c r="B4276" s="28"/>
      <c r="C4276" s="27"/>
      <c r="D4276" s="27"/>
      <c r="E4276" s="30"/>
    </row>
    <row r="4277">
      <c r="A4277" s="27"/>
      <c r="B4277" s="28"/>
      <c r="C4277" s="27"/>
      <c r="D4277" s="27"/>
      <c r="E4277" s="30"/>
    </row>
    <row r="4278">
      <c r="A4278" s="27"/>
      <c r="B4278" s="28"/>
      <c r="C4278" s="27"/>
      <c r="D4278" s="27"/>
      <c r="E4278" s="30"/>
    </row>
    <row r="4279">
      <c r="A4279" s="27"/>
      <c r="B4279" s="28"/>
      <c r="C4279" s="27"/>
      <c r="D4279" s="27"/>
      <c r="E4279" s="30"/>
    </row>
    <row r="4280">
      <c r="A4280" s="27"/>
      <c r="B4280" s="28"/>
      <c r="C4280" s="27"/>
      <c r="D4280" s="27"/>
      <c r="E4280" s="30"/>
    </row>
    <row r="4281">
      <c r="A4281" s="27"/>
      <c r="B4281" s="28"/>
      <c r="C4281" s="27"/>
      <c r="D4281" s="27"/>
      <c r="E4281" s="30"/>
    </row>
    <row r="4282">
      <c r="A4282" s="27"/>
      <c r="B4282" s="28"/>
      <c r="C4282" s="27"/>
      <c r="D4282" s="27"/>
      <c r="E4282" s="30"/>
    </row>
    <row r="4283">
      <c r="A4283" s="27"/>
      <c r="B4283" s="28"/>
      <c r="C4283" s="27"/>
      <c r="D4283" s="27"/>
      <c r="E4283" s="30"/>
    </row>
    <row r="4284">
      <c r="A4284" s="27"/>
      <c r="B4284" s="28"/>
      <c r="C4284" s="27"/>
      <c r="D4284" s="27"/>
      <c r="E4284" s="30"/>
    </row>
    <row r="4285">
      <c r="A4285" s="27"/>
      <c r="B4285" s="28"/>
      <c r="C4285" s="27"/>
      <c r="D4285" s="27"/>
      <c r="E4285" s="30"/>
    </row>
    <row r="4286">
      <c r="A4286" s="27"/>
      <c r="B4286" s="28"/>
      <c r="C4286" s="27"/>
      <c r="D4286" s="27"/>
      <c r="E4286" s="30"/>
    </row>
    <row r="4287">
      <c r="A4287" s="27"/>
      <c r="B4287" s="28"/>
      <c r="C4287" s="27"/>
      <c r="D4287" s="27"/>
      <c r="E4287" s="30"/>
    </row>
    <row r="4288">
      <c r="A4288" s="27"/>
      <c r="B4288" s="28"/>
      <c r="C4288" s="27"/>
      <c r="D4288" s="27"/>
      <c r="E4288" s="30"/>
    </row>
    <row r="4289">
      <c r="A4289" s="27"/>
      <c r="B4289" s="28"/>
      <c r="C4289" s="27"/>
      <c r="D4289" s="27"/>
      <c r="E4289" s="30"/>
    </row>
    <row r="4290">
      <c r="A4290" s="27"/>
      <c r="B4290" s="28"/>
      <c r="C4290" s="27"/>
      <c r="D4290" s="27"/>
      <c r="E4290" s="30"/>
    </row>
    <row r="4291">
      <c r="A4291" s="27"/>
      <c r="B4291" s="28"/>
      <c r="C4291" s="27"/>
      <c r="D4291" s="27"/>
      <c r="E4291" s="30"/>
    </row>
    <row r="4292">
      <c r="A4292" s="27"/>
      <c r="B4292" s="28"/>
      <c r="C4292" s="27"/>
      <c r="D4292" s="27"/>
      <c r="E4292" s="30"/>
    </row>
    <row r="4293">
      <c r="A4293" s="27"/>
      <c r="B4293" s="28"/>
      <c r="C4293" s="27"/>
      <c r="D4293" s="27"/>
      <c r="E4293" s="30"/>
    </row>
    <row r="4294">
      <c r="A4294" s="27"/>
      <c r="B4294" s="28"/>
      <c r="C4294" s="27"/>
      <c r="D4294" s="27"/>
      <c r="E4294" s="30"/>
    </row>
    <row r="4295">
      <c r="A4295" s="27"/>
      <c r="B4295" s="28"/>
      <c r="C4295" s="27"/>
      <c r="D4295" s="27"/>
      <c r="E4295" s="30"/>
    </row>
    <row r="4296">
      <c r="A4296" s="27"/>
      <c r="B4296" s="28"/>
      <c r="C4296" s="27"/>
      <c r="D4296" s="27"/>
      <c r="E4296" s="30"/>
    </row>
    <row r="4297">
      <c r="A4297" s="27"/>
      <c r="B4297" s="28"/>
      <c r="C4297" s="27"/>
      <c r="D4297" s="27"/>
      <c r="E4297" s="30"/>
    </row>
    <row r="4298">
      <c r="A4298" s="27"/>
      <c r="B4298" s="28"/>
      <c r="C4298" s="27"/>
      <c r="D4298" s="27"/>
      <c r="E4298" s="30"/>
    </row>
    <row r="4299">
      <c r="A4299" s="27"/>
      <c r="B4299" s="28"/>
      <c r="C4299" s="27"/>
      <c r="D4299" s="27"/>
      <c r="E4299" s="30"/>
    </row>
    <row r="4300">
      <c r="A4300" s="27"/>
      <c r="B4300" s="28"/>
      <c r="C4300" s="27"/>
      <c r="D4300" s="27"/>
      <c r="E4300" s="30"/>
    </row>
    <row r="4301">
      <c r="A4301" s="27"/>
      <c r="B4301" s="28"/>
      <c r="C4301" s="27"/>
      <c r="D4301" s="27"/>
      <c r="E4301" s="30"/>
    </row>
    <row r="4302">
      <c r="A4302" s="27"/>
      <c r="B4302" s="28"/>
      <c r="C4302" s="27"/>
      <c r="D4302" s="27"/>
      <c r="E4302" s="30"/>
    </row>
    <row r="4303">
      <c r="A4303" s="27"/>
      <c r="B4303" s="28"/>
      <c r="C4303" s="27"/>
      <c r="D4303" s="27"/>
      <c r="E4303" s="30"/>
    </row>
    <row r="4304">
      <c r="A4304" s="27"/>
      <c r="B4304" s="28"/>
      <c r="C4304" s="27"/>
      <c r="D4304" s="27"/>
      <c r="E4304" s="30"/>
    </row>
    <row r="4305">
      <c r="A4305" s="27"/>
      <c r="B4305" s="28"/>
      <c r="C4305" s="27"/>
      <c r="D4305" s="27"/>
      <c r="E4305" s="30"/>
    </row>
    <row r="4306">
      <c r="A4306" s="27"/>
      <c r="B4306" s="28"/>
      <c r="C4306" s="27"/>
      <c r="D4306" s="27"/>
      <c r="E4306" s="30"/>
    </row>
    <row r="4307">
      <c r="A4307" s="27"/>
      <c r="B4307" s="28"/>
      <c r="C4307" s="27"/>
      <c r="D4307" s="27"/>
      <c r="E4307" s="30"/>
    </row>
    <row r="4308">
      <c r="A4308" s="27"/>
      <c r="B4308" s="28"/>
      <c r="C4308" s="27"/>
      <c r="D4308" s="27"/>
      <c r="E4308" s="30"/>
    </row>
    <row r="4309">
      <c r="A4309" s="27"/>
      <c r="B4309" s="28"/>
      <c r="C4309" s="27"/>
      <c r="D4309" s="27"/>
      <c r="E4309" s="30"/>
    </row>
    <row r="4310">
      <c r="A4310" s="27"/>
      <c r="B4310" s="28"/>
      <c r="C4310" s="27"/>
      <c r="D4310" s="27"/>
      <c r="E4310" s="30"/>
    </row>
    <row r="4311">
      <c r="A4311" s="27"/>
      <c r="B4311" s="28"/>
      <c r="C4311" s="27"/>
      <c r="D4311" s="27"/>
      <c r="E4311" s="30"/>
    </row>
    <row r="4312">
      <c r="A4312" s="27"/>
      <c r="B4312" s="28"/>
      <c r="C4312" s="27"/>
      <c r="D4312" s="27"/>
      <c r="E4312" s="30"/>
    </row>
    <row r="4313">
      <c r="A4313" s="27"/>
      <c r="B4313" s="28"/>
      <c r="C4313" s="27"/>
      <c r="D4313" s="27"/>
      <c r="E4313" s="30"/>
    </row>
    <row r="4314">
      <c r="A4314" s="27"/>
      <c r="B4314" s="28"/>
      <c r="C4314" s="27"/>
      <c r="D4314" s="27"/>
      <c r="E4314" s="30"/>
    </row>
    <row r="4315">
      <c r="A4315" s="27"/>
      <c r="B4315" s="28"/>
      <c r="C4315" s="27"/>
      <c r="D4315" s="27"/>
      <c r="E4315" s="30"/>
    </row>
    <row r="4316">
      <c r="A4316" s="27"/>
      <c r="B4316" s="28"/>
      <c r="C4316" s="27"/>
      <c r="D4316" s="27"/>
      <c r="E4316" s="30"/>
    </row>
    <row r="4317">
      <c r="A4317" s="27"/>
      <c r="B4317" s="28"/>
      <c r="C4317" s="27"/>
      <c r="D4317" s="27"/>
      <c r="E4317" s="30"/>
    </row>
    <row r="4318">
      <c r="A4318" s="27"/>
      <c r="B4318" s="28"/>
      <c r="C4318" s="27"/>
      <c r="D4318" s="27"/>
      <c r="E4318" s="30"/>
    </row>
    <row r="4319">
      <c r="A4319" s="27"/>
      <c r="B4319" s="28"/>
      <c r="C4319" s="27"/>
      <c r="D4319" s="27"/>
      <c r="E4319" s="30"/>
    </row>
    <row r="4320">
      <c r="A4320" s="27"/>
      <c r="B4320" s="28"/>
      <c r="C4320" s="27"/>
      <c r="D4320" s="27"/>
      <c r="E4320" s="30"/>
    </row>
    <row r="4321">
      <c r="A4321" s="27"/>
      <c r="B4321" s="28"/>
      <c r="C4321" s="27"/>
      <c r="D4321" s="27"/>
      <c r="E4321" s="30"/>
    </row>
    <row r="4322">
      <c r="A4322" s="27"/>
      <c r="B4322" s="28"/>
      <c r="C4322" s="27"/>
      <c r="D4322" s="27"/>
      <c r="E4322" s="30"/>
    </row>
    <row r="4323">
      <c r="A4323" s="27"/>
      <c r="B4323" s="28"/>
      <c r="C4323" s="27"/>
      <c r="D4323" s="27"/>
      <c r="E4323" s="30"/>
    </row>
    <row r="4324">
      <c r="A4324" s="27"/>
      <c r="B4324" s="28"/>
      <c r="C4324" s="27"/>
      <c r="D4324" s="27"/>
      <c r="E4324" s="30"/>
    </row>
    <row r="4325">
      <c r="A4325" s="27"/>
      <c r="B4325" s="28"/>
      <c r="C4325" s="27"/>
      <c r="D4325" s="27"/>
      <c r="E4325" s="30"/>
    </row>
    <row r="4326">
      <c r="A4326" s="27"/>
      <c r="B4326" s="28"/>
      <c r="C4326" s="27"/>
      <c r="D4326" s="27"/>
      <c r="E4326" s="30"/>
    </row>
    <row r="4327">
      <c r="A4327" s="27"/>
      <c r="B4327" s="28"/>
      <c r="C4327" s="27"/>
      <c r="D4327" s="27"/>
      <c r="E4327" s="30"/>
    </row>
    <row r="4328">
      <c r="A4328" s="27"/>
      <c r="B4328" s="28"/>
      <c r="C4328" s="27"/>
      <c r="D4328" s="27"/>
      <c r="E4328" s="30"/>
    </row>
    <row r="4329">
      <c r="A4329" s="27"/>
      <c r="B4329" s="28"/>
      <c r="C4329" s="27"/>
      <c r="D4329" s="27"/>
      <c r="E4329" s="30"/>
    </row>
    <row r="4330">
      <c r="A4330" s="27"/>
      <c r="B4330" s="28"/>
      <c r="C4330" s="27"/>
      <c r="D4330" s="27"/>
      <c r="E4330" s="30"/>
    </row>
    <row r="4331">
      <c r="A4331" s="27"/>
      <c r="B4331" s="28"/>
      <c r="C4331" s="27"/>
      <c r="D4331" s="27"/>
      <c r="E4331" s="30"/>
    </row>
    <row r="4332">
      <c r="A4332" s="27"/>
      <c r="B4332" s="28"/>
      <c r="C4332" s="27"/>
      <c r="D4332" s="27"/>
      <c r="E4332" s="30"/>
    </row>
    <row r="4333">
      <c r="A4333" s="27"/>
      <c r="B4333" s="28"/>
      <c r="C4333" s="27"/>
      <c r="D4333" s="27"/>
      <c r="E4333" s="30"/>
    </row>
    <row r="4334">
      <c r="A4334" s="27"/>
      <c r="B4334" s="28"/>
      <c r="C4334" s="27"/>
      <c r="D4334" s="27"/>
      <c r="E4334" s="30"/>
    </row>
    <row r="4335">
      <c r="A4335" s="27"/>
      <c r="B4335" s="28"/>
      <c r="C4335" s="27"/>
      <c r="D4335" s="27"/>
      <c r="E4335" s="30"/>
    </row>
    <row r="4336">
      <c r="A4336" s="27"/>
      <c r="B4336" s="28"/>
      <c r="C4336" s="27"/>
      <c r="D4336" s="27"/>
      <c r="E4336" s="30"/>
    </row>
    <row r="4337">
      <c r="A4337" s="27"/>
      <c r="B4337" s="28"/>
      <c r="C4337" s="27"/>
      <c r="D4337" s="27"/>
      <c r="E4337" s="30"/>
    </row>
    <row r="4338">
      <c r="A4338" s="27"/>
      <c r="B4338" s="28"/>
      <c r="C4338" s="27"/>
      <c r="D4338" s="27"/>
      <c r="E4338" s="30"/>
    </row>
    <row r="4339">
      <c r="A4339" s="27"/>
      <c r="B4339" s="28"/>
      <c r="C4339" s="27"/>
      <c r="D4339" s="27"/>
      <c r="E4339" s="30"/>
    </row>
    <row r="4340">
      <c r="A4340" s="27"/>
      <c r="B4340" s="28"/>
      <c r="C4340" s="27"/>
      <c r="D4340" s="27"/>
      <c r="E4340" s="30"/>
    </row>
    <row r="4341">
      <c r="A4341" s="27"/>
      <c r="B4341" s="28"/>
      <c r="C4341" s="27"/>
      <c r="D4341" s="27"/>
      <c r="E4341" s="30"/>
    </row>
    <row r="4342">
      <c r="A4342" s="27"/>
      <c r="B4342" s="28"/>
      <c r="C4342" s="27"/>
      <c r="D4342" s="27"/>
      <c r="E4342" s="30"/>
    </row>
    <row r="4343">
      <c r="A4343" s="27"/>
      <c r="B4343" s="28"/>
      <c r="C4343" s="27"/>
      <c r="D4343" s="27"/>
      <c r="E4343" s="30"/>
    </row>
    <row r="4344">
      <c r="A4344" s="27"/>
      <c r="B4344" s="28"/>
      <c r="C4344" s="27"/>
      <c r="D4344" s="27"/>
      <c r="E4344" s="30"/>
    </row>
    <row r="4345">
      <c r="A4345" s="27"/>
      <c r="B4345" s="28"/>
      <c r="C4345" s="27"/>
      <c r="D4345" s="27"/>
      <c r="E4345" s="30"/>
    </row>
    <row r="4346">
      <c r="A4346" s="27"/>
      <c r="B4346" s="28"/>
      <c r="C4346" s="27"/>
      <c r="D4346" s="27"/>
      <c r="E4346" s="30"/>
    </row>
    <row r="4347">
      <c r="A4347" s="27"/>
      <c r="B4347" s="28"/>
      <c r="C4347" s="27"/>
      <c r="D4347" s="27"/>
      <c r="E4347" s="30"/>
    </row>
    <row r="4348">
      <c r="A4348" s="27"/>
      <c r="B4348" s="28"/>
      <c r="C4348" s="27"/>
      <c r="D4348" s="27"/>
      <c r="E4348" s="30"/>
    </row>
    <row r="4349">
      <c r="A4349" s="27"/>
      <c r="B4349" s="28"/>
      <c r="C4349" s="27"/>
      <c r="D4349" s="27"/>
      <c r="E4349" s="30"/>
    </row>
    <row r="4350">
      <c r="A4350" s="27"/>
      <c r="B4350" s="28"/>
      <c r="C4350" s="27"/>
      <c r="D4350" s="27"/>
      <c r="E4350" s="30"/>
    </row>
    <row r="4351">
      <c r="A4351" s="27"/>
      <c r="B4351" s="28"/>
      <c r="C4351" s="27"/>
      <c r="D4351" s="27"/>
      <c r="E4351" s="30"/>
    </row>
    <row r="4352">
      <c r="A4352" s="27"/>
      <c r="B4352" s="28"/>
      <c r="C4352" s="27"/>
      <c r="D4352" s="27"/>
      <c r="E4352" s="30"/>
    </row>
    <row r="4353">
      <c r="A4353" s="27"/>
      <c r="B4353" s="28"/>
      <c r="C4353" s="27"/>
      <c r="D4353" s="27"/>
      <c r="E4353" s="30"/>
    </row>
    <row r="4354">
      <c r="A4354" s="27"/>
      <c r="B4354" s="28"/>
      <c r="C4354" s="27"/>
      <c r="D4354" s="27"/>
      <c r="E4354" s="30"/>
    </row>
    <row r="4355">
      <c r="A4355" s="27"/>
      <c r="B4355" s="28"/>
      <c r="C4355" s="27"/>
      <c r="D4355" s="27"/>
      <c r="E4355" s="30"/>
    </row>
    <row r="4356">
      <c r="A4356" s="27"/>
      <c r="B4356" s="28"/>
      <c r="C4356" s="27"/>
      <c r="D4356" s="27"/>
      <c r="E4356" s="30"/>
    </row>
    <row r="4357">
      <c r="A4357" s="27"/>
      <c r="B4357" s="28"/>
      <c r="C4357" s="27"/>
      <c r="D4357" s="27"/>
      <c r="E4357" s="30"/>
    </row>
    <row r="4358">
      <c r="A4358" s="27"/>
      <c r="B4358" s="28"/>
      <c r="C4358" s="27"/>
      <c r="D4358" s="27"/>
      <c r="E4358" s="30"/>
    </row>
    <row r="4359">
      <c r="A4359" s="27"/>
      <c r="B4359" s="28"/>
      <c r="C4359" s="27"/>
      <c r="D4359" s="27"/>
      <c r="E4359" s="30"/>
    </row>
    <row r="4360">
      <c r="A4360" s="27"/>
      <c r="B4360" s="28"/>
      <c r="C4360" s="27"/>
      <c r="D4360" s="27"/>
      <c r="E4360" s="30"/>
    </row>
    <row r="4361">
      <c r="A4361" s="27"/>
      <c r="B4361" s="28"/>
      <c r="C4361" s="27"/>
      <c r="D4361" s="27"/>
      <c r="E4361" s="30"/>
    </row>
    <row r="4362">
      <c r="A4362" s="27"/>
      <c r="B4362" s="28"/>
      <c r="C4362" s="27"/>
      <c r="D4362" s="27"/>
      <c r="E4362" s="30"/>
    </row>
    <row r="4363">
      <c r="A4363" s="27"/>
      <c r="B4363" s="28"/>
      <c r="C4363" s="27"/>
      <c r="D4363" s="27"/>
      <c r="E4363" s="30"/>
    </row>
    <row r="4364">
      <c r="A4364" s="27"/>
      <c r="B4364" s="28"/>
      <c r="C4364" s="27"/>
      <c r="D4364" s="27"/>
      <c r="E4364" s="30"/>
    </row>
    <row r="4365">
      <c r="A4365" s="27"/>
      <c r="B4365" s="28"/>
      <c r="C4365" s="27"/>
      <c r="D4365" s="27"/>
      <c r="E4365" s="30"/>
    </row>
    <row r="4366">
      <c r="A4366" s="27"/>
      <c r="B4366" s="28"/>
      <c r="C4366" s="27"/>
      <c r="D4366" s="27"/>
      <c r="E4366" s="30"/>
    </row>
    <row r="4367">
      <c r="A4367" s="27"/>
      <c r="B4367" s="28"/>
      <c r="C4367" s="27"/>
      <c r="D4367" s="27"/>
      <c r="E4367" s="30"/>
    </row>
    <row r="4368">
      <c r="A4368" s="27"/>
      <c r="B4368" s="28"/>
      <c r="C4368" s="27"/>
      <c r="D4368" s="27"/>
      <c r="E4368" s="30"/>
    </row>
    <row r="4369">
      <c r="A4369" s="27"/>
      <c r="B4369" s="28"/>
      <c r="C4369" s="27"/>
      <c r="D4369" s="27"/>
      <c r="E4369" s="30"/>
    </row>
    <row r="4370">
      <c r="A4370" s="27"/>
      <c r="B4370" s="28"/>
      <c r="C4370" s="27"/>
      <c r="D4370" s="27"/>
      <c r="E4370" s="30"/>
    </row>
    <row r="4371">
      <c r="A4371" s="27"/>
      <c r="B4371" s="28"/>
      <c r="C4371" s="27"/>
      <c r="D4371" s="27"/>
      <c r="E4371" s="30"/>
    </row>
    <row r="4372">
      <c r="A4372" s="27"/>
      <c r="B4372" s="28"/>
      <c r="C4372" s="27"/>
      <c r="D4372" s="27"/>
      <c r="E4372" s="30"/>
    </row>
    <row r="4373">
      <c r="A4373" s="27"/>
      <c r="B4373" s="28"/>
      <c r="C4373" s="27"/>
      <c r="D4373" s="27"/>
      <c r="E4373" s="30"/>
    </row>
    <row r="4374">
      <c r="A4374" s="27"/>
      <c r="B4374" s="28"/>
      <c r="C4374" s="27"/>
      <c r="D4374" s="27"/>
      <c r="E4374" s="30"/>
    </row>
    <row r="4375">
      <c r="A4375" s="27"/>
      <c r="B4375" s="28"/>
      <c r="C4375" s="27"/>
      <c r="D4375" s="27"/>
      <c r="E4375" s="30"/>
    </row>
    <row r="4376">
      <c r="A4376" s="27"/>
      <c r="B4376" s="28"/>
      <c r="C4376" s="27"/>
      <c r="D4376" s="27"/>
      <c r="E4376" s="30"/>
    </row>
    <row r="4377">
      <c r="A4377" s="27"/>
      <c r="B4377" s="28"/>
      <c r="C4377" s="27"/>
      <c r="D4377" s="27"/>
      <c r="E4377" s="30"/>
    </row>
    <row r="4378">
      <c r="A4378" s="27"/>
      <c r="B4378" s="28"/>
      <c r="C4378" s="27"/>
      <c r="D4378" s="27"/>
      <c r="E4378" s="30"/>
    </row>
    <row r="4379">
      <c r="A4379" s="27"/>
      <c r="B4379" s="28"/>
      <c r="C4379" s="27"/>
      <c r="D4379" s="27"/>
      <c r="E4379" s="30"/>
    </row>
    <row r="4380">
      <c r="A4380" s="27"/>
      <c r="B4380" s="28"/>
      <c r="C4380" s="27"/>
      <c r="D4380" s="27"/>
      <c r="E4380" s="30"/>
    </row>
    <row r="4381">
      <c r="A4381" s="27"/>
      <c r="B4381" s="28"/>
      <c r="C4381" s="27"/>
      <c r="D4381" s="27"/>
      <c r="E4381" s="30"/>
    </row>
    <row r="4382">
      <c r="A4382" s="27"/>
      <c r="B4382" s="28"/>
      <c r="C4382" s="27"/>
      <c r="D4382" s="27"/>
      <c r="E4382" s="30"/>
    </row>
    <row r="4383">
      <c r="A4383" s="27"/>
      <c r="B4383" s="28"/>
      <c r="C4383" s="27"/>
      <c r="D4383" s="27"/>
      <c r="E4383" s="30"/>
    </row>
    <row r="4384">
      <c r="A4384" s="27"/>
      <c r="B4384" s="28"/>
      <c r="C4384" s="27"/>
      <c r="D4384" s="27"/>
      <c r="E4384" s="30"/>
    </row>
    <row r="4385">
      <c r="A4385" s="27"/>
      <c r="B4385" s="28"/>
      <c r="C4385" s="27"/>
      <c r="D4385" s="27"/>
      <c r="E4385" s="30"/>
    </row>
    <row r="4386">
      <c r="A4386" s="27"/>
      <c r="B4386" s="28"/>
      <c r="C4386" s="27"/>
      <c r="D4386" s="27"/>
      <c r="E4386" s="30"/>
    </row>
    <row r="4387">
      <c r="A4387" s="27"/>
      <c r="B4387" s="28"/>
      <c r="C4387" s="27"/>
      <c r="D4387" s="27"/>
      <c r="E4387" s="30"/>
    </row>
    <row r="4388">
      <c r="A4388" s="27"/>
      <c r="B4388" s="28"/>
      <c r="C4388" s="27"/>
      <c r="D4388" s="27"/>
      <c r="E4388" s="30"/>
    </row>
    <row r="4389">
      <c r="A4389" s="27"/>
      <c r="B4389" s="28"/>
      <c r="C4389" s="27"/>
      <c r="D4389" s="27"/>
      <c r="E4389" s="30"/>
    </row>
    <row r="4390">
      <c r="A4390" s="27"/>
      <c r="B4390" s="28"/>
      <c r="C4390" s="27"/>
      <c r="D4390" s="27"/>
      <c r="E4390" s="30"/>
    </row>
    <row r="4391">
      <c r="A4391" s="27"/>
      <c r="B4391" s="28"/>
      <c r="C4391" s="27"/>
      <c r="D4391" s="27"/>
      <c r="E4391" s="30"/>
    </row>
    <row r="4392">
      <c r="A4392" s="27"/>
      <c r="B4392" s="28"/>
      <c r="C4392" s="27"/>
      <c r="D4392" s="27"/>
      <c r="E4392" s="30"/>
    </row>
    <row r="4393">
      <c r="A4393" s="27"/>
      <c r="B4393" s="28"/>
      <c r="C4393" s="27"/>
      <c r="D4393" s="27"/>
      <c r="E4393" s="30"/>
    </row>
    <row r="4394">
      <c r="A4394" s="27"/>
      <c r="B4394" s="28"/>
      <c r="C4394" s="27"/>
      <c r="D4394" s="27"/>
      <c r="E4394" s="30"/>
    </row>
    <row r="4395">
      <c r="A4395" s="27"/>
      <c r="B4395" s="28"/>
      <c r="C4395" s="27"/>
      <c r="D4395" s="27"/>
      <c r="E4395" s="30"/>
    </row>
    <row r="4396">
      <c r="A4396" s="27"/>
      <c r="B4396" s="28"/>
      <c r="C4396" s="27"/>
      <c r="D4396" s="27"/>
      <c r="E4396" s="30"/>
    </row>
    <row r="4397">
      <c r="A4397" s="27"/>
      <c r="B4397" s="28"/>
      <c r="C4397" s="27"/>
      <c r="D4397" s="27"/>
      <c r="E4397" s="30"/>
    </row>
    <row r="4398">
      <c r="A4398" s="27"/>
      <c r="B4398" s="28"/>
      <c r="C4398" s="27"/>
      <c r="D4398" s="27"/>
      <c r="E4398" s="30"/>
    </row>
    <row r="4399">
      <c r="A4399" s="27"/>
      <c r="B4399" s="28"/>
      <c r="C4399" s="27"/>
      <c r="D4399" s="27"/>
      <c r="E4399" s="30"/>
    </row>
    <row r="4400">
      <c r="A4400" s="27"/>
      <c r="B4400" s="28"/>
      <c r="C4400" s="27"/>
      <c r="D4400" s="27"/>
      <c r="E4400" s="30"/>
    </row>
    <row r="4401">
      <c r="A4401" s="27"/>
      <c r="B4401" s="28"/>
      <c r="C4401" s="27"/>
      <c r="D4401" s="27"/>
      <c r="E4401" s="30"/>
    </row>
    <row r="4402">
      <c r="A4402" s="27"/>
      <c r="B4402" s="28"/>
      <c r="C4402" s="27"/>
      <c r="D4402" s="27"/>
      <c r="E4402" s="30"/>
    </row>
    <row r="4403">
      <c r="A4403" s="27"/>
      <c r="B4403" s="28"/>
      <c r="C4403" s="27"/>
      <c r="D4403" s="27"/>
      <c r="E4403" s="30"/>
    </row>
    <row r="4404">
      <c r="A4404" s="27"/>
      <c r="B4404" s="28"/>
      <c r="C4404" s="27"/>
      <c r="D4404" s="27"/>
      <c r="E4404" s="30"/>
    </row>
    <row r="4405">
      <c r="A4405" s="27"/>
      <c r="B4405" s="28"/>
      <c r="C4405" s="27"/>
      <c r="D4405" s="27"/>
      <c r="E4405" s="30"/>
    </row>
    <row r="4406">
      <c r="A4406" s="27"/>
      <c r="B4406" s="28"/>
      <c r="C4406" s="27"/>
      <c r="D4406" s="27"/>
      <c r="E4406" s="30"/>
    </row>
    <row r="4407">
      <c r="A4407" s="27"/>
      <c r="B4407" s="28"/>
      <c r="C4407" s="27"/>
      <c r="D4407" s="27"/>
      <c r="E4407" s="30"/>
    </row>
    <row r="4408">
      <c r="A4408" s="27"/>
      <c r="B4408" s="28"/>
      <c r="C4408" s="27"/>
      <c r="D4408" s="27"/>
      <c r="E4408" s="30"/>
    </row>
    <row r="4409">
      <c r="A4409" s="27"/>
      <c r="B4409" s="28"/>
      <c r="C4409" s="27"/>
      <c r="D4409" s="27"/>
      <c r="E4409" s="30"/>
    </row>
    <row r="4410">
      <c r="A4410" s="27"/>
      <c r="B4410" s="28"/>
      <c r="C4410" s="27"/>
      <c r="D4410" s="27"/>
      <c r="E4410" s="30"/>
    </row>
    <row r="4411">
      <c r="A4411" s="27"/>
      <c r="B4411" s="28"/>
      <c r="C4411" s="27"/>
      <c r="D4411" s="27"/>
      <c r="E4411" s="30"/>
    </row>
    <row r="4412">
      <c r="A4412" s="27"/>
      <c r="B4412" s="28"/>
      <c r="C4412" s="27"/>
      <c r="D4412" s="27"/>
      <c r="E4412" s="30"/>
    </row>
    <row r="4413">
      <c r="A4413" s="27"/>
      <c r="B4413" s="28"/>
      <c r="C4413" s="27"/>
      <c r="D4413" s="27"/>
      <c r="E4413" s="30"/>
    </row>
    <row r="4414">
      <c r="A4414" s="27"/>
      <c r="B4414" s="28"/>
      <c r="C4414" s="27"/>
      <c r="D4414" s="27"/>
      <c r="E4414" s="30"/>
    </row>
    <row r="4415">
      <c r="A4415" s="27"/>
      <c r="B4415" s="28"/>
      <c r="C4415" s="27"/>
      <c r="D4415" s="27"/>
      <c r="E4415" s="30"/>
    </row>
    <row r="4416">
      <c r="A4416" s="27"/>
      <c r="B4416" s="28"/>
      <c r="C4416" s="27"/>
      <c r="D4416" s="27"/>
      <c r="E4416" s="30"/>
    </row>
    <row r="4417">
      <c r="A4417" s="27"/>
      <c r="B4417" s="28"/>
      <c r="C4417" s="27"/>
      <c r="D4417" s="27"/>
      <c r="E4417" s="30"/>
    </row>
    <row r="4418">
      <c r="A4418" s="27"/>
      <c r="B4418" s="28"/>
      <c r="C4418" s="27"/>
      <c r="D4418" s="27"/>
      <c r="E4418" s="30"/>
    </row>
    <row r="4419">
      <c r="A4419" s="27"/>
      <c r="B4419" s="28"/>
      <c r="C4419" s="27"/>
      <c r="D4419" s="27"/>
      <c r="E4419" s="30"/>
    </row>
    <row r="4420">
      <c r="A4420" s="27"/>
      <c r="B4420" s="28"/>
      <c r="C4420" s="27"/>
      <c r="D4420" s="27"/>
      <c r="E4420" s="30"/>
    </row>
    <row r="4421">
      <c r="A4421" s="27"/>
      <c r="B4421" s="28"/>
      <c r="C4421" s="27"/>
      <c r="D4421" s="27"/>
      <c r="E4421" s="30"/>
    </row>
    <row r="4422">
      <c r="A4422" s="27"/>
      <c r="B4422" s="28"/>
      <c r="C4422" s="27"/>
      <c r="D4422" s="27"/>
      <c r="E4422" s="30"/>
    </row>
    <row r="4423">
      <c r="A4423" s="27"/>
      <c r="B4423" s="28"/>
      <c r="C4423" s="27"/>
      <c r="D4423" s="27"/>
      <c r="E4423" s="30"/>
    </row>
    <row r="4424">
      <c r="A4424" s="27"/>
      <c r="B4424" s="28"/>
      <c r="C4424" s="27"/>
      <c r="D4424" s="27"/>
      <c r="E4424" s="30"/>
    </row>
    <row r="4425">
      <c r="A4425" s="27"/>
      <c r="B4425" s="28"/>
      <c r="C4425" s="27"/>
      <c r="D4425" s="27"/>
      <c r="E4425" s="30"/>
    </row>
    <row r="4426">
      <c r="A4426" s="27"/>
      <c r="B4426" s="28"/>
      <c r="C4426" s="27"/>
      <c r="D4426" s="27"/>
      <c r="E4426" s="30"/>
    </row>
    <row r="4427">
      <c r="A4427" s="27"/>
      <c r="B4427" s="28"/>
      <c r="C4427" s="27"/>
      <c r="D4427" s="27"/>
      <c r="E4427" s="30"/>
    </row>
    <row r="4428">
      <c r="A4428" s="27"/>
      <c r="B4428" s="28"/>
      <c r="C4428" s="27"/>
      <c r="D4428" s="27"/>
      <c r="E4428" s="30"/>
    </row>
    <row r="4429">
      <c r="A4429" s="27"/>
      <c r="B4429" s="28"/>
      <c r="C4429" s="27"/>
      <c r="D4429" s="27"/>
      <c r="E4429" s="30"/>
    </row>
    <row r="4430">
      <c r="A4430" s="27"/>
      <c r="B4430" s="28"/>
      <c r="C4430" s="27"/>
      <c r="D4430" s="27"/>
      <c r="E4430" s="30"/>
    </row>
    <row r="4431">
      <c r="A4431" s="27"/>
      <c r="B4431" s="28"/>
      <c r="C4431" s="27"/>
      <c r="D4431" s="27"/>
      <c r="E4431" s="30"/>
    </row>
    <row r="4432">
      <c r="A4432" s="27"/>
      <c r="B4432" s="28"/>
      <c r="C4432" s="27"/>
      <c r="D4432" s="27"/>
      <c r="E4432" s="30"/>
    </row>
    <row r="4433">
      <c r="A4433" s="27"/>
      <c r="B4433" s="28"/>
      <c r="C4433" s="27"/>
      <c r="D4433" s="27"/>
      <c r="E4433" s="30"/>
    </row>
    <row r="4434">
      <c r="A4434" s="27"/>
      <c r="B4434" s="28"/>
      <c r="C4434" s="27"/>
      <c r="D4434" s="27"/>
      <c r="E4434" s="30"/>
    </row>
    <row r="4435">
      <c r="A4435" s="27"/>
      <c r="B4435" s="28"/>
      <c r="C4435" s="27"/>
      <c r="D4435" s="27"/>
      <c r="E4435" s="30"/>
    </row>
    <row r="4436">
      <c r="A4436" s="27"/>
      <c r="B4436" s="28"/>
      <c r="C4436" s="27"/>
      <c r="D4436" s="27"/>
      <c r="E4436" s="30"/>
    </row>
    <row r="4437">
      <c r="A4437" s="27"/>
      <c r="B4437" s="28"/>
      <c r="C4437" s="27"/>
      <c r="D4437" s="27"/>
      <c r="E4437" s="30"/>
    </row>
    <row r="4438">
      <c r="A4438" s="27"/>
      <c r="B4438" s="28"/>
      <c r="C4438" s="27"/>
      <c r="D4438" s="27"/>
      <c r="E4438" s="30"/>
    </row>
    <row r="4439">
      <c r="A4439" s="27"/>
      <c r="B4439" s="28"/>
      <c r="C4439" s="27"/>
      <c r="D4439" s="27"/>
      <c r="E4439" s="30"/>
    </row>
    <row r="4440">
      <c r="A4440" s="27"/>
      <c r="B4440" s="28"/>
      <c r="C4440" s="27"/>
      <c r="D4440" s="27"/>
      <c r="E4440" s="30"/>
    </row>
    <row r="4441">
      <c r="A4441" s="27"/>
      <c r="B4441" s="28"/>
      <c r="C4441" s="27"/>
      <c r="D4441" s="27"/>
      <c r="E4441" s="30"/>
    </row>
    <row r="4442">
      <c r="A4442" s="27"/>
      <c r="B4442" s="28"/>
      <c r="C4442" s="27"/>
      <c r="D4442" s="27"/>
      <c r="E4442" s="30"/>
    </row>
    <row r="4443">
      <c r="A4443" s="27"/>
      <c r="B4443" s="28"/>
      <c r="C4443" s="27"/>
      <c r="D4443" s="27"/>
      <c r="E4443" s="30"/>
    </row>
    <row r="4444">
      <c r="A4444" s="27"/>
      <c r="B4444" s="28"/>
      <c r="C4444" s="27"/>
      <c r="D4444" s="27"/>
      <c r="E4444" s="30"/>
    </row>
    <row r="4445">
      <c r="A4445" s="27"/>
      <c r="B4445" s="28"/>
      <c r="C4445" s="27"/>
      <c r="D4445" s="27"/>
      <c r="E4445" s="30"/>
    </row>
    <row r="4446">
      <c r="A4446" s="27"/>
      <c r="B4446" s="28"/>
      <c r="C4446" s="27"/>
      <c r="D4446" s="27"/>
      <c r="E4446" s="30"/>
    </row>
    <row r="4447">
      <c r="A4447" s="27"/>
      <c r="B4447" s="28"/>
      <c r="C4447" s="27"/>
      <c r="D4447" s="27"/>
      <c r="E4447" s="30"/>
    </row>
    <row r="4448">
      <c r="A4448" s="27"/>
      <c r="B4448" s="28"/>
      <c r="C4448" s="27"/>
      <c r="D4448" s="27"/>
      <c r="E4448" s="30"/>
    </row>
    <row r="4449">
      <c r="A4449" s="27"/>
      <c r="B4449" s="28"/>
      <c r="C4449" s="27"/>
      <c r="D4449" s="27"/>
      <c r="E4449" s="30"/>
    </row>
    <row r="4450">
      <c r="A4450" s="27"/>
      <c r="B4450" s="28"/>
      <c r="C4450" s="27"/>
      <c r="D4450" s="27"/>
      <c r="E4450" s="30"/>
    </row>
    <row r="4451">
      <c r="A4451" s="27"/>
      <c r="B4451" s="28"/>
      <c r="C4451" s="27"/>
      <c r="D4451" s="27"/>
      <c r="E4451" s="30"/>
    </row>
    <row r="4452">
      <c r="A4452" s="27"/>
      <c r="B4452" s="28"/>
      <c r="C4452" s="27"/>
      <c r="D4452" s="27"/>
      <c r="E4452" s="30"/>
    </row>
    <row r="4453">
      <c r="A4453" s="27"/>
      <c r="B4453" s="28"/>
      <c r="C4453" s="27"/>
      <c r="D4453" s="27"/>
      <c r="E4453" s="30"/>
    </row>
    <row r="4454">
      <c r="A4454" s="27"/>
      <c r="B4454" s="28"/>
      <c r="C4454" s="27"/>
      <c r="D4454" s="27"/>
      <c r="E4454" s="30"/>
    </row>
    <row r="4455">
      <c r="A4455" s="27"/>
      <c r="B4455" s="28"/>
      <c r="C4455" s="27"/>
      <c r="D4455" s="27"/>
      <c r="E4455" s="30"/>
    </row>
    <row r="4456">
      <c r="A4456" s="27"/>
      <c r="B4456" s="28"/>
      <c r="C4456" s="27"/>
      <c r="D4456" s="27"/>
      <c r="E4456" s="30"/>
    </row>
    <row r="4457">
      <c r="A4457" s="27"/>
      <c r="B4457" s="28"/>
      <c r="C4457" s="27"/>
      <c r="D4457" s="27"/>
      <c r="E4457" s="30"/>
    </row>
    <row r="4458">
      <c r="A4458" s="27"/>
      <c r="B4458" s="28"/>
      <c r="C4458" s="27"/>
      <c r="D4458" s="27"/>
      <c r="E4458" s="30"/>
    </row>
    <row r="4459">
      <c r="A4459" s="27"/>
      <c r="B4459" s="28"/>
      <c r="C4459" s="27"/>
      <c r="D4459" s="27"/>
      <c r="E4459" s="30"/>
    </row>
    <row r="4460">
      <c r="A4460" s="27"/>
      <c r="B4460" s="28"/>
      <c r="C4460" s="27"/>
      <c r="D4460" s="27"/>
      <c r="E4460" s="30"/>
    </row>
    <row r="4461">
      <c r="A4461" s="27"/>
      <c r="B4461" s="28"/>
      <c r="C4461" s="27"/>
      <c r="D4461" s="27"/>
      <c r="E4461" s="30"/>
    </row>
    <row r="4462">
      <c r="A4462" s="27"/>
      <c r="B4462" s="28"/>
      <c r="C4462" s="27"/>
      <c r="D4462" s="27"/>
      <c r="E4462" s="30"/>
    </row>
    <row r="4463">
      <c r="A4463" s="27"/>
      <c r="B4463" s="28"/>
      <c r="C4463" s="27"/>
      <c r="D4463" s="27"/>
      <c r="E4463" s="30"/>
    </row>
    <row r="4464">
      <c r="A4464" s="27"/>
      <c r="B4464" s="28"/>
      <c r="C4464" s="27"/>
      <c r="D4464" s="27"/>
      <c r="E4464" s="30"/>
    </row>
    <row r="4465">
      <c r="A4465" s="27"/>
      <c r="B4465" s="28"/>
      <c r="C4465" s="27"/>
      <c r="D4465" s="27"/>
      <c r="E4465" s="30"/>
    </row>
    <row r="4466">
      <c r="A4466" s="27"/>
      <c r="B4466" s="28"/>
      <c r="C4466" s="27"/>
      <c r="D4466" s="27"/>
      <c r="E4466" s="30"/>
    </row>
    <row r="4467">
      <c r="A4467" s="27"/>
      <c r="B4467" s="28"/>
      <c r="C4467" s="27"/>
      <c r="D4467" s="27"/>
      <c r="E4467" s="30"/>
    </row>
    <row r="4468">
      <c r="A4468" s="27"/>
      <c r="B4468" s="28"/>
      <c r="C4468" s="27"/>
      <c r="D4468" s="27"/>
      <c r="E4468" s="30"/>
    </row>
    <row r="4469">
      <c r="A4469" s="27"/>
      <c r="B4469" s="28"/>
      <c r="C4469" s="27"/>
      <c r="D4469" s="27"/>
      <c r="E4469" s="30"/>
    </row>
    <row r="4470">
      <c r="A4470" s="27"/>
      <c r="B4470" s="28"/>
      <c r="C4470" s="27"/>
      <c r="D4470" s="27"/>
      <c r="E4470" s="30"/>
    </row>
    <row r="4471">
      <c r="A4471" s="27"/>
      <c r="B4471" s="28"/>
      <c r="C4471" s="27"/>
      <c r="D4471" s="27"/>
      <c r="E4471" s="30"/>
    </row>
    <row r="4472">
      <c r="A4472" s="27"/>
      <c r="B4472" s="28"/>
      <c r="C4472" s="27"/>
      <c r="D4472" s="27"/>
      <c r="E4472" s="30"/>
    </row>
    <row r="4473">
      <c r="A4473" s="27"/>
      <c r="B4473" s="28"/>
      <c r="C4473" s="27"/>
      <c r="D4473" s="27"/>
      <c r="E4473" s="30"/>
    </row>
    <row r="4474">
      <c r="A4474" s="27"/>
      <c r="B4474" s="28"/>
      <c r="C4474" s="27"/>
      <c r="D4474" s="27"/>
      <c r="E4474" s="30"/>
    </row>
    <row r="4475">
      <c r="A4475" s="27"/>
      <c r="B4475" s="28"/>
      <c r="C4475" s="27"/>
      <c r="D4475" s="27"/>
      <c r="E4475" s="30"/>
    </row>
    <row r="4476">
      <c r="A4476" s="27"/>
      <c r="B4476" s="28"/>
      <c r="C4476" s="27"/>
      <c r="D4476" s="27"/>
      <c r="E4476" s="30"/>
    </row>
    <row r="4477">
      <c r="A4477" s="27"/>
      <c r="B4477" s="28"/>
      <c r="C4477" s="27"/>
      <c r="D4477" s="27"/>
      <c r="E4477" s="30"/>
    </row>
    <row r="4478">
      <c r="A4478" s="27"/>
      <c r="B4478" s="28"/>
      <c r="C4478" s="27"/>
      <c r="D4478" s="27"/>
      <c r="E4478" s="30"/>
    </row>
    <row r="4479">
      <c r="A4479" s="27"/>
      <c r="B4479" s="28"/>
      <c r="C4479" s="27"/>
      <c r="D4479" s="27"/>
      <c r="E4479" s="30"/>
    </row>
    <row r="4480">
      <c r="A4480" s="27"/>
      <c r="B4480" s="28"/>
      <c r="C4480" s="27"/>
      <c r="D4480" s="27"/>
      <c r="E4480" s="30"/>
    </row>
    <row r="4481">
      <c r="A4481" s="27"/>
      <c r="B4481" s="28"/>
      <c r="C4481" s="27"/>
      <c r="D4481" s="27"/>
      <c r="E4481" s="30"/>
    </row>
    <row r="4482">
      <c r="A4482" s="27"/>
      <c r="B4482" s="28"/>
      <c r="C4482" s="27"/>
      <c r="D4482" s="27"/>
      <c r="E4482" s="30"/>
    </row>
    <row r="4483">
      <c r="A4483" s="27"/>
      <c r="B4483" s="28"/>
      <c r="C4483" s="27"/>
      <c r="D4483" s="27"/>
      <c r="E4483" s="30"/>
    </row>
    <row r="4484">
      <c r="A4484" s="27"/>
      <c r="B4484" s="28"/>
      <c r="C4484" s="27"/>
      <c r="D4484" s="27"/>
      <c r="E4484" s="30"/>
    </row>
    <row r="4485">
      <c r="A4485" s="27"/>
      <c r="B4485" s="28"/>
      <c r="C4485" s="27"/>
      <c r="D4485" s="27"/>
      <c r="E4485" s="30"/>
    </row>
    <row r="4486">
      <c r="A4486" s="27"/>
      <c r="B4486" s="28"/>
      <c r="C4486" s="27"/>
      <c r="D4486" s="27"/>
      <c r="E4486" s="30"/>
    </row>
    <row r="4487">
      <c r="A4487" s="27"/>
      <c r="B4487" s="28"/>
      <c r="C4487" s="27"/>
      <c r="D4487" s="27"/>
      <c r="E4487" s="30"/>
    </row>
    <row r="4488">
      <c r="A4488" s="27"/>
      <c r="B4488" s="28"/>
      <c r="C4488" s="27"/>
      <c r="D4488" s="27"/>
      <c r="E4488" s="30"/>
    </row>
    <row r="4489">
      <c r="A4489" s="27"/>
      <c r="B4489" s="28"/>
      <c r="C4489" s="27"/>
      <c r="D4489" s="27"/>
      <c r="E4489" s="30"/>
    </row>
    <row r="4490">
      <c r="A4490" s="27"/>
      <c r="B4490" s="28"/>
      <c r="C4490" s="27"/>
      <c r="D4490" s="27"/>
      <c r="E4490" s="30"/>
    </row>
    <row r="4491">
      <c r="A4491" s="27"/>
      <c r="B4491" s="28"/>
      <c r="C4491" s="27"/>
      <c r="D4491" s="27"/>
      <c r="E4491" s="30"/>
    </row>
    <row r="4492">
      <c r="A4492" s="27"/>
      <c r="B4492" s="28"/>
      <c r="C4492" s="27"/>
      <c r="D4492" s="27"/>
      <c r="E4492" s="30"/>
    </row>
    <row r="4493">
      <c r="A4493" s="27"/>
      <c r="B4493" s="28"/>
      <c r="C4493" s="27"/>
      <c r="D4493" s="27"/>
      <c r="E4493" s="30"/>
    </row>
    <row r="4494">
      <c r="A4494" s="27"/>
      <c r="B4494" s="28"/>
      <c r="C4494" s="27"/>
      <c r="D4494" s="27"/>
      <c r="E4494" s="30"/>
    </row>
    <row r="4495">
      <c r="A4495" s="27"/>
      <c r="B4495" s="28"/>
      <c r="C4495" s="27"/>
      <c r="D4495" s="27"/>
      <c r="E4495" s="30"/>
    </row>
    <row r="4496">
      <c r="A4496" s="27"/>
      <c r="B4496" s="28"/>
      <c r="C4496" s="27"/>
      <c r="D4496" s="27"/>
      <c r="E4496" s="30"/>
    </row>
    <row r="4497">
      <c r="A4497" s="27"/>
      <c r="B4497" s="28"/>
      <c r="C4497" s="27"/>
      <c r="D4497" s="27"/>
      <c r="E4497" s="30"/>
    </row>
    <row r="4498">
      <c r="A4498" s="27"/>
      <c r="B4498" s="28"/>
      <c r="C4498" s="27"/>
      <c r="D4498" s="27"/>
      <c r="E4498" s="30"/>
    </row>
    <row r="4499">
      <c r="A4499" s="27"/>
      <c r="B4499" s="28"/>
      <c r="C4499" s="27"/>
      <c r="D4499" s="27"/>
      <c r="E4499" s="30"/>
    </row>
    <row r="4500">
      <c r="A4500" s="27"/>
      <c r="B4500" s="28"/>
      <c r="C4500" s="27"/>
      <c r="D4500" s="27"/>
      <c r="E4500" s="30"/>
    </row>
    <row r="4501">
      <c r="A4501" s="27"/>
      <c r="B4501" s="28"/>
      <c r="C4501" s="27"/>
      <c r="D4501" s="27"/>
      <c r="E4501" s="30"/>
    </row>
    <row r="4502">
      <c r="A4502" s="27"/>
      <c r="B4502" s="28"/>
      <c r="C4502" s="27"/>
      <c r="D4502" s="27"/>
      <c r="E4502" s="30"/>
    </row>
    <row r="4503">
      <c r="A4503" s="27"/>
      <c r="B4503" s="28"/>
      <c r="C4503" s="27"/>
      <c r="D4503" s="27"/>
      <c r="E4503" s="30"/>
    </row>
    <row r="4504">
      <c r="A4504" s="27"/>
      <c r="B4504" s="28"/>
      <c r="C4504" s="27"/>
      <c r="D4504" s="27"/>
      <c r="E4504" s="30"/>
    </row>
    <row r="4505">
      <c r="A4505" s="27"/>
      <c r="B4505" s="28"/>
      <c r="C4505" s="27"/>
      <c r="D4505" s="27"/>
      <c r="E4505" s="30"/>
    </row>
    <row r="4506">
      <c r="A4506" s="27"/>
      <c r="B4506" s="28"/>
      <c r="C4506" s="27"/>
      <c r="D4506" s="27"/>
      <c r="E4506" s="30"/>
    </row>
    <row r="4507">
      <c r="A4507" s="27"/>
      <c r="B4507" s="28"/>
      <c r="C4507" s="27"/>
      <c r="D4507" s="27"/>
      <c r="E4507" s="30"/>
    </row>
    <row r="4508">
      <c r="A4508" s="27"/>
      <c r="B4508" s="28"/>
      <c r="C4508" s="27"/>
      <c r="D4508" s="27"/>
      <c r="E4508" s="30"/>
    </row>
    <row r="4509">
      <c r="A4509" s="27"/>
      <c r="B4509" s="28"/>
      <c r="C4509" s="27"/>
      <c r="D4509" s="27"/>
      <c r="E4509" s="30"/>
    </row>
    <row r="4510">
      <c r="A4510" s="27"/>
      <c r="B4510" s="28"/>
      <c r="C4510" s="27"/>
      <c r="D4510" s="27"/>
      <c r="E4510" s="30"/>
    </row>
    <row r="4511">
      <c r="A4511" s="27"/>
      <c r="B4511" s="28"/>
      <c r="C4511" s="27"/>
      <c r="D4511" s="27"/>
      <c r="E4511" s="30"/>
    </row>
    <row r="4512">
      <c r="A4512" s="27"/>
      <c r="B4512" s="28"/>
      <c r="C4512" s="27"/>
      <c r="D4512" s="27"/>
      <c r="E4512" s="30"/>
    </row>
    <row r="4513">
      <c r="A4513" s="27"/>
      <c r="B4513" s="28"/>
      <c r="C4513" s="27"/>
      <c r="D4513" s="27"/>
      <c r="E4513" s="30"/>
    </row>
    <row r="4514">
      <c r="A4514" s="27"/>
      <c r="B4514" s="28"/>
      <c r="C4514" s="27"/>
      <c r="D4514" s="27"/>
      <c r="E4514" s="30"/>
    </row>
    <row r="4515">
      <c r="A4515" s="27"/>
      <c r="B4515" s="28"/>
      <c r="C4515" s="27"/>
      <c r="D4515" s="27"/>
      <c r="E4515" s="30"/>
    </row>
    <row r="4516">
      <c r="A4516" s="27"/>
      <c r="B4516" s="28"/>
      <c r="C4516" s="27"/>
      <c r="D4516" s="27"/>
      <c r="E4516" s="30"/>
    </row>
    <row r="4517">
      <c r="A4517" s="27"/>
      <c r="B4517" s="28"/>
      <c r="C4517" s="27"/>
      <c r="D4517" s="27"/>
      <c r="E4517" s="30"/>
    </row>
    <row r="4518">
      <c r="A4518" s="27"/>
      <c r="B4518" s="28"/>
      <c r="C4518" s="27"/>
      <c r="D4518" s="27"/>
      <c r="E4518" s="30"/>
    </row>
    <row r="4519">
      <c r="A4519" s="27"/>
      <c r="B4519" s="28"/>
      <c r="C4519" s="27"/>
      <c r="D4519" s="27"/>
      <c r="E4519" s="30"/>
    </row>
    <row r="4520">
      <c r="A4520" s="27"/>
      <c r="B4520" s="28"/>
      <c r="C4520" s="27"/>
      <c r="D4520" s="27"/>
      <c r="E4520" s="30"/>
    </row>
    <row r="4521">
      <c r="A4521" s="27"/>
      <c r="B4521" s="28"/>
      <c r="C4521" s="27"/>
      <c r="D4521" s="27"/>
      <c r="E4521" s="30"/>
    </row>
    <row r="4522">
      <c r="A4522" s="27"/>
      <c r="B4522" s="28"/>
      <c r="C4522" s="27"/>
      <c r="D4522" s="27"/>
      <c r="E4522" s="30"/>
    </row>
    <row r="4523">
      <c r="A4523" s="27"/>
      <c r="B4523" s="28"/>
      <c r="C4523" s="27"/>
      <c r="D4523" s="27"/>
      <c r="E4523" s="30"/>
    </row>
    <row r="4524">
      <c r="A4524" s="27"/>
      <c r="B4524" s="28"/>
      <c r="C4524" s="27"/>
      <c r="D4524" s="27"/>
      <c r="E4524" s="30"/>
    </row>
    <row r="4525">
      <c r="A4525" s="27"/>
      <c r="B4525" s="28"/>
      <c r="C4525" s="27"/>
      <c r="D4525" s="27"/>
      <c r="E4525" s="30"/>
    </row>
    <row r="4526">
      <c r="A4526" s="27"/>
      <c r="B4526" s="28"/>
      <c r="C4526" s="27"/>
      <c r="D4526" s="27"/>
      <c r="E4526" s="30"/>
    </row>
    <row r="4527">
      <c r="A4527" s="27"/>
      <c r="B4527" s="28"/>
      <c r="C4527" s="27"/>
      <c r="D4527" s="27"/>
      <c r="E4527" s="30"/>
    </row>
    <row r="4528">
      <c r="A4528" s="27"/>
      <c r="B4528" s="28"/>
      <c r="C4528" s="27"/>
      <c r="D4528" s="27"/>
      <c r="E4528" s="30"/>
    </row>
    <row r="4529">
      <c r="A4529" s="27"/>
      <c r="B4529" s="28"/>
      <c r="C4529" s="27"/>
      <c r="D4529" s="27"/>
      <c r="E4529" s="30"/>
    </row>
    <row r="4530">
      <c r="A4530" s="27"/>
      <c r="B4530" s="28"/>
      <c r="C4530" s="27"/>
      <c r="D4530" s="27"/>
      <c r="E4530" s="30"/>
    </row>
    <row r="4531">
      <c r="A4531" s="27"/>
      <c r="B4531" s="28"/>
      <c r="C4531" s="27"/>
      <c r="D4531" s="27"/>
      <c r="E4531" s="30"/>
    </row>
    <row r="4532">
      <c r="A4532" s="27"/>
      <c r="B4532" s="28"/>
      <c r="C4532" s="27"/>
      <c r="D4532" s="27"/>
      <c r="E4532" s="30"/>
    </row>
    <row r="4533">
      <c r="A4533" s="27"/>
      <c r="B4533" s="28"/>
      <c r="C4533" s="27"/>
      <c r="D4533" s="27"/>
      <c r="E4533" s="30"/>
    </row>
    <row r="4534">
      <c r="A4534" s="27"/>
      <c r="B4534" s="28"/>
      <c r="C4534" s="27"/>
      <c r="D4534" s="27"/>
      <c r="E4534" s="30"/>
    </row>
    <row r="4535">
      <c r="A4535" s="27"/>
      <c r="B4535" s="28"/>
      <c r="C4535" s="27"/>
      <c r="D4535" s="27"/>
      <c r="E4535" s="30"/>
    </row>
    <row r="4536">
      <c r="A4536" s="27"/>
      <c r="B4536" s="28"/>
      <c r="C4536" s="27"/>
      <c r="D4536" s="27"/>
      <c r="E4536" s="30"/>
    </row>
    <row r="4537">
      <c r="A4537" s="27"/>
      <c r="B4537" s="28"/>
      <c r="C4537" s="27"/>
      <c r="D4537" s="27"/>
      <c r="E4537" s="30"/>
    </row>
    <row r="4538">
      <c r="A4538" s="27"/>
      <c r="B4538" s="28"/>
      <c r="C4538" s="27"/>
      <c r="D4538" s="27"/>
      <c r="E4538" s="30"/>
    </row>
    <row r="4539">
      <c r="A4539" s="27"/>
      <c r="B4539" s="28"/>
      <c r="C4539" s="27"/>
      <c r="D4539" s="27"/>
      <c r="E4539" s="30"/>
    </row>
    <row r="4540">
      <c r="A4540" s="27"/>
      <c r="B4540" s="28"/>
      <c r="C4540" s="27"/>
      <c r="D4540" s="27"/>
      <c r="E4540" s="30"/>
    </row>
    <row r="4541">
      <c r="A4541" s="27"/>
      <c r="B4541" s="28"/>
      <c r="C4541" s="27"/>
      <c r="D4541" s="27"/>
      <c r="E4541" s="30"/>
    </row>
    <row r="4542">
      <c r="A4542" s="27"/>
      <c r="B4542" s="28"/>
      <c r="C4542" s="27"/>
      <c r="D4542" s="27"/>
      <c r="E4542" s="30"/>
    </row>
    <row r="4543">
      <c r="A4543" s="27"/>
      <c r="B4543" s="28"/>
      <c r="C4543" s="27"/>
      <c r="D4543" s="27"/>
      <c r="E4543" s="30"/>
    </row>
    <row r="4544">
      <c r="A4544" s="27"/>
      <c r="B4544" s="28"/>
      <c r="C4544" s="27"/>
      <c r="D4544" s="27"/>
      <c r="E4544" s="30"/>
    </row>
    <row r="4545">
      <c r="A4545" s="27"/>
      <c r="B4545" s="28"/>
      <c r="C4545" s="27"/>
      <c r="D4545" s="27"/>
      <c r="E4545" s="30"/>
    </row>
    <row r="4546">
      <c r="A4546" s="27"/>
      <c r="B4546" s="28"/>
      <c r="C4546" s="27"/>
      <c r="D4546" s="27"/>
      <c r="E4546" s="30"/>
    </row>
    <row r="4547">
      <c r="A4547" s="27"/>
      <c r="B4547" s="28"/>
      <c r="C4547" s="27"/>
      <c r="D4547" s="27"/>
      <c r="E4547" s="30"/>
    </row>
    <row r="4548">
      <c r="A4548" s="27"/>
      <c r="B4548" s="28"/>
      <c r="C4548" s="27"/>
      <c r="D4548" s="27"/>
      <c r="E4548" s="30"/>
    </row>
    <row r="4549">
      <c r="A4549" s="27"/>
      <c r="B4549" s="28"/>
      <c r="C4549" s="27"/>
      <c r="D4549" s="27"/>
      <c r="E4549" s="30"/>
    </row>
    <row r="4550">
      <c r="A4550" s="27"/>
      <c r="B4550" s="28"/>
      <c r="C4550" s="27"/>
      <c r="D4550" s="27"/>
      <c r="E4550" s="30"/>
    </row>
    <row r="4551">
      <c r="A4551" s="27"/>
      <c r="B4551" s="28"/>
      <c r="C4551" s="27"/>
      <c r="D4551" s="27"/>
      <c r="E4551" s="30"/>
    </row>
    <row r="4552">
      <c r="A4552" s="27"/>
      <c r="B4552" s="28"/>
      <c r="C4552" s="27"/>
      <c r="D4552" s="27"/>
      <c r="E4552" s="30"/>
    </row>
    <row r="4553">
      <c r="A4553" s="27"/>
      <c r="B4553" s="28"/>
      <c r="C4553" s="27"/>
      <c r="D4553" s="27"/>
      <c r="E4553" s="30"/>
    </row>
    <row r="4554">
      <c r="A4554" s="27"/>
      <c r="B4554" s="28"/>
      <c r="C4554" s="27"/>
      <c r="D4554" s="27"/>
      <c r="E4554" s="30"/>
    </row>
    <row r="4555">
      <c r="A4555" s="27"/>
      <c r="B4555" s="28"/>
      <c r="C4555" s="27"/>
      <c r="D4555" s="27"/>
      <c r="E4555" s="30"/>
    </row>
    <row r="4556">
      <c r="A4556" s="27"/>
      <c r="B4556" s="28"/>
      <c r="C4556" s="27"/>
      <c r="D4556" s="27"/>
      <c r="E4556" s="30"/>
    </row>
    <row r="4557">
      <c r="A4557" s="27"/>
      <c r="B4557" s="28"/>
      <c r="C4557" s="27"/>
      <c r="D4557" s="27"/>
      <c r="E4557" s="30"/>
    </row>
    <row r="4558">
      <c r="A4558" s="27"/>
      <c r="B4558" s="28"/>
      <c r="C4558" s="27"/>
      <c r="D4558" s="27"/>
      <c r="E4558" s="30"/>
    </row>
    <row r="4559">
      <c r="A4559" s="27"/>
      <c r="B4559" s="28"/>
      <c r="C4559" s="27"/>
      <c r="D4559" s="27"/>
      <c r="E4559" s="30"/>
    </row>
    <row r="4560">
      <c r="A4560" s="27"/>
      <c r="B4560" s="28"/>
      <c r="C4560" s="27"/>
      <c r="D4560" s="27"/>
      <c r="E4560" s="30"/>
    </row>
    <row r="4561">
      <c r="A4561" s="27"/>
      <c r="B4561" s="28"/>
      <c r="C4561" s="27"/>
      <c r="D4561" s="27"/>
      <c r="E4561" s="30"/>
    </row>
    <row r="4562">
      <c r="A4562" s="27"/>
      <c r="B4562" s="28"/>
      <c r="C4562" s="27"/>
      <c r="D4562" s="27"/>
      <c r="E4562" s="30"/>
    </row>
    <row r="4563">
      <c r="A4563" s="27"/>
      <c r="B4563" s="28"/>
      <c r="C4563" s="27"/>
      <c r="D4563" s="27"/>
      <c r="E4563" s="30"/>
    </row>
    <row r="4564">
      <c r="A4564" s="27"/>
      <c r="B4564" s="28"/>
      <c r="C4564" s="27"/>
      <c r="D4564" s="27"/>
      <c r="E4564" s="30"/>
    </row>
    <row r="4565">
      <c r="A4565" s="27"/>
      <c r="B4565" s="28"/>
      <c r="C4565" s="27"/>
      <c r="D4565" s="27"/>
      <c r="E4565" s="30"/>
    </row>
    <row r="4566">
      <c r="A4566" s="27"/>
      <c r="B4566" s="28"/>
      <c r="C4566" s="27"/>
      <c r="D4566" s="27"/>
      <c r="E4566" s="30"/>
    </row>
    <row r="4567">
      <c r="A4567" s="27"/>
      <c r="B4567" s="28"/>
      <c r="C4567" s="27"/>
      <c r="D4567" s="27"/>
      <c r="E4567" s="30"/>
    </row>
    <row r="4568">
      <c r="A4568" s="27"/>
      <c r="B4568" s="28"/>
      <c r="C4568" s="27"/>
      <c r="D4568" s="27"/>
      <c r="E4568" s="30"/>
    </row>
    <row r="4569">
      <c r="A4569" s="27"/>
      <c r="B4569" s="28"/>
      <c r="C4569" s="27"/>
      <c r="D4569" s="27"/>
      <c r="E4569" s="30"/>
    </row>
    <row r="4570">
      <c r="A4570" s="27"/>
      <c r="B4570" s="28"/>
      <c r="C4570" s="27"/>
      <c r="D4570" s="27"/>
      <c r="E4570" s="30"/>
    </row>
    <row r="4571">
      <c r="A4571" s="27"/>
      <c r="B4571" s="28"/>
      <c r="C4571" s="27"/>
      <c r="D4571" s="27"/>
      <c r="E4571" s="30"/>
    </row>
    <row r="4572">
      <c r="A4572" s="27"/>
      <c r="B4572" s="28"/>
      <c r="C4572" s="27"/>
      <c r="D4572" s="27"/>
      <c r="E4572" s="30"/>
    </row>
    <row r="4573">
      <c r="A4573" s="27"/>
      <c r="B4573" s="28"/>
      <c r="C4573" s="27"/>
      <c r="D4573" s="27"/>
      <c r="E4573" s="30"/>
    </row>
    <row r="4574">
      <c r="A4574" s="27"/>
      <c r="B4574" s="28"/>
      <c r="C4574" s="27"/>
      <c r="D4574" s="27"/>
      <c r="E4574" s="30"/>
    </row>
    <row r="4575">
      <c r="A4575" s="27"/>
      <c r="B4575" s="28"/>
      <c r="C4575" s="27"/>
      <c r="D4575" s="27"/>
      <c r="E4575" s="30"/>
    </row>
    <row r="4576">
      <c r="A4576" s="27"/>
      <c r="B4576" s="28"/>
      <c r="C4576" s="27"/>
      <c r="D4576" s="27"/>
      <c r="E4576" s="30"/>
    </row>
    <row r="4577">
      <c r="A4577" s="27"/>
      <c r="B4577" s="28"/>
      <c r="C4577" s="27"/>
      <c r="D4577" s="27"/>
      <c r="E4577" s="30"/>
    </row>
    <row r="4578">
      <c r="A4578" s="27"/>
      <c r="B4578" s="28"/>
      <c r="C4578" s="27"/>
      <c r="D4578" s="27"/>
      <c r="E4578" s="30"/>
    </row>
    <row r="4579">
      <c r="A4579" s="27"/>
      <c r="B4579" s="28"/>
      <c r="C4579" s="27"/>
      <c r="D4579" s="27"/>
      <c r="E4579" s="30"/>
    </row>
    <row r="4580">
      <c r="A4580" s="27"/>
      <c r="B4580" s="28"/>
      <c r="C4580" s="27"/>
      <c r="D4580" s="27"/>
      <c r="E4580" s="30"/>
    </row>
    <row r="4581">
      <c r="A4581" s="27"/>
      <c r="B4581" s="28"/>
      <c r="C4581" s="27"/>
      <c r="D4581" s="27"/>
      <c r="E4581" s="30"/>
    </row>
    <row r="4582">
      <c r="A4582" s="27"/>
      <c r="B4582" s="28"/>
      <c r="C4582" s="27"/>
      <c r="D4582" s="27"/>
      <c r="E4582" s="30"/>
    </row>
    <row r="4583">
      <c r="A4583" s="27"/>
      <c r="B4583" s="28"/>
      <c r="C4583" s="27"/>
      <c r="D4583" s="27"/>
      <c r="E4583" s="30"/>
    </row>
    <row r="4584">
      <c r="A4584" s="27"/>
      <c r="B4584" s="28"/>
      <c r="C4584" s="27"/>
      <c r="D4584" s="27"/>
      <c r="E4584" s="30"/>
    </row>
    <row r="4585">
      <c r="A4585" s="27"/>
      <c r="B4585" s="28"/>
      <c r="C4585" s="27"/>
      <c r="D4585" s="27"/>
      <c r="E4585" s="30"/>
    </row>
    <row r="4586">
      <c r="A4586" s="27"/>
      <c r="B4586" s="28"/>
      <c r="C4586" s="27"/>
      <c r="D4586" s="27"/>
      <c r="E4586" s="30"/>
    </row>
    <row r="4587">
      <c r="A4587" s="27"/>
      <c r="B4587" s="28"/>
      <c r="C4587" s="27"/>
      <c r="D4587" s="27"/>
      <c r="E4587" s="30"/>
    </row>
    <row r="4588">
      <c r="A4588" s="27"/>
      <c r="B4588" s="28"/>
      <c r="C4588" s="27"/>
      <c r="D4588" s="27"/>
      <c r="E4588" s="30"/>
    </row>
    <row r="4589">
      <c r="A4589" s="27"/>
      <c r="B4589" s="28"/>
      <c r="C4589" s="27"/>
      <c r="D4589" s="27"/>
      <c r="E4589" s="30"/>
    </row>
    <row r="4590">
      <c r="A4590" s="27"/>
      <c r="B4590" s="28"/>
      <c r="C4590" s="27"/>
      <c r="D4590" s="27"/>
      <c r="E4590" s="30"/>
    </row>
    <row r="4591">
      <c r="A4591" s="27"/>
      <c r="B4591" s="28"/>
      <c r="C4591" s="27"/>
      <c r="D4591" s="27"/>
      <c r="E4591" s="30"/>
    </row>
    <row r="4592">
      <c r="A4592" s="27"/>
      <c r="B4592" s="28"/>
      <c r="C4592" s="27"/>
      <c r="D4592" s="27"/>
      <c r="E4592" s="30"/>
    </row>
    <row r="4593">
      <c r="A4593" s="27"/>
      <c r="B4593" s="28"/>
      <c r="C4593" s="27"/>
      <c r="D4593" s="27"/>
      <c r="E4593" s="30"/>
    </row>
    <row r="4594">
      <c r="A4594" s="27"/>
      <c r="B4594" s="28"/>
      <c r="C4594" s="27"/>
      <c r="D4594" s="27"/>
      <c r="E4594" s="30"/>
    </row>
    <row r="4595">
      <c r="A4595" s="27"/>
      <c r="B4595" s="28"/>
      <c r="C4595" s="27"/>
      <c r="D4595" s="27"/>
      <c r="E4595" s="30"/>
    </row>
    <row r="4596">
      <c r="A4596" s="27"/>
      <c r="B4596" s="28"/>
      <c r="C4596" s="27"/>
      <c r="D4596" s="27"/>
      <c r="E4596" s="30"/>
    </row>
    <row r="4597">
      <c r="A4597" s="27"/>
      <c r="B4597" s="28"/>
      <c r="C4597" s="27"/>
      <c r="D4597" s="27"/>
      <c r="E4597" s="30"/>
    </row>
    <row r="4598">
      <c r="A4598" s="27"/>
      <c r="B4598" s="28"/>
      <c r="C4598" s="27"/>
      <c r="D4598" s="27"/>
      <c r="E4598" s="30"/>
    </row>
    <row r="4599">
      <c r="A4599" s="27"/>
      <c r="B4599" s="28"/>
      <c r="C4599" s="27"/>
      <c r="D4599" s="27"/>
      <c r="E4599" s="30"/>
    </row>
    <row r="4600">
      <c r="A4600" s="27"/>
      <c r="B4600" s="28"/>
      <c r="C4600" s="27"/>
      <c r="D4600" s="27"/>
      <c r="E4600" s="30"/>
    </row>
    <row r="4601">
      <c r="A4601" s="27"/>
      <c r="B4601" s="28"/>
      <c r="C4601" s="27"/>
      <c r="D4601" s="27"/>
      <c r="E4601" s="30"/>
    </row>
    <row r="4602">
      <c r="A4602" s="27"/>
      <c r="B4602" s="28"/>
      <c r="C4602" s="27"/>
      <c r="D4602" s="27"/>
      <c r="E4602" s="30"/>
    </row>
    <row r="4603">
      <c r="A4603" s="27"/>
      <c r="B4603" s="28"/>
      <c r="C4603" s="27"/>
      <c r="D4603" s="27"/>
      <c r="E4603" s="30"/>
    </row>
    <row r="4604">
      <c r="A4604" s="27"/>
      <c r="B4604" s="28"/>
      <c r="C4604" s="27"/>
      <c r="D4604" s="27"/>
      <c r="E4604" s="30"/>
    </row>
    <row r="4605">
      <c r="A4605" s="27"/>
      <c r="B4605" s="28"/>
      <c r="C4605" s="27"/>
      <c r="D4605" s="27"/>
      <c r="E4605" s="30"/>
    </row>
    <row r="4606">
      <c r="A4606" s="27"/>
      <c r="B4606" s="28"/>
      <c r="C4606" s="27"/>
      <c r="D4606" s="27"/>
      <c r="E4606" s="30"/>
    </row>
    <row r="4607">
      <c r="A4607" s="27"/>
      <c r="B4607" s="28"/>
      <c r="C4607" s="27"/>
      <c r="D4607" s="27"/>
      <c r="E4607" s="30"/>
    </row>
    <row r="4608">
      <c r="A4608" s="27"/>
      <c r="B4608" s="28"/>
      <c r="C4608" s="27"/>
      <c r="D4608" s="27"/>
      <c r="E4608" s="30"/>
    </row>
    <row r="4609">
      <c r="A4609" s="27"/>
      <c r="B4609" s="28"/>
      <c r="C4609" s="27"/>
      <c r="D4609" s="27"/>
      <c r="E4609" s="30"/>
    </row>
    <row r="4610">
      <c r="A4610" s="27"/>
      <c r="B4610" s="28"/>
      <c r="C4610" s="27"/>
      <c r="D4610" s="27"/>
      <c r="E4610" s="30"/>
    </row>
    <row r="4611">
      <c r="A4611" s="27"/>
      <c r="B4611" s="28"/>
      <c r="C4611" s="27"/>
      <c r="D4611" s="27"/>
      <c r="E4611" s="30"/>
    </row>
    <row r="4612">
      <c r="A4612" s="27"/>
      <c r="B4612" s="28"/>
      <c r="C4612" s="27"/>
      <c r="D4612" s="27"/>
      <c r="E4612" s="30"/>
    </row>
    <row r="4613">
      <c r="A4613" s="27"/>
      <c r="B4613" s="28"/>
      <c r="C4613" s="27"/>
      <c r="D4613" s="27"/>
      <c r="E4613" s="30"/>
    </row>
    <row r="4614">
      <c r="A4614" s="27"/>
      <c r="B4614" s="28"/>
      <c r="C4614" s="27"/>
      <c r="D4614" s="27"/>
      <c r="E4614" s="30"/>
    </row>
    <row r="4615">
      <c r="A4615" s="27"/>
      <c r="B4615" s="28"/>
      <c r="C4615" s="27"/>
      <c r="D4615" s="27"/>
      <c r="E4615" s="30"/>
    </row>
    <row r="4616">
      <c r="A4616" s="27"/>
      <c r="B4616" s="28"/>
      <c r="C4616" s="27"/>
      <c r="D4616" s="27"/>
      <c r="E4616" s="30"/>
    </row>
    <row r="4617">
      <c r="A4617" s="27"/>
      <c r="B4617" s="28"/>
      <c r="C4617" s="27"/>
      <c r="D4617" s="27"/>
      <c r="E4617" s="30"/>
    </row>
    <row r="4618">
      <c r="A4618" s="27"/>
      <c r="B4618" s="28"/>
      <c r="C4618" s="27"/>
      <c r="D4618" s="27"/>
      <c r="E4618" s="30"/>
    </row>
    <row r="4619">
      <c r="A4619" s="27"/>
      <c r="B4619" s="28"/>
      <c r="C4619" s="27"/>
      <c r="D4619" s="27"/>
      <c r="E4619" s="30"/>
    </row>
    <row r="4620">
      <c r="A4620" s="27"/>
      <c r="B4620" s="28"/>
      <c r="C4620" s="27"/>
      <c r="D4620" s="27"/>
      <c r="E4620" s="30"/>
    </row>
    <row r="4621">
      <c r="A4621" s="27"/>
      <c r="B4621" s="28"/>
      <c r="C4621" s="27"/>
      <c r="D4621" s="27"/>
      <c r="E4621" s="30"/>
    </row>
    <row r="4622">
      <c r="A4622" s="27"/>
      <c r="B4622" s="28"/>
      <c r="C4622" s="27"/>
      <c r="D4622" s="27"/>
      <c r="E4622" s="30"/>
    </row>
    <row r="4623">
      <c r="A4623" s="27"/>
      <c r="B4623" s="28"/>
      <c r="C4623" s="27"/>
      <c r="D4623" s="27"/>
      <c r="E4623" s="30"/>
    </row>
    <row r="4624">
      <c r="A4624" s="27"/>
      <c r="B4624" s="28"/>
      <c r="C4624" s="27"/>
      <c r="D4624" s="27"/>
      <c r="E4624" s="30"/>
    </row>
    <row r="4625">
      <c r="A4625" s="27"/>
      <c r="B4625" s="28"/>
      <c r="C4625" s="27"/>
      <c r="D4625" s="27"/>
      <c r="E4625" s="30"/>
    </row>
    <row r="4626">
      <c r="A4626" s="27"/>
      <c r="B4626" s="28"/>
      <c r="C4626" s="27"/>
      <c r="D4626" s="27"/>
      <c r="E4626" s="30"/>
    </row>
    <row r="4627">
      <c r="A4627" s="27"/>
      <c r="B4627" s="28"/>
      <c r="C4627" s="27"/>
      <c r="D4627" s="27"/>
      <c r="E4627" s="30"/>
    </row>
    <row r="4628">
      <c r="A4628" s="27"/>
      <c r="B4628" s="28"/>
      <c r="C4628" s="27"/>
      <c r="D4628" s="27"/>
      <c r="E4628" s="30"/>
    </row>
    <row r="4629">
      <c r="A4629" s="27"/>
      <c r="B4629" s="28"/>
      <c r="C4629" s="27"/>
      <c r="D4629" s="27"/>
      <c r="E4629" s="30"/>
    </row>
    <row r="4630">
      <c r="A4630" s="27"/>
      <c r="B4630" s="28"/>
      <c r="C4630" s="27"/>
      <c r="D4630" s="27"/>
      <c r="E4630" s="30"/>
    </row>
    <row r="4631">
      <c r="A4631" s="27"/>
      <c r="B4631" s="28"/>
      <c r="C4631" s="27"/>
      <c r="D4631" s="27"/>
      <c r="E4631" s="30"/>
    </row>
    <row r="4632">
      <c r="A4632" s="27"/>
      <c r="B4632" s="28"/>
      <c r="C4632" s="27"/>
      <c r="D4632" s="27"/>
      <c r="E4632" s="30"/>
    </row>
    <row r="4633">
      <c r="A4633" s="27"/>
      <c r="B4633" s="28"/>
      <c r="C4633" s="27"/>
      <c r="D4633" s="27"/>
      <c r="E4633" s="30"/>
    </row>
    <row r="4634">
      <c r="A4634" s="27"/>
      <c r="B4634" s="28"/>
      <c r="C4634" s="27"/>
      <c r="D4634" s="27"/>
      <c r="E4634" s="30"/>
    </row>
    <row r="4635">
      <c r="A4635" s="27"/>
      <c r="B4635" s="28"/>
      <c r="C4635" s="27"/>
      <c r="D4635" s="27"/>
      <c r="E4635" s="30"/>
    </row>
    <row r="4636">
      <c r="A4636" s="27"/>
      <c r="B4636" s="28"/>
      <c r="C4636" s="27"/>
      <c r="D4636" s="27"/>
      <c r="E4636" s="30"/>
    </row>
    <row r="4637">
      <c r="A4637" s="27"/>
      <c r="B4637" s="28"/>
      <c r="C4637" s="27"/>
      <c r="D4637" s="27"/>
      <c r="E4637" s="30"/>
    </row>
    <row r="4638">
      <c r="A4638" s="27"/>
      <c r="B4638" s="28"/>
      <c r="C4638" s="27"/>
      <c r="D4638" s="27"/>
      <c r="E4638" s="30"/>
    </row>
    <row r="4639">
      <c r="A4639" s="27"/>
      <c r="B4639" s="28"/>
      <c r="C4639" s="27"/>
      <c r="D4639" s="27"/>
      <c r="E4639" s="30"/>
    </row>
    <row r="4640">
      <c r="A4640" s="27"/>
      <c r="B4640" s="28"/>
      <c r="C4640" s="27"/>
      <c r="D4640" s="27"/>
      <c r="E4640" s="30"/>
    </row>
    <row r="4641">
      <c r="A4641" s="27"/>
      <c r="B4641" s="28"/>
      <c r="C4641" s="27"/>
      <c r="D4641" s="27"/>
      <c r="E4641" s="30"/>
    </row>
    <row r="4642">
      <c r="A4642" s="27"/>
      <c r="B4642" s="28"/>
      <c r="C4642" s="27"/>
      <c r="D4642" s="27"/>
      <c r="E4642" s="30"/>
    </row>
    <row r="4643">
      <c r="A4643" s="27"/>
      <c r="B4643" s="28"/>
      <c r="C4643" s="27"/>
      <c r="D4643" s="27"/>
      <c r="E4643" s="30"/>
    </row>
    <row r="4644">
      <c r="A4644" s="27"/>
      <c r="B4644" s="28"/>
      <c r="C4644" s="27"/>
      <c r="D4644" s="27"/>
      <c r="E4644" s="30"/>
    </row>
    <row r="4645">
      <c r="A4645" s="27"/>
      <c r="B4645" s="28"/>
      <c r="C4645" s="27"/>
      <c r="D4645" s="27"/>
      <c r="E4645" s="30"/>
    </row>
    <row r="4646">
      <c r="A4646" s="27"/>
      <c r="B4646" s="28"/>
      <c r="C4646" s="27"/>
      <c r="D4646" s="27"/>
      <c r="E4646" s="30"/>
    </row>
    <row r="4647">
      <c r="A4647" s="27"/>
      <c r="B4647" s="28"/>
      <c r="C4647" s="27"/>
      <c r="D4647" s="27"/>
      <c r="E4647" s="30"/>
    </row>
    <row r="4648">
      <c r="A4648" s="27"/>
      <c r="B4648" s="28"/>
      <c r="C4648" s="27"/>
      <c r="D4648" s="27"/>
      <c r="E4648" s="30"/>
    </row>
    <row r="4649">
      <c r="A4649" s="27"/>
      <c r="B4649" s="28"/>
      <c r="C4649" s="27"/>
      <c r="D4649" s="27"/>
      <c r="E4649" s="30"/>
    </row>
    <row r="4650">
      <c r="A4650" s="27"/>
      <c r="B4650" s="28"/>
      <c r="C4650" s="27"/>
      <c r="D4650" s="27"/>
      <c r="E4650" s="30"/>
    </row>
    <row r="4651">
      <c r="A4651" s="27"/>
      <c r="B4651" s="28"/>
      <c r="C4651" s="27"/>
      <c r="D4651" s="27"/>
      <c r="E4651" s="30"/>
    </row>
    <row r="4652">
      <c r="A4652" s="27"/>
      <c r="B4652" s="28"/>
      <c r="C4652" s="27"/>
      <c r="D4652" s="27"/>
      <c r="E4652" s="30"/>
    </row>
    <row r="4653">
      <c r="A4653" s="27"/>
      <c r="B4653" s="28"/>
      <c r="C4653" s="27"/>
      <c r="D4653" s="27"/>
      <c r="E4653" s="30"/>
    </row>
    <row r="4654">
      <c r="A4654" s="27"/>
      <c r="B4654" s="28"/>
      <c r="C4654" s="27"/>
      <c r="D4654" s="27"/>
      <c r="E4654" s="30"/>
    </row>
    <row r="4655">
      <c r="A4655" s="27"/>
      <c r="B4655" s="28"/>
      <c r="C4655" s="27"/>
      <c r="D4655" s="27"/>
      <c r="E4655" s="30"/>
    </row>
    <row r="4656">
      <c r="A4656" s="27"/>
      <c r="B4656" s="28"/>
      <c r="C4656" s="27"/>
      <c r="D4656" s="27"/>
      <c r="E4656" s="30"/>
    </row>
    <row r="4657">
      <c r="A4657" s="27"/>
      <c r="B4657" s="28"/>
      <c r="C4657" s="27"/>
      <c r="D4657" s="27"/>
      <c r="E4657" s="30"/>
    </row>
    <row r="4658">
      <c r="A4658" s="27"/>
      <c r="B4658" s="28"/>
      <c r="C4658" s="27"/>
      <c r="D4658" s="27"/>
      <c r="E4658" s="30"/>
    </row>
    <row r="4659">
      <c r="A4659" s="27"/>
      <c r="B4659" s="28"/>
      <c r="C4659" s="27"/>
      <c r="D4659" s="27"/>
      <c r="E4659" s="30"/>
    </row>
    <row r="4660">
      <c r="A4660" s="27"/>
      <c r="B4660" s="28"/>
      <c r="C4660" s="27"/>
      <c r="D4660" s="27"/>
      <c r="E4660" s="30"/>
    </row>
    <row r="4661">
      <c r="A4661" s="27"/>
      <c r="B4661" s="28"/>
      <c r="C4661" s="27"/>
      <c r="D4661" s="27"/>
      <c r="E4661" s="30"/>
    </row>
    <row r="4662">
      <c r="A4662" s="27"/>
      <c r="B4662" s="28"/>
      <c r="C4662" s="27"/>
      <c r="D4662" s="27"/>
      <c r="E4662" s="30"/>
    </row>
    <row r="4663">
      <c r="A4663" s="27"/>
      <c r="B4663" s="28"/>
      <c r="C4663" s="27"/>
      <c r="D4663" s="27"/>
      <c r="E4663" s="30"/>
    </row>
    <row r="4664">
      <c r="A4664" s="27"/>
      <c r="B4664" s="28"/>
      <c r="C4664" s="27"/>
      <c r="D4664" s="27"/>
      <c r="E4664" s="30"/>
    </row>
    <row r="4665">
      <c r="A4665" s="27"/>
      <c r="B4665" s="28"/>
      <c r="C4665" s="27"/>
      <c r="D4665" s="27"/>
      <c r="E4665" s="30"/>
    </row>
    <row r="4666">
      <c r="A4666" s="27"/>
      <c r="B4666" s="28"/>
      <c r="C4666" s="27"/>
      <c r="D4666" s="27"/>
      <c r="E4666" s="30"/>
    </row>
    <row r="4667">
      <c r="A4667" s="27"/>
      <c r="B4667" s="28"/>
      <c r="C4667" s="27"/>
      <c r="D4667" s="27"/>
      <c r="E4667" s="30"/>
    </row>
    <row r="4668">
      <c r="A4668" s="27"/>
      <c r="B4668" s="28"/>
      <c r="C4668" s="27"/>
      <c r="D4668" s="27"/>
      <c r="E4668" s="30"/>
    </row>
    <row r="4669">
      <c r="A4669" s="27"/>
      <c r="B4669" s="28"/>
      <c r="C4669" s="27"/>
      <c r="D4669" s="27"/>
      <c r="E4669" s="30"/>
    </row>
    <row r="4670">
      <c r="A4670" s="27"/>
      <c r="B4670" s="28"/>
      <c r="C4670" s="27"/>
      <c r="D4670" s="27"/>
      <c r="E4670" s="30"/>
    </row>
    <row r="4671">
      <c r="A4671" s="27"/>
      <c r="B4671" s="28"/>
      <c r="C4671" s="27"/>
      <c r="D4671" s="27"/>
      <c r="E4671" s="30"/>
    </row>
    <row r="4672">
      <c r="A4672" s="27"/>
      <c r="B4672" s="28"/>
      <c r="C4672" s="27"/>
      <c r="D4672" s="27"/>
      <c r="E4672" s="30"/>
    </row>
    <row r="4673">
      <c r="A4673" s="27"/>
      <c r="B4673" s="28"/>
      <c r="C4673" s="27"/>
      <c r="D4673" s="27"/>
      <c r="E4673" s="30"/>
    </row>
    <row r="4674">
      <c r="A4674" s="27"/>
      <c r="B4674" s="28"/>
      <c r="C4674" s="27"/>
      <c r="D4674" s="27"/>
      <c r="E4674" s="30"/>
    </row>
    <row r="4675">
      <c r="A4675" s="27"/>
      <c r="B4675" s="28"/>
      <c r="C4675" s="27"/>
      <c r="D4675" s="27"/>
      <c r="E4675" s="30"/>
    </row>
    <row r="4676">
      <c r="A4676" s="27"/>
      <c r="B4676" s="28"/>
      <c r="C4676" s="27"/>
      <c r="D4676" s="27"/>
      <c r="E4676" s="30"/>
    </row>
    <row r="4677">
      <c r="A4677" s="27"/>
      <c r="B4677" s="28"/>
      <c r="C4677" s="27"/>
      <c r="D4677" s="27"/>
      <c r="E4677" s="30"/>
    </row>
    <row r="4678">
      <c r="A4678" s="27"/>
      <c r="B4678" s="28"/>
      <c r="C4678" s="27"/>
      <c r="D4678" s="27"/>
      <c r="E4678" s="30"/>
    </row>
    <row r="4679">
      <c r="A4679" s="27"/>
      <c r="B4679" s="28"/>
      <c r="C4679" s="27"/>
      <c r="D4679" s="27"/>
      <c r="E4679" s="30"/>
    </row>
    <row r="4680">
      <c r="A4680" s="27"/>
      <c r="B4680" s="28"/>
      <c r="C4680" s="27"/>
      <c r="D4680" s="27"/>
      <c r="E4680" s="30"/>
    </row>
    <row r="4681">
      <c r="A4681" s="27"/>
      <c r="B4681" s="28"/>
      <c r="C4681" s="27"/>
      <c r="D4681" s="27"/>
      <c r="E4681" s="30"/>
    </row>
    <row r="4682">
      <c r="A4682" s="27"/>
      <c r="B4682" s="28"/>
      <c r="C4682" s="27"/>
      <c r="D4682" s="27"/>
      <c r="E4682" s="30"/>
    </row>
    <row r="4683">
      <c r="A4683" s="27"/>
      <c r="B4683" s="28"/>
      <c r="C4683" s="27"/>
      <c r="D4683" s="27"/>
      <c r="E4683" s="30"/>
    </row>
    <row r="4684">
      <c r="A4684" s="27"/>
      <c r="B4684" s="28"/>
      <c r="C4684" s="27"/>
      <c r="D4684" s="27"/>
      <c r="E4684" s="30"/>
    </row>
    <row r="4685">
      <c r="A4685" s="27"/>
      <c r="B4685" s="28"/>
      <c r="C4685" s="27"/>
      <c r="D4685" s="27"/>
      <c r="E4685" s="30"/>
    </row>
    <row r="4686">
      <c r="A4686" s="27"/>
      <c r="B4686" s="28"/>
      <c r="C4686" s="27"/>
      <c r="D4686" s="27"/>
      <c r="E4686" s="30"/>
    </row>
    <row r="4687">
      <c r="A4687" s="27"/>
      <c r="B4687" s="28"/>
      <c r="C4687" s="27"/>
      <c r="D4687" s="27"/>
      <c r="E4687" s="30"/>
    </row>
    <row r="4688">
      <c r="A4688" s="27"/>
      <c r="B4688" s="28"/>
      <c r="C4688" s="27"/>
      <c r="D4688" s="27"/>
      <c r="E4688" s="30"/>
    </row>
    <row r="4689">
      <c r="A4689" s="27"/>
      <c r="B4689" s="28"/>
      <c r="C4689" s="27"/>
      <c r="D4689" s="27"/>
      <c r="E4689" s="30"/>
    </row>
    <row r="4690">
      <c r="A4690" s="27"/>
      <c r="B4690" s="28"/>
      <c r="C4690" s="27"/>
      <c r="D4690" s="27"/>
      <c r="E4690" s="30"/>
    </row>
    <row r="4691">
      <c r="A4691" s="27"/>
      <c r="B4691" s="28"/>
      <c r="C4691" s="27"/>
      <c r="D4691" s="27"/>
      <c r="E4691" s="30"/>
    </row>
    <row r="4692">
      <c r="A4692" s="27"/>
      <c r="B4692" s="28"/>
      <c r="C4692" s="27"/>
      <c r="D4692" s="27"/>
      <c r="E4692" s="30"/>
    </row>
    <row r="4693">
      <c r="A4693" s="27"/>
      <c r="B4693" s="28"/>
      <c r="C4693" s="27"/>
      <c r="D4693" s="27"/>
      <c r="E4693" s="30"/>
    </row>
    <row r="4694">
      <c r="A4694" s="27"/>
      <c r="B4694" s="28"/>
      <c r="C4694" s="27"/>
      <c r="D4694" s="27"/>
      <c r="E4694" s="30"/>
    </row>
    <row r="4695">
      <c r="A4695" s="27"/>
      <c r="B4695" s="28"/>
      <c r="C4695" s="27"/>
      <c r="D4695" s="27"/>
      <c r="E4695" s="30"/>
    </row>
    <row r="4696">
      <c r="A4696" s="27"/>
      <c r="B4696" s="28"/>
      <c r="C4696" s="27"/>
      <c r="D4696" s="27"/>
      <c r="E4696" s="30"/>
    </row>
    <row r="4697">
      <c r="A4697" s="27"/>
      <c r="B4697" s="28"/>
      <c r="C4697" s="27"/>
      <c r="D4697" s="27"/>
      <c r="E4697" s="30"/>
    </row>
    <row r="4698">
      <c r="A4698" s="27"/>
      <c r="B4698" s="28"/>
      <c r="C4698" s="27"/>
      <c r="D4698" s="27"/>
      <c r="E4698" s="30"/>
    </row>
    <row r="4699">
      <c r="A4699" s="27"/>
      <c r="B4699" s="28"/>
      <c r="C4699" s="27"/>
      <c r="D4699" s="27"/>
      <c r="E4699" s="30"/>
    </row>
    <row r="4700">
      <c r="A4700" s="27"/>
      <c r="B4700" s="28"/>
      <c r="C4700" s="27"/>
      <c r="D4700" s="27"/>
      <c r="E4700" s="30"/>
    </row>
    <row r="4701">
      <c r="A4701" s="27"/>
      <c r="B4701" s="28"/>
      <c r="C4701" s="27"/>
      <c r="D4701" s="27"/>
      <c r="E4701" s="30"/>
    </row>
    <row r="4702">
      <c r="A4702" s="27"/>
      <c r="B4702" s="28"/>
      <c r="C4702" s="27"/>
      <c r="D4702" s="27"/>
      <c r="E4702" s="30"/>
    </row>
    <row r="4703">
      <c r="A4703" s="27"/>
      <c r="B4703" s="28"/>
      <c r="C4703" s="27"/>
      <c r="D4703" s="27"/>
      <c r="E4703" s="30"/>
    </row>
    <row r="4704">
      <c r="A4704" s="27"/>
      <c r="B4704" s="28"/>
      <c r="C4704" s="27"/>
      <c r="D4704" s="27"/>
      <c r="E4704" s="30"/>
    </row>
    <row r="4705">
      <c r="A4705" s="27"/>
      <c r="B4705" s="28"/>
      <c r="C4705" s="27"/>
      <c r="D4705" s="27"/>
      <c r="E4705" s="30"/>
    </row>
    <row r="4706">
      <c r="A4706" s="27"/>
      <c r="B4706" s="28"/>
      <c r="C4706" s="27"/>
      <c r="D4706" s="27"/>
      <c r="E4706" s="30"/>
    </row>
    <row r="4707">
      <c r="A4707" s="27"/>
      <c r="B4707" s="28"/>
      <c r="C4707" s="27"/>
      <c r="D4707" s="27"/>
      <c r="E4707" s="30"/>
    </row>
    <row r="4708">
      <c r="A4708" s="27"/>
      <c r="B4708" s="28"/>
      <c r="C4708" s="27"/>
      <c r="D4708" s="27"/>
      <c r="E4708" s="30"/>
    </row>
    <row r="4709">
      <c r="A4709" s="27"/>
      <c r="B4709" s="28"/>
      <c r="C4709" s="27"/>
      <c r="D4709" s="27"/>
      <c r="E4709" s="30"/>
    </row>
    <row r="4710">
      <c r="A4710" s="27"/>
      <c r="B4710" s="28"/>
      <c r="C4710" s="27"/>
      <c r="D4710" s="27"/>
      <c r="E4710" s="30"/>
    </row>
    <row r="4711">
      <c r="A4711" s="27"/>
      <c r="B4711" s="28"/>
      <c r="C4711" s="27"/>
      <c r="D4711" s="27"/>
      <c r="E4711" s="30"/>
    </row>
    <row r="4712">
      <c r="A4712" s="27"/>
      <c r="B4712" s="28"/>
      <c r="C4712" s="27"/>
      <c r="D4712" s="27"/>
      <c r="E4712" s="30"/>
    </row>
    <row r="4713">
      <c r="A4713" s="27"/>
      <c r="B4713" s="28"/>
      <c r="C4713" s="27"/>
      <c r="D4713" s="27"/>
      <c r="E4713" s="30"/>
    </row>
    <row r="4714">
      <c r="A4714" s="27"/>
      <c r="B4714" s="28"/>
      <c r="C4714" s="27"/>
      <c r="D4714" s="27"/>
      <c r="E4714" s="30"/>
    </row>
    <row r="4715">
      <c r="A4715" s="27"/>
      <c r="B4715" s="28"/>
      <c r="C4715" s="27"/>
      <c r="D4715" s="27"/>
      <c r="E4715" s="30"/>
    </row>
    <row r="4716">
      <c r="A4716" s="27"/>
      <c r="B4716" s="28"/>
      <c r="C4716" s="27"/>
      <c r="D4716" s="27"/>
      <c r="E4716" s="30"/>
    </row>
    <row r="4717">
      <c r="A4717" s="27"/>
      <c r="B4717" s="28"/>
      <c r="C4717" s="27"/>
      <c r="D4717" s="27"/>
      <c r="E4717" s="30"/>
    </row>
    <row r="4718">
      <c r="A4718" s="27"/>
      <c r="B4718" s="28"/>
      <c r="C4718" s="27"/>
      <c r="D4718" s="27"/>
      <c r="E4718" s="30"/>
    </row>
    <row r="4719">
      <c r="A4719" s="27"/>
      <c r="B4719" s="28"/>
      <c r="C4719" s="27"/>
      <c r="D4719" s="27"/>
      <c r="E4719" s="30"/>
    </row>
    <row r="4720">
      <c r="A4720" s="27"/>
      <c r="B4720" s="28"/>
      <c r="C4720" s="27"/>
      <c r="D4720" s="27"/>
      <c r="E4720" s="30"/>
    </row>
    <row r="4721">
      <c r="A4721" s="27"/>
      <c r="B4721" s="28"/>
      <c r="C4721" s="27"/>
      <c r="D4721" s="27"/>
      <c r="E4721" s="30"/>
    </row>
    <row r="4722">
      <c r="A4722" s="27"/>
      <c r="B4722" s="28"/>
      <c r="C4722" s="27"/>
      <c r="D4722" s="27"/>
      <c r="E4722" s="30"/>
    </row>
    <row r="4723">
      <c r="A4723" s="27"/>
      <c r="B4723" s="28"/>
      <c r="C4723" s="27"/>
      <c r="D4723" s="27"/>
      <c r="E4723" s="30"/>
    </row>
    <row r="4724">
      <c r="A4724" s="27"/>
      <c r="B4724" s="28"/>
      <c r="C4724" s="27"/>
      <c r="D4724" s="27"/>
      <c r="E4724" s="30"/>
    </row>
    <row r="4725">
      <c r="A4725" s="27"/>
      <c r="B4725" s="28"/>
      <c r="C4725" s="27"/>
      <c r="D4725" s="27"/>
      <c r="E4725" s="30"/>
    </row>
    <row r="4726">
      <c r="A4726" s="27"/>
      <c r="B4726" s="28"/>
      <c r="C4726" s="27"/>
      <c r="D4726" s="27"/>
      <c r="E4726" s="30"/>
    </row>
    <row r="4727">
      <c r="A4727" s="27"/>
      <c r="B4727" s="28"/>
      <c r="C4727" s="27"/>
      <c r="D4727" s="27"/>
      <c r="E4727" s="30"/>
    </row>
    <row r="4728">
      <c r="A4728" s="27"/>
      <c r="B4728" s="28"/>
      <c r="C4728" s="27"/>
      <c r="D4728" s="27"/>
      <c r="E4728" s="30"/>
    </row>
    <row r="4729">
      <c r="A4729" s="27"/>
      <c r="B4729" s="28"/>
      <c r="C4729" s="27"/>
      <c r="D4729" s="27"/>
      <c r="E4729" s="30"/>
    </row>
    <row r="4730">
      <c r="A4730" s="27"/>
      <c r="B4730" s="28"/>
      <c r="C4730" s="27"/>
      <c r="D4730" s="27"/>
      <c r="E4730" s="30"/>
    </row>
    <row r="4731">
      <c r="A4731" s="27"/>
      <c r="B4731" s="28"/>
      <c r="C4731" s="27"/>
      <c r="D4731" s="27"/>
      <c r="E4731" s="30"/>
    </row>
    <row r="4732">
      <c r="A4732" s="27"/>
      <c r="B4732" s="28"/>
      <c r="C4732" s="27"/>
      <c r="D4732" s="27"/>
      <c r="E4732" s="30"/>
    </row>
    <row r="4733">
      <c r="A4733" s="27"/>
      <c r="B4733" s="28"/>
      <c r="C4733" s="27"/>
      <c r="D4733" s="27"/>
      <c r="E4733" s="30"/>
    </row>
    <row r="4734">
      <c r="A4734" s="27"/>
      <c r="B4734" s="28"/>
      <c r="C4734" s="27"/>
      <c r="D4734" s="27"/>
      <c r="E4734" s="30"/>
    </row>
    <row r="4735">
      <c r="A4735" s="27"/>
      <c r="B4735" s="28"/>
      <c r="C4735" s="27"/>
      <c r="D4735" s="27"/>
      <c r="E4735" s="30"/>
    </row>
    <row r="4736">
      <c r="A4736" s="27"/>
      <c r="B4736" s="28"/>
      <c r="C4736" s="27"/>
      <c r="D4736" s="27"/>
      <c r="E4736" s="30"/>
    </row>
    <row r="4737">
      <c r="A4737" s="27"/>
      <c r="B4737" s="28"/>
      <c r="C4737" s="27"/>
      <c r="D4737" s="27"/>
      <c r="E4737" s="30"/>
    </row>
    <row r="4738">
      <c r="A4738" s="27"/>
      <c r="B4738" s="28"/>
      <c r="C4738" s="27"/>
      <c r="D4738" s="27"/>
      <c r="E4738" s="30"/>
    </row>
    <row r="4739">
      <c r="A4739" s="27"/>
      <c r="B4739" s="28"/>
      <c r="C4739" s="27"/>
      <c r="D4739" s="27"/>
      <c r="E4739" s="30"/>
    </row>
    <row r="4740">
      <c r="A4740" s="27"/>
      <c r="B4740" s="28"/>
      <c r="C4740" s="27"/>
      <c r="D4740" s="27"/>
      <c r="E4740" s="30"/>
    </row>
    <row r="4741">
      <c r="A4741" s="27"/>
      <c r="B4741" s="28"/>
      <c r="C4741" s="27"/>
      <c r="D4741" s="27"/>
      <c r="E4741" s="30"/>
    </row>
    <row r="4742">
      <c r="A4742" s="27"/>
      <c r="B4742" s="28"/>
      <c r="C4742" s="27"/>
      <c r="D4742" s="27"/>
      <c r="E4742" s="30"/>
    </row>
    <row r="4743">
      <c r="A4743" s="27"/>
      <c r="B4743" s="28"/>
      <c r="C4743" s="27"/>
      <c r="D4743" s="27"/>
      <c r="E4743" s="30"/>
    </row>
    <row r="4744">
      <c r="A4744" s="27"/>
      <c r="B4744" s="28"/>
      <c r="C4744" s="27"/>
      <c r="D4744" s="27"/>
      <c r="E4744" s="30"/>
    </row>
    <row r="4745">
      <c r="A4745" s="27"/>
      <c r="B4745" s="28"/>
      <c r="C4745" s="27"/>
      <c r="D4745" s="27"/>
      <c r="E4745" s="30"/>
    </row>
    <row r="4746">
      <c r="A4746" s="27"/>
      <c r="B4746" s="28"/>
      <c r="C4746" s="27"/>
      <c r="D4746" s="27"/>
      <c r="E4746" s="30"/>
    </row>
    <row r="4747">
      <c r="A4747" s="27"/>
      <c r="B4747" s="28"/>
      <c r="C4747" s="27"/>
      <c r="D4747" s="27"/>
      <c r="E4747" s="30"/>
    </row>
    <row r="4748">
      <c r="A4748" s="27"/>
      <c r="B4748" s="28"/>
      <c r="C4748" s="27"/>
      <c r="D4748" s="27"/>
      <c r="E4748" s="30"/>
    </row>
    <row r="4749">
      <c r="A4749" s="27"/>
      <c r="B4749" s="28"/>
      <c r="C4749" s="27"/>
      <c r="D4749" s="27"/>
      <c r="E4749" s="30"/>
    </row>
    <row r="4750">
      <c r="A4750" s="27"/>
      <c r="B4750" s="28"/>
      <c r="C4750" s="27"/>
      <c r="D4750" s="27"/>
      <c r="E4750" s="30"/>
    </row>
    <row r="4751">
      <c r="A4751" s="27"/>
      <c r="B4751" s="28"/>
      <c r="C4751" s="27"/>
      <c r="D4751" s="27"/>
      <c r="E4751" s="30"/>
    </row>
    <row r="4752">
      <c r="A4752" s="27"/>
      <c r="B4752" s="28"/>
      <c r="C4752" s="27"/>
      <c r="D4752" s="27"/>
      <c r="E4752" s="30"/>
    </row>
    <row r="4753">
      <c r="A4753" s="27"/>
      <c r="B4753" s="28"/>
      <c r="C4753" s="27"/>
      <c r="D4753" s="27"/>
      <c r="E4753" s="30"/>
    </row>
    <row r="4754">
      <c r="A4754" s="27"/>
      <c r="B4754" s="28"/>
      <c r="C4754" s="27"/>
      <c r="D4754" s="27"/>
      <c r="E4754" s="30"/>
    </row>
    <row r="4755">
      <c r="A4755" s="27"/>
      <c r="B4755" s="28"/>
      <c r="C4755" s="27"/>
      <c r="D4755" s="27"/>
      <c r="E4755" s="30"/>
    </row>
    <row r="4756">
      <c r="A4756" s="27"/>
      <c r="B4756" s="28"/>
      <c r="C4756" s="27"/>
      <c r="D4756" s="27"/>
      <c r="E4756" s="30"/>
    </row>
    <row r="4757">
      <c r="A4757" s="27"/>
      <c r="B4757" s="28"/>
      <c r="C4757" s="27"/>
      <c r="D4757" s="27"/>
      <c r="E4757" s="30"/>
    </row>
    <row r="4758">
      <c r="A4758" s="27"/>
      <c r="B4758" s="28"/>
      <c r="C4758" s="27"/>
      <c r="D4758" s="27"/>
      <c r="E4758" s="30"/>
    </row>
    <row r="4759">
      <c r="A4759" s="27"/>
      <c r="B4759" s="28"/>
      <c r="C4759" s="27"/>
      <c r="D4759" s="27"/>
      <c r="E4759" s="30"/>
    </row>
    <row r="4760">
      <c r="A4760" s="27"/>
      <c r="B4760" s="28"/>
      <c r="C4760" s="27"/>
      <c r="D4760" s="27"/>
      <c r="E4760" s="30"/>
    </row>
    <row r="4761">
      <c r="A4761" s="27"/>
      <c r="B4761" s="28"/>
      <c r="C4761" s="27"/>
      <c r="D4761" s="27"/>
      <c r="E4761" s="30"/>
    </row>
    <row r="4762">
      <c r="A4762" s="27"/>
      <c r="B4762" s="28"/>
      <c r="C4762" s="27"/>
      <c r="D4762" s="27"/>
      <c r="E4762" s="30"/>
    </row>
    <row r="4763">
      <c r="A4763" s="27"/>
      <c r="B4763" s="28"/>
      <c r="C4763" s="27"/>
      <c r="D4763" s="27"/>
      <c r="E4763" s="30"/>
    </row>
    <row r="4764">
      <c r="A4764" s="27"/>
      <c r="B4764" s="28"/>
      <c r="C4764" s="27"/>
      <c r="D4764" s="27"/>
      <c r="E4764" s="30"/>
    </row>
    <row r="4765">
      <c r="A4765" s="27"/>
      <c r="B4765" s="28"/>
      <c r="C4765" s="27"/>
      <c r="D4765" s="27"/>
      <c r="E4765" s="30"/>
    </row>
    <row r="4766">
      <c r="A4766" s="27"/>
      <c r="B4766" s="28"/>
      <c r="C4766" s="27"/>
      <c r="D4766" s="27"/>
      <c r="E4766" s="30"/>
    </row>
    <row r="4767">
      <c r="A4767" s="27"/>
      <c r="B4767" s="28"/>
      <c r="C4767" s="27"/>
      <c r="D4767" s="27"/>
      <c r="E4767" s="30"/>
    </row>
    <row r="4768">
      <c r="A4768" s="27"/>
      <c r="B4768" s="28"/>
      <c r="C4768" s="27"/>
      <c r="D4768" s="27"/>
      <c r="E4768" s="30"/>
    </row>
    <row r="4769">
      <c r="A4769" s="27"/>
      <c r="B4769" s="28"/>
      <c r="C4769" s="27"/>
      <c r="D4769" s="27"/>
      <c r="E4769" s="30"/>
    </row>
    <row r="4770">
      <c r="A4770" s="27"/>
      <c r="B4770" s="28"/>
      <c r="C4770" s="27"/>
      <c r="D4770" s="27"/>
      <c r="E4770" s="30"/>
    </row>
    <row r="4771">
      <c r="A4771" s="27"/>
      <c r="B4771" s="28"/>
      <c r="C4771" s="27"/>
      <c r="D4771" s="27"/>
      <c r="E4771" s="30"/>
    </row>
    <row r="4772">
      <c r="A4772" s="27"/>
      <c r="B4772" s="28"/>
      <c r="C4772" s="27"/>
      <c r="D4772" s="27"/>
      <c r="E4772" s="30"/>
    </row>
    <row r="4773">
      <c r="A4773" s="27"/>
      <c r="B4773" s="28"/>
      <c r="C4773" s="27"/>
      <c r="D4773" s="27"/>
      <c r="E4773" s="30"/>
    </row>
    <row r="4774">
      <c r="A4774" s="27"/>
      <c r="B4774" s="28"/>
      <c r="C4774" s="27"/>
      <c r="D4774" s="27"/>
      <c r="E4774" s="30"/>
    </row>
    <row r="4775">
      <c r="A4775" s="27"/>
      <c r="B4775" s="28"/>
      <c r="C4775" s="27"/>
      <c r="D4775" s="27"/>
      <c r="E4775" s="30"/>
    </row>
    <row r="4776">
      <c r="A4776" s="27"/>
      <c r="B4776" s="28"/>
      <c r="C4776" s="27"/>
      <c r="D4776" s="27"/>
      <c r="E4776" s="30"/>
    </row>
    <row r="4777">
      <c r="A4777" s="27"/>
      <c r="B4777" s="28"/>
      <c r="C4777" s="27"/>
      <c r="D4777" s="27"/>
      <c r="E4777" s="30"/>
    </row>
    <row r="4778">
      <c r="A4778" s="27"/>
      <c r="B4778" s="28"/>
      <c r="C4778" s="27"/>
      <c r="D4778" s="27"/>
      <c r="E4778" s="30"/>
    </row>
    <row r="4779">
      <c r="A4779" s="27"/>
      <c r="B4779" s="28"/>
      <c r="C4779" s="27"/>
      <c r="D4779" s="27"/>
      <c r="E4779" s="30"/>
    </row>
    <row r="4780">
      <c r="A4780" s="27"/>
      <c r="B4780" s="28"/>
      <c r="C4780" s="27"/>
      <c r="D4780" s="27"/>
      <c r="E4780" s="30"/>
    </row>
    <row r="4781">
      <c r="A4781" s="27"/>
      <c r="B4781" s="28"/>
      <c r="C4781" s="27"/>
      <c r="D4781" s="27"/>
      <c r="E4781" s="30"/>
    </row>
    <row r="4782">
      <c r="A4782" s="27"/>
      <c r="B4782" s="28"/>
      <c r="C4782" s="27"/>
      <c r="D4782" s="27"/>
      <c r="E4782" s="30"/>
    </row>
    <row r="4783">
      <c r="A4783" s="27"/>
      <c r="B4783" s="28"/>
      <c r="C4783" s="27"/>
      <c r="D4783" s="27"/>
      <c r="E4783" s="30"/>
    </row>
    <row r="4784">
      <c r="A4784" s="27"/>
      <c r="B4784" s="28"/>
      <c r="C4784" s="27"/>
      <c r="D4784" s="27"/>
      <c r="E4784" s="30"/>
    </row>
    <row r="4785">
      <c r="A4785" s="27"/>
      <c r="B4785" s="28"/>
      <c r="C4785" s="27"/>
      <c r="D4785" s="27"/>
      <c r="E4785" s="30"/>
    </row>
    <row r="4786">
      <c r="A4786" s="27"/>
      <c r="B4786" s="28"/>
      <c r="C4786" s="27"/>
      <c r="D4786" s="27"/>
      <c r="E4786" s="30"/>
    </row>
    <row r="4787">
      <c r="A4787" s="27"/>
      <c r="B4787" s="28"/>
      <c r="C4787" s="27"/>
      <c r="D4787" s="27"/>
      <c r="E4787" s="30"/>
    </row>
    <row r="4788">
      <c r="A4788" s="27"/>
      <c r="B4788" s="28"/>
      <c r="C4788" s="27"/>
      <c r="D4788" s="27"/>
      <c r="E4788" s="30"/>
    </row>
    <row r="4789">
      <c r="A4789" s="27"/>
      <c r="B4789" s="28"/>
      <c r="C4789" s="27"/>
      <c r="D4789" s="27"/>
      <c r="E4789" s="30"/>
    </row>
    <row r="4790">
      <c r="A4790" s="27"/>
      <c r="B4790" s="28"/>
      <c r="C4790" s="27"/>
      <c r="D4790" s="27"/>
      <c r="E4790" s="30"/>
    </row>
    <row r="4791">
      <c r="A4791" s="27"/>
      <c r="B4791" s="28"/>
      <c r="C4791" s="27"/>
      <c r="D4791" s="27"/>
      <c r="E4791" s="30"/>
    </row>
    <row r="4792">
      <c r="A4792" s="27"/>
      <c r="B4792" s="28"/>
      <c r="C4792" s="27"/>
      <c r="D4792" s="27"/>
      <c r="E4792" s="30"/>
    </row>
    <row r="4793">
      <c r="A4793" s="27"/>
      <c r="B4793" s="28"/>
      <c r="C4793" s="27"/>
      <c r="D4793" s="27"/>
      <c r="E4793" s="30"/>
    </row>
    <row r="4794">
      <c r="A4794" s="27"/>
      <c r="B4794" s="28"/>
      <c r="C4794" s="27"/>
      <c r="D4794" s="27"/>
      <c r="E4794" s="30"/>
    </row>
    <row r="4795">
      <c r="A4795" s="27"/>
      <c r="B4795" s="28"/>
      <c r="C4795" s="27"/>
      <c r="D4795" s="27"/>
      <c r="E4795" s="30"/>
    </row>
    <row r="4796">
      <c r="A4796" s="27"/>
      <c r="B4796" s="28"/>
      <c r="C4796" s="27"/>
      <c r="D4796" s="27"/>
      <c r="E4796" s="30"/>
    </row>
    <row r="4797">
      <c r="A4797" s="27"/>
      <c r="B4797" s="28"/>
      <c r="C4797" s="27"/>
      <c r="D4797" s="27"/>
      <c r="E4797" s="30"/>
    </row>
    <row r="4798">
      <c r="A4798" s="27"/>
      <c r="B4798" s="28"/>
      <c r="C4798" s="27"/>
      <c r="D4798" s="27"/>
      <c r="E4798" s="30"/>
    </row>
    <row r="4799">
      <c r="A4799" s="27"/>
      <c r="B4799" s="28"/>
      <c r="C4799" s="27"/>
      <c r="D4799" s="27"/>
      <c r="E4799" s="30"/>
    </row>
    <row r="4800">
      <c r="A4800" s="27"/>
      <c r="B4800" s="28"/>
      <c r="C4800" s="27"/>
      <c r="D4800" s="27"/>
      <c r="E4800" s="30"/>
    </row>
    <row r="4801">
      <c r="A4801" s="27"/>
      <c r="B4801" s="28"/>
      <c r="C4801" s="27"/>
      <c r="D4801" s="27"/>
      <c r="E4801" s="30"/>
    </row>
    <row r="4802">
      <c r="A4802" s="27"/>
      <c r="B4802" s="28"/>
      <c r="C4802" s="27"/>
      <c r="D4802" s="27"/>
      <c r="E4802" s="30"/>
    </row>
    <row r="4803">
      <c r="A4803" s="27"/>
      <c r="B4803" s="28"/>
      <c r="C4803" s="27"/>
      <c r="D4803" s="27"/>
      <c r="E4803" s="30"/>
    </row>
    <row r="4804">
      <c r="A4804" s="27"/>
      <c r="B4804" s="28"/>
      <c r="C4804" s="27"/>
      <c r="D4804" s="27"/>
      <c r="E4804" s="30"/>
    </row>
    <row r="4805">
      <c r="A4805" s="27"/>
      <c r="B4805" s="28"/>
      <c r="C4805" s="27"/>
      <c r="D4805" s="27"/>
      <c r="E4805" s="30"/>
    </row>
    <row r="4806">
      <c r="A4806" s="27"/>
      <c r="B4806" s="28"/>
      <c r="C4806" s="27"/>
      <c r="D4806" s="27"/>
      <c r="E4806" s="30"/>
    </row>
    <row r="4807">
      <c r="A4807" s="27"/>
      <c r="B4807" s="28"/>
      <c r="C4807" s="27"/>
      <c r="D4807" s="27"/>
      <c r="E4807" s="30"/>
    </row>
    <row r="4808">
      <c r="A4808" s="27"/>
      <c r="B4808" s="28"/>
      <c r="C4808" s="27"/>
      <c r="D4808" s="27"/>
      <c r="E4808" s="30"/>
    </row>
    <row r="4809">
      <c r="A4809" s="27"/>
      <c r="B4809" s="28"/>
      <c r="C4809" s="27"/>
      <c r="D4809" s="27"/>
      <c r="E4809" s="30"/>
    </row>
    <row r="4810">
      <c r="A4810" s="27"/>
      <c r="B4810" s="28"/>
      <c r="C4810" s="27"/>
      <c r="D4810" s="27"/>
      <c r="E4810" s="30"/>
    </row>
    <row r="4811">
      <c r="A4811" s="27"/>
      <c r="B4811" s="28"/>
      <c r="C4811" s="27"/>
      <c r="D4811" s="27"/>
      <c r="E4811" s="30"/>
    </row>
    <row r="4812">
      <c r="A4812" s="27"/>
      <c r="B4812" s="28"/>
      <c r="C4812" s="27"/>
      <c r="D4812" s="27"/>
      <c r="E4812" s="30"/>
    </row>
    <row r="4813">
      <c r="A4813" s="27"/>
      <c r="B4813" s="28"/>
      <c r="C4813" s="27"/>
      <c r="D4813" s="27"/>
      <c r="E4813" s="30"/>
    </row>
    <row r="4814">
      <c r="A4814" s="27"/>
      <c r="B4814" s="28"/>
      <c r="C4814" s="27"/>
      <c r="D4814" s="27"/>
      <c r="E4814" s="30"/>
    </row>
    <row r="4815">
      <c r="A4815" s="27"/>
      <c r="B4815" s="28"/>
      <c r="C4815" s="27"/>
      <c r="D4815" s="27"/>
      <c r="E4815" s="30"/>
    </row>
    <row r="4816">
      <c r="A4816" s="27"/>
      <c r="B4816" s="28"/>
      <c r="C4816" s="27"/>
      <c r="D4816" s="27"/>
      <c r="E4816" s="30"/>
    </row>
    <row r="4817">
      <c r="A4817" s="27"/>
      <c r="B4817" s="28"/>
      <c r="C4817" s="27"/>
      <c r="D4817" s="27"/>
      <c r="E4817" s="30"/>
    </row>
    <row r="4818">
      <c r="A4818" s="27"/>
      <c r="B4818" s="28"/>
      <c r="C4818" s="27"/>
      <c r="D4818" s="27"/>
      <c r="E4818" s="30"/>
    </row>
    <row r="4819">
      <c r="A4819" s="27"/>
      <c r="B4819" s="28"/>
      <c r="C4819" s="27"/>
      <c r="D4819" s="27"/>
      <c r="E4819" s="30"/>
    </row>
    <row r="4820">
      <c r="A4820" s="27"/>
      <c r="B4820" s="28"/>
      <c r="C4820" s="27"/>
      <c r="D4820" s="27"/>
      <c r="E4820" s="30"/>
    </row>
    <row r="4821">
      <c r="A4821" s="27"/>
      <c r="B4821" s="28"/>
      <c r="C4821" s="27"/>
      <c r="D4821" s="27"/>
      <c r="E4821" s="30"/>
    </row>
    <row r="4822">
      <c r="A4822" s="27"/>
      <c r="B4822" s="28"/>
      <c r="C4822" s="27"/>
      <c r="D4822" s="27"/>
      <c r="E4822" s="30"/>
    </row>
    <row r="4823">
      <c r="A4823" s="27"/>
      <c r="B4823" s="28"/>
      <c r="C4823" s="27"/>
      <c r="D4823" s="27"/>
      <c r="E4823" s="30"/>
    </row>
    <row r="4824">
      <c r="A4824" s="27"/>
      <c r="B4824" s="28"/>
      <c r="C4824" s="27"/>
      <c r="D4824" s="27"/>
      <c r="E4824" s="30"/>
    </row>
    <row r="4825">
      <c r="A4825" s="27"/>
      <c r="B4825" s="28"/>
      <c r="C4825" s="27"/>
      <c r="D4825" s="27"/>
      <c r="E4825" s="30"/>
    </row>
    <row r="4826">
      <c r="A4826" s="27"/>
      <c r="B4826" s="28"/>
      <c r="C4826" s="27"/>
      <c r="D4826" s="27"/>
      <c r="E4826" s="30"/>
    </row>
    <row r="4827">
      <c r="A4827" s="27"/>
      <c r="B4827" s="28"/>
      <c r="C4827" s="27"/>
      <c r="D4827" s="27"/>
      <c r="E4827" s="30"/>
    </row>
    <row r="4828">
      <c r="A4828" s="27"/>
      <c r="B4828" s="28"/>
      <c r="C4828" s="27"/>
      <c r="D4828" s="27"/>
      <c r="E4828" s="30"/>
    </row>
    <row r="4829">
      <c r="A4829" s="27"/>
      <c r="B4829" s="28"/>
      <c r="C4829" s="27"/>
      <c r="D4829" s="27"/>
      <c r="E4829" s="30"/>
    </row>
    <row r="4830">
      <c r="A4830" s="27"/>
      <c r="B4830" s="28"/>
      <c r="C4830" s="27"/>
      <c r="D4830" s="27"/>
      <c r="E4830" s="30"/>
    </row>
    <row r="4831">
      <c r="A4831" s="27"/>
      <c r="B4831" s="28"/>
      <c r="C4831" s="27"/>
      <c r="D4831" s="27"/>
      <c r="E4831" s="30"/>
    </row>
    <row r="4832">
      <c r="A4832" s="27"/>
      <c r="B4832" s="28"/>
      <c r="C4832" s="27"/>
      <c r="D4832" s="27"/>
      <c r="E4832" s="30"/>
    </row>
    <row r="4833">
      <c r="A4833" s="27"/>
      <c r="B4833" s="28"/>
      <c r="C4833" s="27"/>
      <c r="D4833" s="27"/>
      <c r="E4833" s="30"/>
    </row>
    <row r="4834">
      <c r="A4834" s="27"/>
      <c r="B4834" s="28"/>
      <c r="C4834" s="27"/>
      <c r="D4834" s="27"/>
      <c r="E4834" s="30"/>
    </row>
    <row r="4835">
      <c r="A4835" s="27"/>
      <c r="B4835" s="28"/>
      <c r="C4835" s="27"/>
      <c r="D4835" s="27"/>
      <c r="E4835" s="30"/>
    </row>
    <row r="4836">
      <c r="A4836" s="27"/>
      <c r="B4836" s="28"/>
      <c r="C4836" s="27"/>
      <c r="D4836" s="27"/>
      <c r="E4836" s="30"/>
    </row>
    <row r="4837">
      <c r="A4837" s="27"/>
      <c r="B4837" s="28"/>
      <c r="C4837" s="27"/>
      <c r="D4837" s="27"/>
      <c r="E4837" s="30"/>
    </row>
    <row r="4838">
      <c r="A4838" s="27"/>
      <c r="B4838" s="28"/>
      <c r="C4838" s="27"/>
      <c r="D4838" s="27"/>
      <c r="E4838" s="30"/>
    </row>
    <row r="4839">
      <c r="A4839" s="27"/>
      <c r="B4839" s="28"/>
      <c r="C4839" s="27"/>
      <c r="D4839" s="27"/>
      <c r="E4839" s="30"/>
    </row>
    <row r="4840">
      <c r="A4840" s="27"/>
      <c r="B4840" s="28"/>
      <c r="C4840" s="27"/>
      <c r="D4840" s="27"/>
      <c r="E4840" s="30"/>
    </row>
    <row r="4841">
      <c r="A4841" s="27"/>
      <c r="B4841" s="28"/>
      <c r="C4841" s="27"/>
      <c r="D4841" s="27"/>
      <c r="E4841" s="30"/>
    </row>
    <row r="4842">
      <c r="A4842" s="27"/>
      <c r="B4842" s="28"/>
      <c r="C4842" s="27"/>
      <c r="D4842" s="27"/>
      <c r="E4842" s="30"/>
    </row>
    <row r="4843">
      <c r="A4843" s="27"/>
      <c r="B4843" s="28"/>
      <c r="C4843" s="27"/>
      <c r="D4843" s="27"/>
      <c r="E4843" s="30"/>
    </row>
    <row r="4844">
      <c r="A4844" s="27"/>
      <c r="B4844" s="28"/>
      <c r="C4844" s="27"/>
      <c r="D4844" s="27"/>
      <c r="E4844" s="30"/>
    </row>
    <row r="4845">
      <c r="A4845" s="27"/>
      <c r="B4845" s="28"/>
      <c r="C4845" s="27"/>
      <c r="D4845" s="27"/>
      <c r="E4845" s="30"/>
    </row>
    <row r="4846">
      <c r="A4846" s="27"/>
      <c r="B4846" s="28"/>
      <c r="C4846" s="27"/>
      <c r="D4846" s="27"/>
      <c r="E4846" s="30"/>
    </row>
    <row r="4847">
      <c r="A4847" s="27"/>
      <c r="B4847" s="28"/>
      <c r="C4847" s="27"/>
      <c r="D4847" s="27"/>
      <c r="E4847" s="30"/>
    </row>
    <row r="4848">
      <c r="A4848" s="27"/>
      <c r="B4848" s="28"/>
      <c r="C4848" s="27"/>
      <c r="D4848" s="27"/>
      <c r="E4848" s="30"/>
    </row>
    <row r="4849">
      <c r="A4849" s="27"/>
      <c r="B4849" s="28"/>
      <c r="C4849" s="27"/>
      <c r="D4849" s="27"/>
      <c r="E4849" s="30"/>
    </row>
    <row r="4850">
      <c r="A4850" s="27"/>
      <c r="B4850" s="28"/>
      <c r="C4850" s="27"/>
      <c r="D4850" s="27"/>
      <c r="E4850" s="30"/>
    </row>
    <row r="4851">
      <c r="A4851" s="27"/>
      <c r="B4851" s="28"/>
      <c r="C4851" s="27"/>
      <c r="D4851" s="27"/>
      <c r="E4851" s="30"/>
    </row>
    <row r="4852">
      <c r="A4852" s="27"/>
      <c r="B4852" s="28"/>
      <c r="C4852" s="27"/>
      <c r="D4852" s="27"/>
      <c r="E4852" s="30"/>
    </row>
    <row r="4853">
      <c r="A4853" s="27"/>
      <c r="B4853" s="28"/>
      <c r="C4853" s="27"/>
      <c r="D4853" s="27"/>
      <c r="E4853" s="30"/>
    </row>
    <row r="4854">
      <c r="A4854" s="27"/>
      <c r="B4854" s="28"/>
      <c r="C4854" s="27"/>
      <c r="D4854" s="27"/>
      <c r="E4854" s="30"/>
    </row>
    <row r="4855">
      <c r="A4855" s="27"/>
      <c r="B4855" s="28"/>
      <c r="C4855" s="27"/>
      <c r="D4855" s="27"/>
      <c r="E4855" s="30"/>
    </row>
    <row r="4856">
      <c r="A4856" s="27"/>
      <c r="B4856" s="28"/>
      <c r="C4856" s="27"/>
      <c r="D4856" s="27"/>
      <c r="E4856" s="30"/>
    </row>
    <row r="4857">
      <c r="A4857" s="27"/>
      <c r="B4857" s="28"/>
      <c r="C4857" s="27"/>
      <c r="D4857" s="27"/>
      <c r="E4857" s="30"/>
    </row>
    <row r="4858">
      <c r="A4858" s="27"/>
      <c r="B4858" s="28"/>
      <c r="C4858" s="27"/>
      <c r="D4858" s="27"/>
      <c r="E4858" s="30"/>
    </row>
    <row r="4859">
      <c r="A4859" s="27"/>
      <c r="B4859" s="28"/>
      <c r="C4859" s="27"/>
      <c r="D4859" s="27"/>
      <c r="E4859" s="30"/>
    </row>
    <row r="4860">
      <c r="A4860" s="27"/>
      <c r="B4860" s="28"/>
      <c r="C4860" s="27"/>
      <c r="D4860" s="27"/>
      <c r="E4860" s="30"/>
    </row>
    <row r="4861">
      <c r="A4861" s="27"/>
      <c r="B4861" s="28"/>
      <c r="C4861" s="27"/>
      <c r="D4861" s="27"/>
      <c r="E4861" s="30"/>
    </row>
    <row r="4862">
      <c r="A4862" s="27"/>
      <c r="B4862" s="28"/>
      <c r="C4862" s="27"/>
      <c r="D4862" s="27"/>
      <c r="E4862" s="30"/>
    </row>
    <row r="4863">
      <c r="A4863" s="27"/>
      <c r="B4863" s="28"/>
      <c r="C4863" s="27"/>
      <c r="D4863" s="27"/>
      <c r="E4863" s="30"/>
    </row>
    <row r="4864">
      <c r="A4864" s="27"/>
      <c r="B4864" s="28"/>
      <c r="C4864" s="27"/>
      <c r="D4864" s="27"/>
      <c r="E4864" s="30"/>
    </row>
    <row r="4865">
      <c r="A4865" s="27"/>
      <c r="B4865" s="28"/>
      <c r="C4865" s="27"/>
      <c r="D4865" s="27"/>
      <c r="E4865" s="30"/>
    </row>
    <row r="4866">
      <c r="A4866" s="27"/>
      <c r="B4866" s="28"/>
      <c r="C4866" s="27"/>
      <c r="D4866" s="27"/>
      <c r="E4866" s="30"/>
    </row>
    <row r="4867">
      <c r="A4867" s="27"/>
      <c r="B4867" s="28"/>
      <c r="C4867" s="27"/>
      <c r="D4867" s="27"/>
      <c r="E4867" s="30"/>
    </row>
    <row r="4868">
      <c r="A4868" s="27"/>
      <c r="B4868" s="28"/>
      <c r="C4868" s="27"/>
      <c r="D4868" s="27"/>
      <c r="E4868" s="30"/>
    </row>
    <row r="4869">
      <c r="A4869" s="27"/>
      <c r="B4869" s="28"/>
      <c r="C4869" s="27"/>
      <c r="D4869" s="27"/>
      <c r="E4869" s="30"/>
    </row>
    <row r="4870">
      <c r="A4870" s="27"/>
      <c r="B4870" s="28"/>
      <c r="C4870" s="27"/>
      <c r="D4870" s="27"/>
      <c r="E4870" s="30"/>
    </row>
    <row r="4871">
      <c r="A4871" s="27"/>
      <c r="B4871" s="28"/>
      <c r="C4871" s="27"/>
      <c r="D4871" s="27"/>
      <c r="E4871" s="30"/>
    </row>
    <row r="4872">
      <c r="A4872" s="27"/>
      <c r="B4872" s="28"/>
      <c r="C4872" s="27"/>
      <c r="D4872" s="27"/>
      <c r="E4872" s="30"/>
    </row>
    <row r="4873">
      <c r="A4873" s="27"/>
      <c r="B4873" s="28"/>
      <c r="C4873" s="27"/>
      <c r="D4873" s="27"/>
      <c r="E4873" s="30"/>
    </row>
    <row r="4874">
      <c r="A4874" s="27"/>
      <c r="B4874" s="28"/>
      <c r="C4874" s="27"/>
      <c r="D4874" s="27"/>
      <c r="E4874" s="30"/>
    </row>
    <row r="4875">
      <c r="A4875" s="27"/>
      <c r="B4875" s="28"/>
      <c r="C4875" s="27"/>
      <c r="D4875" s="27"/>
      <c r="E4875" s="30"/>
    </row>
    <row r="4876">
      <c r="A4876" s="27"/>
      <c r="B4876" s="28"/>
      <c r="C4876" s="27"/>
      <c r="D4876" s="27"/>
      <c r="E4876" s="30"/>
    </row>
    <row r="4877">
      <c r="A4877" s="27"/>
      <c r="B4877" s="28"/>
      <c r="C4877" s="27"/>
      <c r="D4877" s="27"/>
      <c r="E4877" s="30"/>
    </row>
    <row r="4878">
      <c r="A4878" s="27"/>
      <c r="B4878" s="28"/>
      <c r="C4878" s="27"/>
      <c r="D4878" s="27"/>
      <c r="E4878" s="30"/>
    </row>
    <row r="4879">
      <c r="A4879" s="27"/>
      <c r="B4879" s="28"/>
      <c r="C4879" s="27"/>
      <c r="D4879" s="27"/>
      <c r="E4879" s="30"/>
    </row>
    <row r="4880">
      <c r="A4880" s="27"/>
      <c r="B4880" s="28"/>
      <c r="C4880" s="27"/>
      <c r="D4880" s="27"/>
      <c r="E4880" s="30"/>
    </row>
    <row r="4881">
      <c r="A4881" s="27"/>
      <c r="B4881" s="28"/>
      <c r="C4881" s="27"/>
      <c r="D4881" s="27"/>
      <c r="E4881" s="30"/>
    </row>
    <row r="4882">
      <c r="A4882" s="27"/>
      <c r="B4882" s="28"/>
      <c r="C4882" s="27"/>
      <c r="D4882" s="27"/>
      <c r="E4882" s="30"/>
    </row>
    <row r="4883">
      <c r="A4883" s="27"/>
      <c r="B4883" s="28"/>
      <c r="C4883" s="27"/>
      <c r="D4883" s="27"/>
      <c r="E4883" s="30"/>
    </row>
    <row r="4884">
      <c r="A4884" s="27"/>
      <c r="B4884" s="28"/>
      <c r="C4884" s="27"/>
      <c r="D4884" s="27"/>
      <c r="E4884" s="30"/>
    </row>
    <row r="4885">
      <c r="A4885" s="27"/>
      <c r="B4885" s="28"/>
      <c r="C4885" s="27"/>
      <c r="D4885" s="27"/>
      <c r="E4885" s="30"/>
    </row>
    <row r="4886">
      <c r="A4886" s="27"/>
      <c r="B4886" s="28"/>
      <c r="C4886" s="27"/>
      <c r="D4886" s="27"/>
      <c r="E4886" s="30"/>
    </row>
    <row r="4887">
      <c r="A4887" s="27"/>
      <c r="B4887" s="28"/>
      <c r="C4887" s="27"/>
      <c r="D4887" s="27"/>
      <c r="E4887" s="30"/>
    </row>
    <row r="4888">
      <c r="A4888" s="27"/>
      <c r="B4888" s="28"/>
      <c r="C4888" s="27"/>
      <c r="D4888" s="27"/>
      <c r="E4888" s="30"/>
    </row>
    <row r="4889">
      <c r="A4889" s="27"/>
      <c r="B4889" s="28"/>
      <c r="C4889" s="27"/>
      <c r="D4889" s="27"/>
      <c r="E4889" s="30"/>
    </row>
    <row r="4890">
      <c r="A4890" s="27"/>
      <c r="B4890" s="28"/>
      <c r="C4890" s="27"/>
      <c r="D4890" s="27"/>
      <c r="E4890" s="30"/>
    </row>
    <row r="4891">
      <c r="A4891" s="27"/>
      <c r="B4891" s="28"/>
      <c r="C4891" s="27"/>
      <c r="D4891" s="27"/>
      <c r="E4891" s="30"/>
    </row>
    <row r="4892">
      <c r="A4892" s="27"/>
      <c r="B4892" s="28"/>
      <c r="C4892" s="27"/>
      <c r="D4892" s="27"/>
      <c r="E4892" s="30"/>
    </row>
    <row r="4893">
      <c r="A4893" s="27"/>
      <c r="B4893" s="28"/>
      <c r="C4893" s="27"/>
      <c r="D4893" s="27"/>
      <c r="E4893" s="30"/>
    </row>
    <row r="4894">
      <c r="A4894" s="27"/>
      <c r="B4894" s="28"/>
      <c r="C4894" s="27"/>
      <c r="D4894" s="27"/>
      <c r="E4894" s="30"/>
    </row>
    <row r="4895">
      <c r="A4895" s="27"/>
      <c r="B4895" s="28"/>
      <c r="C4895" s="27"/>
      <c r="D4895" s="27"/>
      <c r="E4895" s="30"/>
    </row>
    <row r="4896">
      <c r="A4896" s="27"/>
      <c r="B4896" s="28"/>
      <c r="C4896" s="27"/>
      <c r="D4896" s="27"/>
      <c r="E4896" s="30"/>
    </row>
    <row r="4897">
      <c r="A4897" s="27"/>
      <c r="B4897" s="28"/>
      <c r="C4897" s="27"/>
      <c r="D4897" s="27"/>
      <c r="E4897" s="30"/>
    </row>
    <row r="4898">
      <c r="A4898" s="27"/>
      <c r="B4898" s="28"/>
      <c r="C4898" s="27"/>
      <c r="D4898" s="27"/>
      <c r="E4898" s="30"/>
    </row>
    <row r="4899">
      <c r="A4899" s="27"/>
      <c r="B4899" s="28"/>
      <c r="C4899" s="27"/>
      <c r="D4899" s="27"/>
      <c r="E4899" s="30"/>
    </row>
    <row r="4900">
      <c r="A4900" s="27"/>
      <c r="B4900" s="28"/>
      <c r="C4900" s="27"/>
      <c r="D4900" s="27"/>
      <c r="E4900" s="30"/>
    </row>
    <row r="4901">
      <c r="A4901" s="27"/>
      <c r="B4901" s="28"/>
      <c r="C4901" s="27"/>
      <c r="D4901" s="27"/>
      <c r="E4901" s="30"/>
    </row>
    <row r="4902">
      <c r="A4902" s="27"/>
      <c r="B4902" s="28"/>
      <c r="C4902" s="27"/>
      <c r="D4902" s="27"/>
      <c r="E4902" s="30"/>
    </row>
    <row r="4903">
      <c r="A4903" s="27"/>
      <c r="B4903" s="28"/>
      <c r="C4903" s="27"/>
      <c r="D4903" s="27"/>
      <c r="E4903" s="30"/>
    </row>
    <row r="4904">
      <c r="A4904" s="27"/>
      <c r="B4904" s="28"/>
      <c r="C4904" s="27"/>
      <c r="D4904" s="27"/>
      <c r="E4904" s="30"/>
    </row>
    <row r="4905">
      <c r="A4905" s="27"/>
      <c r="B4905" s="28"/>
      <c r="C4905" s="27"/>
      <c r="D4905" s="27"/>
      <c r="E4905" s="30"/>
    </row>
    <row r="4906">
      <c r="A4906" s="27"/>
      <c r="B4906" s="28"/>
      <c r="C4906" s="27"/>
      <c r="D4906" s="27"/>
      <c r="E4906" s="30"/>
    </row>
    <row r="4907">
      <c r="A4907" s="27"/>
      <c r="B4907" s="28"/>
      <c r="C4907" s="27"/>
      <c r="D4907" s="27"/>
      <c r="E4907" s="30"/>
    </row>
    <row r="4908">
      <c r="A4908" s="27"/>
      <c r="B4908" s="28"/>
      <c r="C4908" s="27"/>
      <c r="D4908" s="27"/>
      <c r="E4908" s="30"/>
    </row>
    <row r="4909">
      <c r="A4909" s="27"/>
      <c r="B4909" s="28"/>
      <c r="C4909" s="27"/>
      <c r="D4909" s="27"/>
      <c r="E4909" s="30"/>
    </row>
    <row r="4910">
      <c r="A4910" s="27"/>
      <c r="B4910" s="28"/>
      <c r="C4910" s="27"/>
      <c r="D4910" s="27"/>
      <c r="E4910" s="30"/>
    </row>
    <row r="4911">
      <c r="A4911" s="27"/>
      <c r="B4911" s="28"/>
      <c r="C4911" s="27"/>
      <c r="D4911" s="27"/>
      <c r="E4911" s="30"/>
    </row>
    <row r="4912">
      <c r="A4912" s="27"/>
      <c r="B4912" s="28"/>
      <c r="C4912" s="27"/>
      <c r="D4912" s="27"/>
      <c r="E4912" s="30"/>
    </row>
    <row r="4913">
      <c r="A4913" s="27"/>
      <c r="B4913" s="28"/>
      <c r="C4913" s="27"/>
      <c r="D4913" s="27"/>
      <c r="E4913" s="30"/>
    </row>
    <row r="4914">
      <c r="A4914" s="27"/>
      <c r="B4914" s="28"/>
      <c r="C4914" s="27"/>
      <c r="D4914" s="27"/>
      <c r="E4914" s="30"/>
    </row>
    <row r="4915">
      <c r="A4915" s="27"/>
      <c r="B4915" s="28"/>
      <c r="C4915" s="27"/>
      <c r="D4915" s="27"/>
      <c r="E4915" s="30"/>
    </row>
    <row r="4916">
      <c r="A4916" s="27"/>
      <c r="B4916" s="28"/>
      <c r="C4916" s="27"/>
      <c r="D4916" s="27"/>
      <c r="E4916" s="30"/>
    </row>
    <row r="4917">
      <c r="A4917" s="27"/>
      <c r="B4917" s="28"/>
      <c r="C4917" s="27"/>
      <c r="D4917" s="27"/>
      <c r="E4917" s="30"/>
    </row>
    <row r="4918">
      <c r="A4918" s="27"/>
      <c r="B4918" s="28"/>
      <c r="C4918" s="27"/>
      <c r="D4918" s="27"/>
      <c r="E4918" s="30"/>
    </row>
    <row r="4919">
      <c r="A4919" s="27"/>
      <c r="B4919" s="28"/>
      <c r="C4919" s="27"/>
      <c r="D4919" s="27"/>
      <c r="E4919" s="30"/>
    </row>
    <row r="4920">
      <c r="A4920" s="27"/>
      <c r="B4920" s="28"/>
      <c r="C4920" s="27"/>
      <c r="D4920" s="27"/>
      <c r="E4920" s="30"/>
    </row>
    <row r="4921">
      <c r="A4921" s="27"/>
      <c r="B4921" s="28"/>
      <c r="C4921" s="27"/>
      <c r="D4921" s="27"/>
      <c r="E4921" s="30"/>
    </row>
    <row r="4922">
      <c r="A4922" s="27"/>
      <c r="B4922" s="28"/>
      <c r="C4922" s="27"/>
      <c r="D4922" s="27"/>
      <c r="E4922" s="30"/>
    </row>
    <row r="4923">
      <c r="A4923" s="27"/>
      <c r="B4923" s="28"/>
      <c r="C4923" s="27"/>
      <c r="D4923" s="27"/>
      <c r="E4923" s="30"/>
    </row>
    <row r="4924">
      <c r="A4924" s="27"/>
      <c r="B4924" s="28"/>
      <c r="C4924" s="27"/>
      <c r="D4924" s="27"/>
      <c r="E4924" s="30"/>
    </row>
    <row r="4925">
      <c r="A4925" s="27"/>
      <c r="B4925" s="28"/>
      <c r="C4925" s="27"/>
      <c r="D4925" s="27"/>
      <c r="E4925" s="30"/>
    </row>
    <row r="4926">
      <c r="A4926" s="27"/>
      <c r="B4926" s="28"/>
      <c r="C4926" s="27"/>
      <c r="D4926" s="27"/>
      <c r="E4926" s="30"/>
    </row>
    <row r="4927">
      <c r="A4927" s="27"/>
      <c r="B4927" s="28"/>
      <c r="C4927" s="27"/>
      <c r="D4927" s="27"/>
      <c r="E4927" s="30"/>
    </row>
    <row r="4928">
      <c r="A4928" s="27"/>
      <c r="B4928" s="28"/>
      <c r="C4928" s="27"/>
      <c r="D4928" s="27"/>
      <c r="E4928" s="30"/>
    </row>
    <row r="4929">
      <c r="A4929" s="27"/>
      <c r="B4929" s="28"/>
      <c r="C4929" s="27"/>
      <c r="D4929" s="27"/>
      <c r="E4929" s="30"/>
    </row>
    <row r="4930">
      <c r="A4930" s="27"/>
      <c r="B4930" s="28"/>
      <c r="C4930" s="27"/>
      <c r="D4930" s="27"/>
      <c r="E4930" s="30"/>
    </row>
    <row r="4931">
      <c r="A4931" s="27"/>
      <c r="B4931" s="28"/>
      <c r="C4931" s="27"/>
      <c r="D4931" s="27"/>
      <c r="E4931" s="30"/>
    </row>
    <row r="4932">
      <c r="A4932" s="27"/>
      <c r="B4932" s="28"/>
      <c r="C4932" s="27"/>
      <c r="D4932" s="27"/>
      <c r="E4932" s="30"/>
    </row>
    <row r="4933">
      <c r="A4933" s="27"/>
      <c r="B4933" s="28"/>
      <c r="C4933" s="27"/>
      <c r="D4933" s="27"/>
      <c r="E4933" s="30"/>
    </row>
    <row r="4934">
      <c r="A4934" s="27"/>
      <c r="B4934" s="28"/>
      <c r="C4934" s="27"/>
      <c r="D4934" s="27"/>
      <c r="E4934" s="30"/>
    </row>
    <row r="4935">
      <c r="A4935" s="27"/>
      <c r="B4935" s="28"/>
      <c r="C4935" s="27"/>
      <c r="D4935" s="27"/>
      <c r="E4935" s="30"/>
    </row>
    <row r="4936">
      <c r="A4936" s="27"/>
      <c r="B4936" s="28"/>
      <c r="C4936" s="27"/>
      <c r="D4936" s="27"/>
      <c r="E4936" s="30"/>
    </row>
    <row r="4937">
      <c r="A4937" s="27"/>
      <c r="B4937" s="28"/>
      <c r="C4937" s="27"/>
      <c r="D4937" s="27"/>
      <c r="E4937" s="30"/>
    </row>
    <row r="4938">
      <c r="A4938" s="27"/>
      <c r="B4938" s="28"/>
      <c r="C4938" s="27"/>
      <c r="D4938" s="27"/>
      <c r="E4938" s="30"/>
    </row>
    <row r="4939">
      <c r="A4939" s="27"/>
      <c r="B4939" s="28"/>
      <c r="C4939" s="27"/>
      <c r="D4939" s="27"/>
      <c r="E4939" s="30"/>
    </row>
    <row r="4940">
      <c r="A4940" s="27"/>
      <c r="B4940" s="28"/>
      <c r="C4940" s="27"/>
      <c r="D4940" s="27"/>
      <c r="E4940" s="30"/>
    </row>
    <row r="4941">
      <c r="A4941" s="27"/>
      <c r="B4941" s="28"/>
      <c r="C4941" s="27"/>
      <c r="D4941" s="27"/>
      <c r="E4941" s="30"/>
    </row>
    <row r="4942">
      <c r="A4942" s="27"/>
      <c r="B4942" s="28"/>
      <c r="C4942" s="27"/>
      <c r="D4942" s="27"/>
      <c r="E4942" s="30"/>
    </row>
    <row r="4943">
      <c r="A4943" s="27"/>
      <c r="B4943" s="28"/>
      <c r="C4943" s="27"/>
      <c r="D4943" s="27"/>
      <c r="E4943" s="30"/>
    </row>
    <row r="4944">
      <c r="A4944" s="27"/>
      <c r="B4944" s="28"/>
      <c r="C4944" s="27"/>
      <c r="D4944" s="27"/>
      <c r="E4944" s="30"/>
    </row>
    <row r="4945">
      <c r="A4945" s="27"/>
      <c r="B4945" s="28"/>
      <c r="C4945" s="27"/>
      <c r="D4945" s="27"/>
      <c r="E4945" s="30"/>
    </row>
    <row r="4946">
      <c r="A4946" s="27"/>
      <c r="B4946" s="28"/>
      <c r="C4946" s="27"/>
      <c r="D4946" s="27"/>
      <c r="E4946" s="30"/>
    </row>
    <row r="4947">
      <c r="A4947" s="27"/>
      <c r="B4947" s="28"/>
      <c r="C4947" s="27"/>
      <c r="D4947" s="27"/>
      <c r="E4947" s="30"/>
    </row>
    <row r="4948">
      <c r="A4948" s="27"/>
      <c r="B4948" s="28"/>
      <c r="C4948" s="27"/>
      <c r="D4948" s="27"/>
      <c r="E4948" s="30"/>
    </row>
    <row r="4949">
      <c r="A4949" s="27"/>
      <c r="B4949" s="28"/>
      <c r="C4949" s="27"/>
      <c r="D4949" s="27"/>
      <c r="E4949" s="30"/>
    </row>
    <row r="4950">
      <c r="A4950" s="27"/>
      <c r="B4950" s="28"/>
      <c r="C4950" s="27"/>
      <c r="D4950" s="27"/>
      <c r="E4950" s="30"/>
    </row>
    <row r="4951">
      <c r="A4951" s="27"/>
      <c r="B4951" s="28"/>
      <c r="C4951" s="27"/>
      <c r="D4951" s="27"/>
      <c r="E4951" s="30"/>
    </row>
    <row r="4952">
      <c r="A4952" s="27"/>
      <c r="B4952" s="28"/>
      <c r="C4952" s="27"/>
      <c r="D4952" s="27"/>
      <c r="E4952" s="30"/>
    </row>
    <row r="4953">
      <c r="A4953" s="27"/>
      <c r="B4953" s="28"/>
      <c r="C4953" s="27"/>
      <c r="D4953" s="27"/>
      <c r="E4953" s="30"/>
    </row>
    <row r="4954">
      <c r="A4954" s="27"/>
      <c r="B4954" s="28"/>
      <c r="C4954" s="27"/>
      <c r="D4954" s="27"/>
      <c r="E4954" s="30"/>
    </row>
    <row r="4955">
      <c r="A4955" s="27"/>
      <c r="B4955" s="28"/>
      <c r="C4955" s="27"/>
      <c r="D4955" s="27"/>
      <c r="E4955" s="30"/>
    </row>
    <row r="4956">
      <c r="A4956" s="27"/>
      <c r="B4956" s="28"/>
      <c r="C4956" s="27"/>
      <c r="D4956" s="27"/>
      <c r="E4956" s="30"/>
    </row>
    <row r="4957">
      <c r="A4957" s="27"/>
      <c r="B4957" s="28"/>
      <c r="C4957" s="27"/>
      <c r="D4957" s="27"/>
      <c r="E4957" s="30"/>
    </row>
    <row r="4958">
      <c r="A4958" s="27"/>
      <c r="B4958" s="28"/>
      <c r="C4958" s="27"/>
      <c r="D4958" s="27"/>
      <c r="E4958" s="30"/>
    </row>
    <row r="4959">
      <c r="A4959" s="27"/>
      <c r="B4959" s="28"/>
      <c r="C4959" s="27"/>
      <c r="D4959" s="27"/>
      <c r="E4959" s="30"/>
    </row>
    <row r="4960">
      <c r="A4960" s="27"/>
      <c r="B4960" s="28"/>
      <c r="C4960" s="27"/>
      <c r="D4960" s="27"/>
      <c r="E4960" s="30"/>
    </row>
    <row r="4961">
      <c r="A4961" s="27"/>
      <c r="B4961" s="28"/>
      <c r="C4961" s="27"/>
      <c r="D4961" s="27"/>
      <c r="E4961" s="30"/>
    </row>
    <row r="4962">
      <c r="A4962" s="27"/>
      <c r="B4962" s="28"/>
      <c r="C4962" s="27"/>
      <c r="D4962" s="27"/>
      <c r="E4962" s="30"/>
    </row>
    <row r="4963">
      <c r="A4963" s="27"/>
      <c r="B4963" s="28"/>
      <c r="C4963" s="27"/>
      <c r="D4963" s="27"/>
      <c r="E4963" s="30"/>
    </row>
    <row r="4964">
      <c r="A4964" s="27"/>
      <c r="B4964" s="28"/>
      <c r="C4964" s="27"/>
      <c r="D4964" s="27"/>
      <c r="E4964" s="30"/>
    </row>
    <row r="4965">
      <c r="A4965" s="27"/>
      <c r="B4965" s="28"/>
      <c r="C4965" s="27"/>
      <c r="D4965" s="27"/>
      <c r="E4965" s="30"/>
    </row>
    <row r="4966">
      <c r="A4966" s="27"/>
      <c r="B4966" s="28"/>
      <c r="C4966" s="27"/>
      <c r="D4966" s="27"/>
      <c r="E4966" s="30"/>
    </row>
    <row r="4967">
      <c r="A4967" s="27"/>
      <c r="B4967" s="28"/>
      <c r="C4967" s="27"/>
      <c r="D4967" s="27"/>
      <c r="E4967" s="30"/>
    </row>
    <row r="4968">
      <c r="A4968" s="27"/>
      <c r="B4968" s="28"/>
      <c r="C4968" s="27"/>
      <c r="D4968" s="27"/>
      <c r="E4968" s="30"/>
    </row>
    <row r="4969">
      <c r="A4969" s="27"/>
      <c r="B4969" s="28"/>
      <c r="C4969" s="27"/>
      <c r="D4969" s="27"/>
      <c r="E4969" s="30"/>
    </row>
    <row r="4970">
      <c r="A4970" s="27"/>
      <c r="B4970" s="28"/>
      <c r="C4970" s="27"/>
      <c r="D4970" s="27"/>
      <c r="E4970" s="30"/>
    </row>
    <row r="4971">
      <c r="A4971" s="27"/>
      <c r="B4971" s="28"/>
      <c r="C4971" s="27"/>
      <c r="D4971" s="27"/>
      <c r="E4971" s="30"/>
    </row>
    <row r="4972">
      <c r="A4972" s="27"/>
      <c r="B4972" s="28"/>
      <c r="C4972" s="27"/>
      <c r="D4972" s="27"/>
      <c r="E4972" s="30"/>
    </row>
    <row r="4973">
      <c r="A4973" s="27"/>
      <c r="B4973" s="28"/>
      <c r="C4973" s="27"/>
      <c r="D4973" s="27"/>
      <c r="E4973" s="30"/>
    </row>
    <row r="4974">
      <c r="A4974" s="27"/>
      <c r="B4974" s="28"/>
      <c r="C4974" s="27"/>
      <c r="D4974" s="27"/>
      <c r="E4974" s="30"/>
    </row>
    <row r="4975">
      <c r="A4975" s="27"/>
      <c r="B4975" s="28"/>
      <c r="C4975" s="27"/>
      <c r="D4975" s="27"/>
      <c r="E4975" s="30"/>
    </row>
    <row r="4976">
      <c r="A4976" s="27"/>
      <c r="B4976" s="28"/>
      <c r="C4976" s="27"/>
      <c r="D4976" s="27"/>
      <c r="E4976" s="30"/>
    </row>
    <row r="4977">
      <c r="A4977" s="27"/>
      <c r="B4977" s="28"/>
      <c r="C4977" s="27"/>
      <c r="D4977" s="27"/>
      <c r="E4977" s="30"/>
    </row>
    <row r="4978">
      <c r="A4978" s="27"/>
      <c r="B4978" s="28"/>
      <c r="C4978" s="27"/>
      <c r="D4978" s="27"/>
      <c r="E4978" s="30"/>
    </row>
    <row r="4979">
      <c r="A4979" s="27"/>
      <c r="B4979" s="28"/>
      <c r="C4979" s="27"/>
      <c r="D4979" s="27"/>
      <c r="E4979" s="30"/>
    </row>
    <row r="4980">
      <c r="A4980" s="27"/>
      <c r="B4980" s="28"/>
      <c r="C4980" s="27"/>
      <c r="D4980" s="27"/>
      <c r="E4980" s="30"/>
    </row>
    <row r="4981">
      <c r="A4981" s="27"/>
      <c r="B4981" s="28"/>
      <c r="C4981" s="27"/>
      <c r="D4981" s="27"/>
      <c r="E4981" s="30"/>
    </row>
    <row r="4982">
      <c r="A4982" s="27"/>
      <c r="B4982" s="28"/>
      <c r="C4982" s="27"/>
      <c r="D4982" s="27"/>
      <c r="E4982" s="30"/>
    </row>
    <row r="4983">
      <c r="A4983" s="27"/>
      <c r="B4983" s="28"/>
      <c r="C4983" s="27"/>
      <c r="D4983" s="27"/>
      <c r="E4983" s="30"/>
    </row>
    <row r="4984">
      <c r="A4984" s="27"/>
      <c r="B4984" s="28"/>
      <c r="C4984" s="27"/>
      <c r="D4984" s="27"/>
      <c r="E4984" s="30"/>
    </row>
    <row r="4985">
      <c r="A4985" s="27"/>
      <c r="B4985" s="28"/>
      <c r="C4985" s="27"/>
      <c r="D4985" s="27"/>
      <c r="E4985" s="30"/>
    </row>
    <row r="4986">
      <c r="A4986" s="27"/>
      <c r="B4986" s="28"/>
      <c r="C4986" s="27"/>
      <c r="D4986" s="27"/>
      <c r="E4986" s="30"/>
    </row>
    <row r="4987">
      <c r="A4987" s="27"/>
      <c r="B4987" s="28"/>
      <c r="C4987" s="27"/>
      <c r="D4987" s="27"/>
      <c r="E4987" s="30"/>
    </row>
    <row r="4988">
      <c r="A4988" s="27"/>
      <c r="B4988" s="28"/>
      <c r="C4988" s="27"/>
      <c r="D4988" s="27"/>
      <c r="E4988" s="30"/>
    </row>
    <row r="4989">
      <c r="A4989" s="27"/>
      <c r="B4989" s="28"/>
      <c r="C4989" s="27"/>
      <c r="D4989" s="27"/>
      <c r="E4989" s="30"/>
    </row>
    <row r="4990">
      <c r="A4990" s="27"/>
      <c r="B4990" s="28"/>
      <c r="C4990" s="27"/>
      <c r="D4990" s="27"/>
      <c r="E4990" s="30"/>
    </row>
    <row r="4991">
      <c r="A4991" s="27"/>
      <c r="B4991" s="28"/>
      <c r="C4991" s="27"/>
      <c r="D4991" s="27"/>
      <c r="E4991" s="30"/>
    </row>
    <row r="4992">
      <c r="A4992" s="27"/>
      <c r="B4992" s="28"/>
      <c r="C4992" s="27"/>
      <c r="D4992" s="27"/>
      <c r="E4992" s="30"/>
    </row>
    <row r="4993">
      <c r="A4993" s="27"/>
      <c r="B4993" s="28"/>
      <c r="C4993" s="27"/>
      <c r="D4993" s="27"/>
      <c r="E4993" s="30"/>
    </row>
    <row r="4994">
      <c r="A4994" s="27"/>
      <c r="B4994" s="28"/>
      <c r="C4994" s="27"/>
      <c r="D4994" s="27"/>
      <c r="E4994" s="30"/>
    </row>
    <row r="4995">
      <c r="A4995" s="27"/>
      <c r="B4995" s="28"/>
      <c r="C4995" s="27"/>
      <c r="D4995" s="27"/>
      <c r="E4995" s="30"/>
    </row>
    <row r="4996">
      <c r="A4996" s="27"/>
      <c r="B4996" s="28"/>
      <c r="C4996" s="27"/>
      <c r="D4996" s="27"/>
      <c r="E4996" s="30"/>
    </row>
    <row r="4997">
      <c r="A4997" s="27"/>
      <c r="B4997" s="28"/>
      <c r="C4997" s="27"/>
      <c r="D4997" s="27"/>
      <c r="E4997" s="30"/>
    </row>
    <row r="4998">
      <c r="A4998" s="27"/>
      <c r="B4998" s="28"/>
      <c r="C4998" s="27"/>
      <c r="D4998" s="27"/>
      <c r="E4998" s="30"/>
    </row>
    <row r="4999">
      <c r="A4999" s="27"/>
      <c r="B4999" s="28"/>
      <c r="C4999" s="27"/>
      <c r="D4999" s="27"/>
      <c r="E4999" s="30"/>
    </row>
    <row r="5000">
      <c r="A5000" s="27"/>
      <c r="B5000" s="28"/>
      <c r="C5000" s="27"/>
      <c r="D5000" s="27"/>
      <c r="E5000" s="30"/>
    </row>
    <row r="5001">
      <c r="A5001" s="27"/>
      <c r="B5001" s="28"/>
      <c r="C5001" s="27"/>
      <c r="D5001" s="27"/>
      <c r="E5001" s="30"/>
    </row>
    <row r="5002">
      <c r="A5002" s="27"/>
      <c r="B5002" s="28"/>
      <c r="C5002" s="27"/>
      <c r="D5002" s="27"/>
      <c r="E5002" s="30"/>
    </row>
    <row r="5003">
      <c r="A5003" s="27"/>
      <c r="B5003" s="28"/>
      <c r="C5003" s="27"/>
      <c r="D5003" s="27"/>
      <c r="E5003" s="30"/>
    </row>
    <row r="5004">
      <c r="A5004" s="27"/>
      <c r="B5004" s="28"/>
      <c r="C5004" s="27"/>
      <c r="D5004" s="27"/>
      <c r="E5004" s="30"/>
    </row>
    <row r="5005">
      <c r="A5005" s="27"/>
      <c r="B5005" s="28"/>
      <c r="C5005" s="27"/>
      <c r="D5005" s="27"/>
      <c r="E5005" s="30"/>
    </row>
    <row r="5006">
      <c r="A5006" s="27"/>
      <c r="B5006" s="28"/>
      <c r="C5006" s="27"/>
      <c r="D5006" s="27"/>
      <c r="E5006" s="30"/>
    </row>
    <row r="5007">
      <c r="A5007" s="27"/>
      <c r="B5007" s="28"/>
      <c r="C5007" s="27"/>
      <c r="D5007" s="27"/>
      <c r="E5007" s="30"/>
    </row>
    <row r="5008">
      <c r="A5008" s="27"/>
      <c r="B5008" s="28"/>
      <c r="C5008" s="27"/>
      <c r="D5008" s="27"/>
      <c r="E5008" s="30"/>
    </row>
    <row r="5009">
      <c r="A5009" s="27"/>
      <c r="B5009" s="28"/>
      <c r="C5009" s="27"/>
      <c r="D5009" s="27"/>
      <c r="E5009" s="30"/>
    </row>
    <row r="5010">
      <c r="A5010" s="27"/>
      <c r="B5010" s="28"/>
      <c r="C5010" s="27"/>
      <c r="D5010" s="27"/>
      <c r="E5010" s="30"/>
    </row>
    <row r="5011">
      <c r="A5011" s="27"/>
      <c r="B5011" s="28"/>
      <c r="C5011" s="27"/>
      <c r="D5011" s="27"/>
      <c r="E5011" s="30"/>
    </row>
    <row r="5012">
      <c r="A5012" s="27"/>
      <c r="B5012" s="28"/>
      <c r="C5012" s="27"/>
      <c r="D5012" s="27"/>
      <c r="E5012" s="30"/>
    </row>
    <row r="5013">
      <c r="A5013" s="27"/>
      <c r="B5013" s="28"/>
      <c r="C5013" s="27"/>
      <c r="D5013" s="27"/>
      <c r="E5013" s="30"/>
    </row>
    <row r="5014">
      <c r="A5014" s="27"/>
      <c r="B5014" s="28"/>
      <c r="C5014" s="27"/>
      <c r="D5014" s="27"/>
      <c r="E5014" s="30"/>
    </row>
    <row r="5015">
      <c r="A5015" s="27"/>
      <c r="B5015" s="28"/>
      <c r="C5015" s="27"/>
      <c r="D5015" s="27"/>
      <c r="E5015" s="30"/>
    </row>
    <row r="5016">
      <c r="A5016" s="27"/>
      <c r="B5016" s="28"/>
      <c r="C5016" s="27"/>
      <c r="D5016" s="27"/>
      <c r="E5016" s="30"/>
    </row>
    <row r="5017">
      <c r="A5017" s="27"/>
      <c r="B5017" s="28"/>
      <c r="C5017" s="27"/>
      <c r="D5017" s="27"/>
      <c r="E5017" s="30"/>
    </row>
    <row r="5018">
      <c r="A5018" s="27"/>
      <c r="B5018" s="28"/>
      <c r="C5018" s="27"/>
      <c r="D5018" s="27"/>
      <c r="E5018" s="30"/>
    </row>
    <row r="5019">
      <c r="A5019" s="27"/>
      <c r="B5019" s="28"/>
      <c r="C5019" s="27"/>
      <c r="D5019" s="27"/>
      <c r="E5019" s="30"/>
    </row>
    <row r="5020">
      <c r="A5020" s="27"/>
      <c r="B5020" s="28"/>
      <c r="C5020" s="27"/>
      <c r="D5020" s="27"/>
      <c r="E5020" s="30"/>
    </row>
    <row r="5021">
      <c r="A5021" s="27"/>
      <c r="B5021" s="28"/>
      <c r="C5021" s="27"/>
      <c r="D5021" s="27"/>
      <c r="E5021" s="30"/>
    </row>
    <row r="5022">
      <c r="A5022" s="27"/>
      <c r="B5022" s="28"/>
      <c r="C5022" s="27"/>
      <c r="D5022" s="27"/>
      <c r="E5022" s="30"/>
    </row>
    <row r="5023">
      <c r="A5023" s="27"/>
      <c r="B5023" s="28"/>
      <c r="C5023" s="27"/>
      <c r="D5023" s="27"/>
      <c r="E5023" s="30"/>
    </row>
    <row r="5024">
      <c r="A5024" s="27"/>
      <c r="B5024" s="28"/>
      <c r="C5024" s="27"/>
      <c r="D5024" s="27"/>
      <c r="E5024" s="30"/>
    </row>
    <row r="5025">
      <c r="A5025" s="27"/>
      <c r="B5025" s="28"/>
      <c r="C5025" s="27"/>
      <c r="D5025" s="27"/>
      <c r="E5025" s="30"/>
    </row>
    <row r="5026">
      <c r="A5026" s="27"/>
      <c r="B5026" s="28"/>
      <c r="C5026" s="27"/>
      <c r="D5026" s="27"/>
      <c r="E5026" s="30"/>
    </row>
    <row r="5027">
      <c r="A5027" s="27"/>
      <c r="B5027" s="28"/>
      <c r="C5027" s="27"/>
      <c r="D5027" s="27"/>
      <c r="E5027" s="30"/>
    </row>
    <row r="5028">
      <c r="A5028" s="27"/>
      <c r="B5028" s="28"/>
      <c r="C5028" s="27"/>
      <c r="D5028" s="27"/>
      <c r="E5028" s="30"/>
    </row>
    <row r="5029">
      <c r="A5029" s="27"/>
      <c r="B5029" s="28"/>
      <c r="C5029" s="27"/>
      <c r="D5029" s="27"/>
      <c r="E5029" s="30"/>
    </row>
    <row r="5030">
      <c r="A5030" s="27"/>
      <c r="B5030" s="28"/>
      <c r="C5030" s="27"/>
      <c r="D5030" s="27"/>
      <c r="E5030" s="30"/>
    </row>
    <row r="5031">
      <c r="A5031" s="27"/>
      <c r="B5031" s="28"/>
      <c r="C5031" s="27"/>
      <c r="D5031" s="27"/>
      <c r="E5031" s="30"/>
    </row>
    <row r="5032">
      <c r="A5032" s="27"/>
      <c r="B5032" s="28"/>
      <c r="C5032" s="27"/>
      <c r="D5032" s="27"/>
      <c r="E5032" s="30"/>
    </row>
    <row r="5033">
      <c r="A5033" s="27"/>
      <c r="B5033" s="28"/>
      <c r="C5033" s="27"/>
      <c r="D5033" s="27"/>
      <c r="E5033" s="30"/>
    </row>
    <row r="5034">
      <c r="A5034" s="27"/>
      <c r="B5034" s="28"/>
      <c r="C5034" s="27"/>
      <c r="D5034" s="27"/>
      <c r="E5034" s="30"/>
    </row>
    <row r="5035">
      <c r="A5035" s="27"/>
      <c r="B5035" s="28"/>
      <c r="C5035" s="27"/>
      <c r="D5035" s="27"/>
      <c r="E5035" s="30"/>
    </row>
    <row r="5036">
      <c r="A5036" s="27"/>
      <c r="B5036" s="28"/>
      <c r="C5036" s="27"/>
      <c r="D5036" s="27"/>
      <c r="E5036" s="30"/>
    </row>
    <row r="5037">
      <c r="A5037" s="27"/>
      <c r="B5037" s="28"/>
      <c r="C5037" s="27"/>
      <c r="D5037" s="27"/>
      <c r="E5037" s="30"/>
    </row>
    <row r="5038">
      <c r="A5038" s="27"/>
      <c r="B5038" s="28"/>
      <c r="C5038" s="27"/>
      <c r="D5038" s="27"/>
      <c r="E5038" s="30"/>
    </row>
    <row r="5039">
      <c r="A5039" s="27"/>
      <c r="B5039" s="28"/>
      <c r="C5039" s="27"/>
      <c r="D5039" s="27"/>
      <c r="E5039" s="30"/>
    </row>
    <row r="5040">
      <c r="A5040" s="27"/>
      <c r="B5040" s="28"/>
      <c r="C5040" s="27"/>
      <c r="D5040" s="27"/>
      <c r="E5040" s="30"/>
    </row>
    <row r="5041">
      <c r="A5041" s="27"/>
      <c r="B5041" s="28"/>
      <c r="C5041" s="27"/>
      <c r="D5041" s="27"/>
      <c r="E5041" s="30"/>
    </row>
    <row r="5042">
      <c r="A5042" s="27"/>
      <c r="B5042" s="28"/>
      <c r="C5042" s="27"/>
      <c r="D5042" s="27"/>
      <c r="E5042" s="30"/>
    </row>
    <row r="5043">
      <c r="A5043" s="27"/>
      <c r="B5043" s="28"/>
      <c r="C5043" s="27"/>
      <c r="D5043" s="27"/>
      <c r="E5043" s="30"/>
    </row>
    <row r="5044">
      <c r="A5044" s="27"/>
      <c r="B5044" s="28"/>
      <c r="C5044" s="27"/>
      <c r="D5044" s="27"/>
      <c r="E5044" s="30"/>
    </row>
    <row r="5045">
      <c r="A5045" s="27"/>
      <c r="B5045" s="28"/>
      <c r="C5045" s="27"/>
      <c r="D5045" s="27"/>
      <c r="E5045" s="30"/>
    </row>
    <row r="5046">
      <c r="A5046" s="27"/>
      <c r="B5046" s="28"/>
      <c r="C5046" s="27"/>
      <c r="D5046" s="27"/>
      <c r="E5046" s="30"/>
    </row>
    <row r="5047">
      <c r="A5047" s="27"/>
      <c r="B5047" s="28"/>
      <c r="C5047" s="27"/>
      <c r="D5047" s="27"/>
      <c r="E5047" s="30"/>
    </row>
    <row r="5048">
      <c r="A5048" s="27"/>
      <c r="B5048" s="28"/>
      <c r="C5048" s="27"/>
      <c r="D5048" s="27"/>
      <c r="E5048" s="30"/>
    </row>
    <row r="5049">
      <c r="A5049" s="27"/>
      <c r="B5049" s="28"/>
      <c r="C5049" s="27"/>
      <c r="D5049" s="27"/>
      <c r="E5049" s="30"/>
    </row>
    <row r="5050">
      <c r="A5050" s="27"/>
      <c r="B5050" s="28"/>
      <c r="C5050" s="27"/>
      <c r="D5050" s="27"/>
      <c r="E5050" s="30"/>
    </row>
    <row r="5051">
      <c r="A5051" s="27"/>
      <c r="B5051" s="28"/>
      <c r="C5051" s="27"/>
      <c r="D5051" s="27"/>
      <c r="E5051" s="30"/>
    </row>
    <row r="5052">
      <c r="A5052" s="27"/>
      <c r="B5052" s="28"/>
      <c r="C5052" s="27"/>
      <c r="D5052" s="27"/>
      <c r="E5052" s="30"/>
    </row>
    <row r="5053">
      <c r="A5053" s="27"/>
      <c r="B5053" s="28"/>
      <c r="C5053" s="27"/>
      <c r="D5053" s="27"/>
      <c r="E5053" s="30"/>
    </row>
    <row r="5054">
      <c r="A5054" s="27"/>
      <c r="B5054" s="28"/>
      <c r="C5054" s="27"/>
      <c r="D5054" s="27"/>
      <c r="E5054" s="30"/>
    </row>
    <row r="5055">
      <c r="A5055" s="27"/>
      <c r="B5055" s="28"/>
      <c r="C5055" s="27"/>
      <c r="D5055" s="27"/>
      <c r="E5055" s="30"/>
    </row>
    <row r="5056">
      <c r="A5056" s="27"/>
      <c r="B5056" s="28"/>
      <c r="C5056" s="27"/>
      <c r="D5056" s="27"/>
      <c r="E5056" s="30"/>
    </row>
    <row r="5057">
      <c r="A5057" s="27"/>
      <c r="B5057" s="28"/>
      <c r="C5057" s="27"/>
      <c r="D5057" s="27"/>
      <c r="E5057" s="30"/>
    </row>
    <row r="5058">
      <c r="A5058" s="27"/>
      <c r="B5058" s="28"/>
      <c r="C5058" s="27"/>
      <c r="D5058" s="27"/>
      <c r="E5058" s="30"/>
    </row>
    <row r="5059">
      <c r="A5059" s="27"/>
      <c r="B5059" s="28"/>
      <c r="C5059" s="27"/>
      <c r="D5059" s="27"/>
      <c r="E5059" s="30"/>
    </row>
    <row r="5060">
      <c r="A5060" s="27"/>
      <c r="B5060" s="28"/>
      <c r="C5060" s="27"/>
      <c r="D5060" s="27"/>
      <c r="E5060" s="30"/>
    </row>
    <row r="5061">
      <c r="A5061" s="27"/>
      <c r="B5061" s="28"/>
      <c r="C5061" s="27"/>
      <c r="D5061" s="27"/>
      <c r="E5061" s="30"/>
    </row>
    <row r="5062">
      <c r="A5062" s="27"/>
      <c r="B5062" s="28"/>
      <c r="C5062" s="27"/>
      <c r="D5062" s="27"/>
      <c r="E5062" s="30"/>
    </row>
    <row r="5063">
      <c r="A5063" s="27"/>
      <c r="B5063" s="28"/>
      <c r="C5063" s="27"/>
      <c r="D5063" s="27"/>
      <c r="E5063" s="30"/>
    </row>
    <row r="5064">
      <c r="A5064" s="27"/>
      <c r="B5064" s="28"/>
      <c r="C5064" s="27"/>
      <c r="D5064" s="27"/>
      <c r="E5064" s="30"/>
    </row>
    <row r="5065">
      <c r="A5065" s="27"/>
      <c r="B5065" s="28"/>
      <c r="C5065" s="27"/>
      <c r="D5065" s="27"/>
      <c r="E5065" s="30"/>
    </row>
    <row r="5066">
      <c r="A5066" s="27"/>
      <c r="B5066" s="28"/>
      <c r="C5066" s="27"/>
      <c r="D5066" s="27"/>
      <c r="E5066" s="30"/>
    </row>
    <row r="5067">
      <c r="A5067" s="27"/>
      <c r="B5067" s="28"/>
      <c r="C5067" s="27"/>
      <c r="D5067" s="27"/>
      <c r="E5067" s="30"/>
    </row>
    <row r="5068">
      <c r="A5068" s="27"/>
      <c r="B5068" s="28"/>
      <c r="C5068" s="27"/>
      <c r="D5068" s="27"/>
      <c r="E5068" s="30"/>
    </row>
    <row r="5069">
      <c r="A5069" s="27"/>
      <c r="B5069" s="28"/>
      <c r="C5069" s="27"/>
      <c r="D5069" s="27"/>
      <c r="E5069" s="30"/>
    </row>
    <row r="5070">
      <c r="A5070" s="27"/>
      <c r="B5070" s="28"/>
      <c r="C5070" s="27"/>
      <c r="D5070" s="27"/>
      <c r="E5070" s="30"/>
    </row>
    <row r="5071">
      <c r="A5071" s="27"/>
      <c r="B5071" s="28"/>
      <c r="C5071" s="27"/>
      <c r="D5071" s="27"/>
      <c r="E5071" s="30"/>
    </row>
    <row r="5072">
      <c r="A5072" s="27"/>
      <c r="B5072" s="28"/>
      <c r="C5072" s="27"/>
      <c r="D5072" s="27"/>
      <c r="E5072" s="30"/>
    </row>
    <row r="5073">
      <c r="A5073" s="27"/>
      <c r="B5073" s="28"/>
      <c r="C5073" s="27"/>
      <c r="D5073" s="27"/>
      <c r="E5073" s="30"/>
    </row>
    <row r="5074">
      <c r="A5074" s="27"/>
      <c r="B5074" s="28"/>
      <c r="C5074" s="27"/>
      <c r="D5074" s="27"/>
      <c r="E5074" s="30"/>
    </row>
    <row r="5075">
      <c r="A5075" s="27"/>
      <c r="B5075" s="28"/>
      <c r="C5075" s="27"/>
      <c r="D5075" s="27"/>
      <c r="E5075" s="30"/>
    </row>
    <row r="5076">
      <c r="A5076" s="27"/>
      <c r="B5076" s="28"/>
      <c r="C5076" s="27"/>
      <c r="D5076" s="27"/>
      <c r="E5076" s="30"/>
    </row>
    <row r="5077">
      <c r="A5077" s="27"/>
      <c r="B5077" s="28"/>
      <c r="C5077" s="27"/>
      <c r="D5077" s="27"/>
      <c r="E5077" s="30"/>
    </row>
    <row r="5078">
      <c r="A5078" s="27"/>
      <c r="B5078" s="28"/>
      <c r="C5078" s="27"/>
      <c r="D5078" s="27"/>
      <c r="E5078" s="30"/>
    </row>
    <row r="5079">
      <c r="A5079" s="27"/>
      <c r="B5079" s="28"/>
      <c r="C5079" s="27"/>
      <c r="D5079" s="27"/>
      <c r="E5079" s="30"/>
    </row>
    <row r="5080">
      <c r="A5080" s="27"/>
      <c r="B5080" s="28"/>
      <c r="C5080" s="27"/>
      <c r="D5080" s="27"/>
      <c r="E5080" s="30"/>
    </row>
    <row r="5081">
      <c r="A5081" s="27"/>
      <c r="B5081" s="28"/>
      <c r="C5081" s="27"/>
      <c r="D5081" s="27"/>
      <c r="E5081" s="30"/>
    </row>
    <row r="5082">
      <c r="A5082" s="27"/>
      <c r="B5082" s="28"/>
      <c r="C5082" s="27"/>
      <c r="D5082" s="27"/>
      <c r="E5082" s="30"/>
    </row>
    <row r="5083">
      <c r="A5083" s="27"/>
      <c r="B5083" s="28"/>
      <c r="C5083" s="27"/>
      <c r="D5083" s="27"/>
      <c r="E5083" s="30"/>
    </row>
    <row r="5084">
      <c r="A5084" s="27"/>
      <c r="B5084" s="28"/>
      <c r="C5084" s="27"/>
      <c r="D5084" s="27"/>
      <c r="E5084" s="30"/>
    </row>
    <row r="5085">
      <c r="A5085" s="27"/>
      <c r="B5085" s="28"/>
      <c r="C5085" s="27"/>
      <c r="D5085" s="27"/>
      <c r="E5085" s="30"/>
    </row>
    <row r="5086">
      <c r="A5086" s="27"/>
      <c r="B5086" s="28"/>
      <c r="C5086" s="27"/>
      <c r="D5086" s="27"/>
      <c r="E5086" s="30"/>
    </row>
    <row r="5087">
      <c r="A5087" s="27"/>
      <c r="B5087" s="28"/>
      <c r="C5087" s="27"/>
      <c r="D5087" s="27"/>
      <c r="E5087" s="30"/>
    </row>
    <row r="5088">
      <c r="A5088" s="27"/>
      <c r="B5088" s="28"/>
      <c r="C5088" s="27"/>
      <c r="D5088" s="27"/>
      <c r="E5088" s="30"/>
    </row>
    <row r="5089">
      <c r="A5089" s="27"/>
      <c r="B5089" s="28"/>
      <c r="C5089" s="27"/>
      <c r="D5089" s="27"/>
      <c r="E5089" s="30"/>
    </row>
    <row r="5090">
      <c r="A5090" s="27"/>
      <c r="B5090" s="28"/>
      <c r="C5090" s="27"/>
      <c r="D5090" s="27"/>
      <c r="E5090" s="30"/>
    </row>
    <row r="5091">
      <c r="A5091" s="27"/>
      <c r="B5091" s="28"/>
      <c r="C5091" s="27"/>
      <c r="D5091" s="27"/>
      <c r="E5091" s="30"/>
    </row>
    <row r="5092">
      <c r="A5092" s="27"/>
      <c r="B5092" s="28"/>
      <c r="C5092" s="27"/>
      <c r="D5092" s="27"/>
      <c r="E5092" s="30"/>
    </row>
    <row r="5093">
      <c r="A5093" s="27"/>
      <c r="B5093" s="28"/>
      <c r="C5093" s="27"/>
      <c r="D5093" s="27"/>
      <c r="E5093" s="30"/>
    </row>
    <row r="5094">
      <c r="A5094" s="27"/>
      <c r="B5094" s="28"/>
      <c r="C5094" s="27"/>
      <c r="D5094" s="27"/>
      <c r="E5094" s="30"/>
    </row>
    <row r="5095">
      <c r="A5095" s="27"/>
      <c r="B5095" s="28"/>
      <c r="C5095" s="27"/>
      <c r="D5095" s="27"/>
      <c r="E5095" s="30"/>
    </row>
    <row r="5096">
      <c r="A5096" s="27"/>
      <c r="B5096" s="28"/>
      <c r="C5096" s="27"/>
      <c r="D5096" s="27"/>
      <c r="E5096" s="30"/>
    </row>
    <row r="5097">
      <c r="A5097" s="27"/>
      <c r="B5097" s="28"/>
      <c r="C5097" s="27"/>
      <c r="D5097" s="27"/>
      <c r="E5097" s="30"/>
    </row>
    <row r="5098">
      <c r="A5098" s="27"/>
      <c r="B5098" s="28"/>
      <c r="C5098" s="27"/>
      <c r="D5098" s="27"/>
      <c r="E5098" s="30"/>
    </row>
    <row r="5099">
      <c r="A5099" s="27"/>
      <c r="B5099" s="28"/>
      <c r="C5099" s="27"/>
      <c r="D5099" s="27"/>
      <c r="E5099" s="30"/>
    </row>
    <row r="5100">
      <c r="A5100" s="27"/>
      <c r="B5100" s="28"/>
      <c r="C5100" s="27"/>
      <c r="D5100" s="27"/>
      <c r="E5100" s="30"/>
    </row>
    <row r="5101">
      <c r="A5101" s="27"/>
      <c r="B5101" s="28"/>
      <c r="C5101" s="27"/>
      <c r="D5101" s="27"/>
      <c r="E5101" s="30"/>
    </row>
    <row r="5102">
      <c r="A5102" s="27"/>
      <c r="B5102" s="28"/>
      <c r="C5102" s="27"/>
      <c r="D5102" s="27"/>
      <c r="E5102" s="30"/>
    </row>
    <row r="5103">
      <c r="A5103" s="27"/>
      <c r="B5103" s="28"/>
      <c r="C5103" s="27"/>
      <c r="D5103" s="27"/>
      <c r="E5103" s="30"/>
    </row>
    <row r="5104">
      <c r="A5104" s="27"/>
      <c r="B5104" s="28"/>
      <c r="C5104" s="27"/>
      <c r="D5104" s="27"/>
      <c r="E5104" s="30"/>
    </row>
    <row r="5105">
      <c r="A5105" s="27"/>
      <c r="B5105" s="28"/>
      <c r="C5105" s="27"/>
      <c r="D5105" s="27"/>
      <c r="E5105" s="30"/>
    </row>
    <row r="5106">
      <c r="A5106" s="27"/>
      <c r="B5106" s="28"/>
      <c r="C5106" s="27"/>
      <c r="D5106" s="27"/>
      <c r="E5106" s="30"/>
    </row>
    <row r="5107">
      <c r="A5107" s="27"/>
      <c r="B5107" s="28"/>
      <c r="C5107" s="27"/>
      <c r="D5107" s="27"/>
      <c r="E5107" s="30"/>
    </row>
    <row r="5108">
      <c r="A5108" s="27"/>
      <c r="B5108" s="28"/>
      <c r="C5108" s="27"/>
      <c r="D5108" s="27"/>
      <c r="E5108" s="30"/>
    </row>
    <row r="5109">
      <c r="A5109" s="27"/>
      <c r="B5109" s="28"/>
      <c r="C5109" s="27"/>
      <c r="D5109" s="27"/>
      <c r="E5109" s="30"/>
    </row>
    <row r="5110">
      <c r="A5110" s="27"/>
      <c r="B5110" s="28"/>
      <c r="C5110" s="27"/>
      <c r="D5110" s="27"/>
      <c r="E5110" s="30"/>
    </row>
    <row r="5111">
      <c r="A5111" s="27"/>
      <c r="B5111" s="28"/>
      <c r="C5111" s="27"/>
      <c r="D5111" s="27"/>
      <c r="E5111" s="30"/>
    </row>
    <row r="5112">
      <c r="A5112" s="27"/>
      <c r="B5112" s="28"/>
      <c r="C5112" s="27"/>
      <c r="D5112" s="27"/>
      <c r="E5112" s="30"/>
    </row>
    <row r="5113">
      <c r="A5113" s="27"/>
      <c r="B5113" s="28"/>
      <c r="C5113" s="27"/>
      <c r="D5113" s="27"/>
      <c r="E5113" s="30"/>
    </row>
    <row r="5114">
      <c r="A5114" s="27"/>
      <c r="B5114" s="28"/>
      <c r="C5114" s="27"/>
      <c r="D5114" s="27"/>
      <c r="E5114" s="30"/>
    </row>
    <row r="5115">
      <c r="A5115" s="27"/>
      <c r="B5115" s="28"/>
      <c r="C5115" s="27"/>
      <c r="D5115" s="27"/>
      <c r="E5115" s="30"/>
    </row>
    <row r="5116">
      <c r="A5116" s="27"/>
      <c r="B5116" s="28"/>
      <c r="C5116" s="27"/>
      <c r="D5116" s="27"/>
      <c r="E5116" s="30"/>
    </row>
    <row r="5117">
      <c r="A5117" s="27"/>
      <c r="B5117" s="28"/>
      <c r="C5117" s="27"/>
      <c r="D5117" s="27"/>
      <c r="E5117" s="30"/>
    </row>
    <row r="5118">
      <c r="A5118" s="27"/>
      <c r="B5118" s="28"/>
      <c r="C5118" s="27"/>
      <c r="D5118" s="27"/>
      <c r="E5118" s="30"/>
    </row>
    <row r="5119">
      <c r="A5119" s="27"/>
      <c r="B5119" s="28"/>
      <c r="C5119" s="27"/>
      <c r="D5119" s="27"/>
      <c r="E5119" s="30"/>
    </row>
    <row r="5120">
      <c r="A5120" s="27"/>
      <c r="B5120" s="28"/>
      <c r="C5120" s="27"/>
      <c r="D5120" s="27"/>
      <c r="E5120" s="30"/>
    </row>
    <row r="5121">
      <c r="A5121" s="27"/>
      <c r="B5121" s="28"/>
      <c r="C5121" s="27"/>
      <c r="D5121" s="27"/>
      <c r="E5121" s="30"/>
    </row>
    <row r="5122">
      <c r="A5122" s="27"/>
      <c r="B5122" s="28"/>
      <c r="C5122" s="27"/>
      <c r="D5122" s="27"/>
      <c r="E5122" s="30"/>
    </row>
    <row r="5123">
      <c r="A5123" s="27"/>
      <c r="B5123" s="28"/>
      <c r="C5123" s="27"/>
      <c r="D5123" s="27"/>
      <c r="E5123" s="30"/>
    </row>
    <row r="5124">
      <c r="A5124" s="27"/>
      <c r="B5124" s="28"/>
      <c r="C5124" s="27"/>
      <c r="D5124" s="27"/>
      <c r="E5124" s="30"/>
    </row>
    <row r="5125">
      <c r="A5125" s="27"/>
      <c r="B5125" s="28"/>
      <c r="C5125" s="27"/>
      <c r="D5125" s="27"/>
      <c r="E5125" s="30"/>
    </row>
    <row r="5126">
      <c r="A5126" s="27"/>
      <c r="B5126" s="28"/>
      <c r="C5126" s="27"/>
      <c r="D5126" s="27"/>
      <c r="E5126" s="30"/>
    </row>
    <row r="5127">
      <c r="A5127" s="27"/>
      <c r="B5127" s="28"/>
      <c r="C5127" s="27"/>
      <c r="D5127" s="27"/>
      <c r="E5127" s="30"/>
    </row>
    <row r="5128">
      <c r="A5128" s="27"/>
      <c r="B5128" s="28"/>
      <c r="C5128" s="27"/>
      <c r="D5128" s="27"/>
      <c r="E5128" s="30"/>
    </row>
    <row r="5129">
      <c r="A5129" s="27"/>
      <c r="B5129" s="28"/>
      <c r="C5129" s="27"/>
      <c r="D5129" s="27"/>
      <c r="E5129" s="30"/>
    </row>
    <row r="5130">
      <c r="A5130" s="27"/>
      <c r="B5130" s="28"/>
      <c r="C5130" s="27"/>
      <c r="D5130" s="27"/>
      <c r="E5130" s="30"/>
    </row>
    <row r="5131">
      <c r="A5131" s="27"/>
      <c r="B5131" s="28"/>
      <c r="C5131" s="27"/>
      <c r="D5131" s="27"/>
      <c r="E5131" s="30"/>
    </row>
    <row r="5132">
      <c r="A5132" s="27"/>
      <c r="B5132" s="28"/>
      <c r="C5132" s="27"/>
      <c r="D5132" s="27"/>
      <c r="E5132" s="30"/>
    </row>
    <row r="5133">
      <c r="A5133" s="27"/>
      <c r="B5133" s="28"/>
      <c r="C5133" s="27"/>
      <c r="D5133" s="27"/>
      <c r="E5133" s="30"/>
    </row>
    <row r="5134">
      <c r="A5134" s="27"/>
      <c r="B5134" s="28"/>
      <c r="C5134" s="27"/>
      <c r="D5134" s="27"/>
      <c r="E5134" s="30"/>
    </row>
    <row r="5135">
      <c r="A5135" s="27"/>
      <c r="B5135" s="28"/>
      <c r="C5135" s="27"/>
      <c r="D5135" s="27"/>
      <c r="E5135" s="30"/>
    </row>
    <row r="5136">
      <c r="A5136" s="27"/>
      <c r="B5136" s="28"/>
      <c r="C5136" s="27"/>
      <c r="D5136" s="27"/>
      <c r="E5136" s="30"/>
    </row>
    <row r="5137">
      <c r="A5137" s="27"/>
      <c r="B5137" s="28"/>
      <c r="C5137" s="27"/>
      <c r="D5137" s="27"/>
      <c r="E5137" s="30"/>
    </row>
    <row r="5138">
      <c r="A5138" s="27"/>
      <c r="B5138" s="28"/>
      <c r="C5138" s="27"/>
      <c r="D5138" s="27"/>
      <c r="E5138" s="30"/>
    </row>
    <row r="5139">
      <c r="A5139" s="27"/>
      <c r="B5139" s="28"/>
      <c r="C5139" s="27"/>
      <c r="D5139" s="27"/>
      <c r="E5139" s="30"/>
    </row>
    <row r="5140">
      <c r="A5140" s="27"/>
      <c r="B5140" s="28"/>
      <c r="C5140" s="27"/>
      <c r="D5140" s="27"/>
      <c r="E5140" s="30"/>
    </row>
    <row r="5141">
      <c r="A5141" s="27"/>
      <c r="B5141" s="28"/>
      <c r="C5141" s="27"/>
      <c r="D5141" s="27"/>
      <c r="E5141" s="30"/>
    </row>
    <row r="5142">
      <c r="A5142" s="27"/>
      <c r="B5142" s="28"/>
      <c r="C5142" s="27"/>
      <c r="D5142" s="27"/>
      <c r="E5142" s="30"/>
    </row>
    <row r="5143">
      <c r="A5143" s="27"/>
      <c r="B5143" s="28"/>
      <c r="C5143" s="27"/>
      <c r="D5143" s="27"/>
      <c r="E5143" s="30"/>
    </row>
    <row r="5144">
      <c r="A5144" s="27"/>
      <c r="B5144" s="28"/>
      <c r="C5144" s="27"/>
      <c r="D5144" s="27"/>
      <c r="E5144" s="30"/>
    </row>
    <row r="5145">
      <c r="A5145" s="27"/>
      <c r="B5145" s="28"/>
      <c r="C5145" s="27"/>
      <c r="D5145" s="27"/>
      <c r="E5145" s="30"/>
    </row>
    <row r="5146">
      <c r="A5146" s="27"/>
      <c r="B5146" s="28"/>
      <c r="C5146" s="27"/>
      <c r="D5146" s="27"/>
      <c r="E5146" s="30"/>
    </row>
    <row r="5147">
      <c r="A5147" s="27"/>
      <c r="B5147" s="28"/>
      <c r="C5147" s="27"/>
      <c r="D5147" s="27"/>
      <c r="E5147" s="30"/>
    </row>
    <row r="5148">
      <c r="A5148" s="27"/>
      <c r="B5148" s="28"/>
      <c r="C5148" s="27"/>
      <c r="D5148" s="27"/>
      <c r="E5148" s="30"/>
    </row>
    <row r="5149">
      <c r="A5149" s="27"/>
      <c r="B5149" s="28"/>
      <c r="C5149" s="27"/>
      <c r="D5149" s="27"/>
      <c r="E5149" s="30"/>
    </row>
    <row r="5150">
      <c r="A5150" s="27"/>
      <c r="B5150" s="28"/>
      <c r="C5150" s="27"/>
      <c r="D5150" s="27"/>
      <c r="E5150" s="30"/>
    </row>
    <row r="5151">
      <c r="A5151" s="27"/>
      <c r="B5151" s="28"/>
      <c r="C5151" s="27"/>
      <c r="D5151" s="27"/>
      <c r="E5151" s="30"/>
    </row>
    <row r="5152">
      <c r="A5152" s="27"/>
      <c r="B5152" s="28"/>
      <c r="C5152" s="27"/>
      <c r="D5152" s="27"/>
      <c r="E5152" s="30"/>
    </row>
    <row r="5153">
      <c r="A5153" s="27"/>
      <c r="B5153" s="28"/>
      <c r="C5153" s="27"/>
      <c r="D5153" s="27"/>
      <c r="E5153" s="30"/>
    </row>
    <row r="5154">
      <c r="A5154" s="27"/>
      <c r="B5154" s="28"/>
      <c r="C5154" s="27"/>
      <c r="D5154" s="27"/>
      <c r="E5154" s="30"/>
    </row>
    <row r="5155">
      <c r="A5155" s="27"/>
      <c r="B5155" s="28"/>
      <c r="C5155" s="27"/>
      <c r="D5155" s="27"/>
      <c r="E5155" s="30"/>
    </row>
    <row r="5156">
      <c r="A5156" s="27"/>
      <c r="B5156" s="28"/>
      <c r="C5156" s="27"/>
      <c r="D5156" s="27"/>
      <c r="E5156" s="30"/>
    </row>
    <row r="5157">
      <c r="A5157" s="27"/>
      <c r="B5157" s="28"/>
      <c r="C5157" s="27"/>
      <c r="D5157" s="27"/>
      <c r="E5157" s="30"/>
    </row>
    <row r="5158">
      <c r="A5158" s="27"/>
      <c r="B5158" s="28"/>
      <c r="C5158" s="27"/>
      <c r="D5158" s="27"/>
      <c r="E5158" s="30"/>
    </row>
    <row r="5159">
      <c r="A5159" s="27"/>
      <c r="B5159" s="28"/>
      <c r="C5159" s="27"/>
      <c r="D5159" s="27"/>
      <c r="E5159" s="30"/>
    </row>
    <row r="5160">
      <c r="A5160" s="27"/>
      <c r="B5160" s="28"/>
      <c r="C5160" s="27"/>
      <c r="D5160" s="27"/>
      <c r="E5160" s="30"/>
    </row>
    <row r="5161">
      <c r="A5161" s="27"/>
      <c r="B5161" s="28"/>
      <c r="C5161" s="27"/>
      <c r="D5161" s="27"/>
      <c r="E5161" s="30"/>
    </row>
    <row r="5162">
      <c r="A5162" s="27"/>
      <c r="B5162" s="28"/>
      <c r="C5162" s="27"/>
      <c r="D5162" s="27"/>
      <c r="E5162" s="30"/>
    </row>
    <row r="5163">
      <c r="A5163" s="27"/>
      <c r="B5163" s="28"/>
      <c r="C5163" s="27"/>
      <c r="D5163" s="27"/>
      <c r="E5163" s="30"/>
    </row>
    <row r="5164">
      <c r="A5164" s="27"/>
      <c r="B5164" s="28"/>
      <c r="C5164" s="27"/>
      <c r="D5164" s="27"/>
      <c r="E5164" s="30"/>
    </row>
    <row r="5165">
      <c r="A5165" s="27"/>
      <c r="B5165" s="28"/>
      <c r="C5165" s="27"/>
      <c r="D5165" s="27"/>
      <c r="E5165" s="30"/>
    </row>
    <row r="5166">
      <c r="A5166" s="27"/>
      <c r="B5166" s="28"/>
      <c r="C5166" s="27"/>
      <c r="D5166" s="27"/>
      <c r="E5166" s="30"/>
    </row>
    <row r="5167">
      <c r="A5167" s="27"/>
      <c r="B5167" s="28"/>
      <c r="C5167" s="27"/>
      <c r="D5167" s="27"/>
      <c r="E5167" s="30"/>
    </row>
    <row r="5168">
      <c r="A5168" s="27"/>
      <c r="B5168" s="28"/>
      <c r="C5168" s="27"/>
      <c r="D5168" s="27"/>
      <c r="E5168" s="30"/>
    </row>
    <row r="5169">
      <c r="A5169" s="27"/>
      <c r="B5169" s="28"/>
      <c r="C5169" s="27"/>
      <c r="D5169" s="27"/>
      <c r="E5169" s="30"/>
    </row>
    <row r="5170">
      <c r="A5170" s="27"/>
      <c r="B5170" s="28"/>
      <c r="C5170" s="27"/>
      <c r="D5170" s="27"/>
      <c r="E5170" s="30"/>
    </row>
    <row r="5171">
      <c r="A5171" s="27"/>
      <c r="B5171" s="28"/>
      <c r="C5171" s="27"/>
      <c r="D5171" s="27"/>
      <c r="E5171" s="30"/>
    </row>
    <row r="5172">
      <c r="A5172" s="27"/>
      <c r="B5172" s="28"/>
      <c r="C5172" s="27"/>
      <c r="D5172" s="27"/>
      <c r="E5172" s="30"/>
    </row>
    <row r="5173">
      <c r="A5173" s="27"/>
      <c r="B5173" s="28"/>
      <c r="C5173" s="27"/>
      <c r="D5173" s="27"/>
      <c r="E5173" s="30"/>
    </row>
    <row r="5174">
      <c r="A5174" s="27"/>
      <c r="B5174" s="28"/>
      <c r="C5174" s="27"/>
      <c r="D5174" s="27"/>
      <c r="E5174" s="30"/>
    </row>
    <row r="5175">
      <c r="A5175" s="27"/>
      <c r="B5175" s="28"/>
      <c r="C5175" s="27"/>
      <c r="D5175" s="27"/>
      <c r="E5175" s="30"/>
    </row>
    <row r="5176">
      <c r="A5176" s="27"/>
      <c r="B5176" s="28"/>
      <c r="C5176" s="27"/>
      <c r="D5176" s="27"/>
      <c r="E5176" s="30"/>
    </row>
    <row r="5177">
      <c r="A5177" s="27"/>
      <c r="B5177" s="28"/>
      <c r="C5177" s="27"/>
      <c r="D5177" s="27"/>
      <c r="E5177" s="30"/>
    </row>
    <row r="5178">
      <c r="A5178" s="27"/>
      <c r="B5178" s="28"/>
      <c r="C5178" s="27"/>
      <c r="D5178" s="27"/>
      <c r="E5178" s="30"/>
    </row>
    <row r="5179">
      <c r="A5179" s="27"/>
      <c r="B5179" s="28"/>
      <c r="C5179" s="27"/>
      <c r="D5179" s="27"/>
      <c r="E5179" s="30"/>
    </row>
    <row r="5180">
      <c r="A5180" s="27"/>
      <c r="B5180" s="28"/>
      <c r="C5180" s="27"/>
      <c r="D5180" s="27"/>
      <c r="E5180" s="30"/>
    </row>
    <row r="5181">
      <c r="A5181" s="27"/>
      <c r="B5181" s="28"/>
      <c r="C5181" s="27"/>
      <c r="D5181" s="27"/>
      <c r="E5181" s="30"/>
    </row>
    <row r="5182">
      <c r="A5182" s="27"/>
      <c r="B5182" s="28"/>
      <c r="C5182" s="27"/>
      <c r="D5182" s="27"/>
      <c r="E5182" s="30"/>
    </row>
    <row r="5183">
      <c r="A5183" s="27"/>
      <c r="B5183" s="28"/>
      <c r="C5183" s="27"/>
      <c r="D5183" s="27"/>
      <c r="E5183" s="30"/>
    </row>
    <row r="5184">
      <c r="A5184" s="27"/>
      <c r="B5184" s="28"/>
      <c r="C5184" s="27"/>
      <c r="D5184" s="27"/>
      <c r="E5184" s="30"/>
    </row>
    <row r="5185">
      <c r="A5185" s="27"/>
      <c r="B5185" s="28"/>
      <c r="C5185" s="27"/>
      <c r="D5185" s="27"/>
      <c r="E5185" s="30"/>
    </row>
    <row r="5186">
      <c r="A5186" s="27"/>
      <c r="B5186" s="28"/>
      <c r="C5186" s="27"/>
      <c r="D5186" s="27"/>
      <c r="E5186" s="30"/>
    </row>
    <row r="5187">
      <c r="A5187" s="27"/>
      <c r="B5187" s="28"/>
      <c r="C5187" s="27"/>
      <c r="D5187" s="27"/>
      <c r="E5187" s="30"/>
    </row>
    <row r="5188">
      <c r="A5188" s="27"/>
      <c r="B5188" s="28"/>
      <c r="C5188" s="27"/>
      <c r="D5188" s="27"/>
      <c r="E5188" s="30"/>
    </row>
    <row r="5189">
      <c r="A5189" s="27"/>
      <c r="B5189" s="28"/>
      <c r="C5189" s="27"/>
      <c r="D5189" s="27"/>
      <c r="E5189" s="30"/>
    </row>
    <row r="5190">
      <c r="A5190" s="27"/>
      <c r="B5190" s="28"/>
      <c r="C5190" s="27"/>
      <c r="D5190" s="27"/>
      <c r="E5190" s="30"/>
    </row>
    <row r="5191">
      <c r="A5191" s="27"/>
      <c r="B5191" s="28"/>
      <c r="C5191" s="27"/>
      <c r="D5191" s="27"/>
      <c r="E5191" s="30"/>
    </row>
    <row r="5192">
      <c r="A5192" s="27"/>
      <c r="B5192" s="28"/>
      <c r="C5192" s="27"/>
      <c r="D5192" s="27"/>
      <c r="E5192" s="30"/>
    </row>
    <row r="5193">
      <c r="A5193" s="27"/>
      <c r="B5193" s="28"/>
      <c r="C5193" s="27"/>
      <c r="D5193" s="27"/>
      <c r="E5193" s="30"/>
    </row>
    <row r="5194">
      <c r="A5194" s="27"/>
      <c r="B5194" s="28"/>
      <c r="C5194" s="27"/>
      <c r="D5194" s="27"/>
      <c r="E5194" s="30"/>
    </row>
    <row r="5195">
      <c r="A5195" s="27"/>
      <c r="B5195" s="28"/>
      <c r="C5195" s="27"/>
      <c r="D5195" s="27"/>
      <c r="E5195" s="30"/>
    </row>
    <row r="5196">
      <c r="A5196" s="27"/>
      <c r="B5196" s="28"/>
      <c r="C5196" s="27"/>
      <c r="D5196" s="27"/>
      <c r="E5196" s="30"/>
    </row>
    <row r="5197">
      <c r="A5197" s="27"/>
      <c r="B5197" s="28"/>
      <c r="C5197" s="27"/>
      <c r="D5197" s="27"/>
      <c r="E5197" s="30"/>
    </row>
    <row r="5198">
      <c r="A5198" s="27"/>
      <c r="B5198" s="28"/>
      <c r="C5198" s="27"/>
      <c r="D5198" s="27"/>
      <c r="E5198" s="30"/>
    </row>
    <row r="5199">
      <c r="A5199" s="27"/>
      <c r="B5199" s="28"/>
      <c r="C5199" s="27"/>
      <c r="D5199" s="27"/>
      <c r="E5199" s="30"/>
    </row>
    <row r="5200">
      <c r="A5200" s="27"/>
      <c r="B5200" s="28"/>
      <c r="C5200" s="27"/>
      <c r="D5200" s="27"/>
      <c r="E5200" s="30"/>
    </row>
    <row r="5201">
      <c r="A5201" s="27"/>
      <c r="B5201" s="28"/>
      <c r="C5201" s="27"/>
      <c r="D5201" s="27"/>
      <c r="E5201" s="30"/>
    </row>
    <row r="5202">
      <c r="A5202" s="27"/>
      <c r="B5202" s="28"/>
      <c r="C5202" s="27"/>
      <c r="D5202" s="27"/>
      <c r="E5202" s="30"/>
    </row>
    <row r="5203">
      <c r="A5203" s="27"/>
      <c r="B5203" s="28"/>
      <c r="C5203" s="27"/>
      <c r="D5203" s="27"/>
      <c r="E5203" s="30"/>
    </row>
    <row r="5204">
      <c r="A5204" s="27"/>
      <c r="B5204" s="28"/>
      <c r="C5204" s="27"/>
      <c r="D5204" s="27"/>
      <c r="E5204" s="30"/>
    </row>
    <row r="5205">
      <c r="A5205" s="27"/>
      <c r="B5205" s="28"/>
      <c r="C5205" s="27"/>
      <c r="D5205" s="27"/>
      <c r="E5205" s="30"/>
    </row>
    <row r="5206">
      <c r="A5206" s="27"/>
      <c r="B5206" s="28"/>
      <c r="C5206" s="27"/>
      <c r="D5206" s="27"/>
      <c r="E5206" s="30"/>
    </row>
    <row r="5207">
      <c r="A5207" s="27"/>
      <c r="B5207" s="28"/>
      <c r="C5207" s="27"/>
      <c r="D5207" s="27"/>
      <c r="E5207" s="30"/>
    </row>
    <row r="5208">
      <c r="A5208" s="27"/>
      <c r="B5208" s="28"/>
      <c r="C5208" s="27"/>
      <c r="D5208" s="27"/>
      <c r="E5208" s="30"/>
    </row>
    <row r="5209">
      <c r="A5209" s="27"/>
      <c r="B5209" s="28"/>
      <c r="C5209" s="27"/>
      <c r="D5209" s="27"/>
      <c r="E5209" s="30"/>
    </row>
    <row r="5210">
      <c r="A5210" s="27"/>
      <c r="B5210" s="28"/>
      <c r="C5210" s="27"/>
      <c r="D5210" s="27"/>
      <c r="E5210" s="30"/>
    </row>
    <row r="5211">
      <c r="A5211" s="27"/>
      <c r="B5211" s="28"/>
      <c r="C5211" s="27"/>
      <c r="D5211" s="27"/>
      <c r="E5211" s="30"/>
    </row>
    <row r="5212">
      <c r="A5212" s="27"/>
      <c r="B5212" s="28"/>
      <c r="C5212" s="27"/>
      <c r="D5212" s="27"/>
      <c r="E5212" s="30"/>
    </row>
    <row r="5213">
      <c r="A5213" s="27"/>
      <c r="B5213" s="28"/>
      <c r="C5213" s="27"/>
      <c r="D5213" s="27"/>
      <c r="E5213" s="30"/>
    </row>
    <row r="5214">
      <c r="A5214" s="27"/>
      <c r="B5214" s="28"/>
      <c r="C5214" s="27"/>
      <c r="D5214" s="27"/>
      <c r="E5214" s="30"/>
    </row>
    <row r="5215">
      <c r="A5215" s="27"/>
      <c r="B5215" s="28"/>
      <c r="C5215" s="27"/>
      <c r="D5215" s="27"/>
      <c r="E5215" s="30"/>
    </row>
    <row r="5216">
      <c r="A5216" s="27"/>
      <c r="B5216" s="28"/>
      <c r="C5216" s="27"/>
      <c r="D5216" s="27"/>
      <c r="E5216" s="30"/>
    </row>
    <row r="5217">
      <c r="A5217" s="27"/>
      <c r="B5217" s="28"/>
      <c r="C5217" s="27"/>
      <c r="D5217" s="27"/>
      <c r="E5217" s="30"/>
    </row>
    <row r="5218">
      <c r="A5218" s="27"/>
      <c r="B5218" s="28"/>
      <c r="C5218" s="27"/>
      <c r="D5218" s="27"/>
      <c r="E5218" s="30"/>
    </row>
    <row r="5219">
      <c r="A5219" s="27"/>
      <c r="B5219" s="28"/>
      <c r="C5219" s="27"/>
      <c r="D5219" s="27"/>
      <c r="E5219" s="30"/>
    </row>
    <row r="5220">
      <c r="A5220" s="27"/>
      <c r="B5220" s="28"/>
      <c r="C5220" s="27"/>
      <c r="D5220" s="27"/>
      <c r="E5220" s="30"/>
    </row>
    <row r="5221">
      <c r="A5221" s="27"/>
      <c r="B5221" s="28"/>
      <c r="C5221" s="27"/>
      <c r="D5221" s="27"/>
      <c r="E5221" s="30"/>
    </row>
    <row r="5222">
      <c r="A5222" s="27"/>
      <c r="B5222" s="28"/>
      <c r="C5222" s="27"/>
      <c r="D5222" s="27"/>
      <c r="E5222" s="30"/>
    </row>
    <row r="5223">
      <c r="A5223" s="27"/>
      <c r="B5223" s="28"/>
      <c r="C5223" s="27"/>
      <c r="D5223" s="27"/>
      <c r="E5223" s="30"/>
    </row>
    <row r="5224">
      <c r="A5224" s="27"/>
      <c r="B5224" s="28"/>
      <c r="C5224" s="27"/>
      <c r="D5224" s="27"/>
      <c r="E5224" s="30"/>
    </row>
    <row r="5225">
      <c r="A5225" s="27"/>
      <c r="B5225" s="28"/>
      <c r="C5225" s="27"/>
      <c r="D5225" s="27"/>
      <c r="E5225" s="30"/>
    </row>
    <row r="5226">
      <c r="A5226" s="27"/>
      <c r="B5226" s="28"/>
      <c r="C5226" s="27"/>
      <c r="D5226" s="27"/>
      <c r="E5226" s="30"/>
    </row>
    <row r="5227">
      <c r="A5227" s="27"/>
      <c r="B5227" s="28"/>
      <c r="C5227" s="27"/>
      <c r="D5227" s="27"/>
      <c r="E5227" s="30"/>
    </row>
    <row r="5228">
      <c r="A5228" s="27"/>
      <c r="B5228" s="28"/>
      <c r="C5228" s="27"/>
      <c r="D5228" s="27"/>
      <c r="E5228" s="30"/>
    </row>
    <row r="5229">
      <c r="A5229" s="27"/>
      <c r="B5229" s="28"/>
      <c r="C5229" s="27"/>
      <c r="D5229" s="27"/>
      <c r="E5229" s="30"/>
    </row>
    <row r="5230">
      <c r="A5230" s="27"/>
      <c r="B5230" s="28"/>
      <c r="C5230" s="27"/>
      <c r="D5230" s="27"/>
      <c r="E5230" s="30"/>
    </row>
    <row r="5231">
      <c r="A5231" s="27"/>
      <c r="B5231" s="28"/>
      <c r="C5231" s="27"/>
      <c r="D5231" s="27"/>
      <c r="E5231" s="30"/>
    </row>
    <row r="5232">
      <c r="A5232" s="27"/>
      <c r="B5232" s="28"/>
      <c r="C5232" s="27"/>
      <c r="D5232" s="27"/>
      <c r="E5232" s="30"/>
    </row>
    <row r="5233">
      <c r="A5233" s="27"/>
      <c r="B5233" s="28"/>
      <c r="C5233" s="27"/>
      <c r="D5233" s="27"/>
      <c r="E5233" s="30"/>
    </row>
    <row r="5234">
      <c r="A5234" s="27"/>
      <c r="B5234" s="28"/>
      <c r="C5234" s="27"/>
      <c r="D5234" s="27"/>
      <c r="E5234" s="30"/>
    </row>
    <row r="5235">
      <c r="A5235" s="27"/>
      <c r="B5235" s="28"/>
      <c r="C5235" s="27"/>
      <c r="D5235" s="27"/>
      <c r="E5235" s="30"/>
    </row>
    <row r="5236">
      <c r="A5236" s="27"/>
      <c r="B5236" s="28"/>
      <c r="C5236" s="27"/>
      <c r="D5236" s="27"/>
      <c r="E5236" s="30"/>
    </row>
    <row r="5237">
      <c r="A5237" s="27"/>
      <c r="B5237" s="28"/>
      <c r="C5237" s="27"/>
      <c r="D5237" s="27"/>
      <c r="E5237" s="30"/>
    </row>
    <row r="5238">
      <c r="A5238" s="27"/>
      <c r="B5238" s="28"/>
      <c r="C5238" s="27"/>
      <c r="D5238" s="27"/>
      <c r="E5238" s="30"/>
    </row>
    <row r="5239">
      <c r="A5239" s="27"/>
      <c r="B5239" s="28"/>
      <c r="C5239" s="27"/>
      <c r="D5239" s="27"/>
      <c r="E5239" s="30"/>
    </row>
    <row r="5240">
      <c r="A5240" s="27"/>
      <c r="B5240" s="28"/>
      <c r="C5240" s="27"/>
      <c r="D5240" s="27"/>
      <c r="E5240" s="30"/>
    </row>
    <row r="5241">
      <c r="A5241" s="27"/>
      <c r="B5241" s="28"/>
      <c r="C5241" s="27"/>
      <c r="D5241" s="27"/>
      <c r="E5241" s="30"/>
    </row>
    <row r="5242">
      <c r="A5242" s="27"/>
      <c r="B5242" s="28"/>
      <c r="C5242" s="27"/>
      <c r="D5242" s="27"/>
      <c r="E5242" s="30"/>
    </row>
    <row r="5243">
      <c r="A5243" s="27"/>
      <c r="B5243" s="28"/>
      <c r="C5243" s="27"/>
      <c r="D5243" s="27"/>
      <c r="E5243" s="30"/>
    </row>
    <row r="5244">
      <c r="A5244" s="27"/>
      <c r="B5244" s="28"/>
      <c r="C5244" s="27"/>
      <c r="D5244" s="27"/>
      <c r="E5244" s="30"/>
    </row>
    <row r="5245">
      <c r="A5245" s="27"/>
      <c r="B5245" s="28"/>
      <c r="C5245" s="27"/>
      <c r="D5245" s="27"/>
      <c r="E5245" s="30"/>
    </row>
    <row r="5246">
      <c r="A5246" s="27"/>
      <c r="B5246" s="28"/>
      <c r="C5246" s="27"/>
      <c r="D5246" s="27"/>
      <c r="E5246" s="30"/>
    </row>
    <row r="5247">
      <c r="A5247" s="27"/>
      <c r="B5247" s="28"/>
      <c r="C5247" s="27"/>
      <c r="D5247" s="27"/>
      <c r="E5247" s="30"/>
    </row>
    <row r="5248">
      <c r="A5248" s="27"/>
      <c r="B5248" s="28"/>
      <c r="C5248" s="27"/>
      <c r="D5248" s="27"/>
      <c r="E5248" s="30"/>
    </row>
    <row r="5249">
      <c r="A5249" s="27"/>
      <c r="B5249" s="28"/>
      <c r="C5249" s="27"/>
      <c r="D5249" s="27"/>
      <c r="E5249" s="30"/>
    </row>
    <row r="5250">
      <c r="A5250" s="27"/>
      <c r="B5250" s="28"/>
      <c r="C5250" s="27"/>
      <c r="D5250" s="27"/>
      <c r="E5250" s="30"/>
    </row>
    <row r="5251">
      <c r="A5251" s="27"/>
      <c r="B5251" s="28"/>
      <c r="C5251" s="27"/>
      <c r="D5251" s="27"/>
      <c r="E5251" s="30"/>
    </row>
    <row r="5252">
      <c r="A5252" s="27"/>
      <c r="B5252" s="28"/>
      <c r="C5252" s="27"/>
      <c r="D5252" s="27"/>
      <c r="E5252" s="30"/>
    </row>
    <row r="5253">
      <c r="A5253" s="27"/>
      <c r="B5253" s="28"/>
      <c r="C5253" s="27"/>
      <c r="D5253" s="27"/>
      <c r="E5253" s="30"/>
    </row>
    <row r="5254">
      <c r="A5254" s="27"/>
      <c r="B5254" s="28"/>
      <c r="C5254" s="27"/>
      <c r="D5254" s="27"/>
      <c r="E5254" s="30"/>
    </row>
    <row r="5255">
      <c r="A5255" s="27"/>
      <c r="B5255" s="28"/>
      <c r="C5255" s="27"/>
      <c r="D5255" s="27"/>
      <c r="E5255" s="30"/>
    </row>
    <row r="5256">
      <c r="A5256" s="27"/>
      <c r="B5256" s="28"/>
      <c r="C5256" s="27"/>
      <c r="D5256" s="27"/>
      <c r="E5256" s="30"/>
    </row>
    <row r="5257">
      <c r="A5257" s="27"/>
      <c r="B5257" s="28"/>
      <c r="C5257" s="27"/>
      <c r="D5257" s="27"/>
      <c r="E5257" s="30"/>
    </row>
    <row r="5258">
      <c r="A5258" s="27"/>
      <c r="B5258" s="28"/>
      <c r="C5258" s="27"/>
      <c r="D5258" s="27"/>
      <c r="E5258" s="30"/>
    </row>
    <row r="5259">
      <c r="A5259" s="27"/>
      <c r="B5259" s="28"/>
      <c r="C5259" s="27"/>
      <c r="D5259" s="27"/>
      <c r="E5259" s="30"/>
    </row>
    <row r="5260">
      <c r="A5260" s="27"/>
      <c r="B5260" s="28"/>
      <c r="C5260" s="27"/>
      <c r="D5260" s="27"/>
      <c r="E5260" s="30"/>
    </row>
    <row r="5261">
      <c r="A5261" s="27"/>
      <c r="B5261" s="28"/>
      <c r="C5261" s="27"/>
      <c r="D5261" s="27"/>
      <c r="E5261" s="30"/>
    </row>
    <row r="5262">
      <c r="A5262" s="27"/>
      <c r="B5262" s="28"/>
      <c r="C5262" s="27"/>
      <c r="D5262" s="27"/>
      <c r="E5262" s="30"/>
    </row>
    <row r="5263">
      <c r="A5263" s="27"/>
      <c r="B5263" s="28"/>
      <c r="C5263" s="27"/>
      <c r="D5263" s="27"/>
      <c r="E5263" s="30"/>
    </row>
    <row r="5264">
      <c r="A5264" s="27"/>
      <c r="B5264" s="28"/>
      <c r="C5264" s="27"/>
      <c r="D5264" s="27"/>
      <c r="E5264" s="30"/>
    </row>
    <row r="5265">
      <c r="A5265" s="27"/>
      <c r="B5265" s="28"/>
      <c r="C5265" s="27"/>
      <c r="D5265" s="27"/>
      <c r="E5265" s="30"/>
    </row>
    <row r="5266">
      <c r="A5266" s="27"/>
      <c r="B5266" s="28"/>
      <c r="C5266" s="27"/>
      <c r="D5266" s="27"/>
      <c r="E5266" s="30"/>
    </row>
    <row r="5267">
      <c r="A5267" s="27"/>
      <c r="B5267" s="28"/>
      <c r="C5267" s="27"/>
      <c r="D5267" s="27"/>
      <c r="E5267" s="30"/>
    </row>
    <row r="5268">
      <c r="A5268" s="27"/>
      <c r="B5268" s="28"/>
      <c r="C5268" s="27"/>
      <c r="D5268" s="27"/>
      <c r="E5268" s="30"/>
    </row>
    <row r="5269">
      <c r="A5269" s="27"/>
      <c r="B5269" s="28"/>
      <c r="C5269" s="27"/>
      <c r="D5269" s="27"/>
      <c r="E5269" s="30"/>
    </row>
    <row r="5270">
      <c r="A5270" s="27"/>
      <c r="B5270" s="28"/>
      <c r="C5270" s="27"/>
      <c r="D5270" s="27"/>
      <c r="E5270" s="30"/>
    </row>
    <row r="5271">
      <c r="A5271" s="27"/>
      <c r="B5271" s="28"/>
      <c r="C5271" s="27"/>
      <c r="D5271" s="27"/>
      <c r="E5271" s="30"/>
    </row>
    <row r="5272">
      <c r="A5272" s="27"/>
      <c r="B5272" s="28"/>
      <c r="C5272" s="27"/>
      <c r="D5272" s="27"/>
      <c r="E5272" s="30"/>
    </row>
    <row r="5273">
      <c r="A5273" s="27"/>
      <c r="B5273" s="28"/>
      <c r="C5273" s="27"/>
      <c r="D5273" s="27"/>
      <c r="E5273" s="30"/>
    </row>
    <row r="5274">
      <c r="A5274" s="27"/>
      <c r="B5274" s="28"/>
      <c r="C5274" s="27"/>
      <c r="D5274" s="27"/>
      <c r="E5274" s="30"/>
    </row>
    <row r="5275">
      <c r="A5275" s="27"/>
      <c r="B5275" s="28"/>
      <c r="C5275" s="27"/>
      <c r="D5275" s="27"/>
      <c r="E5275" s="30"/>
    </row>
    <row r="5276">
      <c r="A5276" s="27"/>
      <c r="B5276" s="28"/>
      <c r="C5276" s="27"/>
      <c r="D5276" s="27"/>
      <c r="E5276" s="30"/>
    </row>
    <row r="5277">
      <c r="A5277" s="27"/>
      <c r="B5277" s="28"/>
      <c r="C5277" s="27"/>
      <c r="D5277" s="27"/>
      <c r="E5277" s="30"/>
    </row>
    <row r="5278">
      <c r="A5278" s="27"/>
      <c r="B5278" s="28"/>
      <c r="C5278" s="27"/>
      <c r="D5278" s="27"/>
      <c r="E5278" s="30"/>
    </row>
    <row r="5279">
      <c r="A5279" s="27"/>
      <c r="B5279" s="28"/>
      <c r="C5279" s="27"/>
      <c r="D5279" s="27"/>
      <c r="E5279" s="30"/>
    </row>
    <row r="5280">
      <c r="A5280" s="27"/>
      <c r="B5280" s="28"/>
      <c r="C5280" s="27"/>
      <c r="D5280" s="27"/>
      <c r="E5280" s="30"/>
    </row>
    <row r="5281">
      <c r="A5281" s="27"/>
      <c r="B5281" s="28"/>
      <c r="C5281" s="27"/>
      <c r="D5281" s="27"/>
      <c r="E5281" s="30"/>
    </row>
    <row r="5282">
      <c r="A5282" s="27"/>
      <c r="B5282" s="28"/>
      <c r="C5282" s="27"/>
      <c r="D5282" s="27"/>
      <c r="E5282" s="30"/>
    </row>
    <row r="5283">
      <c r="A5283" s="27"/>
      <c r="B5283" s="28"/>
      <c r="C5283" s="27"/>
      <c r="D5283" s="27"/>
      <c r="E5283" s="30"/>
    </row>
    <row r="5284">
      <c r="A5284" s="27"/>
      <c r="B5284" s="28"/>
      <c r="C5284" s="27"/>
      <c r="D5284" s="27"/>
      <c r="E5284" s="30"/>
    </row>
    <row r="5285">
      <c r="A5285" s="27"/>
      <c r="B5285" s="28"/>
      <c r="C5285" s="27"/>
      <c r="D5285" s="27"/>
      <c r="E5285" s="30"/>
    </row>
    <row r="5286">
      <c r="A5286" s="27"/>
      <c r="B5286" s="28"/>
      <c r="C5286" s="27"/>
      <c r="D5286" s="27"/>
      <c r="E5286" s="30"/>
    </row>
    <row r="5287">
      <c r="A5287" s="27"/>
      <c r="B5287" s="28"/>
      <c r="C5287" s="27"/>
      <c r="D5287" s="27"/>
      <c r="E5287" s="30"/>
    </row>
    <row r="5288">
      <c r="A5288" s="27"/>
      <c r="B5288" s="28"/>
      <c r="C5288" s="27"/>
      <c r="D5288" s="27"/>
      <c r="E5288" s="30"/>
    </row>
    <row r="5289">
      <c r="A5289" s="27"/>
      <c r="B5289" s="28"/>
      <c r="C5289" s="27"/>
      <c r="D5289" s="27"/>
      <c r="E5289" s="30"/>
    </row>
    <row r="5290">
      <c r="A5290" s="27"/>
      <c r="B5290" s="28"/>
      <c r="C5290" s="27"/>
      <c r="D5290" s="27"/>
      <c r="E5290" s="30"/>
    </row>
    <row r="5291">
      <c r="A5291" s="27"/>
      <c r="B5291" s="28"/>
      <c r="C5291" s="27"/>
      <c r="D5291" s="27"/>
      <c r="E5291" s="30"/>
    </row>
    <row r="5292">
      <c r="A5292" s="27"/>
      <c r="B5292" s="28"/>
      <c r="C5292" s="27"/>
      <c r="D5292" s="27"/>
      <c r="E5292" s="30"/>
    </row>
    <row r="5293">
      <c r="A5293" s="27"/>
      <c r="B5293" s="28"/>
      <c r="C5293" s="27"/>
      <c r="D5293" s="27"/>
      <c r="E5293" s="30"/>
    </row>
    <row r="5294">
      <c r="A5294" s="27"/>
      <c r="B5294" s="28"/>
      <c r="C5294" s="27"/>
      <c r="D5294" s="27"/>
      <c r="E5294" s="30"/>
    </row>
    <row r="5295">
      <c r="A5295" s="27"/>
      <c r="B5295" s="28"/>
      <c r="C5295" s="27"/>
      <c r="D5295" s="27"/>
      <c r="E5295" s="30"/>
    </row>
    <row r="5296">
      <c r="A5296" s="27"/>
      <c r="B5296" s="28"/>
      <c r="C5296" s="27"/>
      <c r="D5296" s="27"/>
      <c r="E5296" s="30"/>
    </row>
    <row r="5297">
      <c r="A5297" s="27"/>
      <c r="B5297" s="28"/>
      <c r="C5297" s="27"/>
      <c r="D5297" s="27"/>
      <c r="E5297" s="30"/>
    </row>
    <row r="5298">
      <c r="A5298" s="27"/>
      <c r="B5298" s="28"/>
      <c r="C5298" s="27"/>
      <c r="D5298" s="27"/>
      <c r="E5298" s="30"/>
    </row>
    <row r="5299">
      <c r="A5299" s="27"/>
      <c r="B5299" s="28"/>
      <c r="C5299" s="27"/>
      <c r="D5299" s="27"/>
      <c r="E5299" s="30"/>
    </row>
    <row r="5300">
      <c r="A5300" s="27"/>
      <c r="B5300" s="28"/>
      <c r="C5300" s="27"/>
      <c r="D5300" s="27"/>
      <c r="E5300" s="30"/>
    </row>
    <row r="5301">
      <c r="A5301" s="27"/>
      <c r="B5301" s="28"/>
      <c r="C5301" s="27"/>
      <c r="D5301" s="27"/>
      <c r="E5301" s="30"/>
    </row>
    <row r="5302">
      <c r="A5302" s="27"/>
      <c r="B5302" s="28"/>
      <c r="C5302" s="27"/>
      <c r="D5302" s="27"/>
      <c r="E5302" s="30"/>
    </row>
    <row r="5303">
      <c r="A5303" s="27"/>
      <c r="B5303" s="28"/>
      <c r="C5303" s="27"/>
      <c r="D5303" s="27"/>
      <c r="E5303" s="30"/>
    </row>
    <row r="5304">
      <c r="A5304" s="27"/>
      <c r="B5304" s="28"/>
      <c r="C5304" s="27"/>
      <c r="D5304" s="27"/>
      <c r="E5304" s="30"/>
    </row>
    <row r="5305">
      <c r="A5305" s="27"/>
      <c r="B5305" s="28"/>
      <c r="C5305" s="27"/>
      <c r="D5305" s="27"/>
      <c r="E5305" s="30"/>
    </row>
    <row r="5306">
      <c r="A5306" s="27"/>
      <c r="B5306" s="28"/>
      <c r="C5306" s="27"/>
      <c r="D5306" s="27"/>
      <c r="E5306" s="30"/>
    </row>
    <row r="5307">
      <c r="A5307" s="27"/>
      <c r="B5307" s="28"/>
      <c r="C5307" s="27"/>
      <c r="D5307" s="27"/>
      <c r="E5307" s="30"/>
    </row>
    <row r="5308">
      <c r="A5308" s="27"/>
      <c r="B5308" s="28"/>
      <c r="C5308" s="27"/>
      <c r="D5308" s="27"/>
      <c r="E5308" s="30"/>
    </row>
    <row r="5309">
      <c r="A5309" s="27"/>
      <c r="B5309" s="28"/>
      <c r="C5309" s="27"/>
      <c r="D5309" s="27"/>
      <c r="E5309" s="30"/>
    </row>
    <row r="5310">
      <c r="A5310" s="27"/>
      <c r="B5310" s="28"/>
      <c r="C5310" s="27"/>
      <c r="D5310" s="27"/>
      <c r="E5310" s="30"/>
    </row>
    <row r="5311">
      <c r="A5311" s="27"/>
      <c r="B5311" s="28"/>
      <c r="C5311" s="27"/>
      <c r="D5311" s="27"/>
      <c r="E5311" s="30"/>
    </row>
    <row r="5312">
      <c r="A5312" s="27"/>
      <c r="B5312" s="28"/>
      <c r="C5312" s="27"/>
      <c r="D5312" s="27"/>
      <c r="E5312" s="30"/>
    </row>
    <row r="5313">
      <c r="A5313" s="27"/>
      <c r="B5313" s="28"/>
      <c r="C5313" s="27"/>
      <c r="D5313" s="27"/>
      <c r="E5313" s="30"/>
    </row>
    <row r="5314">
      <c r="A5314" s="27"/>
      <c r="B5314" s="28"/>
      <c r="C5314" s="27"/>
      <c r="D5314" s="27"/>
      <c r="E5314" s="30"/>
    </row>
    <row r="5315">
      <c r="A5315" s="27"/>
      <c r="B5315" s="28"/>
      <c r="C5315" s="27"/>
      <c r="D5315" s="27"/>
      <c r="E5315" s="30"/>
    </row>
    <row r="5316">
      <c r="A5316" s="27"/>
      <c r="B5316" s="28"/>
      <c r="C5316" s="27"/>
      <c r="D5316" s="27"/>
      <c r="E5316" s="30"/>
    </row>
    <row r="5317">
      <c r="A5317" s="27"/>
      <c r="B5317" s="28"/>
      <c r="C5317" s="27"/>
      <c r="D5317" s="27"/>
      <c r="E5317" s="30"/>
    </row>
    <row r="5318">
      <c r="A5318" s="27"/>
      <c r="B5318" s="28"/>
      <c r="C5318" s="27"/>
      <c r="D5318" s="27"/>
      <c r="E5318" s="30"/>
    </row>
    <row r="5319">
      <c r="A5319" s="27"/>
      <c r="B5319" s="28"/>
      <c r="C5319" s="27"/>
      <c r="D5319" s="27"/>
      <c r="E5319" s="30"/>
    </row>
    <row r="5320">
      <c r="A5320" s="27"/>
      <c r="B5320" s="28"/>
      <c r="C5320" s="27"/>
      <c r="D5320" s="27"/>
      <c r="E5320" s="30"/>
    </row>
    <row r="5321">
      <c r="A5321" s="27"/>
      <c r="B5321" s="28"/>
      <c r="C5321" s="27"/>
      <c r="D5321" s="27"/>
      <c r="E5321" s="30"/>
    </row>
    <row r="5322">
      <c r="A5322" s="27"/>
      <c r="B5322" s="28"/>
      <c r="C5322" s="27"/>
      <c r="D5322" s="27"/>
      <c r="E5322" s="30"/>
    </row>
    <row r="5323">
      <c r="A5323" s="27"/>
      <c r="B5323" s="28"/>
      <c r="C5323" s="27"/>
      <c r="D5323" s="27"/>
      <c r="E5323" s="30"/>
    </row>
    <row r="5324">
      <c r="A5324" s="27"/>
      <c r="B5324" s="28"/>
      <c r="C5324" s="27"/>
      <c r="D5324" s="27"/>
      <c r="E5324" s="30"/>
    </row>
    <row r="5325">
      <c r="A5325" s="27"/>
      <c r="B5325" s="28"/>
      <c r="C5325" s="27"/>
      <c r="D5325" s="27"/>
      <c r="E5325" s="30"/>
    </row>
    <row r="5326">
      <c r="A5326" s="27"/>
      <c r="B5326" s="28"/>
      <c r="C5326" s="27"/>
      <c r="D5326" s="27"/>
      <c r="E5326" s="30"/>
    </row>
    <row r="5327">
      <c r="A5327" s="27"/>
      <c r="B5327" s="28"/>
      <c r="C5327" s="27"/>
      <c r="D5327" s="27"/>
      <c r="E5327" s="30"/>
    </row>
    <row r="5328">
      <c r="A5328" s="27"/>
      <c r="B5328" s="28"/>
      <c r="C5328" s="27"/>
      <c r="D5328" s="27"/>
      <c r="E5328" s="30"/>
    </row>
    <row r="5329">
      <c r="A5329" s="27"/>
      <c r="B5329" s="28"/>
      <c r="C5329" s="27"/>
      <c r="D5329" s="27"/>
      <c r="E5329" s="30"/>
    </row>
    <row r="5330">
      <c r="A5330" s="27"/>
      <c r="B5330" s="28"/>
      <c r="C5330" s="27"/>
      <c r="D5330" s="27"/>
      <c r="E5330" s="30"/>
    </row>
    <row r="5331">
      <c r="A5331" s="27"/>
      <c r="B5331" s="28"/>
      <c r="C5331" s="27"/>
      <c r="D5331" s="27"/>
      <c r="E5331" s="30"/>
    </row>
    <row r="5332">
      <c r="A5332" s="27"/>
      <c r="B5332" s="28"/>
      <c r="C5332" s="27"/>
      <c r="D5332" s="27"/>
      <c r="E5332" s="30"/>
    </row>
    <row r="5333">
      <c r="A5333" s="27"/>
      <c r="B5333" s="28"/>
      <c r="C5333" s="27"/>
      <c r="D5333" s="27"/>
      <c r="E5333" s="30"/>
    </row>
    <row r="5334">
      <c r="A5334" s="27"/>
      <c r="B5334" s="28"/>
      <c r="C5334" s="27"/>
      <c r="D5334" s="27"/>
      <c r="E5334" s="30"/>
    </row>
    <row r="5335">
      <c r="A5335" s="27"/>
      <c r="B5335" s="28"/>
      <c r="C5335" s="27"/>
      <c r="D5335" s="27"/>
      <c r="E5335" s="30"/>
    </row>
    <row r="5336">
      <c r="A5336" s="27"/>
      <c r="B5336" s="28"/>
      <c r="C5336" s="27"/>
      <c r="D5336" s="27"/>
      <c r="E5336" s="30"/>
    </row>
    <row r="5337">
      <c r="A5337" s="27"/>
      <c r="B5337" s="28"/>
      <c r="C5337" s="27"/>
      <c r="D5337" s="27"/>
      <c r="E5337" s="30"/>
    </row>
    <row r="5338">
      <c r="A5338" s="27"/>
      <c r="B5338" s="28"/>
      <c r="C5338" s="27"/>
      <c r="D5338" s="27"/>
      <c r="E5338" s="30"/>
    </row>
    <row r="5339">
      <c r="A5339" s="27"/>
      <c r="B5339" s="28"/>
      <c r="C5339" s="27"/>
      <c r="D5339" s="27"/>
      <c r="E5339" s="30"/>
    </row>
    <row r="5340">
      <c r="A5340" s="27"/>
      <c r="B5340" s="28"/>
      <c r="C5340" s="27"/>
      <c r="D5340" s="27"/>
      <c r="E5340" s="30"/>
    </row>
    <row r="5341">
      <c r="A5341" s="27"/>
      <c r="B5341" s="28"/>
      <c r="C5341" s="27"/>
      <c r="D5341" s="27"/>
      <c r="E5341" s="30"/>
    </row>
    <row r="5342">
      <c r="A5342" s="27"/>
      <c r="B5342" s="28"/>
      <c r="C5342" s="27"/>
      <c r="D5342" s="27"/>
      <c r="E5342" s="30"/>
    </row>
    <row r="5343">
      <c r="A5343" s="27"/>
      <c r="B5343" s="28"/>
      <c r="C5343" s="27"/>
      <c r="D5343" s="27"/>
      <c r="E5343" s="30"/>
    </row>
    <row r="5344">
      <c r="A5344" s="27"/>
      <c r="B5344" s="28"/>
      <c r="C5344" s="27"/>
      <c r="D5344" s="27"/>
      <c r="E5344" s="30"/>
    </row>
    <row r="5345">
      <c r="A5345" s="27"/>
      <c r="B5345" s="28"/>
      <c r="C5345" s="27"/>
      <c r="D5345" s="27"/>
      <c r="E5345" s="30"/>
    </row>
    <row r="5346">
      <c r="A5346" s="27"/>
      <c r="B5346" s="28"/>
      <c r="C5346" s="27"/>
      <c r="D5346" s="27"/>
      <c r="E5346" s="30"/>
    </row>
    <row r="5347">
      <c r="A5347" s="27"/>
      <c r="B5347" s="28"/>
      <c r="C5347" s="27"/>
      <c r="D5347" s="27"/>
      <c r="E5347" s="30"/>
    </row>
    <row r="5348">
      <c r="A5348" s="27"/>
      <c r="B5348" s="28"/>
      <c r="C5348" s="27"/>
      <c r="D5348" s="27"/>
      <c r="E5348" s="30"/>
    </row>
    <row r="5349">
      <c r="A5349" s="27"/>
      <c r="B5349" s="28"/>
      <c r="C5349" s="27"/>
      <c r="D5349" s="27"/>
      <c r="E5349" s="30"/>
    </row>
    <row r="5350">
      <c r="A5350" s="27"/>
      <c r="B5350" s="28"/>
      <c r="C5350" s="27"/>
      <c r="D5350" s="27"/>
      <c r="E5350" s="30"/>
    </row>
    <row r="5351">
      <c r="A5351" s="27"/>
      <c r="B5351" s="28"/>
      <c r="C5351" s="27"/>
      <c r="D5351" s="27"/>
      <c r="E5351" s="30"/>
    </row>
    <row r="5352">
      <c r="A5352" s="27"/>
      <c r="B5352" s="28"/>
      <c r="C5352" s="27"/>
      <c r="D5352" s="27"/>
      <c r="E5352" s="30"/>
    </row>
    <row r="5353">
      <c r="A5353" s="27"/>
      <c r="B5353" s="28"/>
      <c r="C5353" s="27"/>
      <c r="D5353" s="27"/>
      <c r="E5353" s="30"/>
    </row>
    <row r="5354">
      <c r="A5354" s="27"/>
      <c r="B5354" s="28"/>
      <c r="C5354" s="27"/>
      <c r="D5354" s="27"/>
      <c r="E5354" s="30"/>
    </row>
    <row r="5355">
      <c r="A5355" s="27"/>
      <c r="B5355" s="28"/>
      <c r="C5355" s="27"/>
      <c r="D5355" s="27"/>
      <c r="E5355" s="30"/>
    </row>
    <row r="5356">
      <c r="A5356" s="27"/>
      <c r="B5356" s="28"/>
      <c r="C5356" s="27"/>
      <c r="D5356" s="27"/>
      <c r="E5356" s="30"/>
    </row>
    <row r="5357">
      <c r="A5357" s="27"/>
      <c r="B5357" s="28"/>
      <c r="C5357" s="27"/>
      <c r="D5357" s="27"/>
      <c r="E5357" s="30"/>
    </row>
    <row r="5358">
      <c r="A5358" s="27"/>
      <c r="B5358" s="28"/>
      <c r="C5358" s="27"/>
      <c r="D5358" s="27"/>
      <c r="E5358" s="30"/>
    </row>
    <row r="5359">
      <c r="A5359" s="27"/>
      <c r="B5359" s="28"/>
      <c r="C5359" s="27"/>
      <c r="D5359" s="27"/>
      <c r="E5359" s="30"/>
    </row>
    <row r="5360">
      <c r="A5360" s="27"/>
      <c r="B5360" s="28"/>
      <c r="C5360" s="27"/>
      <c r="D5360" s="27"/>
      <c r="E5360" s="30"/>
    </row>
    <row r="5361">
      <c r="A5361" s="27"/>
      <c r="B5361" s="28"/>
      <c r="C5361" s="27"/>
      <c r="D5361" s="27"/>
      <c r="E5361" s="30"/>
    </row>
    <row r="5362">
      <c r="A5362" s="27"/>
      <c r="B5362" s="28"/>
      <c r="C5362" s="27"/>
      <c r="D5362" s="27"/>
      <c r="E5362" s="30"/>
    </row>
    <row r="5363">
      <c r="A5363" s="27"/>
      <c r="B5363" s="28"/>
      <c r="C5363" s="27"/>
      <c r="D5363" s="27"/>
      <c r="E5363" s="30"/>
    </row>
    <row r="5364">
      <c r="A5364" s="27"/>
      <c r="B5364" s="28"/>
      <c r="C5364" s="27"/>
      <c r="D5364" s="27"/>
      <c r="E5364" s="30"/>
    </row>
    <row r="5365">
      <c r="A5365" s="27"/>
      <c r="B5365" s="28"/>
      <c r="C5365" s="27"/>
      <c r="D5365" s="27"/>
      <c r="E5365" s="30"/>
    </row>
    <row r="5366">
      <c r="A5366" s="27"/>
      <c r="B5366" s="28"/>
      <c r="C5366" s="27"/>
      <c r="D5366" s="27"/>
      <c r="E5366" s="30"/>
    </row>
    <row r="5367">
      <c r="A5367" s="27"/>
      <c r="B5367" s="28"/>
      <c r="C5367" s="27"/>
      <c r="D5367" s="27"/>
      <c r="E5367" s="30"/>
    </row>
    <row r="5368">
      <c r="A5368" s="27"/>
      <c r="B5368" s="28"/>
      <c r="C5368" s="27"/>
      <c r="D5368" s="27"/>
      <c r="E5368" s="30"/>
    </row>
    <row r="5369">
      <c r="A5369" s="27"/>
      <c r="B5369" s="28"/>
      <c r="C5369" s="27"/>
      <c r="D5369" s="27"/>
      <c r="E5369" s="30"/>
    </row>
    <row r="5370">
      <c r="A5370" s="27"/>
      <c r="B5370" s="28"/>
      <c r="C5370" s="27"/>
      <c r="D5370" s="27"/>
      <c r="E5370" s="30"/>
    </row>
    <row r="5371">
      <c r="A5371" s="27"/>
      <c r="B5371" s="28"/>
      <c r="C5371" s="27"/>
      <c r="D5371" s="27"/>
      <c r="E5371" s="30"/>
    </row>
    <row r="5372">
      <c r="A5372" s="27"/>
      <c r="B5372" s="28"/>
      <c r="C5372" s="27"/>
      <c r="D5372" s="27"/>
      <c r="E5372" s="30"/>
    </row>
    <row r="5373">
      <c r="A5373" s="27"/>
      <c r="B5373" s="28"/>
      <c r="C5373" s="27"/>
      <c r="D5373" s="27"/>
      <c r="E5373" s="30"/>
    </row>
    <row r="5374">
      <c r="A5374" s="27"/>
      <c r="B5374" s="28"/>
      <c r="C5374" s="27"/>
      <c r="D5374" s="27"/>
      <c r="E5374" s="30"/>
    </row>
    <row r="5375">
      <c r="A5375" s="27"/>
      <c r="B5375" s="28"/>
      <c r="C5375" s="27"/>
      <c r="D5375" s="27"/>
      <c r="E5375" s="30"/>
    </row>
    <row r="5376">
      <c r="A5376" s="27"/>
      <c r="B5376" s="28"/>
      <c r="C5376" s="27"/>
      <c r="D5376" s="27"/>
      <c r="E5376" s="30"/>
    </row>
    <row r="5377">
      <c r="A5377" s="27"/>
      <c r="B5377" s="28"/>
      <c r="C5377" s="27"/>
      <c r="D5377" s="27"/>
      <c r="E5377" s="30"/>
    </row>
    <row r="5378">
      <c r="A5378" s="27"/>
      <c r="B5378" s="28"/>
      <c r="C5378" s="27"/>
      <c r="D5378" s="27"/>
      <c r="E5378" s="30"/>
    </row>
    <row r="5379">
      <c r="A5379" s="27"/>
      <c r="B5379" s="28"/>
      <c r="C5379" s="27"/>
      <c r="D5379" s="27"/>
      <c r="E5379" s="30"/>
    </row>
    <row r="5380">
      <c r="A5380" s="27"/>
      <c r="B5380" s="28"/>
      <c r="C5380" s="27"/>
      <c r="D5380" s="27"/>
      <c r="E5380" s="30"/>
    </row>
    <row r="5381">
      <c r="A5381" s="27"/>
      <c r="B5381" s="28"/>
      <c r="C5381" s="27"/>
      <c r="D5381" s="27"/>
      <c r="E5381" s="30"/>
    </row>
    <row r="5382">
      <c r="A5382" s="27"/>
      <c r="B5382" s="28"/>
      <c r="C5382" s="27"/>
      <c r="D5382" s="27"/>
      <c r="E5382" s="30"/>
    </row>
    <row r="5383">
      <c r="A5383" s="27"/>
      <c r="B5383" s="28"/>
      <c r="C5383" s="27"/>
      <c r="D5383" s="27"/>
      <c r="E5383" s="30"/>
    </row>
    <row r="5384">
      <c r="A5384" s="27"/>
      <c r="B5384" s="28"/>
      <c r="C5384" s="27"/>
      <c r="D5384" s="27"/>
      <c r="E5384" s="30"/>
    </row>
    <row r="5385">
      <c r="A5385" s="27"/>
      <c r="B5385" s="28"/>
      <c r="C5385" s="27"/>
      <c r="D5385" s="27"/>
      <c r="E5385" s="30"/>
    </row>
    <row r="5386">
      <c r="A5386" s="27"/>
      <c r="B5386" s="28"/>
      <c r="C5386" s="27"/>
      <c r="D5386" s="27"/>
      <c r="E5386" s="30"/>
    </row>
    <row r="5387">
      <c r="A5387" s="27"/>
      <c r="B5387" s="28"/>
      <c r="C5387" s="27"/>
      <c r="D5387" s="27"/>
      <c r="E5387" s="30"/>
    </row>
    <row r="5388">
      <c r="A5388" s="27"/>
      <c r="B5388" s="28"/>
      <c r="C5388" s="27"/>
      <c r="D5388" s="27"/>
      <c r="E5388" s="30"/>
    </row>
    <row r="5389">
      <c r="A5389" s="27"/>
      <c r="B5389" s="28"/>
      <c r="C5389" s="27"/>
      <c r="D5389" s="27"/>
      <c r="E5389" s="30"/>
    </row>
    <row r="5390">
      <c r="A5390" s="27"/>
      <c r="B5390" s="28"/>
      <c r="C5390" s="27"/>
      <c r="D5390" s="27"/>
      <c r="E5390" s="30"/>
    </row>
    <row r="5391">
      <c r="A5391" s="27"/>
      <c r="B5391" s="28"/>
      <c r="C5391" s="27"/>
      <c r="D5391" s="27"/>
      <c r="E5391" s="30"/>
    </row>
    <row r="5392">
      <c r="A5392" s="27"/>
      <c r="B5392" s="28"/>
      <c r="C5392" s="27"/>
      <c r="D5392" s="27"/>
      <c r="E5392" s="30"/>
    </row>
    <row r="5393">
      <c r="A5393" s="27"/>
      <c r="B5393" s="28"/>
      <c r="C5393" s="27"/>
      <c r="D5393" s="27"/>
      <c r="E5393" s="30"/>
    </row>
    <row r="5394">
      <c r="A5394" s="27"/>
      <c r="B5394" s="28"/>
      <c r="C5394" s="27"/>
      <c r="D5394" s="27"/>
      <c r="E5394" s="30"/>
    </row>
    <row r="5395">
      <c r="A5395" s="27"/>
      <c r="B5395" s="28"/>
      <c r="C5395" s="27"/>
      <c r="D5395" s="27"/>
      <c r="E5395" s="30"/>
    </row>
    <row r="5396">
      <c r="A5396" s="27"/>
      <c r="B5396" s="28"/>
      <c r="C5396" s="27"/>
      <c r="D5396" s="27"/>
      <c r="E5396" s="30"/>
    </row>
    <row r="5397">
      <c r="A5397" s="27"/>
      <c r="B5397" s="28"/>
      <c r="C5397" s="27"/>
      <c r="D5397" s="27"/>
      <c r="E5397" s="30"/>
    </row>
    <row r="5398">
      <c r="A5398" s="27"/>
      <c r="B5398" s="28"/>
      <c r="C5398" s="27"/>
      <c r="D5398" s="27"/>
      <c r="E5398" s="30"/>
    </row>
    <row r="5399">
      <c r="A5399" s="27"/>
      <c r="B5399" s="28"/>
      <c r="C5399" s="27"/>
      <c r="D5399" s="27"/>
      <c r="E5399" s="30"/>
    </row>
    <row r="5400">
      <c r="A5400" s="27"/>
      <c r="B5400" s="28"/>
      <c r="C5400" s="27"/>
      <c r="D5400" s="27"/>
      <c r="E5400" s="30"/>
    </row>
    <row r="5401">
      <c r="A5401" s="27"/>
      <c r="B5401" s="28"/>
      <c r="C5401" s="27"/>
      <c r="D5401" s="27"/>
      <c r="E5401" s="30"/>
    </row>
    <row r="5402">
      <c r="A5402" s="27"/>
      <c r="B5402" s="28"/>
      <c r="C5402" s="27"/>
      <c r="D5402" s="27"/>
      <c r="E5402" s="30"/>
    </row>
    <row r="5403">
      <c r="A5403" s="27"/>
      <c r="B5403" s="28"/>
      <c r="C5403" s="27"/>
      <c r="D5403" s="27"/>
      <c r="E5403" s="30"/>
    </row>
    <row r="5404">
      <c r="A5404" s="27"/>
      <c r="B5404" s="28"/>
      <c r="C5404" s="27"/>
      <c r="D5404" s="27"/>
      <c r="E5404" s="30"/>
    </row>
    <row r="5405">
      <c r="A5405" s="27"/>
      <c r="B5405" s="28"/>
      <c r="C5405" s="27"/>
      <c r="D5405" s="27"/>
      <c r="E5405" s="30"/>
    </row>
    <row r="5406">
      <c r="A5406" s="27"/>
      <c r="B5406" s="28"/>
      <c r="C5406" s="27"/>
      <c r="D5406" s="27"/>
      <c r="E5406" s="30"/>
    </row>
    <row r="5407">
      <c r="A5407" s="27"/>
      <c r="B5407" s="28"/>
      <c r="C5407" s="27"/>
      <c r="D5407" s="27"/>
      <c r="E5407" s="30"/>
    </row>
    <row r="5408">
      <c r="A5408" s="27"/>
      <c r="B5408" s="28"/>
      <c r="C5408" s="27"/>
      <c r="D5408" s="27"/>
      <c r="E5408" s="30"/>
    </row>
    <row r="5409">
      <c r="A5409" s="27"/>
      <c r="B5409" s="28"/>
      <c r="C5409" s="27"/>
      <c r="D5409" s="27"/>
      <c r="E5409" s="30"/>
    </row>
    <row r="5410">
      <c r="A5410" s="27"/>
      <c r="B5410" s="28"/>
      <c r="C5410" s="27"/>
      <c r="D5410" s="27"/>
      <c r="E5410" s="30"/>
    </row>
    <row r="5411">
      <c r="A5411" s="27"/>
      <c r="B5411" s="28"/>
      <c r="C5411" s="27"/>
      <c r="D5411" s="27"/>
      <c r="E5411" s="30"/>
    </row>
    <row r="5412">
      <c r="A5412" s="27"/>
      <c r="B5412" s="28"/>
      <c r="C5412" s="27"/>
      <c r="D5412" s="27"/>
      <c r="E5412" s="30"/>
    </row>
    <row r="5413">
      <c r="A5413" s="27"/>
      <c r="B5413" s="28"/>
      <c r="C5413" s="27"/>
      <c r="D5413" s="27"/>
      <c r="E5413" s="30"/>
    </row>
    <row r="5414">
      <c r="A5414" s="27"/>
      <c r="B5414" s="28"/>
      <c r="C5414" s="27"/>
      <c r="D5414" s="27"/>
      <c r="E5414" s="30"/>
    </row>
    <row r="5415">
      <c r="A5415" s="27"/>
      <c r="B5415" s="28"/>
      <c r="C5415" s="27"/>
      <c r="D5415" s="27"/>
      <c r="E5415" s="30"/>
    </row>
    <row r="5416">
      <c r="A5416" s="27"/>
      <c r="B5416" s="28"/>
      <c r="C5416" s="27"/>
      <c r="D5416" s="27"/>
      <c r="E5416" s="30"/>
    </row>
    <row r="5417">
      <c r="A5417" s="27"/>
      <c r="B5417" s="28"/>
      <c r="C5417" s="27"/>
      <c r="D5417" s="27"/>
      <c r="E5417" s="30"/>
    </row>
    <row r="5418">
      <c r="A5418" s="27"/>
      <c r="B5418" s="28"/>
      <c r="C5418" s="27"/>
      <c r="D5418" s="27"/>
      <c r="E5418" s="30"/>
    </row>
    <row r="5419">
      <c r="A5419" s="27"/>
      <c r="B5419" s="28"/>
      <c r="C5419" s="27"/>
      <c r="D5419" s="27"/>
      <c r="E5419" s="30"/>
    </row>
    <row r="5420">
      <c r="A5420" s="27"/>
      <c r="B5420" s="28"/>
      <c r="C5420" s="27"/>
      <c r="D5420" s="27"/>
      <c r="E5420" s="30"/>
    </row>
    <row r="5421">
      <c r="A5421" s="27"/>
      <c r="B5421" s="28"/>
      <c r="C5421" s="27"/>
      <c r="D5421" s="27"/>
      <c r="E5421" s="30"/>
    </row>
    <row r="5422">
      <c r="A5422" s="27"/>
      <c r="B5422" s="28"/>
      <c r="C5422" s="27"/>
      <c r="D5422" s="27"/>
      <c r="E5422" s="30"/>
    </row>
    <row r="5423">
      <c r="A5423" s="27"/>
      <c r="B5423" s="28"/>
      <c r="C5423" s="27"/>
      <c r="D5423" s="27"/>
      <c r="E5423" s="30"/>
    </row>
    <row r="5424">
      <c r="A5424" s="27"/>
      <c r="B5424" s="28"/>
      <c r="C5424" s="27"/>
      <c r="D5424" s="27"/>
      <c r="E5424" s="30"/>
    </row>
    <row r="5425">
      <c r="A5425" s="27"/>
      <c r="B5425" s="28"/>
      <c r="C5425" s="27"/>
      <c r="D5425" s="27"/>
      <c r="E5425" s="30"/>
    </row>
    <row r="5426">
      <c r="A5426" s="27"/>
      <c r="B5426" s="28"/>
      <c r="C5426" s="27"/>
      <c r="D5426" s="27"/>
      <c r="E5426" s="30"/>
    </row>
    <row r="5427">
      <c r="A5427" s="27"/>
      <c r="B5427" s="28"/>
      <c r="C5427" s="27"/>
      <c r="D5427" s="27"/>
      <c r="E5427" s="30"/>
    </row>
    <row r="5428">
      <c r="A5428" s="27"/>
      <c r="B5428" s="28"/>
      <c r="C5428" s="27"/>
      <c r="D5428" s="27"/>
      <c r="E5428" s="30"/>
    </row>
    <row r="5429">
      <c r="A5429" s="27"/>
      <c r="B5429" s="28"/>
      <c r="C5429" s="27"/>
      <c r="D5429" s="27"/>
      <c r="E5429" s="30"/>
    </row>
    <row r="5430">
      <c r="A5430" s="27"/>
      <c r="B5430" s="28"/>
      <c r="C5430" s="27"/>
      <c r="D5430" s="27"/>
      <c r="E5430" s="30"/>
    </row>
    <row r="5431">
      <c r="A5431" s="27"/>
      <c r="B5431" s="28"/>
      <c r="C5431" s="27"/>
      <c r="D5431" s="27"/>
      <c r="E5431" s="30"/>
    </row>
    <row r="5432">
      <c r="A5432" s="27"/>
      <c r="B5432" s="28"/>
      <c r="C5432" s="27"/>
      <c r="D5432" s="27"/>
      <c r="E5432" s="30"/>
    </row>
    <row r="5433">
      <c r="A5433" s="27"/>
      <c r="B5433" s="28"/>
      <c r="C5433" s="27"/>
      <c r="D5433" s="27"/>
      <c r="E5433" s="30"/>
    </row>
    <row r="5434">
      <c r="A5434" s="27"/>
      <c r="B5434" s="28"/>
      <c r="C5434" s="27"/>
      <c r="D5434" s="27"/>
      <c r="E5434" s="30"/>
    </row>
    <row r="5435">
      <c r="A5435" s="27"/>
      <c r="B5435" s="28"/>
      <c r="C5435" s="27"/>
      <c r="D5435" s="27"/>
      <c r="E5435" s="30"/>
    </row>
    <row r="5436">
      <c r="A5436" s="27"/>
      <c r="B5436" s="28"/>
      <c r="C5436" s="27"/>
      <c r="D5436" s="27"/>
      <c r="E5436" s="30"/>
    </row>
    <row r="5437">
      <c r="A5437" s="27"/>
      <c r="B5437" s="28"/>
      <c r="C5437" s="27"/>
      <c r="D5437" s="27"/>
      <c r="E5437" s="30"/>
    </row>
    <row r="5438">
      <c r="A5438" s="27"/>
      <c r="B5438" s="28"/>
      <c r="C5438" s="27"/>
      <c r="D5438" s="27"/>
      <c r="E5438" s="30"/>
    </row>
    <row r="5439">
      <c r="A5439" s="27"/>
      <c r="B5439" s="28"/>
      <c r="C5439" s="27"/>
      <c r="D5439" s="27"/>
      <c r="E5439" s="30"/>
    </row>
    <row r="5440">
      <c r="A5440" s="27"/>
      <c r="B5440" s="28"/>
      <c r="C5440" s="27"/>
      <c r="D5440" s="27"/>
      <c r="E5440" s="30"/>
    </row>
    <row r="5441">
      <c r="A5441" s="27"/>
      <c r="B5441" s="28"/>
      <c r="C5441" s="27"/>
      <c r="D5441" s="27"/>
      <c r="E5441" s="30"/>
    </row>
    <row r="5442">
      <c r="A5442" s="27"/>
      <c r="B5442" s="28"/>
      <c r="C5442" s="27"/>
      <c r="D5442" s="27"/>
      <c r="E5442" s="30"/>
    </row>
    <row r="5443">
      <c r="A5443" s="27"/>
      <c r="B5443" s="28"/>
      <c r="C5443" s="27"/>
      <c r="D5443" s="27"/>
      <c r="E5443" s="30"/>
    </row>
    <row r="5444">
      <c r="A5444" s="27"/>
      <c r="B5444" s="28"/>
      <c r="C5444" s="27"/>
      <c r="D5444" s="27"/>
      <c r="E5444" s="30"/>
    </row>
    <row r="5445">
      <c r="A5445" s="27"/>
      <c r="B5445" s="28"/>
      <c r="C5445" s="27"/>
      <c r="D5445" s="27"/>
      <c r="E5445" s="30"/>
    </row>
    <row r="5446">
      <c r="A5446" s="27"/>
      <c r="B5446" s="28"/>
      <c r="C5446" s="27"/>
      <c r="D5446" s="27"/>
      <c r="E5446" s="30"/>
    </row>
    <row r="5447">
      <c r="A5447" s="27"/>
      <c r="B5447" s="28"/>
      <c r="C5447" s="27"/>
      <c r="D5447" s="27"/>
      <c r="E5447" s="30"/>
    </row>
    <row r="5448">
      <c r="A5448" s="27"/>
      <c r="B5448" s="28"/>
      <c r="C5448" s="27"/>
      <c r="D5448" s="27"/>
      <c r="E5448" s="30"/>
    </row>
    <row r="5449">
      <c r="A5449" s="27"/>
      <c r="B5449" s="28"/>
      <c r="C5449" s="27"/>
      <c r="D5449" s="27"/>
      <c r="E5449" s="30"/>
    </row>
    <row r="5450">
      <c r="A5450" s="27"/>
      <c r="B5450" s="28"/>
      <c r="C5450" s="27"/>
      <c r="D5450" s="27"/>
      <c r="E5450" s="30"/>
    </row>
    <row r="5451">
      <c r="A5451" s="27"/>
      <c r="B5451" s="28"/>
      <c r="C5451" s="27"/>
      <c r="D5451" s="27"/>
      <c r="E5451" s="30"/>
    </row>
    <row r="5452">
      <c r="A5452" s="27"/>
      <c r="B5452" s="28"/>
      <c r="C5452" s="27"/>
      <c r="D5452" s="27"/>
      <c r="E5452" s="30"/>
    </row>
    <row r="5453">
      <c r="A5453" s="27"/>
      <c r="B5453" s="28"/>
      <c r="C5453" s="27"/>
      <c r="D5453" s="27"/>
      <c r="E5453" s="30"/>
    </row>
    <row r="5454">
      <c r="A5454" s="27"/>
      <c r="B5454" s="28"/>
      <c r="C5454" s="27"/>
      <c r="D5454" s="27"/>
      <c r="E5454" s="30"/>
    </row>
    <row r="5455">
      <c r="A5455" s="27"/>
      <c r="B5455" s="28"/>
      <c r="C5455" s="27"/>
      <c r="D5455" s="27"/>
      <c r="E5455" s="30"/>
    </row>
    <row r="5456">
      <c r="A5456" s="27"/>
      <c r="B5456" s="28"/>
      <c r="C5456" s="27"/>
      <c r="D5456" s="27"/>
      <c r="E5456" s="30"/>
    </row>
    <row r="5457">
      <c r="A5457" s="27"/>
      <c r="B5457" s="28"/>
      <c r="C5457" s="27"/>
      <c r="D5457" s="27"/>
      <c r="E5457" s="30"/>
    </row>
    <row r="5458">
      <c r="A5458" s="27"/>
      <c r="B5458" s="28"/>
      <c r="C5458" s="27"/>
      <c r="D5458" s="27"/>
      <c r="E5458" s="30"/>
    </row>
    <row r="5459">
      <c r="A5459" s="27"/>
      <c r="B5459" s="28"/>
      <c r="C5459" s="27"/>
      <c r="D5459" s="27"/>
      <c r="E5459" s="30"/>
    </row>
    <row r="5460">
      <c r="A5460" s="27"/>
      <c r="B5460" s="28"/>
      <c r="C5460" s="27"/>
      <c r="D5460" s="27"/>
      <c r="E5460" s="30"/>
    </row>
    <row r="5461">
      <c r="A5461" s="27"/>
      <c r="B5461" s="28"/>
      <c r="C5461" s="27"/>
      <c r="D5461" s="27"/>
      <c r="E5461" s="30"/>
    </row>
    <row r="5462">
      <c r="A5462" s="27"/>
      <c r="B5462" s="28"/>
      <c r="C5462" s="27"/>
      <c r="D5462" s="27"/>
      <c r="E5462" s="30"/>
    </row>
    <row r="5463">
      <c r="A5463" s="27"/>
      <c r="B5463" s="28"/>
      <c r="C5463" s="27"/>
      <c r="D5463" s="27"/>
      <c r="E5463" s="30"/>
    </row>
    <row r="5464">
      <c r="A5464" s="27"/>
      <c r="B5464" s="28"/>
      <c r="C5464" s="27"/>
      <c r="D5464" s="27"/>
      <c r="E5464" s="30"/>
    </row>
    <row r="5465">
      <c r="A5465" s="27"/>
      <c r="B5465" s="28"/>
      <c r="C5465" s="27"/>
      <c r="D5465" s="27"/>
      <c r="E5465" s="30"/>
    </row>
    <row r="5466">
      <c r="A5466" s="27"/>
      <c r="B5466" s="28"/>
      <c r="C5466" s="27"/>
      <c r="D5466" s="27"/>
      <c r="E5466" s="30"/>
    </row>
    <row r="5467">
      <c r="A5467" s="27"/>
      <c r="B5467" s="28"/>
      <c r="C5467" s="27"/>
      <c r="D5467" s="27"/>
      <c r="E5467" s="30"/>
    </row>
    <row r="5468">
      <c r="A5468" s="27"/>
      <c r="B5468" s="28"/>
      <c r="C5468" s="27"/>
      <c r="D5468" s="27"/>
      <c r="E5468" s="30"/>
    </row>
    <row r="5469">
      <c r="A5469" s="27"/>
      <c r="B5469" s="28"/>
      <c r="C5469" s="27"/>
      <c r="D5469" s="27"/>
      <c r="E5469" s="30"/>
    </row>
    <row r="5470">
      <c r="A5470" s="27"/>
      <c r="B5470" s="28"/>
      <c r="C5470" s="27"/>
      <c r="D5470" s="27"/>
      <c r="E5470" s="30"/>
    </row>
    <row r="5471">
      <c r="A5471" s="27"/>
      <c r="B5471" s="28"/>
      <c r="C5471" s="27"/>
      <c r="D5471" s="27"/>
      <c r="E5471" s="30"/>
    </row>
    <row r="5472">
      <c r="A5472" s="27"/>
      <c r="B5472" s="28"/>
      <c r="C5472" s="27"/>
      <c r="D5472" s="27"/>
      <c r="E5472" s="30"/>
    </row>
    <row r="5473">
      <c r="A5473" s="27"/>
      <c r="B5473" s="28"/>
      <c r="C5473" s="27"/>
      <c r="D5473" s="27"/>
      <c r="E5473" s="30"/>
    </row>
    <row r="5474">
      <c r="A5474" s="27"/>
      <c r="B5474" s="28"/>
      <c r="C5474" s="27"/>
      <c r="D5474" s="27"/>
      <c r="E5474" s="30"/>
    </row>
    <row r="5475">
      <c r="A5475" s="27"/>
      <c r="B5475" s="28"/>
      <c r="C5475" s="27"/>
      <c r="D5475" s="27"/>
      <c r="E5475" s="30"/>
    </row>
    <row r="5476">
      <c r="A5476" s="27"/>
      <c r="B5476" s="28"/>
      <c r="C5476" s="27"/>
      <c r="D5476" s="27"/>
      <c r="E5476" s="30"/>
    </row>
    <row r="5477">
      <c r="A5477" s="27"/>
      <c r="B5477" s="28"/>
      <c r="C5477" s="27"/>
      <c r="D5477" s="27"/>
      <c r="E5477" s="30"/>
    </row>
    <row r="5478">
      <c r="A5478" s="27"/>
      <c r="B5478" s="28"/>
      <c r="C5478" s="27"/>
      <c r="D5478" s="27"/>
      <c r="E5478" s="30"/>
    </row>
    <row r="5479">
      <c r="A5479" s="27"/>
      <c r="B5479" s="28"/>
      <c r="C5479" s="27"/>
      <c r="D5479" s="27"/>
      <c r="E5479" s="30"/>
    </row>
    <row r="5480">
      <c r="A5480" s="27"/>
      <c r="B5480" s="28"/>
      <c r="C5480" s="27"/>
      <c r="D5480" s="27"/>
      <c r="E5480" s="30"/>
    </row>
    <row r="5481">
      <c r="A5481" s="27"/>
      <c r="B5481" s="28"/>
      <c r="C5481" s="27"/>
      <c r="D5481" s="27"/>
      <c r="E5481" s="30"/>
    </row>
    <row r="5482">
      <c r="A5482" s="27"/>
      <c r="B5482" s="28"/>
      <c r="C5482" s="27"/>
      <c r="D5482" s="27"/>
      <c r="E5482" s="30"/>
    </row>
    <row r="5483">
      <c r="A5483" s="27"/>
      <c r="B5483" s="28"/>
      <c r="C5483" s="27"/>
      <c r="D5483" s="27"/>
      <c r="E5483" s="30"/>
    </row>
    <row r="5484">
      <c r="A5484" s="27"/>
      <c r="B5484" s="28"/>
      <c r="C5484" s="27"/>
      <c r="D5484" s="27"/>
      <c r="E5484" s="30"/>
    </row>
    <row r="5485">
      <c r="A5485" s="27"/>
      <c r="B5485" s="28"/>
      <c r="C5485" s="27"/>
      <c r="D5485" s="27"/>
      <c r="E5485" s="30"/>
    </row>
    <row r="5486">
      <c r="A5486" s="27"/>
      <c r="B5486" s="28"/>
      <c r="C5486" s="27"/>
      <c r="D5486" s="27"/>
      <c r="E5486" s="30"/>
    </row>
    <row r="5487">
      <c r="A5487" s="27"/>
      <c r="B5487" s="28"/>
      <c r="C5487" s="27"/>
      <c r="D5487" s="27"/>
      <c r="E5487" s="30"/>
    </row>
    <row r="5488">
      <c r="A5488" s="27"/>
      <c r="B5488" s="28"/>
      <c r="C5488" s="27"/>
      <c r="D5488" s="27"/>
      <c r="E5488" s="30"/>
    </row>
    <row r="5489">
      <c r="A5489" s="27"/>
      <c r="B5489" s="28"/>
      <c r="C5489" s="27"/>
      <c r="D5489" s="27"/>
      <c r="E5489" s="30"/>
    </row>
    <row r="5490">
      <c r="A5490" s="27"/>
      <c r="B5490" s="28"/>
      <c r="C5490" s="27"/>
      <c r="D5490" s="27"/>
      <c r="E5490" s="30"/>
    </row>
    <row r="5491">
      <c r="A5491" s="27"/>
      <c r="B5491" s="28"/>
      <c r="C5491" s="27"/>
      <c r="D5491" s="27"/>
      <c r="E5491" s="30"/>
    </row>
    <row r="5492">
      <c r="A5492" s="27"/>
      <c r="B5492" s="28"/>
      <c r="C5492" s="27"/>
      <c r="D5492" s="27"/>
      <c r="E5492" s="30"/>
    </row>
    <row r="5493">
      <c r="A5493" s="27"/>
      <c r="B5493" s="28"/>
      <c r="C5493" s="27"/>
      <c r="D5493" s="27"/>
      <c r="E5493" s="30"/>
    </row>
    <row r="5494">
      <c r="A5494" s="27"/>
      <c r="B5494" s="28"/>
      <c r="C5494" s="27"/>
      <c r="D5494" s="27"/>
      <c r="E5494" s="30"/>
    </row>
    <row r="5495">
      <c r="A5495" s="27"/>
      <c r="B5495" s="28"/>
      <c r="C5495" s="27"/>
      <c r="D5495" s="27"/>
      <c r="E5495" s="30"/>
    </row>
    <row r="5496">
      <c r="A5496" s="27"/>
      <c r="B5496" s="28"/>
      <c r="C5496" s="27"/>
      <c r="D5496" s="27"/>
      <c r="E5496" s="30"/>
    </row>
    <row r="5497">
      <c r="A5497" s="27"/>
      <c r="B5497" s="28"/>
      <c r="C5497" s="27"/>
      <c r="D5497" s="27"/>
      <c r="E5497" s="30"/>
    </row>
    <row r="5498">
      <c r="A5498" s="27"/>
      <c r="B5498" s="28"/>
      <c r="C5498" s="27"/>
      <c r="D5498" s="27"/>
      <c r="E5498" s="30"/>
    </row>
    <row r="5499">
      <c r="A5499" s="27"/>
      <c r="B5499" s="28"/>
      <c r="C5499" s="27"/>
      <c r="D5499" s="27"/>
      <c r="E5499" s="30"/>
    </row>
    <row r="5500">
      <c r="A5500" s="27"/>
      <c r="B5500" s="28"/>
      <c r="C5500" s="27"/>
      <c r="D5500" s="27"/>
      <c r="E5500" s="30"/>
    </row>
    <row r="5501">
      <c r="A5501" s="27"/>
      <c r="B5501" s="28"/>
      <c r="C5501" s="27"/>
      <c r="D5501" s="27"/>
      <c r="E5501" s="30"/>
    </row>
    <row r="5502">
      <c r="A5502" s="27"/>
      <c r="B5502" s="28"/>
      <c r="C5502" s="27"/>
      <c r="D5502" s="27"/>
      <c r="E5502" s="30"/>
    </row>
    <row r="5503">
      <c r="A5503" s="27"/>
      <c r="B5503" s="28"/>
      <c r="C5503" s="27"/>
      <c r="D5503" s="27"/>
      <c r="E5503" s="30"/>
    </row>
    <row r="5504">
      <c r="A5504" s="27"/>
      <c r="B5504" s="28"/>
      <c r="C5504" s="27"/>
      <c r="D5504" s="27"/>
      <c r="E5504" s="30"/>
    </row>
    <row r="5505">
      <c r="A5505" s="27"/>
      <c r="B5505" s="28"/>
      <c r="C5505" s="27"/>
      <c r="D5505" s="27"/>
      <c r="E5505" s="30"/>
    </row>
    <row r="5506">
      <c r="A5506" s="27"/>
      <c r="B5506" s="28"/>
      <c r="C5506" s="27"/>
      <c r="D5506" s="27"/>
      <c r="E5506" s="30"/>
    </row>
    <row r="5507">
      <c r="A5507" s="27"/>
      <c r="B5507" s="28"/>
      <c r="C5507" s="27"/>
      <c r="D5507" s="27"/>
      <c r="E5507" s="30"/>
    </row>
    <row r="5508">
      <c r="A5508" s="27"/>
      <c r="B5508" s="28"/>
      <c r="C5508" s="27"/>
      <c r="D5508" s="27"/>
      <c r="E5508" s="30"/>
    </row>
    <row r="5509">
      <c r="A5509" s="27"/>
      <c r="B5509" s="28"/>
      <c r="C5509" s="27"/>
      <c r="D5509" s="27"/>
      <c r="E5509" s="30"/>
    </row>
    <row r="5510">
      <c r="A5510" s="27"/>
      <c r="B5510" s="28"/>
      <c r="C5510" s="27"/>
      <c r="D5510" s="27"/>
      <c r="E5510" s="30"/>
    </row>
    <row r="5511">
      <c r="A5511" s="27"/>
      <c r="B5511" s="28"/>
      <c r="C5511" s="27"/>
      <c r="D5511" s="27"/>
      <c r="E5511" s="30"/>
    </row>
    <row r="5512">
      <c r="A5512" s="27"/>
      <c r="B5512" s="28"/>
      <c r="C5512" s="27"/>
      <c r="D5512" s="27"/>
      <c r="E5512" s="30"/>
    </row>
    <row r="5513">
      <c r="A5513" s="27"/>
      <c r="B5513" s="28"/>
      <c r="C5513" s="27"/>
      <c r="D5513" s="27"/>
      <c r="E5513" s="30"/>
    </row>
    <row r="5514">
      <c r="A5514" s="27"/>
      <c r="B5514" s="28"/>
      <c r="C5514" s="27"/>
      <c r="D5514" s="27"/>
      <c r="E5514" s="30"/>
    </row>
    <row r="5515">
      <c r="A5515" s="27"/>
      <c r="B5515" s="28"/>
      <c r="C5515" s="27"/>
      <c r="D5515" s="27"/>
      <c r="E5515" s="30"/>
    </row>
    <row r="5516">
      <c r="A5516" s="27"/>
      <c r="B5516" s="28"/>
      <c r="C5516" s="27"/>
      <c r="D5516" s="27"/>
      <c r="E5516" s="30"/>
    </row>
    <row r="5517">
      <c r="A5517" s="27"/>
      <c r="B5517" s="28"/>
      <c r="C5517" s="27"/>
      <c r="D5517" s="27"/>
      <c r="E5517" s="30"/>
    </row>
    <row r="5518">
      <c r="A5518" s="27"/>
      <c r="B5518" s="28"/>
      <c r="C5518" s="27"/>
      <c r="D5518" s="27"/>
      <c r="E5518" s="30"/>
    </row>
    <row r="5519">
      <c r="A5519" s="27"/>
      <c r="B5519" s="28"/>
      <c r="C5519" s="27"/>
      <c r="D5519" s="27"/>
      <c r="E5519" s="30"/>
    </row>
    <row r="5520">
      <c r="A5520" s="27"/>
      <c r="B5520" s="28"/>
      <c r="C5520" s="27"/>
      <c r="D5520" s="27"/>
      <c r="E5520" s="30"/>
    </row>
    <row r="5521">
      <c r="A5521" s="27"/>
      <c r="B5521" s="28"/>
      <c r="C5521" s="27"/>
      <c r="D5521" s="27"/>
      <c r="E5521" s="30"/>
    </row>
    <row r="5522">
      <c r="A5522" s="27"/>
      <c r="B5522" s="28"/>
      <c r="C5522" s="27"/>
      <c r="D5522" s="27"/>
      <c r="E5522" s="30"/>
    </row>
    <row r="5523">
      <c r="A5523" s="27"/>
      <c r="B5523" s="28"/>
      <c r="C5523" s="27"/>
      <c r="D5523" s="27"/>
      <c r="E5523" s="30"/>
    </row>
    <row r="5524">
      <c r="A5524" s="27"/>
      <c r="B5524" s="28"/>
      <c r="C5524" s="27"/>
      <c r="D5524" s="27"/>
      <c r="E5524" s="30"/>
    </row>
    <row r="5525">
      <c r="A5525" s="27"/>
      <c r="B5525" s="28"/>
      <c r="C5525" s="27"/>
      <c r="D5525" s="27"/>
      <c r="E5525" s="30"/>
    </row>
    <row r="5526">
      <c r="A5526" s="27"/>
      <c r="B5526" s="28"/>
      <c r="C5526" s="27"/>
      <c r="D5526" s="27"/>
      <c r="E5526" s="30"/>
    </row>
    <row r="5527">
      <c r="A5527" s="27"/>
      <c r="B5527" s="28"/>
      <c r="C5527" s="27"/>
      <c r="D5527" s="27"/>
      <c r="E5527" s="30"/>
    </row>
    <row r="5528">
      <c r="A5528" s="27"/>
      <c r="B5528" s="28"/>
      <c r="C5528" s="27"/>
      <c r="D5528" s="27"/>
      <c r="E5528" s="30"/>
    </row>
    <row r="5529">
      <c r="A5529" s="27"/>
      <c r="B5529" s="28"/>
      <c r="C5529" s="27"/>
      <c r="D5529" s="27"/>
      <c r="E5529" s="30"/>
    </row>
    <row r="5530">
      <c r="A5530" s="27"/>
      <c r="B5530" s="28"/>
      <c r="C5530" s="27"/>
      <c r="D5530" s="27"/>
      <c r="E5530" s="30"/>
    </row>
    <row r="5531">
      <c r="A5531" s="27"/>
      <c r="B5531" s="28"/>
      <c r="C5531" s="27"/>
      <c r="D5531" s="27"/>
      <c r="E5531" s="30"/>
    </row>
    <row r="5532">
      <c r="A5532" s="27"/>
      <c r="B5532" s="28"/>
      <c r="C5532" s="27"/>
      <c r="D5532" s="27"/>
      <c r="E5532" s="30"/>
    </row>
    <row r="5533">
      <c r="A5533" s="27"/>
      <c r="B5533" s="28"/>
      <c r="C5533" s="27"/>
      <c r="D5533" s="27"/>
      <c r="E5533" s="30"/>
    </row>
    <row r="5534">
      <c r="A5534" s="27"/>
      <c r="B5534" s="28"/>
      <c r="C5534" s="27"/>
      <c r="D5534" s="27"/>
      <c r="E5534" s="30"/>
    </row>
    <row r="5535">
      <c r="A5535" s="27"/>
      <c r="B5535" s="28"/>
      <c r="C5535" s="27"/>
      <c r="D5535" s="27"/>
      <c r="E5535" s="30"/>
    </row>
    <row r="5536">
      <c r="A5536" s="27"/>
      <c r="B5536" s="28"/>
      <c r="C5536" s="27"/>
      <c r="D5536" s="27"/>
      <c r="E5536" s="30"/>
    </row>
    <row r="5537">
      <c r="A5537" s="27"/>
      <c r="B5537" s="28"/>
      <c r="C5537" s="27"/>
      <c r="D5537" s="27"/>
      <c r="E5537" s="30"/>
    </row>
    <row r="5538">
      <c r="A5538" s="27"/>
      <c r="B5538" s="28"/>
      <c r="C5538" s="27"/>
      <c r="D5538" s="27"/>
      <c r="E5538" s="30"/>
    </row>
    <row r="5539">
      <c r="A5539" s="27"/>
      <c r="B5539" s="28"/>
      <c r="C5539" s="27"/>
      <c r="D5539" s="27"/>
      <c r="E5539" s="30"/>
    </row>
    <row r="5540">
      <c r="A5540" s="27"/>
      <c r="B5540" s="28"/>
      <c r="C5540" s="27"/>
      <c r="D5540" s="27"/>
      <c r="E5540" s="30"/>
    </row>
    <row r="5541">
      <c r="A5541" s="27"/>
      <c r="B5541" s="28"/>
      <c r="C5541" s="27"/>
      <c r="D5541" s="27"/>
      <c r="E5541" s="30"/>
    </row>
    <row r="5542">
      <c r="A5542" s="27"/>
      <c r="B5542" s="28"/>
      <c r="C5542" s="27"/>
      <c r="D5542" s="27"/>
      <c r="E5542" s="30"/>
    </row>
    <row r="5543">
      <c r="A5543" s="27"/>
      <c r="B5543" s="28"/>
      <c r="C5543" s="27"/>
      <c r="D5543" s="27"/>
      <c r="E5543" s="30"/>
    </row>
    <row r="5544">
      <c r="A5544" s="27"/>
      <c r="B5544" s="28"/>
      <c r="C5544" s="27"/>
      <c r="D5544" s="27"/>
      <c r="E5544" s="30"/>
    </row>
    <row r="5545">
      <c r="A5545" s="27"/>
      <c r="B5545" s="28"/>
      <c r="C5545" s="27"/>
      <c r="D5545" s="27"/>
      <c r="E5545" s="30"/>
    </row>
    <row r="5546">
      <c r="A5546" s="27"/>
      <c r="B5546" s="28"/>
      <c r="C5546" s="27"/>
      <c r="D5546" s="27"/>
      <c r="E5546" s="30"/>
    </row>
    <row r="5547">
      <c r="A5547" s="27"/>
      <c r="B5547" s="28"/>
      <c r="C5547" s="27"/>
      <c r="D5547" s="27"/>
      <c r="E5547" s="30"/>
    </row>
    <row r="5548">
      <c r="A5548" s="27"/>
      <c r="B5548" s="28"/>
      <c r="C5548" s="27"/>
      <c r="D5548" s="27"/>
      <c r="E5548" s="30"/>
    </row>
    <row r="5549">
      <c r="A5549" s="27"/>
      <c r="B5549" s="28"/>
      <c r="C5549" s="27"/>
      <c r="D5549" s="27"/>
      <c r="E5549" s="30"/>
    </row>
    <row r="5550">
      <c r="A5550" s="27"/>
      <c r="B5550" s="28"/>
      <c r="C5550" s="27"/>
      <c r="D5550" s="27"/>
      <c r="E5550" s="30"/>
    </row>
    <row r="5551">
      <c r="A5551" s="27"/>
      <c r="B5551" s="28"/>
      <c r="C5551" s="27"/>
      <c r="D5551" s="27"/>
      <c r="E5551" s="30"/>
    </row>
    <row r="5552">
      <c r="A5552" s="27"/>
      <c r="B5552" s="28"/>
      <c r="C5552" s="27"/>
      <c r="D5552" s="27"/>
      <c r="E5552" s="30"/>
    </row>
    <row r="5553">
      <c r="A5553" s="27"/>
      <c r="B5553" s="28"/>
      <c r="C5553" s="27"/>
      <c r="D5553" s="27"/>
      <c r="E5553" s="30"/>
    </row>
    <row r="5554">
      <c r="A5554" s="27"/>
      <c r="B5554" s="28"/>
      <c r="C5554" s="27"/>
      <c r="D5554" s="27"/>
      <c r="E5554" s="30"/>
    </row>
    <row r="5555">
      <c r="A5555" s="27"/>
      <c r="B5555" s="28"/>
      <c r="C5555" s="27"/>
      <c r="D5555" s="27"/>
      <c r="E5555" s="30"/>
    </row>
    <row r="5556">
      <c r="A5556" s="27"/>
      <c r="B5556" s="28"/>
      <c r="C5556" s="27"/>
      <c r="D5556" s="27"/>
      <c r="E5556" s="30"/>
    </row>
    <row r="5557">
      <c r="A5557" s="27"/>
      <c r="B5557" s="28"/>
      <c r="C5557" s="27"/>
      <c r="D5557" s="27"/>
      <c r="E5557" s="30"/>
    </row>
    <row r="5558">
      <c r="A5558" s="27"/>
      <c r="B5558" s="28"/>
      <c r="C5558" s="27"/>
      <c r="D5558" s="27"/>
      <c r="E5558" s="30"/>
    </row>
    <row r="5559">
      <c r="A5559" s="27"/>
      <c r="B5559" s="28"/>
      <c r="C5559" s="27"/>
      <c r="D5559" s="27"/>
      <c r="E5559" s="30"/>
    </row>
    <row r="5560">
      <c r="A5560" s="27"/>
      <c r="B5560" s="28"/>
      <c r="C5560" s="27"/>
      <c r="D5560" s="27"/>
      <c r="E5560" s="30"/>
    </row>
    <row r="5561">
      <c r="A5561" s="27"/>
      <c r="B5561" s="28"/>
      <c r="C5561" s="27"/>
      <c r="D5561" s="27"/>
      <c r="E5561" s="30"/>
    </row>
    <row r="5562">
      <c r="A5562" s="27"/>
      <c r="B5562" s="28"/>
      <c r="C5562" s="27"/>
      <c r="D5562" s="27"/>
      <c r="E5562" s="30"/>
    </row>
    <row r="5563">
      <c r="A5563" s="27"/>
      <c r="B5563" s="28"/>
      <c r="C5563" s="27"/>
      <c r="D5563" s="27"/>
      <c r="E5563" s="30"/>
    </row>
    <row r="5564">
      <c r="A5564" s="27"/>
      <c r="B5564" s="28"/>
      <c r="C5564" s="27"/>
      <c r="D5564" s="27"/>
      <c r="E5564" s="30"/>
    </row>
    <row r="5565">
      <c r="A5565" s="27"/>
      <c r="B5565" s="28"/>
      <c r="C5565" s="27"/>
      <c r="D5565" s="27"/>
      <c r="E5565" s="30"/>
    </row>
    <row r="5566">
      <c r="A5566" s="27"/>
      <c r="B5566" s="28"/>
      <c r="C5566" s="27"/>
      <c r="D5566" s="27"/>
      <c r="E5566" s="30"/>
    </row>
    <row r="5567">
      <c r="A5567" s="27"/>
      <c r="B5567" s="28"/>
      <c r="C5567" s="27"/>
      <c r="D5567" s="27"/>
      <c r="E5567" s="30"/>
    </row>
    <row r="5568">
      <c r="A5568" s="27"/>
      <c r="B5568" s="28"/>
      <c r="C5568" s="27"/>
      <c r="D5568" s="27"/>
      <c r="E5568" s="30"/>
    </row>
    <row r="5569">
      <c r="A5569" s="27"/>
      <c r="B5569" s="28"/>
      <c r="C5569" s="27"/>
      <c r="D5569" s="27"/>
      <c r="E5569" s="30"/>
    </row>
    <row r="5570">
      <c r="A5570" s="27"/>
      <c r="B5570" s="28"/>
      <c r="C5570" s="27"/>
      <c r="D5570" s="27"/>
      <c r="E5570" s="30"/>
    </row>
    <row r="5571">
      <c r="A5571" s="27"/>
      <c r="B5571" s="28"/>
      <c r="C5571" s="27"/>
      <c r="D5571" s="27"/>
      <c r="E5571" s="30"/>
    </row>
    <row r="5572">
      <c r="A5572" s="27"/>
      <c r="B5572" s="28"/>
      <c r="C5572" s="27"/>
      <c r="D5572" s="27"/>
      <c r="E5572" s="30"/>
    </row>
    <row r="5573">
      <c r="A5573" s="27"/>
      <c r="B5573" s="28"/>
      <c r="C5573" s="27"/>
      <c r="D5573" s="27"/>
      <c r="E5573" s="30"/>
    </row>
    <row r="5574">
      <c r="A5574" s="27"/>
      <c r="B5574" s="28"/>
      <c r="C5574" s="27"/>
      <c r="D5574" s="27"/>
      <c r="E5574" s="30"/>
    </row>
    <row r="5575">
      <c r="A5575" s="27"/>
      <c r="B5575" s="28"/>
      <c r="C5575" s="27"/>
      <c r="D5575" s="27"/>
      <c r="E5575" s="30"/>
    </row>
    <row r="5576">
      <c r="A5576" s="27"/>
      <c r="B5576" s="28"/>
      <c r="C5576" s="27"/>
      <c r="D5576" s="27"/>
      <c r="E5576" s="30"/>
    </row>
    <row r="5577">
      <c r="A5577" s="27"/>
      <c r="B5577" s="28"/>
      <c r="C5577" s="27"/>
      <c r="D5577" s="27"/>
      <c r="E5577" s="30"/>
    </row>
    <row r="5578">
      <c r="A5578" s="27"/>
      <c r="B5578" s="28"/>
      <c r="C5578" s="27"/>
      <c r="D5578" s="27"/>
      <c r="E5578" s="30"/>
    </row>
    <row r="5579">
      <c r="A5579" s="27"/>
      <c r="B5579" s="28"/>
      <c r="C5579" s="27"/>
      <c r="D5579" s="27"/>
      <c r="E5579" s="30"/>
    </row>
    <row r="5580">
      <c r="A5580" s="27"/>
      <c r="B5580" s="28"/>
      <c r="C5580" s="27"/>
      <c r="D5580" s="27"/>
      <c r="E5580" s="30"/>
    </row>
    <row r="5581">
      <c r="A5581" s="27"/>
      <c r="B5581" s="28"/>
      <c r="C5581" s="27"/>
      <c r="D5581" s="27"/>
      <c r="E5581" s="30"/>
    </row>
    <row r="5582">
      <c r="A5582" s="27"/>
      <c r="B5582" s="28"/>
      <c r="C5582" s="27"/>
      <c r="D5582" s="27"/>
      <c r="E5582" s="30"/>
    </row>
    <row r="5583">
      <c r="A5583" s="27"/>
      <c r="B5583" s="28"/>
      <c r="C5583" s="27"/>
      <c r="D5583" s="27"/>
      <c r="E5583" s="30"/>
    </row>
    <row r="5584">
      <c r="A5584" s="27"/>
      <c r="B5584" s="28"/>
      <c r="C5584" s="27"/>
      <c r="D5584" s="27"/>
      <c r="E5584" s="30"/>
    </row>
    <row r="5585">
      <c r="A5585" s="27"/>
      <c r="B5585" s="28"/>
      <c r="C5585" s="27"/>
      <c r="D5585" s="27"/>
      <c r="E5585" s="30"/>
    </row>
    <row r="5586">
      <c r="A5586" s="27"/>
      <c r="B5586" s="28"/>
      <c r="C5586" s="27"/>
      <c r="D5586" s="27"/>
      <c r="E5586" s="30"/>
    </row>
    <row r="5587">
      <c r="A5587" s="27"/>
      <c r="B5587" s="28"/>
      <c r="C5587" s="27"/>
      <c r="D5587" s="27"/>
      <c r="E5587" s="30"/>
    </row>
    <row r="5588">
      <c r="A5588" s="27"/>
      <c r="B5588" s="28"/>
      <c r="C5588" s="27"/>
      <c r="D5588" s="27"/>
      <c r="E5588" s="30"/>
    </row>
    <row r="5589">
      <c r="A5589" s="27"/>
      <c r="B5589" s="28"/>
      <c r="C5589" s="27"/>
      <c r="D5589" s="27"/>
      <c r="E5589" s="30"/>
    </row>
    <row r="5590">
      <c r="A5590" s="27"/>
      <c r="B5590" s="28"/>
      <c r="C5590" s="27"/>
      <c r="D5590" s="27"/>
      <c r="E5590" s="30"/>
    </row>
    <row r="5591">
      <c r="A5591" s="27"/>
      <c r="B5591" s="28"/>
      <c r="C5591" s="27"/>
      <c r="D5591" s="27"/>
      <c r="E5591" s="30"/>
    </row>
    <row r="5592">
      <c r="A5592" s="27"/>
      <c r="B5592" s="28"/>
      <c r="C5592" s="27"/>
      <c r="D5592" s="27"/>
      <c r="E5592" s="30"/>
    </row>
    <row r="5593">
      <c r="A5593" s="27"/>
      <c r="B5593" s="28"/>
      <c r="C5593" s="27"/>
      <c r="D5593" s="27"/>
      <c r="E5593" s="30"/>
    </row>
    <row r="5594">
      <c r="A5594" s="27"/>
      <c r="B5594" s="28"/>
      <c r="C5594" s="27"/>
      <c r="D5594" s="27"/>
      <c r="E5594" s="30"/>
    </row>
    <row r="5595">
      <c r="A5595" s="27"/>
      <c r="B5595" s="28"/>
      <c r="C5595" s="27"/>
      <c r="D5595" s="27"/>
      <c r="E5595" s="30"/>
    </row>
    <row r="5596">
      <c r="A5596" s="27"/>
      <c r="B5596" s="28"/>
      <c r="C5596" s="27"/>
      <c r="D5596" s="27"/>
      <c r="E5596" s="30"/>
    </row>
    <row r="5597">
      <c r="A5597" s="27"/>
      <c r="B5597" s="28"/>
      <c r="C5597" s="27"/>
      <c r="D5597" s="27"/>
      <c r="E5597" s="30"/>
    </row>
    <row r="5598">
      <c r="A5598" s="27"/>
      <c r="B5598" s="28"/>
      <c r="C5598" s="27"/>
      <c r="D5598" s="27"/>
      <c r="E5598" s="30"/>
    </row>
    <row r="5599">
      <c r="A5599" s="27"/>
      <c r="B5599" s="28"/>
      <c r="C5599" s="27"/>
      <c r="D5599" s="27"/>
      <c r="E5599" s="30"/>
    </row>
    <row r="5600">
      <c r="A5600" s="27"/>
      <c r="B5600" s="28"/>
      <c r="C5600" s="27"/>
      <c r="D5600" s="27"/>
      <c r="E5600" s="30"/>
    </row>
    <row r="5601">
      <c r="A5601" s="27"/>
      <c r="B5601" s="28"/>
      <c r="C5601" s="27"/>
      <c r="D5601" s="27"/>
      <c r="E5601" s="30"/>
    </row>
    <row r="5602">
      <c r="A5602" s="27"/>
      <c r="B5602" s="28"/>
      <c r="C5602" s="27"/>
      <c r="D5602" s="27"/>
      <c r="E5602" s="30"/>
    </row>
    <row r="5603">
      <c r="A5603" s="27"/>
      <c r="B5603" s="28"/>
      <c r="C5603" s="27"/>
      <c r="D5603" s="27"/>
      <c r="E5603" s="30"/>
    </row>
    <row r="5604">
      <c r="A5604" s="27"/>
      <c r="B5604" s="28"/>
      <c r="C5604" s="27"/>
      <c r="D5604" s="27"/>
      <c r="E5604" s="30"/>
    </row>
    <row r="5605">
      <c r="A5605" s="27"/>
      <c r="B5605" s="28"/>
      <c r="C5605" s="27"/>
      <c r="D5605" s="27"/>
      <c r="E5605" s="30"/>
    </row>
    <row r="5606">
      <c r="A5606" s="27"/>
      <c r="B5606" s="28"/>
      <c r="C5606" s="27"/>
      <c r="D5606" s="27"/>
      <c r="E5606" s="30"/>
    </row>
    <row r="5607">
      <c r="A5607" s="27"/>
      <c r="B5607" s="28"/>
      <c r="C5607" s="27"/>
      <c r="D5607" s="27"/>
      <c r="E5607" s="30"/>
    </row>
    <row r="5608">
      <c r="A5608" s="27"/>
      <c r="B5608" s="28"/>
      <c r="C5608" s="27"/>
      <c r="D5608" s="27"/>
      <c r="E5608" s="30"/>
    </row>
    <row r="5609">
      <c r="A5609" s="27"/>
      <c r="B5609" s="28"/>
      <c r="C5609" s="27"/>
      <c r="D5609" s="27"/>
      <c r="E5609" s="30"/>
    </row>
    <row r="5610">
      <c r="A5610" s="27"/>
      <c r="B5610" s="28"/>
      <c r="C5610" s="27"/>
      <c r="D5610" s="27"/>
      <c r="E5610" s="30"/>
    </row>
    <row r="5611">
      <c r="A5611" s="27"/>
      <c r="B5611" s="28"/>
      <c r="C5611" s="27"/>
      <c r="D5611" s="27"/>
      <c r="E5611" s="30"/>
    </row>
    <row r="5612">
      <c r="A5612" s="27"/>
      <c r="B5612" s="28"/>
      <c r="C5612" s="27"/>
      <c r="D5612" s="27"/>
      <c r="E5612" s="30"/>
    </row>
    <row r="5613">
      <c r="A5613" s="27"/>
      <c r="B5613" s="28"/>
      <c r="C5613" s="27"/>
      <c r="D5613" s="27"/>
      <c r="E5613" s="30"/>
    </row>
    <row r="5614">
      <c r="A5614" s="27"/>
      <c r="B5614" s="28"/>
      <c r="C5614" s="27"/>
      <c r="D5614" s="27"/>
      <c r="E5614" s="30"/>
    </row>
    <row r="5615">
      <c r="A5615" s="27"/>
      <c r="B5615" s="28"/>
      <c r="C5615" s="27"/>
      <c r="D5615" s="27"/>
      <c r="E5615" s="30"/>
    </row>
    <row r="5616">
      <c r="A5616" s="27"/>
      <c r="B5616" s="28"/>
      <c r="C5616" s="27"/>
      <c r="D5616" s="27"/>
      <c r="E5616" s="30"/>
    </row>
    <row r="5617">
      <c r="A5617" s="27"/>
      <c r="B5617" s="28"/>
      <c r="C5617" s="27"/>
      <c r="D5617" s="27"/>
      <c r="E5617" s="30"/>
    </row>
    <row r="5618">
      <c r="A5618" s="27"/>
      <c r="B5618" s="28"/>
      <c r="C5618" s="27"/>
      <c r="D5618" s="27"/>
      <c r="E5618" s="30"/>
    </row>
    <row r="5619">
      <c r="A5619" s="27"/>
      <c r="B5619" s="28"/>
      <c r="C5619" s="27"/>
      <c r="D5619" s="27"/>
      <c r="E5619" s="30"/>
    </row>
    <row r="5620">
      <c r="A5620" s="27"/>
      <c r="B5620" s="28"/>
      <c r="C5620" s="27"/>
      <c r="D5620" s="27"/>
      <c r="E5620" s="30"/>
    </row>
    <row r="5621">
      <c r="A5621" s="27"/>
      <c r="B5621" s="28"/>
      <c r="C5621" s="27"/>
      <c r="D5621" s="27"/>
      <c r="E5621" s="30"/>
    </row>
    <row r="5622">
      <c r="A5622" s="27"/>
      <c r="B5622" s="28"/>
      <c r="C5622" s="27"/>
      <c r="D5622" s="27"/>
      <c r="E5622" s="30"/>
    </row>
    <row r="5623">
      <c r="A5623" s="27"/>
      <c r="B5623" s="28"/>
      <c r="C5623" s="27"/>
      <c r="D5623" s="27"/>
      <c r="E5623" s="30"/>
    </row>
    <row r="5624">
      <c r="A5624" s="27"/>
      <c r="B5624" s="28"/>
      <c r="C5624" s="27"/>
      <c r="D5624" s="27"/>
      <c r="E5624" s="30"/>
    </row>
    <row r="5625">
      <c r="A5625" s="27"/>
      <c r="B5625" s="28"/>
      <c r="C5625" s="27"/>
      <c r="D5625" s="27"/>
      <c r="E5625" s="30"/>
    </row>
    <row r="5626">
      <c r="A5626" s="27"/>
      <c r="B5626" s="28"/>
      <c r="C5626" s="27"/>
      <c r="D5626" s="27"/>
      <c r="E5626" s="30"/>
    </row>
    <row r="5627">
      <c r="A5627" s="27"/>
      <c r="B5627" s="28"/>
      <c r="C5627" s="27"/>
      <c r="D5627" s="27"/>
      <c r="E5627" s="30"/>
    </row>
    <row r="5628">
      <c r="A5628" s="27"/>
      <c r="B5628" s="28"/>
      <c r="C5628" s="27"/>
      <c r="D5628" s="27"/>
      <c r="E5628" s="30"/>
    </row>
    <row r="5629">
      <c r="A5629" s="27"/>
      <c r="B5629" s="28"/>
      <c r="C5629" s="27"/>
      <c r="D5629" s="27"/>
      <c r="E5629" s="30"/>
    </row>
    <row r="5630">
      <c r="A5630" s="27"/>
      <c r="B5630" s="28"/>
      <c r="C5630" s="27"/>
      <c r="D5630" s="27"/>
      <c r="E5630" s="30"/>
    </row>
    <row r="5631">
      <c r="A5631" s="27"/>
      <c r="B5631" s="28"/>
      <c r="C5631" s="27"/>
      <c r="D5631" s="27"/>
      <c r="E5631" s="30"/>
    </row>
    <row r="5632">
      <c r="A5632" s="27"/>
      <c r="B5632" s="28"/>
      <c r="C5632" s="27"/>
      <c r="D5632" s="27"/>
      <c r="E5632" s="30"/>
    </row>
    <row r="5633">
      <c r="A5633" s="27"/>
      <c r="B5633" s="28"/>
      <c r="C5633" s="27"/>
      <c r="D5633" s="27"/>
      <c r="E5633" s="30"/>
    </row>
    <row r="5634">
      <c r="A5634" s="27"/>
      <c r="B5634" s="28"/>
      <c r="C5634" s="27"/>
      <c r="D5634" s="27"/>
      <c r="E5634" s="30"/>
    </row>
    <row r="5635">
      <c r="A5635" s="27"/>
      <c r="B5635" s="28"/>
      <c r="C5635" s="27"/>
      <c r="D5635" s="27"/>
      <c r="E5635" s="30"/>
    </row>
    <row r="5636">
      <c r="A5636" s="27"/>
      <c r="B5636" s="28"/>
      <c r="C5636" s="27"/>
      <c r="D5636" s="27"/>
      <c r="E5636" s="30"/>
    </row>
    <row r="5637">
      <c r="A5637" s="27"/>
      <c r="B5637" s="28"/>
      <c r="C5637" s="27"/>
      <c r="D5637" s="27"/>
      <c r="E5637" s="30"/>
    </row>
    <row r="5638">
      <c r="A5638" s="27"/>
      <c r="B5638" s="28"/>
      <c r="C5638" s="27"/>
      <c r="D5638" s="27"/>
      <c r="E5638" s="30"/>
    </row>
    <row r="5639">
      <c r="A5639" s="27"/>
      <c r="B5639" s="28"/>
      <c r="C5639" s="27"/>
      <c r="D5639" s="27"/>
      <c r="E5639" s="30"/>
    </row>
    <row r="5640">
      <c r="A5640" s="27"/>
      <c r="B5640" s="28"/>
      <c r="C5640" s="27"/>
      <c r="D5640" s="27"/>
      <c r="E5640" s="30"/>
    </row>
    <row r="5641">
      <c r="A5641" s="27"/>
      <c r="B5641" s="28"/>
      <c r="C5641" s="27"/>
      <c r="D5641" s="27"/>
      <c r="E5641" s="30"/>
    </row>
    <row r="5642">
      <c r="A5642" s="27"/>
      <c r="B5642" s="28"/>
      <c r="C5642" s="27"/>
      <c r="D5642" s="27"/>
      <c r="E5642" s="30"/>
    </row>
    <row r="5643">
      <c r="A5643" s="27"/>
      <c r="B5643" s="28"/>
      <c r="C5643" s="27"/>
      <c r="D5643" s="27"/>
      <c r="E5643" s="30"/>
    </row>
    <row r="5644">
      <c r="A5644" s="27"/>
      <c r="B5644" s="28"/>
      <c r="C5644" s="27"/>
      <c r="D5644" s="27"/>
      <c r="E5644" s="30"/>
    </row>
    <row r="5645">
      <c r="A5645" s="27"/>
      <c r="B5645" s="28"/>
      <c r="C5645" s="27"/>
      <c r="D5645" s="27"/>
      <c r="E5645" s="30"/>
    </row>
    <row r="5646">
      <c r="A5646" s="27"/>
      <c r="B5646" s="28"/>
      <c r="C5646" s="27"/>
      <c r="D5646" s="27"/>
      <c r="E5646" s="30"/>
    </row>
    <row r="5647">
      <c r="A5647" s="27"/>
      <c r="B5647" s="28"/>
      <c r="C5647" s="27"/>
      <c r="D5647" s="27"/>
      <c r="E5647" s="30"/>
    </row>
    <row r="5648">
      <c r="A5648" s="27"/>
      <c r="B5648" s="28"/>
      <c r="C5648" s="27"/>
      <c r="D5648" s="27"/>
      <c r="E5648" s="30"/>
    </row>
    <row r="5649">
      <c r="A5649" s="27"/>
      <c r="B5649" s="28"/>
      <c r="C5649" s="27"/>
      <c r="D5649" s="27"/>
      <c r="E5649" s="30"/>
    </row>
    <row r="5650">
      <c r="A5650" s="27"/>
      <c r="B5650" s="28"/>
      <c r="C5650" s="27"/>
      <c r="D5650" s="27"/>
      <c r="E5650" s="30"/>
    </row>
    <row r="5651">
      <c r="A5651" s="27"/>
      <c r="B5651" s="28"/>
      <c r="C5651" s="27"/>
      <c r="D5651" s="27"/>
      <c r="E5651" s="30"/>
    </row>
    <row r="5652">
      <c r="A5652" s="27"/>
      <c r="B5652" s="28"/>
      <c r="C5652" s="27"/>
      <c r="D5652" s="27"/>
      <c r="E5652" s="30"/>
    </row>
    <row r="5653">
      <c r="A5653" s="27"/>
      <c r="B5653" s="28"/>
      <c r="C5653" s="27"/>
      <c r="D5653" s="27"/>
      <c r="E5653" s="30"/>
    </row>
    <row r="5654">
      <c r="A5654" s="27"/>
      <c r="B5654" s="28"/>
      <c r="C5654" s="27"/>
      <c r="D5654" s="27"/>
      <c r="E5654" s="30"/>
    </row>
    <row r="5655">
      <c r="A5655" s="27"/>
      <c r="B5655" s="28"/>
      <c r="C5655" s="27"/>
      <c r="D5655" s="27"/>
      <c r="E5655" s="30"/>
    </row>
    <row r="5656">
      <c r="A5656" s="27"/>
      <c r="B5656" s="28"/>
      <c r="C5656" s="27"/>
      <c r="D5656" s="27"/>
      <c r="E5656" s="30"/>
    </row>
    <row r="5657">
      <c r="A5657" s="27"/>
      <c r="B5657" s="28"/>
      <c r="C5657" s="27"/>
      <c r="D5657" s="27"/>
      <c r="E5657" s="30"/>
    </row>
    <row r="5658">
      <c r="A5658" s="27"/>
      <c r="B5658" s="28"/>
      <c r="C5658" s="27"/>
      <c r="D5658" s="27"/>
      <c r="E5658" s="30"/>
    </row>
    <row r="5659">
      <c r="A5659" s="27"/>
      <c r="B5659" s="28"/>
      <c r="C5659" s="27"/>
      <c r="D5659" s="27"/>
      <c r="E5659" s="30"/>
    </row>
    <row r="5660">
      <c r="A5660" s="27"/>
      <c r="B5660" s="28"/>
      <c r="C5660" s="27"/>
      <c r="D5660" s="27"/>
      <c r="E5660" s="30"/>
    </row>
    <row r="5661">
      <c r="A5661" s="27"/>
      <c r="B5661" s="28"/>
      <c r="C5661" s="27"/>
      <c r="D5661" s="27"/>
      <c r="E5661" s="30"/>
    </row>
    <row r="5662">
      <c r="A5662" s="27"/>
      <c r="B5662" s="28"/>
      <c r="C5662" s="27"/>
      <c r="D5662" s="27"/>
      <c r="E5662" s="30"/>
    </row>
    <row r="5663">
      <c r="A5663" s="27"/>
      <c r="B5663" s="28"/>
      <c r="C5663" s="27"/>
      <c r="D5663" s="27"/>
      <c r="E5663" s="30"/>
    </row>
    <row r="5664">
      <c r="A5664" s="27"/>
      <c r="B5664" s="28"/>
      <c r="C5664" s="27"/>
      <c r="D5664" s="27"/>
      <c r="E5664" s="30"/>
    </row>
    <row r="5665">
      <c r="A5665" s="27"/>
      <c r="B5665" s="28"/>
      <c r="C5665" s="27"/>
      <c r="D5665" s="27"/>
      <c r="E5665" s="30"/>
    </row>
    <row r="5666">
      <c r="A5666" s="27"/>
      <c r="B5666" s="28"/>
      <c r="C5666" s="27"/>
      <c r="D5666" s="27"/>
      <c r="E5666" s="30"/>
    </row>
    <row r="5667">
      <c r="A5667" s="27"/>
      <c r="B5667" s="28"/>
      <c r="C5667" s="27"/>
      <c r="D5667" s="27"/>
      <c r="E5667" s="30"/>
    </row>
    <row r="5668">
      <c r="A5668" s="27"/>
      <c r="B5668" s="28"/>
      <c r="C5668" s="27"/>
      <c r="D5668" s="27"/>
      <c r="E5668" s="30"/>
    </row>
    <row r="5669">
      <c r="A5669" s="27"/>
      <c r="B5669" s="28"/>
      <c r="C5669" s="27"/>
      <c r="D5669" s="27"/>
      <c r="E5669" s="30"/>
    </row>
    <row r="5670">
      <c r="A5670" s="27"/>
      <c r="B5670" s="28"/>
      <c r="C5670" s="27"/>
      <c r="D5670" s="27"/>
      <c r="E5670" s="30"/>
    </row>
    <row r="5671">
      <c r="A5671" s="27"/>
      <c r="B5671" s="28"/>
      <c r="C5671" s="27"/>
      <c r="D5671" s="27"/>
      <c r="E5671" s="30"/>
    </row>
    <row r="5672">
      <c r="A5672" s="27"/>
      <c r="B5672" s="28"/>
      <c r="C5672" s="27"/>
      <c r="D5672" s="27"/>
      <c r="E5672" s="30"/>
    </row>
    <row r="5673">
      <c r="A5673" s="27"/>
      <c r="B5673" s="28"/>
      <c r="C5673" s="27"/>
      <c r="D5673" s="27"/>
      <c r="E5673" s="30"/>
    </row>
    <row r="5674">
      <c r="A5674" s="27"/>
      <c r="B5674" s="28"/>
      <c r="C5674" s="27"/>
      <c r="D5674" s="27"/>
      <c r="E5674" s="30"/>
    </row>
    <row r="5675">
      <c r="A5675" s="27"/>
      <c r="B5675" s="28"/>
      <c r="C5675" s="27"/>
      <c r="D5675" s="27"/>
      <c r="E5675" s="30"/>
    </row>
    <row r="5676">
      <c r="A5676" s="27"/>
      <c r="B5676" s="28"/>
      <c r="C5676" s="27"/>
      <c r="D5676" s="27"/>
      <c r="E5676" s="30"/>
    </row>
    <row r="5677">
      <c r="A5677" s="27"/>
      <c r="B5677" s="28"/>
      <c r="C5677" s="27"/>
      <c r="D5677" s="27"/>
      <c r="E5677" s="30"/>
    </row>
    <row r="5678">
      <c r="A5678" s="27"/>
      <c r="B5678" s="28"/>
      <c r="C5678" s="27"/>
      <c r="D5678" s="27"/>
      <c r="E5678" s="30"/>
    </row>
    <row r="5679">
      <c r="A5679" s="27"/>
      <c r="B5679" s="28"/>
      <c r="C5679" s="27"/>
      <c r="D5679" s="27"/>
      <c r="E5679" s="30"/>
    </row>
    <row r="5680">
      <c r="A5680" s="27"/>
      <c r="B5680" s="28"/>
      <c r="C5680" s="27"/>
      <c r="D5680" s="27"/>
      <c r="E5680" s="30"/>
    </row>
    <row r="5681">
      <c r="A5681" s="27"/>
      <c r="B5681" s="28"/>
      <c r="C5681" s="27"/>
      <c r="D5681" s="27"/>
      <c r="E5681" s="30"/>
    </row>
    <row r="5682">
      <c r="A5682" s="27"/>
      <c r="B5682" s="28"/>
      <c r="C5682" s="27"/>
      <c r="D5682" s="27"/>
      <c r="E5682" s="30"/>
    </row>
    <row r="5683">
      <c r="A5683" s="27"/>
      <c r="B5683" s="28"/>
      <c r="C5683" s="27"/>
      <c r="D5683" s="27"/>
      <c r="E5683" s="30"/>
    </row>
    <row r="5684">
      <c r="A5684" s="27"/>
      <c r="B5684" s="28"/>
      <c r="C5684" s="27"/>
      <c r="D5684" s="27"/>
      <c r="E5684" s="30"/>
    </row>
    <row r="5685">
      <c r="A5685" s="27"/>
      <c r="B5685" s="28"/>
      <c r="C5685" s="27"/>
      <c r="D5685" s="27"/>
      <c r="E5685" s="30"/>
    </row>
    <row r="5686">
      <c r="A5686" s="27"/>
      <c r="B5686" s="28"/>
      <c r="C5686" s="27"/>
      <c r="D5686" s="27"/>
      <c r="E5686" s="30"/>
    </row>
    <row r="5687">
      <c r="A5687" s="27"/>
      <c r="B5687" s="28"/>
      <c r="C5687" s="27"/>
      <c r="D5687" s="27"/>
      <c r="E5687" s="30"/>
    </row>
    <row r="5688">
      <c r="A5688" s="27"/>
      <c r="B5688" s="28"/>
      <c r="C5688" s="27"/>
      <c r="D5688" s="27"/>
      <c r="E5688" s="30"/>
    </row>
    <row r="5689">
      <c r="A5689" s="27"/>
      <c r="B5689" s="28"/>
      <c r="C5689" s="27"/>
      <c r="D5689" s="27"/>
      <c r="E5689" s="30"/>
    </row>
    <row r="5690">
      <c r="A5690" s="27"/>
      <c r="B5690" s="28"/>
      <c r="C5690" s="27"/>
      <c r="D5690" s="27"/>
      <c r="E5690" s="30"/>
    </row>
    <row r="5691">
      <c r="A5691" s="27"/>
      <c r="B5691" s="28"/>
      <c r="C5691" s="27"/>
      <c r="D5691" s="27"/>
      <c r="E5691" s="30"/>
    </row>
    <row r="5692">
      <c r="A5692" s="27"/>
      <c r="B5692" s="28"/>
      <c r="C5692" s="27"/>
      <c r="D5692" s="27"/>
      <c r="E5692" s="30"/>
    </row>
    <row r="5693">
      <c r="A5693" s="27"/>
      <c r="B5693" s="28"/>
      <c r="C5693" s="27"/>
      <c r="D5693" s="27"/>
      <c r="E5693" s="30"/>
    </row>
    <row r="5694">
      <c r="A5694" s="27"/>
      <c r="B5694" s="28"/>
      <c r="C5694" s="27"/>
      <c r="D5694" s="27"/>
      <c r="E5694" s="30"/>
    </row>
    <row r="5695">
      <c r="A5695" s="27"/>
      <c r="B5695" s="28"/>
      <c r="C5695" s="27"/>
      <c r="D5695" s="27"/>
      <c r="E5695" s="30"/>
    </row>
    <row r="5696">
      <c r="A5696" s="27"/>
      <c r="B5696" s="28"/>
      <c r="C5696" s="27"/>
      <c r="D5696" s="27"/>
      <c r="E5696" s="30"/>
    </row>
    <row r="5697">
      <c r="A5697" s="27"/>
      <c r="B5697" s="28"/>
      <c r="C5697" s="27"/>
      <c r="D5697" s="27"/>
      <c r="E5697" s="30"/>
    </row>
    <row r="5698">
      <c r="A5698" s="27"/>
      <c r="B5698" s="28"/>
      <c r="C5698" s="27"/>
      <c r="D5698" s="27"/>
      <c r="E5698" s="30"/>
    </row>
    <row r="5699">
      <c r="A5699" s="27"/>
      <c r="B5699" s="28"/>
      <c r="C5699" s="27"/>
      <c r="D5699" s="27"/>
      <c r="E5699" s="30"/>
    </row>
    <row r="5700">
      <c r="A5700" s="27"/>
      <c r="B5700" s="28"/>
      <c r="C5700" s="27"/>
      <c r="D5700" s="27"/>
      <c r="E5700" s="30"/>
    </row>
    <row r="5701">
      <c r="A5701" s="27"/>
      <c r="B5701" s="28"/>
      <c r="C5701" s="27"/>
      <c r="D5701" s="27"/>
      <c r="E5701" s="30"/>
    </row>
    <row r="5702">
      <c r="A5702" s="27"/>
      <c r="B5702" s="28"/>
      <c r="C5702" s="27"/>
      <c r="D5702" s="27"/>
      <c r="E5702" s="30"/>
    </row>
    <row r="5703">
      <c r="A5703" s="27"/>
      <c r="B5703" s="28"/>
      <c r="C5703" s="27"/>
      <c r="D5703" s="27"/>
      <c r="E5703" s="30"/>
    </row>
    <row r="5704">
      <c r="A5704" s="27"/>
      <c r="B5704" s="28"/>
      <c r="C5704" s="27"/>
      <c r="D5704" s="27"/>
      <c r="E5704" s="30"/>
    </row>
    <row r="5705">
      <c r="A5705" s="27"/>
      <c r="B5705" s="28"/>
      <c r="C5705" s="27"/>
      <c r="D5705" s="27"/>
      <c r="E5705" s="30"/>
    </row>
    <row r="5706">
      <c r="A5706" s="27"/>
      <c r="B5706" s="28"/>
      <c r="C5706" s="27"/>
      <c r="D5706" s="27"/>
      <c r="E5706" s="30"/>
    </row>
    <row r="5707">
      <c r="A5707" s="27"/>
      <c r="B5707" s="28"/>
      <c r="C5707" s="27"/>
      <c r="D5707" s="27"/>
      <c r="E5707" s="30"/>
    </row>
    <row r="5708">
      <c r="A5708" s="27"/>
      <c r="B5708" s="28"/>
      <c r="C5708" s="27"/>
      <c r="D5708" s="27"/>
      <c r="E5708" s="30"/>
    </row>
    <row r="5709">
      <c r="A5709" s="27"/>
      <c r="B5709" s="28"/>
      <c r="C5709" s="27"/>
      <c r="D5709" s="27"/>
      <c r="E5709" s="30"/>
    </row>
    <row r="5710">
      <c r="A5710" s="27"/>
      <c r="B5710" s="28"/>
      <c r="C5710" s="27"/>
      <c r="D5710" s="27"/>
      <c r="E5710" s="30"/>
    </row>
    <row r="5711">
      <c r="A5711" s="27"/>
      <c r="B5711" s="28"/>
      <c r="C5711" s="27"/>
      <c r="D5711" s="27"/>
      <c r="E5711" s="30"/>
    </row>
    <row r="5712">
      <c r="A5712" s="27"/>
      <c r="B5712" s="28"/>
      <c r="C5712" s="27"/>
      <c r="D5712" s="27"/>
      <c r="E5712" s="30"/>
    </row>
    <row r="5713">
      <c r="A5713" s="27"/>
      <c r="B5713" s="28"/>
      <c r="C5713" s="27"/>
      <c r="D5713" s="27"/>
      <c r="E5713" s="30"/>
    </row>
    <row r="5714">
      <c r="A5714" s="27"/>
      <c r="B5714" s="28"/>
      <c r="C5714" s="27"/>
      <c r="D5714" s="27"/>
      <c r="E5714" s="30"/>
    </row>
    <row r="5715">
      <c r="A5715" s="27"/>
      <c r="B5715" s="28"/>
      <c r="C5715" s="27"/>
      <c r="D5715" s="27"/>
      <c r="E5715" s="30"/>
    </row>
    <row r="5716">
      <c r="A5716" s="27"/>
      <c r="B5716" s="28"/>
      <c r="C5716" s="27"/>
      <c r="D5716" s="27"/>
      <c r="E5716" s="30"/>
    </row>
    <row r="5717">
      <c r="A5717" s="27"/>
      <c r="B5717" s="28"/>
      <c r="C5717" s="27"/>
      <c r="D5717" s="27"/>
      <c r="E5717" s="30"/>
    </row>
    <row r="5718">
      <c r="A5718" s="27"/>
      <c r="B5718" s="28"/>
      <c r="C5718" s="27"/>
      <c r="D5718" s="27"/>
      <c r="E5718" s="30"/>
    </row>
    <row r="5719">
      <c r="A5719" s="27"/>
      <c r="B5719" s="28"/>
      <c r="C5719" s="27"/>
      <c r="D5719" s="27"/>
      <c r="E5719" s="30"/>
    </row>
    <row r="5720">
      <c r="A5720" s="27"/>
      <c r="B5720" s="28"/>
      <c r="C5720" s="27"/>
      <c r="D5720" s="27"/>
      <c r="E5720" s="30"/>
    </row>
    <row r="5721">
      <c r="A5721" s="27"/>
      <c r="B5721" s="28"/>
      <c r="C5721" s="27"/>
      <c r="D5721" s="27"/>
      <c r="E5721" s="30"/>
    </row>
    <row r="5722">
      <c r="A5722" s="27"/>
      <c r="B5722" s="28"/>
      <c r="C5722" s="27"/>
      <c r="D5722" s="27"/>
      <c r="E5722" s="30"/>
    </row>
    <row r="5723">
      <c r="A5723" s="27"/>
      <c r="B5723" s="28"/>
      <c r="C5723" s="27"/>
      <c r="D5723" s="27"/>
      <c r="E5723" s="30"/>
    </row>
    <row r="5724">
      <c r="A5724" s="27"/>
      <c r="B5724" s="28"/>
      <c r="C5724" s="27"/>
      <c r="D5724" s="27"/>
      <c r="E5724" s="30"/>
    </row>
    <row r="5725">
      <c r="A5725" s="27"/>
      <c r="B5725" s="28"/>
      <c r="C5725" s="27"/>
      <c r="D5725" s="27"/>
      <c r="E5725" s="30"/>
    </row>
    <row r="5726">
      <c r="A5726" s="27"/>
      <c r="B5726" s="28"/>
      <c r="C5726" s="27"/>
      <c r="D5726" s="27"/>
      <c r="E5726" s="30"/>
    </row>
    <row r="5727">
      <c r="A5727" s="27"/>
      <c r="B5727" s="28"/>
      <c r="C5727" s="27"/>
      <c r="D5727" s="27"/>
      <c r="E5727" s="30"/>
    </row>
    <row r="5728">
      <c r="A5728" s="27"/>
      <c r="B5728" s="28"/>
      <c r="C5728" s="27"/>
      <c r="D5728" s="27"/>
      <c r="E5728" s="30"/>
    </row>
    <row r="5729">
      <c r="A5729" s="27"/>
      <c r="B5729" s="28"/>
      <c r="C5729" s="27"/>
      <c r="D5729" s="27"/>
      <c r="E5729" s="30"/>
    </row>
    <row r="5730">
      <c r="A5730" s="27"/>
      <c r="B5730" s="28"/>
      <c r="C5730" s="27"/>
      <c r="D5730" s="27"/>
      <c r="E5730" s="30"/>
    </row>
    <row r="5731">
      <c r="A5731" s="27"/>
      <c r="B5731" s="28"/>
      <c r="C5731" s="27"/>
      <c r="D5731" s="27"/>
      <c r="E5731" s="30"/>
    </row>
    <row r="5732">
      <c r="A5732" s="27"/>
      <c r="B5732" s="28"/>
      <c r="C5732" s="27"/>
      <c r="D5732" s="27"/>
      <c r="E5732" s="30"/>
    </row>
    <row r="5733">
      <c r="A5733" s="27"/>
      <c r="B5733" s="28"/>
      <c r="C5733" s="27"/>
      <c r="D5733" s="27"/>
      <c r="E5733" s="30"/>
    </row>
    <row r="5734">
      <c r="A5734" s="27"/>
      <c r="B5734" s="28"/>
      <c r="C5734" s="27"/>
      <c r="D5734" s="27"/>
      <c r="E5734" s="30"/>
    </row>
    <row r="5735">
      <c r="A5735" s="27"/>
      <c r="B5735" s="28"/>
      <c r="C5735" s="27"/>
      <c r="D5735" s="27"/>
      <c r="E5735" s="30"/>
    </row>
    <row r="5736">
      <c r="A5736" s="27"/>
      <c r="B5736" s="28"/>
      <c r="C5736" s="27"/>
      <c r="D5736" s="27"/>
      <c r="E5736" s="30"/>
    </row>
    <row r="5737">
      <c r="A5737" s="27"/>
      <c r="B5737" s="28"/>
      <c r="C5737" s="27"/>
      <c r="D5737" s="27"/>
      <c r="E5737" s="30"/>
    </row>
    <row r="5738">
      <c r="A5738" s="27"/>
      <c r="B5738" s="28"/>
      <c r="C5738" s="27"/>
      <c r="D5738" s="27"/>
      <c r="E5738" s="30"/>
    </row>
    <row r="5739">
      <c r="A5739" s="27"/>
      <c r="B5739" s="28"/>
      <c r="C5739" s="27"/>
      <c r="D5739" s="27"/>
      <c r="E5739" s="30"/>
    </row>
    <row r="5740">
      <c r="A5740" s="27"/>
      <c r="B5740" s="28"/>
      <c r="C5740" s="27"/>
      <c r="D5740" s="27"/>
      <c r="E5740" s="30"/>
    </row>
    <row r="5741">
      <c r="A5741" s="27"/>
      <c r="B5741" s="28"/>
      <c r="C5741" s="27"/>
      <c r="D5741" s="27"/>
      <c r="E5741" s="30"/>
    </row>
    <row r="5742">
      <c r="A5742" s="27"/>
      <c r="B5742" s="28"/>
      <c r="C5742" s="27"/>
      <c r="D5742" s="27"/>
      <c r="E5742" s="30"/>
    </row>
    <row r="5743">
      <c r="A5743" s="27"/>
      <c r="B5743" s="28"/>
      <c r="C5743" s="27"/>
      <c r="D5743" s="27"/>
      <c r="E5743" s="30"/>
    </row>
    <row r="5744">
      <c r="A5744" s="27"/>
      <c r="B5744" s="28"/>
      <c r="C5744" s="27"/>
      <c r="D5744" s="27"/>
      <c r="E5744" s="30"/>
    </row>
    <row r="5745">
      <c r="A5745" s="27"/>
      <c r="B5745" s="28"/>
      <c r="C5745" s="27"/>
      <c r="D5745" s="27"/>
      <c r="E5745" s="30"/>
    </row>
    <row r="5746">
      <c r="A5746" s="27"/>
      <c r="B5746" s="28"/>
      <c r="C5746" s="27"/>
      <c r="D5746" s="27"/>
      <c r="E5746" s="30"/>
    </row>
    <row r="5747">
      <c r="A5747" s="27"/>
      <c r="B5747" s="28"/>
      <c r="C5747" s="27"/>
      <c r="D5747" s="27"/>
      <c r="E5747" s="30"/>
    </row>
    <row r="5748">
      <c r="A5748" s="27"/>
      <c r="B5748" s="28"/>
      <c r="C5748" s="27"/>
      <c r="D5748" s="27"/>
      <c r="E5748" s="30"/>
    </row>
    <row r="5749">
      <c r="A5749" s="27"/>
      <c r="B5749" s="28"/>
      <c r="C5749" s="27"/>
      <c r="D5749" s="27"/>
      <c r="E5749" s="30"/>
    </row>
    <row r="5750">
      <c r="A5750" s="27"/>
      <c r="B5750" s="28"/>
      <c r="C5750" s="27"/>
      <c r="D5750" s="27"/>
      <c r="E5750" s="30"/>
    </row>
    <row r="5751">
      <c r="A5751" s="27"/>
      <c r="B5751" s="28"/>
      <c r="C5751" s="27"/>
      <c r="D5751" s="27"/>
      <c r="E5751" s="30"/>
    </row>
    <row r="5752">
      <c r="A5752" s="27"/>
      <c r="B5752" s="28"/>
      <c r="C5752" s="27"/>
      <c r="D5752" s="27"/>
      <c r="E5752" s="30"/>
    </row>
    <row r="5753">
      <c r="A5753" s="27"/>
      <c r="B5753" s="28"/>
      <c r="C5753" s="27"/>
      <c r="D5753" s="27"/>
      <c r="E5753" s="30"/>
    </row>
    <row r="5754">
      <c r="A5754" s="27"/>
      <c r="B5754" s="28"/>
      <c r="C5754" s="27"/>
      <c r="D5754" s="27"/>
      <c r="E5754" s="30"/>
    </row>
    <row r="5755">
      <c r="A5755" s="27"/>
      <c r="B5755" s="28"/>
      <c r="C5755" s="27"/>
      <c r="D5755" s="27"/>
      <c r="E5755" s="30"/>
    </row>
    <row r="5756">
      <c r="A5756" s="27"/>
      <c r="B5756" s="28"/>
      <c r="C5756" s="27"/>
      <c r="D5756" s="27"/>
      <c r="E5756" s="30"/>
    </row>
    <row r="5757">
      <c r="A5757" s="27"/>
      <c r="B5757" s="28"/>
      <c r="C5757" s="27"/>
      <c r="D5757" s="27"/>
      <c r="E5757" s="30"/>
    </row>
    <row r="5758">
      <c r="A5758" s="27"/>
      <c r="B5758" s="28"/>
      <c r="C5758" s="27"/>
      <c r="D5758" s="27"/>
      <c r="E5758" s="30"/>
    </row>
    <row r="5759">
      <c r="A5759" s="27"/>
      <c r="B5759" s="28"/>
      <c r="C5759" s="27"/>
      <c r="D5759" s="27"/>
      <c r="E5759" s="30"/>
    </row>
    <row r="5760">
      <c r="A5760" s="27"/>
      <c r="B5760" s="28"/>
      <c r="C5760" s="27"/>
      <c r="D5760" s="27"/>
      <c r="E5760" s="30"/>
    </row>
    <row r="5761">
      <c r="A5761" s="27"/>
      <c r="B5761" s="28"/>
      <c r="C5761" s="27"/>
      <c r="D5761" s="27"/>
      <c r="E5761" s="30"/>
    </row>
    <row r="5762">
      <c r="A5762" s="27"/>
      <c r="B5762" s="28"/>
      <c r="C5762" s="27"/>
      <c r="D5762" s="27"/>
      <c r="E5762" s="30"/>
    </row>
    <row r="5763">
      <c r="A5763" s="27"/>
      <c r="B5763" s="28"/>
      <c r="C5763" s="27"/>
      <c r="D5763" s="27"/>
      <c r="E5763" s="30"/>
    </row>
    <row r="5764">
      <c r="A5764" s="27"/>
      <c r="B5764" s="28"/>
      <c r="C5764" s="27"/>
      <c r="D5764" s="27"/>
      <c r="E5764" s="30"/>
    </row>
    <row r="5765">
      <c r="A5765" s="27"/>
      <c r="B5765" s="28"/>
      <c r="C5765" s="27"/>
      <c r="D5765" s="27"/>
      <c r="E5765" s="30"/>
    </row>
    <row r="5766">
      <c r="A5766" s="27"/>
      <c r="B5766" s="28"/>
      <c r="C5766" s="27"/>
      <c r="D5766" s="27"/>
      <c r="E5766" s="30"/>
    </row>
    <row r="5767">
      <c r="A5767" s="27"/>
      <c r="B5767" s="28"/>
      <c r="C5767" s="27"/>
      <c r="D5767" s="27"/>
      <c r="E5767" s="30"/>
    </row>
    <row r="5768">
      <c r="A5768" s="27"/>
      <c r="B5768" s="28"/>
      <c r="C5768" s="27"/>
      <c r="D5768" s="27"/>
      <c r="E5768" s="30"/>
    </row>
    <row r="5769">
      <c r="A5769" s="27"/>
      <c r="B5769" s="28"/>
      <c r="C5769" s="27"/>
      <c r="D5769" s="27"/>
      <c r="E5769" s="30"/>
    </row>
    <row r="5770">
      <c r="A5770" s="27"/>
      <c r="B5770" s="28"/>
      <c r="C5770" s="27"/>
      <c r="D5770" s="27"/>
      <c r="E5770" s="30"/>
    </row>
    <row r="5771">
      <c r="A5771" s="27"/>
      <c r="B5771" s="28"/>
      <c r="C5771" s="27"/>
      <c r="D5771" s="27"/>
      <c r="E5771" s="30"/>
    </row>
    <row r="5772">
      <c r="A5772" s="27"/>
      <c r="B5772" s="28"/>
      <c r="C5772" s="27"/>
      <c r="D5772" s="27"/>
      <c r="E5772" s="30"/>
    </row>
    <row r="5773">
      <c r="A5773" s="27"/>
      <c r="B5773" s="28"/>
      <c r="C5773" s="27"/>
      <c r="D5773" s="27"/>
      <c r="E5773" s="30"/>
    </row>
    <row r="5774">
      <c r="A5774" s="27"/>
      <c r="B5774" s="28"/>
      <c r="C5774" s="27"/>
      <c r="D5774" s="27"/>
      <c r="E5774" s="30"/>
    </row>
    <row r="5775">
      <c r="A5775" s="27"/>
      <c r="B5775" s="28"/>
      <c r="C5775" s="27"/>
      <c r="D5775" s="27"/>
      <c r="E5775" s="30"/>
    </row>
    <row r="5776">
      <c r="A5776" s="27"/>
      <c r="B5776" s="28"/>
      <c r="C5776" s="27"/>
      <c r="D5776" s="27"/>
      <c r="E5776" s="30"/>
    </row>
    <row r="5777">
      <c r="A5777" s="27"/>
      <c r="B5777" s="28"/>
      <c r="C5777" s="27"/>
      <c r="D5777" s="27"/>
      <c r="E5777" s="30"/>
    </row>
    <row r="5778">
      <c r="A5778" s="27"/>
      <c r="B5778" s="28"/>
      <c r="C5778" s="27"/>
      <c r="D5778" s="27"/>
      <c r="E5778" s="30"/>
    </row>
    <row r="5779">
      <c r="A5779" s="27"/>
      <c r="B5779" s="28"/>
      <c r="C5779" s="27"/>
      <c r="D5779" s="27"/>
      <c r="E5779" s="30"/>
    </row>
    <row r="5780">
      <c r="A5780" s="27"/>
      <c r="B5780" s="28"/>
      <c r="C5780" s="27"/>
      <c r="D5780" s="27"/>
      <c r="E5780" s="30"/>
    </row>
    <row r="5781">
      <c r="A5781" s="27"/>
      <c r="B5781" s="28"/>
      <c r="C5781" s="27"/>
      <c r="D5781" s="27"/>
      <c r="E5781" s="30"/>
    </row>
    <row r="5782">
      <c r="A5782" s="27"/>
      <c r="B5782" s="28"/>
      <c r="C5782" s="27"/>
      <c r="D5782" s="27"/>
      <c r="E5782" s="30"/>
    </row>
    <row r="5783">
      <c r="A5783" s="27"/>
      <c r="B5783" s="28"/>
      <c r="C5783" s="27"/>
      <c r="D5783" s="27"/>
      <c r="E5783" s="30"/>
    </row>
    <row r="5784">
      <c r="A5784" s="27"/>
      <c r="B5784" s="28"/>
      <c r="C5784" s="27"/>
      <c r="D5784" s="27"/>
      <c r="E5784" s="30"/>
    </row>
    <row r="5785">
      <c r="A5785" s="27"/>
      <c r="B5785" s="28"/>
      <c r="C5785" s="27"/>
      <c r="D5785" s="27"/>
      <c r="E5785" s="30"/>
    </row>
    <row r="5786">
      <c r="A5786" s="27"/>
      <c r="B5786" s="28"/>
      <c r="C5786" s="27"/>
      <c r="D5786" s="27"/>
      <c r="E5786" s="30"/>
    </row>
    <row r="5787">
      <c r="A5787" s="27"/>
      <c r="B5787" s="28"/>
      <c r="C5787" s="27"/>
      <c r="D5787" s="27"/>
      <c r="E5787" s="30"/>
    </row>
    <row r="5788">
      <c r="A5788" s="27"/>
      <c r="B5788" s="28"/>
      <c r="C5788" s="27"/>
      <c r="D5788" s="27"/>
      <c r="E5788" s="30"/>
    </row>
    <row r="5789">
      <c r="A5789" s="27"/>
      <c r="B5789" s="28"/>
      <c r="C5789" s="27"/>
      <c r="D5789" s="27"/>
      <c r="E5789" s="30"/>
    </row>
    <row r="5790">
      <c r="A5790" s="27"/>
      <c r="B5790" s="28"/>
      <c r="C5790" s="27"/>
      <c r="D5790" s="27"/>
      <c r="E5790" s="30"/>
    </row>
    <row r="5791">
      <c r="A5791" s="27"/>
      <c r="B5791" s="28"/>
      <c r="C5791" s="27"/>
      <c r="D5791" s="27"/>
      <c r="E5791" s="30"/>
    </row>
    <row r="5792">
      <c r="A5792" s="27"/>
      <c r="B5792" s="28"/>
      <c r="C5792" s="27"/>
      <c r="D5792" s="27"/>
      <c r="E5792" s="30"/>
    </row>
    <row r="5793">
      <c r="A5793" s="27"/>
      <c r="B5793" s="28"/>
      <c r="C5793" s="27"/>
      <c r="D5793" s="27"/>
      <c r="E5793" s="30"/>
    </row>
    <row r="5794">
      <c r="A5794" s="27"/>
      <c r="B5794" s="28"/>
      <c r="C5794" s="27"/>
      <c r="D5794" s="27"/>
      <c r="E5794" s="30"/>
    </row>
    <row r="5795">
      <c r="A5795" s="27"/>
      <c r="B5795" s="28"/>
      <c r="C5795" s="27"/>
      <c r="D5795" s="27"/>
      <c r="E5795" s="30"/>
    </row>
    <row r="5796">
      <c r="A5796" s="27"/>
      <c r="B5796" s="28"/>
      <c r="C5796" s="27"/>
      <c r="D5796" s="27"/>
      <c r="E5796" s="30"/>
    </row>
    <row r="5797">
      <c r="A5797" s="27"/>
      <c r="B5797" s="28"/>
      <c r="C5797" s="27"/>
      <c r="D5797" s="27"/>
      <c r="E5797" s="30"/>
    </row>
    <row r="5798">
      <c r="A5798" s="27"/>
      <c r="B5798" s="28"/>
      <c r="C5798" s="27"/>
      <c r="D5798" s="27"/>
      <c r="E5798" s="30"/>
    </row>
    <row r="5799">
      <c r="A5799" s="27"/>
      <c r="B5799" s="28"/>
      <c r="C5799" s="27"/>
      <c r="D5799" s="27"/>
      <c r="E5799" s="30"/>
    </row>
    <row r="5800">
      <c r="A5800" s="27"/>
      <c r="B5800" s="28"/>
      <c r="C5800" s="27"/>
      <c r="D5800" s="27"/>
      <c r="E5800" s="30"/>
    </row>
    <row r="5801">
      <c r="A5801" s="27"/>
      <c r="B5801" s="28"/>
      <c r="C5801" s="27"/>
      <c r="D5801" s="27"/>
      <c r="E5801" s="30"/>
    </row>
    <row r="5802">
      <c r="A5802" s="27"/>
      <c r="B5802" s="28"/>
      <c r="C5802" s="27"/>
      <c r="D5802" s="27"/>
      <c r="E5802" s="30"/>
    </row>
    <row r="5803">
      <c r="A5803" s="27"/>
      <c r="B5803" s="28"/>
      <c r="C5803" s="27"/>
      <c r="D5803" s="27"/>
      <c r="E5803" s="30"/>
    </row>
    <row r="5804">
      <c r="A5804" s="27"/>
      <c r="B5804" s="28"/>
      <c r="C5804" s="27"/>
      <c r="D5804" s="27"/>
      <c r="E5804" s="30"/>
    </row>
    <row r="5805">
      <c r="A5805" s="27"/>
      <c r="B5805" s="28"/>
      <c r="C5805" s="27"/>
      <c r="D5805" s="27"/>
      <c r="E5805" s="30"/>
    </row>
    <row r="5806">
      <c r="A5806" s="27"/>
      <c r="B5806" s="28"/>
      <c r="C5806" s="27"/>
      <c r="D5806" s="27"/>
      <c r="E5806" s="30"/>
    </row>
    <row r="5807">
      <c r="A5807" s="27"/>
      <c r="B5807" s="28"/>
      <c r="C5807" s="27"/>
      <c r="D5807" s="27"/>
      <c r="E5807" s="30"/>
    </row>
    <row r="5808">
      <c r="A5808" s="27"/>
      <c r="B5808" s="28"/>
      <c r="C5808" s="27"/>
      <c r="D5808" s="27"/>
      <c r="E5808" s="30"/>
    </row>
    <row r="5809">
      <c r="A5809" s="27"/>
      <c r="B5809" s="28"/>
      <c r="C5809" s="27"/>
      <c r="D5809" s="27"/>
      <c r="E5809" s="30"/>
    </row>
    <row r="5810">
      <c r="A5810" s="27"/>
      <c r="B5810" s="28"/>
      <c r="C5810" s="27"/>
      <c r="D5810" s="27"/>
      <c r="E5810" s="30"/>
    </row>
    <row r="5811">
      <c r="A5811" s="27"/>
      <c r="B5811" s="28"/>
      <c r="C5811" s="27"/>
      <c r="D5811" s="27"/>
      <c r="E5811" s="30"/>
    </row>
    <row r="5812">
      <c r="A5812" s="27"/>
      <c r="B5812" s="28"/>
      <c r="C5812" s="27"/>
      <c r="D5812" s="27"/>
      <c r="E5812" s="30"/>
    </row>
    <row r="5813">
      <c r="A5813" s="27"/>
      <c r="B5813" s="28"/>
      <c r="C5813" s="27"/>
      <c r="D5813" s="27"/>
      <c r="E5813" s="30"/>
    </row>
    <row r="5814">
      <c r="A5814" s="27"/>
      <c r="B5814" s="28"/>
      <c r="C5814" s="27"/>
      <c r="D5814" s="27"/>
      <c r="E5814" s="30"/>
    </row>
    <row r="5815">
      <c r="A5815" s="27"/>
      <c r="B5815" s="28"/>
      <c r="C5815" s="27"/>
      <c r="D5815" s="27"/>
      <c r="E5815" s="30"/>
    </row>
    <row r="5816">
      <c r="A5816" s="27"/>
      <c r="B5816" s="28"/>
      <c r="C5816" s="27"/>
      <c r="D5816" s="27"/>
      <c r="E5816" s="30"/>
    </row>
    <row r="5817">
      <c r="A5817" s="27"/>
      <c r="B5817" s="28"/>
      <c r="C5817" s="27"/>
      <c r="D5817" s="27"/>
      <c r="E5817" s="30"/>
    </row>
    <row r="5818">
      <c r="A5818" s="27"/>
      <c r="B5818" s="28"/>
      <c r="C5818" s="27"/>
      <c r="D5818" s="27"/>
      <c r="E5818" s="30"/>
    </row>
    <row r="5819">
      <c r="A5819" s="27"/>
      <c r="B5819" s="28"/>
      <c r="C5819" s="27"/>
      <c r="D5819" s="27"/>
      <c r="E5819" s="30"/>
    </row>
    <row r="5820">
      <c r="A5820" s="27"/>
      <c r="B5820" s="28"/>
      <c r="C5820" s="27"/>
      <c r="D5820" s="27"/>
      <c r="E5820" s="30"/>
    </row>
    <row r="5821">
      <c r="A5821" s="27"/>
      <c r="B5821" s="28"/>
      <c r="C5821" s="27"/>
      <c r="D5821" s="27"/>
      <c r="E5821" s="30"/>
    </row>
    <row r="5822">
      <c r="A5822" s="27"/>
      <c r="B5822" s="28"/>
      <c r="C5822" s="27"/>
      <c r="D5822" s="27"/>
      <c r="E5822" s="30"/>
    </row>
    <row r="5823">
      <c r="A5823" s="27"/>
      <c r="B5823" s="28"/>
      <c r="C5823" s="27"/>
      <c r="D5823" s="27"/>
      <c r="E5823" s="30"/>
    </row>
    <row r="5824">
      <c r="A5824" s="27"/>
      <c r="B5824" s="28"/>
      <c r="C5824" s="27"/>
      <c r="D5824" s="27"/>
      <c r="E5824" s="30"/>
    </row>
    <row r="5825">
      <c r="A5825" s="27"/>
      <c r="B5825" s="28"/>
      <c r="C5825" s="27"/>
      <c r="D5825" s="27"/>
      <c r="E5825" s="30"/>
    </row>
    <row r="5826">
      <c r="A5826" s="27"/>
      <c r="B5826" s="28"/>
      <c r="C5826" s="27"/>
      <c r="D5826" s="27"/>
      <c r="E5826" s="30"/>
    </row>
    <row r="5827">
      <c r="A5827" s="27"/>
      <c r="B5827" s="28"/>
      <c r="C5827" s="27"/>
      <c r="D5827" s="27"/>
      <c r="E5827" s="30"/>
    </row>
    <row r="5828">
      <c r="A5828" s="27"/>
      <c r="B5828" s="28"/>
      <c r="C5828" s="27"/>
      <c r="D5828" s="27"/>
      <c r="E5828" s="30"/>
    </row>
    <row r="5829">
      <c r="A5829" s="27"/>
      <c r="B5829" s="28"/>
      <c r="C5829" s="27"/>
      <c r="D5829" s="27"/>
      <c r="E5829" s="30"/>
    </row>
    <row r="5830">
      <c r="A5830" s="27"/>
      <c r="B5830" s="28"/>
      <c r="C5830" s="27"/>
      <c r="D5830" s="27"/>
      <c r="E5830" s="30"/>
    </row>
    <row r="5831">
      <c r="A5831" s="27"/>
      <c r="B5831" s="28"/>
      <c r="C5831" s="27"/>
      <c r="D5831" s="27"/>
      <c r="E5831" s="30"/>
    </row>
    <row r="5832">
      <c r="A5832" s="27"/>
      <c r="B5832" s="28"/>
      <c r="C5832" s="27"/>
      <c r="D5832" s="27"/>
      <c r="E5832" s="30"/>
    </row>
    <row r="5833">
      <c r="A5833" s="27"/>
      <c r="B5833" s="28"/>
      <c r="C5833" s="27"/>
      <c r="D5833" s="27"/>
      <c r="E5833" s="30"/>
    </row>
    <row r="5834">
      <c r="A5834" s="27"/>
      <c r="B5834" s="28"/>
      <c r="C5834" s="27"/>
      <c r="D5834" s="27"/>
      <c r="E5834" s="30"/>
    </row>
    <row r="5835">
      <c r="A5835" s="27"/>
      <c r="B5835" s="28"/>
      <c r="C5835" s="27"/>
      <c r="D5835" s="27"/>
      <c r="E5835" s="30"/>
    </row>
    <row r="5836">
      <c r="A5836" s="27"/>
      <c r="B5836" s="28"/>
      <c r="C5836" s="27"/>
      <c r="D5836" s="27"/>
      <c r="E5836" s="30"/>
    </row>
    <row r="5837">
      <c r="A5837" s="27"/>
      <c r="B5837" s="28"/>
      <c r="C5837" s="27"/>
      <c r="D5837" s="27"/>
      <c r="E5837" s="30"/>
    </row>
    <row r="5838">
      <c r="A5838" s="27"/>
      <c r="B5838" s="28"/>
      <c r="C5838" s="27"/>
      <c r="D5838" s="27"/>
      <c r="E5838" s="30"/>
    </row>
    <row r="5839">
      <c r="A5839" s="27"/>
      <c r="B5839" s="28"/>
      <c r="C5839" s="27"/>
      <c r="D5839" s="27"/>
      <c r="E5839" s="30"/>
    </row>
    <row r="5840">
      <c r="A5840" s="27"/>
      <c r="B5840" s="28"/>
      <c r="C5840" s="27"/>
      <c r="D5840" s="27"/>
      <c r="E5840" s="30"/>
    </row>
    <row r="5841">
      <c r="A5841" s="27"/>
      <c r="B5841" s="28"/>
      <c r="C5841" s="27"/>
      <c r="D5841" s="27"/>
      <c r="E5841" s="30"/>
    </row>
    <row r="5842">
      <c r="A5842" s="27"/>
      <c r="B5842" s="28"/>
      <c r="C5842" s="27"/>
      <c r="D5842" s="27"/>
      <c r="E5842" s="30"/>
    </row>
    <row r="5843">
      <c r="A5843" s="27"/>
      <c r="B5843" s="28"/>
      <c r="C5843" s="27"/>
      <c r="D5843" s="27"/>
      <c r="E5843" s="30"/>
    </row>
    <row r="5844">
      <c r="A5844" s="27"/>
      <c r="B5844" s="28"/>
      <c r="C5844" s="27"/>
      <c r="D5844" s="27"/>
      <c r="E5844" s="30"/>
    </row>
    <row r="5845">
      <c r="A5845" s="27"/>
      <c r="B5845" s="28"/>
      <c r="C5845" s="27"/>
      <c r="D5845" s="27"/>
      <c r="E5845" s="30"/>
    </row>
    <row r="5846">
      <c r="A5846" s="27"/>
      <c r="B5846" s="28"/>
      <c r="C5846" s="27"/>
      <c r="D5846" s="27"/>
      <c r="E5846" s="30"/>
    </row>
    <row r="5847">
      <c r="A5847" s="27"/>
      <c r="B5847" s="28"/>
      <c r="C5847" s="27"/>
      <c r="D5847" s="27"/>
      <c r="E5847" s="30"/>
    </row>
    <row r="5848">
      <c r="A5848" s="27"/>
      <c r="B5848" s="28"/>
      <c r="C5848" s="27"/>
      <c r="D5848" s="27"/>
      <c r="E5848" s="30"/>
    </row>
    <row r="5849">
      <c r="A5849" s="27"/>
      <c r="B5849" s="28"/>
      <c r="C5849" s="27"/>
      <c r="D5849" s="27"/>
      <c r="E5849" s="30"/>
    </row>
    <row r="5850">
      <c r="A5850" s="27"/>
      <c r="B5850" s="28"/>
      <c r="C5850" s="27"/>
      <c r="D5850" s="27"/>
      <c r="E5850" s="30"/>
    </row>
    <row r="5851">
      <c r="A5851" s="27"/>
      <c r="B5851" s="28"/>
      <c r="C5851" s="27"/>
      <c r="D5851" s="27"/>
      <c r="E5851" s="30"/>
    </row>
    <row r="5852">
      <c r="A5852" s="27"/>
      <c r="B5852" s="28"/>
      <c r="C5852" s="27"/>
      <c r="D5852" s="27"/>
      <c r="E5852" s="30"/>
    </row>
    <row r="5853">
      <c r="A5853" s="27"/>
      <c r="B5853" s="28"/>
      <c r="C5853" s="27"/>
      <c r="D5853" s="27"/>
      <c r="E5853" s="30"/>
    </row>
    <row r="5854">
      <c r="A5854" s="27"/>
      <c r="B5854" s="28"/>
      <c r="C5854" s="27"/>
      <c r="D5854" s="27"/>
      <c r="E5854" s="30"/>
    </row>
    <row r="5855">
      <c r="A5855" s="27"/>
      <c r="B5855" s="28"/>
      <c r="C5855" s="27"/>
      <c r="D5855" s="27"/>
      <c r="E5855" s="30"/>
    </row>
    <row r="5856">
      <c r="A5856" s="27"/>
      <c r="B5856" s="28"/>
      <c r="C5856" s="27"/>
      <c r="D5856" s="27"/>
      <c r="E5856" s="30"/>
    </row>
    <row r="5857">
      <c r="A5857" s="27"/>
      <c r="B5857" s="28"/>
      <c r="C5857" s="27"/>
      <c r="D5857" s="27"/>
      <c r="E5857" s="30"/>
    </row>
    <row r="5858">
      <c r="A5858" s="27"/>
      <c r="B5858" s="28"/>
      <c r="C5858" s="27"/>
      <c r="D5858" s="27"/>
      <c r="E5858" s="30"/>
    </row>
    <row r="5859">
      <c r="A5859" s="27"/>
      <c r="B5859" s="28"/>
      <c r="C5859" s="27"/>
      <c r="D5859" s="27"/>
      <c r="E5859" s="30"/>
    </row>
    <row r="5860">
      <c r="A5860" s="27"/>
      <c r="B5860" s="28"/>
      <c r="C5860" s="27"/>
      <c r="D5860" s="27"/>
      <c r="E5860" s="30"/>
    </row>
    <row r="5861">
      <c r="A5861" s="27"/>
      <c r="B5861" s="28"/>
      <c r="C5861" s="27"/>
      <c r="D5861" s="27"/>
      <c r="E5861" s="30"/>
    </row>
    <row r="5862">
      <c r="A5862" s="27"/>
      <c r="B5862" s="28"/>
      <c r="C5862" s="27"/>
      <c r="D5862" s="27"/>
      <c r="E5862" s="30"/>
    </row>
    <row r="5863">
      <c r="A5863" s="27"/>
      <c r="B5863" s="28"/>
      <c r="C5863" s="27"/>
      <c r="D5863" s="27"/>
      <c r="E5863" s="30"/>
    </row>
    <row r="5864">
      <c r="A5864" s="27"/>
      <c r="B5864" s="28"/>
      <c r="C5864" s="27"/>
      <c r="D5864" s="27"/>
      <c r="E5864" s="30"/>
    </row>
    <row r="5865">
      <c r="A5865" s="27"/>
      <c r="B5865" s="28"/>
      <c r="C5865" s="27"/>
      <c r="D5865" s="27"/>
      <c r="E5865" s="30"/>
    </row>
    <row r="5866">
      <c r="A5866" s="27"/>
      <c r="B5866" s="28"/>
      <c r="C5866" s="27"/>
      <c r="D5866" s="27"/>
      <c r="E5866" s="30"/>
    </row>
    <row r="5867">
      <c r="A5867" s="27"/>
      <c r="B5867" s="28"/>
      <c r="C5867" s="27"/>
      <c r="D5867" s="27"/>
      <c r="E5867" s="30"/>
    </row>
    <row r="5868">
      <c r="A5868" s="27"/>
      <c r="B5868" s="28"/>
      <c r="C5868" s="27"/>
      <c r="D5868" s="27"/>
      <c r="E5868" s="30"/>
    </row>
    <row r="5869">
      <c r="A5869" s="27"/>
      <c r="B5869" s="28"/>
      <c r="C5869" s="27"/>
      <c r="D5869" s="27"/>
      <c r="E5869" s="30"/>
    </row>
    <row r="5870">
      <c r="A5870" s="27"/>
      <c r="B5870" s="28"/>
      <c r="C5870" s="27"/>
      <c r="D5870" s="27"/>
      <c r="E5870" s="30"/>
    </row>
    <row r="5871">
      <c r="A5871" s="27"/>
      <c r="B5871" s="28"/>
      <c r="C5871" s="27"/>
      <c r="D5871" s="27"/>
      <c r="E5871" s="30"/>
    </row>
    <row r="5872">
      <c r="A5872" s="27"/>
      <c r="B5872" s="28"/>
      <c r="C5872" s="27"/>
      <c r="D5872" s="27"/>
      <c r="E5872" s="30"/>
    </row>
    <row r="5873">
      <c r="A5873" s="27"/>
      <c r="B5873" s="28"/>
      <c r="C5873" s="27"/>
      <c r="D5873" s="27"/>
      <c r="E5873" s="30"/>
    </row>
    <row r="5874">
      <c r="A5874" s="27"/>
      <c r="B5874" s="28"/>
      <c r="C5874" s="27"/>
      <c r="D5874" s="27"/>
      <c r="E5874" s="30"/>
    </row>
    <row r="5875">
      <c r="A5875" s="27"/>
      <c r="B5875" s="28"/>
      <c r="C5875" s="27"/>
      <c r="D5875" s="27"/>
      <c r="E5875" s="30"/>
    </row>
    <row r="5876">
      <c r="A5876" s="27"/>
      <c r="B5876" s="28"/>
      <c r="C5876" s="27"/>
      <c r="D5876" s="27"/>
      <c r="E5876" s="30"/>
    </row>
    <row r="5877">
      <c r="A5877" s="27"/>
      <c r="B5877" s="28"/>
      <c r="C5877" s="27"/>
      <c r="D5877" s="27"/>
      <c r="E5877" s="30"/>
    </row>
    <row r="5878">
      <c r="A5878" s="27"/>
      <c r="B5878" s="28"/>
      <c r="C5878" s="27"/>
      <c r="D5878" s="27"/>
      <c r="E5878" s="30"/>
    </row>
    <row r="5879">
      <c r="A5879" s="27"/>
      <c r="B5879" s="28"/>
      <c r="C5879" s="27"/>
      <c r="D5879" s="27"/>
      <c r="E5879" s="30"/>
    </row>
    <row r="5880">
      <c r="A5880" s="27"/>
      <c r="B5880" s="28"/>
      <c r="C5880" s="27"/>
      <c r="D5880" s="27"/>
      <c r="E5880" s="30"/>
    </row>
    <row r="5881">
      <c r="A5881" s="27"/>
      <c r="B5881" s="28"/>
      <c r="C5881" s="27"/>
      <c r="D5881" s="27"/>
      <c r="E5881" s="30"/>
    </row>
    <row r="5882">
      <c r="A5882" s="27"/>
      <c r="B5882" s="28"/>
      <c r="C5882" s="27"/>
      <c r="D5882" s="27"/>
      <c r="E5882" s="30"/>
    </row>
    <row r="5883">
      <c r="A5883" s="27"/>
      <c r="B5883" s="28"/>
      <c r="C5883" s="27"/>
      <c r="D5883" s="27"/>
      <c r="E5883" s="30"/>
    </row>
    <row r="5884">
      <c r="A5884" s="27"/>
      <c r="B5884" s="28"/>
      <c r="C5884" s="27"/>
      <c r="D5884" s="27"/>
      <c r="E5884" s="30"/>
    </row>
    <row r="5885">
      <c r="A5885" s="27"/>
      <c r="B5885" s="28"/>
      <c r="C5885" s="27"/>
      <c r="D5885" s="27"/>
      <c r="E5885" s="30"/>
    </row>
    <row r="5886">
      <c r="A5886" s="27"/>
      <c r="B5886" s="28"/>
      <c r="C5886" s="27"/>
      <c r="D5886" s="27"/>
      <c r="E5886" s="30"/>
    </row>
    <row r="5887">
      <c r="A5887" s="27"/>
      <c r="B5887" s="28"/>
      <c r="C5887" s="27"/>
      <c r="D5887" s="27"/>
      <c r="E5887" s="30"/>
    </row>
    <row r="5888">
      <c r="A5888" s="27"/>
      <c r="B5888" s="28"/>
      <c r="C5888" s="27"/>
      <c r="D5888" s="27"/>
      <c r="E5888" s="30"/>
    </row>
    <row r="5889">
      <c r="A5889" s="27"/>
      <c r="B5889" s="28"/>
      <c r="C5889" s="27"/>
      <c r="D5889" s="27"/>
      <c r="E5889" s="30"/>
    </row>
    <row r="5890">
      <c r="A5890" s="27"/>
      <c r="B5890" s="28"/>
      <c r="C5890" s="27"/>
      <c r="D5890" s="27"/>
      <c r="E5890" s="30"/>
    </row>
    <row r="5891">
      <c r="A5891" s="27"/>
      <c r="B5891" s="28"/>
      <c r="C5891" s="27"/>
      <c r="D5891" s="27"/>
      <c r="E5891" s="30"/>
    </row>
    <row r="5892">
      <c r="A5892" s="27"/>
      <c r="B5892" s="28"/>
      <c r="C5892" s="27"/>
      <c r="D5892" s="27"/>
      <c r="E5892" s="30"/>
    </row>
    <row r="5893">
      <c r="A5893" s="27"/>
      <c r="B5893" s="28"/>
      <c r="C5893" s="27"/>
      <c r="D5893" s="27"/>
      <c r="E5893" s="30"/>
    </row>
    <row r="5894">
      <c r="A5894" s="27"/>
      <c r="B5894" s="28"/>
      <c r="C5894" s="27"/>
      <c r="D5894" s="27"/>
      <c r="E5894" s="30"/>
    </row>
    <row r="5895">
      <c r="A5895" s="27"/>
      <c r="B5895" s="28"/>
      <c r="C5895" s="27"/>
      <c r="D5895" s="27"/>
      <c r="E5895" s="30"/>
    </row>
    <row r="5896">
      <c r="A5896" s="27"/>
      <c r="B5896" s="28"/>
      <c r="C5896" s="27"/>
      <c r="D5896" s="27"/>
      <c r="E5896" s="30"/>
    </row>
    <row r="5897">
      <c r="A5897" s="27"/>
      <c r="B5897" s="28"/>
      <c r="C5897" s="27"/>
      <c r="D5897" s="27"/>
      <c r="E5897" s="30"/>
    </row>
    <row r="5898">
      <c r="A5898" s="27"/>
      <c r="B5898" s="28"/>
      <c r="C5898" s="27"/>
      <c r="D5898" s="27"/>
      <c r="E5898" s="30"/>
    </row>
    <row r="5899">
      <c r="A5899" s="27"/>
      <c r="B5899" s="28"/>
      <c r="C5899" s="27"/>
      <c r="D5899" s="27"/>
      <c r="E5899" s="30"/>
    </row>
    <row r="5900">
      <c r="A5900" s="27"/>
      <c r="B5900" s="28"/>
      <c r="C5900" s="27"/>
      <c r="D5900" s="27"/>
      <c r="E5900" s="30"/>
    </row>
    <row r="5901">
      <c r="A5901" s="27"/>
      <c r="B5901" s="28"/>
      <c r="C5901" s="27"/>
      <c r="D5901" s="27"/>
      <c r="E5901" s="30"/>
    </row>
    <row r="5902">
      <c r="A5902" s="27"/>
      <c r="B5902" s="28"/>
      <c r="C5902" s="27"/>
      <c r="D5902" s="27"/>
      <c r="E5902" s="30"/>
    </row>
    <row r="5903">
      <c r="A5903" s="27"/>
      <c r="B5903" s="28"/>
      <c r="C5903" s="27"/>
      <c r="D5903" s="27"/>
      <c r="E5903" s="30"/>
    </row>
    <row r="5904">
      <c r="A5904" s="27"/>
      <c r="B5904" s="28"/>
      <c r="C5904" s="27"/>
      <c r="D5904" s="27"/>
      <c r="E5904" s="30"/>
    </row>
    <row r="5905">
      <c r="A5905" s="27"/>
      <c r="B5905" s="28"/>
      <c r="C5905" s="27"/>
      <c r="D5905" s="27"/>
      <c r="E5905" s="30"/>
    </row>
    <row r="5906">
      <c r="A5906" s="27"/>
      <c r="B5906" s="28"/>
      <c r="C5906" s="27"/>
      <c r="D5906" s="27"/>
      <c r="E5906" s="30"/>
    </row>
    <row r="5907">
      <c r="A5907" s="27"/>
      <c r="B5907" s="28"/>
      <c r="C5907" s="27"/>
      <c r="D5907" s="27"/>
      <c r="E5907" s="30"/>
    </row>
    <row r="5908">
      <c r="A5908" s="27"/>
      <c r="B5908" s="28"/>
      <c r="C5908" s="27"/>
      <c r="D5908" s="27"/>
      <c r="E5908" s="30"/>
    </row>
    <row r="5909">
      <c r="A5909" s="27"/>
      <c r="B5909" s="28"/>
      <c r="C5909" s="27"/>
      <c r="D5909" s="27"/>
      <c r="E5909" s="30"/>
    </row>
    <row r="5910">
      <c r="A5910" s="27"/>
      <c r="B5910" s="28"/>
      <c r="C5910" s="27"/>
      <c r="D5910" s="27"/>
      <c r="E5910" s="30"/>
    </row>
    <row r="5911">
      <c r="A5911" s="27"/>
      <c r="B5911" s="28"/>
      <c r="C5911" s="27"/>
      <c r="D5911" s="27"/>
      <c r="E5911" s="30"/>
    </row>
    <row r="5912">
      <c r="A5912" s="27"/>
      <c r="B5912" s="28"/>
      <c r="C5912" s="27"/>
      <c r="D5912" s="27"/>
      <c r="E5912" s="30"/>
    </row>
    <row r="5913">
      <c r="A5913" s="27"/>
      <c r="B5913" s="28"/>
      <c r="C5913" s="27"/>
      <c r="D5913" s="27"/>
      <c r="E5913" s="30"/>
    </row>
    <row r="5914">
      <c r="A5914" s="27"/>
      <c r="B5914" s="28"/>
      <c r="C5914" s="27"/>
      <c r="D5914" s="27"/>
      <c r="E5914" s="30"/>
    </row>
    <row r="5915">
      <c r="A5915" s="27"/>
      <c r="B5915" s="28"/>
      <c r="C5915" s="27"/>
      <c r="D5915" s="27"/>
      <c r="E5915" s="30"/>
    </row>
    <row r="5916">
      <c r="A5916" s="27"/>
      <c r="B5916" s="28"/>
      <c r="C5916" s="27"/>
      <c r="D5916" s="27"/>
      <c r="E5916" s="30"/>
    </row>
    <row r="5917">
      <c r="A5917" s="27"/>
      <c r="B5917" s="28"/>
      <c r="C5917" s="27"/>
      <c r="D5917" s="27"/>
      <c r="E5917" s="30"/>
    </row>
    <row r="5918">
      <c r="A5918" s="27"/>
      <c r="B5918" s="28"/>
      <c r="C5918" s="27"/>
      <c r="D5918" s="27"/>
      <c r="E5918" s="30"/>
    </row>
    <row r="5919">
      <c r="A5919" s="27"/>
      <c r="B5919" s="28"/>
      <c r="C5919" s="27"/>
      <c r="D5919" s="27"/>
      <c r="E5919" s="30"/>
    </row>
    <row r="5920">
      <c r="A5920" s="27"/>
      <c r="B5920" s="28"/>
      <c r="C5920" s="27"/>
      <c r="D5920" s="27"/>
      <c r="E5920" s="30"/>
    </row>
    <row r="5921">
      <c r="A5921" s="27"/>
      <c r="B5921" s="28"/>
      <c r="C5921" s="27"/>
      <c r="D5921" s="27"/>
      <c r="E5921" s="30"/>
    </row>
    <row r="5922">
      <c r="A5922" s="27"/>
      <c r="B5922" s="28"/>
      <c r="C5922" s="27"/>
      <c r="D5922" s="27"/>
      <c r="E5922" s="30"/>
    </row>
    <row r="5923">
      <c r="A5923" s="27"/>
      <c r="B5923" s="28"/>
      <c r="C5923" s="27"/>
      <c r="D5923" s="27"/>
      <c r="E5923" s="30"/>
    </row>
    <row r="5924">
      <c r="A5924" s="27"/>
      <c r="B5924" s="28"/>
      <c r="C5924" s="27"/>
      <c r="D5924" s="27"/>
      <c r="E5924" s="30"/>
    </row>
    <row r="5925">
      <c r="A5925" s="27"/>
      <c r="B5925" s="28"/>
      <c r="C5925" s="27"/>
      <c r="D5925" s="27"/>
      <c r="E5925" s="30"/>
    </row>
    <row r="5926">
      <c r="A5926" s="27"/>
      <c r="B5926" s="28"/>
      <c r="C5926" s="27"/>
      <c r="D5926" s="27"/>
      <c r="E5926" s="30"/>
    </row>
    <row r="5927">
      <c r="A5927" s="27"/>
      <c r="B5927" s="28"/>
      <c r="C5927" s="27"/>
      <c r="D5927" s="27"/>
      <c r="E5927" s="30"/>
    </row>
    <row r="5928">
      <c r="A5928" s="27"/>
      <c r="B5928" s="28"/>
      <c r="C5928" s="27"/>
      <c r="D5928" s="27"/>
      <c r="E5928" s="30"/>
    </row>
    <row r="5929">
      <c r="A5929" s="27"/>
      <c r="B5929" s="28"/>
      <c r="C5929" s="27"/>
      <c r="D5929" s="27"/>
      <c r="E5929" s="30"/>
    </row>
    <row r="5930">
      <c r="A5930" s="27"/>
      <c r="B5930" s="28"/>
      <c r="C5930" s="27"/>
      <c r="D5930" s="27"/>
      <c r="E5930" s="30"/>
    </row>
    <row r="5931">
      <c r="A5931" s="27"/>
      <c r="B5931" s="28"/>
      <c r="C5931" s="27"/>
      <c r="D5931" s="27"/>
      <c r="E5931" s="30"/>
    </row>
    <row r="5932">
      <c r="A5932" s="27"/>
      <c r="B5932" s="28"/>
      <c r="C5932" s="27"/>
      <c r="D5932" s="27"/>
      <c r="E5932" s="30"/>
    </row>
    <row r="5933">
      <c r="A5933" s="27"/>
      <c r="B5933" s="28"/>
      <c r="C5933" s="27"/>
      <c r="D5933" s="27"/>
      <c r="E5933" s="30"/>
    </row>
    <row r="5934">
      <c r="A5934" s="27"/>
      <c r="B5934" s="28"/>
      <c r="C5934" s="27"/>
      <c r="D5934" s="27"/>
      <c r="E5934" s="30"/>
    </row>
    <row r="5935">
      <c r="A5935" s="27"/>
      <c r="B5935" s="28"/>
      <c r="C5935" s="27"/>
      <c r="D5935" s="27"/>
      <c r="E5935" s="30"/>
    </row>
    <row r="5936">
      <c r="A5936" s="27"/>
      <c r="B5936" s="28"/>
      <c r="C5936" s="27"/>
      <c r="D5936" s="27"/>
      <c r="E5936" s="30"/>
    </row>
    <row r="5937">
      <c r="A5937" s="27"/>
      <c r="B5937" s="28"/>
      <c r="C5937" s="27"/>
      <c r="D5937" s="27"/>
      <c r="E5937" s="30"/>
    </row>
    <row r="5938">
      <c r="A5938" s="27"/>
      <c r="B5938" s="28"/>
      <c r="C5938" s="27"/>
      <c r="D5938" s="27"/>
      <c r="E5938" s="30"/>
    </row>
    <row r="5939">
      <c r="A5939" s="27"/>
      <c r="B5939" s="28"/>
      <c r="C5939" s="27"/>
      <c r="D5939" s="27"/>
      <c r="E5939" s="30"/>
    </row>
    <row r="5940">
      <c r="A5940" s="27"/>
      <c r="B5940" s="28"/>
      <c r="C5940" s="27"/>
      <c r="D5940" s="27"/>
      <c r="E5940" s="30"/>
    </row>
    <row r="5941">
      <c r="A5941" s="27"/>
      <c r="B5941" s="28"/>
      <c r="C5941" s="27"/>
      <c r="D5941" s="27"/>
      <c r="E5941" s="30"/>
    </row>
    <row r="5942">
      <c r="A5942" s="27"/>
      <c r="B5942" s="28"/>
      <c r="C5942" s="27"/>
      <c r="D5942" s="27"/>
      <c r="E5942" s="30"/>
    </row>
    <row r="5943">
      <c r="A5943" s="27"/>
      <c r="B5943" s="28"/>
      <c r="C5943" s="27"/>
      <c r="D5943" s="27"/>
      <c r="E5943" s="30"/>
    </row>
    <row r="5944">
      <c r="A5944" s="27"/>
      <c r="B5944" s="28"/>
      <c r="C5944" s="27"/>
      <c r="D5944" s="27"/>
      <c r="E5944" s="30"/>
    </row>
    <row r="5945">
      <c r="A5945" s="27"/>
      <c r="B5945" s="28"/>
      <c r="C5945" s="27"/>
      <c r="D5945" s="27"/>
      <c r="E5945" s="30"/>
    </row>
    <row r="5946">
      <c r="A5946" s="27"/>
      <c r="B5946" s="28"/>
      <c r="C5946" s="27"/>
      <c r="D5946" s="27"/>
      <c r="E5946" s="30"/>
    </row>
    <row r="5947">
      <c r="A5947" s="27"/>
      <c r="B5947" s="28"/>
      <c r="C5947" s="27"/>
      <c r="D5947" s="27"/>
      <c r="E5947" s="30"/>
    </row>
    <row r="5948">
      <c r="A5948" s="27"/>
      <c r="B5948" s="28"/>
      <c r="C5948" s="27"/>
      <c r="D5948" s="27"/>
      <c r="E5948" s="30"/>
    </row>
    <row r="5949">
      <c r="A5949" s="27"/>
      <c r="B5949" s="28"/>
      <c r="C5949" s="27"/>
      <c r="D5949" s="27"/>
      <c r="E5949" s="30"/>
    </row>
    <row r="5950">
      <c r="A5950" s="27"/>
      <c r="B5950" s="28"/>
      <c r="C5950" s="27"/>
      <c r="D5950" s="27"/>
      <c r="E5950" s="30"/>
    </row>
    <row r="5951">
      <c r="A5951" s="27"/>
      <c r="B5951" s="28"/>
      <c r="C5951" s="27"/>
      <c r="D5951" s="27"/>
      <c r="E5951" s="30"/>
    </row>
    <row r="5952">
      <c r="A5952" s="27"/>
      <c r="B5952" s="28"/>
      <c r="C5952" s="27"/>
      <c r="D5952" s="27"/>
      <c r="E5952" s="30"/>
    </row>
    <row r="5953">
      <c r="A5953" s="27"/>
      <c r="B5953" s="28"/>
      <c r="C5953" s="27"/>
      <c r="D5953" s="27"/>
      <c r="E5953" s="30"/>
    </row>
    <row r="5954">
      <c r="A5954" s="27"/>
      <c r="B5954" s="28"/>
      <c r="C5954" s="27"/>
      <c r="D5954" s="27"/>
      <c r="E5954" s="30"/>
    </row>
    <row r="5955">
      <c r="A5955" s="27"/>
      <c r="B5955" s="28"/>
      <c r="C5955" s="27"/>
      <c r="D5955" s="27"/>
      <c r="E5955" s="30"/>
    </row>
    <row r="5956">
      <c r="A5956" s="27"/>
      <c r="B5956" s="28"/>
      <c r="C5956" s="27"/>
      <c r="D5956" s="27"/>
      <c r="E5956" s="30"/>
    </row>
    <row r="5957">
      <c r="A5957" s="27"/>
      <c r="B5957" s="28"/>
      <c r="C5957" s="27"/>
      <c r="D5957" s="27"/>
      <c r="E5957" s="30"/>
    </row>
    <row r="5958">
      <c r="A5958" s="27"/>
      <c r="B5958" s="28"/>
      <c r="C5958" s="27"/>
      <c r="D5958" s="27"/>
      <c r="E5958" s="30"/>
    </row>
    <row r="5959">
      <c r="A5959" s="27"/>
      <c r="B5959" s="28"/>
      <c r="C5959" s="27"/>
      <c r="D5959" s="27"/>
      <c r="E5959" s="30"/>
    </row>
    <row r="5960">
      <c r="A5960" s="27"/>
      <c r="B5960" s="28"/>
      <c r="C5960" s="27"/>
      <c r="D5960" s="27"/>
      <c r="E5960" s="30"/>
    </row>
    <row r="5961">
      <c r="A5961" s="27"/>
      <c r="B5961" s="28"/>
      <c r="C5961" s="27"/>
      <c r="D5961" s="27"/>
      <c r="E5961" s="30"/>
    </row>
    <row r="5962">
      <c r="A5962" s="27"/>
      <c r="B5962" s="28"/>
      <c r="C5962" s="27"/>
      <c r="D5962" s="27"/>
      <c r="E5962" s="30"/>
    </row>
    <row r="5963">
      <c r="A5963" s="27"/>
      <c r="B5963" s="28"/>
      <c r="C5963" s="27"/>
      <c r="D5963" s="27"/>
      <c r="E5963" s="30"/>
    </row>
    <row r="5964">
      <c r="A5964" s="27"/>
      <c r="B5964" s="28"/>
      <c r="C5964" s="27"/>
      <c r="D5964" s="27"/>
      <c r="E5964" s="30"/>
    </row>
    <row r="5965">
      <c r="A5965" s="27"/>
      <c r="B5965" s="28"/>
      <c r="C5965" s="27"/>
      <c r="D5965" s="27"/>
      <c r="E5965" s="30"/>
    </row>
    <row r="5966">
      <c r="A5966" s="27"/>
      <c r="B5966" s="28"/>
      <c r="C5966" s="27"/>
      <c r="D5966" s="27"/>
      <c r="E5966" s="30"/>
    </row>
    <row r="5967">
      <c r="A5967" s="27"/>
      <c r="B5967" s="28"/>
      <c r="C5967" s="27"/>
      <c r="D5967" s="27"/>
      <c r="E5967" s="30"/>
    </row>
    <row r="5968">
      <c r="A5968" s="27"/>
      <c r="B5968" s="28"/>
      <c r="C5968" s="27"/>
      <c r="D5968" s="27"/>
      <c r="E5968" s="30"/>
    </row>
    <row r="5969">
      <c r="A5969" s="27"/>
      <c r="B5969" s="28"/>
      <c r="C5969" s="27"/>
      <c r="D5969" s="27"/>
      <c r="E5969" s="30"/>
    </row>
    <row r="5970">
      <c r="A5970" s="27"/>
      <c r="B5970" s="28"/>
      <c r="C5970" s="27"/>
      <c r="D5970" s="27"/>
      <c r="E5970" s="30"/>
    </row>
    <row r="5971">
      <c r="A5971" s="27"/>
      <c r="B5971" s="28"/>
      <c r="C5971" s="27"/>
      <c r="D5971" s="27"/>
      <c r="E5971" s="30"/>
    </row>
    <row r="5972">
      <c r="A5972" s="27"/>
      <c r="B5972" s="28"/>
      <c r="C5972" s="27"/>
      <c r="D5972" s="27"/>
      <c r="E5972" s="30"/>
    </row>
    <row r="5973">
      <c r="A5973" s="27"/>
      <c r="B5973" s="28"/>
      <c r="C5973" s="27"/>
      <c r="D5973" s="27"/>
      <c r="E5973" s="30"/>
    </row>
    <row r="5974">
      <c r="A5974" s="27"/>
      <c r="B5974" s="28"/>
      <c r="C5974" s="27"/>
      <c r="D5974" s="27"/>
      <c r="E5974" s="30"/>
    </row>
    <row r="5975">
      <c r="A5975" s="27"/>
      <c r="B5975" s="28"/>
      <c r="C5975" s="27"/>
      <c r="D5975" s="27"/>
      <c r="E5975" s="30"/>
    </row>
    <row r="5976">
      <c r="A5976" s="27"/>
      <c r="B5976" s="28"/>
      <c r="C5976" s="27"/>
      <c r="D5976" s="27"/>
      <c r="E5976" s="30"/>
    </row>
    <row r="5977">
      <c r="A5977" s="27"/>
      <c r="B5977" s="28"/>
      <c r="C5977" s="27"/>
      <c r="D5977" s="27"/>
      <c r="E5977" s="30"/>
    </row>
    <row r="5978">
      <c r="A5978" s="27"/>
      <c r="B5978" s="28"/>
      <c r="C5978" s="27"/>
      <c r="D5978" s="27"/>
      <c r="E5978" s="30"/>
    </row>
    <row r="5979">
      <c r="A5979" s="27"/>
      <c r="B5979" s="28"/>
      <c r="C5979" s="27"/>
      <c r="D5979" s="27"/>
      <c r="E5979" s="30"/>
    </row>
    <row r="5980">
      <c r="A5980" s="27"/>
      <c r="B5980" s="28"/>
      <c r="C5980" s="27"/>
      <c r="D5980" s="27"/>
      <c r="E5980" s="30"/>
    </row>
    <row r="5981">
      <c r="A5981" s="27"/>
      <c r="B5981" s="28"/>
      <c r="C5981" s="27"/>
      <c r="D5981" s="27"/>
      <c r="E5981" s="30"/>
    </row>
    <row r="5982">
      <c r="A5982" s="27"/>
      <c r="B5982" s="28"/>
      <c r="C5982" s="27"/>
      <c r="D5982" s="27"/>
      <c r="E5982" s="30"/>
    </row>
    <row r="5983">
      <c r="A5983" s="27"/>
      <c r="B5983" s="28"/>
      <c r="C5983" s="27"/>
      <c r="D5983" s="27"/>
      <c r="E5983" s="30"/>
    </row>
    <row r="5984">
      <c r="A5984" s="27"/>
      <c r="B5984" s="28"/>
      <c r="C5984" s="27"/>
      <c r="D5984" s="27"/>
      <c r="E5984" s="30"/>
    </row>
    <row r="5985">
      <c r="A5985" s="27"/>
      <c r="B5985" s="28"/>
      <c r="C5985" s="27"/>
      <c r="D5985" s="27"/>
      <c r="E5985" s="30"/>
    </row>
    <row r="5986">
      <c r="A5986" s="27"/>
      <c r="B5986" s="28"/>
      <c r="C5986" s="27"/>
      <c r="D5986" s="27"/>
      <c r="E5986" s="30"/>
    </row>
    <row r="5987">
      <c r="A5987" s="27"/>
      <c r="B5987" s="28"/>
      <c r="C5987" s="27"/>
      <c r="D5987" s="27"/>
      <c r="E5987" s="30"/>
    </row>
    <row r="5988">
      <c r="A5988" s="27"/>
      <c r="B5988" s="28"/>
      <c r="C5988" s="27"/>
      <c r="D5988" s="27"/>
      <c r="E5988" s="30"/>
    </row>
    <row r="5989">
      <c r="A5989" s="27"/>
      <c r="B5989" s="28"/>
      <c r="C5989" s="27"/>
      <c r="D5989" s="27"/>
      <c r="E5989" s="30"/>
    </row>
    <row r="5990">
      <c r="A5990" s="27"/>
      <c r="B5990" s="28"/>
      <c r="C5990" s="27"/>
      <c r="D5990" s="27"/>
      <c r="E5990" s="30"/>
    </row>
    <row r="5991">
      <c r="A5991" s="27"/>
      <c r="B5991" s="28"/>
      <c r="C5991" s="27"/>
      <c r="D5991" s="27"/>
      <c r="E5991" s="30"/>
    </row>
    <row r="5992">
      <c r="A5992" s="27"/>
      <c r="B5992" s="28"/>
      <c r="C5992" s="27"/>
      <c r="D5992" s="27"/>
      <c r="E5992" s="30"/>
    </row>
    <row r="5993">
      <c r="A5993" s="27"/>
      <c r="B5993" s="28"/>
      <c r="C5993" s="27"/>
      <c r="D5993" s="27"/>
      <c r="E5993" s="30"/>
    </row>
    <row r="5994">
      <c r="A5994" s="27"/>
      <c r="B5994" s="28"/>
      <c r="C5994" s="27"/>
      <c r="D5994" s="27"/>
      <c r="E5994" s="30"/>
    </row>
    <row r="5995">
      <c r="A5995" s="27"/>
      <c r="B5995" s="28"/>
      <c r="C5995" s="27"/>
      <c r="D5995" s="27"/>
      <c r="E5995" s="30"/>
    </row>
    <row r="5996">
      <c r="A5996" s="27"/>
      <c r="B5996" s="28"/>
      <c r="C5996" s="27"/>
      <c r="D5996" s="27"/>
      <c r="E5996" s="30"/>
    </row>
    <row r="5997">
      <c r="A5997" s="27"/>
      <c r="B5997" s="28"/>
      <c r="C5997" s="27"/>
      <c r="D5997" s="27"/>
      <c r="E5997" s="30"/>
    </row>
    <row r="5998">
      <c r="A5998" s="27"/>
      <c r="B5998" s="28"/>
      <c r="C5998" s="27"/>
      <c r="D5998" s="27"/>
      <c r="E5998" s="30"/>
    </row>
    <row r="5999">
      <c r="A5999" s="27"/>
      <c r="B5999" s="28"/>
      <c r="C5999" s="27"/>
      <c r="D5999" s="27"/>
      <c r="E5999" s="30"/>
    </row>
    <row r="6000">
      <c r="A6000" s="27"/>
      <c r="B6000" s="28"/>
      <c r="C6000" s="27"/>
      <c r="D6000" s="27"/>
      <c r="E6000" s="30"/>
    </row>
    <row r="6001">
      <c r="A6001" s="27"/>
      <c r="B6001" s="28"/>
      <c r="C6001" s="27"/>
      <c r="D6001" s="27"/>
      <c r="E6001" s="30"/>
    </row>
    <row r="6002">
      <c r="A6002" s="27"/>
      <c r="B6002" s="28"/>
      <c r="C6002" s="27"/>
      <c r="D6002" s="27"/>
      <c r="E6002" s="30"/>
    </row>
    <row r="6003">
      <c r="A6003" s="27"/>
      <c r="B6003" s="28"/>
      <c r="C6003" s="27"/>
      <c r="D6003" s="27"/>
      <c r="E6003" s="30"/>
    </row>
    <row r="6004">
      <c r="A6004" s="27"/>
      <c r="B6004" s="28"/>
      <c r="C6004" s="27"/>
      <c r="D6004" s="27"/>
      <c r="E6004" s="30"/>
    </row>
    <row r="6005">
      <c r="A6005" s="27"/>
      <c r="B6005" s="28"/>
      <c r="C6005" s="27"/>
      <c r="D6005" s="27"/>
      <c r="E6005" s="30"/>
    </row>
    <row r="6006">
      <c r="A6006" s="27"/>
      <c r="B6006" s="28"/>
      <c r="C6006" s="27"/>
      <c r="D6006" s="27"/>
      <c r="E6006" s="30"/>
    </row>
    <row r="6007">
      <c r="A6007" s="27"/>
      <c r="B6007" s="28"/>
      <c r="C6007" s="27"/>
      <c r="D6007" s="27"/>
      <c r="E6007" s="30"/>
    </row>
    <row r="6008">
      <c r="A6008" s="27"/>
      <c r="B6008" s="28"/>
      <c r="C6008" s="27"/>
      <c r="D6008" s="27"/>
      <c r="E6008" s="30"/>
    </row>
    <row r="6009">
      <c r="A6009" s="27"/>
      <c r="B6009" s="28"/>
      <c r="C6009" s="27"/>
      <c r="D6009" s="27"/>
      <c r="E6009" s="30"/>
    </row>
    <row r="6010">
      <c r="A6010" s="27"/>
      <c r="B6010" s="28"/>
      <c r="C6010" s="27"/>
      <c r="D6010" s="27"/>
      <c r="E6010" s="30"/>
    </row>
    <row r="6011">
      <c r="A6011" s="27"/>
      <c r="B6011" s="28"/>
      <c r="C6011" s="27"/>
      <c r="D6011" s="27"/>
      <c r="E6011" s="30"/>
    </row>
    <row r="6012">
      <c r="A6012" s="27"/>
      <c r="B6012" s="28"/>
      <c r="C6012" s="27"/>
      <c r="D6012" s="27"/>
      <c r="E6012" s="30"/>
    </row>
    <row r="6013">
      <c r="A6013" s="27"/>
      <c r="B6013" s="28"/>
      <c r="C6013" s="27"/>
      <c r="D6013" s="27"/>
      <c r="E6013" s="30"/>
    </row>
    <row r="6014">
      <c r="A6014" s="27"/>
      <c r="B6014" s="28"/>
      <c r="C6014" s="27"/>
      <c r="D6014" s="27"/>
      <c r="E6014" s="30"/>
    </row>
    <row r="6015">
      <c r="A6015" s="27"/>
      <c r="B6015" s="28"/>
      <c r="C6015" s="27"/>
      <c r="D6015" s="27"/>
      <c r="E6015" s="30"/>
    </row>
    <row r="6016">
      <c r="A6016" s="27"/>
      <c r="B6016" s="28"/>
      <c r="C6016" s="27"/>
      <c r="D6016" s="27"/>
      <c r="E6016" s="30"/>
    </row>
    <row r="6017">
      <c r="A6017" s="27"/>
      <c r="B6017" s="28"/>
      <c r="C6017" s="27"/>
      <c r="D6017" s="27"/>
      <c r="E6017" s="30"/>
    </row>
    <row r="6018">
      <c r="A6018" s="27"/>
      <c r="B6018" s="28"/>
      <c r="C6018" s="27"/>
      <c r="D6018" s="27"/>
      <c r="E6018" s="30"/>
    </row>
    <row r="6019">
      <c r="A6019" s="27"/>
      <c r="B6019" s="28"/>
      <c r="C6019" s="27"/>
      <c r="D6019" s="27"/>
      <c r="E6019" s="30"/>
    </row>
    <row r="6020">
      <c r="A6020" s="27"/>
      <c r="B6020" s="28"/>
      <c r="C6020" s="27"/>
      <c r="D6020" s="27"/>
      <c r="E6020" s="30"/>
    </row>
    <row r="6021">
      <c r="A6021" s="27"/>
      <c r="B6021" s="28"/>
      <c r="C6021" s="27"/>
      <c r="D6021" s="27"/>
      <c r="E6021" s="30"/>
    </row>
    <row r="6022">
      <c r="A6022" s="27"/>
      <c r="B6022" s="28"/>
      <c r="C6022" s="27"/>
      <c r="D6022" s="27"/>
      <c r="E6022" s="30"/>
    </row>
    <row r="6023">
      <c r="A6023" s="27"/>
      <c r="B6023" s="28"/>
      <c r="C6023" s="27"/>
      <c r="D6023" s="27"/>
      <c r="E6023" s="30"/>
    </row>
    <row r="6024">
      <c r="A6024" s="27"/>
      <c r="B6024" s="28"/>
      <c r="C6024" s="27"/>
      <c r="D6024" s="27"/>
      <c r="E6024" s="30"/>
    </row>
    <row r="6025">
      <c r="A6025" s="27"/>
      <c r="B6025" s="28"/>
      <c r="C6025" s="27"/>
      <c r="D6025" s="27"/>
      <c r="E6025" s="30"/>
    </row>
    <row r="6026">
      <c r="A6026" s="27"/>
      <c r="B6026" s="28"/>
      <c r="C6026" s="27"/>
      <c r="D6026" s="27"/>
      <c r="E6026" s="30"/>
    </row>
    <row r="6027">
      <c r="A6027" s="27"/>
      <c r="B6027" s="28"/>
      <c r="C6027" s="27"/>
      <c r="D6027" s="27"/>
      <c r="E6027" s="30"/>
    </row>
    <row r="6028">
      <c r="A6028" s="27"/>
      <c r="B6028" s="28"/>
      <c r="C6028" s="27"/>
      <c r="D6028" s="27"/>
      <c r="E6028" s="30"/>
    </row>
    <row r="6029">
      <c r="A6029" s="27"/>
      <c r="B6029" s="28"/>
      <c r="C6029" s="27"/>
      <c r="D6029" s="27"/>
      <c r="E6029" s="30"/>
    </row>
    <row r="6030">
      <c r="A6030" s="27"/>
      <c r="B6030" s="28"/>
      <c r="C6030" s="27"/>
      <c r="D6030" s="27"/>
      <c r="E6030" s="30"/>
    </row>
    <row r="6031">
      <c r="A6031" s="27"/>
      <c r="B6031" s="28"/>
      <c r="C6031" s="27"/>
      <c r="D6031" s="27"/>
      <c r="E6031" s="30"/>
    </row>
    <row r="6032">
      <c r="A6032" s="27"/>
      <c r="B6032" s="28"/>
      <c r="C6032" s="27"/>
      <c r="D6032" s="27"/>
      <c r="E6032" s="30"/>
    </row>
    <row r="6033">
      <c r="A6033" s="27"/>
      <c r="B6033" s="28"/>
      <c r="C6033" s="27"/>
      <c r="D6033" s="27"/>
      <c r="E6033" s="30"/>
    </row>
    <row r="6034">
      <c r="A6034" s="27"/>
      <c r="B6034" s="28"/>
      <c r="C6034" s="27"/>
      <c r="D6034" s="27"/>
      <c r="E6034" s="30"/>
    </row>
    <row r="6035">
      <c r="A6035" s="27"/>
      <c r="B6035" s="28"/>
      <c r="C6035" s="27"/>
      <c r="D6035" s="27"/>
      <c r="E6035" s="30"/>
    </row>
    <row r="6036">
      <c r="A6036" s="27"/>
      <c r="B6036" s="28"/>
      <c r="C6036" s="27"/>
      <c r="D6036" s="27"/>
      <c r="E6036" s="30"/>
    </row>
    <row r="6037">
      <c r="A6037" s="27"/>
      <c r="B6037" s="28"/>
      <c r="C6037" s="27"/>
      <c r="D6037" s="27"/>
      <c r="E6037" s="30"/>
    </row>
    <row r="6038">
      <c r="A6038" s="27"/>
      <c r="B6038" s="28"/>
      <c r="C6038" s="27"/>
      <c r="D6038" s="27"/>
      <c r="E6038" s="30"/>
    </row>
    <row r="6039">
      <c r="A6039" s="27"/>
      <c r="B6039" s="28"/>
      <c r="C6039" s="27"/>
      <c r="D6039" s="27"/>
      <c r="E6039" s="30"/>
    </row>
    <row r="6040">
      <c r="A6040" s="27"/>
      <c r="B6040" s="28"/>
      <c r="C6040" s="27"/>
      <c r="D6040" s="27"/>
      <c r="E6040" s="30"/>
    </row>
    <row r="6041">
      <c r="A6041" s="27"/>
      <c r="B6041" s="28"/>
      <c r="C6041" s="27"/>
      <c r="D6041" s="27"/>
      <c r="E6041" s="30"/>
    </row>
    <row r="6042">
      <c r="A6042" s="27"/>
      <c r="B6042" s="28"/>
      <c r="C6042" s="27"/>
      <c r="D6042" s="27"/>
      <c r="E6042" s="30"/>
    </row>
    <row r="6043">
      <c r="A6043" s="27"/>
      <c r="B6043" s="28"/>
      <c r="C6043" s="27"/>
      <c r="D6043" s="27"/>
      <c r="E6043" s="30"/>
    </row>
    <row r="6044">
      <c r="A6044" s="27"/>
      <c r="B6044" s="28"/>
      <c r="C6044" s="27"/>
      <c r="D6044" s="27"/>
      <c r="E6044" s="30"/>
    </row>
    <row r="6045">
      <c r="A6045" s="27"/>
      <c r="B6045" s="28"/>
      <c r="C6045" s="27"/>
      <c r="D6045" s="27"/>
      <c r="E6045" s="30"/>
    </row>
    <row r="6046">
      <c r="A6046" s="27"/>
      <c r="B6046" s="28"/>
      <c r="C6046" s="27"/>
      <c r="D6046" s="27"/>
      <c r="E6046" s="30"/>
    </row>
    <row r="6047">
      <c r="A6047" s="27"/>
      <c r="B6047" s="28"/>
      <c r="C6047" s="27"/>
      <c r="D6047" s="27"/>
      <c r="E6047" s="30"/>
    </row>
    <row r="6048">
      <c r="A6048" s="27"/>
      <c r="B6048" s="28"/>
      <c r="C6048" s="27"/>
      <c r="D6048" s="27"/>
      <c r="E6048" s="30"/>
    </row>
    <row r="6049">
      <c r="A6049" s="27"/>
      <c r="B6049" s="28"/>
      <c r="C6049" s="27"/>
      <c r="D6049" s="27"/>
      <c r="E6049" s="30"/>
    </row>
    <row r="6050">
      <c r="A6050" s="27"/>
      <c r="B6050" s="28"/>
      <c r="C6050" s="27"/>
      <c r="D6050" s="27"/>
      <c r="E6050" s="30"/>
    </row>
    <row r="6051">
      <c r="A6051" s="27"/>
      <c r="B6051" s="28"/>
      <c r="C6051" s="27"/>
      <c r="D6051" s="27"/>
      <c r="E6051" s="30"/>
    </row>
    <row r="6052">
      <c r="A6052" s="27"/>
      <c r="B6052" s="28"/>
      <c r="C6052" s="27"/>
      <c r="D6052" s="27"/>
      <c r="E6052" s="30"/>
    </row>
    <row r="6053">
      <c r="A6053" s="27"/>
      <c r="B6053" s="28"/>
      <c r="C6053" s="27"/>
      <c r="D6053" s="27"/>
      <c r="E6053" s="30"/>
    </row>
    <row r="6054">
      <c r="A6054" s="27"/>
      <c r="B6054" s="28"/>
      <c r="C6054" s="27"/>
      <c r="D6054" s="27"/>
      <c r="E6054" s="30"/>
    </row>
    <row r="6055">
      <c r="A6055" s="27"/>
      <c r="B6055" s="28"/>
      <c r="C6055" s="27"/>
      <c r="D6055" s="27"/>
      <c r="E6055" s="30"/>
    </row>
    <row r="6056">
      <c r="A6056" s="27"/>
      <c r="B6056" s="28"/>
      <c r="C6056" s="27"/>
      <c r="D6056" s="27"/>
      <c r="E6056" s="30"/>
    </row>
    <row r="6057">
      <c r="A6057" s="27"/>
      <c r="B6057" s="28"/>
      <c r="C6057" s="27"/>
      <c r="D6057" s="27"/>
      <c r="E6057" s="30"/>
    </row>
    <row r="6058">
      <c r="A6058" s="27"/>
      <c r="B6058" s="28"/>
      <c r="C6058" s="27"/>
      <c r="D6058" s="27"/>
      <c r="E6058" s="30"/>
    </row>
    <row r="6059">
      <c r="A6059" s="27"/>
      <c r="B6059" s="28"/>
      <c r="C6059" s="27"/>
      <c r="D6059" s="27"/>
      <c r="E6059" s="30"/>
    </row>
    <row r="6060">
      <c r="A6060" s="27"/>
      <c r="B6060" s="28"/>
      <c r="C6060" s="27"/>
      <c r="D6060" s="27"/>
      <c r="E6060" s="30"/>
    </row>
    <row r="6061">
      <c r="A6061" s="27"/>
      <c r="B6061" s="28"/>
      <c r="C6061" s="27"/>
      <c r="D6061" s="27"/>
      <c r="E6061" s="30"/>
    </row>
    <row r="6062">
      <c r="A6062" s="27"/>
      <c r="B6062" s="28"/>
      <c r="C6062" s="27"/>
      <c r="D6062" s="27"/>
      <c r="E6062" s="30"/>
    </row>
    <row r="6063">
      <c r="A6063" s="27"/>
      <c r="B6063" s="28"/>
      <c r="C6063" s="27"/>
      <c r="D6063" s="27"/>
      <c r="E6063" s="30"/>
    </row>
    <row r="6064">
      <c r="A6064" s="27"/>
      <c r="B6064" s="28"/>
      <c r="C6064" s="27"/>
      <c r="D6064" s="27"/>
      <c r="E6064" s="30"/>
    </row>
    <row r="6065">
      <c r="A6065" s="27"/>
      <c r="B6065" s="28"/>
      <c r="C6065" s="27"/>
      <c r="D6065" s="27"/>
      <c r="E6065" s="30"/>
    </row>
    <row r="6066">
      <c r="A6066" s="27"/>
      <c r="B6066" s="28"/>
      <c r="C6066" s="27"/>
      <c r="D6066" s="27"/>
      <c r="E6066" s="30"/>
    </row>
    <row r="6067">
      <c r="A6067" s="27"/>
      <c r="B6067" s="28"/>
      <c r="C6067" s="27"/>
      <c r="D6067" s="27"/>
      <c r="E6067" s="30"/>
    </row>
    <row r="6068">
      <c r="A6068" s="27"/>
      <c r="B6068" s="28"/>
      <c r="C6068" s="27"/>
      <c r="D6068" s="27"/>
      <c r="E6068" s="30"/>
    </row>
    <row r="6069">
      <c r="A6069" s="27"/>
      <c r="B6069" s="28"/>
      <c r="C6069" s="27"/>
      <c r="D6069" s="27"/>
      <c r="E6069" s="30"/>
    </row>
    <row r="6070">
      <c r="A6070" s="27"/>
      <c r="B6070" s="28"/>
      <c r="C6070" s="27"/>
      <c r="D6070" s="27"/>
      <c r="E6070" s="30"/>
    </row>
    <row r="6071">
      <c r="A6071" s="27"/>
      <c r="B6071" s="28"/>
      <c r="C6071" s="27"/>
      <c r="D6071" s="27"/>
      <c r="E6071" s="30"/>
    </row>
    <row r="6072">
      <c r="A6072" s="27"/>
      <c r="B6072" s="28"/>
      <c r="C6072" s="27"/>
      <c r="D6072" s="27"/>
      <c r="E6072" s="30"/>
    </row>
    <row r="6073">
      <c r="A6073" s="27"/>
      <c r="B6073" s="28"/>
      <c r="C6073" s="27"/>
      <c r="D6073" s="27"/>
      <c r="E6073" s="30"/>
    </row>
    <row r="6074">
      <c r="A6074" s="27"/>
      <c r="B6074" s="28"/>
      <c r="C6074" s="27"/>
      <c r="D6074" s="27"/>
      <c r="E6074" s="30"/>
    </row>
    <row r="6075">
      <c r="A6075" s="27"/>
      <c r="B6075" s="28"/>
      <c r="C6075" s="27"/>
      <c r="D6075" s="27"/>
      <c r="E6075" s="30"/>
    </row>
    <row r="6076">
      <c r="A6076" s="27"/>
      <c r="B6076" s="28"/>
      <c r="C6076" s="27"/>
      <c r="D6076" s="27"/>
      <c r="E6076" s="30"/>
    </row>
    <row r="6077">
      <c r="A6077" s="27"/>
      <c r="B6077" s="28"/>
      <c r="C6077" s="27"/>
      <c r="D6077" s="27"/>
      <c r="E6077" s="30"/>
    </row>
    <row r="6078">
      <c r="A6078" s="27"/>
      <c r="B6078" s="28"/>
      <c r="C6078" s="27"/>
      <c r="D6078" s="27"/>
      <c r="E6078" s="30"/>
    </row>
    <row r="6079">
      <c r="A6079" s="27"/>
      <c r="B6079" s="28"/>
      <c r="C6079" s="27"/>
      <c r="D6079" s="27"/>
      <c r="E6079" s="30"/>
    </row>
    <row r="6080">
      <c r="A6080" s="27"/>
      <c r="B6080" s="28"/>
      <c r="C6080" s="27"/>
      <c r="D6080" s="27"/>
      <c r="E6080" s="30"/>
    </row>
    <row r="6081">
      <c r="A6081" s="27"/>
      <c r="B6081" s="28"/>
      <c r="C6081" s="27"/>
      <c r="D6081" s="27"/>
      <c r="E6081" s="30"/>
    </row>
    <row r="6082">
      <c r="A6082" s="27"/>
      <c r="B6082" s="28"/>
      <c r="C6082" s="27"/>
      <c r="D6082" s="27"/>
      <c r="E6082" s="30"/>
    </row>
    <row r="6083">
      <c r="A6083" s="27"/>
      <c r="B6083" s="28"/>
      <c r="C6083" s="27"/>
      <c r="D6083" s="27"/>
      <c r="E6083" s="30"/>
    </row>
    <row r="6084">
      <c r="A6084" s="27"/>
      <c r="B6084" s="28"/>
      <c r="C6084" s="27"/>
      <c r="D6084" s="27"/>
      <c r="E6084" s="30"/>
    </row>
    <row r="6085">
      <c r="A6085" s="27"/>
      <c r="B6085" s="28"/>
      <c r="C6085" s="27"/>
      <c r="D6085" s="27"/>
      <c r="E6085" s="30"/>
    </row>
    <row r="6086">
      <c r="A6086" s="27"/>
      <c r="B6086" s="28"/>
      <c r="C6086" s="27"/>
      <c r="D6086" s="27"/>
      <c r="E6086" s="30"/>
    </row>
    <row r="6087">
      <c r="A6087" s="27"/>
      <c r="B6087" s="28"/>
      <c r="C6087" s="27"/>
      <c r="D6087" s="27"/>
      <c r="E6087" s="30"/>
    </row>
    <row r="6088">
      <c r="A6088" s="27"/>
      <c r="B6088" s="28"/>
      <c r="C6088" s="27"/>
      <c r="D6088" s="27"/>
      <c r="E6088" s="30"/>
    </row>
    <row r="6089">
      <c r="A6089" s="27"/>
      <c r="B6089" s="28"/>
      <c r="C6089" s="27"/>
      <c r="D6089" s="27"/>
      <c r="E6089" s="30"/>
    </row>
    <row r="6090">
      <c r="A6090" s="27"/>
      <c r="B6090" s="28"/>
      <c r="C6090" s="27"/>
      <c r="D6090" s="27"/>
      <c r="E6090" s="30"/>
    </row>
    <row r="6091">
      <c r="A6091" s="27"/>
      <c r="B6091" s="28"/>
      <c r="C6091" s="27"/>
      <c r="D6091" s="27"/>
      <c r="E6091" s="30"/>
    </row>
    <row r="6092">
      <c r="A6092" s="27"/>
      <c r="B6092" s="28"/>
      <c r="C6092" s="27"/>
      <c r="D6092" s="27"/>
      <c r="E6092" s="30"/>
    </row>
    <row r="6093">
      <c r="A6093" s="27"/>
      <c r="B6093" s="28"/>
      <c r="C6093" s="27"/>
      <c r="D6093" s="27"/>
      <c r="E6093" s="30"/>
    </row>
    <row r="6094">
      <c r="A6094" s="27"/>
      <c r="B6094" s="28"/>
      <c r="C6094" s="27"/>
      <c r="D6094" s="27"/>
      <c r="E6094" s="30"/>
    </row>
    <row r="6095">
      <c r="A6095" s="27"/>
      <c r="B6095" s="28"/>
      <c r="C6095" s="27"/>
      <c r="D6095" s="27"/>
      <c r="E6095" s="30"/>
    </row>
    <row r="6096">
      <c r="A6096" s="27"/>
      <c r="B6096" s="28"/>
      <c r="C6096" s="27"/>
      <c r="D6096" s="27"/>
      <c r="E6096" s="30"/>
    </row>
    <row r="6097">
      <c r="A6097" s="27"/>
      <c r="B6097" s="28"/>
      <c r="C6097" s="27"/>
      <c r="D6097" s="27"/>
      <c r="E6097" s="30"/>
    </row>
    <row r="6098">
      <c r="A6098" s="27"/>
      <c r="B6098" s="28"/>
      <c r="C6098" s="27"/>
      <c r="D6098" s="27"/>
      <c r="E6098" s="30"/>
    </row>
    <row r="6099">
      <c r="A6099" s="27"/>
      <c r="B6099" s="28"/>
      <c r="C6099" s="27"/>
      <c r="D6099" s="27"/>
      <c r="E6099" s="30"/>
    </row>
    <row r="6100">
      <c r="A6100" s="27"/>
      <c r="B6100" s="28"/>
      <c r="C6100" s="27"/>
      <c r="D6100" s="27"/>
      <c r="E6100" s="30"/>
    </row>
    <row r="6101">
      <c r="A6101" s="27"/>
      <c r="B6101" s="28"/>
      <c r="C6101" s="27"/>
      <c r="D6101" s="27"/>
      <c r="E6101" s="30"/>
    </row>
    <row r="6102">
      <c r="A6102" s="27"/>
      <c r="B6102" s="28"/>
      <c r="C6102" s="27"/>
      <c r="D6102" s="27"/>
      <c r="E6102" s="30"/>
    </row>
    <row r="6103">
      <c r="A6103" s="27"/>
      <c r="B6103" s="28"/>
      <c r="C6103" s="27"/>
      <c r="D6103" s="27"/>
      <c r="E6103" s="30"/>
    </row>
    <row r="6104">
      <c r="A6104" s="27"/>
      <c r="B6104" s="28"/>
      <c r="C6104" s="27"/>
      <c r="D6104" s="27"/>
      <c r="E6104" s="30"/>
    </row>
    <row r="6105">
      <c r="A6105" s="27"/>
      <c r="B6105" s="28"/>
      <c r="C6105" s="27"/>
      <c r="D6105" s="27"/>
      <c r="E6105" s="30"/>
    </row>
    <row r="6106">
      <c r="A6106" s="27"/>
      <c r="B6106" s="28"/>
      <c r="C6106" s="27"/>
      <c r="D6106" s="27"/>
      <c r="E6106" s="30"/>
    </row>
    <row r="6107">
      <c r="A6107" s="27"/>
      <c r="B6107" s="28"/>
      <c r="C6107" s="27"/>
      <c r="D6107" s="27"/>
      <c r="E6107" s="30"/>
    </row>
    <row r="6108">
      <c r="A6108" s="27"/>
      <c r="B6108" s="28"/>
      <c r="C6108" s="27"/>
      <c r="D6108" s="27"/>
      <c r="E6108" s="30"/>
    </row>
    <row r="6109">
      <c r="A6109" s="27"/>
      <c r="B6109" s="28"/>
      <c r="C6109" s="27"/>
      <c r="D6109" s="27"/>
      <c r="E6109" s="30"/>
    </row>
    <row r="6110">
      <c r="A6110" s="27"/>
      <c r="B6110" s="28"/>
      <c r="C6110" s="27"/>
      <c r="D6110" s="27"/>
      <c r="E6110" s="30"/>
    </row>
    <row r="6111">
      <c r="A6111" s="27"/>
      <c r="B6111" s="28"/>
      <c r="C6111" s="27"/>
      <c r="D6111" s="27"/>
      <c r="E6111" s="30"/>
    </row>
    <row r="6112">
      <c r="A6112" s="27"/>
      <c r="B6112" s="28"/>
      <c r="C6112" s="27"/>
      <c r="D6112" s="27"/>
      <c r="E6112" s="30"/>
    </row>
    <row r="6113">
      <c r="A6113" s="27"/>
      <c r="B6113" s="28"/>
      <c r="C6113" s="27"/>
      <c r="D6113" s="27"/>
      <c r="E6113" s="30"/>
    </row>
    <row r="6114">
      <c r="A6114" s="27"/>
      <c r="B6114" s="28"/>
      <c r="C6114" s="27"/>
      <c r="D6114" s="27"/>
      <c r="E6114" s="30"/>
    </row>
    <row r="6115">
      <c r="A6115" s="27"/>
      <c r="B6115" s="28"/>
      <c r="C6115" s="27"/>
      <c r="D6115" s="27"/>
      <c r="E6115" s="30"/>
    </row>
    <row r="6116">
      <c r="A6116" s="27"/>
      <c r="B6116" s="28"/>
      <c r="C6116" s="27"/>
      <c r="D6116" s="27"/>
      <c r="E6116" s="30"/>
    </row>
    <row r="6117">
      <c r="A6117" s="27"/>
      <c r="B6117" s="28"/>
      <c r="C6117" s="27"/>
      <c r="D6117" s="27"/>
      <c r="E6117" s="30"/>
    </row>
    <row r="6118">
      <c r="A6118" s="27"/>
      <c r="B6118" s="28"/>
      <c r="C6118" s="27"/>
      <c r="D6118" s="27"/>
      <c r="E6118" s="30"/>
    </row>
    <row r="6119">
      <c r="A6119" s="27"/>
      <c r="B6119" s="28"/>
      <c r="C6119" s="27"/>
      <c r="D6119" s="27"/>
      <c r="E6119" s="30"/>
    </row>
    <row r="6120">
      <c r="A6120" s="27"/>
      <c r="B6120" s="28"/>
      <c r="C6120" s="27"/>
      <c r="D6120" s="27"/>
      <c r="E6120" s="30"/>
    </row>
    <row r="6121">
      <c r="A6121" s="27"/>
      <c r="B6121" s="28"/>
      <c r="C6121" s="27"/>
      <c r="D6121" s="27"/>
      <c r="E6121" s="30"/>
    </row>
    <row r="6122">
      <c r="A6122" s="27"/>
      <c r="B6122" s="28"/>
      <c r="C6122" s="27"/>
      <c r="D6122" s="27"/>
      <c r="E6122" s="30"/>
    </row>
    <row r="6123">
      <c r="A6123" s="27"/>
      <c r="B6123" s="28"/>
      <c r="C6123" s="27"/>
      <c r="D6123" s="27"/>
      <c r="E6123" s="30"/>
    </row>
    <row r="6124">
      <c r="A6124" s="27"/>
      <c r="B6124" s="28"/>
      <c r="C6124" s="27"/>
      <c r="D6124" s="27"/>
      <c r="E6124" s="30"/>
    </row>
    <row r="6125">
      <c r="A6125" s="27"/>
      <c r="B6125" s="28"/>
      <c r="C6125" s="27"/>
      <c r="D6125" s="27"/>
      <c r="E6125" s="30"/>
    </row>
    <row r="6126">
      <c r="A6126" s="27"/>
      <c r="B6126" s="28"/>
      <c r="C6126" s="27"/>
      <c r="D6126" s="27"/>
      <c r="E6126" s="30"/>
    </row>
    <row r="6127">
      <c r="A6127" s="27"/>
      <c r="B6127" s="28"/>
      <c r="C6127" s="27"/>
      <c r="D6127" s="27"/>
      <c r="E6127" s="30"/>
    </row>
    <row r="6128">
      <c r="A6128" s="27"/>
      <c r="B6128" s="28"/>
      <c r="C6128" s="27"/>
      <c r="D6128" s="27"/>
      <c r="E6128" s="30"/>
    </row>
    <row r="6129">
      <c r="A6129" s="27"/>
      <c r="B6129" s="28"/>
      <c r="C6129" s="27"/>
      <c r="D6129" s="27"/>
      <c r="E6129" s="30"/>
    </row>
    <row r="6130">
      <c r="A6130" s="27"/>
      <c r="B6130" s="28"/>
      <c r="C6130" s="27"/>
      <c r="D6130" s="27"/>
      <c r="E6130" s="30"/>
    </row>
    <row r="6131">
      <c r="A6131" s="27"/>
      <c r="B6131" s="28"/>
      <c r="C6131" s="27"/>
      <c r="D6131" s="27"/>
      <c r="E6131" s="30"/>
    </row>
    <row r="6132">
      <c r="A6132" s="27"/>
      <c r="B6132" s="28"/>
      <c r="C6132" s="27"/>
      <c r="D6132" s="27"/>
      <c r="E6132" s="30"/>
    </row>
    <row r="6133">
      <c r="A6133" s="27"/>
      <c r="B6133" s="28"/>
      <c r="C6133" s="27"/>
      <c r="D6133" s="27"/>
      <c r="E6133" s="30"/>
    </row>
    <row r="6134">
      <c r="A6134" s="27"/>
      <c r="B6134" s="28"/>
      <c r="C6134" s="27"/>
      <c r="D6134" s="27"/>
      <c r="E6134" s="30"/>
    </row>
    <row r="6135">
      <c r="A6135" s="27"/>
      <c r="B6135" s="28"/>
      <c r="C6135" s="27"/>
      <c r="D6135" s="27"/>
      <c r="E6135" s="30"/>
    </row>
    <row r="6136">
      <c r="A6136" s="27"/>
      <c r="B6136" s="28"/>
      <c r="C6136" s="27"/>
      <c r="D6136" s="27"/>
      <c r="E6136" s="30"/>
    </row>
    <row r="6137">
      <c r="A6137" s="27"/>
      <c r="B6137" s="28"/>
      <c r="C6137" s="27"/>
      <c r="D6137" s="27"/>
      <c r="E6137" s="30"/>
    </row>
    <row r="6138">
      <c r="A6138" s="27"/>
      <c r="B6138" s="28"/>
      <c r="C6138" s="27"/>
      <c r="D6138" s="27"/>
      <c r="E6138" s="30"/>
    </row>
    <row r="6139">
      <c r="A6139" s="27"/>
      <c r="B6139" s="28"/>
      <c r="C6139" s="27"/>
      <c r="D6139" s="27"/>
      <c r="E6139" s="30"/>
    </row>
    <row r="6140">
      <c r="A6140" s="27"/>
      <c r="B6140" s="28"/>
      <c r="C6140" s="27"/>
      <c r="D6140" s="27"/>
      <c r="E6140" s="30"/>
    </row>
    <row r="6141">
      <c r="A6141" s="27"/>
      <c r="B6141" s="28"/>
      <c r="C6141" s="27"/>
      <c r="D6141" s="27"/>
      <c r="E6141" s="30"/>
    </row>
    <row r="6142">
      <c r="A6142" s="27"/>
      <c r="B6142" s="28"/>
      <c r="C6142" s="27"/>
      <c r="D6142" s="27"/>
      <c r="E6142" s="30"/>
    </row>
    <row r="6143">
      <c r="A6143" s="27"/>
      <c r="B6143" s="28"/>
      <c r="C6143" s="27"/>
      <c r="D6143" s="27"/>
      <c r="E6143" s="30"/>
    </row>
    <row r="6144">
      <c r="A6144" s="27"/>
      <c r="B6144" s="28"/>
      <c r="C6144" s="27"/>
      <c r="D6144" s="27"/>
      <c r="E6144" s="30"/>
    </row>
    <row r="6145">
      <c r="A6145" s="27"/>
      <c r="B6145" s="28"/>
      <c r="C6145" s="27"/>
      <c r="D6145" s="27"/>
      <c r="E6145" s="30"/>
    </row>
    <row r="6146">
      <c r="A6146" s="27"/>
      <c r="B6146" s="28"/>
      <c r="C6146" s="27"/>
      <c r="D6146" s="27"/>
      <c r="E6146" s="30"/>
    </row>
    <row r="6147">
      <c r="A6147" s="27"/>
      <c r="B6147" s="28"/>
      <c r="C6147" s="27"/>
      <c r="D6147" s="27"/>
      <c r="E6147" s="30"/>
    </row>
    <row r="6148">
      <c r="A6148" s="27"/>
      <c r="B6148" s="28"/>
      <c r="C6148" s="27"/>
      <c r="D6148" s="27"/>
      <c r="E6148" s="30"/>
    </row>
    <row r="6149">
      <c r="A6149" s="27"/>
      <c r="B6149" s="28"/>
      <c r="C6149" s="27"/>
      <c r="D6149" s="27"/>
      <c r="E6149" s="30"/>
    </row>
    <row r="6150">
      <c r="A6150" s="27"/>
      <c r="B6150" s="28"/>
      <c r="C6150" s="27"/>
      <c r="D6150" s="27"/>
      <c r="E6150" s="30"/>
    </row>
    <row r="6151">
      <c r="A6151" s="27"/>
      <c r="B6151" s="28"/>
      <c r="C6151" s="27"/>
      <c r="D6151" s="27"/>
      <c r="E6151" s="30"/>
    </row>
    <row r="6152">
      <c r="A6152" s="27"/>
      <c r="B6152" s="28"/>
      <c r="C6152" s="27"/>
      <c r="D6152" s="27"/>
      <c r="E6152" s="30"/>
    </row>
    <row r="6153">
      <c r="A6153" s="27"/>
      <c r="B6153" s="28"/>
      <c r="C6153" s="27"/>
      <c r="D6153" s="27"/>
      <c r="E6153" s="30"/>
    </row>
    <row r="6154">
      <c r="A6154" s="27"/>
      <c r="B6154" s="28"/>
      <c r="C6154" s="27"/>
      <c r="D6154" s="27"/>
      <c r="E6154" s="30"/>
    </row>
    <row r="6155">
      <c r="A6155" s="27"/>
      <c r="B6155" s="28"/>
      <c r="C6155" s="27"/>
      <c r="D6155" s="27"/>
      <c r="E6155" s="30"/>
    </row>
    <row r="6156">
      <c r="A6156" s="27"/>
      <c r="B6156" s="28"/>
      <c r="C6156" s="27"/>
      <c r="D6156" s="27"/>
      <c r="E6156" s="30"/>
    </row>
    <row r="6157">
      <c r="A6157" s="27"/>
      <c r="B6157" s="28"/>
      <c r="C6157" s="27"/>
      <c r="D6157" s="27"/>
      <c r="E6157" s="30"/>
    </row>
    <row r="6158">
      <c r="A6158" s="27"/>
      <c r="B6158" s="28"/>
      <c r="C6158" s="27"/>
      <c r="D6158" s="27"/>
      <c r="E6158" s="30"/>
    </row>
    <row r="6159">
      <c r="A6159" s="27"/>
      <c r="B6159" s="28"/>
      <c r="C6159" s="27"/>
      <c r="D6159" s="27"/>
      <c r="E6159" s="30"/>
    </row>
    <row r="6160">
      <c r="A6160" s="27"/>
      <c r="B6160" s="28"/>
      <c r="C6160" s="27"/>
      <c r="D6160" s="27"/>
      <c r="E6160" s="30"/>
    </row>
    <row r="6161">
      <c r="A6161" s="27"/>
      <c r="B6161" s="28"/>
      <c r="C6161" s="27"/>
      <c r="D6161" s="27"/>
      <c r="E6161" s="30"/>
    </row>
    <row r="6162">
      <c r="A6162" s="27"/>
      <c r="B6162" s="28"/>
      <c r="C6162" s="27"/>
      <c r="D6162" s="27"/>
      <c r="E6162" s="30"/>
    </row>
    <row r="6163">
      <c r="A6163" s="27"/>
      <c r="B6163" s="28"/>
      <c r="C6163" s="27"/>
      <c r="D6163" s="27"/>
      <c r="E6163" s="30"/>
    </row>
    <row r="6164">
      <c r="A6164" s="27"/>
      <c r="B6164" s="28"/>
      <c r="C6164" s="27"/>
      <c r="D6164" s="27"/>
      <c r="E6164" s="30"/>
    </row>
    <row r="6165">
      <c r="A6165" s="27"/>
      <c r="B6165" s="28"/>
      <c r="C6165" s="27"/>
      <c r="D6165" s="27"/>
      <c r="E6165" s="30"/>
    </row>
    <row r="6166">
      <c r="A6166" s="27"/>
      <c r="B6166" s="28"/>
      <c r="C6166" s="27"/>
      <c r="D6166" s="27"/>
      <c r="E6166" s="30"/>
    </row>
    <row r="6167">
      <c r="A6167" s="27"/>
      <c r="B6167" s="28"/>
      <c r="C6167" s="27"/>
      <c r="D6167" s="27"/>
      <c r="E6167" s="30"/>
    </row>
    <row r="6168">
      <c r="A6168" s="27"/>
      <c r="B6168" s="28"/>
      <c r="C6168" s="27"/>
      <c r="D6168" s="27"/>
      <c r="E6168" s="30"/>
    </row>
    <row r="6169">
      <c r="A6169" s="27"/>
      <c r="B6169" s="28"/>
      <c r="C6169" s="27"/>
      <c r="D6169" s="27"/>
      <c r="E6169" s="30"/>
    </row>
    <row r="6170">
      <c r="A6170" s="27"/>
      <c r="B6170" s="28"/>
      <c r="C6170" s="27"/>
      <c r="D6170" s="27"/>
      <c r="E6170" s="30"/>
    </row>
    <row r="6171">
      <c r="A6171" s="27"/>
      <c r="B6171" s="28"/>
      <c r="C6171" s="27"/>
      <c r="D6171" s="27"/>
      <c r="E6171" s="30"/>
    </row>
    <row r="6172">
      <c r="A6172" s="27"/>
      <c r="B6172" s="28"/>
      <c r="C6172" s="27"/>
      <c r="D6172" s="27"/>
      <c r="E6172" s="30"/>
    </row>
    <row r="6173">
      <c r="A6173" s="27"/>
      <c r="B6173" s="28"/>
      <c r="C6173" s="27"/>
      <c r="D6173" s="27"/>
      <c r="E6173" s="30"/>
    </row>
    <row r="6174">
      <c r="A6174" s="27"/>
      <c r="B6174" s="28"/>
      <c r="C6174" s="27"/>
      <c r="D6174" s="27"/>
      <c r="E6174" s="30"/>
    </row>
    <row r="6175">
      <c r="A6175" s="27"/>
      <c r="B6175" s="28"/>
      <c r="C6175" s="27"/>
      <c r="D6175" s="27"/>
      <c r="E6175" s="30"/>
    </row>
    <row r="6176">
      <c r="A6176" s="27"/>
      <c r="B6176" s="28"/>
      <c r="C6176" s="27"/>
      <c r="D6176" s="27"/>
      <c r="E6176" s="30"/>
    </row>
    <row r="6177">
      <c r="A6177" s="27"/>
      <c r="B6177" s="28"/>
      <c r="C6177" s="27"/>
      <c r="D6177" s="27"/>
      <c r="E6177" s="30"/>
    </row>
    <row r="6178">
      <c r="A6178" s="27"/>
      <c r="B6178" s="28"/>
      <c r="C6178" s="27"/>
      <c r="D6178" s="27"/>
      <c r="E6178" s="30"/>
    </row>
    <row r="6179">
      <c r="A6179" s="27"/>
      <c r="B6179" s="28"/>
      <c r="C6179" s="27"/>
      <c r="D6179" s="27"/>
      <c r="E6179" s="30"/>
    </row>
    <row r="6180">
      <c r="A6180" s="27"/>
      <c r="B6180" s="28"/>
      <c r="C6180" s="27"/>
      <c r="D6180" s="27"/>
      <c r="E6180" s="30"/>
    </row>
    <row r="6181">
      <c r="A6181" s="27"/>
      <c r="B6181" s="28"/>
      <c r="C6181" s="27"/>
      <c r="D6181" s="27"/>
      <c r="E6181" s="30"/>
    </row>
    <row r="6182">
      <c r="A6182" s="27"/>
      <c r="B6182" s="28"/>
      <c r="C6182" s="27"/>
      <c r="D6182" s="27"/>
      <c r="E6182" s="30"/>
    </row>
    <row r="6183">
      <c r="A6183" s="27"/>
      <c r="B6183" s="28"/>
      <c r="C6183" s="27"/>
      <c r="D6183" s="27"/>
      <c r="E6183" s="30"/>
    </row>
    <row r="6184">
      <c r="A6184" s="27"/>
      <c r="B6184" s="28"/>
      <c r="C6184" s="27"/>
      <c r="D6184" s="27"/>
      <c r="E6184" s="30"/>
    </row>
    <row r="6185">
      <c r="A6185" s="27"/>
      <c r="B6185" s="28"/>
      <c r="C6185" s="27"/>
      <c r="D6185" s="27"/>
      <c r="E6185" s="30"/>
    </row>
    <row r="6186">
      <c r="A6186" s="27"/>
      <c r="B6186" s="28"/>
      <c r="C6186" s="27"/>
      <c r="D6186" s="27"/>
      <c r="E6186" s="30"/>
    </row>
    <row r="6187">
      <c r="A6187" s="27"/>
      <c r="B6187" s="28"/>
      <c r="C6187" s="27"/>
      <c r="D6187" s="27"/>
      <c r="E6187" s="30"/>
    </row>
    <row r="6188">
      <c r="A6188" s="27"/>
      <c r="B6188" s="28"/>
      <c r="C6188" s="27"/>
      <c r="D6188" s="27"/>
      <c r="E6188" s="30"/>
    </row>
    <row r="6189">
      <c r="A6189" s="27"/>
      <c r="B6189" s="28"/>
      <c r="C6189" s="27"/>
      <c r="D6189" s="27"/>
      <c r="E6189" s="30"/>
    </row>
    <row r="6190">
      <c r="A6190" s="27"/>
      <c r="B6190" s="28"/>
      <c r="C6190" s="27"/>
      <c r="D6190" s="27"/>
      <c r="E6190" s="30"/>
    </row>
    <row r="6191">
      <c r="A6191" s="27"/>
      <c r="B6191" s="28"/>
      <c r="C6191" s="27"/>
      <c r="D6191" s="27"/>
      <c r="E6191" s="30"/>
    </row>
    <row r="6192">
      <c r="A6192" s="27"/>
      <c r="B6192" s="28"/>
      <c r="C6192" s="27"/>
      <c r="D6192" s="27"/>
      <c r="E6192" s="30"/>
    </row>
    <row r="6193">
      <c r="A6193" s="27"/>
      <c r="B6193" s="28"/>
      <c r="C6193" s="27"/>
      <c r="D6193" s="27"/>
      <c r="E6193" s="30"/>
    </row>
    <row r="6194">
      <c r="A6194" s="27"/>
      <c r="B6194" s="28"/>
      <c r="C6194" s="27"/>
      <c r="D6194" s="27"/>
      <c r="E6194" s="30"/>
    </row>
    <row r="6195">
      <c r="A6195" s="27"/>
      <c r="B6195" s="28"/>
      <c r="C6195" s="27"/>
      <c r="D6195" s="27"/>
      <c r="E6195" s="30"/>
    </row>
    <row r="6196">
      <c r="A6196" s="27"/>
      <c r="B6196" s="28"/>
      <c r="C6196" s="27"/>
      <c r="D6196" s="27"/>
      <c r="E6196" s="30"/>
    </row>
    <row r="6197">
      <c r="A6197" s="27"/>
      <c r="B6197" s="28"/>
      <c r="C6197" s="27"/>
      <c r="D6197" s="27"/>
      <c r="E6197" s="30"/>
    </row>
    <row r="6198">
      <c r="A6198" s="27"/>
      <c r="B6198" s="28"/>
      <c r="C6198" s="27"/>
      <c r="D6198" s="27"/>
      <c r="E6198" s="30"/>
    </row>
    <row r="6199">
      <c r="A6199" s="27"/>
      <c r="B6199" s="28"/>
      <c r="C6199" s="27"/>
      <c r="D6199" s="27"/>
      <c r="E6199" s="30"/>
    </row>
    <row r="6200">
      <c r="A6200" s="27"/>
      <c r="B6200" s="28"/>
      <c r="C6200" s="27"/>
      <c r="D6200" s="27"/>
      <c r="E6200" s="30"/>
    </row>
    <row r="6201">
      <c r="A6201" s="27"/>
      <c r="B6201" s="28"/>
      <c r="C6201" s="27"/>
      <c r="D6201" s="27"/>
      <c r="E6201" s="30"/>
    </row>
    <row r="6202">
      <c r="A6202" s="27"/>
      <c r="B6202" s="28"/>
      <c r="C6202" s="27"/>
      <c r="D6202" s="27"/>
      <c r="E6202" s="30"/>
    </row>
    <row r="6203">
      <c r="A6203" s="27"/>
      <c r="B6203" s="28"/>
      <c r="C6203" s="27"/>
      <c r="D6203" s="27"/>
      <c r="E6203" s="30"/>
    </row>
    <row r="6204">
      <c r="A6204" s="27"/>
      <c r="B6204" s="28"/>
      <c r="C6204" s="27"/>
      <c r="D6204" s="27"/>
      <c r="E6204" s="30"/>
    </row>
    <row r="6205">
      <c r="A6205" s="27"/>
      <c r="B6205" s="28"/>
      <c r="C6205" s="27"/>
      <c r="D6205" s="27"/>
      <c r="E6205" s="30"/>
    </row>
    <row r="6206">
      <c r="A6206" s="27"/>
      <c r="B6206" s="28"/>
      <c r="C6206" s="27"/>
      <c r="D6206" s="27"/>
      <c r="E6206" s="30"/>
    </row>
    <row r="6207">
      <c r="A6207" s="27"/>
      <c r="B6207" s="28"/>
      <c r="C6207" s="27"/>
      <c r="D6207" s="27"/>
      <c r="E6207" s="30"/>
    </row>
    <row r="6208">
      <c r="A6208" s="27"/>
      <c r="B6208" s="28"/>
      <c r="C6208" s="27"/>
      <c r="D6208" s="27"/>
      <c r="E6208" s="30"/>
    </row>
    <row r="6209">
      <c r="A6209" s="27"/>
      <c r="B6209" s="28"/>
      <c r="C6209" s="27"/>
      <c r="D6209" s="27"/>
      <c r="E6209" s="30"/>
    </row>
    <row r="6210">
      <c r="A6210" s="27"/>
      <c r="B6210" s="28"/>
      <c r="C6210" s="27"/>
      <c r="D6210" s="27"/>
      <c r="E6210" s="30"/>
    </row>
    <row r="6211">
      <c r="A6211" s="27"/>
      <c r="B6211" s="28"/>
      <c r="C6211" s="27"/>
      <c r="D6211" s="27"/>
      <c r="E6211" s="30"/>
    </row>
    <row r="6212">
      <c r="A6212" s="27"/>
      <c r="B6212" s="28"/>
      <c r="C6212" s="27"/>
      <c r="D6212" s="27"/>
      <c r="E6212" s="30"/>
    </row>
    <row r="6213">
      <c r="A6213" s="27"/>
      <c r="B6213" s="28"/>
      <c r="C6213" s="27"/>
      <c r="D6213" s="27"/>
      <c r="E6213" s="30"/>
    </row>
    <row r="6214">
      <c r="A6214" s="27"/>
      <c r="B6214" s="28"/>
      <c r="C6214" s="27"/>
      <c r="D6214" s="27"/>
      <c r="E6214" s="30"/>
    </row>
    <row r="6215">
      <c r="A6215" s="27"/>
      <c r="B6215" s="28"/>
      <c r="C6215" s="27"/>
      <c r="D6215" s="27"/>
      <c r="E6215" s="30"/>
    </row>
    <row r="6216">
      <c r="A6216" s="27"/>
      <c r="B6216" s="28"/>
      <c r="C6216" s="27"/>
      <c r="D6216" s="27"/>
      <c r="E6216" s="30"/>
    </row>
    <row r="6217">
      <c r="A6217" s="27"/>
      <c r="B6217" s="28"/>
      <c r="C6217" s="27"/>
      <c r="D6217" s="27"/>
      <c r="E6217" s="30"/>
    </row>
    <row r="6218">
      <c r="A6218" s="27"/>
      <c r="B6218" s="28"/>
      <c r="C6218" s="27"/>
      <c r="D6218" s="27"/>
      <c r="E6218" s="30"/>
    </row>
    <row r="6219">
      <c r="A6219" s="27"/>
      <c r="B6219" s="28"/>
      <c r="C6219" s="27"/>
      <c r="D6219" s="27"/>
      <c r="E6219" s="30"/>
    </row>
    <row r="6220">
      <c r="A6220" s="27"/>
      <c r="B6220" s="28"/>
      <c r="C6220" s="27"/>
      <c r="D6220" s="27"/>
      <c r="E6220" s="30"/>
    </row>
    <row r="6221">
      <c r="A6221" s="27"/>
      <c r="B6221" s="28"/>
      <c r="C6221" s="27"/>
      <c r="D6221" s="27"/>
      <c r="E6221" s="30"/>
    </row>
    <row r="6222">
      <c r="A6222" s="27"/>
      <c r="B6222" s="28"/>
      <c r="C6222" s="27"/>
      <c r="D6222" s="27"/>
      <c r="E6222" s="30"/>
    </row>
    <row r="6223">
      <c r="A6223" s="27"/>
      <c r="B6223" s="28"/>
      <c r="C6223" s="27"/>
      <c r="D6223" s="27"/>
      <c r="E6223" s="30"/>
    </row>
    <row r="6224">
      <c r="A6224" s="27"/>
      <c r="B6224" s="28"/>
      <c r="C6224" s="27"/>
      <c r="D6224" s="27"/>
      <c r="E6224" s="30"/>
    </row>
    <row r="6225">
      <c r="A6225" s="27"/>
      <c r="B6225" s="28"/>
      <c r="C6225" s="27"/>
      <c r="D6225" s="27"/>
      <c r="E6225" s="30"/>
    </row>
    <row r="6226">
      <c r="A6226" s="27"/>
      <c r="B6226" s="28"/>
      <c r="C6226" s="27"/>
      <c r="D6226" s="27"/>
      <c r="E6226" s="30"/>
    </row>
    <row r="6227">
      <c r="A6227" s="27"/>
      <c r="B6227" s="28"/>
      <c r="C6227" s="27"/>
      <c r="D6227" s="27"/>
      <c r="E6227" s="30"/>
    </row>
    <row r="6228">
      <c r="A6228" s="27"/>
      <c r="B6228" s="28"/>
      <c r="C6228" s="27"/>
      <c r="D6228" s="27"/>
      <c r="E6228" s="30"/>
    </row>
    <row r="6229">
      <c r="A6229" s="27"/>
      <c r="B6229" s="28"/>
      <c r="C6229" s="27"/>
      <c r="D6229" s="27"/>
      <c r="E6229" s="30"/>
    </row>
    <row r="6230">
      <c r="A6230" s="27"/>
      <c r="B6230" s="28"/>
      <c r="C6230" s="27"/>
      <c r="D6230" s="27"/>
      <c r="E6230" s="30"/>
    </row>
    <row r="6231">
      <c r="A6231" s="27"/>
      <c r="B6231" s="28"/>
      <c r="C6231" s="27"/>
      <c r="D6231" s="27"/>
      <c r="E6231" s="30"/>
    </row>
    <row r="6232">
      <c r="A6232" s="27"/>
      <c r="B6232" s="28"/>
      <c r="C6232" s="27"/>
      <c r="D6232" s="27"/>
      <c r="E6232" s="30"/>
    </row>
    <row r="6233">
      <c r="A6233" s="27"/>
      <c r="B6233" s="28"/>
      <c r="C6233" s="27"/>
      <c r="D6233" s="27"/>
      <c r="E6233" s="30"/>
    </row>
    <row r="6234">
      <c r="A6234" s="27"/>
      <c r="B6234" s="28"/>
      <c r="C6234" s="27"/>
      <c r="D6234" s="27"/>
      <c r="E6234" s="30"/>
    </row>
    <row r="6235">
      <c r="A6235" s="27"/>
      <c r="B6235" s="28"/>
      <c r="C6235" s="27"/>
      <c r="D6235" s="27"/>
      <c r="E6235" s="30"/>
    </row>
    <row r="6236">
      <c r="A6236" s="27"/>
      <c r="B6236" s="28"/>
      <c r="C6236" s="27"/>
      <c r="D6236" s="27"/>
      <c r="E6236" s="30"/>
    </row>
    <row r="6237">
      <c r="A6237" s="27"/>
      <c r="B6237" s="28"/>
      <c r="C6237" s="27"/>
      <c r="D6237" s="27"/>
      <c r="E6237" s="30"/>
    </row>
    <row r="6238">
      <c r="A6238" s="27"/>
      <c r="B6238" s="28"/>
      <c r="C6238" s="27"/>
      <c r="D6238" s="27"/>
      <c r="E6238" s="30"/>
    </row>
    <row r="6239">
      <c r="A6239" s="27"/>
      <c r="B6239" s="28"/>
      <c r="C6239" s="27"/>
      <c r="D6239" s="27"/>
      <c r="E6239" s="30"/>
    </row>
    <row r="6240">
      <c r="A6240" s="27"/>
      <c r="B6240" s="28"/>
      <c r="C6240" s="27"/>
      <c r="D6240" s="27"/>
      <c r="E6240" s="30"/>
    </row>
    <row r="6241">
      <c r="A6241" s="27"/>
      <c r="B6241" s="28"/>
      <c r="C6241" s="27"/>
      <c r="D6241" s="27"/>
      <c r="E6241" s="30"/>
    </row>
    <row r="6242">
      <c r="A6242" s="27"/>
      <c r="B6242" s="28"/>
      <c r="C6242" s="27"/>
      <c r="D6242" s="27"/>
      <c r="E6242" s="30"/>
    </row>
    <row r="6243">
      <c r="A6243" s="27"/>
      <c r="B6243" s="28"/>
      <c r="C6243" s="27"/>
      <c r="D6243" s="27"/>
      <c r="E6243" s="30"/>
    </row>
    <row r="6244">
      <c r="A6244" s="27"/>
      <c r="B6244" s="28"/>
      <c r="C6244" s="27"/>
      <c r="D6244" s="27"/>
      <c r="E6244" s="30"/>
    </row>
    <row r="6245">
      <c r="A6245" s="27"/>
      <c r="B6245" s="28"/>
      <c r="C6245" s="27"/>
      <c r="D6245" s="27"/>
      <c r="E6245" s="30"/>
    </row>
    <row r="6246">
      <c r="A6246" s="27"/>
      <c r="B6246" s="28"/>
      <c r="C6246" s="27"/>
      <c r="D6246" s="27"/>
      <c r="E6246" s="30"/>
    </row>
    <row r="6247">
      <c r="A6247" s="27"/>
      <c r="B6247" s="28"/>
      <c r="C6247" s="27"/>
      <c r="D6247" s="27"/>
      <c r="E6247" s="30"/>
    </row>
    <row r="6248">
      <c r="A6248" s="27"/>
      <c r="B6248" s="28"/>
      <c r="C6248" s="27"/>
      <c r="D6248" s="27"/>
      <c r="E6248" s="30"/>
    </row>
    <row r="6249">
      <c r="A6249" s="27"/>
      <c r="B6249" s="28"/>
      <c r="C6249" s="27"/>
      <c r="D6249" s="27"/>
      <c r="E6249" s="30"/>
    </row>
    <row r="6250">
      <c r="A6250" s="27"/>
      <c r="B6250" s="28"/>
      <c r="C6250" s="27"/>
      <c r="D6250" s="27"/>
      <c r="E6250" s="30"/>
    </row>
    <row r="6251">
      <c r="A6251" s="27"/>
      <c r="B6251" s="28"/>
      <c r="C6251" s="27"/>
      <c r="D6251" s="27"/>
      <c r="E6251" s="30"/>
    </row>
    <row r="6252">
      <c r="A6252" s="27"/>
      <c r="B6252" s="28"/>
      <c r="C6252" s="27"/>
      <c r="D6252" s="27"/>
      <c r="E6252" s="30"/>
    </row>
    <row r="6253">
      <c r="A6253" s="27"/>
      <c r="B6253" s="28"/>
      <c r="C6253" s="27"/>
      <c r="D6253" s="27"/>
      <c r="E6253" s="30"/>
    </row>
    <row r="6254">
      <c r="A6254" s="27"/>
      <c r="B6254" s="28"/>
      <c r="C6254" s="27"/>
      <c r="D6254" s="27"/>
      <c r="E6254" s="30"/>
    </row>
    <row r="6255">
      <c r="A6255" s="27"/>
      <c r="B6255" s="28"/>
      <c r="C6255" s="27"/>
      <c r="D6255" s="27"/>
      <c r="E6255" s="30"/>
    </row>
    <row r="6256">
      <c r="A6256" s="27"/>
      <c r="B6256" s="28"/>
      <c r="C6256" s="27"/>
      <c r="D6256" s="27"/>
      <c r="E6256" s="30"/>
    </row>
    <row r="6257">
      <c r="A6257" s="27"/>
      <c r="B6257" s="28"/>
      <c r="C6257" s="27"/>
      <c r="D6257" s="27"/>
      <c r="E6257" s="30"/>
    </row>
    <row r="6258">
      <c r="A6258" s="27"/>
      <c r="B6258" s="28"/>
      <c r="C6258" s="27"/>
      <c r="D6258" s="27"/>
      <c r="E6258" s="30"/>
    </row>
    <row r="6259">
      <c r="A6259" s="27"/>
      <c r="B6259" s="28"/>
      <c r="C6259" s="27"/>
      <c r="D6259" s="27"/>
      <c r="E6259" s="30"/>
    </row>
    <row r="6260">
      <c r="A6260" s="27"/>
      <c r="B6260" s="28"/>
      <c r="C6260" s="27"/>
      <c r="D6260" s="27"/>
      <c r="E6260" s="30"/>
    </row>
    <row r="6261">
      <c r="A6261" s="27"/>
      <c r="B6261" s="28"/>
      <c r="C6261" s="27"/>
      <c r="D6261" s="27"/>
      <c r="E6261" s="30"/>
    </row>
    <row r="6262">
      <c r="A6262" s="27"/>
      <c r="B6262" s="28"/>
      <c r="C6262" s="27"/>
      <c r="D6262" s="27"/>
      <c r="E6262" s="30"/>
    </row>
    <row r="6263">
      <c r="A6263" s="27"/>
      <c r="B6263" s="28"/>
      <c r="C6263" s="27"/>
      <c r="D6263" s="27"/>
      <c r="E6263" s="30"/>
    </row>
    <row r="6264">
      <c r="A6264" s="27"/>
      <c r="B6264" s="28"/>
      <c r="C6264" s="27"/>
      <c r="D6264" s="27"/>
      <c r="E6264" s="30"/>
    </row>
    <row r="6265">
      <c r="A6265" s="27"/>
      <c r="B6265" s="28"/>
      <c r="C6265" s="27"/>
      <c r="D6265" s="27"/>
      <c r="E6265" s="30"/>
    </row>
    <row r="6266">
      <c r="A6266" s="27"/>
      <c r="B6266" s="28"/>
      <c r="C6266" s="27"/>
      <c r="D6266" s="27"/>
      <c r="E6266" s="30"/>
    </row>
    <row r="6267">
      <c r="A6267" s="27"/>
      <c r="B6267" s="28"/>
      <c r="C6267" s="27"/>
      <c r="D6267" s="27"/>
      <c r="E6267" s="30"/>
    </row>
    <row r="6268">
      <c r="A6268" s="27"/>
      <c r="B6268" s="28"/>
      <c r="C6268" s="27"/>
      <c r="D6268" s="27"/>
      <c r="E6268" s="30"/>
    </row>
    <row r="6269">
      <c r="A6269" s="27"/>
      <c r="B6269" s="28"/>
      <c r="C6269" s="27"/>
      <c r="D6269" s="27"/>
      <c r="E6269" s="30"/>
    </row>
    <row r="6270">
      <c r="A6270" s="27"/>
      <c r="B6270" s="28"/>
      <c r="C6270" s="27"/>
      <c r="D6270" s="27"/>
      <c r="E6270" s="30"/>
    </row>
    <row r="6271">
      <c r="A6271" s="27"/>
      <c r="B6271" s="28"/>
      <c r="C6271" s="27"/>
      <c r="D6271" s="27"/>
      <c r="E6271" s="30"/>
    </row>
    <row r="6272">
      <c r="A6272" s="27"/>
      <c r="B6272" s="28"/>
      <c r="C6272" s="27"/>
      <c r="D6272" s="27"/>
      <c r="E6272" s="30"/>
    </row>
    <row r="6273">
      <c r="A6273" s="27"/>
      <c r="B6273" s="28"/>
      <c r="C6273" s="27"/>
      <c r="D6273" s="27"/>
      <c r="E6273" s="30"/>
    </row>
    <row r="6274">
      <c r="A6274" s="27"/>
      <c r="B6274" s="28"/>
      <c r="C6274" s="27"/>
      <c r="D6274" s="27"/>
      <c r="E6274" s="30"/>
    </row>
    <row r="6275">
      <c r="A6275" s="27"/>
      <c r="B6275" s="28"/>
      <c r="C6275" s="27"/>
      <c r="D6275" s="27"/>
      <c r="E6275" s="30"/>
    </row>
    <row r="6276">
      <c r="A6276" s="27"/>
      <c r="B6276" s="28"/>
      <c r="C6276" s="27"/>
      <c r="D6276" s="27"/>
      <c r="E6276" s="30"/>
    </row>
    <row r="6277">
      <c r="A6277" s="27"/>
      <c r="B6277" s="28"/>
      <c r="C6277" s="27"/>
      <c r="D6277" s="27"/>
      <c r="E6277" s="30"/>
    </row>
    <row r="6278">
      <c r="A6278" s="27"/>
      <c r="B6278" s="28"/>
      <c r="C6278" s="27"/>
      <c r="D6278" s="27"/>
      <c r="E6278" s="30"/>
    </row>
    <row r="6279">
      <c r="A6279" s="27"/>
      <c r="B6279" s="28"/>
      <c r="C6279" s="27"/>
      <c r="D6279" s="27"/>
      <c r="E6279" s="30"/>
    </row>
    <row r="6280">
      <c r="A6280" s="27"/>
      <c r="B6280" s="28"/>
      <c r="C6280" s="27"/>
      <c r="D6280" s="27"/>
      <c r="E6280" s="30"/>
    </row>
    <row r="6281">
      <c r="A6281" s="27"/>
      <c r="B6281" s="28"/>
      <c r="C6281" s="27"/>
      <c r="D6281" s="27"/>
      <c r="E6281" s="30"/>
    </row>
    <row r="6282">
      <c r="A6282" s="27"/>
      <c r="B6282" s="28"/>
      <c r="C6282" s="27"/>
      <c r="D6282" s="27"/>
      <c r="E6282" s="30"/>
    </row>
    <row r="6283">
      <c r="A6283" s="27"/>
      <c r="B6283" s="28"/>
      <c r="C6283" s="27"/>
      <c r="D6283" s="27"/>
      <c r="E6283" s="30"/>
    </row>
    <row r="6284">
      <c r="A6284" s="27"/>
      <c r="B6284" s="28"/>
      <c r="C6284" s="27"/>
      <c r="D6284" s="27"/>
      <c r="E6284" s="30"/>
    </row>
    <row r="6285">
      <c r="A6285" s="27"/>
      <c r="B6285" s="28"/>
      <c r="C6285" s="27"/>
      <c r="D6285" s="27"/>
      <c r="E6285" s="30"/>
    </row>
    <row r="6286">
      <c r="A6286" s="27"/>
      <c r="B6286" s="28"/>
      <c r="C6286" s="27"/>
      <c r="D6286" s="27"/>
      <c r="E6286" s="30"/>
    </row>
    <row r="6287">
      <c r="A6287" s="27"/>
      <c r="B6287" s="28"/>
      <c r="C6287" s="27"/>
      <c r="D6287" s="27"/>
      <c r="E6287" s="30"/>
    </row>
    <row r="6288">
      <c r="A6288" s="27"/>
      <c r="B6288" s="28"/>
      <c r="C6288" s="27"/>
      <c r="D6288" s="27"/>
      <c r="E6288" s="30"/>
    </row>
    <row r="6289">
      <c r="A6289" s="27"/>
      <c r="B6289" s="28"/>
      <c r="C6289" s="27"/>
      <c r="D6289" s="27"/>
      <c r="E6289" s="30"/>
    </row>
    <row r="6290">
      <c r="A6290" s="27"/>
      <c r="B6290" s="28"/>
      <c r="C6290" s="27"/>
      <c r="D6290" s="27"/>
      <c r="E6290" s="30"/>
    </row>
    <row r="6291">
      <c r="A6291" s="27"/>
      <c r="B6291" s="28"/>
      <c r="C6291" s="27"/>
      <c r="D6291" s="27"/>
      <c r="E6291" s="30"/>
    </row>
    <row r="6292">
      <c r="A6292" s="27"/>
      <c r="B6292" s="28"/>
      <c r="C6292" s="27"/>
      <c r="D6292" s="27"/>
      <c r="E6292" s="30"/>
    </row>
    <row r="6293">
      <c r="A6293" s="27"/>
      <c r="B6293" s="28"/>
      <c r="C6293" s="27"/>
      <c r="D6293" s="27"/>
      <c r="E6293" s="30"/>
    </row>
    <row r="6294">
      <c r="A6294" s="27"/>
      <c r="B6294" s="28"/>
      <c r="C6294" s="27"/>
      <c r="D6294" s="27"/>
      <c r="E6294" s="30"/>
    </row>
    <row r="6295">
      <c r="A6295" s="27"/>
      <c r="B6295" s="28"/>
      <c r="C6295" s="27"/>
      <c r="D6295" s="27"/>
      <c r="E6295" s="30"/>
    </row>
    <row r="6296">
      <c r="A6296" s="27"/>
      <c r="B6296" s="28"/>
      <c r="C6296" s="27"/>
      <c r="D6296" s="27"/>
      <c r="E6296" s="30"/>
    </row>
    <row r="6297">
      <c r="A6297" s="27"/>
      <c r="B6297" s="28"/>
      <c r="C6297" s="27"/>
      <c r="D6297" s="27"/>
      <c r="E6297" s="30"/>
    </row>
    <row r="6298">
      <c r="A6298" s="27"/>
      <c r="B6298" s="28"/>
      <c r="C6298" s="27"/>
      <c r="D6298" s="27"/>
      <c r="E6298" s="30"/>
    </row>
    <row r="6299">
      <c r="A6299" s="27"/>
      <c r="B6299" s="28"/>
      <c r="C6299" s="27"/>
      <c r="D6299" s="27"/>
      <c r="E6299" s="30"/>
    </row>
    <row r="6300">
      <c r="A6300" s="27"/>
      <c r="B6300" s="28"/>
      <c r="C6300" s="27"/>
      <c r="D6300" s="27"/>
      <c r="E6300" s="30"/>
    </row>
    <row r="6301">
      <c r="A6301" s="27"/>
      <c r="B6301" s="28"/>
      <c r="C6301" s="27"/>
      <c r="D6301" s="27"/>
      <c r="E6301" s="30"/>
    </row>
    <row r="6302">
      <c r="A6302" s="27"/>
      <c r="B6302" s="28"/>
      <c r="C6302" s="27"/>
      <c r="D6302" s="27"/>
      <c r="E6302" s="30"/>
    </row>
    <row r="6303">
      <c r="A6303" s="27"/>
      <c r="B6303" s="28"/>
      <c r="C6303" s="27"/>
      <c r="D6303" s="27"/>
      <c r="E6303" s="30"/>
    </row>
    <row r="6304">
      <c r="A6304" s="27"/>
      <c r="B6304" s="28"/>
      <c r="C6304" s="27"/>
      <c r="D6304" s="27"/>
      <c r="E6304" s="30"/>
    </row>
    <row r="6305">
      <c r="A6305" s="27"/>
      <c r="B6305" s="28"/>
      <c r="C6305" s="27"/>
      <c r="D6305" s="27"/>
      <c r="E6305" s="30"/>
    </row>
    <row r="6306">
      <c r="A6306" s="27"/>
      <c r="B6306" s="28"/>
      <c r="C6306" s="27"/>
      <c r="D6306" s="27"/>
      <c r="E6306" s="30"/>
    </row>
    <row r="6307">
      <c r="A6307" s="27"/>
      <c r="B6307" s="28"/>
      <c r="C6307" s="27"/>
      <c r="D6307" s="27"/>
      <c r="E6307" s="30"/>
    </row>
    <row r="6308">
      <c r="A6308" s="27"/>
      <c r="B6308" s="28"/>
      <c r="C6308" s="27"/>
      <c r="D6308" s="27"/>
      <c r="E6308" s="30"/>
    </row>
    <row r="6309">
      <c r="A6309" s="27"/>
      <c r="B6309" s="28"/>
      <c r="C6309" s="27"/>
      <c r="D6309" s="27"/>
      <c r="E6309" s="30"/>
    </row>
    <row r="6310">
      <c r="A6310" s="27"/>
      <c r="B6310" s="28"/>
      <c r="C6310" s="27"/>
      <c r="D6310" s="27"/>
      <c r="E6310" s="30"/>
    </row>
    <row r="6311">
      <c r="A6311" s="27"/>
      <c r="B6311" s="28"/>
      <c r="C6311" s="27"/>
      <c r="D6311" s="27"/>
      <c r="E6311" s="30"/>
    </row>
    <row r="6312">
      <c r="A6312" s="27"/>
      <c r="B6312" s="28"/>
      <c r="C6312" s="27"/>
      <c r="D6312" s="27"/>
      <c r="E6312" s="30"/>
    </row>
    <row r="6313">
      <c r="A6313" s="27"/>
      <c r="B6313" s="28"/>
      <c r="C6313" s="27"/>
      <c r="D6313" s="27"/>
      <c r="E6313" s="30"/>
    </row>
    <row r="6314">
      <c r="A6314" s="27"/>
      <c r="B6314" s="28"/>
      <c r="C6314" s="27"/>
      <c r="D6314" s="27"/>
      <c r="E6314" s="30"/>
    </row>
    <row r="6315">
      <c r="A6315" s="27"/>
      <c r="B6315" s="28"/>
      <c r="C6315" s="27"/>
      <c r="D6315" s="27"/>
      <c r="E6315" s="30"/>
    </row>
    <row r="6316">
      <c r="A6316" s="27"/>
      <c r="B6316" s="28"/>
      <c r="C6316" s="27"/>
      <c r="D6316" s="27"/>
      <c r="E6316" s="30"/>
    </row>
    <row r="6317">
      <c r="A6317" s="27"/>
      <c r="B6317" s="28"/>
      <c r="C6317" s="27"/>
      <c r="D6317" s="27"/>
      <c r="E6317" s="30"/>
    </row>
    <row r="6318">
      <c r="A6318" s="27"/>
      <c r="B6318" s="28"/>
      <c r="C6318" s="27"/>
      <c r="D6318" s="27"/>
      <c r="E6318" s="30"/>
    </row>
    <row r="6319">
      <c r="A6319" s="27"/>
      <c r="B6319" s="28"/>
      <c r="C6319" s="27"/>
      <c r="D6319" s="27"/>
      <c r="E6319" s="30"/>
    </row>
    <row r="6320">
      <c r="A6320" s="27"/>
      <c r="B6320" s="28"/>
      <c r="C6320" s="27"/>
      <c r="D6320" s="27"/>
      <c r="E6320" s="30"/>
    </row>
    <row r="6321">
      <c r="A6321" s="27"/>
      <c r="B6321" s="28"/>
      <c r="C6321" s="27"/>
      <c r="D6321" s="27"/>
      <c r="E6321" s="30"/>
    </row>
    <row r="6322">
      <c r="A6322" s="27"/>
      <c r="B6322" s="28"/>
      <c r="C6322" s="27"/>
      <c r="D6322" s="27"/>
      <c r="E6322" s="30"/>
    </row>
    <row r="6323">
      <c r="A6323" s="27"/>
      <c r="B6323" s="28"/>
      <c r="C6323" s="27"/>
      <c r="D6323" s="27"/>
      <c r="E6323" s="30"/>
    </row>
    <row r="6324">
      <c r="A6324" s="27"/>
      <c r="B6324" s="28"/>
      <c r="C6324" s="27"/>
      <c r="D6324" s="27"/>
      <c r="E6324" s="30"/>
    </row>
    <row r="6325">
      <c r="A6325" s="27"/>
      <c r="B6325" s="28"/>
      <c r="C6325" s="27"/>
      <c r="D6325" s="27"/>
      <c r="E6325" s="30"/>
    </row>
    <row r="6326">
      <c r="A6326" s="27"/>
      <c r="B6326" s="28"/>
      <c r="C6326" s="27"/>
      <c r="D6326" s="27"/>
      <c r="E6326" s="30"/>
    </row>
    <row r="6327">
      <c r="A6327" s="27"/>
      <c r="B6327" s="28"/>
      <c r="C6327" s="27"/>
      <c r="D6327" s="27"/>
      <c r="E6327" s="30"/>
    </row>
    <row r="6328">
      <c r="A6328" s="27"/>
      <c r="B6328" s="28"/>
      <c r="C6328" s="27"/>
      <c r="D6328" s="27"/>
      <c r="E6328" s="30"/>
    </row>
    <row r="6329">
      <c r="A6329" s="27"/>
      <c r="B6329" s="28"/>
      <c r="C6329" s="27"/>
      <c r="D6329" s="27"/>
      <c r="E6329" s="30"/>
    </row>
    <row r="6330">
      <c r="A6330" s="27"/>
      <c r="B6330" s="28"/>
      <c r="C6330" s="27"/>
      <c r="D6330" s="27"/>
      <c r="E6330" s="30"/>
    </row>
    <row r="6331">
      <c r="A6331" s="27"/>
      <c r="B6331" s="28"/>
      <c r="C6331" s="27"/>
      <c r="D6331" s="27"/>
      <c r="E6331" s="30"/>
    </row>
    <row r="6332">
      <c r="A6332" s="27"/>
      <c r="B6332" s="28"/>
      <c r="C6332" s="27"/>
      <c r="D6332" s="27"/>
      <c r="E6332" s="30"/>
    </row>
    <row r="6333">
      <c r="A6333" s="27"/>
      <c r="B6333" s="28"/>
      <c r="C6333" s="27"/>
      <c r="D6333" s="27"/>
      <c r="E6333" s="30"/>
    </row>
    <row r="6334">
      <c r="A6334" s="27"/>
      <c r="B6334" s="28"/>
      <c r="C6334" s="27"/>
      <c r="D6334" s="27"/>
      <c r="E6334" s="30"/>
    </row>
    <row r="6335">
      <c r="A6335" s="27"/>
      <c r="B6335" s="28"/>
      <c r="C6335" s="27"/>
      <c r="D6335" s="27"/>
      <c r="E6335" s="30"/>
    </row>
    <row r="6336">
      <c r="A6336" s="27"/>
      <c r="B6336" s="28"/>
      <c r="C6336" s="27"/>
      <c r="D6336" s="27"/>
      <c r="E6336" s="30"/>
    </row>
    <row r="6337">
      <c r="A6337" s="27"/>
      <c r="B6337" s="28"/>
      <c r="C6337" s="27"/>
      <c r="D6337" s="27"/>
      <c r="E6337" s="30"/>
    </row>
    <row r="6338">
      <c r="A6338" s="27"/>
      <c r="B6338" s="28"/>
      <c r="C6338" s="27"/>
      <c r="D6338" s="27"/>
      <c r="E6338" s="30"/>
    </row>
    <row r="6339">
      <c r="A6339" s="27"/>
      <c r="B6339" s="28"/>
      <c r="C6339" s="27"/>
      <c r="D6339" s="27"/>
      <c r="E6339" s="30"/>
    </row>
    <row r="6340">
      <c r="A6340" s="27"/>
      <c r="B6340" s="28"/>
      <c r="C6340" s="27"/>
      <c r="D6340" s="27"/>
      <c r="E6340" s="30"/>
    </row>
    <row r="6341">
      <c r="A6341" s="27"/>
      <c r="B6341" s="28"/>
      <c r="C6341" s="27"/>
      <c r="D6341" s="27"/>
      <c r="E6341" s="30"/>
    </row>
    <row r="6342">
      <c r="A6342" s="27"/>
      <c r="B6342" s="28"/>
      <c r="C6342" s="27"/>
      <c r="D6342" s="27"/>
      <c r="E6342" s="30"/>
    </row>
    <row r="6343">
      <c r="A6343" s="27"/>
      <c r="B6343" s="28"/>
      <c r="C6343" s="27"/>
      <c r="D6343" s="27"/>
      <c r="E6343" s="30"/>
    </row>
    <row r="6344">
      <c r="A6344" s="27"/>
      <c r="B6344" s="28"/>
      <c r="C6344" s="27"/>
      <c r="D6344" s="27"/>
      <c r="E6344" s="30"/>
    </row>
    <row r="6345">
      <c r="A6345" s="27"/>
      <c r="B6345" s="28"/>
      <c r="C6345" s="27"/>
      <c r="D6345" s="27"/>
      <c r="E6345" s="30"/>
    </row>
    <row r="6346">
      <c r="A6346" s="27"/>
      <c r="B6346" s="28"/>
      <c r="C6346" s="27"/>
      <c r="D6346" s="27"/>
      <c r="E6346" s="30"/>
    </row>
    <row r="6347">
      <c r="A6347" s="27"/>
      <c r="B6347" s="28"/>
      <c r="C6347" s="27"/>
      <c r="D6347" s="27"/>
      <c r="E6347" s="30"/>
    </row>
    <row r="6348">
      <c r="A6348" s="27"/>
      <c r="B6348" s="28"/>
      <c r="C6348" s="27"/>
      <c r="D6348" s="27"/>
      <c r="E6348" s="30"/>
    </row>
    <row r="6349">
      <c r="A6349" s="27"/>
      <c r="B6349" s="28"/>
      <c r="C6349" s="27"/>
      <c r="D6349" s="27"/>
      <c r="E6349" s="30"/>
    </row>
    <row r="6350">
      <c r="A6350" s="27"/>
      <c r="B6350" s="28"/>
      <c r="C6350" s="27"/>
      <c r="D6350" s="27"/>
      <c r="E6350" s="30"/>
    </row>
    <row r="6351">
      <c r="A6351" s="27"/>
      <c r="B6351" s="28"/>
      <c r="C6351" s="27"/>
      <c r="D6351" s="27"/>
      <c r="E6351" s="30"/>
    </row>
    <row r="6352">
      <c r="A6352" s="27"/>
      <c r="B6352" s="28"/>
      <c r="C6352" s="27"/>
      <c r="D6352" s="27"/>
      <c r="E6352" s="30"/>
    </row>
    <row r="6353">
      <c r="A6353" s="27"/>
      <c r="B6353" s="28"/>
      <c r="C6353" s="27"/>
      <c r="D6353" s="27"/>
      <c r="E6353" s="30"/>
    </row>
    <row r="6354">
      <c r="A6354" s="27"/>
      <c r="B6354" s="28"/>
      <c r="C6354" s="27"/>
      <c r="D6354" s="27"/>
      <c r="E6354" s="30"/>
    </row>
    <row r="6355">
      <c r="A6355" s="27"/>
      <c r="B6355" s="28"/>
      <c r="C6355" s="27"/>
      <c r="D6355" s="27"/>
      <c r="E6355" s="30"/>
    </row>
    <row r="6356">
      <c r="A6356" s="27"/>
      <c r="B6356" s="28"/>
      <c r="C6356" s="27"/>
      <c r="D6356" s="27"/>
      <c r="E6356" s="30"/>
    </row>
    <row r="6357">
      <c r="A6357" s="27"/>
      <c r="B6357" s="28"/>
      <c r="C6357" s="27"/>
      <c r="D6357" s="27"/>
      <c r="E6357" s="30"/>
    </row>
    <row r="6358">
      <c r="A6358" s="27"/>
      <c r="B6358" s="28"/>
      <c r="C6358" s="27"/>
      <c r="D6358" s="27"/>
      <c r="E6358" s="30"/>
    </row>
    <row r="6359">
      <c r="A6359" s="27"/>
      <c r="B6359" s="28"/>
      <c r="C6359" s="27"/>
      <c r="D6359" s="27"/>
      <c r="E6359" s="30"/>
    </row>
    <row r="6360">
      <c r="A6360" s="27"/>
      <c r="B6360" s="28"/>
      <c r="C6360" s="27"/>
      <c r="D6360" s="27"/>
      <c r="E6360" s="30"/>
    </row>
    <row r="6361">
      <c r="A6361" s="27"/>
      <c r="B6361" s="28"/>
      <c r="C6361" s="27"/>
      <c r="D6361" s="27"/>
      <c r="E6361" s="30"/>
    </row>
    <row r="6362">
      <c r="A6362" s="27"/>
      <c r="B6362" s="28"/>
      <c r="C6362" s="27"/>
      <c r="D6362" s="27"/>
      <c r="E6362" s="30"/>
    </row>
    <row r="6363">
      <c r="A6363" s="27"/>
      <c r="B6363" s="28"/>
      <c r="C6363" s="27"/>
      <c r="D6363" s="27"/>
      <c r="E6363" s="30"/>
    </row>
    <row r="6364">
      <c r="A6364" s="27"/>
      <c r="B6364" s="28"/>
      <c r="C6364" s="27"/>
      <c r="D6364" s="27"/>
      <c r="E6364" s="30"/>
    </row>
    <row r="6365">
      <c r="A6365" s="27"/>
      <c r="B6365" s="28"/>
      <c r="C6365" s="27"/>
      <c r="D6365" s="27"/>
      <c r="E6365" s="30"/>
    </row>
    <row r="6366">
      <c r="A6366" s="27"/>
      <c r="B6366" s="28"/>
      <c r="C6366" s="27"/>
      <c r="D6366" s="27"/>
      <c r="E6366" s="30"/>
    </row>
    <row r="6367">
      <c r="A6367" s="27"/>
      <c r="B6367" s="28"/>
      <c r="C6367" s="27"/>
      <c r="D6367" s="27"/>
      <c r="E6367" s="30"/>
    </row>
    <row r="6368">
      <c r="A6368" s="27"/>
      <c r="B6368" s="28"/>
      <c r="C6368" s="27"/>
      <c r="D6368" s="27"/>
      <c r="E6368" s="30"/>
    </row>
    <row r="6369">
      <c r="A6369" s="27"/>
      <c r="B6369" s="28"/>
      <c r="C6369" s="27"/>
      <c r="D6369" s="27"/>
      <c r="E6369" s="30"/>
    </row>
    <row r="6370">
      <c r="A6370" s="27"/>
      <c r="B6370" s="28"/>
      <c r="C6370" s="27"/>
      <c r="D6370" s="27"/>
      <c r="E6370" s="30"/>
    </row>
    <row r="6371">
      <c r="A6371" s="27"/>
      <c r="B6371" s="28"/>
      <c r="C6371" s="27"/>
      <c r="D6371" s="27"/>
      <c r="E6371" s="30"/>
    </row>
    <row r="6372">
      <c r="A6372" s="27"/>
      <c r="B6372" s="28"/>
      <c r="C6372" s="27"/>
      <c r="D6372" s="27"/>
      <c r="E6372" s="30"/>
    </row>
    <row r="6373">
      <c r="A6373" s="27"/>
      <c r="B6373" s="28"/>
      <c r="C6373" s="27"/>
      <c r="D6373" s="27"/>
      <c r="E6373" s="30"/>
    </row>
    <row r="6374">
      <c r="A6374" s="27"/>
      <c r="B6374" s="28"/>
      <c r="C6374" s="27"/>
      <c r="D6374" s="27"/>
      <c r="E6374" s="30"/>
    </row>
    <row r="6375">
      <c r="A6375" s="27"/>
      <c r="B6375" s="28"/>
      <c r="C6375" s="27"/>
      <c r="D6375" s="27"/>
      <c r="E6375" s="30"/>
    </row>
    <row r="6376">
      <c r="A6376" s="27"/>
      <c r="B6376" s="28"/>
      <c r="C6376" s="27"/>
      <c r="D6376" s="27"/>
      <c r="E6376" s="30"/>
    </row>
    <row r="6377">
      <c r="A6377" s="27"/>
      <c r="B6377" s="28"/>
      <c r="C6377" s="27"/>
      <c r="D6377" s="27"/>
      <c r="E6377" s="30"/>
    </row>
    <row r="6378">
      <c r="A6378" s="27"/>
      <c r="B6378" s="28"/>
      <c r="C6378" s="27"/>
      <c r="D6378" s="27"/>
      <c r="E6378" s="30"/>
    </row>
    <row r="6379">
      <c r="A6379" s="27"/>
      <c r="B6379" s="28"/>
      <c r="C6379" s="27"/>
      <c r="D6379" s="27"/>
      <c r="E6379" s="30"/>
    </row>
    <row r="6380">
      <c r="A6380" s="27"/>
      <c r="B6380" s="28"/>
      <c r="C6380" s="27"/>
      <c r="D6380" s="27"/>
      <c r="E6380" s="30"/>
    </row>
    <row r="6381">
      <c r="A6381" s="27"/>
      <c r="B6381" s="28"/>
      <c r="C6381" s="27"/>
      <c r="D6381" s="27"/>
      <c r="E6381" s="30"/>
    </row>
    <row r="6382">
      <c r="A6382" s="27"/>
      <c r="B6382" s="28"/>
      <c r="C6382" s="27"/>
      <c r="D6382" s="27"/>
      <c r="E6382" s="30"/>
    </row>
    <row r="6383">
      <c r="A6383" s="27"/>
      <c r="B6383" s="28"/>
      <c r="C6383" s="27"/>
      <c r="D6383" s="27"/>
      <c r="E6383" s="30"/>
    </row>
    <row r="6384">
      <c r="A6384" s="27"/>
      <c r="B6384" s="28"/>
      <c r="C6384" s="27"/>
      <c r="D6384" s="27"/>
      <c r="E6384" s="30"/>
    </row>
    <row r="6385">
      <c r="A6385" s="27"/>
      <c r="B6385" s="28"/>
      <c r="C6385" s="27"/>
      <c r="D6385" s="27"/>
      <c r="E6385" s="30"/>
    </row>
    <row r="6386">
      <c r="A6386" s="27"/>
      <c r="B6386" s="28"/>
      <c r="C6386" s="27"/>
      <c r="D6386" s="27"/>
      <c r="E6386" s="30"/>
    </row>
    <row r="6387">
      <c r="A6387" s="27"/>
      <c r="B6387" s="28"/>
      <c r="C6387" s="27"/>
      <c r="D6387" s="27"/>
      <c r="E6387" s="30"/>
    </row>
    <row r="6388">
      <c r="A6388" s="27"/>
      <c r="B6388" s="28"/>
      <c r="C6388" s="27"/>
      <c r="D6388" s="27"/>
      <c r="E6388" s="30"/>
    </row>
    <row r="6389">
      <c r="A6389" s="27"/>
      <c r="B6389" s="28"/>
      <c r="C6389" s="27"/>
      <c r="D6389" s="27"/>
      <c r="E6389" s="30"/>
    </row>
    <row r="6390">
      <c r="A6390" s="27"/>
      <c r="B6390" s="28"/>
      <c r="C6390" s="27"/>
      <c r="D6390" s="27"/>
      <c r="E6390" s="30"/>
    </row>
    <row r="6391">
      <c r="A6391" s="27"/>
      <c r="B6391" s="28"/>
      <c r="C6391" s="27"/>
      <c r="D6391" s="27"/>
      <c r="E6391" s="30"/>
    </row>
    <row r="6392">
      <c r="A6392" s="27"/>
      <c r="B6392" s="28"/>
      <c r="C6392" s="27"/>
      <c r="D6392" s="27"/>
      <c r="E6392" s="30"/>
    </row>
    <row r="6393">
      <c r="A6393" s="27"/>
      <c r="B6393" s="28"/>
      <c r="C6393" s="27"/>
      <c r="D6393" s="27"/>
      <c r="E6393" s="30"/>
    </row>
    <row r="6394">
      <c r="A6394" s="27"/>
      <c r="B6394" s="28"/>
      <c r="C6394" s="27"/>
      <c r="D6394" s="27"/>
      <c r="E6394" s="30"/>
    </row>
    <row r="6395">
      <c r="A6395" s="27"/>
      <c r="B6395" s="28"/>
      <c r="C6395" s="27"/>
      <c r="D6395" s="27"/>
      <c r="E6395" s="30"/>
    </row>
    <row r="6396">
      <c r="A6396" s="27"/>
      <c r="B6396" s="28"/>
      <c r="C6396" s="27"/>
      <c r="D6396" s="27"/>
      <c r="E6396" s="30"/>
    </row>
    <row r="6397">
      <c r="A6397" s="27"/>
      <c r="B6397" s="28"/>
      <c r="C6397" s="27"/>
      <c r="D6397" s="27"/>
      <c r="E6397" s="30"/>
    </row>
    <row r="6398">
      <c r="A6398" s="27"/>
      <c r="B6398" s="28"/>
      <c r="C6398" s="27"/>
      <c r="D6398" s="27"/>
      <c r="E6398" s="30"/>
    </row>
    <row r="6399">
      <c r="A6399" s="27"/>
      <c r="B6399" s="28"/>
      <c r="C6399" s="27"/>
      <c r="D6399" s="27"/>
      <c r="E6399" s="30"/>
    </row>
    <row r="6400">
      <c r="A6400" s="27"/>
      <c r="B6400" s="28"/>
      <c r="C6400" s="27"/>
      <c r="D6400" s="27"/>
      <c r="E6400" s="30"/>
    </row>
    <row r="6401">
      <c r="A6401" s="27"/>
      <c r="B6401" s="28"/>
      <c r="C6401" s="27"/>
      <c r="D6401" s="27"/>
      <c r="E6401" s="30"/>
    </row>
    <row r="6402">
      <c r="A6402" s="27"/>
      <c r="B6402" s="28"/>
      <c r="C6402" s="27"/>
      <c r="D6402" s="27"/>
      <c r="E6402" s="30"/>
    </row>
    <row r="6403">
      <c r="A6403" s="27"/>
      <c r="B6403" s="28"/>
      <c r="C6403" s="27"/>
      <c r="D6403" s="27"/>
      <c r="E6403" s="30"/>
    </row>
    <row r="6404">
      <c r="A6404" s="27"/>
      <c r="B6404" s="28"/>
      <c r="C6404" s="27"/>
      <c r="D6404" s="27"/>
      <c r="E6404" s="30"/>
    </row>
    <row r="6405">
      <c r="A6405" s="27"/>
      <c r="B6405" s="28"/>
      <c r="C6405" s="27"/>
      <c r="D6405" s="27"/>
      <c r="E6405" s="30"/>
    </row>
    <row r="6406">
      <c r="A6406" s="27"/>
      <c r="B6406" s="28"/>
      <c r="C6406" s="27"/>
      <c r="D6406" s="27"/>
      <c r="E6406" s="30"/>
    </row>
    <row r="6407">
      <c r="A6407" s="27"/>
      <c r="B6407" s="28"/>
      <c r="C6407" s="27"/>
      <c r="D6407" s="27"/>
      <c r="E6407" s="30"/>
    </row>
    <row r="6408">
      <c r="A6408" s="27"/>
      <c r="B6408" s="28"/>
      <c r="C6408" s="27"/>
      <c r="D6408" s="27"/>
      <c r="E6408" s="30"/>
    </row>
    <row r="6409">
      <c r="A6409" s="27"/>
      <c r="B6409" s="28"/>
      <c r="C6409" s="27"/>
      <c r="D6409" s="27"/>
      <c r="E6409" s="30"/>
    </row>
    <row r="6410">
      <c r="A6410" s="27"/>
      <c r="B6410" s="28"/>
      <c r="C6410" s="27"/>
      <c r="D6410" s="27"/>
      <c r="E6410" s="30"/>
    </row>
    <row r="6411">
      <c r="A6411" s="27"/>
      <c r="B6411" s="28"/>
      <c r="C6411" s="27"/>
      <c r="D6411" s="27"/>
      <c r="E6411" s="30"/>
    </row>
    <row r="6412">
      <c r="A6412" s="27"/>
      <c r="B6412" s="28"/>
      <c r="C6412" s="27"/>
      <c r="D6412" s="27"/>
      <c r="E6412" s="30"/>
    </row>
    <row r="6413">
      <c r="A6413" s="27"/>
      <c r="B6413" s="28"/>
      <c r="C6413" s="27"/>
      <c r="D6413" s="27"/>
      <c r="E6413" s="30"/>
    </row>
    <row r="6414">
      <c r="A6414" s="27"/>
      <c r="B6414" s="28"/>
      <c r="C6414" s="27"/>
      <c r="D6414" s="27"/>
      <c r="E6414" s="30"/>
    </row>
    <row r="6415">
      <c r="A6415" s="27"/>
      <c r="B6415" s="28"/>
      <c r="C6415" s="27"/>
      <c r="D6415" s="27"/>
      <c r="E6415" s="30"/>
    </row>
    <row r="6416">
      <c r="A6416" s="27"/>
      <c r="B6416" s="28"/>
      <c r="C6416" s="27"/>
      <c r="D6416" s="27"/>
      <c r="E6416" s="30"/>
    </row>
    <row r="6417">
      <c r="A6417" s="27"/>
      <c r="B6417" s="28"/>
      <c r="C6417" s="27"/>
      <c r="D6417" s="27"/>
      <c r="E6417" s="30"/>
    </row>
    <row r="6418">
      <c r="A6418" s="27"/>
      <c r="B6418" s="28"/>
      <c r="C6418" s="27"/>
      <c r="D6418" s="27"/>
      <c r="E6418" s="30"/>
    </row>
    <row r="6419">
      <c r="A6419" s="27"/>
      <c r="B6419" s="28"/>
      <c r="C6419" s="27"/>
      <c r="D6419" s="27"/>
      <c r="E6419" s="30"/>
    </row>
    <row r="6420">
      <c r="A6420" s="27"/>
      <c r="B6420" s="28"/>
      <c r="C6420" s="27"/>
      <c r="D6420" s="27"/>
      <c r="E6420" s="30"/>
    </row>
    <row r="6421">
      <c r="A6421" s="27"/>
      <c r="B6421" s="28"/>
      <c r="C6421" s="27"/>
      <c r="D6421" s="27"/>
      <c r="E6421" s="30"/>
    </row>
    <row r="6422">
      <c r="A6422" s="27"/>
      <c r="B6422" s="28"/>
      <c r="C6422" s="27"/>
      <c r="D6422" s="27"/>
      <c r="E6422" s="30"/>
    </row>
    <row r="6423">
      <c r="A6423" s="27"/>
      <c r="B6423" s="28"/>
      <c r="C6423" s="27"/>
      <c r="D6423" s="27"/>
      <c r="E6423" s="30"/>
    </row>
    <row r="6424">
      <c r="A6424" s="27"/>
      <c r="B6424" s="28"/>
      <c r="C6424" s="27"/>
      <c r="D6424" s="27"/>
      <c r="E6424" s="30"/>
    </row>
    <row r="6425">
      <c r="A6425" s="27"/>
      <c r="B6425" s="28"/>
      <c r="C6425" s="27"/>
      <c r="D6425" s="27"/>
      <c r="E6425" s="30"/>
    </row>
    <row r="6426">
      <c r="A6426" s="27"/>
      <c r="B6426" s="28"/>
      <c r="C6426" s="27"/>
      <c r="D6426" s="27"/>
      <c r="E6426" s="30"/>
    </row>
    <row r="6427">
      <c r="A6427" s="27"/>
      <c r="B6427" s="28"/>
      <c r="C6427" s="27"/>
      <c r="D6427" s="27"/>
      <c r="E6427" s="30"/>
    </row>
    <row r="6428">
      <c r="A6428" s="27"/>
      <c r="B6428" s="28"/>
      <c r="C6428" s="27"/>
      <c r="D6428" s="27"/>
      <c r="E6428" s="30"/>
    </row>
    <row r="6429">
      <c r="A6429" s="27"/>
      <c r="B6429" s="28"/>
      <c r="C6429" s="27"/>
      <c r="D6429" s="27"/>
      <c r="E6429" s="30"/>
    </row>
    <row r="6430">
      <c r="A6430" s="27"/>
      <c r="B6430" s="28"/>
      <c r="C6430" s="27"/>
      <c r="D6430" s="27"/>
      <c r="E6430" s="30"/>
    </row>
    <row r="6431">
      <c r="A6431" s="27"/>
      <c r="B6431" s="28"/>
      <c r="C6431" s="27"/>
      <c r="D6431" s="27"/>
      <c r="E6431" s="30"/>
    </row>
    <row r="6432">
      <c r="A6432" s="27"/>
      <c r="B6432" s="28"/>
      <c r="C6432" s="27"/>
      <c r="D6432" s="27"/>
      <c r="E6432" s="30"/>
    </row>
    <row r="6433">
      <c r="A6433" s="27"/>
      <c r="B6433" s="28"/>
      <c r="C6433" s="27"/>
      <c r="D6433" s="27"/>
      <c r="E6433" s="30"/>
    </row>
    <row r="6434">
      <c r="A6434" s="27"/>
      <c r="B6434" s="28"/>
      <c r="C6434" s="27"/>
      <c r="D6434" s="27"/>
      <c r="E6434" s="30"/>
    </row>
    <row r="6435">
      <c r="A6435" s="27"/>
      <c r="B6435" s="28"/>
      <c r="C6435" s="27"/>
      <c r="D6435" s="27"/>
      <c r="E6435" s="30"/>
    </row>
    <row r="6436">
      <c r="A6436" s="27"/>
      <c r="B6436" s="28"/>
      <c r="C6436" s="27"/>
      <c r="D6436" s="27"/>
      <c r="E6436" s="30"/>
    </row>
    <row r="6437">
      <c r="A6437" s="27"/>
      <c r="B6437" s="28"/>
      <c r="C6437" s="27"/>
      <c r="D6437" s="27"/>
      <c r="E6437" s="30"/>
    </row>
    <row r="6438">
      <c r="A6438" s="27"/>
      <c r="B6438" s="28"/>
      <c r="C6438" s="27"/>
      <c r="D6438" s="27"/>
      <c r="E6438" s="30"/>
    </row>
    <row r="6439">
      <c r="A6439" s="27"/>
      <c r="B6439" s="28"/>
      <c r="C6439" s="27"/>
      <c r="D6439" s="27"/>
      <c r="E6439" s="30"/>
    </row>
    <row r="6440">
      <c r="A6440" s="27"/>
      <c r="B6440" s="28"/>
      <c r="C6440" s="27"/>
      <c r="D6440" s="27"/>
      <c r="E6440" s="30"/>
    </row>
    <row r="6441">
      <c r="A6441" s="27"/>
      <c r="B6441" s="28"/>
      <c r="C6441" s="27"/>
      <c r="D6441" s="27"/>
      <c r="E6441" s="30"/>
    </row>
    <row r="6442">
      <c r="A6442" s="27"/>
      <c r="B6442" s="28"/>
      <c r="C6442" s="27"/>
      <c r="D6442" s="27"/>
      <c r="E6442" s="30"/>
    </row>
    <row r="6443">
      <c r="A6443" s="27"/>
      <c r="B6443" s="28"/>
      <c r="C6443" s="27"/>
      <c r="D6443" s="27"/>
      <c r="E6443" s="30"/>
    </row>
    <row r="6444">
      <c r="A6444" s="27"/>
      <c r="B6444" s="28"/>
      <c r="C6444" s="27"/>
      <c r="D6444" s="27"/>
      <c r="E6444" s="30"/>
    </row>
    <row r="6445">
      <c r="A6445" s="27"/>
      <c r="B6445" s="28"/>
      <c r="C6445" s="27"/>
      <c r="D6445" s="27"/>
      <c r="E6445" s="30"/>
    </row>
    <row r="6446">
      <c r="A6446" s="27"/>
      <c r="B6446" s="28"/>
      <c r="C6446" s="27"/>
      <c r="D6446" s="27"/>
      <c r="E6446" s="30"/>
    </row>
    <row r="6447">
      <c r="A6447" s="27"/>
      <c r="B6447" s="28"/>
      <c r="C6447" s="27"/>
      <c r="D6447" s="27"/>
      <c r="E6447" s="30"/>
    </row>
    <row r="6448">
      <c r="A6448" s="27"/>
      <c r="B6448" s="28"/>
      <c r="C6448" s="27"/>
      <c r="D6448" s="27"/>
      <c r="E6448" s="30"/>
    </row>
    <row r="6449">
      <c r="A6449" s="27"/>
      <c r="B6449" s="28"/>
      <c r="C6449" s="27"/>
      <c r="D6449" s="27"/>
      <c r="E6449" s="30"/>
    </row>
    <row r="6450">
      <c r="A6450" s="27"/>
      <c r="B6450" s="28"/>
      <c r="C6450" s="27"/>
      <c r="D6450" s="27"/>
      <c r="E6450" s="30"/>
    </row>
    <row r="6451">
      <c r="A6451" s="27"/>
      <c r="B6451" s="28"/>
      <c r="C6451" s="27"/>
      <c r="D6451" s="27"/>
      <c r="E6451" s="30"/>
    </row>
    <row r="6452">
      <c r="A6452" s="27"/>
      <c r="B6452" s="28"/>
      <c r="C6452" s="27"/>
      <c r="D6452" s="27"/>
      <c r="E6452" s="30"/>
    </row>
    <row r="6453">
      <c r="A6453" s="27"/>
      <c r="B6453" s="28"/>
      <c r="C6453" s="27"/>
      <c r="D6453" s="27"/>
      <c r="E6453" s="30"/>
    </row>
    <row r="6454">
      <c r="A6454" s="27"/>
      <c r="B6454" s="28"/>
      <c r="C6454" s="27"/>
      <c r="D6454" s="27"/>
      <c r="E6454" s="30"/>
    </row>
    <row r="6455">
      <c r="A6455" s="27"/>
      <c r="B6455" s="28"/>
      <c r="C6455" s="27"/>
      <c r="D6455" s="27"/>
      <c r="E6455" s="30"/>
    </row>
    <row r="6456">
      <c r="A6456" s="27"/>
      <c r="B6456" s="28"/>
      <c r="C6456" s="27"/>
      <c r="D6456" s="27"/>
      <c r="E6456" s="30"/>
    </row>
    <row r="6457">
      <c r="A6457" s="27"/>
      <c r="B6457" s="28"/>
      <c r="C6457" s="27"/>
      <c r="D6457" s="27"/>
      <c r="E6457" s="30"/>
    </row>
    <row r="6458">
      <c r="A6458" s="27"/>
      <c r="B6458" s="28"/>
      <c r="C6458" s="27"/>
      <c r="D6458" s="27"/>
      <c r="E6458" s="30"/>
    </row>
    <row r="6459">
      <c r="A6459" s="27"/>
      <c r="B6459" s="28"/>
      <c r="C6459" s="27"/>
      <c r="D6459" s="27"/>
      <c r="E6459" s="30"/>
    </row>
    <row r="6460">
      <c r="A6460" s="27"/>
      <c r="B6460" s="28"/>
      <c r="C6460" s="27"/>
      <c r="D6460" s="27"/>
      <c r="E6460" s="30"/>
    </row>
    <row r="6461">
      <c r="A6461" s="27"/>
      <c r="B6461" s="28"/>
      <c r="C6461" s="27"/>
      <c r="D6461" s="27"/>
      <c r="E6461" s="30"/>
    </row>
    <row r="6462">
      <c r="A6462" s="27"/>
      <c r="B6462" s="28"/>
      <c r="C6462" s="27"/>
      <c r="D6462" s="27"/>
      <c r="E6462" s="30"/>
    </row>
    <row r="6463">
      <c r="A6463" s="27"/>
      <c r="B6463" s="28"/>
      <c r="C6463" s="27"/>
      <c r="D6463" s="27"/>
      <c r="E6463" s="30"/>
    </row>
    <row r="6464">
      <c r="A6464" s="27"/>
      <c r="B6464" s="28"/>
      <c r="C6464" s="27"/>
      <c r="D6464" s="27"/>
      <c r="E6464" s="30"/>
    </row>
    <row r="6465">
      <c r="A6465" s="27"/>
      <c r="B6465" s="28"/>
      <c r="C6465" s="27"/>
      <c r="D6465" s="27"/>
      <c r="E6465" s="30"/>
    </row>
    <row r="6466">
      <c r="A6466" s="27"/>
      <c r="B6466" s="28"/>
      <c r="C6466" s="27"/>
      <c r="D6466" s="27"/>
      <c r="E6466" s="30"/>
    </row>
    <row r="6467">
      <c r="A6467" s="27"/>
      <c r="B6467" s="28"/>
      <c r="C6467" s="27"/>
      <c r="D6467" s="27"/>
      <c r="E6467" s="30"/>
    </row>
    <row r="6468">
      <c r="A6468" s="27"/>
      <c r="B6468" s="28"/>
      <c r="C6468" s="27"/>
      <c r="D6468" s="27"/>
      <c r="E6468" s="30"/>
    </row>
    <row r="6469">
      <c r="A6469" s="27"/>
      <c r="B6469" s="28"/>
      <c r="C6469" s="27"/>
      <c r="D6469" s="27"/>
      <c r="E6469" s="30"/>
    </row>
    <row r="6470">
      <c r="A6470" s="27"/>
      <c r="B6470" s="28"/>
      <c r="C6470" s="27"/>
      <c r="D6470" s="27"/>
      <c r="E6470" s="30"/>
    </row>
    <row r="6471">
      <c r="A6471" s="27"/>
      <c r="B6471" s="28"/>
      <c r="C6471" s="27"/>
      <c r="D6471" s="27"/>
      <c r="E6471" s="30"/>
    </row>
    <row r="6472">
      <c r="A6472" s="27"/>
      <c r="B6472" s="28"/>
      <c r="C6472" s="27"/>
      <c r="D6472" s="27"/>
      <c r="E6472" s="30"/>
    </row>
    <row r="6473">
      <c r="A6473" s="27"/>
      <c r="B6473" s="28"/>
      <c r="C6473" s="27"/>
      <c r="D6473" s="27"/>
      <c r="E6473" s="30"/>
    </row>
    <row r="6474">
      <c r="A6474" s="27"/>
      <c r="B6474" s="28"/>
      <c r="C6474" s="27"/>
      <c r="D6474" s="27"/>
      <c r="E6474" s="30"/>
    </row>
    <row r="6475">
      <c r="A6475" s="27"/>
      <c r="B6475" s="28"/>
      <c r="C6475" s="27"/>
      <c r="D6475" s="27"/>
      <c r="E6475" s="30"/>
    </row>
    <row r="6476">
      <c r="A6476" s="27"/>
      <c r="B6476" s="28"/>
      <c r="C6476" s="27"/>
      <c r="D6476" s="27"/>
      <c r="E6476" s="30"/>
    </row>
    <row r="6477">
      <c r="A6477" s="27"/>
      <c r="B6477" s="28"/>
      <c r="C6477" s="27"/>
      <c r="D6477" s="27"/>
      <c r="E6477" s="30"/>
    </row>
    <row r="6478">
      <c r="A6478" s="27"/>
      <c r="B6478" s="28"/>
      <c r="C6478" s="27"/>
      <c r="D6478" s="27"/>
      <c r="E6478" s="30"/>
    </row>
    <row r="6479">
      <c r="A6479" s="27"/>
      <c r="B6479" s="28"/>
      <c r="C6479" s="27"/>
      <c r="D6479" s="27"/>
      <c r="E6479" s="30"/>
    </row>
    <row r="6480">
      <c r="A6480" s="27"/>
      <c r="B6480" s="28"/>
      <c r="C6480" s="27"/>
      <c r="D6480" s="27"/>
      <c r="E6480" s="30"/>
    </row>
    <row r="6481">
      <c r="A6481" s="27"/>
      <c r="B6481" s="28"/>
      <c r="C6481" s="27"/>
      <c r="D6481" s="27"/>
      <c r="E6481" s="30"/>
    </row>
    <row r="6482">
      <c r="A6482" s="27"/>
      <c r="B6482" s="28"/>
      <c r="C6482" s="27"/>
      <c r="D6482" s="27"/>
      <c r="E6482" s="30"/>
    </row>
    <row r="6483">
      <c r="A6483" s="27"/>
      <c r="B6483" s="28"/>
      <c r="C6483" s="27"/>
      <c r="D6483" s="27"/>
      <c r="E6483" s="30"/>
    </row>
    <row r="6484">
      <c r="A6484" s="27"/>
      <c r="B6484" s="28"/>
      <c r="C6484" s="27"/>
      <c r="D6484" s="27"/>
      <c r="E6484" s="30"/>
    </row>
    <row r="6485">
      <c r="A6485" s="27"/>
      <c r="B6485" s="28"/>
      <c r="C6485" s="27"/>
      <c r="D6485" s="27"/>
      <c r="E6485" s="30"/>
    </row>
    <row r="6486">
      <c r="A6486" s="27"/>
      <c r="B6486" s="28"/>
      <c r="C6486" s="27"/>
      <c r="D6486" s="27"/>
      <c r="E6486" s="30"/>
    </row>
    <row r="6487">
      <c r="A6487" s="27"/>
      <c r="B6487" s="28"/>
      <c r="C6487" s="27"/>
      <c r="D6487" s="27"/>
      <c r="E6487" s="30"/>
    </row>
    <row r="6488">
      <c r="A6488" s="27"/>
      <c r="B6488" s="28"/>
      <c r="C6488" s="27"/>
      <c r="D6488" s="27"/>
      <c r="E6488" s="30"/>
    </row>
    <row r="6489">
      <c r="A6489" s="27"/>
      <c r="B6489" s="28"/>
      <c r="C6489" s="27"/>
      <c r="D6489" s="27"/>
      <c r="E6489" s="30"/>
    </row>
    <row r="6490">
      <c r="A6490" s="27"/>
      <c r="B6490" s="28"/>
      <c r="C6490" s="27"/>
      <c r="D6490" s="27"/>
      <c r="E6490" s="30"/>
    </row>
    <row r="6491">
      <c r="A6491" s="27"/>
      <c r="B6491" s="28"/>
      <c r="C6491" s="27"/>
      <c r="D6491" s="27"/>
      <c r="E6491" s="30"/>
    </row>
    <row r="6492">
      <c r="A6492" s="27"/>
      <c r="B6492" s="28"/>
      <c r="C6492" s="27"/>
      <c r="D6492" s="27"/>
      <c r="E6492" s="30"/>
    </row>
    <row r="6493">
      <c r="A6493" s="27"/>
      <c r="B6493" s="28"/>
      <c r="C6493" s="27"/>
      <c r="D6493" s="27"/>
      <c r="E6493" s="30"/>
    </row>
    <row r="6494">
      <c r="A6494" s="27"/>
      <c r="B6494" s="28"/>
      <c r="C6494" s="27"/>
      <c r="D6494" s="27"/>
      <c r="E6494" s="30"/>
    </row>
    <row r="6495">
      <c r="A6495" s="27"/>
      <c r="B6495" s="28"/>
      <c r="C6495" s="27"/>
      <c r="D6495" s="27"/>
      <c r="E6495" s="30"/>
    </row>
    <row r="6496">
      <c r="A6496" s="27"/>
      <c r="B6496" s="28"/>
      <c r="C6496" s="27"/>
      <c r="D6496" s="27"/>
      <c r="E6496" s="30"/>
    </row>
    <row r="6497">
      <c r="A6497" s="27"/>
      <c r="B6497" s="28"/>
      <c r="C6497" s="27"/>
      <c r="D6497" s="27"/>
      <c r="E6497" s="30"/>
    </row>
    <row r="6498">
      <c r="A6498" s="27"/>
      <c r="B6498" s="28"/>
      <c r="C6498" s="27"/>
      <c r="D6498" s="27"/>
      <c r="E6498" s="30"/>
    </row>
    <row r="6499">
      <c r="A6499" s="27"/>
      <c r="B6499" s="28"/>
      <c r="C6499" s="27"/>
      <c r="D6499" s="27"/>
      <c r="E6499" s="30"/>
    </row>
    <row r="6500">
      <c r="A6500" s="27"/>
      <c r="B6500" s="28"/>
      <c r="C6500" s="27"/>
      <c r="D6500" s="27"/>
      <c r="E6500" s="30"/>
    </row>
    <row r="6501">
      <c r="A6501" s="27"/>
      <c r="B6501" s="28"/>
      <c r="C6501" s="27"/>
      <c r="D6501" s="27"/>
      <c r="E6501" s="30"/>
    </row>
    <row r="6502">
      <c r="A6502" s="27"/>
      <c r="B6502" s="28"/>
      <c r="C6502" s="27"/>
      <c r="D6502" s="27"/>
      <c r="E6502" s="30"/>
    </row>
    <row r="6503">
      <c r="A6503" s="27"/>
      <c r="B6503" s="28"/>
      <c r="C6503" s="27"/>
      <c r="D6503" s="27"/>
      <c r="E6503" s="30"/>
    </row>
    <row r="6504">
      <c r="A6504" s="27"/>
      <c r="B6504" s="28"/>
      <c r="C6504" s="27"/>
      <c r="D6504" s="27"/>
      <c r="E6504" s="30"/>
    </row>
    <row r="6505">
      <c r="A6505" s="27"/>
      <c r="B6505" s="28"/>
      <c r="C6505" s="27"/>
      <c r="D6505" s="27"/>
      <c r="E6505" s="30"/>
    </row>
    <row r="6506">
      <c r="A6506" s="27"/>
      <c r="B6506" s="28"/>
      <c r="C6506" s="27"/>
      <c r="D6506" s="27"/>
      <c r="E6506" s="30"/>
    </row>
    <row r="6507">
      <c r="A6507" s="27"/>
      <c r="B6507" s="28"/>
      <c r="C6507" s="27"/>
      <c r="D6507" s="27"/>
      <c r="E6507" s="30"/>
    </row>
    <row r="6508">
      <c r="A6508" s="27"/>
      <c r="B6508" s="28"/>
      <c r="C6508" s="27"/>
      <c r="D6508" s="27"/>
      <c r="E6508" s="30"/>
    </row>
    <row r="6509">
      <c r="A6509" s="27"/>
      <c r="B6509" s="28"/>
      <c r="C6509" s="27"/>
      <c r="D6509" s="27"/>
      <c r="E6509" s="30"/>
    </row>
    <row r="6510">
      <c r="A6510" s="27"/>
      <c r="B6510" s="28"/>
      <c r="C6510" s="27"/>
      <c r="D6510" s="27"/>
      <c r="E6510" s="30"/>
    </row>
    <row r="6511">
      <c r="A6511" s="27"/>
      <c r="B6511" s="28"/>
      <c r="C6511" s="27"/>
      <c r="D6511" s="27"/>
      <c r="E6511" s="30"/>
    </row>
    <row r="6512">
      <c r="A6512" s="27"/>
      <c r="B6512" s="28"/>
      <c r="C6512" s="27"/>
      <c r="D6512" s="27"/>
      <c r="E6512" s="30"/>
    </row>
    <row r="6513">
      <c r="A6513" s="27"/>
      <c r="B6513" s="28"/>
      <c r="C6513" s="27"/>
      <c r="D6513" s="27"/>
      <c r="E6513" s="30"/>
    </row>
    <row r="6514">
      <c r="A6514" s="27"/>
      <c r="B6514" s="28"/>
      <c r="C6514" s="27"/>
      <c r="D6514" s="27"/>
      <c r="E6514" s="30"/>
    </row>
    <row r="6515">
      <c r="A6515" s="27"/>
      <c r="B6515" s="28"/>
      <c r="C6515" s="27"/>
      <c r="D6515" s="27"/>
      <c r="E6515" s="30"/>
    </row>
    <row r="6516">
      <c r="A6516" s="27"/>
      <c r="B6516" s="28"/>
      <c r="C6516" s="27"/>
      <c r="D6516" s="27"/>
      <c r="E6516" s="30"/>
    </row>
    <row r="6517">
      <c r="A6517" s="27"/>
      <c r="B6517" s="28"/>
      <c r="C6517" s="27"/>
      <c r="D6517" s="27"/>
      <c r="E6517" s="30"/>
    </row>
    <row r="6518">
      <c r="A6518" s="27"/>
      <c r="B6518" s="28"/>
      <c r="C6518" s="27"/>
      <c r="D6518" s="27"/>
      <c r="E6518" s="30"/>
    </row>
    <row r="6519">
      <c r="A6519" s="27"/>
      <c r="B6519" s="28"/>
      <c r="C6519" s="27"/>
      <c r="D6519" s="27"/>
      <c r="E6519" s="30"/>
    </row>
    <row r="6520">
      <c r="A6520" s="27"/>
      <c r="B6520" s="28"/>
      <c r="C6520" s="27"/>
      <c r="D6520" s="27"/>
      <c r="E6520" s="30"/>
    </row>
    <row r="6521">
      <c r="A6521" s="27"/>
      <c r="B6521" s="28"/>
      <c r="C6521" s="27"/>
      <c r="D6521" s="27"/>
      <c r="E6521" s="30"/>
    </row>
    <row r="6522">
      <c r="A6522" s="27"/>
      <c r="B6522" s="28"/>
      <c r="C6522" s="27"/>
      <c r="D6522" s="27"/>
      <c r="E6522" s="30"/>
    </row>
    <row r="6523">
      <c r="A6523" s="27"/>
      <c r="B6523" s="28"/>
      <c r="C6523" s="27"/>
      <c r="D6523" s="27"/>
      <c r="E6523" s="30"/>
    </row>
    <row r="6524">
      <c r="A6524" s="27"/>
      <c r="B6524" s="28"/>
      <c r="C6524" s="27"/>
      <c r="D6524" s="27"/>
      <c r="E6524" s="30"/>
    </row>
    <row r="6525">
      <c r="A6525" s="27"/>
      <c r="B6525" s="28"/>
      <c r="C6525" s="27"/>
      <c r="D6525" s="27"/>
      <c r="E6525" s="30"/>
    </row>
    <row r="6526">
      <c r="A6526" s="27"/>
      <c r="B6526" s="28"/>
      <c r="C6526" s="27"/>
      <c r="D6526" s="27"/>
      <c r="E6526" s="30"/>
    </row>
    <row r="6527">
      <c r="A6527" s="27"/>
      <c r="B6527" s="28"/>
      <c r="C6527" s="27"/>
      <c r="D6527" s="27"/>
      <c r="E6527" s="30"/>
    </row>
    <row r="6528">
      <c r="A6528" s="27"/>
      <c r="B6528" s="28"/>
      <c r="C6528" s="27"/>
      <c r="D6528" s="27"/>
      <c r="E6528" s="30"/>
    </row>
    <row r="6529">
      <c r="A6529" s="27"/>
      <c r="B6529" s="28"/>
      <c r="C6529" s="27"/>
      <c r="D6529" s="27"/>
      <c r="E6529" s="30"/>
    </row>
    <row r="6530">
      <c r="A6530" s="27"/>
      <c r="B6530" s="28"/>
      <c r="C6530" s="27"/>
      <c r="D6530" s="27"/>
      <c r="E6530" s="30"/>
    </row>
    <row r="6531">
      <c r="A6531" s="27"/>
      <c r="B6531" s="28"/>
      <c r="C6531" s="27"/>
      <c r="D6531" s="27"/>
      <c r="E6531" s="30"/>
    </row>
    <row r="6532">
      <c r="A6532" s="27"/>
      <c r="B6532" s="28"/>
      <c r="C6532" s="27"/>
      <c r="D6532" s="27"/>
      <c r="E6532" s="30"/>
    </row>
    <row r="6533">
      <c r="A6533" s="27"/>
      <c r="B6533" s="28"/>
      <c r="C6533" s="27"/>
      <c r="D6533" s="27"/>
      <c r="E6533" s="30"/>
    </row>
    <row r="6534">
      <c r="A6534" s="27"/>
      <c r="B6534" s="28"/>
      <c r="C6534" s="27"/>
      <c r="D6534" s="27"/>
      <c r="E6534" s="30"/>
    </row>
    <row r="6535">
      <c r="A6535" s="27"/>
      <c r="B6535" s="28"/>
      <c r="C6535" s="27"/>
      <c r="D6535" s="27"/>
      <c r="E6535" s="30"/>
    </row>
    <row r="6536">
      <c r="A6536" s="27"/>
      <c r="B6536" s="28"/>
      <c r="C6536" s="27"/>
      <c r="D6536" s="27"/>
      <c r="E6536" s="30"/>
    </row>
    <row r="6537">
      <c r="A6537" s="27"/>
      <c r="B6537" s="28"/>
      <c r="C6537" s="27"/>
      <c r="D6537" s="27"/>
      <c r="E6537" s="30"/>
    </row>
    <row r="6538">
      <c r="A6538" s="27"/>
      <c r="B6538" s="28"/>
      <c r="C6538" s="27"/>
      <c r="D6538" s="27"/>
      <c r="E6538" s="30"/>
    </row>
    <row r="6539">
      <c r="A6539" s="27"/>
      <c r="B6539" s="28"/>
      <c r="C6539" s="27"/>
      <c r="D6539" s="27"/>
      <c r="E6539" s="30"/>
    </row>
    <row r="6540">
      <c r="A6540" s="27"/>
      <c r="B6540" s="28"/>
      <c r="C6540" s="27"/>
      <c r="D6540" s="27"/>
      <c r="E6540" s="30"/>
    </row>
    <row r="6541">
      <c r="A6541" s="27"/>
      <c r="B6541" s="28"/>
      <c r="C6541" s="27"/>
      <c r="D6541" s="27"/>
      <c r="E6541" s="30"/>
    </row>
    <row r="6542">
      <c r="A6542" s="27"/>
      <c r="B6542" s="28"/>
      <c r="C6542" s="27"/>
      <c r="D6542" s="27"/>
      <c r="E6542" s="30"/>
    </row>
    <row r="6543">
      <c r="A6543" s="27"/>
      <c r="B6543" s="28"/>
      <c r="C6543" s="27"/>
      <c r="D6543" s="27"/>
      <c r="E6543" s="30"/>
    </row>
    <row r="6544">
      <c r="A6544" s="27"/>
      <c r="B6544" s="28"/>
      <c r="C6544" s="27"/>
      <c r="D6544" s="27"/>
      <c r="E6544" s="30"/>
    </row>
    <row r="6545">
      <c r="A6545" s="27"/>
      <c r="B6545" s="28"/>
      <c r="C6545" s="27"/>
      <c r="D6545" s="27"/>
      <c r="E6545" s="30"/>
    </row>
    <row r="6546">
      <c r="A6546" s="27"/>
      <c r="B6546" s="28"/>
      <c r="C6546" s="27"/>
      <c r="D6546" s="27"/>
      <c r="E6546" s="30"/>
    </row>
    <row r="6547">
      <c r="A6547" s="27"/>
      <c r="B6547" s="28"/>
      <c r="C6547" s="27"/>
      <c r="D6547" s="27"/>
      <c r="E6547" s="30"/>
    </row>
    <row r="6548">
      <c r="A6548" s="27"/>
      <c r="B6548" s="28"/>
      <c r="C6548" s="27"/>
      <c r="D6548" s="27"/>
      <c r="E6548" s="30"/>
    </row>
    <row r="6549">
      <c r="A6549" s="27"/>
      <c r="B6549" s="28"/>
      <c r="C6549" s="27"/>
      <c r="D6549" s="27"/>
      <c r="E6549" s="30"/>
    </row>
    <row r="6550">
      <c r="A6550" s="27"/>
      <c r="B6550" s="28"/>
      <c r="C6550" s="27"/>
      <c r="D6550" s="27"/>
      <c r="E6550" s="30"/>
    </row>
    <row r="6551">
      <c r="A6551" s="27"/>
      <c r="B6551" s="28"/>
      <c r="C6551" s="27"/>
      <c r="D6551" s="27"/>
      <c r="E6551" s="30"/>
    </row>
    <row r="6552">
      <c r="A6552" s="27"/>
      <c r="B6552" s="28"/>
      <c r="C6552" s="27"/>
      <c r="D6552" s="27"/>
      <c r="E6552" s="30"/>
    </row>
    <row r="6553">
      <c r="A6553" s="27"/>
      <c r="B6553" s="28"/>
      <c r="C6553" s="27"/>
      <c r="D6553" s="27"/>
      <c r="E6553" s="30"/>
    </row>
    <row r="6554">
      <c r="A6554" s="27"/>
      <c r="B6554" s="28"/>
      <c r="C6554" s="27"/>
      <c r="D6554" s="27"/>
      <c r="E6554" s="30"/>
    </row>
    <row r="6555">
      <c r="A6555" s="27"/>
      <c r="B6555" s="28"/>
      <c r="C6555" s="27"/>
      <c r="D6555" s="27"/>
      <c r="E6555" s="30"/>
    </row>
    <row r="6556">
      <c r="A6556" s="27"/>
      <c r="B6556" s="28"/>
      <c r="C6556" s="27"/>
      <c r="D6556" s="27"/>
      <c r="E6556" s="30"/>
    </row>
    <row r="6557">
      <c r="A6557" s="27"/>
      <c r="B6557" s="28"/>
      <c r="C6557" s="27"/>
      <c r="D6557" s="27"/>
      <c r="E6557" s="30"/>
    </row>
    <row r="6558">
      <c r="A6558" s="27"/>
      <c r="B6558" s="28"/>
      <c r="C6558" s="27"/>
      <c r="D6558" s="27"/>
      <c r="E6558" s="30"/>
    </row>
    <row r="6559">
      <c r="A6559" s="27"/>
      <c r="B6559" s="28"/>
      <c r="C6559" s="27"/>
      <c r="D6559" s="27"/>
      <c r="E6559" s="30"/>
    </row>
    <row r="6560">
      <c r="A6560" s="27"/>
      <c r="B6560" s="28"/>
      <c r="C6560" s="27"/>
      <c r="D6560" s="27"/>
      <c r="E6560" s="30"/>
    </row>
    <row r="6561">
      <c r="A6561" s="27"/>
      <c r="B6561" s="28"/>
      <c r="C6561" s="27"/>
      <c r="D6561" s="27"/>
      <c r="E6561" s="30"/>
    </row>
    <row r="6562">
      <c r="A6562" s="27"/>
      <c r="B6562" s="28"/>
      <c r="C6562" s="27"/>
      <c r="D6562" s="27"/>
      <c r="E6562" s="30"/>
    </row>
    <row r="6563">
      <c r="A6563" s="27"/>
      <c r="B6563" s="28"/>
      <c r="C6563" s="27"/>
      <c r="D6563" s="27"/>
      <c r="E6563" s="30"/>
    </row>
    <row r="6564">
      <c r="A6564" s="27"/>
      <c r="B6564" s="28"/>
      <c r="C6564" s="27"/>
      <c r="D6564" s="27"/>
      <c r="E6564" s="30"/>
    </row>
    <row r="6565">
      <c r="A6565" s="27"/>
      <c r="B6565" s="28"/>
      <c r="C6565" s="27"/>
      <c r="D6565" s="27"/>
      <c r="E6565" s="30"/>
    </row>
    <row r="6566">
      <c r="A6566" s="27"/>
      <c r="B6566" s="28"/>
      <c r="C6566" s="27"/>
      <c r="D6566" s="27"/>
      <c r="E6566" s="30"/>
    </row>
    <row r="6567">
      <c r="A6567" s="27"/>
      <c r="B6567" s="28"/>
      <c r="C6567" s="27"/>
      <c r="D6567" s="27"/>
      <c r="E6567" s="30"/>
    </row>
    <row r="6568">
      <c r="A6568" s="27"/>
      <c r="B6568" s="28"/>
      <c r="C6568" s="27"/>
      <c r="D6568" s="27"/>
      <c r="E6568" s="30"/>
    </row>
    <row r="6569">
      <c r="A6569" s="27"/>
      <c r="B6569" s="28"/>
      <c r="C6569" s="27"/>
      <c r="D6569" s="27"/>
      <c r="E6569" s="30"/>
    </row>
    <row r="6570">
      <c r="A6570" s="27"/>
      <c r="B6570" s="28"/>
      <c r="C6570" s="27"/>
      <c r="D6570" s="27"/>
      <c r="E6570" s="30"/>
    </row>
    <row r="6571">
      <c r="A6571" s="27"/>
      <c r="B6571" s="28"/>
      <c r="C6571" s="27"/>
      <c r="D6571" s="27"/>
      <c r="E6571" s="30"/>
    </row>
    <row r="6572">
      <c r="A6572" s="27"/>
      <c r="B6572" s="28"/>
      <c r="C6572" s="27"/>
      <c r="D6572" s="27"/>
      <c r="E6572" s="30"/>
    </row>
    <row r="6573">
      <c r="A6573" s="27"/>
      <c r="B6573" s="28"/>
      <c r="C6573" s="27"/>
      <c r="D6573" s="27"/>
      <c r="E6573" s="30"/>
    </row>
    <row r="6574">
      <c r="A6574" s="27"/>
      <c r="B6574" s="28"/>
      <c r="C6574" s="27"/>
      <c r="D6574" s="27"/>
      <c r="E6574" s="30"/>
    </row>
    <row r="6575">
      <c r="A6575" s="27"/>
      <c r="B6575" s="28"/>
      <c r="C6575" s="27"/>
      <c r="D6575" s="27"/>
      <c r="E6575" s="30"/>
    </row>
    <row r="6576">
      <c r="A6576" s="27"/>
      <c r="B6576" s="28"/>
      <c r="C6576" s="27"/>
      <c r="D6576" s="27"/>
      <c r="E6576" s="30"/>
    </row>
    <row r="6577">
      <c r="A6577" s="27"/>
      <c r="B6577" s="28"/>
      <c r="C6577" s="27"/>
      <c r="D6577" s="27"/>
      <c r="E6577" s="30"/>
    </row>
    <row r="6578">
      <c r="A6578" s="27"/>
      <c r="B6578" s="28"/>
      <c r="C6578" s="27"/>
      <c r="D6578" s="27"/>
      <c r="E6578" s="30"/>
    </row>
    <row r="6579">
      <c r="A6579" s="27"/>
      <c r="B6579" s="28"/>
      <c r="C6579" s="27"/>
      <c r="D6579" s="27"/>
      <c r="E6579" s="30"/>
    </row>
    <row r="6580">
      <c r="A6580" s="27"/>
      <c r="B6580" s="28"/>
      <c r="C6580" s="27"/>
      <c r="D6580" s="27"/>
      <c r="E6580" s="30"/>
    </row>
    <row r="6581">
      <c r="A6581" s="27"/>
      <c r="B6581" s="28"/>
      <c r="C6581" s="27"/>
      <c r="D6581" s="27"/>
      <c r="E6581" s="30"/>
    </row>
    <row r="6582">
      <c r="A6582" s="27"/>
      <c r="B6582" s="28"/>
      <c r="C6582" s="27"/>
      <c r="D6582" s="27"/>
      <c r="E6582" s="30"/>
    </row>
    <row r="6583">
      <c r="A6583" s="27"/>
      <c r="B6583" s="28"/>
      <c r="C6583" s="27"/>
      <c r="D6583" s="27"/>
      <c r="E6583" s="30"/>
    </row>
    <row r="6584">
      <c r="A6584" s="27"/>
      <c r="B6584" s="28"/>
      <c r="C6584" s="27"/>
      <c r="D6584" s="27"/>
      <c r="E6584" s="30"/>
    </row>
    <row r="6585">
      <c r="A6585" s="27"/>
      <c r="B6585" s="28"/>
      <c r="C6585" s="27"/>
      <c r="D6585" s="27"/>
      <c r="E6585" s="30"/>
    </row>
    <row r="6586">
      <c r="A6586" s="27"/>
      <c r="B6586" s="28"/>
      <c r="C6586" s="27"/>
      <c r="D6586" s="27"/>
      <c r="E6586" s="30"/>
    </row>
    <row r="6587">
      <c r="A6587" s="27"/>
      <c r="B6587" s="28"/>
      <c r="C6587" s="27"/>
      <c r="D6587" s="27"/>
      <c r="E6587" s="30"/>
    </row>
    <row r="6588">
      <c r="A6588" s="27"/>
      <c r="B6588" s="28"/>
      <c r="C6588" s="27"/>
      <c r="D6588" s="27"/>
      <c r="E6588" s="30"/>
    </row>
    <row r="6589">
      <c r="A6589" s="27"/>
      <c r="B6589" s="28"/>
      <c r="C6589" s="27"/>
      <c r="D6589" s="27"/>
      <c r="E6589" s="30"/>
    </row>
    <row r="6590">
      <c r="A6590" s="27"/>
      <c r="B6590" s="28"/>
      <c r="C6590" s="27"/>
      <c r="D6590" s="27"/>
      <c r="E6590" s="30"/>
    </row>
    <row r="6591">
      <c r="A6591" s="27"/>
      <c r="B6591" s="28"/>
      <c r="C6591" s="27"/>
      <c r="D6591" s="27"/>
      <c r="E6591" s="30"/>
    </row>
    <row r="6592">
      <c r="A6592" s="27"/>
      <c r="B6592" s="28"/>
      <c r="C6592" s="27"/>
      <c r="D6592" s="27"/>
      <c r="E6592" s="30"/>
    </row>
    <row r="6593">
      <c r="A6593" s="27"/>
      <c r="B6593" s="28"/>
      <c r="C6593" s="27"/>
      <c r="D6593" s="27"/>
      <c r="E6593" s="30"/>
    </row>
    <row r="6594">
      <c r="A6594" s="27"/>
      <c r="B6594" s="28"/>
      <c r="C6594" s="27"/>
      <c r="D6594" s="27"/>
      <c r="E6594" s="30"/>
    </row>
    <row r="6595">
      <c r="A6595" s="27"/>
      <c r="B6595" s="28"/>
      <c r="C6595" s="27"/>
      <c r="D6595" s="27"/>
      <c r="E6595" s="30"/>
    </row>
    <row r="6596">
      <c r="A6596" s="27"/>
      <c r="B6596" s="28"/>
      <c r="C6596" s="27"/>
      <c r="D6596" s="27"/>
      <c r="E6596" s="30"/>
    </row>
    <row r="6597">
      <c r="A6597" s="27"/>
      <c r="B6597" s="28"/>
      <c r="C6597" s="27"/>
      <c r="D6597" s="27"/>
      <c r="E6597" s="30"/>
    </row>
    <row r="6598">
      <c r="A6598" s="27"/>
      <c r="B6598" s="28"/>
      <c r="C6598" s="27"/>
      <c r="D6598" s="27"/>
      <c r="E6598" s="30"/>
    </row>
    <row r="6599">
      <c r="A6599" s="27"/>
      <c r="B6599" s="28"/>
      <c r="C6599" s="27"/>
      <c r="D6599" s="27"/>
      <c r="E6599" s="30"/>
    </row>
    <row r="6600">
      <c r="A6600" s="27"/>
      <c r="B6600" s="28"/>
      <c r="C6600" s="27"/>
      <c r="D6600" s="27"/>
      <c r="E6600" s="30"/>
    </row>
    <row r="6601">
      <c r="A6601" s="27"/>
      <c r="B6601" s="28"/>
      <c r="C6601" s="27"/>
      <c r="D6601" s="27"/>
      <c r="E6601" s="30"/>
    </row>
    <row r="6602">
      <c r="A6602" s="27"/>
      <c r="B6602" s="28"/>
      <c r="C6602" s="27"/>
      <c r="D6602" s="27"/>
      <c r="E6602" s="30"/>
    </row>
    <row r="6603">
      <c r="A6603" s="27"/>
      <c r="B6603" s="28"/>
      <c r="C6603" s="27"/>
      <c r="D6603" s="27"/>
      <c r="E6603" s="30"/>
    </row>
    <row r="6604">
      <c r="A6604" s="27"/>
      <c r="B6604" s="28"/>
      <c r="C6604" s="27"/>
      <c r="D6604" s="27"/>
      <c r="E6604" s="30"/>
    </row>
    <row r="6605">
      <c r="A6605" s="27"/>
      <c r="B6605" s="28"/>
      <c r="C6605" s="27"/>
      <c r="D6605" s="27"/>
      <c r="E6605" s="30"/>
    </row>
    <row r="6606">
      <c r="A6606" s="27"/>
      <c r="B6606" s="28"/>
      <c r="C6606" s="27"/>
      <c r="D6606" s="27"/>
      <c r="E6606" s="30"/>
    </row>
    <row r="6607">
      <c r="A6607" s="27"/>
      <c r="B6607" s="28"/>
      <c r="C6607" s="27"/>
      <c r="D6607" s="27"/>
      <c r="E6607" s="30"/>
    </row>
    <row r="6608">
      <c r="A6608" s="27"/>
      <c r="B6608" s="28"/>
      <c r="C6608" s="27"/>
      <c r="D6608" s="27"/>
      <c r="E6608" s="30"/>
    </row>
    <row r="6609">
      <c r="A6609" s="27"/>
      <c r="B6609" s="28"/>
      <c r="C6609" s="27"/>
      <c r="D6609" s="27"/>
      <c r="E6609" s="30"/>
    </row>
    <row r="6610">
      <c r="A6610" s="27"/>
      <c r="B6610" s="28"/>
      <c r="C6610" s="27"/>
      <c r="D6610" s="27"/>
      <c r="E6610" s="30"/>
    </row>
    <row r="6611">
      <c r="A6611" s="27"/>
      <c r="B6611" s="28"/>
      <c r="C6611" s="27"/>
      <c r="D6611" s="27"/>
      <c r="E6611" s="30"/>
    </row>
    <row r="6612">
      <c r="A6612" s="27"/>
      <c r="B6612" s="28"/>
      <c r="C6612" s="27"/>
      <c r="D6612" s="27"/>
      <c r="E6612" s="30"/>
    </row>
    <row r="6613">
      <c r="A6613" s="27"/>
      <c r="B6613" s="28"/>
      <c r="C6613" s="27"/>
      <c r="D6613" s="27"/>
      <c r="E6613" s="30"/>
    </row>
    <row r="6614">
      <c r="A6614" s="27"/>
      <c r="B6614" s="28"/>
      <c r="C6614" s="27"/>
      <c r="D6614" s="27"/>
      <c r="E6614" s="30"/>
    </row>
    <row r="6615">
      <c r="A6615" s="27"/>
      <c r="B6615" s="28"/>
      <c r="C6615" s="27"/>
      <c r="D6615" s="27"/>
      <c r="E6615" s="30"/>
    </row>
    <row r="6616">
      <c r="A6616" s="27"/>
      <c r="B6616" s="28"/>
      <c r="C6616" s="27"/>
      <c r="D6616" s="27"/>
      <c r="E6616" s="30"/>
    </row>
    <row r="6617">
      <c r="A6617" s="27"/>
      <c r="B6617" s="28"/>
      <c r="C6617" s="27"/>
      <c r="D6617" s="27"/>
      <c r="E6617" s="30"/>
    </row>
    <row r="6618">
      <c r="A6618" s="27"/>
      <c r="B6618" s="28"/>
      <c r="C6618" s="27"/>
      <c r="D6618" s="27"/>
      <c r="E6618" s="30"/>
    </row>
    <row r="6619">
      <c r="A6619" s="27"/>
      <c r="B6619" s="28"/>
      <c r="C6619" s="27"/>
      <c r="D6619" s="27"/>
      <c r="E6619" s="30"/>
    </row>
    <row r="6620">
      <c r="A6620" s="27"/>
      <c r="B6620" s="28"/>
      <c r="C6620" s="27"/>
      <c r="D6620" s="27"/>
      <c r="E6620" s="30"/>
    </row>
    <row r="6621">
      <c r="A6621" s="27"/>
      <c r="B6621" s="28"/>
      <c r="C6621" s="27"/>
      <c r="D6621" s="27"/>
      <c r="E6621" s="30"/>
    </row>
    <row r="6622">
      <c r="A6622" s="27"/>
      <c r="B6622" s="28"/>
      <c r="C6622" s="27"/>
      <c r="D6622" s="27"/>
      <c r="E6622" s="30"/>
    </row>
    <row r="6623">
      <c r="A6623" s="27"/>
      <c r="B6623" s="28"/>
      <c r="C6623" s="27"/>
      <c r="D6623" s="27"/>
      <c r="E6623" s="30"/>
    </row>
    <row r="6624">
      <c r="A6624" s="27"/>
      <c r="B6624" s="28"/>
      <c r="C6624" s="27"/>
      <c r="D6624" s="27"/>
      <c r="E6624" s="30"/>
    </row>
    <row r="6625">
      <c r="A6625" s="27"/>
      <c r="B6625" s="28"/>
      <c r="C6625" s="27"/>
      <c r="D6625" s="27"/>
      <c r="E6625" s="30"/>
    </row>
    <row r="6626">
      <c r="A6626" s="27"/>
      <c r="B6626" s="28"/>
      <c r="C6626" s="27"/>
      <c r="D6626" s="27"/>
      <c r="E6626" s="30"/>
    </row>
    <row r="6627">
      <c r="A6627" s="27"/>
      <c r="B6627" s="28"/>
      <c r="C6627" s="27"/>
      <c r="D6627" s="27"/>
      <c r="E6627" s="30"/>
    </row>
    <row r="6628">
      <c r="A6628" s="27"/>
      <c r="B6628" s="28"/>
      <c r="C6628" s="27"/>
      <c r="D6628" s="27"/>
      <c r="E6628" s="30"/>
    </row>
    <row r="6629">
      <c r="A6629" s="27"/>
      <c r="B6629" s="28"/>
      <c r="C6629" s="27"/>
      <c r="D6629" s="27"/>
      <c r="E6629" s="30"/>
    </row>
    <row r="6630">
      <c r="A6630" s="27"/>
      <c r="B6630" s="28"/>
      <c r="C6630" s="27"/>
      <c r="D6630" s="27"/>
      <c r="E6630" s="30"/>
    </row>
    <row r="6631">
      <c r="A6631" s="27"/>
      <c r="B6631" s="28"/>
      <c r="C6631" s="27"/>
      <c r="D6631" s="27"/>
      <c r="E6631" s="30"/>
    </row>
    <row r="6632">
      <c r="A6632" s="27"/>
      <c r="B6632" s="28"/>
      <c r="C6632" s="27"/>
      <c r="D6632" s="27"/>
      <c r="E6632" s="30"/>
    </row>
    <row r="6633">
      <c r="A6633" s="27"/>
      <c r="B6633" s="28"/>
      <c r="C6633" s="27"/>
      <c r="D6633" s="27"/>
      <c r="E6633" s="30"/>
    </row>
    <row r="6634">
      <c r="A6634" s="27"/>
      <c r="B6634" s="28"/>
      <c r="C6634" s="27"/>
      <c r="D6634" s="27"/>
      <c r="E6634" s="30"/>
    </row>
    <row r="6635">
      <c r="A6635" s="27"/>
      <c r="B6635" s="28"/>
      <c r="C6635" s="27"/>
      <c r="D6635" s="27"/>
      <c r="E6635" s="30"/>
    </row>
    <row r="6636">
      <c r="A6636" s="27"/>
      <c r="B6636" s="28"/>
      <c r="C6636" s="27"/>
      <c r="D6636" s="27"/>
      <c r="E6636" s="30"/>
    </row>
    <row r="6637">
      <c r="A6637" s="27"/>
      <c r="B6637" s="28"/>
      <c r="C6637" s="27"/>
      <c r="D6637" s="27"/>
      <c r="E6637" s="30"/>
    </row>
    <row r="6638">
      <c r="A6638" s="27"/>
      <c r="B6638" s="28"/>
      <c r="C6638" s="27"/>
      <c r="D6638" s="27"/>
      <c r="E6638" s="30"/>
    </row>
    <row r="6639">
      <c r="A6639" s="27"/>
      <c r="B6639" s="28"/>
      <c r="C6639" s="27"/>
      <c r="D6639" s="27"/>
      <c r="E6639" s="30"/>
    </row>
    <row r="6640">
      <c r="A6640" s="27"/>
      <c r="B6640" s="28"/>
      <c r="C6640" s="27"/>
      <c r="D6640" s="27"/>
      <c r="E6640" s="30"/>
    </row>
    <row r="6641">
      <c r="A6641" s="27"/>
      <c r="B6641" s="28"/>
      <c r="C6641" s="27"/>
      <c r="D6641" s="27"/>
      <c r="E6641" s="30"/>
    </row>
    <row r="6642">
      <c r="A6642" s="27"/>
      <c r="B6642" s="28"/>
      <c r="C6642" s="27"/>
      <c r="D6642" s="27"/>
      <c r="E6642" s="30"/>
    </row>
    <row r="6643">
      <c r="A6643" s="27"/>
      <c r="B6643" s="28"/>
      <c r="C6643" s="27"/>
      <c r="D6643" s="27"/>
      <c r="E6643" s="30"/>
    </row>
    <row r="6644">
      <c r="A6644" s="27"/>
      <c r="B6644" s="28"/>
      <c r="C6644" s="27"/>
      <c r="D6644" s="27"/>
      <c r="E6644" s="30"/>
    </row>
    <row r="6645">
      <c r="A6645" s="27"/>
      <c r="B6645" s="28"/>
      <c r="C6645" s="27"/>
      <c r="D6645" s="27"/>
      <c r="E6645" s="30"/>
    </row>
    <row r="6646">
      <c r="A6646" s="27"/>
      <c r="B6646" s="28"/>
      <c r="C6646" s="27"/>
      <c r="D6646" s="27"/>
      <c r="E6646" s="30"/>
    </row>
    <row r="6647">
      <c r="A6647" s="27"/>
      <c r="B6647" s="28"/>
      <c r="C6647" s="27"/>
      <c r="D6647" s="27"/>
      <c r="E6647" s="30"/>
    </row>
    <row r="6648">
      <c r="A6648" s="27"/>
      <c r="B6648" s="28"/>
      <c r="C6648" s="27"/>
      <c r="D6648" s="27"/>
      <c r="E6648" s="30"/>
    </row>
    <row r="6649">
      <c r="A6649" s="27"/>
      <c r="B6649" s="28"/>
      <c r="C6649" s="27"/>
      <c r="D6649" s="27"/>
      <c r="E6649" s="30"/>
    </row>
    <row r="6650">
      <c r="A6650" s="27"/>
      <c r="B6650" s="28"/>
      <c r="C6650" s="27"/>
      <c r="D6650" s="27"/>
      <c r="E6650" s="30"/>
    </row>
    <row r="6651">
      <c r="A6651" s="27"/>
      <c r="B6651" s="28"/>
      <c r="C6651" s="27"/>
      <c r="D6651" s="27"/>
      <c r="E6651" s="30"/>
    </row>
    <row r="6652">
      <c r="A6652" s="27"/>
      <c r="B6652" s="28"/>
      <c r="C6652" s="27"/>
      <c r="D6652" s="27"/>
      <c r="E6652" s="30"/>
    </row>
    <row r="6653">
      <c r="A6653" s="27"/>
      <c r="B6653" s="28"/>
      <c r="C6653" s="27"/>
      <c r="D6653" s="27"/>
      <c r="E6653" s="30"/>
    </row>
    <row r="6654">
      <c r="A6654" s="27"/>
      <c r="B6654" s="28"/>
      <c r="C6654" s="27"/>
      <c r="D6654" s="27"/>
      <c r="E6654" s="30"/>
    </row>
    <row r="6655">
      <c r="A6655" s="27"/>
      <c r="B6655" s="28"/>
      <c r="C6655" s="27"/>
      <c r="D6655" s="27"/>
      <c r="E6655" s="30"/>
    </row>
    <row r="6656">
      <c r="A6656" s="27"/>
      <c r="B6656" s="28"/>
      <c r="C6656" s="27"/>
      <c r="D6656" s="27"/>
      <c r="E6656" s="30"/>
    </row>
    <row r="6657">
      <c r="A6657" s="27"/>
      <c r="B6657" s="28"/>
      <c r="C6657" s="27"/>
      <c r="D6657" s="27"/>
      <c r="E6657" s="30"/>
    </row>
    <row r="6658">
      <c r="A6658" s="27"/>
      <c r="B6658" s="28"/>
      <c r="C6658" s="27"/>
      <c r="D6658" s="27"/>
      <c r="E6658" s="30"/>
    </row>
    <row r="6659">
      <c r="A6659" s="27"/>
      <c r="B6659" s="28"/>
      <c r="C6659" s="27"/>
      <c r="D6659" s="27"/>
      <c r="E6659" s="30"/>
    </row>
    <row r="6660">
      <c r="A6660" s="27"/>
      <c r="B6660" s="28"/>
      <c r="C6660" s="27"/>
      <c r="D6660" s="27"/>
      <c r="E6660" s="30"/>
    </row>
    <row r="6661">
      <c r="A6661" s="27"/>
      <c r="B6661" s="28"/>
      <c r="C6661" s="27"/>
      <c r="D6661" s="27"/>
      <c r="E6661" s="30"/>
    </row>
    <row r="6662">
      <c r="A6662" s="27"/>
      <c r="B6662" s="28"/>
      <c r="C6662" s="27"/>
      <c r="D6662" s="27"/>
      <c r="E6662" s="30"/>
    </row>
    <row r="6663">
      <c r="A6663" s="27"/>
      <c r="B6663" s="28"/>
      <c r="C6663" s="27"/>
      <c r="D6663" s="27"/>
      <c r="E6663" s="30"/>
    </row>
    <row r="6664">
      <c r="A6664" s="27"/>
      <c r="B6664" s="28"/>
      <c r="C6664" s="27"/>
      <c r="D6664" s="27"/>
      <c r="E6664" s="30"/>
    </row>
    <row r="6665">
      <c r="A6665" s="27"/>
      <c r="B6665" s="28"/>
      <c r="C6665" s="27"/>
      <c r="D6665" s="27"/>
      <c r="E6665" s="30"/>
    </row>
    <row r="6666">
      <c r="A6666" s="27"/>
      <c r="B6666" s="28"/>
      <c r="C6666" s="27"/>
      <c r="D6666" s="27"/>
      <c r="E6666" s="30"/>
    </row>
    <row r="6667">
      <c r="A6667" s="27"/>
      <c r="B6667" s="28"/>
      <c r="C6667" s="27"/>
      <c r="D6667" s="27"/>
      <c r="E6667" s="30"/>
    </row>
    <row r="6668">
      <c r="A6668" s="27"/>
      <c r="B6668" s="28"/>
      <c r="C6668" s="27"/>
      <c r="D6668" s="27"/>
      <c r="E6668" s="30"/>
    </row>
    <row r="6669">
      <c r="A6669" s="27"/>
      <c r="B6669" s="28"/>
      <c r="C6669" s="27"/>
      <c r="D6669" s="27"/>
      <c r="E6669" s="30"/>
    </row>
    <row r="6670">
      <c r="A6670" s="27"/>
      <c r="B6670" s="28"/>
      <c r="C6670" s="27"/>
      <c r="D6670" s="27"/>
      <c r="E6670" s="30"/>
    </row>
    <row r="6671">
      <c r="A6671" s="27"/>
      <c r="B6671" s="28"/>
      <c r="C6671" s="27"/>
      <c r="D6671" s="27"/>
      <c r="E6671" s="30"/>
    </row>
    <row r="6672">
      <c r="A6672" s="27"/>
      <c r="B6672" s="28"/>
      <c r="C6672" s="27"/>
      <c r="D6672" s="27"/>
      <c r="E6672" s="30"/>
    </row>
    <row r="6673">
      <c r="A6673" s="27"/>
      <c r="B6673" s="28"/>
      <c r="C6673" s="27"/>
      <c r="D6673" s="27"/>
      <c r="E6673" s="30"/>
    </row>
    <row r="6674">
      <c r="A6674" s="27"/>
      <c r="B6674" s="28"/>
      <c r="C6674" s="27"/>
      <c r="D6674" s="27"/>
      <c r="E6674" s="30"/>
    </row>
    <row r="6675">
      <c r="A6675" s="27"/>
      <c r="B6675" s="28"/>
      <c r="C6675" s="27"/>
      <c r="D6675" s="27"/>
      <c r="E6675" s="30"/>
    </row>
    <row r="6676">
      <c r="A6676" s="27"/>
      <c r="B6676" s="28"/>
      <c r="C6676" s="27"/>
      <c r="D6676" s="27"/>
      <c r="E6676" s="30"/>
    </row>
    <row r="6677">
      <c r="A6677" s="27"/>
      <c r="B6677" s="28"/>
      <c r="C6677" s="27"/>
      <c r="D6677" s="27"/>
      <c r="E6677" s="30"/>
    </row>
    <row r="6678">
      <c r="A6678" s="27"/>
      <c r="B6678" s="28"/>
      <c r="C6678" s="27"/>
      <c r="D6678" s="27"/>
      <c r="E6678" s="30"/>
    </row>
    <row r="6679">
      <c r="A6679" s="27"/>
      <c r="B6679" s="28"/>
      <c r="C6679" s="27"/>
      <c r="D6679" s="27"/>
      <c r="E6679" s="30"/>
    </row>
    <row r="6680">
      <c r="A6680" s="27"/>
      <c r="B6680" s="28"/>
      <c r="C6680" s="27"/>
      <c r="D6680" s="27"/>
      <c r="E6680" s="30"/>
    </row>
    <row r="6681">
      <c r="A6681" s="27"/>
      <c r="B6681" s="28"/>
      <c r="C6681" s="27"/>
      <c r="D6681" s="27"/>
      <c r="E6681" s="30"/>
    </row>
    <row r="6682">
      <c r="A6682" s="27"/>
      <c r="B6682" s="28"/>
      <c r="C6682" s="27"/>
      <c r="D6682" s="27"/>
      <c r="E6682" s="30"/>
    </row>
    <row r="6683">
      <c r="A6683" s="27"/>
      <c r="B6683" s="28"/>
      <c r="C6683" s="27"/>
      <c r="D6683" s="27"/>
      <c r="E6683" s="30"/>
    </row>
    <row r="6684">
      <c r="A6684" s="27"/>
      <c r="B6684" s="28"/>
      <c r="C6684" s="27"/>
      <c r="D6684" s="27"/>
      <c r="E6684" s="30"/>
    </row>
    <row r="6685">
      <c r="A6685" s="27"/>
      <c r="B6685" s="28"/>
      <c r="C6685" s="27"/>
      <c r="D6685" s="27"/>
      <c r="E6685" s="30"/>
    </row>
    <row r="6686">
      <c r="A6686" s="27"/>
      <c r="B6686" s="28"/>
      <c r="C6686" s="27"/>
      <c r="D6686" s="27"/>
      <c r="E6686" s="30"/>
    </row>
    <row r="6687">
      <c r="A6687" s="27"/>
      <c r="B6687" s="28"/>
      <c r="C6687" s="27"/>
      <c r="D6687" s="27"/>
      <c r="E6687" s="30"/>
    </row>
    <row r="6688">
      <c r="A6688" s="27"/>
      <c r="B6688" s="28"/>
      <c r="C6688" s="27"/>
      <c r="D6688" s="27"/>
      <c r="E6688" s="30"/>
    </row>
    <row r="6689">
      <c r="A6689" s="27"/>
      <c r="B6689" s="28"/>
      <c r="C6689" s="27"/>
      <c r="D6689" s="27"/>
      <c r="E6689" s="30"/>
    </row>
    <row r="6690">
      <c r="A6690" s="27"/>
      <c r="B6690" s="28"/>
      <c r="C6690" s="27"/>
      <c r="D6690" s="27"/>
      <c r="E6690" s="30"/>
    </row>
    <row r="6691">
      <c r="A6691" s="27"/>
      <c r="B6691" s="28"/>
      <c r="C6691" s="27"/>
      <c r="D6691" s="27"/>
      <c r="E6691" s="30"/>
    </row>
    <row r="6692">
      <c r="A6692" s="27"/>
      <c r="B6692" s="28"/>
      <c r="C6692" s="27"/>
      <c r="D6692" s="27"/>
      <c r="E6692" s="30"/>
    </row>
    <row r="6693">
      <c r="A6693" s="27"/>
      <c r="B6693" s="28"/>
      <c r="C6693" s="27"/>
      <c r="D6693" s="27"/>
      <c r="E6693" s="30"/>
    </row>
    <row r="6694">
      <c r="A6694" s="27"/>
      <c r="B6694" s="28"/>
      <c r="C6694" s="27"/>
      <c r="D6694" s="27"/>
      <c r="E6694" s="30"/>
    </row>
    <row r="6695">
      <c r="A6695" s="27"/>
      <c r="B6695" s="28"/>
      <c r="C6695" s="27"/>
      <c r="D6695" s="27"/>
      <c r="E6695" s="30"/>
    </row>
    <row r="6696">
      <c r="A6696" s="27"/>
      <c r="B6696" s="28"/>
      <c r="C6696" s="27"/>
      <c r="D6696" s="27"/>
      <c r="E6696" s="30"/>
    </row>
    <row r="6697">
      <c r="A6697" s="27"/>
      <c r="B6697" s="28"/>
      <c r="C6697" s="27"/>
      <c r="D6697" s="27"/>
      <c r="E6697" s="30"/>
    </row>
    <row r="6698">
      <c r="A6698" s="27"/>
      <c r="B6698" s="28"/>
      <c r="C6698" s="27"/>
      <c r="D6698" s="27"/>
      <c r="E6698" s="30"/>
    </row>
    <row r="6699">
      <c r="A6699" s="27"/>
      <c r="B6699" s="28"/>
      <c r="C6699" s="27"/>
      <c r="D6699" s="27"/>
      <c r="E6699" s="30"/>
    </row>
    <row r="6700">
      <c r="A6700" s="27"/>
      <c r="B6700" s="28"/>
      <c r="C6700" s="27"/>
      <c r="D6700" s="27"/>
      <c r="E6700" s="30"/>
    </row>
    <row r="6701">
      <c r="A6701" s="27"/>
      <c r="B6701" s="28"/>
      <c r="C6701" s="27"/>
      <c r="D6701" s="27"/>
      <c r="E6701" s="30"/>
    </row>
    <row r="6702">
      <c r="A6702" s="27"/>
      <c r="B6702" s="28"/>
      <c r="C6702" s="27"/>
      <c r="D6702" s="27"/>
      <c r="E6702" s="30"/>
    </row>
    <row r="6703">
      <c r="A6703" s="27"/>
      <c r="B6703" s="28"/>
      <c r="C6703" s="27"/>
      <c r="D6703" s="27"/>
      <c r="E6703" s="30"/>
    </row>
    <row r="6704">
      <c r="A6704" s="27"/>
      <c r="B6704" s="28"/>
      <c r="C6704" s="27"/>
      <c r="D6704" s="27"/>
      <c r="E6704" s="30"/>
    </row>
    <row r="6705">
      <c r="A6705" s="27"/>
      <c r="B6705" s="28"/>
      <c r="C6705" s="27"/>
      <c r="D6705" s="27"/>
      <c r="E6705" s="30"/>
    </row>
    <row r="6706">
      <c r="A6706" s="27"/>
      <c r="B6706" s="28"/>
      <c r="C6706" s="27"/>
      <c r="D6706" s="27"/>
      <c r="E6706" s="30"/>
    </row>
    <row r="6707">
      <c r="A6707" s="27"/>
      <c r="B6707" s="28"/>
      <c r="C6707" s="27"/>
      <c r="D6707" s="27"/>
      <c r="E6707" s="30"/>
    </row>
    <row r="6708">
      <c r="A6708" s="27"/>
      <c r="B6708" s="28"/>
      <c r="C6708" s="27"/>
      <c r="D6708" s="27"/>
      <c r="E6708" s="30"/>
    </row>
    <row r="6709">
      <c r="A6709" s="27"/>
      <c r="B6709" s="28"/>
      <c r="C6709" s="27"/>
      <c r="D6709" s="27"/>
      <c r="E6709" s="30"/>
    </row>
    <row r="6710">
      <c r="A6710" s="27"/>
      <c r="B6710" s="28"/>
      <c r="C6710" s="27"/>
      <c r="D6710" s="27"/>
      <c r="E6710" s="30"/>
    </row>
    <row r="6711">
      <c r="A6711" s="27"/>
      <c r="B6711" s="28"/>
      <c r="C6711" s="27"/>
      <c r="D6711" s="27"/>
      <c r="E6711" s="30"/>
    </row>
    <row r="6712">
      <c r="A6712" s="27"/>
      <c r="B6712" s="28"/>
      <c r="C6712" s="27"/>
      <c r="D6712" s="27"/>
      <c r="E6712" s="30"/>
    </row>
    <row r="6713">
      <c r="A6713" s="27"/>
      <c r="B6713" s="28"/>
      <c r="C6713" s="27"/>
      <c r="D6713" s="27"/>
      <c r="E6713" s="30"/>
    </row>
    <row r="6714">
      <c r="A6714" s="27"/>
      <c r="B6714" s="28"/>
      <c r="C6714" s="27"/>
      <c r="D6714" s="27"/>
      <c r="E6714" s="30"/>
    </row>
    <row r="6715">
      <c r="A6715" s="27"/>
      <c r="B6715" s="28"/>
      <c r="C6715" s="27"/>
      <c r="D6715" s="27"/>
      <c r="E6715" s="30"/>
    </row>
    <row r="6716">
      <c r="A6716" s="27"/>
      <c r="B6716" s="28"/>
      <c r="C6716" s="27"/>
      <c r="D6716" s="27"/>
      <c r="E6716" s="30"/>
    </row>
    <row r="6717">
      <c r="A6717" s="27"/>
      <c r="B6717" s="28"/>
      <c r="C6717" s="27"/>
      <c r="D6717" s="27"/>
      <c r="E6717" s="30"/>
    </row>
    <row r="6718">
      <c r="A6718" s="27"/>
      <c r="B6718" s="28"/>
      <c r="C6718" s="27"/>
      <c r="D6718" s="27"/>
      <c r="E6718" s="30"/>
    </row>
    <row r="6719">
      <c r="A6719" s="27"/>
      <c r="B6719" s="28"/>
      <c r="C6719" s="27"/>
      <c r="D6719" s="27"/>
      <c r="E6719" s="30"/>
    </row>
    <row r="6720">
      <c r="A6720" s="27"/>
      <c r="B6720" s="28"/>
      <c r="C6720" s="27"/>
      <c r="D6720" s="27"/>
      <c r="E6720" s="30"/>
    </row>
    <row r="6721">
      <c r="A6721" s="27"/>
      <c r="B6721" s="28"/>
      <c r="C6721" s="27"/>
      <c r="D6721" s="27"/>
      <c r="E6721" s="30"/>
    </row>
    <row r="6722">
      <c r="A6722" s="27"/>
      <c r="B6722" s="28"/>
      <c r="C6722" s="27"/>
      <c r="D6722" s="27"/>
      <c r="E6722" s="30"/>
    </row>
    <row r="6723">
      <c r="A6723" s="27"/>
      <c r="B6723" s="28"/>
      <c r="C6723" s="27"/>
      <c r="D6723" s="27"/>
      <c r="E6723" s="30"/>
    </row>
    <row r="6724">
      <c r="A6724" s="27"/>
      <c r="B6724" s="28"/>
      <c r="C6724" s="27"/>
      <c r="D6724" s="27"/>
      <c r="E6724" s="30"/>
    </row>
    <row r="6725">
      <c r="A6725" s="27"/>
      <c r="B6725" s="28"/>
      <c r="C6725" s="27"/>
      <c r="D6725" s="27"/>
      <c r="E6725" s="30"/>
    </row>
    <row r="6726">
      <c r="A6726" s="27"/>
      <c r="B6726" s="28"/>
      <c r="C6726" s="27"/>
      <c r="D6726" s="27"/>
      <c r="E6726" s="30"/>
    </row>
    <row r="6727">
      <c r="A6727" s="27"/>
      <c r="B6727" s="28"/>
      <c r="C6727" s="27"/>
      <c r="D6727" s="27"/>
      <c r="E6727" s="30"/>
    </row>
    <row r="6728">
      <c r="A6728" s="27"/>
      <c r="B6728" s="28"/>
      <c r="C6728" s="27"/>
      <c r="D6728" s="27"/>
      <c r="E6728" s="30"/>
    </row>
    <row r="6729">
      <c r="A6729" s="27"/>
      <c r="B6729" s="28"/>
      <c r="C6729" s="27"/>
      <c r="D6729" s="27"/>
      <c r="E6729" s="30"/>
    </row>
    <row r="6730">
      <c r="A6730" s="27"/>
      <c r="B6730" s="28"/>
      <c r="C6730" s="27"/>
      <c r="D6730" s="27"/>
      <c r="E6730" s="30"/>
    </row>
    <row r="6731">
      <c r="A6731" s="27"/>
      <c r="B6731" s="28"/>
      <c r="C6731" s="27"/>
      <c r="D6731" s="27"/>
      <c r="E6731" s="30"/>
    </row>
    <row r="6732">
      <c r="A6732" s="27"/>
      <c r="B6732" s="28"/>
      <c r="C6732" s="27"/>
      <c r="D6732" s="27"/>
      <c r="E6732" s="30"/>
    </row>
    <row r="6733">
      <c r="A6733" s="27"/>
      <c r="B6733" s="28"/>
      <c r="C6733" s="27"/>
      <c r="D6733" s="27"/>
      <c r="E6733" s="30"/>
    </row>
    <row r="6734">
      <c r="A6734" s="27"/>
      <c r="B6734" s="28"/>
      <c r="C6734" s="27"/>
      <c r="D6734" s="27"/>
      <c r="E6734" s="30"/>
    </row>
    <row r="6735">
      <c r="A6735" s="27"/>
      <c r="B6735" s="28"/>
      <c r="C6735" s="27"/>
      <c r="D6735" s="27"/>
      <c r="E6735" s="30"/>
    </row>
    <row r="6736">
      <c r="A6736" s="27"/>
      <c r="B6736" s="28"/>
      <c r="C6736" s="27"/>
      <c r="D6736" s="27"/>
      <c r="E6736" s="30"/>
    </row>
    <row r="6737">
      <c r="A6737" s="27"/>
      <c r="B6737" s="28"/>
      <c r="C6737" s="27"/>
      <c r="D6737" s="27"/>
      <c r="E6737" s="30"/>
    </row>
    <row r="6738">
      <c r="A6738" s="27"/>
      <c r="B6738" s="28"/>
      <c r="C6738" s="27"/>
      <c r="D6738" s="27"/>
      <c r="E6738" s="30"/>
    </row>
    <row r="6739">
      <c r="A6739" s="27"/>
      <c r="B6739" s="28"/>
      <c r="C6739" s="27"/>
      <c r="D6739" s="27"/>
      <c r="E6739" s="30"/>
    </row>
    <row r="6740">
      <c r="A6740" s="27"/>
      <c r="B6740" s="28"/>
      <c r="C6740" s="27"/>
      <c r="D6740" s="27"/>
      <c r="E6740" s="30"/>
    </row>
    <row r="6741">
      <c r="A6741" s="27"/>
      <c r="B6741" s="28"/>
      <c r="C6741" s="27"/>
      <c r="D6741" s="27"/>
      <c r="E6741" s="30"/>
    </row>
    <row r="6742">
      <c r="A6742" s="27"/>
      <c r="B6742" s="28"/>
      <c r="C6742" s="27"/>
      <c r="D6742" s="27"/>
      <c r="E6742" s="30"/>
    </row>
    <row r="6743">
      <c r="A6743" s="27"/>
      <c r="B6743" s="28"/>
      <c r="C6743" s="27"/>
      <c r="D6743" s="27"/>
      <c r="E6743" s="30"/>
    </row>
    <row r="6744">
      <c r="A6744" s="27"/>
      <c r="B6744" s="28"/>
      <c r="C6744" s="27"/>
      <c r="D6744" s="27"/>
      <c r="E6744" s="30"/>
    </row>
    <row r="6745">
      <c r="A6745" s="27"/>
      <c r="B6745" s="28"/>
      <c r="C6745" s="27"/>
      <c r="D6745" s="27"/>
      <c r="E6745" s="30"/>
    </row>
    <row r="6746">
      <c r="A6746" s="27"/>
      <c r="B6746" s="28"/>
      <c r="C6746" s="27"/>
      <c r="D6746" s="27"/>
      <c r="E6746" s="30"/>
    </row>
    <row r="6747">
      <c r="A6747" s="27"/>
      <c r="B6747" s="28"/>
      <c r="C6747" s="27"/>
      <c r="D6747" s="27"/>
      <c r="E6747" s="30"/>
    </row>
    <row r="6748">
      <c r="A6748" s="27"/>
      <c r="B6748" s="28"/>
      <c r="C6748" s="27"/>
      <c r="D6748" s="27"/>
      <c r="E6748" s="30"/>
    </row>
    <row r="6749">
      <c r="A6749" s="27"/>
      <c r="B6749" s="28"/>
      <c r="C6749" s="27"/>
      <c r="D6749" s="27"/>
      <c r="E6749" s="30"/>
    </row>
    <row r="6750">
      <c r="A6750" s="27"/>
      <c r="B6750" s="28"/>
      <c r="C6750" s="27"/>
      <c r="D6750" s="27"/>
      <c r="E6750" s="30"/>
    </row>
    <row r="6751">
      <c r="A6751" s="27"/>
      <c r="B6751" s="28"/>
      <c r="C6751" s="27"/>
      <c r="D6751" s="27"/>
      <c r="E6751" s="30"/>
    </row>
    <row r="6752">
      <c r="A6752" s="27"/>
      <c r="B6752" s="28"/>
      <c r="C6752" s="27"/>
      <c r="D6752" s="27"/>
      <c r="E6752" s="30"/>
    </row>
    <row r="6753">
      <c r="A6753" s="27"/>
      <c r="B6753" s="28"/>
      <c r="C6753" s="27"/>
      <c r="D6753" s="27"/>
      <c r="E6753" s="30"/>
    </row>
    <row r="6754">
      <c r="A6754" s="27"/>
      <c r="B6754" s="28"/>
      <c r="C6754" s="27"/>
      <c r="D6754" s="27"/>
      <c r="E6754" s="30"/>
    </row>
    <row r="6755">
      <c r="A6755" s="27"/>
      <c r="B6755" s="28"/>
      <c r="C6755" s="27"/>
      <c r="D6755" s="27"/>
      <c r="E6755" s="30"/>
    </row>
    <row r="6756">
      <c r="A6756" s="27"/>
      <c r="B6756" s="28"/>
      <c r="C6756" s="27"/>
      <c r="D6756" s="27"/>
      <c r="E6756" s="30"/>
    </row>
    <row r="6757">
      <c r="A6757" s="27"/>
      <c r="B6757" s="28"/>
      <c r="C6757" s="27"/>
      <c r="D6757" s="27"/>
      <c r="E6757" s="30"/>
    </row>
    <row r="6758">
      <c r="A6758" s="27"/>
      <c r="B6758" s="28"/>
      <c r="C6758" s="27"/>
      <c r="D6758" s="27"/>
      <c r="E6758" s="30"/>
    </row>
    <row r="6759">
      <c r="A6759" s="27"/>
      <c r="B6759" s="28"/>
      <c r="C6759" s="27"/>
      <c r="D6759" s="27"/>
      <c r="E6759" s="30"/>
    </row>
    <row r="6760">
      <c r="A6760" s="27"/>
      <c r="B6760" s="28"/>
      <c r="C6760" s="27"/>
      <c r="D6760" s="27"/>
      <c r="E6760" s="30"/>
    </row>
    <row r="6761">
      <c r="A6761" s="27"/>
      <c r="B6761" s="28"/>
      <c r="C6761" s="27"/>
      <c r="D6761" s="27"/>
      <c r="E6761" s="30"/>
    </row>
    <row r="6762">
      <c r="A6762" s="27"/>
      <c r="B6762" s="28"/>
      <c r="C6762" s="27"/>
      <c r="D6762" s="27"/>
      <c r="E6762" s="30"/>
    </row>
    <row r="6763">
      <c r="A6763" s="27"/>
      <c r="B6763" s="28"/>
      <c r="C6763" s="27"/>
      <c r="D6763" s="27"/>
      <c r="E6763" s="30"/>
    </row>
    <row r="6764">
      <c r="A6764" s="27"/>
      <c r="B6764" s="28"/>
      <c r="C6764" s="27"/>
      <c r="D6764" s="27"/>
      <c r="E6764" s="30"/>
    </row>
    <row r="6765">
      <c r="A6765" s="27"/>
      <c r="B6765" s="28"/>
      <c r="C6765" s="27"/>
      <c r="D6765" s="27"/>
      <c r="E6765" s="30"/>
    </row>
    <row r="6766">
      <c r="A6766" s="27"/>
      <c r="B6766" s="28"/>
      <c r="C6766" s="27"/>
      <c r="D6766" s="27"/>
      <c r="E6766" s="30"/>
    </row>
    <row r="6767">
      <c r="A6767" s="27"/>
      <c r="B6767" s="28"/>
      <c r="C6767" s="27"/>
      <c r="D6767" s="27"/>
      <c r="E6767" s="30"/>
    </row>
    <row r="6768">
      <c r="A6768" s="27"/>
      <c r="B6768" s="28"/>
      <c r="C6768" s="27"/>
      <c r="D6768" s="27"/>
      <c r="E6768" s="30"/>
    </row>
    <row r="6769">
      <c r="A6769" s="27"/>
      <c r="B6769" s="28"/>
      <c r="C6769" s="27"/>
      <c r="D6769" s="27"/>
      <c r="E6769" s="30"/>
    </row>
    <row r="6770">
      <c r="A6770" s="27"/>
      <c r="B6770" s="28"/>
      <c r="C6770" s="27"/>
      <c r="D6770" s="27"/>
      <c r="E6770" s="30"/>
    </row>
    <row r="6771">
      <c r="A6771" s="27"/>
      <c r="B6771" s="28"/>
      <c r="C6771" s="27"/>
      <c r="D6771" s="27"/>
      <c r="E6771" s="30"/>
    </row>
    <row r="6772">
      <c r="A6772" s="27"/>
      <c r="B6772" s="28"/>
      <c r="C6772" s="27"/>
      <c r="D6772" s="27"/>
      <c r="E6772" s="30"/>
    </row>
    <row r="6773">
      <c r="A6773" s="27"/>
      <c r="B6773" s="28"/>
      <c r="C6773" s="27"/>
      <c r="D6773" s="27"/>
      <c r="E6773" s="30"/>
    </row>
    <row r="6774">
      <c r="A6774" s="27"/>
      <c r="B6774" s="28"/>
      <c r="C6774" s="27"/>
      <c r="D6774" s="27"/>
      <c r="E6774" s="30"/>
    </row>
    <row r="6775">
      <c r="A6775" s="27"/>
      <c r="B6775" s="28"/>
      <c r="C6775" s="27"/>
      <c r="D6775" s="27"/>
      <c r="E6775" s="30"/>
    </row>
    <row r="6776">
      <c r="A6776" s="27"/>
      <c r="B6776" s="28"/>
      <c r="C6776" s="27"/>
      <c r="D6776" s="27"/>
      <c r="E6776" s="30"/>
    </row>
    <row r="6777">
      <c r="A6777" s="27"/>
      <c r="B6777" s="28"/>
      <c r="C6777" s="27"/>
      <c r="D6777" s="27"/>
      <c r="E6777" s="30"/>
    </row>
    <row r="6778">
      <c r="A6778" s="27"/>
      <c r="B6778" s="28"/>
      <c r="C6778" s="27"/>
      <c r="D6778" s="27"/>
      <c r="E6778" s="30"/>
    </row>
    <row r="6779">
      <c r="A6779" s="27"/>
      <c r="B6779" s="28"/>
      <c r="C6779" s="27"/>
      <c r="D6779" s="27"/>
      <c r="E6779" s="30"/>
    </row>
    <row r="6780">
      <c r="A6780" s="27"/>
      <c r="B6780" s="28"/>
      <c r="C6780" s="27"/>
      <c r="D6780" s="27"/>
      <c r="E6780" s="30"/>
    </row>
    <row r="6781">
      <c r="A6781" s="27"/>
      <c r="B6781" s="28"/>
      <c r="C6781" s="27"/>
      <c r="D6781" s="27"/>
      <c r="E6781" s="30"/>
    </row>
    <row r="6782">
      <c r="A6782" s="27"/>
      <c r="B6782" s="28"/>
      <c r="C6782" s="27"/>
      <c r="D6782" s="27"/>
      <c r="E6782" s="30"/>
    </row>
    <row r="6783">
      <c r="A6783" s="27"/>
      <c r="B6783" s="28"/>
      <c r="C6783" s="27"/>
      <c r="D6783" s="27"/>
      <c r="E6783" s="30"/>
    </row>
    <row r="6784">
      <c r="A6784" s="27"/>
      <c r="B6784" s="28"/>
      <c r="C6784" s="27"/>
      <c r="D6784" s="27"/>
      <c r="E6784" s="30"/>
    </row>
    <row r="6785">
      <c r="A6785" s="27"/>
      <c r="B6785" s="28"/>
      <c r="C6785" s="27"/>
      <c r="D6785" s="27"/>
      <c r="E6785" s="30"/>
    </row>
    <row r="6786">
      <c r="A6786" s="27"/>
      <c r="B6786" s="28"/>
      <c r="C6786" s="27"/>
      <c r="D6786" s="27"/>
      <c r="E6786" s="30"/>
    </row>
    <row r="6787">
      <c r="A6787" s="27"/>
      <c r="B6787" s="28"/>
      <c r="C6787" s="27"/>
      <c r="D6787" s="27"/>
      <c r="E6787" s="30"/>
    </row>
    <row r="6788">
      <c r="A6788" s="27"/>
      <c r="B6788" s="28"/>
      <c r="C6788" s="27"/>
      <c r="D6788" s="27"/>
      <c r="E6788" s="30"/>
    </row>
    <row r="6789">
      <c r="A6789" s="27"/>
      <c r="B6789" s="28"/>
      <c r="C6789" s="27"/>
      <c r="D6789" s="27"/>
      <c r="E6789" s="30"/>
    </row>
    <row r="6790">
      <c r="A6790" s="27"/>
      <c r="B6790" s="28"/>
      <c r="C6790" s="27"/>
      <c r="D6790" s="27"/>
      <c r="E6790" s="30"/>
    </row>
    <row r="6791">
      <c r="A6791" s="27"/>
      <c r="B6791" s="28"/>
      <c r="C6791" s="27"/>
      <c r="D6791" s="27"/>
      <c r="E6791" s="30"/>
    </row>
    <row r="6792">
      <c r="A6792" s="27"/>
      <c r="B6792" s="28"/>
      <c r="C6792" s="27"/>
      <c r="D6792" s="27"/>
      <c r="E6792" s="30"/>
    </row>
    <row r="6793">
      <c r="A6793" s="27"/>
      <c r="B6793" s="28"/>
      <c r="C6793" s="27"/>
      <c r="D6793" s="27"/>
      <c r="E6793" s="30"/>
    </row>
    <row r="6794">
      <c r="A6794" s="27"/>
      <c r="B6794" s="28"/>
      <c r="C6794" s="27"/>
      <c r="D6794" s="27"/>
      <c r="E6794" s="30"/>
    </row>
    <row r="6795">
      <c r="A6795" s="27"/>
      <c r="B6795" s="28"/>
      <c r="C6795" s="27"/>
      <c r="D6795" s="27"/>
      <c r="E6795" s="30"/>
    </row>
    <row r="6796">
      <c r="A6796" s="27"/>
      <c r="B6796" s="28"/>
      <c r="C6796" s="27"/>
      <c r="D6796" s="27"/>
      <c r="E6796" s="30"/>
    </row>
    <row r="6797">
      <c r="A6797" s="27"/>
      <c r="B6797" s="28"/>
      <c r="C6797" s="27"/>
      <c r="D6797" s="27"/>
      <c r="E6797" s="30"/>
    </row>
    <row r="6798">
      <c r="A6798" s="27"/>
      <c r="B6798" s="28"/>
      <c r="C6798" s="27"/>
      <c r="D6798" s="27"/>
      <c r="E6798" s="30"/>
    </row>
    <row r="6799">
      <c r="A6799" s="27"/>
      <c r="B6799" s="28"/>
      <c r="C6799" s="27"/>
      <c r="D6799" s="27"/>
      <c r="E6799" s="30"/>
    </row>
    <row r="6800">
      <c r="A6800" s="27"/>
      <c r="B6800" s="28"/>
      <c r="C6800" s="27"/>
      <c r="D6800" s="27"/>
      <c r="E6800" s="30"/>
    </row>
    <row r="6801">
      <c r="A6801" s="27"/>
      <c r="B6801" s="28"/>
      <c r="C6801" s="27"/>
      <c r="D6801" s="27"/>
      <c r="E6801" s="30"/>
    </row>
    <row r="6802">
      <c r="A6802" s="27"/>
      <c r="B6802" s="28"/>
      <c r="C6802" s="27"/>
      <c r="D6802" s="27"/>
      <c r="E6802" s="30"/>
    </row>
    <row r="6803">
      <c r="A6803" s="27"/>
      <c r="B6803" s="28"/>
      <c r="C6803" s="27"/>
      <c r="D6803" s="27"/>
      <c r="E6803" s="30"/>
    </row>
    <row r="6804">
      <c r="A6804" s="27"/>
      <c r="B6804" s="28"/>
      <c r="C6804" s="27"/>
      <c r="D6804" s="27"/>
      <c r="E6804" s="30"/>
    </row>
    <row r="6805">
      <c r="A6805" s="27"/>
      <c r="B6805" s="28"/>
      <c r="C6805" s="27"/>
      <c r="D6805" s="27"/>
      <c r="E6805" s="30"/>
    </row>
    <row r="6806">
      <c r="A6806" s="27"/>
      <c r="B6806" s="28"/>
      <c r="C6806" s="27"/>
      <c r="D6806" s="27"/>
      <c r="E6806" s="30"/>
    </row>
    <row r="6807">
      <c r="A6807" s="27"/>
      <c r="B6807" s="28"/>
      <c r="C6807" s="27"/>
      <c r="D6807" s="27"/>
      <c r="E6807" s="30"/>
    </row>
    <row r="6808">
      <c r="A6808" s="27"/>
      <c r="B6808" s="28"/>
      <c r="C6808" s="27"/>
      <c r="D6808" s="27"/>
      <c r="E6808" s="30"/>
    </row>
    <row r="6809">
      <c r="A6809" s="27"/>
      <c r="B6809" s="28"/>
      <c r="C6809" s="27"/>
      <c r="D6809" s="27"/>
      <c r="E6809" s="30"/>
    </row>
    <row r="6810">
      <c r="A6810" s="27"/>
      <c r="B6810" s="28"/>
      <c r="C6810" s="27"/>
      <c r="D6810" s="27"/>
      <c r="E6810" s="30"/>
    </row>
    <row r="6811">
      <c r="A6811" s="27"/>
      <c r="B6811" s="28"/>
      <c r="C6811" s="27"/>
      <c r="D6811" s="27"/>
      <c r="E6811" s="30"/>
    </row>
    <row r="6812">
      <c r="A6812" s="27"/>
      <c r="B6812" s="28"/>
      <c r="C6812" s="27"/>
      <c r="D6812" s="27"/>
      <c r="E6812" s="30"/>
    </row>
    <row r="6813">
      <c r="A6813" s="27"/>
      <c r="B6813" s="28"/>
      <c r="C6813" s="27"/>
      <c r="D6813" s="27"/>
      <c r="E6813" s="30"/>
    </row>
    <row r="6814">
      <c r="A6814" s="27"/>
      <c r="B6814" s="28"/>
      <c r="C6814" s="27"/>
      <c r="D6814" s="27"/>
      <c r="E6814" s="30"/>
    </row>
    <row r="6815">
      <c r="A6815" s="27"/>
      <c r="B6815" s="28"/>
      <c r="C6815" s="27"/>
      <c r="D6815" s="27"/>
      <c r="E6815" s="30"/>
    </row>
    <row r="6816">
      <c r="A6816" s="27"/>
      <c r="B6816" s="28"/>
      <c r="C6816" s="27"/>
      <c r="D6816" s="27"/>
      <c r="E6816" s="30"/>
    </row>
    <row r="6817">
      <c r="A6817" s="27"/>
      <c r="B6817" s="28"/>
      <c r="C6817" s="27"/>
      <c r="D6817" s="27"/>
      <c r="E6817" s="30"/>
    </row>
    <row r="6818">
      <c r="A6818" s="27"/>
      <c r="B6818" s="28"/>
      <c r="C6818" s="27"/>
      <c r="D6818" s="27"/>
      <c r="E6818" s="30"/>
    </row>
    <row r="6819">
      <c r="A6819" s="27"/>
      <c r="B6819" s="28"/>
      <c r="C6819" s="27"/>
      <c r="D6819" s="27"/>
      <c r="E6819" s="30"/>
    </row>
    <row r="6820">
      <c r="A6820" s="27"/>
      <c r="B6820" s="28"/>
      <c r="C6820" s="27"/>
      <c r="D6820" s="27"/>
      <c r="E6820" s="30"/>
    </row>
    <row r="6821">
      <c r="A6821" s="27"/>
      <c r="B6821" s="28"/>
      <c r="C6821" s="27"/>
      <c r="D6821" s="27"/>
      <c r="E6821" s="30"/>
    </row>
    <row r="6822">
      <c r="A6822" s="27"/>
      <c r="B6822" s="28"/>
      <c r="C6822" s="27"/>
      <c r="D6822" s="27"/>
      <c r="E6822" s="30"/>
    </row>
    <row r="6823">
      <c r="A6823" s="27"/>
      <c r="B6823" s="28"/>
      <c r="C6823" s="27"/>
      <c r="D6823" s="27"/>
      <c r="E6823" s="30"/>
    </row>
    <row r="6824">
      <c r="A6824" s="27"/>
      <c r="B6824" s="28"/>
      <c r="C6824" s="27"/>
      <c r="D6824" s="27"/>
      <c r="E6824" s="30"/>
    </row>
    <row r="6825">
      <c r="A6825" s="27"/>
      <c r="B6825" s="28"/>
      <c r="C6825" s="27"/>
      <c r="D6825" s="27"/>
      <c r="E6825" s="30"/>
    </row>
    <row r="6826">
      <c r="A6826" s="27"/>
      <c r="B6826" s="28"/>
      <c r="C6826" s="27"/>
      <c r="D6826" s="27"/>
      <c r="E6826" s="30"/>
    </row>
    <row r="6827">
      <c r="A6827" s="27"/>
      <c r="B6827" s="28"/>
      <c r="C6827" s="27"/>
      <c r="D6827" s="27"/>
      <c r="E6827" s="30"/>
    </row>
    <row r="6828">
      <c r="A6828" s="27"/>
      <c r="B6828" s="28"/>
      <c r="C6828" s="27"/>
      <c r="D6828" s="27"/>
      <c r="E6828" s="30"/>
    </row>
    <row r="6829">
      <c r="A6829" s="27"/>
      <c r="B6829" s="28"/>
      <c r="C6829" s="27"/>
      <c r="D6829" s="27"/>
      <c r="E6829" s="30"/>
    </row>
    <row r="6830">
      <c r="A6830" s="27"/>
      <c r="B6830" s="28"/>
      <c r="C6830" s="27"/>
      <c r="D6830" s="27"/>
      <c r="E6830" s="30"/>
    </row>
    <row r="6831">
      <c r="A6831" s="27"/>
      <c r="B6831" s="28"/>
      <c r="C6831" s="27"/>
      <c r="D6831" s="27"/>
      <c r="E6831" s="30"/>
    </row>
    <row r="6832">
      <c r="A6832" s="27"/>
      <c r="B6832" s="28"/>
      <c r="C6832" s="27"/>
      <c r="D6832" s="27"/>
      <c r="E6832" s="30"/>
    </row>
    <row r="6833">
      <c r="A6833" s="27"/>
      <c r="B6833" s="28"/>
      <c r="C6833" s="27"/>
      <c r="D6833" s="27"/>
      <c r="E6833" s="30"/>
    </row>
    <row r="6834">
      <c r="A6834" s="27"/>
      <c r="B6834" s="28"/>
      <c r="C6834" s="27"/>
      <c r="D6834" s="27"/>
      <c r="E6834" s="30"/>
    </row>
    <row r="6835">
      <c r="A6835" s="27"/>
      <c r="B6835" s="28"/>
      <c r="C6835" s="27"/>
      <c r="D6835" s="27"/>
      <c r="E6835" s="30"/>
    </row>
    <row r="6836">
      <c r="A6836" s="27"/>
      <c r="B6836" s="28"/>
      <c r="C6836" s="27"/>
      <c r="D6836" s="27"/>
      <c r="E6836" s="30"/>
    </row>
    <row r="6837">
      <c r="A6837" s="27"/>
      <c r="B6837" s="28"/>
      <c r="C6837" s="27"/>
      <c r="D6837" s="27"/>
      <c r="E6837" s="30"/>
    </row>
    <row r="6838">
      <c r="A6838" s="27"/>
      <c r="B6838" s="28"/>
      <c r="C6838" s="27"/>
      <c r="D6838" s="27"/>
      <c r="E6838" s="30"/>
    </row>
    <row r="6839">
      <c r="A6839" s="27"/>
      <c r="B6839" s="28"/>
      <c r="C6839" s="27"/>
      <c r="D6839" s="27"/>
      <c r="E6839" s="30"/>
    </row>
    <row r="6840">
      <c r="A6840" s="27"/>
      <c r="B6840" s="28"/>
      <c r="C6840" s="27"/>
      <c r="D6840" s="27"/>
      <c r="E6840" s="30"/>
    </row>
    <row r="6841">
      <c r="A6841" s="27"/>
      <c r="B6841" s="28"/>
      <c r="C6841" s="27"/>
      <c r="D6841" s="27"/>
      <c r="E6841" s="30"/>
    </row>
    <row r="6842">
      <c r="A6842" s="27"/>
      <c r="B6842" s="28"/>
      <c r="C6842" s="27"/>
      <c r="D6842" s="27"/>
      <c r="E6842" s="30"/>
    </row>
    <row r="6843">
      <c r="A6843" s="27"/>
      <c r="B6843" s="28"/>
      <c r="C6843" s="27"/>
      <c r="D6843" s="27"/>
      <c r="E6843" s="30"/>
    </row>
    <row r="6844">
      <c r="A6844" s="27"/>
      <c r="B6844" s="28"/>
      <c r="C6844" s="27"/>
      <c r="D6844" s="27"/>
      <c r="E6844" s="30"/>
    </row>
    <row r="6845">
      <c r="A6845" s="27"/>
      <c r="B6845" s="28"/>
      <c r="C6845" s="27"/>
      <c r="D6845" s="27"/>
      <c r="E6845" s="30"/>
    </row>
    <row r="6846">
      <c r="A6846" s="27"/>
      <c r="B6846" s="28"/>
      <c r="C6846" s="27"/>
      <c r="D6846" s="27"/>
      <c r="E6846" s="30"/>
    </row>
    <row r="6847">
      <c r="A6847" s="27"/>
      <c r="B6847" s="28"/>
      <c r="C6847" s="27"/>
      <c r="D6847" s="27"/>
      <c r="E6847" s="30"/>
    </row>
    <row r="6848">
      <c r="A6848" s="27"/>
      <c r="B6848" s="28"/>
      <c r="C6848" s="27"/>
      <c r="D6848" s="27"/>
      <c r="E6848" s="30"/>
    </row>
    <row r="6849">
      <c r="A6849" s="27"/>
      <c r="B6849" s="28"/>
      <c r="C6849" s="27"/>
      <c r="D6849" s="27"/>
      <c r="E6849" s="30"/>
    </row>
    <row r="6850">
      <c r="A6850" s="27"/>
      <c r="B6850" s="28"/>
      <c r="C6850" s="27"/>
      <c r="D6850" s="27"/>
      <c r="E6850" s="30"/>
    </row>
    <row r="6851">
      <c r="A6851" s="27"/>
      <c r="B6851" s="28"/>
      <c r="C6851" s="27"/>
      <c r="D6851" s="27"/>
      <c r="E6851" s="30"/>
    </row>
    <row r="6852">
      <c r="A6852" s="27"/>
      <c r="B6852" s="28"/>
      <c r="C6852" s="27"/>
      <c r="D6852" s="27"/>
      <c r="E6852" s="30"/>
    </row>
    <row r="6853">
      <c r="A6853" s="27"/>
      <c r="B6853" s="28"/>
      <c r="C6853" s="27"/>
      <c r="D6853" s="27"/>
      <c r="E6853" s="30"/>
    </row>
    <row r="6854">
      <c r="A6854" s="27"/>
      <c r="B6854" s="28"/>
      <c r="C6854" s="27"/>
      <c r="D6854" s="27"/>
      <c r="E6854" s="30"/>
    </row>
    <row r="6855">
      <c r="A6855" s="27"/>
      <c r="B6855" s="28"/>
      <c r="C6855" s="27"/>
      <c r="D6855" s="27"/>
      <c r="E6855" s="30"/>
    </row>
    <row r="6856">
      <c r="A6856" s="27"/>
      <c r="B6856" s="28"/>
      <c r="C6856" s="27"/>
      <c r="D6856" s="27"/>
      <c r="E6856" s="30"/>
    </row>
    <row r="6857">
      <c r="A6857" s="27"/>
      <c r="B6857" s="28"/>
      <c r="C6857" s="27"/>
      <c r="D6857" s="27"/>
      <c r="E6857" s="30"/>
    </row>
    <row r="6858">
      <c r="A6858" s="27"/>
      <c r="B6858" s="28"/>
      <c r="C6858" s="27"/>
      <c r="D6858" s="27"/>
      <c r="E6858" s="30"/>
    </row>
    <row r="6859">
      <c r="A6859" s="27"/>
      <c r="B6859" s="28"/>
      <c r="C6859" s="27"/>
      <c r="D6859" s="27"/>
      <c r="E6859" s="30"/>
    </row>
    <row r="6860">
      <c r="A6860" s="27"/>
      <c r="B6860" s="28"/>
      <c r="C6860" s="27"/>
      <c r="D6860" s="27"/>
      <c r="E6860" s="30"/>
    </row>
    <row r="6861">
      <c r="A6861" s="27"/>
      <c r="B6861" s="28"/>
      <c r="C6861" s="27"/>
      <c r="D6861" s="27"/>
      <c r="E6861" s="30"/>
    </row>
    <row r="6862">
      <c r="A6862" s="27"/>
      <c r="B6862" s="28"/>
      <c r="C6862" s="27"/>
      <c r="D6862" s="27"/>
      <c r="E6862" s="30"/>
    </row>
    <row r="6863">
      <c r="A6863" s="27"/>
      <c r="B6863" s="28"/>
      <c r="C6863" s="27"/>
      <c r="D6863" s="27"/>
      <c r="E6863" s="30"/>
    </row>
    <row r="6864">
      <c r="A6864" s="27"/>
      <c r="B6864" s="28"/>
      <c r="C6864" s="27"/>
      <c r="D6864" s="27"/>
      <c r="E6864" s="30"/>
    </row>
    <row r="6865">
      <c r="A6865" s="27"/>
      <c r="B6865" s="28"/>
      <c r="C6865" s="27"/>
      <c r="D6865" s="27"/>
      <c r="E6865" s="30"/>
    </row>
    <row r="6866">
      <c r="A6866" s="27"/>
      <c r="B6866" s="28"/>
      <c r="C6866" s="27"/>
      <c r="D6866" s="27"/>
      <c r="E6866" s="30"/>
    </row>
    <row r="6867">
      <c r="A6867" s="27"/>
      <c r="B6867" s="28"/>
      <c r="C6867" s="27"/>
      <c r="D6867" s="27"/>
      <c r="E6867" s="30"/>
    </row>
    <row r="6868">
      <c r="A6868" s="27"/>
      <c r="B6868" s="28"/>
      <c r="C6868" s="27"/>
      <c r="D6868" s="27"/>
      <c r="E6868" s="30"/>
    </row>
    <row r="6869">
      <c r="A6869" s="27"/>
      <c r="B6869" s="28"/>
      <c r="C6869" s="27"/>
      <c r="D6869" s="27"/>
      <c r="E6869" s="30"/>
    </row>
    <row r="6870">
      <c r="A6870" s="27"/>
      <c r="B6870" s="28"/>
      <c r="C6870" s="27"/>
      <c r="D6870" s="27"/>
      <c r="E6870" s="30"/>
    </row>
    <row r="6871">
      <c r="A6871" s="27"/>
      <c r="B6871" s="28"/>
      <c r="C6871" s="27"/>
      <c r="D6871" s="27"/>
      <c r="E6871" s="30"/>
    </row>
    <row r="6872">
      <c r="A6872" s="27"/>
      <c r="B6872" s="28"/>
      <c r="C6872" s="27"/>
      <c r="D6872" s="27"/>
      <c r="E6872" s="30"/>
    </row>
    <row r="6873">
      <c r="A6873" s="27"/>
      <c r="B6873" s="28"/>
      <c r="C6873" s="27"/>
      <c r="D6873" s="27"/>
      <c r="E6873" s="30"/>
    </row>
    <row r="6874">
      <c r="A6874" s="27"/>
      <c r="B6874" s="28"/>
      <c r="C6874" s="27"/>
      <c r="D6874" s="27"/>
      <c r="E6874" s="30"/>
    </row>
    <row r="6875">
      <c r="A6875" s="27"/>
      <c r="B6875" s="28"/>
      <c r="C6875" s="27"/>
      <c r="D6875" s="27"/>
      <c r="E6875" s="30"/>
    </row>
    <row r="6876">
      <c r="A6876" s="27"/>
      <c r="B6876" s="28"/>
      <c r="C6876" s="27"/>
      <c r="D6876" s="27"/>
      <c r="E6876" s="30"/>
    </row>
    <row r="6877">
      <c r="A6877" s="27"/>
      <c r="B6877" s="28"/>
      <c r="C6877" s="27"/>
      <c r="D6877" s="27"/>
      <c r="E6877" s="30"/>
    </row>
    <row r="6878">
      <c r="A6878" s="27"/>
      <c r="B6878" s="28"/>
      <c r="C6878" s="27"/>
      <c r="D6878" s="27"/>
      <c r="E6878" s="30"/>
    </row>
    <row r="6879">
      <c r="A6879" s="27"/>
      <c r="B6879" s="28"/>
      <c r="C6879" s="27"/>
      <c r="D6879" s="27"/>
      <c r="E6879" s="30"/>
    </row>
    <row r="6880">
      <c r="A6880" s="27"/>
      <c r="B6880" s="28"/>
      <c r="C6880" s="27"/>
      <c r="D6880" s="27"/>
      <c r="E6880" s="30"/>
    </row>
    <row r="6881">
      <c r="A6881" s="27"/>
      <c r="B6881" s="28"/>
      <c r="C6881" s="27"/>
      <c r="D6881" s="27"/>
      <c r="E6881" s="30"/>
    </row>
    <row r="6882">
      <c r="A6882" s="27"/>
      <c r="B6882" s="28"/>
      <c r="C6882" s="27"/>
      <c r="D6882" s="27"/>
      <c r="E6882" s="30"/>
    </row>
    <row r="6883">
      <c r="A6883" s="27"/>
      <c r="B6883" s="28"/>
      <c r="C6883" s="27"/>
      <c r="D6883" s="27"/>
      <c r="E6883" s="30"/>
    </row>
    <row r="6884">
      <c r="A6884" s="27"/>
      <c r="B6884" s="28"/>
      <c r="C6884" s="27"/>
      <c r="D6884" s="27"/>
      <c r="E6884" s="30"/>
    </row>
    <row r="6885">
      <c r="A6885" s="27"/>
      <c r="B6885" s="28"/>
      <c r="C6885" s="27"/>
      <c r="D6885" s="27"/>
      <c r="E6885" s="30"/>
    </row>
    <row r="6886">
      <c r="A6886" s="27"/>
      <c r="B6886" s="28"/>
      <c r="C6886" s="27"/>
      <c r="D6886" s="27"/>
      <c r="E6886" s="30"/>
    </row>
    <row r="6887">
      <c r="A6887" s="27"/>
      <c r="B6887" s="28"/>
      <c r="C6887" s="27"/>
      <c r="D6887" s="27"/>
      <c r="E6887" s="30"/>
    </row>
    <row r="6888">
      <c r="A6888" s="27"/>
      <c r="B6888" s="28"/>
      <c r="C6888" s="27"/>
      <c r="D6888" s="27"/>
      <c r="E6888" s="30"/>
    </row>
    <row r="6889">
      <c r="A6889" s="27"/>
      <c r="B6889" s="28"/>
      <c r="C6889" s="27"/>
      <c r="D6889" s="27"/>
      <c r="E6889" s="30"/>
    </row>
    <row r="6890">
      <c r="A6890" s="27"/>
      <c r="B6890" s="28"/>
      <c r="C6890" s="27"/>
      <c r="D6890" s="27"/>
      <c r="E6890" s="30"/>
    </row>
    <row r="6891">
      <c r="A6891" s="27"/>
      <c r="B6891" s="28"/>
      <c r="C6891" s="27"/>
      <c r="D6891" s="27"/>
      <c r="E6891" s="30"/>
    </row>
    <row r="6892">
      <c r="A6892" s="27"/>
      <c r="B6892" s="28"/>
      <c r="C6892" s="27"/>
      <c r="D6892" s="27"/>
      <c r="E6892" s="30"/>
    </row>
    <row r="6893">
      <c r="A6893" s="27"/>
      <c r="B6893" s="28"/>
      <c r="C6893" s="27"/>
      <c r="D6893" s="27"/>
      <c r="E6893" s="30"/>
    </row>
    <row r="6894">
      <c r="A6894" s="27"/>
      <c r="B6894" s="28"/>
      <c r="C6894" s="27"/>
      <c r="D6894" s="27"/>
      <c r="E6894" s="30"/>
    </row>
    <row r="6895">
      <c r="A6895" s="27"/>
      <c r="B6895" s="28"/>
      <c r="C6895" s="27"/>
      <c r="D6895" s="27"/>
      <c r="E6895" s="30"/>
    </row>
    <row r="6896">
      <c r="A6896" s="27"/>
      <c r="B6896" s="28"/>
      <c r="C6896" s="27"/>
      <c r="D6896" s="27"/>
      <c r="E6896" s="30"/>
    </row>
    <row r="6897">
      <c r="A6897" s="27"/>
      <c r="B6897" s="28"/>
      <c r="C6897" s="27"/>
      <c r="D6897" s="27"/>
      <c r="E6897" s="30"/>
    </row>
    <row r="6898">
      <c r="A6898" s="27"/>
      <c r="B6898" s="28"/>
      <c r="C6898" s="27"/>
      <c r="D6898" s="27"/>
      <c r="E6898" s="30"/>
    </row>
    <row r="6899">
      <c r="A6899" s="27"/>
      <c r="B6899" s="28"/>
      <c r="C6899" s="27"/>
      <c r="D6899" s="27"/>
      <c r="E6899" s="30"/>
    </row>
    <row r="6900">
      <c r="A6900" s="27"/>
      <c r="B6900" s="28"/>
      <c r="C6900" s="27"/>
      <c r="D6900" s="27"/>
      <c r="E6900" s="30"/>
    </row>
    <row r="6901">
      <c r="A6901" s="27"/>
      <c r="B6901" s="28"/>
      <c r="C6901" s="27"/>
      <c r="D6901" s="27"/>
      <c r="E6901" s="30"/>
    </row>
    <row r="6902">
      <c r="A6902" s="27"/>
      <c r="B6902" s="28"/>
      <c r="C6902" s="27"/>
      <c r="D6902" s="27"/>
      <c r="E6902" s="30"/>
    </row>
    <row r="6903">
      <c r="A6903" s="27"/>
      <c r="B6903" s="28"/>
      <c r="C6903" s="27"/>
      <c r="D6903" s="27"/>
      <c r="E6903" s="30"/>
    </row>
    <row r="6904">
      <c r="A6904" s="27"/>
      <c r="B6904" s="28"/>
      <c r="C6904" s="27"/>
      <c r="D6904" s="27"/>
      <c r="E6904" s="30"/>
    </row>
    <row r="6905">
      <c r="A6905" s="27"/>
      <c r="B6905" s="28"/>
      <c r="C6905" s="27"/>
      <c r="D6905" s="27"/>
      <c r="E6905" s="30"/>
    </row>
    <row r="6906">
      <c r="A6906" s="27"/>
      <c r="B6906" s="28"/>
      <c r="C6906" s="27"/>
      <c r="D6906" s="27"/>
      <c r="E6906" s="30"/>
    </row>
    <row r="6907">
      <c r="A6907" s="27"/>
      <c r="B6907" s="28"/>
      <c r="C6907" s="27"/>
      <c r="D6907" s="27"/>
      <c r="E6907" s="30"/>
    </row>
    <row r="6908">
      <c r="A6908" s="27"/>
      <c r="B6908" s="28"/>
      <c r="C6908" s="27"/>
      <c r="D6908" s="27"/>
      <c r="E6908" s="30"/>
    </row>
    <row r="6909">
      <c r="A6909" s="27"/>
      <c r="B6909" s="28"/>
      <c r="C6909" s="27"/>
      <c r="D6909" s="27"/>
      <c r="E6909" s="30"/>
    </row>
    <row r="6910">
      <c r="A6910" s="27"/>
      <c r="B6910" s="28"/>
      <c r="C6910" s="27"/>
      <c r="D6910" s="27"/>
      <c r="E6910" s="30"/>
    </row>
    <row r="6911">
      <c r="A6911" s="27"/>
      <c r="B6911" s="28"/>
      <c r="C6911" s="27"/>
      <c r="D6911" s="27"/>
      <c r="E6911" s="30"/>
    </row>
    <row r="6912">
      <c r="A6912" s="27"/>
      <c r="B6912" s="28"/>
      <c r="C6912" s="27"/>
      <c r="D6912" s="27"/>
      <c r="E6912" s="30"/>
    </row>
    <row r="6913">
      <c r="A6913" s="27"/>
      <c r="B6913" s="28"/>
      <c r="C6913" s="27"/>
      <c r="D6913" s="27"/>
      <c r="E6913" s="30"/>
    </row>
    <row r="6914">
      <c r="A6914" s="27"/>
      <c r="B6914" s="28"/>
      <c r="C6914" s="27"/>
      <c r="D6914" s="27"/>
      <c r="E6914" s="30"/>
    </row>
    <row r="6915">
      <c r="A6915" s="27"/>
      <c r="B6915" s="28"/>
      <c r="C6915" s="27"/>
      <c r="D6915" s="27"/>
      <c r="E6915" s="30"/>
    </row>
    <row r="6916">
      <c r="A6916" s="27"/>
      <c r="B6916" s="28"/>
      <c r="C6916" s="27"/>
      <c r="D6916" s="27"/>
      <c r="E6916" s="30"/>
    </row>
    <row r="6917">
      <c r="A6917" s="27"/>
      <c r="B6917" s="28"/>
      <c r="C6917" s="27"/>
      <c r="D6917" s="27"/>
      <c r="E6917" s="30"/>
    </row>
    <row r="6918">
      <c r="A6918" s="27"/>
      <c r="B6918" s="28"/>
      <c r="C6918" s="27"/>
      <c r="D6918" s="27"/>
      <c r="E6918" s="30"/>
    </row>
    <row r="6919">
      <c r="A6919" s="27"/>
      <c r="B6919" s="28"/>
      <c r="C6919" s="27"/>
      <c r="D6919" s="27"/>
      <c r="E6919" s="30"/>
    </row>
    <row r="6920">
      <c r="A6920" s="27"/>
      <c r="B6920" s="28"/>
      <c r="C6920" s="27"/>
      <c r="D6920" s="27"/>
      <c r="E6920" s="30"/>
    </row>
    <row r="6921">
      <c r="A6921" s="27"/>
      <c r="B6921" s="28"/>
      <c r="C6921" s="27"/>
      <c r="D6921" s="27"/>
      <c r="E6921" s="30"/>
    </row>
    <row r="6922">
      <c r="A6922" s="27"/>
      <c r="B6922" s="28"/>
      <c r="C6922" s="27"/>
      <c r="D6922" s="27"/>
      <c r="E6922" s="30"/>
    </row>
    <row r="6923">
      <c r="A6923" s="27"/>
      <c r="B6923" s="28"/>
      <c r="C6923" s="27"/>
      <c r="D6923" s="27"/>
      <c r="E6923" s="30"/>
    </row>
    <row r="6924">
      <c r="A6924" s="27"/>
      <c r="B6924" s="28"/>
      <c r="C6924" s="27"/>
      <c r="D6924" s="27"/>
      <c r="E6924" s="30"/>
    </row>
    <row r="6925">
      <c r="A6925" s="27"/>
      <c r="B6925" s="28"/>
      <c r="C6925" s="27"/>
      <c r="D6925" s="27"/>
      <c r="E6925" s="30"/>
    </row>
    <row r="6926">
      <c r="A6926" s="27"/>
      <c r="B6926" s="28"/>
      <c r="C6926" s="27"/>
      <c r="D6926" s="27"/>
      <c r="E6926" s="30"/>
    </row>
    <row r="6927">
      <c r="A6927" s="27"/>
      <c r="B6927" s="28"/>
      <c r="C6927" s="27"/>
      <c r="D6927" s="27"/>
      <c r="E6927" s="30"/>
    </row>
    <row r="6928">
      <c r="A6928" s="27"/>
      <c r="B6928" s="28"/>
      <c r="C6928" s="27"/>
      <c r="D6928" s="27"/>
      <c r="E6928" s="30"/>
    </row>
    <row r="6929">
      <c r="A6929" s="27"/>
      <c r="B6929" s="28"/>
      <c r="C6929" s="27"/>
      <c r="D6929" s="27"/>
      <c r="E6929" s="30"/>
    </row>
    <row r="6930">
      <c r="A6930" s="27"/>
      <c r="B6930" s="28"/>
      <c r="C6930" s="27"/>
      <c r="D6930" s="27"/>
      <c r="E6930" s="30"/>
    </row>
    <row r="6931">
      <c r="A6931" s="27"/>
      <c r="B6931" s="28"/>
      <c r="C6931" s="27"/>
      <c r="D6931" s="27"/>
      <c r="E6931" s="30"/>
    </row>
    <row r="6932">
      <c r="A6932" s="27"/>
      <c r="B6932" s="28"/>
      <c r="C6932" s="27"/>
      <c r="D6932" s="27"/>
      <c r="E6932" s="30"/>
    </row>
    <row r="6933">
      <c r="A6933" s="27"/>
      <c r="B6933" s="28"/>
      <c r="C6933" s="27"/>
      <c r="D6933" s="27"/>
      <c r="E6933" s="30"/>
    </row>
    <row r="6934">
      <c r="A6934" s="27"/>
      <c r="B6934" s="28"/>
      <c r="C6934" s="27"/>
      <c r="D6934" s="27"/>
      <c r="E6934" s="30"/>
    </row>
    <row r="6935">
      <c r="A6935" s="27"/>
      <c r="B6935" s="28"/>
      <c r="C6935" s="27"/>
      <c r="D6935" s="27"/>
      <c r="E6935" s="30"/>
    </row>
    <row r="6936">
      <c r="A6936" s="27"/>
      <c r="B6936" s="28"/>
      <c r="C6936" s="27"/>
      <c r="D6936" s="27"/>
      <c r="E6936" s="30"/>
    </row>
    <row r="6937">
      <c r="A6937" s="27"/>
      <c r="B6937" s="28"/>
      <c r="C6937" s="27"/>
      <c r="D6937" s="27"/>
      <c r="E6937" s="30"/>
    </row>
    <row r="6938">
      <c r="A6938" s="27"/>
      <c r="B6938" s="28"/>
      <c r="C6938" s="27"/>
      <c r="D6938" s="27"/>
      <c r="E6938" s="30"/>
    </row>
    <row r="6939">
      <c r="A6939" s="27"/>
      <c r="B6939" s="28"/>
      <c r="C6939" s="27"/>
      <c r="D6939" s="27"/>
      <c r="E6939" s="30"/>
    </row>
    <row r="6940">
      <c r="A6940" s="27"/>
      <c r="B6940" s="28"/>
      <c r="C6940" s="27"/>
      <c r="D6940" s="27"/>
      <c r="E6940" s="30"/>
    </row>
    <row r="6941">
      <c r="A6941" s="27"/>
      <c r="B6941" s="28"/>
      <c r="C6941" s="27"/>
      <c r="D6941" s="27"/>
      <c r="E6941" s="30"/>
    </row>
    <row r="6942">
      <c r="A6942" s="27"/>
      <c r="B6942" s="28"/>
      <c r="C6942" s="27"/>
      <c r="D6942" s="27"/>
      <c r="E6942" s="30"/>
    </row>
    <row r="6943">
      <c r="A6943" s="27"/>
      <c r="B6943" s="28"/>
      <c r="C6943" s="27"/>
      <c r="D6943" s="27"/>
      <c r="E6943" s="30"/>
    </row>
    <row r="6944">
      <c r="A6944" s="27"/>
      <c r="B6944" s="28"/>
      <c r="C6944" s="27"/>
      <c r="D6944" s="27"/>
      <c r="E6944" s="30"/>
    </row>
    <row r="6945">
      <c r="A6945" s="27"/>
      <c r="B6945" s="28"/>
      <c r="C6945" s="27"/>
      <c r="D6945" s="27"/>
      <c r="E6945" s="30"/>
    </row>
    <row r="6946">
      <c r="A6946" s="27"/>
      <c r="B6946" s="28"/>
      <c r="C6946" s="27"/>
      <c r="D6946" s="27"/>
      <c r="E6946" s="30"/>
    </row>
    <row r="6947">
      <c r="A6947" s="27"/>
      <c r="B6947" s="28"/>
      <c r="C6947" s="27"/>
      <c r="D6947" s="27"/>
      <c r="E6947" s="30"/>
    </row>
    <row r="6948">
      <c r="A6948" s="27"/>
      <c r="B6948" s="28"/>
      <c r="C6948" s="27"/>
      <c r="D6948" s="27"/>
      <c r="E6948" s="30"/>
    </row>
    <row r="6949">
      <c r="A6949" s="27"/>
      <c r="B6949" s="28"/>
      <c r="C6949" s="27"/>
      <c r="D6949" s="27"/>
      <c r="E6949" s="30"/>
    </row>
    <row r="6950">
      <c r="A6950" s="27"/>
      <c r="B6950" s="28"/>
      <c r="C6950" s="27"/>
      <c r="D6950" s="27"/>
      <c r="E6950" s="30"/>
    </row>
    <row r="6951">
      <c r="A6951" s="27"/>
      <c r="B6951" s="28"/>
      <c r="C6951" s="27"/>
      <c r="D6951" s="27"/>
      <c r="E6951" s="30"/>
    </row>
    <row r="6952">
      <c r="A6952" s="27"/>
      <c r="B6952" s="28"/>
      <c r="C6952" s="27"/>
      <c r="D6952" s="27"/>
      <c r="E6952" s="30"/>
    </row>
    <row r="6953">
      <c r="A6953" s="27"/>
      <c r="B6953" s="28"/>
      <c r="C6953" s="27"/>
      <c r="D6953" s="27"/>
      <c r="E6953" s="30"/>
    </row>
    <row r="6954">
      <c r="A6954" s="27"/>
      <c r="B6954" s="28"/>
      <c r="C6954" s="27"/>
      <c r="D6954" s="27"/>
      <c r="E6954" s="30"/>
    </row>
    <row r="6955">
      <c r="A6955" s="27"/>
      <c r="B6955" s="28"/>
      <c r="C6955" s="27"/>
      <c r="D6955" s="27"/>
      <c r="E6955" s="30"/>
    </row>
    <row r="6956">
      <c r="A6956" s="27"/>
      <c r="B6956" s="28"/>
      <c r="C6956" s="27"/>
      <c r="D6956" s="27"/>
      <c r="E6956" s="30"/>
    </row>
    <row r="6957">
      <c r="A6957" s="27"/>
      <c r="B6957" s="28"/>
      <c r="C6957" s="27"/>
      <c r="D6957" s="27"/>
      <c r="E6957" s="30"/>
    </row>
    <row r="6958">
      <c r="A6958" s="27"/>
      <c r="B6958" s="28"/>
      <c r="C6958" s="27"/>
      <c r="D6958" s="27"/>
      <c r="E6958" s="30"/>
    </row>
    <row r="6959">
      <c r="A6959" s="27"/>
      <c r="B6959" s="28"/>
      <c r="C6959" s="27"/>
      <c r="D6959" s="27"/>
      <c r="E6959" s="30"/>
    </row>
    <row r="6960">
      <c r="A6960" s="27"/>
      <c r="B6960" s="28"/>
      <c r="C6960" s="27"/>
      <c r="D6960" s="27"/>
      <c r="E6960" s="30"/>
    </row>
    <row r="6961">
      <c r="A6961" s="27"/>
      <c r="B6961" s="28"/>
      <c r="C6961" s="27"/>
      <c r="D6961" s="27"/>
      <c r="E6961" s="30"/>
    </row>
    <row r="6962">
      <c r="A6962" s="27"/>
      <c r="B6962" s="28"/>
      <c r="C6962" s="27"/>
      <c r="D6962" s="27"/>
      <c r="E6962" s="30"/>
    </row>
    <row r="6963">
      <c r="A6963" s="27"/>
      <c r="B6963" s="28"/>
      <c r="C6963" s="27"/>
      <c r="D6963" s="27"/>
      <c r="E6963" s="30"/>
    </row>
    <row r="6964">
      <c r="A6964" s="27"/>
      <c r="B6964" s="28"/>
      <c r="C6964" s="27"/>
      <c r="D6964" s="27"/>
      <c r="E6964" s="30"/>
    </row>
    <row r="6965">
      <c r="A6965" s="27"/>
      <c r="B6965" s="28"/>
      <c r="C6965" s="27"/>
      <c r="D6965" s="27"/>
      <c r="E6965" s="30"/>
    </row>
    <row r="6966">
      <c r="A6966" s="27"/>
      <c r="B6966" s="28"/>
      <c r="C6966" s="27"/>
      <c r="D6966" s="27"/>
      <c r="E6966" s="30"/>
    </row>
    <row r="6967">
      <c r="A6967" s="27"/>
      <c r="B6967" s="28"/>
      <c r="C6967" s="27"/>
      <c r="D6967" s="27"/>
      <c r="E6967" s="30"/>
    </row>
    <row r="6968">
      <c r="A6968" s="27"/>
      <c r="B6968" s="28"/>
      <c r="C6968" s="27"/>
      <c r="D6968" s="27"/>
      <c r="E6968" s="30"/>
    </row>
    <row r="6969">
      <c r="A6969" s="27"/>
      <c r="B6969" s="28"/>
      <c r="C6969" s="27"/>
      <c r="D6969" s="27"/>
      <c r="E6969" s="30"/>
    </row>
    <row r="6970">
      <c r="A6970" s="27"/>
      <c r="B6970" s="28"/>
      <c r="C6970" s="27"/>
      <c r="D6970" s="27"/>
      <c r="E6970" s="30"/>
    </row>
    <row r="6971">
      <c r="A6971" s="27"/>
      <c r="B6971" s="28"/>
      <c r="C6971" s="27"/>
      <c r="D6971" s="27"/>
      <c r="E6971" s="30"/>
    </row>
    <row r="6972">
      <c r="A6972" s="27"/>
      <c r="B6972" s="28"/>
      <c r="C6972" s="27"/>
      <c r="D6972" s="27"/>
      <c r="E6972" s="30"/>
    </row>
    <row r="6973">
      <c r="A6973" s="27"/>
      <c r="B6973" s="28"/>
      <c r="C6973" s="27"/>
      <c r="D6973" s="27"/>
      <c r="E6973" s="30"/>
    </row>
    <row r="6974">
      <c r="A6974" s="27"/>
      <c r="B6974" s="28"/>
      <c r="C6974" s="27"/>
      <c r="D6974" s="27"/>
      <c r="E6974" s="30"/>
    </row>
    <row r="6975">
      <c r="A6975" s="27"/>
      <c r="B6975" s="28"/>
      <c r="C6975" s="27"/>
      <c r="D6975" s="27"/>
      <c r="E6975" s="30"/>
    </row>
    <row r="6976">
      <c r="A6976" s="27"/>
      <c r="B6976" s="28"/>
      <c r="C6976" s="27"/>
      <c r="D6976" s="27"/>
      <c r="E6976" s="30"/>
    </row>
    <row r="6977">
      <c r="A6977" s="27"/>
      <c r="B6977" s="28"/>
      <c r="C6977" s="27"/>
      <c r="D6977" s="27"/>
      <c r="E6977" s="30"/>
    </row>
    <row r="6978">
      <c r="A6978" s="27"/>
      <c r="B6978" s="28"/>
      <c r="C6978" s="27"/>
      <c r="D6978" s="27"/>
      <c r="E6978" s="30"/>
    </row>
    <row r="6979">
      <c r="A6979" s="27"/>
      <c r="B6979" s="28"/>
      <c r="C6979" s="27"/>
      <c r="D6979" s="27"/>
      <c r="E6979" s="30"/>
    </row>
    <row r="6980">
      <c r="A6980" s="27"/>
      <c r="B6980" s="28"/>
      <c r="C6980" s="27"/>
      <c r="D6980" s="27"/>
      <c r="E6980" s="30"/>
    </row>
    <row r="6981">
      <c r="A6981" s="27"/>
      <c r="B6981" s="28"/>
      <c r="C6981" s="27"/>
      <c r="D6981" s="27"/>
      <c r="E6981" s="30"/>
    </row>
    <row r="6982">
      <c r="A6982" s="27"/>
      <c r="B6982" s="28"/>
      <c r="C6982" s="27"/>
      <c r="D6982" s="27"/>
      <c r="E6982" s="30"/>
    </row>
    <row r="6983">
      <c r="A6983" s="27"/>
      <c r="B6983" s="28"/>
      <c r="C6983" s="27"/>
      <c r="D6983" s="27"/>
      <c r="E6983" s="30"/>
    </row>
    <row r="6984">
      <c r="A6984" s="27"/>
      <c r="B6984" s="28"/>
      <c r="C6984" s="27"/>
      <c r="D6984" s="27"/>
      <c r="E6984" s="30"/>
    </row>
    <row r="6985">
      <c r="A6985" s="27"/>
      <c r="B6985" s="28"/>
      <c r="C6985" s="27"/>
      <c r="D6985" s="27"/>
      <c r="E6985" s="30"/>
    </row>
    <row r="6986">
      <c r="A6986" s="27"/>
      <c r="B6986" s="28"/>
      <c r="C6986" s="27"/>
      <c r="D6986" s="27"/>
      <c r="E6986" s="30"/>
    </row>
    <row r="6987">
      <c r="A6987" s="27"/>
      <c r="B6987" s="28"/>
      <c r="C6987" s="27"/>
      <c r="D6987" s="27"/>
      <c r="E6987" s="30"/>
    </row>
    <row r="6988">
      <c r="A6988" s="27"/>
      <c r="B6988" s="28"/>
      <c r="C6988" s="27"/>
      <c r="D6988" s="27"/>
      <c r="E6988" s="30"/>
    </row>
    <row r="6989">
      <c r="A6989" s="27"/>
      <c r="B6989" s="28"/>
      <c r="C6989" s="27"/>
      <c r="D6989" s="27"/>
      <c r="E6989" s="30"/>
    </row>
    <row r="6990">
      <c r="A6990" s="27"/>
      <c r="B6990" s="28"/>
      <c r="C6990" s="27"/>
      <c r="D6990" s="27"/>
      <c r="E6990" s="30"/>
    </row>
    <row r="6991">
      <c r="A6991" s="27"/>
      <c r="B6991" s="28"/>
      <c r="C6991" s="27"/>
      <c r="D6991" s="27"/>
      <c r="E6991" s="30"/>
    </row>
    <row r="6992">
      <c r="A6992" s="27"/>
      <c r="B6992" s="28"/>
      <c r="C6992" s="27"/>
      <c r="D6992" s="27"/>
      <c r="E6992" s="30"/>
    </row>
    <row r="6993">
      <c r="A6993" s="27"/>
      <c r="B6993" s="28"/>
      <c r="C6993" s="27"/>
      <c r="D6993" s="27"/>
      <c r="E6993" s="30"/>
    </row>
    <row r="6994">
      <c r="A6994" s="27"/>
      <c r="B6994" s="28"/>
      <c r="C6994" s="27"/>
      <c r="D6994" s="27"/>
      <c r="E6994" s="30"/>
    </row>
    <row r="6995">
      <c r="A6995" s="27"/>
      <c r="B6995" s="28"/>
      <c r="C6995" s="27"/>
      <c r="D6995" s="27"/>
      <c r="E6995" s="30"/>
    </row>
    <row r="6996">
      <c r="A6996" s="27"/>
      <c r="B6996" s="28"/>
      <c r="C6996" s="27"/>
      <c r="D6996" s="27"/>
      <c r="E6996" s="30"/>
    </row>
    <row r="6997">
      <c r="A6997" s="27"/>
      <c r="B6997" s="28"/>
      <c r="C6997" s="27"/>
      <c r="D6997" s="27"/>
      <c r="E6997" s="30"/>
    </row>
    <row r="6998">
      <c r="A6998" s="27"/>
      <c r="B6998" s="28"/>
      <c r="C6998" s="27"/>
      <c r="D6998" s="27"/>
      <c r="E6998" s="30"/>
    </row>
    <row r="6999">
      <c r="A6999" s="27"/>
      <c r="B6999" s="28"/>
      <c r="C6999" s="27"/>
      <c r="D6999" s="27"/>
      <c r="E6999" s="30"/>
    </row>
    <row r="7000">
      <c r="A7000" s="27"/>
      <c r="B7000" s="28"/>
      <c r="C7000" s="27"/>
      <c r="D7000" s="27"/>
      <c r="E7000" s="30"/>
    </row>
    <row r="7001">
      <c r="A7001" s="27"/>
      <c r="B7001" s="28"/>
      <c r="C7001" s="27"/>
      <c r="D7001" s="27"/>
      <c r="E7001" s="30"/>
    </row>
    <row r="7002">
      <c r="A7002" s="27"/>
      <c r="B7002" s="28"/>
      <c r="C7002" s="27"/>
      <c r="D7002" s="27"/>
      <c r="E7002" s="30"/>
    </row>
    <row r="7003">
      <c r="A7003" s="27"/>
      <c r="B7003" s="28"/>
      <c r="C7003" s="27"/>
      <c r="D7003" s="27"/>
      <c r="E7003" s="30"/>
    </row>
    <row r="7004">
      <c r="A7004" s="27"/>
      <c r="B7004" s="28"/>
      <c r="C7004" s="27"/>
      <c r="D7004" s="27"/>
      <c r="E7004" s="30"/>
    </row>
    <row r="7005">
      <c r="A7005" s="27"/>
      <c r="B7005" s="28"/>
      <c r="C7005" s="27"/>
      <c r="D7005" s="27"/>
      <c r="E7005" s="30"/>
    </row>
    <row r="7006">
      <c r="A7006" s="27"/>
      <c r="B7006" s="28"/>
      <c r="C7006" s="27"/>
      <c r="D7006" s="27"/>
      <c r="E7006" s="30"/>
    </row>
    <row r="7007">
      <c r="A7007" s="27"/>
      <c r="B7007" s="28"/>
      <c r="C7007" s="27"/>
      <c r="D7007" s="27"/>
      <c r="E7007" s="30"/>
    </row>
    <row r="7008">
      <c r="A7008" s="27"/>
      <c r="B7008" s="28"/>
      <c r="C7008" s="27"/>
      <c r="D7008" s="27"/>
      <c r="E7008" s="30"/>
    </row>
    <row r="7009">
      <c r="A7009" s="27"/>
      <c r="B7009" s="28"/>
      <c r="C7009" s="27"/>
      <c r="D7009" s="27"/>
      <c r="E7009" s="30"/>
    </row>
    <row r="7010">
      <c r="A7010" s="27"/>
      <c r="B7010" s="28"/>
      <c r="C7010" s="27"/>
      <c r="D7010" s="27"/>
      <c r="E7010" s="30"/>
    </row>
    <row r="7011">
      <c r="A7011" s="27"/>
      <c r="B7011" s="28"/>
      <c r="C7011" s="27"/>
      <c r="D7011" s="27"/>
      <c r="E7011" s="30"/>
    </row>
    <row r="7012">
      <c r="A7012" s="27"/>
      <c r="B7012" s="28"/>
      <c r="C7012" s="27"/>
      <c r="D7012" s="27"/>
      <c r="E7012" s="30"/>
    </row>
    <row r="7013">
      <c r="A7013" s="27"/>
      <c r="B7013" s="28"/>
      <c r="C7013" s="27"/>
      <c r="D7013" s="27"/>
      <c r="E7013" s="30"/>
    </row>
    <row r="7014">
      <c r="A7014" s="27"/>
      <c r="B7014" s="28"/>
      <c r="C7014" s="27"/>
      <c r="D7014" s="27"/>
      <c r="E7014" s="30"/>
    </row>
    <row r="7015">
      <c r="A7015" s="27"/>
      <c r="B7015" s="28"/>
      <c r="C7015" s="27"/>
      <c r="D7015" s="27"/>
      <c r="E7015" s="30"/>
    </row>
    <row r="7016">
      <c r="A7016" s="27"/>
      <c r="B7016" s="28"/>
      <c r="C7016" s="27"/>
      <c r="D7016" s="27"/>
      <c r="E7016" s="30"/>
    </row>
    <row r="7017">
      <c r="A7017" s="27"/>
      <c r="B7017" s="28"/>
      <c r="C7017" s="27"/>
      <c r="D7017" s="27"/>
      <c r="E7017" s="30"/>
    </row>
    <row r="7018">
      <c r="A7018" s="27"/>
      <c r="B7018" s="28"/>
      <c r="C7018" s="27"/>
      <c r="D7018" s="27"/>
      <c r="E7018" s="30"/>
    </row>
    <row r="7019">
      <c r="A7019" s="27"/>
      <c r="B7019" s="28"/>
      <c r="C7019" s="27"/>
      <c r="D7019" s="27"/>
      <c r="E7019" s="30"/>
    </row>
    <row r="7020">
      <c r="A7020" s="27"/>
      <c r="B7020" s="28"/>
      <c r="C7020" s="27"/>
      <c r="D7020" s="27"/>
      <c r="E7020" s="30"/>
    </row>
    <row r="7021">
      <c r="A7021" s="27"/>
      <c r="B7021" s="28"/>
      <c r="C7021" s="27"/>
      <c r="D7021" s="27"/>
      <c r="E7021" s="30"/>
    </row>
    <row r="7022">
      <c r="A7022" s="27"/>
      <c r="B7022" s="28"/>
      <c r="C7022" s="27"/>
      <c r="D7022" s="27"/>
      <c r="E7022" s="30"/>
    </row>
    <row r="7023">
      <c r="A7023" s="27"/>
      <c r="B7023" s="28"/>
      <c r="C7023" s="27"/>
      <c r="D7023" s="27"/>
      <c r="E7023" s="30"/>
    </row>
    <row r="7024">
      <c r="A7024" s="27"/>
      <c r="B7024" s="28"/>
      <c r="C7024" s="27"/>
      <c r="D7024" s="27"/>
      <c r="E7024" s="30"/>
    </row>
    <row r="7025">
      <c r="A7025" s="27"/>
      <c r="B7025" s="28"/>
      <c r="C7025" s="27"/>
      <c r="D7025" s="27"/>
      <c r="E7025" s="30"/>
    </row>
    <row r="7026">
      <c r="A7026" s="27"/>
      <c r="B7026" s="28"/>
      <c r="C7026" s="27"/>
      <c r="D7026" s="27"/>
      <c r="E7026" s="30"/>
    </row>
    <row r="7027">
      <c r="A7027" s="27"/>
      <c r="B7027" s="28"/>
      <c r="C7027" s="27"/>
      <c r="D7027" s="27"/>
      <c r="E7027" s="30"/>
    </row>
    <row r="7028">
      <c r="A7028" s="27"/>
      <c r="B7028" s="28"/>
      <c r="C7028" s="27"/>
      <c r="D7028" s="27"/>
      <c r="E7028" s="30"/>
    </row>
    <row r="7029">
      <c r="A7029" s="27"/>
      <c r="B7029" s="28"/>
      <c r="C7029" s="27"/>
      <c r="D7029" s="27"/>
      <c r="E7029" s="30"/>
    </row>
    <row r="7030">
      <c r="A7030" s="27"/>
      <c r="B7030" s="28"/>
      <c r="C7030" s="27"/>
      <c r="D7030" s="27"/>
      <c r="E7030" s="30"/>
    </row>
    <row r="7031">
      <c r="A7031" s="27"/>
      <c r="B7031" s="28"/>
      <c r="C7031" s="27"/>
      <c r="D7031" s="27"/>
      <c r="E7031" s="30"/>
    </row>
    <row r="7032">
      <c r="A7032" s="27"/>
      <c r="B7032" s="28"/>
      <c r="C7032" s="27"/>
      <c r="D7032" s="27"/>
      <c r="E7032" s="30"/>
    </row>
    <row r="7033">
      <c r="A7033" s="27"/>
      <c r="B7033" s="28"/>
      <c r="C7033" s="27"/>
      <c r="D7033" s="27"/>
      <c r="E7033" s="30"/>
    </row>
    <row r="7034">
      <c r="A7034" s="27"/>
      <c r="B7034" s="28"/>
      <c r="C7034" s="27"/>
      <c r="D7034" s="27"/>
      <c r="E7034" s="30"/>
    </row>
    <row r="7035">
      <c r="A7035" s="27"/>
      <c r="B7035" s="28"/>
      <c r="C7035" s="27"/>
      <c r="D7035" s="27"/>
      <c r="E7035" s="30"/>
    </row>
    <row r="7036">
      <c r="A7036" s="27"/>
      <c r="B7036" s="28"/>
      <c r="C7036" s="27"/>
      <c r="D7036" s="27"/>
      <c r="E7036" s="30"/>
    </row>
    <row r="7037">
      <c r="A7037" s="27"/>
      <c r="B7037" s="28"/>
      <c r="C7037" s="27"/>
      <c r="D7037" s="27"/>
      <c r="E7037" s="30"/>
    </row>
    <row r="7038">
      <c r="A7038" s="27"/>
      <c r="B7038" s="28"/>
      <c r="C7038" s="27"/>
      <c r="D7038" s="27"/>
      <c r="E7038" s="30"/>
    </row>
    <row r="7039">
      <c r="A7039" s="27"/>
      <c r="B7039" s="28"/>
      <c r="C7039" s="27"/>
      <c r="D7039" s="27"/>
      <c r="E7039" s="30"/>
    </row>
    <row r="7040">
      <c r="A7040" s="27"/>
      <c r="B7040" s="28"/>
      <c r="C7040" s="27"/>
      <c r="D7040" s="27"/>
      <c r="E7040" s="30"/>
    </row>
    <row r="7041">
      <c r="A7041" s="27"/>
      <c r="B7041" s="28"/>
      <c r="C7041" s="27"/>
      <c r="D7041" s="27"/>
      <c r="E7041" s="30"/>
    </row>
    <row r="7042">
      <c r="A7042" s="27"/>
      <c r="B7042" s="28"/>
      <c r="C7042" s="27"/>
      <c r="D7042" s="27"/>
      <c r="E7042" s="30"/>
    </row>
    <row r="7043">
      <c r="A7043" s="27"/>
      <c r="B7043" s="28"/>
      <c r="C7043" s="27"/>
      <c r="D7043" s="27"/>
      <c r="E7043" s="30"/>
    </row>
    <row r="7044">
      <c r="A7044" s="27"/>
      <c r="B7044" s="28"/>
      <c r="C7044" s="27"/>
      <c r="D7044" s="27"/>
      <c r="E7044" s="30"/>
    </row>
    <row r="7045">
      <c r="A7045" s="27"/>
      <c r="B7045" s="28"/>
      <c r="C7045" s="27"/>
      <c r="D7045" s="27"/>
      <c r="E7045" s="30"/>
    </row>
    <row r="7046">
      <c r="A7046" s="27"/>
      <c r="B7046" s="28"/>
      <c r="C7046" s="27"/>
      <c r="D7046" s="27"/>
      <c r="E7046" s="30"/>
    </row>
    <row r="7047">
      <c r="A7047" s="27"/>
      <c r="B7047" s="28"/>
      <c r="C7047" s="27"/>
      <c r="D7047" s="27"/>
      <c r="E7047" s="30"/>
    </row>
    <row r="7048">
      <c r="A7048" s="27"/>
      <c r="B7048" s="28"/>
      <c r="C7048" s="27"/>
      <c r="D7048" s="27"/>
      <c r="E7048" s="30"/>
    </row>
    <row r="7049">
      <c r="A7049" s="27"/>
      <c r="B7049" s="28"/>
      <c r="C7049" s="27"/>
      <c r="D7049" s="27"/>
      <c r="E7049" s="30"/>
    </row>
    <row r="7050">
      <c r="A7050" s="27"/>
      <c r="B7050" s="28"/>
      <c r="C7050" s="27"/>
      <c r="D7050" s="27"/>
      <c r="E7050" s="30"/>
    </row>
    <row r="7051">
      <c r="A7051" s="27"/>
      <c r="B7051" s="28"/>
      <c r="C7051" s="27"/>
      <c r="D7051" s="27"/>
      <c r="E7051" s="30"/>
    </row>
    <row r="7052">
      <c r="A7052" s="27"/>
      <c r="B7052" s="28"/>
      <c r="C7052" s="27"/>
      <c r="D7052" s="27"/>
      <c r="E7052" s="30"/>
    </row>
    <row r="7053">
      <c r="A7053" s="27"/>
      <c r="B7053" s="28"/>
      <c r="C7053" s="27"/>
      <c r="D7053" s="27"/>
      <c r="E7053" s="30"/>
    </row>
    <row r="7054">
      <c r="A7054" s="27"/>
      <c r="B7054" s="28"/>
      <c r="C7054" s="27"/>
      <c r="D7054" s="27"/>
      <c r="E7054" s="30"/>
    </row>
    <row r="7055">
      <c r="A7055" s="27"/>
      <c r="B7055" s="28"/>
      <c r="C7055" s="27"/>
      <c r="D7055" s="27"/>
      <c r="E7055" s="30"/>
    </row>
    <row r="7056">
      <c r="A7056" s="27"/>
      <c r="B7056" s="28"/>
      <c r="C7056" s="27"/>
      <c r="D7056" s="27"/>
      <c r="E7056" s="30"/>
    </row>
    <row r="7057">
      <c r="A7057" s="27"/>
      <c r="B7057" s="28"/>
      <c r="C7057" s="27"/>
      <c r="D7057" s="27"/>
      <c r="E7057" s="30"/>
    </row>
    <row r="7058">
      <c r="A7058" s="27"/>
      <c r="B7058" s="28"/>
      <c r="C7058" s="27"/>
      <c r="D7058" s="27"/>
      <c r="E7058" s="30"/>
    </row>
    <row r="7059">
      <c r="A7059" s="27"/>
      <c r="B7059" s="28"/>
      <c r="C7059" s="27"/>
      <c r="D7059" s="27"/>
      <c r="E7059" s="30"/>
    </row>
    <row r="7060">
      <c r="A7060" s="27"/>
      <c r="B7060" s="28"/>
      <c r="C7060" s="27"/>
      <c r="D7060" s="27"/>
      <c r="E7060" s="30"/>
    </row>
    <row r="7061">
      <c r="A7061" s="27"/>
      <c r="B7061" s="28"/>
      <c r="C7061" s="27"/>
      <c r="D7061" s="27"/>
      <c r="E7061" s="30"/>
    </row>
    <row r="7062">
      <c r="A7062" s="27"/>
      <c r="B7062" s="28"/>
      <c r="C7062" s="27"/>
      <c r="D7062" s="27"/>
      <c r="E7062" s="30"/>
    </row>
    <row r="7063">
      <c r="A7063" s="27"/>
      <c r="B7063" s="28"/>
      <c r="C7063" s="27"/>
      <c r="D7063" s="27"/>
      <c r="E7063" s="30"/>
    </row>
    <row r="7064">
      <c r="A7064" s="27"/>
      <c r="B7064" s="28"/>
      <c r="C7064" s="27"/>
      <c r="D7064" s="27"/>
      <c r="E7064" s="30"/>
    </row>
    <row r="7065">
      <c r="A7065" s="27"/>
      <c r="B7065" s="28"/>
      <c r="C7065" s="27"/>
      <c r="D7065" s="27"/>
      <c r="E7065" s="30"/>
    </row>
    <row r="7066">
      <c r="A7066" s="27"/>
      <c r="B7066" s="28"/>
      <c r="C7066" s="27"/>
      <c r="D7066" s="27"/>
      <c r="E7066" s="30"/>
    </row>
    <row r="7067">
      <c r="A7067" s="27"/>
      <c r="B7067" s="28"/>
      <c r="C7067" s="27"/>
      <c r="D7067" s="27"/>
      <c r="E7067" s="30"/>
    </row>
    <row r="7068">
      <c r="A7068" s="27"/>
      <c r="B7068" s="28"/>
      <c r="C7068" s="27"/>
      <c r="D7068" s="27"/>
      <c r="E7068" s="30"/>
    </row>
    <row r="7069">
      <c r="A7069" s="27"/>
      <c r="B7069" s="28"/>
      <c r="C7069" s="27"/>
      <c r="D7069" s="27"/>
      <c r="E7069" s="30"/>
    </row>
    <row r="7070">
      <c r="A7070" s="27"/>
      <c r="B7070" s="28"/>
      <c r="C7070" s="27"/>
      <c r="D7070" s="27"/>
      <c r="E7070" s="30"/>
    </row>
    <row r="7071">
      <c r="A7071" s="27"/>
      <c r="B7071" s="28"/>
      <c r="C7071" s="27"/>
      <c r="D7071" s="27"/>
      <c r="E7071" s="30"/>
    </row>
    <row r="7072">
      <c r="A7072" s="27"/>
      <c r="B7072" s="28"/>
      <c r="C7072" s="27"/>
      <c r="D7072" s="27"/>
      <c r="E7072" s="30"/>
    </row>
    <row r="7073">
      <c r="A7073" s="27"/>
      <c r="B7073" s="28"/>
      <c r="C7073" s="27"/>
      <c r="D7073" s="27"/>
      <c r="E7073" s="30"/>
    </row>
    <row r="7074">
      <c r="A7074" s="27"/>
      <c r="B7074" s="28"/>
      <c r="C7074" s="27"/>
      <c r="D7074" s="27"/>
      <c r="E7074" s="30"/>
    </row>
    <row r="7075">
      <c r="A7075" s="27"/>
      <c r="B7075" s="28"/>
      <c r="C7075" s="27"/>
      <c r="D7075" s="27"/>
      <c r="E7075" s="30"/>
    </row>
    <row r="7076">
      <c r="A7076" s="27"/>
      <c r="B7076" s="28"/>
      <c r="C7076" s="27"/>
      <c r="D7076" s="27"/>
      <c r="E7076" s="30"/>
    </row>
    <row r="7077">
      <c r="A7077" s="27"/>
      <c r="B7077" s="28"/>
      <c r="C7077" s="27"/>
      <c r="D7077" s="27"/>
      <c r="E7077" s="30"/>
    </row>
    <row r="7078">
      <c r="A7078" s="27"/>
      <c r="B7078" s="28"/>
      <c r="C7078" s="27"/>
      <c r="D7078" s="27"/>
      <c r="E7078" s="30"/>
    </row>
    <row r="7079">
      <c r="A7079" s="27"/>
      <c r="B7079" s="28"/>
      <c r="C7079" s="27"/>
      <c r="D7079" s="27"/>
      <c r="E7079" s="30"/>
    </row>
    <row r="7080">
      <c r="A7080" s="27"/>
      <c r="B7080" s="28"/>
      <c r="C7080" s="27"/>
      <c r="D7080" s="27"/>
      <c r="E7080" s="30"/>
    </row>
    <row r="7081">
      <c r="A7081" s="27"/>
      <c r="B7081" s="28"/>
      <c r="C7081" s="27"/>
      <c r="D7081" s="27"/>
      <c r="E7081" s="30"/>
    </row>
    <row r="7082">
      <c r="A7082" s="27"/>
      <c r="B7082" s="28"/>
      <c r="C7082" s="27"/>
      <c r="D7082" s="27"/>
      <c r="E7082" s="30"/>
    </row>
    <row r="7083">
      <c r="A7083" s="27"/>
      <c r="B7083" s="28"/>
      <c r="C7083" s="27"/>
      <c r="D7083" s="27"/>
      <c r="E7083" s="30"/>
    </row>
    <row r="7084">
      <c r="A7084" s="27"/>
      <c r="B7084" s="28"/>
      <c r="C7084" s="27"/>
      <c r="D7084" s="27"/>
      <c r="E7084" s="30"/>
    </row>
    <row r="7085">
      <c r="A7085" s="27"/>
      <c r="B7085" s="28"/>
      <c r="C7085" s="27"/>
      <c r="D7085" s="27"/>
      <c r="E7085" s="30"/>
    </row>
    <row r="7086">
      <c r="A7086" s="27"/>
      <c r="B7086" s="28"/>
      <c r="C7086" s="27"/>
      <c r="D7086" s="27"/>
      <c r="E7086" s="30"/>
    </row>
    <row r="7087">
      <c r="A7087" s="27"/>
      <c r="B7087" s="28"/>
      <c r="C7087" s="27"/>
      <c r="D7087" s="27"/>
      <c r="E7087" s="30"/>
    </row>
    <row r="7088">
      <c r="A7088" s="27"/>
      <c r="B7088" s="28"/>
      <c r="C7088" s="27"/>
      <c r="D7088" s="27"/>
      <c r="E7088" s="30"/>
    </row>
    <row r="7089">
      <c r="A7089" s="27"/>
      <c r="B7089" s="28"/>
      <c r="C7089" s="27"/>
      <c r="D7089" s="27"/>
      <c r="E7089" s="30"/>
    </row>
    <row r="7090">
      <c r="A7090" s="27"/>
      <c r="B7090" s="28"/>
      <c r="C7090" s="27"/>
      <c r="D7090" s="27"/>
      <c r="E7090" s="30"/>
    </row>
    <row r="7091">
      <c r="A7091" s="27"/>
      <c r="B7091" s="28"/>
      <c r="C7091" s="27"/>
      <c r="D7091" s="27"/>
      <c r="E7091" s="30"/>
    </row>
    <row r="7092">
      <c r="A7092" s="27"/>
      <c r="B7092" s="28"/>
      <c r="C7092" s="27"/>
      <c r="D7092" s="27"/>
      <c r="E7092" s="30"/>
    </row>
    <row r="7093">
      <c r="A7093" s="27"/>
      <c r="B7093" s="28"/>
      <c r="C7093" s="27"/>
      <c r="D7093" s="27"/>
      <c r="E7093" s="30"/>
    </row>
    <row r="7094">
      <c r="A7094" s="27"/>
      <c r="B7094" s="28"/>
      <c r="C7094" s="27"/>
      <c r="D7094" s="27"/>
      <c r="E7094" s="30"/>
    </row>
    <row r="7095">
      <c r="A7095" s="27"/>
      <c r="B7095" s="28"/>
      <c r="C7095" s="27"/>
      <c r="D7095" s="27"/>
      <c r="E7095" s="30"/>
    </row>
    <row r="7096">
      <c r="A7096" s="27"/>
      <c r="B7096" s="28"/>
      <c r="C7096" s="27"/>
      <c r="D7096" s="27"/>
      <c r="E7096" s="30"/>
    </row>
    <row r="7097">
      <c r="A7097" s="27"/>
      <c r="B7097" s="28"/>
      <c r="C7097" s="27"/>
      <c r="D7097" s="27"/>
      <c r="E7097" s="30"/>
    </row>
    <row r="7098">
      <c r="A7098" s="27"/>
      <c r="B7098" s="28"/>
      <c r="C7098" s="27"/>
      <c r="D7098" s="27"/>
      <c r="E7098" s="30"/>
    </row>
    <row r="7099">
      <c r="A7099" s="27"/>
      <c r="B7099" s="28"/>
      <c r="C7099" s="27"/>
      <c r="D7099" s="27"/>
      <c r="E7099" s="30"/>
    </row>
    <row r="7100">
      <c r="A7100" s="27"/>
      <c r="B7100" s="28"/>
      <c r="C7100" s="27"/>
      <c r="D7100" s="27"/>
      <c r="E7100" s="30"/>
    </row>
    <row r="7101">
      <c r="A7101" s="27"/>
      <c r="B7101" s="28"/>
      <c r="C7101" s="27"/>
      <c r="D7101" s="27"/>
      <c r="E7101" s="30"/>
    </row>
    <row r="7102">
      <c r="A7102" s="27"/>
      <c r="B7102" s="28"/>
      <c r="C7102" s="27"/>
      <c r="D7102" s="27"/>
      <c r="E7102" s="30"/>
    </row>
    <row r="7103">
      <c r="A7103" s="27"/>
      <c r="B7103" s="28"/>
      <c r="C7103" s="27"/>
      <c r="D7103" s="27"/>
      <c r="E7103" s="30"/>
    </row>
    <row r="7104">
      <c r="A7104" s="27"/>
      <c r="B7104" s="28"/>
      <c r="C7104" s="27"/>
      <c r="D7104" s="27"/>
      <c r="E7104" s="30"/>
    </row>
    <row r="7105">
      <c r="A7105" s="27"/>
      <c r="B7105" s="28"/>
      <c r="C7105" s="27"/>
      <c r="D7105" s="27"/>
      <c r="E7105" s="30"/>
    </row>
    <row r="7106">
      <c r="A7106" s="27"/>
      <c r="B7106" s="28"/>
      <c r="C7106" s="27"/>
      <c r="D7106" s="27"/>
      <c r="E7106" s="30"/>
    </row>
    <row r="7107">
      <c r="A7107" s="27"/>
      <c r="B7107" s="28"/>
      <c r="C7107" s="27"/>
      <c r="D7107" s="27"/>
      <c r="E7107" s="30"/>
    </row>
    <row r="7108">
      <c r="A7108" s="27"/>
      <c r="B7108" s="28"/>
      <c r="C7108" s="27"/>
      <c r="D7108" s="27"/>
      <c r="E7108" s="30"/>
    </row>
    <row r="7109">
      <c r="A7109" s="27"/>
      <c r="B7109" s="28"/>
      <c r="C7109" s="27"/>
      <c r="D7109" s="27"/>
      <c r="E7109" s="30"/>
    </row>
    <row r="7110">
      <c r="A7110" s="27"/>
      <c r="B7110" s="28"/>
      <c r="C7110" s="27"/>
      <c r="D7110" s="27"/>
      <c r="E7110" s="30"/>
    </row>
    <row r="7111">
      <c r="A7111" s="27"/>
      <c r="B7111" s="28"/>
      <c r="C7111" s="27"/>
      <c r="D7111" s="27"/>
      <c r="E7111" s="30"/>
    </row>
    <row r="7112">
      <c r="A7112" s="27"/>
      <c r="B7112" s="28"/>
      <c r="C7112" s="27"/>
      <c r="D7112" s="27"/>
      <c r="E7112" s="30"/>
    </row>
    <row r="7113">
      <c r="A7113" s="27"/>
      <c r="B7113" s="28"/>
      <c r="C7113" s="27"/>
      <c r="D7113" s="27"/>
      <c r="E7113" s="30"/>
    </row>
    <row r="7114">
      <c r="A7114" s="27"/>
      <c r="B7114" s="28"/>
      <c r="C7114" s="27"/>
      <c r="D7114" s="27"/>
      <c r="E7114" s="30"/>
    </row>
    <row r="7115">
      <c r="A7115" s="27"/>
      <c r="B7115" s="28"/>
      <c r="C7115" s="27"/>
      <c r="D7115" s="27"/>
      <c r="E7115" s="30"/>
    </row>
    <row r="7116">
      <c r="A7116" s="27"/>
      <c r="B7116" s="28"/>
      <c r="C7116" s="27"/>
      <c r="D7116" s="27"/>
      <c r="E7116" s="30"/>
    </row>
    <row r="7117">
      <c r="A7117" s="27"/>
      <c r="B7117" s="28"/>
      <c r="C7117" s="27"/>
      <c r="D7117" s="27"/>
      <c r="E7117" s="30"/>
    </row>
    <row r="7118">
      <c r="A7118" s="27"/>
      <c r="B7118" s="28"/>
      <c r="C7118" s="27"/>
      <c r="D7118" s="27"/>
      <c r="E7118" s="30"/>
    </row>
    <row r="7119">
      <c r="A7119" s="27"/>
      <c r="B7119" s="28"/>
      <c r="C7119" s="27"/>
      <c r="D7119" s="27"/>
      <c r="E7119" s="30"/>
    </row>
    <row r="7120">
      <c r="A7120" s="27"/>
      <c r="B7120" s="28"/>
      <c r="C7120" s="27"/>
      <c r="D7120" s="27"/>
      <c r="E7120" s="30"/>
    </row>
    <row r="7121">
      <c r="A7121" s="27"/>
      <c r="B7121" s="28"/>
      <c r="C7121" s="27"/>
      <c r="D7121" s="27"/>
      <c r="E7121" s="30"/>
    </row>
    <row r="7122">
      <c r="A7122" s="27"/>
      <c r="B7122" s="28"/>
      <c r="C7122" s="27"/>
      <c r="D7122" s="27"/>
      <c r="E7122" s="30"/>
    </row>
    <row r="7123">
      <c r="A7123" s="27"/>
      <c r="B7123" s="28"/>
      <c r="C7123" s="27"/>
      <c r="D7123" s="27"/>
      <c r="E7123" s="30"/>
    </row>
    <row r="7124">
      <c r="A7124" s="27"/>
      <c r="B7124" s="28"/>
      <c r="C7124" s="27"/>
      <c r="D7124" s="27"/>
      <c r="E7124" s="30"/>
    </row>
    <row r="7125">
      <c r="A7125" s="27"/>
      <c r="B7125" s="28"/>
      <c r="C7125" s="27"/>
      <c r="D7125" s="27"/>
      <c r="E7125" s="30"/>
    </row>
    <row r="7126">
      <c r="A7126" s="27"/>
      <c r="B7126" s="28"/>
      <c r="C7126" s="27"/>
      <c r="D7126" s="27"/>
      <c r="E7126" s="30"/>
    </row>
    <row r="7127">
      <c r="A7127" s="27"/>
      <c r="B7127" s="28"/>
      <c r="C7127" s="27"/>
      <c r="D7127" s="27"/>
      <c r="E7127" s="30"/>
    </row>
    <row r="7128">
      <c r="A7128" s="27"/>
      <c r="B7128" s="28"/>
      <c r="C7128" s="27"/>
      <c r="D7128" s="27"/>
      <c r="E7128" s="30"/>
    </row>
    <row r="7129">
      <c r="A7129" s="27"/>
      <c r="B7129" s="28"/>
      <c r="C7129" s="27"/>
      <c r="D7129" s="27"/>
      <c r="E7129" s="30"/>
    </row>
    <row r="7130">
      <c r="A7130" s="27"/>
      <c r="B7130" s="28"/>
      <c r="C7130" s="27"/>
      <c r="D7130" s="27"/>
      <c r="E7130" s="30"/>
    </row>
    <row r="7131">
      <c r="A7131" s="27"/>
      <c r="B7131" s="28"/>
      <c r="C7131" s="27"/>
      <c r="D7131" s="27"/>
      <c r="E7131" s="30"/>
    </row>
    <row r="7132">
      <c r="A7132" s="27"/>
      <c r="B7132" s="28"/>
      <c r="C7132" s="27"/>
      <c r="D7132" s="27"/>
      <c r="E7132" s="30"/>
    </row>
    <row r="7133">
      <c r="A7133" s="27"/>
      <c r="B7133" s="28"/>
      <c r="C7133" s="27"/>
      <c r="D7133" s="27"/>
      <c r="E7133" s="30"/>
    </row>
    <row r="7134">
      <c r="A7134" s="27"/>
      <c r="B7134" s="28"/>
      <c r="C7134" s="27"/>
      <c r="D7134" s="27"/>
      <c r="E7134" s="30"/>
    </row>
    <row r="7135">
      <c r="A7135" s="27"/>
      <c r="B7135" s="28"/>
      <c r="C7135" s="27"/>
      <c r="D7135" s="27"/>
      <c r="E7135" s="30"/>
    </row>
    <row r="7136">
      <c r="A7136" s="27"/>
      <c r="B7136" s="28"/>
      <c r="C7136" s="27"/>
      <c r="D7136" s="27"/>
      <c r="E7136" s="30"/>
    </row>
    <row r="7137">
      <c r="A7137" s="27"/>
      <c r="B7137" s="28"/>
      <c r="C7137" s="27"/>
      <c r="D7137" s="27"/>
      <c r="E7137" s="30"/>
    </row>
    <row r="7138">
      <c r="A7138" s="27"/>
      <c r="B7138" s="28"/>
      <c r="C7138" s="27"/>
      <c r="D7138" s="27"/>
      <c r="E7138" s="30"/>
    </row>
    <row r="7139">
      <c r="A7139" s="27"/>
      <c r="B7139" s="28"/>
      <c r="C7139" s="27"/>
      <c r="D7139" s="27"/>
      <c r="E7139" s="30"/>
    </row>
    <row r="7140">
      <c r="A7140" s="27"/>
      <c r="B7140" s="28"/>
      <c r="C7140" s="27"/>
      <c r="D7140" s="27"/>
      <c r="E7140" s="30"/>
    </row>
    <row r="7141">
      <c r="A7141" s="27"/>
      <c r="B7141" s="28"/>
      <c r="C7141" s="27"/>
      <c r="D7141" s="27"/>
      <c r="E7141" s="30"/>
    </row>
    <row r="7142">
      <c r="A7142" s="27"/>
      <c r="B7142" s="28"/>
      <c r="C7142" s="27"/>
      <c r="D7142" s="27"/>
      <c r="E7142" s="30"/>
    </row>
    <row r="7143">
      <c r="A7143" s="27"/>
      <c r="B7143" s="28"/>
      <c r="C7143" s="27"/>
      <c r="D7143" s="27"/>
      <c r="E7143" s="30"/>
    </row>
    <row r="7144">
      <c r="A7144" s="27"/>
      <c r="B7144" s="28"/>
      <c r="C7144" s="27"/>
      <c r="D7144" s="27"/>
      <c r="E7144" s="30"/>
    </row>
    <row r="7145">
      <c r="A7145" s="27"/>
      <c r="B7145" s="28"/>
      <c r="C7145" s="27"/>
      <c r="D7145" s="27"/>
      <c r="E7145" s="30"/>
    </row>
    <row r="7146">
      <c r="A7146" s="27"/>
      <c r="B7146" s="28"/>
      <c r="C7146" s="27"/>
      <c r="D7146" s="27"/>
      <c r="E7146" s="30"/>
    </row>
    <row r="7147">
      <c r="A7147" s="27"/>
      <c r="B7147" s="28"/>
      <c r="C7147" s="27"/>
      <c r="D7147" s="27"/>
      <c r="E7147" s="30"/>
    </row>
    <row r="7148">
      <c r="A7148" s="27"/>
      <c r="B7148" s="28"/>
      <c r="C7148" s="27"/>
      <c r="D7148" s="27"/>
      <c r="E7148" s="30"/>
    </row>
    <row r="7149">
      <c r="A7149" s="27"/>
      <c r="B7149" s="28"/>
      <c r="C7149" s="27"/>
      <c r="D7149" s="27"/>
      <c r="E7149" s="30"/>
    </row>
    <row r="7150">
      <c r="A7150" s="27"/>
      <c r="B7150" s="28"/>
      <c r="C7150" s="27"/>
      <c r="D7150" s="27"/>
      <c r="E7150" s="30"/>
    </row>
    <row r="7151">
      <c r="A7151" s="27"/>
      <c r="B7151" s="28"/>
      <c r="C7151" s="27"/>
      <c r="D7151" s="27"/>
      <c r="E7151" s="30"/>
    </row>
    <row r="7152">
      <c r="A7152" s="27"/>
      <c r="B7152" s="28"/>
      <c r="C7152" s="27"/>
      <c r="D7152" s="27"/>
      <c r="E7152" s="30"/>
    </row>
    <row r="7153">
      <c r="A7153" s="27"/>
      <c r="B7153" s="28"/>
      <c r="C7153" s="27"/>
      <c r="D7153" s="27"/>
      <c r="E7153" s="30"/>
    </row>
    <row r="7154">
      <c r="A7154" s="27"/>
      <c r="B7154" s="28"/>
      <c r="C7154" s="27"/>
      <c r="D7154" s="27"/>
      <c r="E7154" s="30"/>
    </row>
    <row r="7155">
      <c r="A7155" s="27"/>
      <c r="B7155" s="28"/>
      <c r="C7155" s="27"/>
      <c r="D7155" s="27"/>
      <c r="E7155" s="30"/>
    </row>
    <row r="7156">
      <c r="A7156" s="27"/>
      <c r="B7156" s="28"/>
      <c r="C7156" s="27"/>
      <c r="D7156" s="27"/>
      <c r="E7156" s="30"/>
    </row>
    <row r="7157">
      <c r="A7157" s="27"/>
      <c r="B7157" s="28"/>
      <c r="C7157" s="27"/>
      <c r="D7157" s="27"/>
      <c r="E7157" s="30"/>
    </row>
    <row r="7158">
      <c r="A7158" s="27"/>
      <c r="B7158" s="28"/>
      <c r="C7158" s="27"/>
      <c r="D7158" s="27"/>
      <c r="E7158" s="30"/>
    </row>
    <row r="7159">
      <c r="A7159" s="27"/>
      <c r="B7159" s="28"/>
      <c r="C7159" s="27"/>
      <c r="D7159" s="27"/>
      <c r="E7159" s="30"/>
    </row>
    <row r="7160">
      <c r="A7160" s="27"/>
      <c r="B7160" s="28"/>
      <c r="C7160" s="27"/>
      <c r="D7160" s="27"/>
      <c r="E7160" s="30"/>
    </row>
    <row r="7161">
      <c r="A7161" s="27"/>
      <c r="B7161" s="28"/>
      <c r="C7161" s="27"/>
      <c r="D7161" s="27"/>
      <c r="E7161" s="30"/>
    </row>
    <row r="7162">
      <c r="A7162" s="27"/>
      <c r="B7162" s="28"/>
      <c r="C7162" s="27"/>
      <c r="D7162" s="27"/>
      <c r="E7162" s="30"/>
    </row>
    <row r="7163">
      <c r="A7163" s="27"/>
      <c r="B7163" s="28"/>
      <c r="C7163" s="27"/>
      <c r="D7163" s="27"/>
      <c r="E7163" s="30"/>
    </row>
    <row r="7164">
      <c r="A7164" s="27"/>
      <c r="B7164" s="28"/>
      <c r="C7164" s="27"/>
      <c r="D7164" s="27"/>
      <c r="E7164" s="30"/>
    </row>
    <row r="7165">
      <c r="A7165" s="27"/>
      <c r="B7165" s="28"/>
      <c r="C7165" s="27"/>
      <c r="D7165" s="27"/>
      <c r="E7165" s="30"/>
    </row>
    <row r="7166">
      <c r="A7166" s="27"/>
      <c r="B7166" s="28"/>
      <c r="C7166" s="27"/>
      <c r="D7166" s="27"/>
      <c r="E7166" s="30"/>
    </row>
    <row r="7167">
      <c r="A7167" s="27"/>
      <c r="B7167" s="28"/>
      <c r="C7167" s="27"/>
      <c r="D7167" s="27"/>
      <c r="E7167" s="30"/>
    </row>
    <row r="7168">
      <c r="A7168" s="27"/>
      <c r="B7168" s="28"/>
      <c r="C7168" s="27"/>
      <c r="D7168" s="27"/>
      <c r="E7168" s="30"/>
    </row>
    <row r="7169">
      <c r="A7169" s="27"/>
      <c r="B7169" s="28"/>
      <c r="C7169" s="27"/>
      <c r="D7169" s="27"/>
      <c r="E7169" s="30"/>
    </row>
    <row r="7170">
      <c r="A7170" s="27"/>
      <c r="B7170" s="28"/>
      <c r="C7170" s="27"/>
      <c r="D7170" s="27"/>
      <c r="E7170" s="30"/>
    </row>
    <row r="7171">
      <c r="A7171" s="27"/>
      <c r="B7171" s="28"/>
      <c r="C7171" s="27"/>
      <c r="D7171" s="27"/>
      <c r="E7171" s="30"/>
    </row>
    <row r="7172">
      <c r="A7172" s="27"/>
      <c r="B7172" s="28"/>
      <c r="C7172" s="27"/>
      <c r="D7172" s="27"/>
      <c r="E7172" s="30"/>
    </row>
    <row r="7173">
      <c r="A7173" s="27"/>
      <c r="B7173" s="28"/>
      <c r="C7173" s="27"/>
      <c r="D7173" s="27"/>
      <c r="E7173" s="30"/>
    </row>
    <row r="7174">
      <c r="A7174" s="27"/>
      <c r="B7174" s="28"/>
      <c r="C7174" s="27"/>
      <c r="D7174" s="27"/>
      <c r="E7174" s="30"/>
    </row>
    <row r="7175">
      <c r="A7175" s="27"/>
      <c r="B7175" s="28"/>
      <c r="C7175" s="27"/>
      <c r="D7175" s="27"/>
      <c r="E7175" s="30"/>
    </row>
    <row r="7176">
      <c r="A7176" s="27"/>
      <c r="B7176" s="28"/>
      <c r="C7176" s="27"/>
      <c r="D7176" s="27"/>
      <c r="E7176" s="30"/>
    </row>
    <row r="7177">
      <c r="A7177" s="27"/>
      <c r="B7177" s="28"/>
      <c r="C7177" s="27"/>
      <c r="D7177" s="27"/>
      <c r="E7177" s="30"/>
    </row>
    <row r="7178">
      <c r="A7178" s="27"/>
      <c r="B7178" s="28"/>
      <c r="C7178" s="27"/>
      <c r="D7178" s="27"/>
      <c r="E7178" s="30"/>
    </row>
    <row r="7179">
      <c r="A7179" s="27"/>
      <c r="B7179" s="28"/>
      <c r="C7179" s="27"/>
      <c r="D7179" s="27"/>
      <c r="E7179" s="30"/>
    </row>
    <row r="7180">
      <c r="A7180" s="27"/>
      <c r="B7180" s="28"/>
      <c r="C7180" s="27"/>
      <c r="D7180" s="27"/>
      <c r="E7180" s="30"/>
    </row>
    <row r="7181">
      <c r="A7181" s="27"/>
      <c r="B7181" s="28"/>
      <c r="C7181" s="27"/>
      <c r="D7181" s="27"/>
      <c r="E7181" s="30"/>
    </row>
    <row r="7182">
      <c r="A7182" s="27"/>
      <c r="B7182" s="28"/>
      <c r="C7182" s="27"/>
      <c r="D7182" s="27"/>
      <c r="E7182" s="30"/>
    </row>
    <row r="7183">
      <c r="A7183" s="27"/>
      <c r="B7183" s="28"/>
      <c r="C7183" s="27"/>
      <c r="D7183" s="27"/>
      <c r="E7183" s="30"/>
    </row>
    <row r="7184">
      <c r="A7184" s="27"/>
      <c r="B7184" s="28"/>
      <c r="C7184" s="27"/>
      <c r="D7184" s="27"/>
      <c r="E7184" s="30"/>
    </row>
    <row r="7185">
      <c r="A7185" s="27"/>
      <c r="B7185" s="28"/>
      <c r="C7185" s="27"/>
      <c r="D7185" s="27"/>
      <c r="E7185" s="30"/>
    </row>
    <row r="7186">
      <c r="A7186" s="27"/>
      <c r="B7186" s="28"/>
      <c r="C7186" s="27"/>
      <c r="D7186" s="27"/>
      <c r="E7186" s="30"/>
    </row>
    <row r="7187">
      <c r="A7187" s="27"/>
      <c r="B7187" s="28"/>
      <c r="C7187" s="27"/>
      <c r="D7187" s="27"/>
      <c r="E7187" s="30"/>
    </row>
    <row r="7188">
      <c r="A7188" s="27"/>
      <c r="B7188" s="28"/>
      <c r="C7188" s="27"/>
      <c r="D7188" s="27"/>
      <c r="E7188" s="30"/>
    </row>
    <row r="7189">
      <c r="A7189" s="27"/>
      <c r="B7189" s="28"/>
      <c r="C7189" s="27"/>
      <c r="D7189" s="27"/>
      <c r="E7189" s="30"/>
    </row>
    <row r="7190">
      <c r="A7190" s="27"/>
      <c r="B7190" s="28"/>
      <c r="C7190" s="27"/>
      <c r="D7190" s="27"/>
      <c r="E7190" s="30"/>
    </row>
    <row r="7191">
      <c r="A7191" s="27"/>
      <c r="B7191" s="28"/>
      <c r="C7191" s="27"/>
      <c r="D7191" s="27"/>
      <c r="E7191" s="30"/>
    </row>
    <row r="7192">
      <c r="A7192" s="27"/>
      <c r="B7192" s="28"/>
      <c r="C7192" s="27"/>
      <c r="D7192" s="27"/>
      <c r="E7192" s="30"/>
    </row>
    <row r="7193">
      <c r="A7193" s="27"/>
      <c r="B7193" s="28"/>
      <c r="C7193" s="27"/>
      <c r="D7193" s="27"/>
      <c r="E7193" s="30"/>
    </row>
    <row r="7194">
      <c r="A7194" s="27"/>
      <c r="B7194" s="28"/>
      <c r="C7194" s="27"/>
      <c r="D7194" s="27"/>
      <c r="E7194" s="30"/>
    </row>
    <row r="7195">
      <c r="A7195" s="27"/>
      <c r="B7195" s="28"/>
      <c r="C7195" s="27"/>
      <c r="D7195" s="27"/>
      <c r="E7195" s="30"/>
    </row>
    <row r="7196">
      <c r="A7196" s="27"/>
      <c r="B7196" s="28"/>
      <c r="C7196" s="27"/>
      <c r="D7196" s="27"/>
      <c r="E7196" s="30"/>
    </row>
    <row r="7197">
      <c r="A7197" s="27"/>
      <c r="B7197" s="28"/>
      <c r="C7197" s="27"/>
      <c r="D7197" s="27"/>
      <c r="E7197" s="30"/>
    </row>
    <row r="7198">
      <c r="A7198" s="27"/>
      <c r="B7198" s="28"/>
      <c r="C7198" s="27"/>
      <c r="D7198" s="27"/>
      <c r="E7198" s="30"/>
    </row>
    <row r="7199">
      <c r="A7199" s="27"/>
      <c r="B7199" s="28"/>
      <c r="C7199" s="27"/>
      <c r="D7199" s="27"/>
      <c r="E7199" s="30"/>
    </row>
    <row r="7200">
      <c r="A7200" s="27"/>
      <c r="B7200" s="28"/>
      <c r="C7200" s="27"/>
      <c r="D7200" s="27"/>
      <c r="E7200" s="30"/>
    </row>
    <row r="7201">
      <c r="A7201" s="27"/>
      <c r="B7201" s="28"/>
      <c r="C7201" s="27"/>
      <c r="D7201" s="27"/>
      <c r="E7201" s="30"/>
    </row>
    <row r="7202">
      <c r="A7202" s="27"/>
      <c r="B7202" s="28"/>
      <c r="C7202" s="27"/>
      <c r="D7202" s="27"/>
      <c r="E7202" s="30"/>
    </row>
    <row r="7203">
      <c r="A7203" s="27"/>
      <c r="B7203" s="28"/>
      <c r="C7203" s="27"/>
      <c r="D7203" s="27"/>
      <c r="E7203" s="30"/>
    </row>
    <row r="7204">
      <c r="A7204" s="27"/>
      <c r="B7204" s="28"/>
      <c r="C7204" s="27"/>
      <c r="D7204" s="27"/>
      <c r="E7204" s="30"/>
    </row>
    <row r="7205">
      <c r="A7205" s="27"/>
      <c r="B7205" s="28"/>
      <c r="C7205" s="27"/>
      <c r="D7205" s="27"/>
      <c r="E7205" s="30"/>
    </row>
    <row r="7206">
      <c r="A7206" s="27"/>
      <c r="B7206" s="28"/>
      <c r="C7206" s="27"/>
      <c r="D7206" s="27"/>
      <c r="E7206" s="30"/>
    </row>
    <row r="7207">
      <c r="A7207" s="27"/>
      <c r="B7207" s="28"/>
      <c r="C7207" s="27"/>
      <c r="D7207" s="27"/>
      <c r="E7207" s="30"/>
    </row>
    <row r="7208">
      <c r="A7208" s="27"/>
      <c r="B7208" s="28"/>
      <c r="C7208" s="27"/>
      <c r="D7208" s="27"/>
      <c r="E7208" s="30"/>
    </row>
    <row r="7209">
      <c r="A7209" s="27"/>
      <c r="B7209" s="28"/>
      <c r="C7209" s="27"/>
      <c r="D7209" s="27"/>
      <c r="E7209" s="30"/>
    </row>
    <row r="7210">
      <c r="A7210" s="27"/>
      <c r="B7210" s="28"/>
      <c r="C7210" s="27"/>
      <c r="D7210" s="27"/>
      <c r="E7210" s="30"/>
    </row>
    <row r="7211">
      <c r="A7211" s="27"/>
      <c r="B7211" s="28"/>
      <c r="C7211" s="27"/>
      <c r="D7211" s="27"/>
      <c r="E7211" s="30"/>
    </row>
    <row r="7212">
      <c r="A7212" s="27"/>
      <c r="B7212" s="28"/>
      <c r="C7212" s="27"/>
      <c r="D7212" s="27"/>
      <c r="E7212" s="30"/>
    </row>
    <row r="7213">
      <c r="A7213" s="27"/>
      <c r="B7213" s="28"/>
      <c r="C7213" s="27"/>
      <c r="D7213" s="27"/>
      <c r="E7213" s="30"/>
    </row>
    <row r="7214">
      <c r="A7214" s="27"/>
      <c r="B7214" s="28"/>
      <c r="C7214" s="27"/>
      <c r="D7214" s="27"/>
      <c r="E7214" s="30"/>
    </row>
    <row r="7215">
      <c r="A7215" s="27"/>
      <c r="B7215" s="28"/>
      <c r="C7215" s="27"/>
      <c r="D7215" s="27"/>
      <c r="E7215" s="30"/>
    </row>
    <row r="7216">
      <c r="A7216" s="27"/>
      <c r="B7216" s="28"/>
      <c r="C7216" s="27"/>
      <c r="D7216" s="27"/>
      <c r="E7216" s="30"/>
    </row>
    <row r="7217">
      <c r="A7217" s="27"/>
      <c r="B7217" s="28"/>
      <c r="C7217" s="27"/>
      <c r="D7217" s="27"/>
      <c r="E7217" s="30"/>
    </row>
    <row r="7218">
      <c r="A7218" s="27"/>
      <c r="B7218" s="28"/>
      <c r="C7218" s="27"/>
      <c r="D7218" s="27"/>
      <c r="E7218" s="30"/>
    </row>
    <row r="7219">
      <c r="A7219" s="27"/>
      <c r="B7219" s="28"/>
      <c r="C7219" s="27"/>
      <c r="D7219" s="27"/>
      <c r="E7219" s="30"/>
    </row>
    <row r="7220">
      <c r="A7220" s="27"/>
      <c r="B7220" s="28"/>
      <c r="C7220" s="27"/>
      <c r="D7220" s="27"/>
      <c r="E7220" s="30"/>
    </row>
    <row r="7221">
      <c r="A7221" s="27"/>
      <c r="B7221" s="28"/>
      <c r="C7221" s="27"/>
      <c r="D7221" s="27"/>
      <c r="E7221" s="30"/>
    </row>
    <row r="7222">
      <c r="A7222" s="27"/>
      <c r="B7222" s="28"/>
      <c r="C7222" s="27"/>
      <c r="D7222" s="27"/>
      <c r="E7222" s="30"/>
    </row>
    <row r="7223">
      <c r="A7223" s="27"/>
      <c r="B7223" s="28"/>
      <c r="C7223" s="27"/>
      <c r="D7223" s="27"/>
      <c r="E7223" s="30"/>
    </row>
    <row r="7224">
      <c r="A7224" s="27"/>
      <c r="B7224" s="28"/>
      <c r="C7224" s="27"/>
      <c r="D7224" s="27"/>
      <c r="E7224" s="30"/>
    </row>
    <row r="7225">
      <c r="A7225" s="27"/>
      <c r="B7225" s="28"/>
      <c r="C7225" s="27"/>
      <c r="D7225" s="27"/>
      <c r="E7225" s="30"/>
    </row>
    <row r="7226">
      <c r="A7226" s="27"/>
      <c r="B7226" s="28"/>
      <c r="C7226" s="27"/>
      <c r="D7226" s="27"/>
      <c r="E7226" s="30"/>
    </row>
    <row r="7227">
      <c r="A7227" s="27"/>
      <c r="B7227" s="28"/>
      <c r="C7227" s="27"/>
      <c r="D7227" s="27"/>
      <c r="E7227" s="30"/>
    </row>
    <row r="7228">
      <c r="A7228" s="27"/>
      <c r="B7228" s="28"/>
      <c r="C7228" s="27"/>
      <c r="D7228" s="27"/>
      <c r="E7228" s="30"/>
    </row>
    <row r="7229">
      <c r="A7229" s="27"/>
      <c r="B7229" s="28"/>
      <c r="C7229" s="27"/>
      <c r="D7229" s="27"/>
      <c r="E7229" s="30"/>
    </row>
    <row r="7230">
      <c r="A7230" s="27"/>
      <c r="B7230" s="28"/>
      <c r="C7230" s="27"/>
      <c r="D7230" s="27"/>
      <c r="E7230" s="30"/>
    </row>
    <row r="7231">
      <c r="A7231" s="27"/>
      <c r="B7231" s="28"/>
      <c r="C7231" s="27"/>
      <c r="D7231" s="27"/>
      <c r="E7231" s="30"/>
    </row>
    <row r="7232">
      <c r="A7232" s="27"/>
      <c r="B7232" s="28"/>
      <c r="C7232" s="27"/>
      <c r="D7232" s="27"/>
      <c r="E7232" s="30"/>
    </row>
    <row r="7233">
      <c r="A7233" s="27"/>
      <c r="B7233" s="28"/>
      <c r="C7233" s="27"/>
      <c r="D7233" s="27"/>
      <c r="E7233" s="30"/>
    </row>
    <row r="7234">
      <c r="A7234" s="27"/>
      <c r="B7234" s="28"/>
      <c r="C7234" s="27"/>
      <c r="D7234" s="27"/>
      <c r="E7234" s="30"/>
    </row>
    <row r="7235">
      <c r="A7235" s="27"/>
      <c r="B7235" s="28"/>
      <c r="C7235" s="27"/>
      <c r="D7235" s="27"/>
      <c r="E7235" s="30"/>
    </row>
    <row r="7236">
      <c r="A7236" s="27"/>
      <c r="B7236" s="28"/>
      <c r="C7236" s="27"/>
      <c r="D7236" s="27"/>
      <c r="E7236" s="30"/>
    </row>
    <row r="7237">
      <c r="A7237" s="27"/>
      <c r="B7237" s="28"/>
      <c r="C7237" s="27"/>
      <c r="D7237" s="27"/>
      <c r="E7237" s="30"/>
    </row>
    <row r="7238">
      <c r="A7238" s="27"/>
      <c r="B7238" s="28"/>
      <c r="C7238" s="27"/>
      <c r="D7238" s="27"/>
      <c r="E7238" s="30"/>
    </row>
    <row r="7239">
      <c r="A7239" s="27"/>
      <c r="B7239" s="28"/>
      <c r="C7239" s="27"/>
      <c r="D7239" s="27"/>
      <c r="E7239" s="30"/>
    </row>
    <row r="7240">
      <c r="A7240" s="27"/>
      <c r="B7240" s="28"/>
      <c r="C7240" s="27"/>
      <c r="D7240" s="27"/>
      <c r="E7240" s="30"/>
    </row>
    <row r="7241">
      <c r="A7241" s="27"/>
      <c r="B7241" s="28"/>
      <c r="C7241" s="27"/>
      <c r="D7241" s="27"/>
      <c r="E7241" s="30"/>
    </row>
    <row r="7242">
      <c r="A7242" s="27"/>
      <c r="B7242" s="28"/>
      <c r="C7242" s="27"/>
      <c r="D7242" s="27"/>
      <c r="E7242" s="30"/>
    </row>
    <row r="7243">
      <c r="A7243" s="27"/>
      <c r="B7243" s="28"/>
      <c r="C7243" s="27"/>
      <c r="D7243" s="27"/>
      <c r="E7243" s="30"/>
    </row>
    <row r="7244">
      <c r="A7244" s="27"/>
      <c r="B7244" s="28"/>
      <c r="C7244" s="27"/>
      <c r="D7244" s="27"/>
      <c r="E7244" s="30"/>
    </row>
    <row r="7245">
      <c r="A7245" s="27"/>
      <c r="B7245" s="28"/>
      <c r="C7245" s="27"/>
      <c r="D7245" s="27"/>
      <c r="E7245" s="30"/>
    </row>
    <row r="7246">
      <c r="A7246" s="27"/>
      <c r="B7246" s="28"/>
      <c r="C7246" s="27"/>
      <c r="D7246" s="27"/>
      <c r="E7246" s="30"/>
    </row>
    <row r="7247">
      <c r="A7247" s="27"/>
      <c r="B7247" s="28"/>
      <c r="C7247" s="27"/>
      <c r="D7247" s="27"/>
      <c r="E7247" s="30"/>
    </row>
    <row r="7248">
      <c r="A7248" s="27"/>
      <c r="B7248" s="28"/>
      <c r="C7248" s="27"/>
      <c r="D7248" s="27"/>
      <c r="E7248" s="30"/>
    </row>
    <row r="7249">
      <c r="A7249" s="27"/>
      <c r="B7249" s="28"/>
      <c r="C7249" s="27"/>
      <c r="D7249" s="27"/>
      <c r="E7249" s="30"/>
    </row>
    <row r="7250">
      <c r="A7250" s="27"/>
      <c r="B7250" s="28"/>
      <c r="C7250" s="27"/>
      <c r="D7250" s="27"/>
      <c r="E7250" s="30"/>
    </row>
    <row r="7251">
      <c r="A7251" s="27"/>
      <c r="B7251" s="28"/>
      <c r="C7251" s="27"/>
      <c r="D7251" s="27"/>
      <c r="E7251" s="30"/>
    </row>
    <row r="7252">
      <c r="A7252" s="27"/>
      <c r="B7252" s="28"/>
      <c r="C7252" s="27"/>
      <c r="D7252" s="27"/>
      <c r="E7252" s="30"/>
    </row>
    <row r="7253">
      <c r="A7253" s="27"/>
      <c r="B7253" s="28"/>
      <c r="C7253" s="27"/>
      <c r="D7253" s="27"/>
      <c r="E7253" s="30"/>
    </row>
    <row r="7254">
      <c r="A7254" s="27"/>
      <c r="B7254" s="28"/>
      <c r="C7254" s="27"/>
      <c r="D7254" s="27"/>
      <c r="E7254" s="30"/>
    </row>
    <row r="7255">
      <c r="A7255" s="27"/>
      <c r="B7255" s="28"/>
      <c r="C7255" s="27"/>
      <c r="D7255" s="27"/>
      <c r="E7255" s="30"/>
    </row>
    <row r="7256">
      <c r="A7256" s="27"/>
      <c r="B7256" s="28"/>
      <c r="C7256" s="27"/>
      <c r="D7256" s="27"/>
      <c r="E7256" s="30"/>
    </row>
    <row r="7257">
      <c r="A7257" s="27"/>
      <c r="B7257" s="28"/>
      <c r="C7257" s="27"/>
      <c r="D7257" s="27"/>
      <c r="E7257" s="30"/>
    </row>
    <row r="7258">
      <c r="A7258" s="27"/>
      <c r="B7258" s="28"/>
      <c r="C7258" s="27"/>
      <c r="D7258" s="27"/>
      <c r="E7258" s="30"/>
    </row>
    <row r="7259">
      <c r="A7259" s="27"/>
      <c r="B7259" s="28"/>
      <c r="C7259" s="27"/>
      <c r="D7259" s="27"/>
      <c r="E7259" s="30"/>
    </row>
    <row r="7260">
      <c r="A7260" s="27"/>
      <c r="B7260" s="28"/>
      <c r="C7260" s="27"/>
      <c r="D7260" s="27"/>
      <c r="E7260" s="30"/>
    </row>
    <row r="7261">
      <c r="A7261" s="27"/>
      <c r="B7261" s="28"/>
      <c r="C7261" s="27"/>
      <c r="D7261" s="27"/>
      <c r="E7261" s="30"/>
    </row>
    <row r="7262">
      <c r="A7262" s="27"/>
      <c r="B7262" s="28"/>
      <c r="C7262" s="27"/>
      <c r="D7262" s="27"/>
      <c r="E7262" s="30"/>
    </row>
    <row r="7263">
      <c r="A7263" s="27"/>
      <c r="B7263" s="28"/>
      <c r="C7263" s="27"/>
      <c r="D7263" s="27"/>
      <c r="E7263" s="30"/>
    </row>
    <row r="7264">
      <c r="A7264" s="27"/>
      <c r="B7264" s="28"/>
      <c r="C7264" s="27"/>
      <c r="D7264" s="27"/>
      <c r="E7264" s="30"/>
    </row>
    <row r="7265">
      <c r="A7265" s="27"/>
      <c r="B7265" s="28"/>
      <c r="C7265" s="27"/>
      <c r="D7265" s="27"/>
      <c r="E7265" s="30"/>
    </row>
    <row r="7266">
      <c r="A7266" s="27"/>
      <c r="B7266" s="28"/>
      <c r="C7266" s="27"/>
      <c r="D7266" s="27"/>
      <c r="E7266" s="30"/>
    </row>
    <row r="7267">
      <c r="A7267" s="27"/>
      <c r="B7267" s="28"/>
      <c r="C7267" s="27"/>
      <c r="D7267" s="27"/>
      <c r="E7267" s="30"/>
    </row>
    <row r="7268">
      <c r="A7268" s="27"/>
      <c r="B7268" s="28"/>
      <c r="C7268" s="27"/>
      <c r="D7268" s="27"/>
      <c r="E7268" s="30"/>
    </row>
    <row r="7269">
      <c r="A7269" s="27"/>
      <c r="B7269" s="28"/>
      <c r="C7269" s="27"/>
      <c r="D7269" s="27"/>
      <c r="E7269" s="30"/>
    </row>
    <row r="7270">
      <c r="A7270" s="27"/>
      <c r="B7270" s="28"/>
      <c r="C7270" s="27"/>
      <c r="D7270" s="27"/>
      <c r="E7270" s="30"/>
    </row>
    <row r="7271">
      <c r="A7271" s="27"/>
      <c r="B7271" s="28"/>
      <c r="C7271" s="27"/>
      <c r="D7271" s="27"/>
      <c r="E7271" s="30"/>
    </row>
    <row r="7272">
      <c r="A7272" s="27"/>
      <c r="B7272" s="28"/>
      <c r="C7272" s="27"/>
      <c r="D7272" s="27"/>
      <c r="E7272" s="30"/>
    </row>
    <row r="7273">
      <c r="A7273" s="27"/>
      <c r="B7273" s="28"/>
      <c r="C7273" s="27"/>
      <c r="D7273" s="27"/>
      <c r="E7273" s="30"/>
    </row>
    <row r="7274">
      <c r="A7274" s="27"/>
      <c r="B7274" s="28"/>
      <c r="C7274" s="27"/>
      <c r="D7274" s="27"/>
      <c r="E7274" s="30"/>
    </row>
    <row r="7275">
      <c r="A7275" s="27"/>
      <c r="B7275" s="28"/>
      <c r="C7275" s="27"/>
      <c r="D7275" s="27"/>
      <c r="E7275" s="30"/>
    </row>
    <row r="7276">
      <c r="A7276" s="27"/>
      <c r="B7276" s="28"/>
      <c r="C7276" s="27"/>
      <c r="D7276" s="27"/>
      <c r="E7276" s="30"/>
    </row>
    <row r="7277">
      <c r="A7277" s="27"/>
      <c r="B7277" s="28"/>
      <c r="C7277" s="27"/>
      <c r="D7277" s="27"/>
      <c r="E7277" s="30"/>
    </row>
    <row r="7278">
      <c r="A7278" s="27"/>
      <c r="B7278" s="28"/>
      <c r="C7278" s="27"/>
      <c r="D7278" s="27"/>
      <c r="E7278" s="30"/>
    </row>
    <row r="7279">
      <c r="A7279" s="27"/>
      <c r="B7279" s="28"/>
      <c r="C7279" s="27"/>
      <c r="D7279" s="27"/>
      <c r="E7279" s="30"/>
    </row>
    <row r="7280">
      <c r="A7280" s="27"/>
      <c r="B7280" s="28"/>
      <c r="C7280" s="27"/>
      <c r="D7280" s="27"/>
      <c r="E7280" s="30"/>
    </row>
    <row r="7281">
      <c r="A7281" s="27"/>
      <c r="B7281" s="28"/>
      <c r="C7281" s="27"/>
      <c r="D7281" s="27"/>
      <c r="E7281" s="30"/>
    </row>
    <row r="7282">
      <c r="A7282" s="27"/>
      <c r="B7282" s="28"/>
      <c r="C7282" s="27"/>
      <c r="D7282" s="27"/>
      <c r="E7282" s="30"/>
    </row>
    <row r="7283">
      <c r="A7283" s="27"/>
      <c r="B7283" s="28"/>
      <c r="C7283" s="27"/>
      <c r="D7283" s="27"/>
      <c r="E7283" s="30"/>
    </row>
    <row r="7284">
      <c r="A7284" s="27"/>
      <c r="B7284" s="28"/>
      <c r="C7284" s="27"/>
      <c r="D7284" s="27"/>
      <c r="E7284" s="30"/>
    </row>
    <row r="7285">
      <c r="A7285" s="27"/>
      <c r="B7285" s="28"/>
      <c r="C7285" s="27"/>
      <c r="D7285" s="27"/>
      <c r="E7285" s="30"/>
    </row>
    <row r="7286">
      <c r="A7286" s="27"/>
      <c r="B7286" s="28"/>
      <c r="C7286" s="27"/>
      <c r="D7286" s="27"/>
      <c r="E7286" s="30"/>
    </row>
    <row r="7287">
      <c r="A7287" s="27"/>
      <c r="B7287" s="28"/>
      <c r="C7287" s="27"/>
      <c r="D7287" s="27"/>
      <c r="E7287" s="30"/>
    </row>
    <row r="7288">
      <c r="A7288" s="27"/>
      <c r="B7288" s="28"/>
      <c r="C7288" s="27"/>
      <c r="D7288" s="27"/>
      <c r="E7288" s="30"/>
    </row>
    <row r="7289">
      <c r="A7289" s="27"/>
      <c r="B7289" s="28"/>
      <c r="C7289" s="27"/>
      <c r="D7289" s="27"/>
      <c r="E7289" s="30"/>
    </row>
    <row r="7290">
      <c r="A7290" s="27"/>
      <c r="B7290" s="28"/>
      <c r="C7290" s="27"/>
      <c r="D7290" s="27"/>
      <c r="E7290" s="30"/>
    </row>
    <row r="7291">
      <c r="A7291" s="27"/>
      <c r="B7291" s="28"/>
      <c r="C7291" s="27"/>
      <c r="D7291" s="27"/>
      <c r="E7291" s="30"/>
    </row>
    <row r="7292">
      <c r="A7292" s="27"/>
      <c r="B7292" s="28"/>
      <c r="C7292" s="27"/>
      <c r="D7292" s="27"/>
      <c r="E7292" s="30"/>
    </row>
    <row r="7293">
      <c r="A7293" s="27"/>
      <c r="B7293" s="28"/>
      <c r="C7293" s="27"/>
      <c r="D7293" s="27"/>
      <c r="E7293" s="30"/>
    </row>
    <row r="7294">
      <c r="A7294" s="27"/>
      <c r="B7294" s="28"/>
      <c r="C7294" s="27"/>
      <c r="D7294" s="27"/>
      <c r="E7294" s="30"/>
    </row>
    <row r="7295">
      <c r="A7295" s="27"/>
      <c r="B7295" s="28"/>
      <c r="C7295" s="27"/>
      <c r="D7295" s="27"/>
      <c r="E7295" s="30"/>
    </row>
    <row r="7296">
      <c r="A7296" s="27"/>
      <c r="B7296" s="28"/>
      <c r="C7296" s="27"/>
      <c r="D7296" s="27"/>
      <c r="E7296" s="30"/>
    </row>
    <row r="7297">
      <c r="A7297" s="27"/>
      <c r="B7297" s="28"/>
      <c r="C7297" s="27"/>
      <c r="D7297" s="27"/>
      <c r="E7297" s="30"/>
    </row>
    <row r="7298">
      <c r="A7298" s="27"/>
      <c r="B7298" s="28"/>
      <c r="C7298" s="27"/>
      <c r="D7298" s="27"/>
      <c r="E7298" s="30"/>
    </row>
    <row r="7299">
      <c r="A7299" s="27"/>
      <c r="B7299" s="28"/>
      <c r="C7299" s="27"/>
      <c r="D7299" s="27"/>
      <c r="E7299" s="30"/>
    </row>
    <row r="7300">
      <c r="A7300" s="27"/>
      <c r="B7300" s="28"/>
      <c r="C7300" s="27"/>
      <c r="D7300" s="27"/>
      <c r="E7300" s="30"/>
    </row>
    <row r="7301">
      <c r="A7301" s="27"/>
      <c r="B7301" s="28"/>
      <c r="C7301" s="27"/>
      <c r="D7301" s="27"/>
      <c r="E7301" s="30"/>
    </row>
    <row r="7302">
      <c r="A7302" s="27"/>
      <c r="B7302" s="28"/>
      <c r="C7302" s="27"/>
      <c r="D7302" s="27"/>
      <c r="E7302" s="30"/>
    </row>
    <row r="7303">
      <c r="A7303" s="27"/>
      <c r="B7303" s="28"/>
      <c r="C7303" s="27"/>
      <c r="D7303" s="27"/>
      <c r="E7303" s="30"/>
    </row>
    <row r="7304">
      <c r="A7304" s="27"/>
      <c r="B7304" s="28"/>
      <c r="C7304" s="27"/>
      <c r="D7304" s="27"/>
      <c r="E7304" s="30"/>
    </row>
    <row r="7305">
      <c r="A7305" s="27"/>
      <c r="B7305" s="28"/>
      <c r="C7305" s="27"/>
      <c r="D7305" s="27"/>
      <c r="E7305" s="30"/>
    </row>
    <row r="7306">
      <c r="A7306" s="27"/>
      <c r="B7306" s="28"/>
      <c r="C7306" s="27"/>
      <c r="D7306" s="27"/>
      <c r="E7306" s="30"/>
    </row>
    <row r="7307">
      <c r="A7307" s="27"/>
      <c r="B7307" s="28"/>
      <c r="C7307" s="27"/>
      <c r="D7307" s="27"/>
      <c r="E7307" s="30"/>
    </row>
    <row r="7308">
      <c r="A7308" s="27"/>
      <c r="B7308" s="28"/>
      <c r="C7308" s="27"/>
      <c r="D7308" s="27"/>
      <c r="E7308" s="30"/>
    </row>
    <row r="7309">
      <c r="A7309" s="27"/>
      <c r="B7309" s="28"/>
      <c r="C7309" s="27"/>
      <c r="D7309" s="27"/>
      <c r="E7309" s="30"/>
    </row>
    <row r="7310">
      <c r="A7310" s="27"/>
      <c r="B7310" s="28"/>
      <c r="C7310" s="27"/>
      <c r="D7310" s="27"/>
      <c r="E7310" s="30"/>
    </row>
    <row r="7311">
      <c r="A7311" s="27"/>
      <c r="B7311" s="28"/>
      <c r="C7311" s="27"/>
      <c r="D7311" s="27"/>
      <c r="E7311" s="30"/>
    </row>
    <row r="7312">
      <c r="A7312" s="27"/>
      <c r="B7312" s="28"/>
      <c r="C7312" s="27"/>
      <c r="D7312" s="27"/>
      <c r="E7312" s="30"/>
    </row>
    <row r="7313">
      <c r="A7313" s="27"/>
      <c r="B7313" s="28"/>
      <c r="C7313" s="27"/>
      <c r="D7313" s="27"/>
      <c r="E7313" s="30"/>
    </row>
    <row r="7314">
      <c r="A7314" s="27"/>
      <c r="B7314" s="28"/>
      <c r="C7314" s="27"/>
      <c r="D7314" s="27"/>
      <c r="E7314" s="30"/>
    </row>
    <row r="7315">
      <c r="A7315" s="27"/>
      <c r="B7315" s="28"/>
      <c r="C7315" s="27"/>
      <c r="D7315" s="27"/>
      <c r="E7315" s="30"/>
    </row>
    <row r="7316">
      <c r="A7316" s="27"/>
      <c r="B7316" s="28"/>
      <c r="C7316" s="27"/>
      <c r="D7316" s="27"/>
      <c r="E7316" s="30"/>
    </row>
    <row r="7317">
      <c r="A7317" s="27"/>
      <c r="B7317" s="28"/>
      <c r="C7317" s="27"/>
      <c r="D7317" s="27"/>
      <c r="E7317" s="30"/>
    </row>
    <row r="7318">
      <c r="A7318" s="27"/>
      <c r="B7318" s="28"/>
      <c r="C7318" s="27"/>
      <c r="D7318" s="27"/>
      <c r="E7318" s="30"/>
    </row>
    <row r="7319">
      <c r="A7319" s="27"/>
      <c r="B7319" s="28"/>
      <c r="C7319" s="27"/>
      <c r="D7319" s="27"/>
      <c r="E7319" s="30"/>
    </row>
    <row r="7320">
      <c r="A7320" s="27"/>
      <c r="B7320" s="28"/>
      <c r="C7320" s="27"/>
      <c r="D7320" s="27"/>
      <c r="E7320" s="30"/>
    </row>
    <row r="7321">
      <c r="A7321" s="27"/>
      <c r="B7321" s="28"/>
      <c r="C7321" s="27"/>
      <c r="D7321" s="27"/>
      <c r="E7321" s="30"/>
    </row>
    <row r="7322">
      <c r="A7322" s="27"/>
      <c r="B7322" s="28"/>
      <c r="C7322" s="27"/>
      <c r="D7322" s="27"/>
      <c r="E7322" s="30"/>
    </row>
    <row r="7323">
      <c r="A7323" s="27"/>
      <c r="B7323" s="28"/>
      <c r="C7323" s="27"/>
      <c r="D7323" s="27"/>
      <c r="E7323" s="30"/>
    </row>
    <row r="7324">
      <c r="A7324" s="27"/>
      <c r="B7324" s="28"/>
      <c r="C7324" s="27"/>
      <c r="D7324" s="27"/>
      <c r="E7324" s="30"/>
    </row>
    <row r="7325">
      <c r="A7325" s="27"/>
      <c r="B7325" s="28"/>
      <c r="C7325" s="27"/>
      <c r="D7325" s="27"/>
      <c r="E7325" s="30"/>
    </row>
    <row r="7326">
      <c r="A7326" s="27"/>
      <c r="B7326" s="28"/>
      <c r="C7326" s="27"/>
      <c r="D7326" s="27"/>
      <c r="E7326" s="30"/>
    </row>
    <row r="7327">
      <c r="A7327" s="27"/>
      <c r="B7327" s="28"/>
      <c r="C7327" s="27"/>
      <c r="D7327" s="27"/>
      <c r="E7327" s="30"/>
    </row>
    <row r="7328">
      <c r="A7328" s="27"/>
      <c r="B7328" s="28"/>
      <c r="C7328" s="27"/>
      <c r="D7328" s="27"/>
      <c r="E7328" s="30"/>
    </row>
    <row r="7329">
      <c r="A7329" s="27"/>
      <c r="B7329" s="28"/>
      <c r="C7329" s="27"/>
      <c r="D7329" s="27"/>
      <c r="E7329" s="30"/>
    </row>
    <row r="7330">
      <c r="A7330" s="27"/>
      <c r="B7330" s="28"/>
      <c r="C7330" s="27"/>
      <c r="D7330" s="27"/>
      <c r="E7330" s="30"/>
    </row>
    <row r="7331">
      <c r="A7331" s="27"/>
      <c r="B7331" s="28"/>
      <c r="C7331" s="27"/>
      <c r="D7331" s="27"/>
      <c r="E7331" s="30"/>
    </row>
    <row r="7332">
      <c r="A7332" s="27"/>
      <c r="B7332" s="28"/>
      <c r="C7332" s="27"/>
      <c r="D7332" s="27"/>
      <c r="E7332" s="30"/>
    </row>
    <row r="7333">
      <c r="A7333" s="27"/>
      <c r="B7333" s="28"/>
      <c r="C7333" s="27"/>
      <c r="D7333" s="27"/>
      <c r="E7333" s="30"/>
    </row>
    <row r="7334">
      <c r="A7334" s="27"/>
      <c r="B7334" s="28"/>
      <c r="C7334" s="27"/>
      <c r="D7334" s="27"/>
      <c r="E7334" s="30"/>
    </row>
    <row r="7335">
      <c r="A7335" s="27"/>
      <c r="B7335" s="28"/>
      <c r="C7335" s="27"/>
      <c r="D7335" s="27"/>
      <c r="E7335" s="30"/>
    </row>
    <row r="7336">
      <c r="A7336" s="27"/>
      <c r="B7336" s="28"/>
      <c r="C7336" s="27"/>
      <c r="D7336" s="27"/>
      <c r="E7336" s="30"/>
    </row>
    <row r="7337">
      <c r="A7337" s="27"/>
      <c r="B7337" s="28"/>
      <c r="C7337" s="27"/>
      <c r="D7337" s="27"/>
      <c r="E7337" s="30"/>
    </row>
    <row r="7338">
      <c r="A7338" s="27"/>
      <c r="B7338" s="28"/>
      <c r="C7338" s="27"/>
      <c r="D7338" s="27"/>
      <c r="E7338" s="30"/>
    </row>
    <row r="7339">
      <c r="A7339" s="27"/>
      <c r="B7339" s="28"/>
      <c r="C7339" s="27"/>
      <c r="D7339" s="27"/>
      <c r="E7339" s="30"/>
    </row>
    <row r="7340">
      <c r="A7340" s="27"/>
      <c r="B7340" s="28"/>
      <c r="C7340" s="27"/>
      <c r="D7340" s="27"/>
      <c r="E7340" s="30"/>
    </row>
    <row r="7341">
      <c r="A7341" s="27"/>
      <c r="B7341" s="28"/>
      <c r="C7341" s="27"/>
      <c r="D7341" s="27"/>
      <c r="E7341" s="30"/>
    </row>
    <row r="7342">
      <c r="A7342" s="27"/>
      <c r="B7342" s="28"/>
      <c r="C7342" s="27"/>
      <c r="D7342" s="27"/>
      <c r="E7342" s="30"/>
    </row>
    <row r="7343">
      <c r="A7343" s="27"/>
      <c r="B7343" s="28"/>
      <c r="C7343" s="27"/>
      <c r="D7343" s="27"/>
      <c r="E7343" s="30"/>
    </row>
    <row r="7344">
      <c r="A7344" s="27"/>
      <c r="B7344" s="28"/>
      <c r="C7344" s="27"/>
      <c r="D7344" s="27"/>
      <c r="E7344" s="30"/>
    </row>
    <row r="7345">
      <c r="A7345" s="27"/>
      <c r="B7345" s="28"/>
      <c r="C7345" s="27"/>
      <c r="D7345" s="27"/>
      <c r="E7345" s="30"/>
    </row>
    <row r="7346">
      <c r="A7346" s="27"/>
      <c r="B7346" s="28"/>
      <c r="C7346" s="27"/>
      <c r="D7346" s="27"/>
      <c r="E7346" s="30"/>
    </row>
    <row r="7347">
      <c r="A7347" s="27"/>
      <c r="B7347" s="28"/>
      <c r="C7347" s="27"/>
      <c r="D7347" s="27"/>
      <c r="E7347" s="30"/>
    </row>
    <row r="7348">
      <c r="A7348" s="27"/>
      <c r="B7348" s="28"/>
      <c r="C7348" s="27"/>
      <c r="D7348" s="27"/>
      <c r="E7348" s="30"/>
    </row>
    <row r="7349">
      <c r="A7349" s="27"/>
      <c r="B7349" s="28"/>
      <c r="C7349" s="27"/>
      <c r="D7349" s="27"/>
      <c r="E7349" s="30"/>
    </row>
    <row r="7350">
      <c r="A7350" s="27"/>
      <c r="B7350" s="28"/>
      <c r="C7350" s="27"/>
      <c r="D7350" s="27"/>
      <c r="E7350" s="30"/>
    </row>
    <row r="7351">
      <c r="A7351" s="27"/>
      <c r="B7351" s="28"/>
      <c r="C7351" s="27"/>
      <c r="D7351" s="27"/>
      <c r="E7351" s="30"/>
    </row>
    <row r="7352">
      <c r="A7352" s="27"/>
      <c r="B7352" s="28"/>
      <c r="C7352" s="27"/>
      <c r="D7352" s="27"/>
      <c r="E7352" s="30"/>
    </row>
    <row r="7353">
      <c r="A7353" s="27"/>
      <c r="B7353" s="28"/>
      <c r="C7353" s="27"/>
      <c r="D7353" s="27"/>
      <c r="E7353" s="30"/>
    </row>
    <row r="7354">
      <c r="A7354" s="27"/>
      <c r="B7354" s="28"/>
      <c r="C7354" s="27"/>
      <c r="D7354" s="27"/>
      <c r="E7354" s="30"/>
    </row>
    <row r="7355">
      <c r="A7355" s="27"/>
      <c r="B7355" s="28"/>
      <c r="C7355" s="27"/>
      <c r="D7355" s="27"/>
      <c r="E7355" s="30"/>
    </row>
    <row r="7356">
      <c r="A7356" s="27"/>
      <c r="B7356" s="28"/>
      <c r="C7356" s="27"/>
      <c r="D7356" s="27"/>
      <c r="E7356" s="30"/>
    </row>
    <row r="7357">
      <c r="A7357" s="27"/>
      <c r="B7357" s="28"/>
      <c r="C7357" s="27"/>
      <c r="D7357" s="27"/>
      <c r="E7357" s="30"/>
    </row>
    <row r="7358">
      <c r="A7358" s="27"/>
      <c r="B7358" s="28"/>
      <c r="C7358" s="27"/>
      <c r="D7358" s="27"/>
      <c r="E7358" s="30"/>
    </row>
    <row r="7359">
      <c r="A7359" s="27"/>
      <c r="B7359" s="28"/>
      <c r="C7359" s="27"/>
      <c r="D7359" s="27"/>
      <c r="E7359" s="30"/>
    </row>
    <row r="7360">
      <c r="A7360" s="27"/>
      <c r="B7360" s="28"/>
      <c r="C7360" s="27"/>
      <c r="D7360" s="27"/>
      <c r="E7360" s="30"/>
    </row>
    <row r="7361">
      <c r="A7361" s="27"/>
      <c r="B7361" s="28"/>
      <c r="C7361" s="27"/>
      <c r="D7361" s="27"/>
      <c r="E7361" s="30"/>
    </row>
    <row r="7362">
      <c r="A7362" s="27"/>
      <c r="B7362" s="28"/>
      <c r="C7362" s="27"/>
      <c r="D7362" s="27"/>
      <c r="E7362" s="30"/>
    </row>
    <row r="7363">
      <c r="A7363" s="27"/>
      <c r="B7363" s="28"/>
      <c r="C7363" s="27"/>
      <c r="D7363" s="27"/>
      <c r="E7363" s="30"/>
    </row>
    <row r="7364">
      <c r="A7364" s="27"/>
      <c r="B7364" s="28"/>
      <c r="C7364" s="27"/>
      <c r="D7364" s="27"/>
      <c r="E7364" s="30"/>
    </row>
    <row r="7365">
      <c r="A7365" s="27"/>
      <c r="B7365" s="28"/>
      <c r="C7365" s="27"/>
      <c r="D7365" s="27"/>
      <c r="E7365" s="30"/>
    </row>
    <row r="7366">
      <c r="A7366" s="27"/>
      <c r="B7366" s="28"/>
      <c r="C7366" s="27"/>
      <c r="D7366" s="27"/>
      <c r="E7366" s="30"/>
    </row>
    <row r="7367">
      <c r="A7367" s="27"/>
      <c r="B7367" s="28"/>
      <c r="C7367" s="27"/>
      <c r="D7367" s="27"/>
      <c r="E7367" s="30"/>
    </row>
    <row r="7368">
      <c r="A7368" s="27"/>
      <c r="B7368" s="28"/>
      <c r="C7368" s="27"/>
      <c r="D7368" s="27"/>
      <c r="E7368" s="30"/>
    </row>
    <row r="7369">
      <c r="A7369" s="27"/>
      <c r="B7369" s="28"/>
      <c r="C7369" s="27"/>
      <c r="D7369" s="27"/>
      <c r="E7369" s="30"/>
    </row>
    <row r="7370">
      <c r="A7370" s="27"/>
      <c r="B7370" s="28"/>
      <c r="C7370" s="27"/>
      <c r="D7370" s="27"/>
      <c r="E7370" s="30"/>
    </row>
    <row r="7371">
      <c r="A7371" s="27"/>
      <c r="B7371" s="28"/>
      <c r="C7371" s="27"/>
      <c r="D7371" s="27"/>
      <c r="E7371" s="30"/>
    </row>
    <row r="7372">
      <c r="A7372" s="27"/>
      <c r="B7372" s="28"/>
      <c r="C7372" s="27"/>
      <c r="D7372" s="27"/>
      <c r="E7372" s="30"/>
    </row>
    <row r="7373">
      <c r="A7373" s="27"/>
      <c r="B7373" s="28"/>
      <c r="C7373" s="27"/>
      <c r="D7373" s="27"/>
      <c r="E7373" s="30"/>
    </row>
    <row r="7374">
      <c r="A7374" s="27"/>
      <c r="B7374" s="28"/>
      <c r="C7374" s="27"/>
      <c r="D7374" s="27"/>
      <c r="E7374" s="30"/>
    </row>
    <row r="7375">
      <c r="A7375" s="27"/>
      <c r="B7375" s="28"/>
      <c r="C7375" s="27"/>
      <c r="D7375" s="27"/>
      <c r="E7375" s="30"/>
    </row>
    <row r="7376">
      <c r="A7376" s="27"/>
      <c r="B7376" s="28"/>
      <c r="C7376" s="27"/>
      <c r="D7376" s="27"/>
      <c r="E7376" s="30"/>
    </row>
    <row r="7377">
      <c r="A7377" s="27"/>
      <c r="B7377" s="28"/>
      <c r="C7377" s="27"/>
      <c r="D7377" s="27"/>
      <c r="E7377" s="30"/>
    </row>
    <row r="7378">
      <c r="A7378" s="27"/>
      <c r="B7378" s="28"/>
      <c r="C7378" s="27"/>
      <c r="D7378" s="27"/>
      <c r="E7378" s="30"/>
    </row>
    <row r="7379">
      <c r="A7379" s="27"/>
      <c r="B7379" s="28"/>
      <c r="C7379" s="27"/>
      <c r="D7379" s="27"/>
      <c r="E7379" s="30"/>
    </row>
    <row r="7380">
      <c r="A7380" s="27"/>
      <c r="B7380" s="28"/>
      <c r="C7380" s="27"/>
      <c r="D7380" s="27"/>
      <c r="E7380" s="30"/>
    </row>
    <row r="7381">
      <c r="A7381" s="27"/>
      <c r="B7381" s="28"/>
      <c r="C7381" s="27"/>
      <c r="D7381" s="27"/>
      <c r="E7381" s="30"/>
    </row>
    <row r="7382">
      <c r="A7382" s="27"/>
      <c r="B7382" s="28"/>
      <c r="C7382" s="27"/>
      <c r="D7382" s="27"/>
      <c r="E7382" s="30"/>
    </row>
    <row r="7383">
      <c r="A7383" s="27"/>
      <c r="B7383" s="28"/>
      <c r="C7383" s="27"/>
      <c r="D7383" s="27"/>
      <c r="E7383" s="30"/>
    </row>
    <row r="7384">
      <c r="A7384" s="27"/>
      <c r="B7384" s="28"/>
      <c r="C7384" s="27"/>
      <c r="D7384" s="27"/>
      <c r="E7384" s="30"/>
    </row>
    <row r="7385">
      <c r="A7385" s="27"/>
      <c r="B7385" s="28"/>
      <c r="C7385" s="27"/>
      <c r="D7385" s="27"/>
      <c r="E7385" s="30"/>
    </row>
    <row r="7386">
      <c r="A7386" s="27"/>
      <c r="B7386" s="28"/>
      <c r="C7386" s="27"/>
      <c r="D7386" s="27"/>
      <c r="E7386" s="30"/>
    </row>
    <row r="7387">
      <c r="A7387" s="27"/>
      <c r="B7387" s="28"/>
      <c r="C7387" s="27"/>
      <c r="D7387" s="27"/>
      <c r="E7387" s="30"/>
    </row>
    <row r="7388">
      <c r="A7388" s="27"/>
      <c r="B7388" s="28"/>
      <c r="C7388" s="27"/>
      <c r="D7388" s="27"/>
      <c r="E7388" s="30"/>
    </row>
    <row r="7389">
      <c r="A7389" s="27"/>
      <c r="B7389" s="28"/>
      <c r="C7389" s="27"/>
      <c r="D7389" s="27"/>
      <c r="E7389" s="30"/>
    </row>
    <row r="7390">
      <c r="A7390" s="27"/>
      <c r="B7390" s="28"/>
      <c r="C7390" s="27"/>
      <c r="D7390" s="27"/>
      <c r="E7390" s="30"/>
    </row>
    <row r="7391">
      <c r="A7391" s="27"/>
      <c r="B7391" s="28"/>
      <c r="C7391" s="27"/>
      <c r="D7391" s="27"/>
      <c r="E7391" s="30"/>
    </row>
    <row r="7392">
      <c r="A7392" s="27"/>
      <c r="B7392" s="28"/>
      <c r="C7392" s="27"/>
      <c r="D7392" s="27"/>
      <c r="E7392" s="30"/>
    </row>
    <row r="7393">
      <c r="A7393" s="27"/>
      <c r="B7393" s="28"/>
      <c r="C7393" s="27"/>
      <c r="D7393" s="27"/>
      <c r="E7393" s="30"/>
    </row>
    <row r="7394">
      <c r="A7394" s="27"/>
      <c r="B7394" s="28"/>
      <c r="C7394" s="27"/>
      <c r="D7394" s="27"/>
      <c r="E7394" s="30"/>
    </row>
    <row r="7395">
      <c r="A7395" s="27"/>
      <c r="B7395" s="28"/>
      <c r="C7395" s="27"/>
      <c r="D7395" s="27"/>
      <c r="E7395" s="30"/>
    </row>
    <row r="7396">
      <c r="A7396" s="27"/>
      <c r="B7396" s="28"/>
      <c r="C7396" s="27"/>
      <c r="D7396" s="27"/>
      <c r="E7396" s="30"/>
    </row>
    <row r="7397">
      <c r="A7397" s="27"/>
      <c r="B7397" s="28"/>
      <c r="C7397" s="27"/>
      <c r="D7397" s="27"/>
      <c r="E7397" s="30"/>
    </row>
    <row r="7398">
      <c r="A7398" s="27"/>
      <c r="B7398" s="28"/>
      <c r="C7398" s="27"/>
      <c r="D7398" s="27"/>
      <c r="E7398" s="30"/>
    </row>
    <row r="7399">
      <c r="A7399" s="27"/>
      <c r="B7399" s="28"/>
      <c r="C7399" s="27"/>
      <c r="D7399" s="27"/>
      <c r="E7399" s="30"/>
    </row>
    <row r="7400">
      <c r="A7400" s="27"/>
      <c r="B7400" s="28"/>
      <c r="C7400" s="27"/>
      <c r="D7400" s="27"/>
      <c r="E7400" s="30"/>
    </row>
    <row r="7401">
      <c r="A7401" s="27"/>
      <c r="B7401" s="28"/>
      <c r="C7401" s="27"/>
      <c r="D7401" s="27"/>
      <c r="E7401" s="30"/>
    </row>
    <row r="7402">
      <c r="A7402" s="27"/>
      <c r="B7402" s="28"/>
      <c r="C7402" s="27"/>
      <c r="D7402" s="27"/>
      <c r="E7402" s="30"/>
    </row>
    <row r="7403">
      <c r="A7403" s="27"/>
      <c r="B7403" s="28"/>
      <c r="C7403" s="27"/>
      <c r="D7403" s="27"/>
      <c r="E7403" s="30"/>
    </row>
    <row r="7404">
      <c r="A7404" s="27"/>
      <c r="B7404" s="28"/>
      <c r="C7404" s="27"/>
      <c r="D7404" s="27"/>
      <c r="E7404" s="30"/>
    </row>
    <row r="7405">
      <c r="A7405" s="27"/>
      <c r="B7405" s="28"/>
      <c r="C7405" s="27"/>
      <c r="D7405" s="27"/>
      <c r="E7405" s="30"/>
    </row>
    <row r="7406">
      <c r="A7406" s="27"/>
      <c r="B7406" s="28"/>
      <c r="C7406" s="27"/>
      <c r="D7406" s="27"/>
      <c r="E7406" s="30"/>
    </row>
    <row r="7407">
      <c r="A7407" s="27"/>
      <c r="B7407" s="28"/>
      <c r="C7407" s="27"/>
      <c r="D7407" s="27"/>
      <c r="E7407" s="30"/>
    </row>
    <row r="7408">
      <c r="A7408" s="27"/>
      <c r="B7408" s="28"/>
      <c r="C7408" s="27"/>
      <c r="D7408" s="27"/>
      <c r="E7408" s="30"/>
    </row>
    <row r="7409">
      <c r="A7409" s="27"/>
      <c r="B7409" s="28"/>
      <c r="C7409" s="27"/>
      <c r="D7409" s="27"/>
      <c r="E7409" s="30"/>
    </row>
    <row r="7410">
      <c r="A7410" s="27"/>
      <c r="B7410" s="28"/>
      <c r="C7410" s="27"/>
      <c r="D7410" s="27"/>
      <c r="E7410" s="30"/>
    </row>
    <row r="7411">
      <c r="A7411" s="27"/>
      <c r="B7411" s="28"/>
      <c r="C7411" s="27"/>
      <c r="D7411" s="27"/>
      <c r="E7411" s="30"/>
    </row>
    <row r="7412">
      <c r="A7412" s="27"/>
      <c r="B7412" s="28"/>
      <c r="C7412" s="27"/>
      <c r="D7412" s="27"/>
      <c r="E7412" s="30"/>
    </row>
    <row r="7413">
      <c r="A7413" s="27"/>
      <c r="B7413" s="28"/>
      <c r="C7413" s="27"/>
      <c r="D7413" s="27"/>
      <c r="E7413" s="30"/>
    </row>
    <row r="7414">
      <c r="A7414" s="27"/>
      <c r="B7414" s="28"/>
      <c r="C7414" s="27"/>
      <c r="D7414" s="27"/>
      <c r="E7414" s="30"/>
    </row>
    <row r="7415">
      <c r="A7415" s="27"/>
      <c r="B7415" s="28"/>
      <c r="C7415" s="27"/>
      <c r="D7415" s="27"/>
      <c r="E7415" s="30"/>
    </row>
    <row r="7416">
      <c r="A7416" s="27"/>
      <c r="B7416" s="28"/>
      <c r="C7416" s="27"/>
      <c r="D7416" s="27"/>
      <c r="E7416" s="30"/>
    </row>
    <row r="7417">
      <c r="A7417" s="27"/>
      <c r="B7417" s="28"/>
      <c r="C7417" s="27"/>
      <c r="D7417" s="27"/>
      <c r="E7417" s="30"/>
    </row>
    <row r="7418">
      <c r="A7418" s="27"/>
      <c r="B7418" s="28"/>
      <c r="C7418" s="27"/>
      <c r="D7418" s="27"/>
      <c r="E7418" s="30"/>
    </row>
    <row r="7419">
      <c r="A7419" s="27"/>
      <c r="B7419" s="28"/>
      <c r="C7419" s="27"/>
      <c r="D7419" s="27"/>
      <c r="E7419" s="30"/>
    </row>
    <row r="7420">
      <c r="A7420" s="27"/>
      <c r="B7420" s="28"/>
      <c r="C7420" s="27"/>
      <c r="D7420" s="27"/>
      <c r="E7420" s="30"/>
    </row>
    <row r="7421">
      <c r="A7421" s="27"/>
      <c r="B7421" s="28"/>
      <c r="C7421" s="27"/>
      <c r="D7421" s="27"/>
      <c r="E7421" s="30"/>
    </row>
    <row r="7422">
      <c r="A7422" s="27"/>
      <c r="B7422" s="28"/>
      <c r="C7422" s="27"/>
      <c r="D7422" s="27"/>
      <c r="E7422" s="30"/>
    </row>
    <row r="7423">
      <c r="A7423" s="27"/>
      <c r="B7423" s="28"/>
      <c r="C7423" s="27"/>
      <c r="D7423" s="27"/>
      <c r="E7423" s="30"/>
    </row>
    <row r="7424">
      <c r="A7424" s="27"/>
      <c r="B7424" s="28"/>
      <c r="C7424" s="27"/>
      <c r="D7424" s="27"/>
      <c r="E7424" s="30"/>
    </row>
    <row r="7425">
      <c r="A7425" s="27"/>
      <c r="B7425" s="28"/>
      <c r="C7425" s="27"/>
      <c r="D7425" s="27"/>
      <c r="E7425" s="30"/>
    </row>
    <row r="7426">
      <c r="A7426" s="27"/>
      <c r="B7426" s="28"/>
      <c r="C7426" s="27"/>
      <c r="D7426" s="27"/>
      <c r="E7426" s="30"/>
    </row>
    <row r="7427">
      <c r="A7427" s="27"/>
      <c r="B7427" s="28"/>
      <c r="C7427" s="27"/>
      <c r="D7427" s="27"/>
      <c r="E7427" s="30"/>
    </row>
    <row r="7428">
      <c r="A7428" s="27"/>
      <c r="B7428" s="28"/>
      <c r="C7428" s="27"/>
      <c r="D7428" s="27"/>
      <c r="E7428" s="30"/>
    </row>
    <row r="7429">
      <c r="A7429" s="27"/>
      <c r="B7429" s="28"/>
      <c r="C7429" s="27"/>
      <c r="D7429" s="27"/>
      <c r="E7429" s="30"/>
    </row>
    <row r="7430">
      <c r="A7430" s="27"/>
      <c r="B7430" s="28"/>
      <c r="C7430" s="27"/>
      <c r="D7430" s="27"/>
      <c r="E7430" s="30"/>
    </row>
    <row r="7431">
      <c r="A7431" s="27"/>
      <c r="B7431" s="28"/>
      <c r="C7431" s="27"/>
      <c r="D7431" s="27"/>
      <c r="E7431" s="30"/>
    </row>
    <row r="7432">
      <c r="A7432" s="27"/>
      <c r="B7432" s="28"/>
      <c r="C7432" s="27"/>
      <c r="D7432" s="27"/>
      <c r="E7432" s="30"/>
    </row>
    <row r="7433">
      <c r="A7433" s="27"/>
      <c r="B7433" s="28"/>
      <c r="C7433" s="27"/>
      <c r="D7433" s="27"/>
      <c r="E7433" s="30"/>
    </row>
    <row r="7434">
      <c r="A7434" s="27"/>
      <c r="B7434" s="28"/>
      <c r="C7434" s="27"/>
      <c r="D7434" s="27"/>
      <c r="E7434" s="30"/>
    </row>
    <row r="7435">
      <c r="A7435" s="27"/>
      <c r="B7435" s="28"/>
      <c r="C7435" s="27"/>
      <c r="D7435" s="27"/>
      <c r="E7435" s="30"/>
    </row>
    <row r="7436">
      <c r="A7436" s="27"/>
      <c r="B7436" s="28"/>
      <c r="C7436" s="27"/>
      <c r="D7436" s="27"/>
      <c r="E7436" s="30"/>
    </row>
    <row r="7437">
      <c r="A7437" s="27"/>
      <c r="B7437" s="28"/>
      <c r="C7437" s="27"/>
      <c r="D7437" s="27"/>
      <c r="E7437" s="30"/>
    </row>
    <row r="7438">
      <c r="A7438" s="27"/>
      <c r="B7438" s="28"/>
      <c r="C7438" s="27"/>
      <c r="D7438" s="27"/>
      <c r="E7438" s="30"/>
    </row>
    <row r="7439">
      <c r="A7439" s="27"/>
      <c r="B7439" s="28"/>
      <c r="C7439" s="27"/>
      <c r="D7439" s="27"/>
      <c r="E7439" s="30"/>
    </row>
    <row r="7440">
      <c r="A7440" s="27"/>
      <c r="B7440" s="28"/>
      <c r="C7440" s="27"/>
      <c r="D7440" s="27"/>
      <c r="E7440" s="30"/>
    </row>
    <row r="7441">
      <c r="A7441" s="27"/>
      <c r="B7441" s="28"/>
      <c r="C7441" s="27"/>
      <c r="D7441" s="27"/>
      <c r="E7441" s="30"/>
    </row>
    <row r="7442">
      <c r="A7442" s="27"/>
      <c r="B7442" s="28"/>
      <c r="C7442" s="27"/>
      <c r="D7442" s="27"/>
      <c r="E7442" s="30"/>
    </row>
    <row r="7443">
      <c r="A7443" s="27"/>
      <c r="B7443" s="28"/>
      <c r="C7443" s="27"/>
      <c r="D7443" s="27"/>
      <c r="E7443" s="30"/>
    </row>
    <row r="7444">
      <c r="A7444" s="27"/>
      <c r="B7444" s="28"/>
      <c r="C7444" s="27"/>
      <c r="D7444" s="27"/>
      <c r="E7444" s="30"/>
    </row>
    <row r="7445">
      <c r="A7445" s="27"/>
      <c r="B7445" s="28"/>
      <c r="C7445" s="27"/>
      <c r="D7445" s="27"/>
      <c r="E7445" s="30"/>
    </row>
    <row r="7446">
      <c r="A7446" s="27"/>
      <c r="B7446" s="28"/>
      <c r="C7446" s="27"/>
      <c r="D7446" s="27"/>
      <c r="E7446" s="30"/>
    </row>
    <row r="7447">
      <c r="A7447" s="27"/>
      <c r="B7447" s="28"/>
      <c r="C7447" s="27"/>
      <c r="D7447" s="27"/>
      <c r="E7447" s="30"/>
    </row>
    <row r="7448">
      <c r="A7448" s="27"/>
      <c r="B7448" s="28"/>
      <c r="C7448" s="27"/>
      <c r="D7448" s="27"/>
      <c r="E7448" s="30"/>
    </row>
    <row r="7449">
      <c r="A7449" s="27"/>
      <c r="B7449" s="28"/>
      <c r="C7449" s="27"/>
      <c r="D7449" s="27"/>
      <c r="E7449" s="30"/>
    </row>
    <row r="7450">
      <c r="A7450" s="27"/>
      <c r="B7450" s="28"/>
      <c r="C7450" s="27"/>
      <c r="D7450" s="27"/>
      <c r="E7450" s="30"/>
    </row>
    <row r="7451">
      <c r="A7451" s="27"/>
      <c r="B7451" s="28"/>
      <c r="C7451" s="27"/>
      <c r="D7451" s="27"/>
      <c r="E7451" s="30"/>
    </row>
    <row r="7452">
      <c r="A7452" s="27"/>
      <c r="B7452" s="28"/>
      <c r="C7452" s="27"/>
      <c r="D7452" s="27"/>
      <c r="E7452" s="30"/>
    </row>
    <row r="7453">
      <c r="A7453" s="27"/>
      <c r="B7453" s="28"/>
      <c r="C7453" s="27"/>
      <c r="D7453" s="27"/>
      <c r="E7453" s="30"/>
    </row>
    <row r="7454">
      <c r="A7454" s="27"/>
      <c r="B7454" s="28"/>
      <c r="C7454" s="27"/>
      <c r="D7454" s="27"/>
      <c r="E7454" s="30"/>
    </row>
    <row r="7455">
      <c r="A7455" s="27"/>
      <c r="B7455" s="28"/>
      <c r="C7455" s="27"/>
      <c r="D7455" s="27"/>
      <c r="E7455" s="30"/>
    </row>
    <row r="7456">
      <c r="A7456" s="27"/>
      <c r="B7456" s="28"/>
      <c r="C7456" s="27"/>
      <c r="D7456" s="27"/>
      <c r="E7456" s="30"/>
    </row>
    <row r="7457">
      <c r="A7457" s="27"/>
      <c r="B7457" s="28"/>
      <c r="C7457" s="27"/>
      <c r="D7457" s="27"/>
      <c r="E7457" s="30"/>
    </row>
    <row r="7458">
      <c r="A7458" s="27"/>
      <c r="B7458" s="28"/>
      <c r="C7458" s="27"/>
      <c r="D7458" s="27"/>
      <c r="E7458" s="30"/>
    </row>
    <row r="7459">
      <c r="A7459" s="27"/>
      <c r="B7459" s="28"/>
      <c r="C7459" s="27"/>
      <c r="D7459" s="27"/>
      <c r="E7459" s="30"/>
    </row>
    <row r="7460">
      <c r="A7460" s="27"/>
      <c r="B7460" s="28"/>
      <c r="C7460" s="27"/>
      <c r="D7460" s="27"/>
      <c r="E7460" s="30"/>
    </row>
    <row r="7461">
      <c r="A7461" s="27"/>
      <c r="B7461" s="28"/>
      <c r="C7461" s="27"/>
      <c r="D7461" s="27"/>
      <c r="E7461" s="30"/>
    </row>
    <row r="7462">
      <c r="A7462" s="27"/>
      <c r="B7462" s="28"/>
      <c r="C7462" s="27"/>
      <c r="D7462" s="27"/>
      <c r="E7462" s="30"/>
    </row>
    <row r="7463">
      <c r="A7463" s="27"/>
      <c r="B7463" s="28"/>
      <c r="C7463" s="27"/>
      <c r="D7463" s="27"/>
      <c r="E7463" s="30"/>
    </row>
    <row r="7464">
      <c r="A7464" s="27"/>
      <c r="B7464" s="28"/>
      <c r="C7464" s="27"/>
      <c r="D7464" s="27"/>
      <c r="E7464" s="30"/>
    </row>
    <row r="7465">
      <c r="A7465" s="27"/>
      <c r="B7465" s="28"/>
      <c r="C7465" s="27"/>
      <c r="D7465" s="27"/>
      <c r="E7465" s="30"/>
    </row>
    <row r="7466">
      <c r="A7466" s="27"/>
      <c r="B7466" s="28"/>
      <c r="C7466" s="27"/>
      <c r="D7466" s="27"/>
      <c r="E7466" s="30"/>
    </row>
    <row r="7467">
      <c r="A7467" s="27"/>
      <c r="B7467" s="28"/>
      <c r="C7467" s="27"/>
      <c r="D7467" s="27"/>
      <c r="E7467" s="30"/>
    </row>
    <row r="7468">
      <c r="A7468" s="27"/>
      <c r="B7468" s="28"/>
      <c r="C7468" s="27"/>
      <c r="D7468" s="27"/>
      <c r="E7468" s="30"/>
    </row>
    <row r="7469">
      <c r="A7469" s="27"/>
      <c r="B7469" s="28"/>
      <c r="C7469" s="27"/>
      <c r="D7469" s="27"/>
      <c r="E7469" s="30"/>
    </row>
    <row r="7470">
      <c r="A7470" s="27"/>
      <c r="B7470" s="28"/>
      <c r="C7470" s="27"/>
      <c r="D7470" s="27"/>
      <c r="E7470" s="30"/>
    </row>
    <row r="7471">
      <c r="A7471" s="27"/>
      <c r="B7471" s="28"/>
      <c r="C7471" s="27"/>
      <c r="D7471" s="27"/>
      <c r="E7471" s="30"/>
    </row>
    <row r="7472">
      <c r="A7472" s="27"/>
      <c r="B7472" s="28"/>
      <c r="C7472" s="27"/>
      <c r="D7472" s="27"/>
      <c r="E7472" s="30"/>
    </row>
    <row r="7473">
      <c r="A7473" s="27"/>
      <c r="B7473" s="28"/>
      <c r="C7473" s="27"/>
      <c r="D7473" s="27"/>
      <c r="E7473" s="30"/>
    </row>
    <row r="7474">
      <c r="A7474" s="27"/>
      <c r="B7474" s="28"/>
      <c r="C7474" s="27"/>
      <c r="D7474" s="27"/>
      <c r="E7474" s="30"/>
    </row>
    <row r="7475">
      <c r="A7475" s="27"/>
      <c r="B7475" s="28"/>
      <c r="C7475" s="27"/>
      <c r="D7475" s="27"/>
      <c r="E7475" s="30"/>
    </row>
    <row r="7476">
      <c r="A7476" s="27"/>
      <c r="B7476" s="28"/>
      <c r="C7476" s="27"/>
      <c r="D7476" s="27"/>
      <c r="E7476" s="30"/>
    </row>
    <row r="7477">
      <c r="A7477" s="27"/>
      <c r="B7477" s="28"/>
      <c r="C7477" s="27"/>
      <c r="D7477" s="27"/>
      <c r="E7477" s="30"/>
    </row>
    <row r="7478">
      <c r="A7478" s="27"/>
      <c r="B7478" s="28"/>
      <c r="C7478" s="27"/>
      <c r="D7478" s="27"/>
      <c r="E7478" s="30"/>
    </row>
    <row r="7479">
      <c r="A7479" s="27"/>
      <c r="B7479" s="28"/>
      <c r="C7479" s="27"/>
      <c r="D7479" s="27"/>
      <c r="E7479" s="30"/>
    </row>
    <row r="7480">
      <c r="A7480" s="27"/>
      <c r="B7480" s="28"/>
      <c r="C7480" s="27"/>
      <c r="D7480" s="27"/>
      <c r="E7480" s="30"/>
    </row>
    <row r="7481">
      <c r="A7481" s="27"/>
      <c r="B7481" s="28"/>
      <c r="C7481" s="27"/>
      <c r="D7481" s="27"/>
      <c r="E7481" s="30"/>
    </row>
    <row r="7482">
      <c r="A7482" s="27"/>
      <c r="B7482" s="28"/>
      <c r="C7482" s="27"/>
      <c r="D7482" s="27"/>
      <c r="E7482" s="30"/>
    </row>
    <row r="7483">
      <c r="A7483" s="27"/>
      <c r="B7483" s="28"/>
      <c r="C7483" s="27"/>
      <c r="D7483" s="27"/>
      <c r="E7483" s="30"/>
    </row>
    <row r="7484">
      <c r="A7484" s="27"/>
      <c r="B7484" s="28"/>
      <c r="C7484" s="27"/>
      <c r="D7484" s="27"/>
      <c r="E7484" s="30"/>
    </row>
    <row r="7485">
      <c r="A7485" s="27"/>
      <c r="B7485" s="28"/>
      <c r="C7485" s="27"/>
      <c r="D7485" s="27"/>
      <c r="E7485" s="30"/>
    </row>
    <row r="7486">
      <c r="A7486" s="27"/>
      <c r="B7486" s="28"/>
      <c r="C7486" s="27"/>
      <c r="D7486" s="27"/>
      <c r="E7486" s="30"/>
    </row>
    <row r="7487">
      <c r="A7487" s="27"/>
      <c r="B7487" s="28"/>
      <c r="C7487" s="27"/>
      <c r="D7487" s="27"/>
      <c r="E7487" s="30"/>
    </row>
    <row r="7488">
      <c r="A7488" s="27"/>
      <c r="B7488" s="28"/>
      <c r="C7488" s="27"/>
      <c r="D7488" s="27"/>
      <c r="E7488" s="30"/>
    </row>
    <row r="7489">
      <c r="A7489" s="27"/>
      <c r="B7489" s="28"/>
      <c r="C7489" s="27"/>
      <c r="D7489" s="27"/>
      <c r="E7489" s="30"/>
    </row>
    <row r="7490">
      <c r="A7490" s="27"/>
      <c r="B7490" s="28"/>
      <c r="C7490" s="27"/>
      <c r="D7490" s="27"/>
      <c r="E7490" s="30"/>
    </row>
    <row r="7491">
      <c r="A7491" s="27"/>
      <c r="B7491" s="28"/>
      <c r="C7491" s="27"/>
      <c r="D7491" s="27"/>
      <c r="E7491" s="30"/>
    </row>
    <row r="7492">
      <c r="A7492" s="27"/>
      <c r="B7492" s="28"/>
      <c r="C7492" s="27"/>
      <c r="D7492" s="27"/>
      <c r="E7492" s="30"/>
    </row>
    <row r="7493">
      <c r="A7493" s="27"/>
      <c r="B7493" s="28"/>
      <c r="C7493" s="27"/>
      <c r="D7493" s="27"/>
      <c r="E7493" s="30"/>
    </row>
    <row r="7494">
      <c r="A7494" s="27"/>
      <c r="B7494" s="28"/>
      <c r="C7494" s="27"/>
      <c r="D7494" s="27"/>
      <c r="E7494" s="30"/>
    </row>
    <row r="7495">
      <c r="A7495" s="27"/>
      <c r="B7495" s="28"/>
      <c r="C7495" s="27"/>
      <c r="D7495" s="27"/>
      <c r="E7495" s="30"/>
    </row>
    <row r="7496">
      <c r="A7496" s="27"/>
      <c r="B7496" s="28"/>
      <c r="C7496" s="27"/>
      <c r="D7496" s="27"/>
      <c r="E7496" s="30"/>
    </row>
    <row r="7497">
      <c r="A7497" s="27"/>
      <c r="B7497" s="28"/>
      <c r="C7497" s="27"/>
      <c r="D7497" s="27"/>
      <c r="E7497" s="30"/>
    </row>
    <row r="7498">
      <c r="A7498" s="27"/>
      <c r="B7498" s="28"/>
      <c r="C7498" s="27"/>
      <c r="D7498" s="27"/>
      <c r="E7498" s="30"/>
    </row>
    <row r="7499">
      <c r="A7499" s="27"/>
      <c r="B7499" s="28"/>
      <c r="C7499" s="27"/>
      <c r="D7499" s="27"/>
      <c r="E7499" s="30"/>
    </row>
    <row r="7500">
      <c r="A7500" s="27"/>
      <c r="B7500" s="28"/>
      <c r="C7500" s="27"/>
      <c r="D7500" s="27"/>
      <c r="E7500" s="30"/>
    </row>
    <row r="7501">
      <c r="A7501" s="27"/>
      <c r="B7501" s="28"/>
      <c r="C7501" s="27"/>
      <c r="D7501" s="27"/>
      <c r="E7501" s="30"/>
    </row>
    <row r="7502">
      <c r="A7502" s="27"/>
      <c r="B7502" s="28"/>
      <c r="C7502" s="27"/>
      <c r="D7502" s="27"/>
      <c r="E7502" s="30"/>
    </row>
    <row r="7503">
      <c r="A7503" s="27"/>
      <c r="B7503" s="28"/>
      <c r="C7503" s="27"/>
      <c r="D7503" s="27"/>
      <c r="E7503" s="30"/>
    </row>
    <row r="7504">
      <c r="A7504" s="27"/>
      <c r="B7504" s="28"/>
      <c r="C7504" s="27"/>
      <c r="D7504" s="27"/>
      <c r="E7504" s="30"/>
    </row>
    <row r="7505">
      <c r="A7505" s="27"/>
      <c r="B7505" s="28"/>
      <c r="C7505" s="27"/>
      <c r="D7505" s="27"/>
      <c r="E7505" s="30"/>
    </row>
    <row r="7506">
      <c r="A7506" s="27"/>
      <c r="B7506" s="28"/>
      <c r="C7506" s="27"/>
      <c r="D7506" s="27"/>
      <c r="E7506" s="30"/>
    </row>
    <row r="7507">
      <c r="A7507" s="27"/>
      <c r="B7507" s="28"/>
      <c r="C7507" s="27"/>
      <c r="D7507" s="27"/>
      <c r="E7507" s="30"/>
    </row>
    <row r="7508">
      <c r="A7508" s="27"/>
      <c r="B7508" s="28"/>
      <c r="C7508" s="27"/>
      <c r="D7508" s="27"/>
      <c r="E7508" s="30"/>
    </row>
    <row r="7509">
      <c r="A7509" s="27"/>
      <c r="B7509" s="28"/>
      <c r="C7509" s="27"/>
      <c r="D7509" s="27"/>
      <c r="E7509" s="30"/>
    </row>
    <row r="7510">
      <c r="A7510" s="27"/>
      <c r="B7510" s="28"/>
      <c r="C7510" s="27"/>
      <c r="D7510" s="27"/>
      <c r="E7510" s="30"/>
    </row>
    <row r="7511">
      <c r="A7511" s="27"/>
      <c r="B7511" s="28"/>
      <c r="C7511" s="27"/>
      <c r="D7511" s="27"/>
      <c r="E7511" s="30"/>
    </row>
    <row r="7512">
      <c r="A7512" s="27"/>
      <c r="B7512" s="28"/>
      <c r="C7512" s="27"/>
      <c r="D7512" s="27"/>
      <c r="E7512" s="30"/>
    </row>
    <row r="7513">
      <c r="A7513" s="27"/>
      <c r="B7513" s="28"/>
      <c r="C7513" s="27"/>
      <c r="D7513" s="27"/>
      <c r="E7513" s="30"/>
    </row>
    <row r="7514">
      <c r="A7514" s="27"/>
      <c r="B7514" s="28"/>
      <c r="C7514" s="27"/>
      <c r="D7514" s="27"/>
      <c r="E7514" s="30"/>
    </row>
    <row r="7515">
      <c r="A7515" s="27"/>
      <c r="B7515" s="28"/>
      <c r="C7515" s="27"/>
      <c r="D7515" s="27"/>
      <c r="E7515" s="30"/>
    </row>
    <row r="7516">
      <c r="A7516" s="27"/>
      <c r="B7516" s="28"/>
      <c r="C7516" s="27"/>
      <c r="D7516" s="27"/>
      <c r="E7516" s="30"/>
    </row>
    <row r="7517">
      <c r="A7517" s="27"/>
      <c r="B7517" s="28"/>
      <c r="C7517" s="27"/>
      <c r="D7517" s="27"/>
      <c r="E7517" s="30"/>
    </row>
    <row r="7518">
      <c r="A7518" s="27"/>
      <c r="B7518" s="28"/>
      <c r="C7518" s="27"/>
      <c r="D7518" s="27"/>
      <c r="E7518" s="30"/>
    </row>
    <row r="7519">
      <c r="A7519" s="27"/>
      <c r="B7519" s="28"/>
      <c r="C7519" s="27"/>
      <c r="D7519" s="27"/>
      <c r="E7519" s="30"/>
    </row>
    <row r="7520">
      <c r="A7520" s="27"/>
      <c r="B7520" s="28"/>
      <c r="C7520" s="27"/>
      <c r="D7520" s="27"/>
      <c r="E7520" s="30"/>
    </row>
    <row r="7521">
      <c r="A7521" s="27"/>
      <c r="B7521" s="28"/>
      <c r="C7521" s="27"/>
      <c r="D7521" s="27"/>
      <c r="E7521" s="30"/>
    </row>
    <row r="7522">
      <c r="A7522" s="27"/>
      <c r="B7522" s="28"/>
      <c r="C7522" s="27"/>
      <c r="D7522" s="27"/>
      <c r="E7522" s="30"/>
    </row>
    <row r="7523">
      <c r="A7523" s="27"/>
      <c r="B7523" s="28"/>
      <c r="C7523" s="27"/>
      <c r="D7523" s="27"/>
      <c r="E7523" s="30"/>
    </row>
    <row r="7524">
      <c r="A7524" s="27"/>
      <c r="B7524" s="28"/>
      <c r="C7524" s="27"/>
      <c r="D7524" s="27"/>
      <c r="E7524" s="30"/>
    </row>
    <row r="7525">
      <c r="A7525" s="27"/>
      <c r="B7525" s="28"/>
      <c r="C7525" s="27"/>
      <c r="D7525" s="27"/>
      <c r="E7525" s="30"/>
    </row>
    <row r="7526">
      <c r="A7526" s="27"/>
      <c r="B7526" s="28"/>
      <c r="C7526" s="27"/>
      <c r="D7526" s="27"/>
      <c r="E7526" s="30"/>
    </row>
    <row r="7527">
      <c r="A7527" s="27"/>
      <c r="B7527" s="28"/>
      <c r="C7527" s="27"/>
      <c r="D7527" s="27"/>
      <c r="E7527" s="30"/>
    </row>
    <row r="7528">
      <c r="A7528" s="27"/>
      <c r="B7528" s="28"/>
      <c r="C7528" s="27"/>
      <c r="D7528" s="27"/>
      <c r="E7528" s="30"/>
    </row>
    <row r="7529">
      <c r="A7529" s="27"/>
      <c r="B7529" s="28"/>
      <c r="C7529" s="27"/>
      <c r="D7529" s="27"/>
      <c r="E7529" s="30"/>
    </row>
    <row r="7530">
      <c r="A7530" s="27"/>
      <c r="B7530" s="28"/>
      <c r="C7530" s="27"/>
      <c r="D7530" s="27"/>
      <c r="E7530" s="30"/>
    </row>
    <row r="7531">
      <c r="A7531" s="27"/>
      <c r="B7531" s="28"/>
      <c r="C7531" s="27"/>
      <c r="D7531" s="27"/>
      <c r="E7531" s="30"/>
    </row>
    <row r="7532">
      <c r="A7532" s="27"/>
      <c r="B7532" s="28"/>
      <c r="C7532" s="27"/>
      <c r="D7532" s="27"/>
      <c r="E7532" s="30"/>
    </row>
    <row r="7533">
      <c r="A7533" s="27"/>
      <c r="B7533" s="28"/>
      <c r="C7533" s="27"/>
      <c r="D7533" s="27"/>
      <c r="E7533" s="30"/>
    </row>
    <row r="7534">
      <c r="A7534" s="27"/>
      <c r="B7534" s="28"/>
      <c r="C7534" s="27"/>
      <c r="D7534" s="27"/>
      <c r="E7534" s="30"/>
    </row>
    <row r="7535">
      <c r="A7535" s="27"/>
      <c r="B7535" s="28"/>
      <c r="C7535" s="27"/>
      <c r="D7535" s="27"/>
      <c r="E7535" s="30"/>
    </row>
    <row r="7536">
      <c r="A7536" s="27"/>
      <c r="B7536" s="28"/>
      <c r="C7536" s="27"/>
      <c r="D7536" s="27"/>
      <c r="E7536" s="30"/>
    </row>
    <row r="7537">
      <c r="A7537" s="27"/>
      <c r="B7537" s="28"/>
      <c r="C7537" s="27"/>
      <c r="D7537" s="27"/>
      <c r="E7537" s="30"/>
    </row>
    <row r="7538">
      <c r="A7538" s="27"/>
      <c r="B7538" s="28"/>
      <c r="C7538" s="27"/>
      <c r="D7538" s="27"/>
      <c r="E7538" s="30"/>
    </row>
    <row r="7539">
      <c r="A7539" s="27"/>
      <c r="B7539" s="28"/>
      <c r="C7539" s="27"/>
      <c r="D7539" s="27"/>
      <c r="E7539" s="30"/>
    </row>
    <row r="7540">
      <c r="A7540" s="27"/>
      <c r="B7540" s="28"/>
      <c r="C7540" s="27"/>
      <c r="D7540" s="27"/>
      <c r="E7540" s="30"/>
    </row>
    <row r="7541">
      <c r="A7541" s="27"/>
      <c r="B7541" s="28"/>
      <c r="C7541" s="27"/>
      <c r="D7541" s="27"/>
      <c r="E7541" s="30"/>
    </row>
    <row r="7542">
      <c r="A7542" s="27"/>
      <c r="B7542" s="28"/>
      <c r="C7542" s="27"/>
      <c r="D7542" s="27"/>
      <c r="E7542" s="30"/>
    </row>
    <row r="7543">
      <c r="A7543" s="27"/>
      <c r="B7543" s="28"/>
      <c r="C7543" s="27"/>
      <c r="D7543" s="27"/>
      <c r="E7543" s="30"/>
    </row>
    <row r="7544">
      <c r="A7544" s="27"/>
      <c r="B7544" s="28"/>
      <c r="C7544" s="27"/>
      <c r="D7544" s="27"/>
      <c r="E7544" s="30"/>
    </row>
    <row r="7545">
      <c r="A7545" s="27"/>
      <c r="B7545" s="28"/>
      <c r="C7545" s="27"/>
      <c r="D7545" s="27"/>
      <c r="E7545" s="30"/>
    </row>
    <row r="7546">
      <c r="A7546" s="27"/>
      <c r="B7546" s="28"/>
      <c r="C7546" s="27"/>
      <c r="D7546" s="27"/>
      <c r="E7546" s="30"/>
    </row>
    <row r="7547">
      <c r="A7547" s="27"/>
      <c r="B7547" s="28"/>
      <c r="C7547" s="27"/>
      <c r="D7547" s="27"/>
      <c r="E7547" s="30"/>
    </row>
    <row r="7548">
      <c r="A7548" s="27"/>
      <c r="B7548" s="28"/>
      <c r="C7548" s="27"/>
      <c r="D7548" s="27"/>
      <c r="E7548" s="30"/>
    </row>
    <row r="7549">
      <c r="A7549" s="27"/>
      <c r="B7549" s="28"/>
      <c r="C7549" s="27"/>
      <c r="D7549" s="27"/>
      <c r="E7549" s="30"/>
    </row>
    <row r="7550">
      <c r="A7550" s="27"/>
      <c r="B7550" s="28"/>
      <c r="C7550" s="27"/>
      <c r="D7550" s="27"/>
      <c r="E7550" s="30"/>
    </row>
    <row r="7551">
      <c r="A7551" s="27"/>
      <c r="B7551" s="28"/>
      <c r="C7551" s="27"/>
      <c r="D7551" s="27"/>
      <c r="E7551" s="30"/>
    </row>
    <row r="7552">
      <c r="A7552" s="27"/>
      <c r="B7552" s="28"/>
      <c r="C7552" s="27"/>
      <c r="D7552" s="27"/>
      <c r="E7552" s="30"/>
    </row>
    <row r="7553">
      <c r="A7553" s="27"/>
      <c r="B7553" s="28"/>
      <c r="C7553" s="27"/>
      <c r="D7553" s="27"/>
      <c r="E7553" s="30"/>
    </row>
    <row r="7554">
      <c r="A7554" s="27"/>
      <c r="B7554" s="28"/>
      <c r="C7554" s="27"/>
      <c r="D7554" s="27"/>
      <c r="E7554" s="30"/>
    </row>
    <row r="7555">
      <c r="A7555" s="27"/>
      <c r="B7555" s="28"/>
      <c r="C7555" s="27"/>
      <c r="D7555" s="27"/>
      <c r="E7555" s="30"/>
    </row>
    <row r="7556">
      <c r="A7556" s="27"/>
      <c r="B7556" s="28"/>
      <c r="C7556" s="27"/>
      <c r="D7556" s="27"/>
      <c r="E7556" s="30"/>
    </row>
    <row r="7557">
      <c r="A7557" s="27"/>
      <c r="B7557" s="28"/>
      <c r="C7557" s="27"/>
      <c r="D7557" s="27"/>
      <c r="E7557" s="30"/>
    </row>
    <row r="7558">
      <c r="A7558" s="27"/>
      <c r="B7558" s="28"/>
      <c r="C7558" s="27"/>
      <c r="D7558" s="27"/>
      <c r="E7558" s="30"/>
    </row>
    <row r="7559">
      <c r="A7559" s="27"/>
      <c r="B7559" s="28"/>
      <c r="C7559" s="27"/>
      <c r="D7559" s="27"/>
      <c r="E7559" s="30"/>
    </row>
    <row r="7560">
      <c r="A7560" s="27"/>
      <c r="B7560" s="28"/>
      <c r="C7560" s="27"/>
      <c r="D7560" s="27"/>
      <c r="E7560" s="30"/>
    </row>
    <row r="7561">
      <c r="A7561" s="27"/>
      <c r="B7561" s="28"/>
      <c r="C7561" s="27"/>
      <c r="D7561" s="27"/>
      <c r="E7561" s="30"/>
    </row>
    <row r="7562">
      <c r="A7562" s="27"/>
      <c r="B7562" s="28"/>
      <c r="C7562" s="27"/>
      <c r="D7562" s="27"/>
      <c r="E7562" s="30"/>
    </row>
    <row r="7563">
      <c r="A7563" s="27"/>
      <c r="B7563" s="28"/>
      <c r="C7563" s="27"/>
      <c r="D7563" s="27"/>
      <c r="E7563" s="30"/>
    </row>
    <row r="7564">
      <c r="A7564" s="27"/>
      <c r="B7564" s="28"/>
      <c r="C7564" s="27"/>
      <c r="D7564" s="27"/>
      <c r="E7564" s="30"/>
    </row>
    <row r="7565">
      <c r="A7565" s="27"/>
      <c r="B7565" s="28"/>
      <c r="C7565" s="27"/>
      <c r="D7565" s="27"/>
      <c r="E7565" s="30"/>
    </row>
    <row r="7566">
      <c r="A7566" s="27"/>
      <c r="B7566" s="28"/>
      <c r="C7566" s="27"/>
      <c r="D7566" s="27"/>
      <c r="E7566" s="30"/>
    </row>
    <row r="7567">
      <c r="A7567" s="27"/>
      <c r="B7567" s="28"/>
      <c r="C7567" s="27"/>
      <c r="D7567" s="27"/>
      <c r="E7567" s="30"/>
    </row>
    <row r="7568">
      <c r="A7568" s="27"/>
      <c r="B7568" s="28"/>
      <c r="C7568" s="27"/>
      <c r="D7568" s="27"/>
      <c r="E7568" s="30"/>
    </row>
    <row r="7569">
      <c r="A7569" s="27"/>
      <c r="B7569" s="28"/>
      <c r="C7569" s="27"/>
      <c r="D7569" s="27"/>
      <c r="E7569" s="30"/>
    </row>
    <row r="7570">
      <c r="A7570" s="27"/>
      <c r="B7570" s="28"/>
      <c r="C7570" s="27"/>
      <c r="D7570" s="27"/>
      <c r="E7570" s="30"/>
    </row>
    <row r="7571">
      <c r="A7571" s="27"/>
      <c r="B7571" s="28"/>
      <c r="C7571" s="27"/>
      <c r="D7571" s="27"/>
      <c r="E7571" s="30"/>
    </row>
    <row r="7572">
      <c r="A7572" s="27"/>
      <c r="B7572" s="28"/>
      <c r="C7572" s="27"/>
      <c r="D7572" s="27"/>
      <c r="E7572" s="30"/>
    </row>
    <row r="7573">
      <c r="A7573" s="27"/>
      <c r="B7573" s="28"/>
      <c r="C7573" s="27"/>
      <c r="D7573" s="27"/>
      <c r="E7573" s="30"/>
    </row>
    <row r="7574">
      <c r="A7574" s="27"/>
      <c r="B7574" s="28"/>
      <c r="C7574" s="27"/>
      <c r="D7574" s="27"/>
      <c r="E7574" s="30"/>
    </row>
    <row r="7575">
      <c r="A7575" s="27"/>
      <c r="B7575" s="28"/>
      <c r="C7575" s="27"/>
      <c r="D7575" s="27"/>
      <c r="E7575" s="30"/>
    </row>
    <row r="7576">
      <c r="A7576" s="27"/>
      <c r="B7576" s="28"/>
      <c r="C7576" s="27"/>
      <c r="D7576" s="27"/>
      <c r="E7576" s="30"/>
    </row>
    <row r="7577">
      <c r="A7577" s="27"/>
      <c r="B7577" s="28"/>
      <c r="C7577" s="27"/>
      <c r="D7577" s="27"/>
      <c r="E7577" s="30"/>
    </row>
    <row r="7578">
      <c r="A7578" s="27"/>
      <c r="B7578" s="28"/>
      <c r="C7578" s="27"/>
      <c r="D7578" s="27"/>
      <c r="E7578" s="30"/>
    </row>
    <row r="7579">
      <c r="A7579" s="27"/>
      <c r="B7579" s="28"/>
      <c r="C7579" s="27"/>
      <c r="D7579" s="27"/>
      <c r="E7579" s="30"/>
    </row>
    <row r="7580">
      <c r="A7580" s="27"/>
      <c r="B7580" s="28"/>
      <c r="C7580" s="27"/>
      <c r="D7580" s="27"/>
      <c r="E7580" s="30"/>
    </row>
    <row r="7581">
      <c r="A7581" s="27"/>
      <c r="B7581" s="28"/>
      <c r="C7581" s="27"/>
      <c r="D7581" s="27"/>
      <c r="E7581" s="30"/>
    </row>
    <row r="7582">
      <c r="A7582" s="27"/>
      <c r="B7582" s="28"/>
      <c r="C7582" s="27"/>
      <c r="D7582" s="27"/>
      <c r="E7582" s="30"/>
    </row>
    <row r="7583">
      <c r="A7583" s="27"/>
      <c r="B7583" s="28"/>
      <c r="C7583" s="27"/>
      <c r="D7583" s="27"/>
      <c r="E7583" s="30"/>
    </row>
    <row r="7584">
      <c r="A7584" s="27"/>
      <c r="B7584" s="28"/>
      <c r="C7584" s="27"/>
      <c r="D7584" s="27"/>
      <c r="E7584" s="30"/>
    </row>
    <row r="7585">
      <c r="A7585" s="27"/>
      <c r="B7585" s="28"/>
      <c r="C7585" s="27"/>
      <c r="D7585" s="27"/>
      <c r="E7585" s="30"/>
    </row>
    <row r="7586">
      <c r="A7586" s="27"/>
      <c r="B7586" s="28"/>
      <c r="C7586" s="27"/>
      <c r="D7586" s="27"/>
      <c r="E7586" s="30"/>
    </row>
    <row r="7587">
      <c r="A7587" s="27"/>
      <c r="B7587" s="28"/>
      <c r="C7587" s="27"/>
      <c r="D7587" s="27"/>
      <c r="E7587" s="30"/>
    </row>
    <row r="7588">
      <c r="A7588" s="27"/>
      <c r="B7588" s="28"/>
      <c r="C7588" s="27"/>
      <c r="D7588" s="27"/>
      <c r="E7588" s="30"/>
    </row>
    <row r="7589">
      <c r="A7589" s="27"/>
      <c r="B7589" s="28"/>
      <c r="C7589" s="27"/>
      <c r="D7589" s="27"/>
      <c r="E7589" s="30"/>
    </row>
    <row r="7590">
      <c r="A7590" s="27"/>
      <c r="B7590" s="28"/>
      <c r="C7590" s="27"/>
      <c r="D7590" s="27"/>
      <c r="E7590" s="30"/>
    </row>
    <row r="7591">
      <c r="A7591" s="27"/>
      <c r="B7591" s="28"/>
      <c r="C7591" s="27"/>
      <c r="D7591" s="27"/>
      <c r="E7591" s="30"/>
    </row>
    <row r="7592">
      <c r="A7592" s="27"/>
      <c r="B7592" s="28"/>
      <c r="C7592" s="27"/>
      <c r="D7592" s="27"/>
      <c r="E7592" s="30"/>
    </row>
    <row r="7593">
      <c r="A7593" s="27"/>
      <c r="B7593" s="28"/>
      <c r="C7593" s="27"/>
      <c r="D7593" s="27"/>
      <c r="E7593" s="30"/>
    </row>
    <row r="7594">
      <c r="A7594" s="27"/>
      <c r="B7594" s="28"/>
      <c r="C7594" s="27"/>
      <c r="D7594" s="27"/>
      <c r="E7594" s="30"/>
    </row>
    <row r="7595">
      <c r="A7595" s="27"/>
      <c r="B7595" s="28"/>
      <c r="C7595" s="27"/>
      <c r="D7595" s="27"/>
      <c r="E7595" s="30"/>
    </row>
    <row r="7596">
      <c r="A7596" s="27"/>
      <c r="B7596" s="28"/>
      <c r="C7596" s="27"/>
      <c r="D7596" s="27"/>
      <c r="E7596" s="30"/>
    </row>
    <row r="7597">
      <c r="A7597" s="27"/>
      <c r="B7597" s="28"/>
      <c r="C7597" s="27"/>
      <c r="D7597" s="27"/>
      <c r="E7597" s="30"/>
    </row>
    <row r="7598">
      <c r="A7598" s="27"/>
      <c r="B7598" s="28"/>
      <c r="C7598" s="27"/>
      <c r="D7598" s="27"/>
      <c r="E7598" s="30"/>
    </row>
    <row r="7599">
      <c r="A7599" s="27"/>
      <c r="B7599" s="28"/>
      <c r="C7599" s="27"/>
      <c r="D7599" s="27"/>
      <c r="E7599" s="30"/>
    </row>
    <row r="7600">
      <c r="A7600" s="27"/>
      <c r="B7600" s="28"/>
      <c r="C7600" s="27"/>
      <c r="D7600" s="27"/>
      <c r="E7600" s="30"/>
    </row>
    <row r="7601">
      <c r="A7601" s="27"/>
      <c r="B7601" s="28"/>
      <c r="C7601" s="27"/>
      <c r="D7601" s="27"/>
      <c r="E7601" s="30"/>
    </row>
    <row r="7602">
      <c r="A7602" s="27"/>
      <c r="B7602" s="28"/>
      <c r="C7602" s="27"/>
      <c r="D7602" s="27"/>
      <c r="E7602" s="30"/>
    </row>
    <row r="7603">
      <c r="A7603" s="27"/>
      <c r="B7603" s="28"/>
      <c r="C7603" s="27"/>
      <c r="D7603" s="27"/>
      <c r="E7603" s="30"/>
    </row>
    <row r="7604">
      <c r="A7604" s="27"/>
      <c r="B7604" s="28"/>
      <c r="C7604" s="27"/>
      <c r="D7604" s="27"/>
      <c r="E7604" s="30"/>
    </row>
    <row r="7605">
      <c r="A7605" s="27"/>
      <c r="B7605" s="28"/>
      <c r="C7605" s="27"/>
      <c r="D7605" s="27"/>
      <c r="E7605" s="30"/>
    </row>
    <row r="7606">
      <c r="A7606" s="27"/>
      <c r="B7606" s="28"/>
      <c r="C7606" s="27"/>
      <c r="D7606" s="27"/>
      <c r="E7606" s="30"/>
    </row>
    <row r="7607">
      <c r="A7607" s="27"/>
      <c r="B7607" s="28"/>
      <c r="C7607" s="27"/>
      <c r="D7607" s="27"/>
      <c r="E7607" s="30"/>
    </row>
    <row r="7608">
      <c r="A7608" s="27"/>
      <c r="B7608" s="28"/>
      <c r="C7608" s="27"/>
      <c r="D7608" s="27"/>
      <c r="E7608" s="30"/>
    </row>
    <row r="7609">
      <c r="A7609" s="27"/>
      <c r="B7609" s="28"/>
      <c r="C7609" s="27"/>
      <c r="D7609" s="27"/>
      <c r="E7609" s="30"/>
    </row>
    <row r="7610">
      <c r="A7610" s="27"/>
      <c r="B7610" s="28"/>
      <c r="C7610" s="27"/>
      <c r="D7610" s="27"/>
      <c r="E7610" s="30"/>
    </row>
    <row r="7611">
      <c r="A7611" s="27"/>
      <c r="B7611" s="28"/>
      <c r="C7611" s="27"/>
      <c r="D7611" s="27"/>
      <c r="E7611" s="30"/>
    </row>
    <row r="7612">
      <c r="A7612" s="27"/>
      <c r="B7612" s="28"/>
      <c r="C7612" s="27"/>
      <c r="D7612" s="27"/>
      <c r="E7612" s="30"/>
    </row>
    <row r="7613">
      <c r="A7613" s="27"/>
      <c r="B7613" s="28"/>
      <c r="C7613" s="27"/>
      <c r="D7613" s="27"/>
      <c r="E7613" s="30"/>
    </row>
    <row r="7614">
      <c r="A7614" s="27"/>
      <c r="B7614" s="28"/>
      <c r="C7614" s="27"/>
      <c r="D7614" s="27"/>
      <c r="E7614" s="30"/>
    </row>
    <row r="7615">
      <c r="A7615" s="27"/>
      <c r="B7615" s="28"/>
      <c r="C7615" s="27"/>
      <c r="D7615" s="27"/>
      <c r="E7615" s="30"/>
    </row>
    <row r="7616">
      <c r="A7616" s="27"/>
      <c r="B7616" s="28"/>
      <c r="C7616" s="27"/>
      <c r="D7616" s="27"/>
      <c r="E7616" s="30"/>
    </row>
    <row r="7617">
      <c r="A7617" s="27"/>
      <c r="B7617" s="28"/>
      <c r="C7617" s="27"/>
      <c r="D7617" s="27"/>
      <c r="E7617" s="30"/>
    </row>
    <row r="7618">
      <c r="A7618" s="27"/>
      <c r="B7618" s="28"/>
      <c r="C7618" s="27"/>
      <c r="D7618" s="27"/>
      <c r="E7618" s="30"/>
    </row>
    <row r="7619">
      <c r="A7619" s="27"/>
      <c r="B7619" s="28"/>
      <c r="C7619" s="27"/>
      <c r="D7619" s="27"/>
      <c r="E7619" s="30"/>
    </row>
    <row r="7620">
      <c r="A7620" s="27"/>
      <c r="B7620" s="28"/>
      <c r="C7620" s="27"/>
      <c r="D7620" s="27"/>
      <c r="E7620" s="30"/>
    </row>
    <row r="7621">
      <c r="A7621" s="27"/>
      <c r="B7621" s="28"/>
      <c r="C7621" s="27"/>
      <c r="D7621" s="27"/>
      <c r="E7621" s="30"/>
    </row>
    <row r="7622">
      <c r="A7622" s="27"/>
      <c r="B7622" s="28"/>
      <c r="C7622" s="27"/>
      <c r="D7622" s="27"/>
      <c r="E7622" s="30"/>
    </row>
    <row r="7623">
      <c r="A7623" s="27"/>
      <c r="B7623" s="28"/>
      <c r="C7623" s="27"/>
      <c r="D7623" s="27"/>
      <c r="E7623" s="30"/>
    </row>
    <row r="7624">
      <c r="A7624" s="27"/>
      <c r="B7624" s="28"/>
      <c r="C7624" s="27"/>
      <c r="D7624" s="27"/>
      <c r="E7624" s="30"/>
    </row>
    <row r="7625">
      <c r="A7625" s="27"/>
      <c r="B7625" s="28"/>
      <c r="C7625" s="27"/>
      <c r="D7625" s="27"/>
      <c r="E7625" s="30"/>
    </row>
    <row r="7626">
      <c r="A7626" s="27"/>
      <c r="B7626" s="28"/>
      <c r="C7626" s="27"/>
      <c r="D7626" s="27"/>
      <c r="E7626" s="30"/>
    </row>
    <row r="7627">
      <c r="A7627" s="27"/>
      <c r="B7627" s="28"/>
      <c r="C7627" s="27"/>
      <c r="D7627" s="27"/>
      <c r="E7627" s="30"/>
    </row>
    <row r="7628">
      <c r="A7628" s="27"/>
      <c r="B7628" s="28"/>
      <c r="C7628" s="27"/>
      <c r="D7628" s="27"/>
      <c r="E7628" s="30"/>
    </row>
    <row r="7629">
      <c r="A7629" s="27"/>
      <c r="B7629" s="28"/>
      <c r="C7629" s="27"/>
      <c r="D7629" s="27"/>
      <c r="E7629" s="30"/>
    </row>
    <row r="7630">
      <c r="A7630" s="27"/>
      <c r="B7630" s="28"/>
      <c r="C7630" s="27"/>
      <c r="D7630" s="27"/>
      <c r="E7630" s="30"/>
    </row>
    <row r="7631">
      <c r="A7631" s="27"/>
      <c r="B7631" s="28"/>
      <c r="C7631" s="27"/>
      <c r="D7631" s="27"/>
      <c r="E7631" s="30"/>
    </row>
    <row r="7632">
      <c r="A7632" s="27"/>
      <c r="B7632" s="28"/>
      <c r="C7632" s="27"/>
      <c r="D7632" s="27"/>
      <c r="E7632" s="30"/>
    </row>
    <row r="7633">
      <c r="A7633" s="27"/>
      <c r="B7633" s="28"/>
      <c r="C7633" s="27"/>
      <c r="D7633" s="27"/>
      <c r="E7633" s="30"/>
    </row>
    <row r="7634">
      <c r="A7634" s="27"/>
      <c r="B7634" s="28"/>
      <c r="C7634" s="27"/>
      <c r="D7634" s="27"/>
      <c r="E7634" s="30"/>
    </row>
    <row r="7635">
      <c r="A7635" s="27"/>
      <c r="B7635" s="28"/>
      <c r="C7635" s="27"/>
      <c r="D7635" s="27"/>
      <c r="E7635" s="30"/>
    </row>
    <row r="7636">
      <c r="A7636" s="27"/>
      <c r="B7636" s="28"/>
      <c r="C7636" s="27"/>
      <c r="D7636" s="27"/>
      <c r="E7636" s="30"/>
    </row>
    <row r="7637">
      <c r="A7637" s="27"/>
      <c r="B7637" s="28"/>
      <c r="C7637" s="27"/>
      <c r="D7637" s="27"/>
      <c r="E7637" s="30"/>
    </row>
    <row r="7638">
      <c r="A7638" s="27"/>
      <c r="B7638" s="28"/>
      <c r="C7638" s="27"/>
      <c r="D7638" s="27"/>
      <c r="E7638" s="30"/>
    </row>
    <row r="7639">
      <c r="A7639" s="27"/>
      <c r="B7639" s="28"/>
      <c r="C7639" s="27"/>
      <c r="D7639" s="27"/>
      <c r="E7639" s="30"/>
    </row>
    <row r="7640">
      <c r="A7640" s="27"/>
      <c r="B7640" s="28"/>
      <c r="C7640" s="27"/>
      <c r="D7640" s="27"/>
      <c r="E7640" s="30"/>
    </row>
    <row r="7641">
      <c r="A7641" s="27"/>
      <c r="B7641" s="28"/>
      <c r="C7641" s="27"/>
      <c r="D7641" s="27"/>
      <c r="E7641" s="30"/>
    </row>
    <row r="7642">
      <c r="A7642" s="27"/>
      <c r="B7642" s="28"/>
      <c r="C7642" s="27"/>
      <c r="D7642" s="27"/>
      <c r="E7642" s="30"/>
    </row>
    <row r="7643">
      <c r="A7643" s="27"/>
      <c r="B7643" s="28"/>
      <c r="C7643" s="27"/>
      <c r="D7643" s="27"/>
      <c r="E7643" s="30"/>
    </row>
    <row r="7644">
      <c r="A7644" s="27"/>
      <c r="B7644" s="28"/>
      <c r="C7644" s="27"/>
      <c r="D7644" s="27"/>
      <c r="E7644" s="30"/>
    </row>
    <row r="7645">
      <c r="A7645" s="27"/>
      <c r="B7645" s="28"/>
      <c r="C7645" s="27"/>
      <c r="D7645" s="27"/>
      <c r="E7645" s="30"/>
    </row>
    <row r="7646">
      <c r="A7646" s="27"/>
      <c r="B7646" s="28"/>
      <c r="C7646" s="27"/>
      <c r="D7646" s="27"/>
      <c r="E7646" s="30"/>
    </row>
    <row r="7647">
      <c r="A7647" s="27"/>
      <c r="B7647" s="28"/>
      <c r="C7647" s="27"/>
      <c r="D7647" s="27"/>
      <c r="E7647" s="30"/>
    </row>
    <row r="7648">
      <c r="A7648" s="27"/>
      <c r="B7648" s="28"/>
      <c r="C7648" s="27"/>
      <c r="D7648" s="27"/>
      <c r="E7648" s="30"/>
    </row>
    <row r="7649">
      <c r="A7649" s="27"/>
      <c r="B7649" s="28"/>
      <c r="C7649" s="27"/>
      <c r="D7649" s="27"/>
      <c r="E7649" s="30"/>
    </row>
    <row r="7650">
      <c r="A7650" s="27"/>
      <c r="B7650" s="28"/>
      <c r="C7650" s="27"/>
      <c r="D7650" s="27"/>
      <c r="E7650" s="30"/>
    </row>
    <row r="7651">
      <c r="A7651" s="27"/>
      <c r="B7651" s="28"/>
      <c r="C7651" s="27"/>
      <c r="D7651" s="27"/>
      <c r="E7651" s="30"/>
    </row>
    <row r="7652">
      <c r="A7652" s="27"/>
      <c r="B7652" s="28"/>
      <c r="C7652" s="27"/>
      <c r="D7652" s="27"/>
      <c r="E7652" s="30"/>
    </row>
    <row r="7653">
      <c r="A7653" s="27"/>
      <c r="B7653" s="28"/>
      <c r="C7653" s="27"/>
      <c r="D7653" s="27"/>
      <c r="E7653" s="30"/>
    </row>
    <row r="7654">
      <c r="A7654" s="27"/>
      <c r="B7654" s="28"/>
      <c r="C7654" s="27"/>
      <c r="D7654" s="27"/>
      <c r="E7654" s="30"/>
    </row>
    <row r="7655">
      <c r="A7655" s="27"/>
      <c r="B7655" s="28"/>
      <c r="C7655" s="27"/>
      <c r="D7655" s="27"/>
      <c r="E7655" s="30"/>
    </row>
    <row r="7656">
      <c r="A7656" s="27"/>
      <c r="B7656" s="28"/>
      <c r="C7656" s="27"/>
      <c r="D7656" s="27"/>
      <c r="E7656" s="30"/>
    </row>
    <row r="7657">
      <c r="A7657" s="27"/>
      <c r="B7657" s="28"/>
      <c r="C7657" s="27"/>
      <c r="D7657" s="27"/>
      <c r="E7657" s="30"/>
    </row>
    <row r="7658">
      <c r="A7658" s="27"/>
      <c r="B7658" s="28"/>
      <c r="C7658" s="27"/>
      <c r="D7658" s="27"/>
      <c r="E7658" s="30"/>
    </row>
    <row r="7659">
      <c r="A7659" s="27"/>
      <c r="B7659" s="28"/>
      <c r="C7659" s="27"/>
      <c r="D7659" s="27"/>
      <c r="E7659" s="30"/>
    </row>
    <row r="7660">
      <c r="A7660" s="27"/>
      <c r="B7660" s="28"/>
      <c r="C7660" s="27"/>
      <c r="D7660" s="27"/>
      <c r="E7660" s="30"/>
    </row>
    <row r="7661">
      <c r="A7661" s="27"/>
      <c r="B7661" s="28"/>
      <c r="C7661" s="27"/>
      <c r="D7661" s="27"/>
      <c r="E7661" s="30"/>
    </row>
    <row r="7662">
      <c r="A7662" s="27"/>
      <c r="B7662" s="28"/>
      <c r="C7662" s="27"/>
      <c r="D7662" s="27"/>
      <c r="E7662" s="30"/>
    </row>
    <row r="7663">
      <c r="A7663" s="27"/>
      <c r="B7663" s="28"/>
      <c r="C7663" s="27"/>
      <c r="D7663" s="27"/>
      <c r="E7663" s="30"/>
    </row>
    <row r="7664">
      <c r="A7664" s="27"/>
      <c r="B7664" s="28"/>
      <c r="C7664" s="27"/>
      <c r="D7664" s="27"/>
      <c r="E7664" s="30"/>
    </row>
    <row r="7665">
      <c r="A7665" s="27"/>
      <c r="B7665" s="28"/>
      <c r="C7665" s="27"/>
      <c r="D7665" s="27"/>
      <c r="E7665" s="30"/>
    </row>
    <row r="7666">
      <c r="A7666" s="27"/>
      <c r="B7666" s="28"/>
      <c r="C7666" s="27"/>
      <c r="D7666" s="27"/>
      <c r="E7666" s="30"/>
    </row>
    <row r="7667">
      <c r="A7667" s="27"/>
      <c r="B7667" s="28"/>
      <c r="C7667" s="27"/>
      <c r="D7667" s="27"/>
      <c r="E7667" s="30"/>
    </row>
    <row r="7668">
      <c r="A7668" s="27"/>
      <c r="B7668" s="28"/>
      <c r="C7668" s="27"/>
      <c r="D7668" s="27"/>
      <c r="E7668" s="30"/>
    </row>
    <row r="7669">
      <c r="A7669" s="27"/>
      <c r="B7669" s="28"/>
      <c r="C7669" s="27"/>
      <c r="D7669" s="27"/>
      <c r="E7669" s="30"/>
    </row>
    <row r="7670">
      <c r="A7670" s="27"/>
      <c r="B7670" s="28"/>
      <c r="C7670" s="27"/>
      <c r="D7670" s="27"/>
      <c r="E7670" s="30"/>
    </row>
    <row r="7671">
      <c r="A7671" s="27"/>
      <c r="B7671" s="28"/>
      <c r="C7671" s="27"/>
      <c r="D7671" s="27"/>
      <c r="E7671" s="30"/>
    </row>
    <row r="7672">
      <c r="A7672" s="27"/>
      <c r="B7672" s="28"/>
      <c r="C7672" s="27"/>
      <c r="D7672" s="27"/>
      <c r="E7672" s="30"/>
    </row>
    <row r="7673">
      <c r="A7673" s="27"/>
      <c r="B7673" s="28"/>
      <c r="C7673" s="27"/>
      <c r="D7673" s="27"/>
      <c r="E7673" s="30"/>
    </row>
    <row r="7674">
      <c r="A7674" s="27"/>
      <c r="B7674" s="28"/>
      <c r="C7674" s="27"/>
      <c r="D7674" s="27"/>
      <c r="E7674" s="30"/>
    </row>
    <row r="7675">
      <c r="A7675" s="27"/>
      <c r="B7675" s="28"/>
      <c r="C7675" s="27"/>
      <c r="D7675" s="27"/>
      <c r="E7675" s="30"/>
    </row>
    <row r="7676">
      <c r="A7676" s="27"/>
      <c r="B7676" s="28"/>
      <c r="C7676" s="27"/>
      <c r="D7676" s="27"/>
      <c r="E7676" s="30"/>
    </row>
    <row r="7677">
      <c r="A7677" s="27"/>
      <c r="B7677" s="28"/>
      <c r="C7677" s="27"/>
      <c r="D7677" s="27"/>
      <c r="E7677" s="30"/>
    </row>
    <row r="7678">
      <c r="A7678" s="27"/>
      <c r="B7678" s="28"/>
      <c r="C7678" s="27"/>
      <c r="D7678" s="27"/>
      <c r="E7678" s="30"/>
    </row>
    <row r="7679">
      <c r="A7679" s="27"/>
      <c r="B7679" s="28"/>
      <c r="C7679" s="27"/>
      <c r="D7679" s="27"/>
      <c r="E7679" s="30"/>
    </row>
    <row r="7680">
      <c r="A7680" s="27"/>
      <c r="B7680" s="28"/>
      <c r="C7680" s="27"/>
      <c r="D7680" s="27"/>
      <c r="E7680" s="30"/>
    </row>
    <row r="7681">
      <c r="A7681" s="27"/>
      <c r="B7681" s="28"/>
      <c r="C7681" s="27"/>
      <c r="D7681" s="27"/>
      <c r="E7681" s="30"/>
    </row>
    <row r="7682">
      <c r="A7682" s="27"/>
      <c r="B7682" s="28"/>
      <c r="C7682" s="27"/>
      <c r="D7682" s="27"/>
      <c r="E7682" s="30"/>
    </row>
    <row r="7683">
      <c r="A7683" s="27"/>
      <c r="B7683" s="28"/>
      <c r="C7683" s="27"/>
      <c r="D7683" s="27"/>
      <c r="E7683" s="30"/>
    </row>
    <row r="7684">
      <c r="A7684" s="27"/>
      <c r="B7684" s="28"/>
      <c r="C7684" s="27"/>
      <c r="D7684" s="27"/>
      <c r="E7684" s="30"/>
    </row>
    <row r="7685">
      <c r="A7685" s="27"/>
      <c r="B7685" s="28"/>
      <c r="C7685" s="27"/>
      <c r="D7685" s="27"/>
      <c r="E7685" s="30"/>
    </row>
    <row r="7686">
      <c r="A7686" s="27"/>
      <c r="B7686" s="28"/>
      <c r="C7686" s="27"/>
      <c r="D7686" s="27"/>
      <c r="E7686" s="30"/>
    </row>
    <row r="7687">
      <c r="A7687" s="27"/>
      <c r="B7687" s="28"/>
      <c r="C7687" s="27"/>
      <c r="D7687" s="27"/>
      <c r="E7687" s="30"/>
    </row>
    <row r="7688">
      <c r="A7688" s="27"/>
      <c r="B7688" s="28"/>
      <c r="C7688" s="27"/>
      <c r="D7688" s="27"/>
      <c r="E7688" s="30"/>
    </row>
    <row r="7689">
      <c r="A7689" s="27"/>
      <c r="B7689" s="28"/>
      <c r="C7689" s="27"/>
      <c r="D7689" s="27"/>
      <c r="E7689" s="30"/>
    </row>
    <row r="7690">
      <c r="A7690" s="27"/>
      <c r="B7690" s="28"/>
      <c r="C7690" s="27"/>
      <c r="D7690" s="27"/>
      <c r="E7690" s="30"/>
    </row>
    <row r="7691">
      <c r="A7691" s="27"/>
      <c r="B7691" s="28"/>
      <c r="C7691" s="27"/>
      <c r="D7691" s="27"/>
      <c r="E7691" s="30"/>
    </row>
    <row r="7692">
      <c r="A7692" s="27"/>
      <c r="B7692" s="28"/>
      <c r="C7692" s="27"/>
      <c r="D7692" s="27"/>
      <c r="E7692" s="30"/>
    </row>
    <row r="7693">
      <c r="A7693" s="27"/>
      <c r="B7693" s="28"/>
      <c r="C7693" s="27"/>
      <c r="D7693" s="27"/>
      <c r="E7693" s="30"/>
    </row>
    <row r="7694">
      <c r="A7694" s="27"/>
      <c r="B7694" s="28"/>
      <c r="C7694" s="27"/>
      <c r="D7694" s="27"/>
      <c r="E7694" s="30"/>
    </row>
    <row r="7695">
      <c r="A7695" s="27"/>
      <c r="B7695" s="28"/>
      <c r="C7695" s="27"/>
      <c r="D7695" s="27"/>
      <c r="E7695" s="30"/>
    </row>
    <row r="7696">
      <c r="A7696" s="27"/>
      <c r="B7696" s="28"/>
      <c r="C7696" s="27"/>
      <c r="D7696" s="27"/>
      <c r="E7696" s="30"/>
    </row>
    <row r="7697">
      <c r="A7697" s="27"/>
      <c r="B7697" s="28"/>
      <c r="C7697" s="27"/>
      <c r="D7697" s="27"/>
      <c r="E7697" s="30"/>
    </row>
    <row r="7698">
      <c r="A7698" s="27"/>
      <c r="B7698" s="28"/>
      <c r="C7698" s="27"/>
      <c r="D7698" s="27"/>
      <c r="E7698" s="30"/>
    </row>
    <row r="7699">
      <c r="A7699" s="27"/>
      <c r="B7699" s="28"/>
      <c r="C7699" s="27"/>
      <c r="D7699" s="27"/>
      <c r="E7699" s="30"/>
    </row>
    <row r="7700">
      <c r="A7700" s="27"/>
      <c r="B7700" s="28"/>
      <c r="C7700" s="27"/>
      <c r="D7700" s="27"/>
      <c r="E7700" s="30"/>
    </row>
    <row r="7701">
      <c r="A7701" s="27"/>
      <c r="B7701" s="28"/>
      <c r="C7701" s="27"/>
      <c r="D7701" s="27"/>
      <c r="E7701" s="30"/>
    </row>
    <row r="7702">
      <c r="A7702" s="27"/>
      <c r="B7702" s="28"/>
      <c r="C7702" s="27"/>
      <c r="D7702" s="27"/>
      <c r="E7702" s="30"/>
    </row>
    <row r="7703">
      <c r="A7703" s="27"/>
      <c r="B7703" s="28"/>
      <c r="C7703" s="27"/>
      <c r="D7703" s="27"/>
      <c r="E7703" s="30"/>
    </row>
    <row r="7704">
      <c r="A7704" s="27"/>
      <c r="B7704" s="28"/>
      <c r="C7704" s="27"/>
      <c r="D7704" s="27"/>
      <c r="E7704" s="30"/>
    </row>
    <row r="7705">
      <c r="A7705" s="27"/>
      <c r="B7705" s="28"/>
      <c r="C7705" s="27"/>
      <c r="D7705" s="27"/>
      <c r="E7705" s="30"/>
    </row>
    <row r="7706">
      <c r="A7706" s="27"/>
      <c r="B7706" s="28"/>
      <c r="C7706" s="27"/>
      <c r="D7706" s="27"/>
      <c r="E7706" s="30"/>
    </row>
    <row r="7707">
      <c r="A7707" s="27"/>
      <c r="B7707" s="28"/>
      <c r="C7707" s="27"/>
      <c r="D7707" s="27"/>
      <c r="E7707" s="30"/>
    </row>
    <row r="7708">
      <c r="A7708" s="27"/>
      <c r="B7708" s="28"/>
      <c r="C7708" s="27"/>
      <c r="D7708" s="27"/>
      <c r="E7708" s="30"/>
    </row>
    <row r="7709">
      <c r="A7709" s="27"/>
      <c r="B7709" s="28"/>
      <c r="C7709" s="27"/>
      <c r="D7709" s="27"/>
      <c r="E7709" s="30"/>
    </row>
    <row r="7710">
      <c r="A7710" s="27"/>
      <c r="B7710" s="28"/>
      <c r="C7710" s="27"/>
      <c r="D7710" s="27"/>
      <c r="E7710" s="30"/>
    </row>
    <row r="7711">
      <c r="A7711" s="27"/>
      <c r="B7711" s="28"/>
      <c r="C7711" s="27"/>
      <c r="D7711" s="27"/>
      <c r="E7711" s="30"/>
    </row>
    <row r="7712">
      <c r="A7712" s="27"/>
      <c r="B7712" s="28"/>
      <c r="C7712" s="27"/>
      <c r="D7712" s="27"/>
      <c r="E7712" s="30"/>
    </row>
    <row r="7713">
      <c r="A7713" s="27"/>
      <c r="B7713" s="28"/>
      <c r="C7713" s="27"/>
      <c r="D7713" s="27"/>
      <c r="E7713" s="30"/>
    </row>
    <row r="7714">
      <c r="A7714" s="27"/>
      <c r="B7714" s="28"/>
      <c r="C7714" s="27"/>
      <c r="D7714" s="27"/>
      <c r="E7714" s="30"/>
    </row>
    <row r="7715">
      <c r="A7715" s="27"/>
      <c r="B7715" s="28"/>
      <c r="C7715" s="27"/>
      <c r="D7715" s="27"/>
      <c r="E7715" s="30"/>
    </row>
    <row r="7716">
      <c r="A7716" s="27"/>
      <c r="B7716" s="28"/>
      <c r="C7716" s="27"/>
      <c r="D7716" s="27"/>
      <c r="E7716" s="30"/>
    </row>
    <row r="7717">
      <c r="A7717" s="27"/>
      <c r="B7717" s="28"/>
      <c r="C7717" s="27"/>
      <c r="D7717" s="27"/>
      <c r="E7717" s="30"/>
    </row>
    <row r="7718">
      <c r="A7718" s="27"/>
      <c r="B7718" s="28"/>
      <c r="C7718" s="27"/>
      <c r="D7718" s="27"/>
      <c r="E7718" s="30"/>
    </row>
    <row r="7719">
      <c r="A7719" s="27"/>
      <c r="B7719" s="28"/>
      <c r="C7719" s="27"/>
      <c r="D7719" s="27"/>
      <c r="E7719" s="30"/>
    </row>
    <row r="7720">
      <c r="A7720" s="27"/>
      <c r="B7720" s="28"/>
      <c r="C7720" s="27"/>
      <c r="D7720" s="27"/>
      <c r="E7720" s="30"/>
    </row>
    <row r="7721">
      <c r="A7721" s="27"/>
      <c r="B7721" s="28"/>
      <c r="C7721" s="27"/>
      <c r="D7721" s="27"/>
      <c r="E7721" s="30"/>
    </row>
    <row r="7722">
      <c r="A7722" s="27"/>
      <c r="B7722" s="28"/>
      <c r="C7722" s="27"/>
      <c r="D7722" s="27"/>
      <c r="E7722" s="30"/>
    </row>
    <row r="7723">
      <c r="A7723" s="27"/>
      <c r="B7723" s="28"/>
      <c r="C7723" s="27"/>
      <c r="D7723" s="27"/>
      <c r="E7723" s="30"/>
    </row>
    <row r="7724">
      <c r="A7724" s="27"/>
      <c r="B7724" s="28"/>
      <c r="C7724" s="27"/>
      <c r="D7724" s="27"/>
      <c r="E7724" s="30"/>
    </row>
    <row r="7725">
      <c r="A7725" s="27"/>
      <c r="B7725" s="28"/>
      <c r="C7725" s="27"/>
      <c r="D7725" s="27"/>
      <c r="E7725" s="30"/>
    </row>
    <row r="7726">
      <c r="A7726" s="27"/>
      <c r="B7726" s="28"/>
      <c r="C7726" s="27"/>
      <c r="D7726" s="27"/>
      <c r="E7726" s="30"/>
    </row>
    <row r="7727">
      <c r="A7727" s="27"/>
      <c r="B7727" s="28"/>
      <c r="C7727" s="27"/>
      <c r="D7727" s="27"/>
      <c r="E7727" s="30"/>
    </row>
    <row r="7728">
      <c r="A7728" s="27"/>
      <c r="B7728" s="28"/>
      <c r="C7728" s="27"/>
      <c r="D7728" s="27"/>
      <c r="E7728" s="30"/>
    </row>
    <row r="7729">
      <c r="A7729" s="27"/>
      <c r="B7729" s="28"/>
      <c r="C7729" s="27"/>
      <c r="D7729" s="27"/>
      <c r="E7729" s="30"/>
    </row>
    <row r="7730">
      <c r="A7730" s="27"/>
      <c r="B7730" s="28"/>
      <c r="C7730" s="27"/>
      <c r="D7730" s="27"/>
      <c r="E7730" s="30"/>
    </row>
    <row r="7731">
      <c r="A7731" s="27"/>
      <c r="B7731" s="28"/>
      <c r="C7731" s="27"/>
      <c r="D7731" s="27"/>
      <c r="E7731" s="30"/>
    </row>
    <row r="7732">
      <c r="A7732" s="27"/>
      <c r="B7732" s="28"/>
      <c r="C7732" s="27"/>
      <c r="D7732" s="27"/>
      <c r="E7732" s="30"/>
    </row>
    <row r="7733">
      <c r="A7733" s="27"/>
      <c r="B7733" s="28"/>
      <c r="C7733" s="27"/>
      <c r="D7733" s="27"/>
      <c r="E7733" s="30"/>
    </row>
    <row r="7734">
      <c r="A7734" s="27"/>
      <c r="B7734" s="28"/>
      <c r="C7734" s="27"/>
      <c r="D7734" s="27"/>
      <c r="E7734" s="30"/>
    </row>
    <row r="7735">
      <c r="A7735" s="27"/>
      <c r="B7735" s="28"/>
      <c r="C7735" s="27"/>
      <c r="D7735" s="27"/>
      <c r="E7735" s="30"/>
    </row>
    <row r="7736">
      <c r="A7736" s="27"/>
      <c r="B7736" s="28"/>
      <c r="C7736" s="27"/>
      <c r="D7736" s="27"/>
      <c r="E7736" s="30"/>
    </row>
    <row r="7737">
      <c r="A7737" s="27"/>
      <c r="B7737" s="28"/>
      <c r="C7737" s="27"/>
      <c r="D7737" s="27"/>
      <c r="E7737" s="30"/>
    </row>
    <row r="7738">
      <c r="A7738" s="27"/>
      <c r="B7738" s="28"/>
      <c r="C7738" s="27"/>
      <c r="D7738" s="27"/>
      <c r="E7738" s="30"/>
    </row>
    <row r="7739">
      <c r="A7739" s="27"/>
      <c r="B7739" s="28"/>
      <c r="C7739" s="27"/>
      <c r="D7739" s="27"/>
      <c r="E7739" s="30"/>
    </row>
    <row r="7740">
      <c r="A7740" s="27"/>
      <c r="B7740" s="28"/>
      <c r="C7740" s="27"/>
      <c r="D7740" s="27"/>
      <c r="E7740" s="30"/>
    </row>
    <row r="7741">
      <c r="A7741" s="27"/>
      <c r="B7741" s="28"/>
      <c r="C7741" s="27"/>
      <c r="D7741" s="27"/>
      <c r="E7741" s="30"/>
    </row>
    <row r="7742">
      <c r="A7742" s="27"/>
      <c r="B7742" s="28"/>
      <c r="C7742" s="27"/>
      <c r="D7742" s="27"/>
      <c r="E7742" s="30"/>
    </row>
    <row r="7743">
      <c r="A7743" s="27"/>
      <c r="B7743" s="28"/>
      <c r="C7743" s="27"/>
      <c r="D7743" s="27"/>
      <c r="E7743" s="30"/>
    </row>
    <row r="7744">
      <c r="A7744" s="27"/>
      <c r="B7744" s="28"/>
      <c r="C7744" s="27"/>
      <c r="D7744" s="27"/>
      <c r="E7744" s="30"/>
    </row>
    <row r="7745">
      <c r="A7745" s="27"/>
      <c r="B7745" s="28"/>
      <c r="C7745" s="27"/>
      <c r="D7745" s="27"/>
      <c r="E7745" s="30"/>
    </row>
    <row r="7746">
      <c r="A7746" s="27"/>
      <c r="B7746" s="28"/>
      <c r="C7746" s="27"/>
      <c r="D7746" s="27"/>
      <c r="E7746" s="30"/>
    </row>
    <row r="7747">
      <c r="A7747" s="27"/>
      <c r="B7747" s="28"/>
      <c r="C7747" s="27"/>
      <c r="D7747" s="27"/>
      <c r="E7747" s="30"/>
    </row>
    <row r="7748">
      <c r="A7748" s="27"/>
      <c r="B7748" s="28"/>
      <c r="C7748" s="27"/>
      <c r="D7748" s="27"/>
      <c r="E7748" s="30"/>
    </row>
    <row r="7749">
      <c r="A7749" s="27"/>
      <c r="B7749" s="28"/>
      <c r="C7749" s="27"/>
      <c r="D7749" s="27"/>
      <c r="E7749" s="30"/>
    </row>
    <row r="7750">
      <c r="A7750" s="27"/>
      <c r="B7750" s="28"/>
      <c r="C7750" s="27"/>
      <c r="D7750" s="27"/>
      <c r="E7750" s="30"/>
    </row>
    <row r="7751">
      <c r="A7751" s="27"/>
      <c r="B7751" s="28"/>
      <c r="C7751" s="27"/>
      <c r="D7751" s="27"/>
      <c r="E7751" s="30"/>
    </row>
    <row r="7752">
      <c r="A7752" s="27"/>
      <c r="B7752" s="28"/>
      <c r="C7752" s="27"/>
      <c r="D7752" s="27"/>
      <c r="E7752" s="30"/>
    </row>
    <row r="7753">
      <c r="A7753" s="27"/>
      <c r="B7753" s="28"/>
      <c r="C7753" s="27"/>
      <c r="D7753" s="27"/>
      <c r="E7753" s="30"/>
    </row>
    <row r="7754">
      <c r="A7754" s="27"/>
      <c r="B7754" s="28"/>
      <c r="C7754" s="27"/>
      <c r="D7754" s="27"/>
      <c r="E7754" s="30"/>
    </row>
    <row r="7755">
      <c r="A7755" s="27"/>
      <c r="B7755" s="28"/>
      <c r="C7755" s="27"/>
      <c r="D7755" s="27"/>
      <c r="E7755" s="30"/>
    </row>
    <row r="7756">
      <c r="A7756" s="27"/>
      <c r="B7756" s="28"/>
      <c r="C7756" s="27"/>
      <c r="D7756" s="27"/>
      <c r="E7756" s="30"/>
    </row>
    <row r="7757">
      <c r="A7757" s="27"/>
      <c r="B7757" s="28"/>
      <c r="C7757" s="27"/>
      <c r="D7757" s="27"/>
      <c r="E7757" s="30"/>
    </row>
    <row r="7758">
      <c r="A7758" s="27"/>
      <c r="B7758" s="28"/>
      <c r="C7758" s="27"/>
      <c r="D7758" s="27"/>
      <c r="E7758" s="30"/>
    </row>
    <row r="7759">
      <c r="A7759" s="27"/>
      <c r="B7759" s="28"/>
      <c r="C7759" s="27"/>
      <c r="D7759" s="27"/>
      <c r="E7759" s="30"/>
    </row>
    <row r="7760">
      <c r="A7760" s="27"/>
      <c r="B7760" s="28"/>
      <c r="C7760" s="27"/>
      <c r="D7760" s="27"/>
      <c r="E7760" s="30"/>
    </row>
    <row r="7761">
      <c r="A7761" s="27"/>
      <c r="B7761" s="28"/>
      <c r="C7761" s="27"/>
      <c r="D7761" s="27"/>
      <c r="E7761" s="30"/>
    </row>
    <row r="7762">
      <c r="A7762" s="27"/>
      <c r="B7762" s="28"/>
      <c r="C7762" s="27"/>
      <c r="D7762" s="27"/>
      <c r="E7762" s="30"/>
    </row>
    <row r="7763">
      <c r="A7763" s="27"/>
      <c r="B7763" s="28"/>
      <c r="C7763" s="27"/>
      <c r="D7763" s="27"/>
      <c r="E7763" s="30"/>
    </row>
    <row r="7764">
      <c r="A7764" s="27"/>
      <c r="B7764" s="28"/>
      <c r="C7764" s="27"/>
      <c r="D7764" s="27"/>
      <c r="E7764" s="30"/>
    </row>
    <row r="7765">
      <c r="A7765" s="27"/>
      <c r="B7765" s="28"/>
      <c r="C7765" s="27"/>
      <c r="D7765" s="27"/>
      <c r="E7765" s="30"/>
    </row>
    <row r="7766">
      <c r="A7766" s="27"/>
      <c r="B7766" s="28"/>
      <c r="C7766" s="27"/>
      <c r="D7766" s="27"/>
      <c r="E7766" s="30"/>
    </row>
    <row r="7767">
      <c r="A7767" s="27"/>
      <c r="B7767" s="28"/>
      <c r="C7767" s="27"/>
      <c r="D7767" s="27"/>
      <c r="E7767" s="30"/>
    </row>
    <row r="7768">
      <c r="A7768" s="27"/>
      <c r="B7768" s="28"/>
      <c r="C7768" s="27"/>
      <c r="D7768" s="27"/>
      <c r="E7768" s="30"/>
    </row>
    <row r="7769">
      <c r="A7769" s="27"/>
      <c r="B7769" s="28"/>
      <c r="C7769" s="27"/>
      <c r="D7769" s="27"/>
      <c r="E7769" s="30"/>
    </row>
    <row r="7770">
      <c r="A7770" s="27"/>
      <c r="B7770" s="28"/>
      <c r="C7770" s="27"/>
      <c r="D7770" s="27"/>
      <c r="E7770" s="30"/>
    </row>
    <row r="7771">
      <c r="A7771" s="27"/>
      <c r="B7771" s="28"/>
      <c r="C7771" s="27"/>
      <c r="D7771" s="27"/>
      <c r="E7771" s="30"/>
    </row>
    <row r="7772">
      <c r="A7772" s="27"/>
      <c r="B7772" s="28"/>
      <c r="C7772" s="27"/>
      <c r="D7772" s="27"/>
      <c r="E7772" s="30"/>
    </row>
    <row r="7773">
      <c r="A7773" s="27"/>
      <c r="B7773" s="28"/>
      <c r="C7773" s="27"/>
      <c r="D7773" s="27"/>
      <c r="E7773" s="30"/>
    </row>
    <row r="7774">
      <c r="A7774" s="27"/>
      <c r="B7774" s="28"/>
      <c r="C7774" s="27"/>
      <c r="D7774" s="27"/>
      <c r="E7774" s="30"/>
    </row>
    <row r="7775">
      <c r="A7775" s="27"/>
      <c r="B7775" s="28"/>
      <c r="C7775" s="27"/>
      <c r="D7775" s="27"/>
      <c r="E7775" s="30"/>
    </row>
    <row r="7776">
      <c r="A7776" s="27"/>
      <c r="B7776" s="28"/>
      <c r="C7776" s="27"/>
      <c r="D7776" s="27"/>
      <c r="E7776" s="30"/>
    </row>
    <row r="7777">
      <c r="A7777" s="27"/>
      <c r="B7777" s="28"/>
      <c r="C7777" s="27"/>
      <c r="D7777" s="27"/>
      <c r="E7777" s="30"/>
    </row>
    <row r="7778">
      <c r="A7778" s="27"/>
      <c r="B7778" s="28"/>
      <c r="C7778" s="27"/>
      <c r="D7778" s="27"/>
      <c r="E7778" s="30"/>
    </row>
    <row r="7779">
      <c r="A7779" s="27"/>
      <c r="B7779" s="28"/>
      <c r="C7779" s="27"/>
      <c r="D7779" s="27"/>
      <c r="E7779" s="30"/>
    </row>
    <row r="7780">
      <c r="A7780" s="27"/>
      <c r="B7780" s="28"/>
      <c r="C7780" s="27"/>
      <c r="D7780" s="27"/>
      <c r="E7780" s="30"/>
    </row>
    <row r="7781">
      <c r="A7781" s="27"/>
      <c r="B7781" s="28"/>
      <c r="C7781" s="27"/>
      <c r="D7781" s="27"/>
      <c r="E7781" s="30"/>
    </row>
    <row r="7782">
      <c r="A7782" s="27"/>
      <c r="B7782" s="28"/>
      <c r="C7782" s="27"/>
      <c r="D7782" s="27"/>
      <c r="E7782" s="30"/>
    </row>
    <row r="7783">
      <c r="A7783" s="27"/>
      <c r="B7783" s="28"/>
      <c r="C7783" s="27"/>
      <c r="D7783" s="27"/>
      <c r="E7783" s="30"/>
    </row>
    <row r="7784">
      <c r="A7784" s="27"/>
      <c r="B7784" s="28"/>
      <c r="C7784" s="27"/>
      <c r="D7784" s="27"/>
      <c r="E7784" s="30"/>
    </row>
    <row r="7785">
      <c r="A7785" s="27"/>
      <c r="B7785" s="28"/>
      <c r="C7785" s="27"/>
      <c r="D7785" s="27"/>
      <c r="E7785" s="30"/>
    </row>
    <row r="7786">
      <c r="A7786" s="27"/>
      <c r="B7786" s="28"/>
      <c r="C7786" s="27"/>
      <c r="D7786" s="27"/>
      <c r="E7786" s="30"/>
    </row>
    <row r="7787">
      <c r="A7787" s="27"/>
      <c r="B7787" s="28"/>
      <c r="C7787" s="27"/>
      <c r="D7787" s="27"/>
      <c r="E7787" s="30"/>
    </row>
    <row r="7788">
      <c r="A7788" s="27"/>
      <c r="B7788" s="28"/>
      <c r="C7788" s="27"/>
      <c r="D7788" s="27"/>
      <c r="E7788" s="30"/>
    </row>
    <row r="7789">
      <c r="A7789" s="27"/>
      <c r="B7789" s="28"/>
      <c r="C7789" s="27"/>
      <c r="D7789" s="27"/>
      <c r="E7789" s="30"/>
    </row>
    <row r="7790">
      <c r="A7790" s="27"/>
      <c r="B7790" s="28"/>
      <c r="C7790" s="27"/>
      <c r="D7790" s="27"/>
      <c r="E7790" s="30"/>
    </row>
    <row r="7791">
      <c r="A7791" s="27"/>
      <c r="B7791" s="28"/>
      <c r="C7791" s="27"/>
      <c r="D7791" s="27"/>
      <c r="E7791" s="30"/>
    </row>
    <row r="7792">
      <c r="A7792" s="27"/>
      <c r="B7792" s="28"/>
      <c r="C7792" s="27"/>
      <c r="D7792" s="27"/>
      <c r="E7792" s="30"/>
    </row>
    <row r="7793">
      <c r="A7793" s="27"/>
      <c r="B7793" s="28"/>
      <c r="C7793" s="27"/>
      <c r="D7793" s="27"/>
      <c r="E7793" s="30"/>
    </row>
    <row r="7794">
      <c r="A7794" s="27"/>
      <c r="B7794" s="28"/>
      <c r="C7794" s="27"/>
      <c r="D7794" s="27"/>
      <c r="E7794" s="30"/>
    </row>
    <row r="7795">
      <c r="A7795" s="27"/>
      <c r="B7795" s="28"/>
      <c r="C7795" s="27"/>
      <c r="D7795" s="27"/>
      <c r="E7795" s="30"/>
    </row>
    <row r="7796">
      <c r="A7796" s="27"/>
      <c r="B7796" s="28"/>
      <c r="C7796" s="27"/>
      <c r="D7796" s="27"/>
      <c r="E7796" s="30"/>
    </row>
    <row r="7797">
      <c r="A7797" s="27"/>
      <c r="B7797" s="28"/>
      <c r="C7797" s="27"/>
      <c r="D7797" s="27"/>
      <c r="E7797" s="30"/>
    </row>
    <row r="7798">
      <c r="A7798" s="27"/>
      <c r="B7798" s="28"/>
      <c r="C7798" s="27"/>
      <c r="D7798" s="27"/>
      <c r="E7798" s="30"/>
    </row>
    <row r="7799">
      <c r="A7799" s="27"/>
      <c r="B7799" s="28"/>
      <c r="C7799" s="27"/>
      <c r="D7799" s="27"/>
      <c r="E7799" s="30"/>
    </row>
    <row r="7800">
      <c r="A7800" s="27"/>
      <c r="B7800" s="28"/>
      <c r="C7800" s="27"/>
      <c r="D7800" s="27"/>
      <c r="E7800" s="30"/>
    </row>
    <row r="7801">
      <c r="A7801" s="27"/>
      <c r="B7801" s="28"/>
      <c r="C7801" s="27"/>
      <c r="D7801" s="27"/>
      <c r="E7801" s="30"/>
    </row>
    <row r="7802">
      <c r="A7802" s="27"/>
      <c r="B7802" s="28"/>
      <c r="C7802" s="27"/>
      <c r="D7802" s="27"/>
      <c r="E7802" s="30"/>
    </row>
    <row r="7803">
      <c r="A7803" s="27"/>
      <c r="B7803" s="28"/>
      <c r="C7803" s="27"/>
      <c r="D7803" s="27"/>
      <c r="E7803" s="30"/>
    </row>
    <row r="7804">
      <c r="A7804" s="27"/>
      <c r="B7804" s="28"/>
      <c r="C7804" s="27"/>
      <c r="D7804" s="27"/>
      <c r="E7804" s="30"/>
    </row>
    <row r="7805">
      <c r="A7805" s="27"/>
      <c r="B7805" s="28"/>
      <c r="C7805" s="27"/>
      <c r="D7805" s="27"/>
      <c r="E7805" s="30"/>
    </row>
    <row r="7806">
      <c r="A7806" s="27"/>
      <c r="B7806" s="28"/>
      <c r="C7806" s="27"/>
      <c r="D7806" s="27"/>
      <c r="E7806" s="30"/>
    </row>
    <row r="7807">
      <c r="A7807" s="27"/>
      <c r="B7807" s="28"/>
      <c r="C7807" s="27"/>
      <c r="D7807" s="27"/>
      <c r="E7807" s="30"/>
    </row>
    <row r="7808">
      <c r="A7808" s="27"/>
      <c r="B7808" s="28"/>
      <c r="C7808" s="27"/>
      <c r="D7808" s="27"/>
      <c r="E7808" s="30"/>
    </row>
    <row r="7809">
      <c r="A7809" s="27"/>
      <c r="B7809" s="28"/>
      <c r="C7809" s="27"/>
      <c r="D7809" s="27"/>
      <c r="E7809" s="30"/>
    </row>
    <row r="7810">
      <c r="A7810" s="27"/>
      <c r="B7810" s="28"/>
      <c r="C7810" s="27"/>
      <c r="D7810" s="27"/>
      <c r="E7810" s="30"/>
    </row>
    <row r="7811">
      <c r="A7811" s="27"/>
      <c r="B7811" s="28"/>
      <c r="C7811" s="27"/>
      <c r="D7811" s="27"/>
      <c r="E7811" s="30"/>
    </row>
    <row r="7812">
      <c r="A7812" s="27"/>
      <c r="B7812" s="28"/>
      <c r="C7812" s="27"/>
      <c r="D7812" s="27"/>
      <c r="E7812" s="30"/>
    </row>
    <row r="7813">
      <c r="A7813" s="27"/>
      <c r="B7813" s="28"/>
      <c r="C7813" s="27"/>
      <c r="D7813" s="27"/>
      <c r="E7813" s="30"/>
    </row>
    <row r="7814">
      <c r="A7814" s="27"/>
      <c r="B7814" s="28"/>
      <c r="C7814" s="27"/>
      <c r="D7814" s="27"/>
      <c r="E7814" s="30"/>
    </row>
    <row r="7815">
      <c r="A7815" s="27"/>
      <c r="B7815" s="28"/>
      <c r="C7815" s="27"/>
      <c r="D7815" s="27"/>
      <c r="E7815" s="30"/>
    </row>
    <row r="7816">
      <c r="A7816" s="27"/>
      <c r="B7816" s="28"/>
      <c r="C7816" s="27"/>
      <c r="D7816" s="27"/>
      <c r="E7816" s="30"/>
    </row>
    <row r="7817">
      <c r="A7817" s="27"/>
      <c r="B7817" s="28"/>
      <c r="C7817" s="27"/>
      <c r="D7817" s="27"/>
      <c r="E7817" s="30"/>
    </row>
    <row r="7818">
      <c r="A7818" s="27"/>
      <c r="B7818" s="28"/>
      <c r="C7818" s="27"/>
      <c r="D7818" s="27"/>
      <c r="E7818" s="30"/>
    </row>
    <row r="7819">
      <c r="A7819" s="27"/>
      <c r="B7819" s="28"/>
      <c r="C7819" s="27"/>
      <c r="D7819" s="27"/>
      <c r="E7819" s="30"/>
    </row>
    <row r="7820">
      <c r="A7820" s="27"/>
      <c r="B7820" s="28"/>
      <c r="C7820" s="27"/>
      <c r="D7820" s="27"/>
      <c r="E7820" s="30"/>
    </row>
    <row r="7821">
      <c r="A7821" s="27"/>
      <c r="B7821" s="28"/>
      <c r="C7821" s="27"/>
      <c r="D7821" s="27"/>
      <c r="E7821" s="30"/>
    </row>
    <row r="7822">
      <c r="A7822" s="27"/>
      <c r="B7822" s="28"/>
      <c r="C7822" s="27"/>
      <c r="D7822" s="27"/>
      <c r="E7822" s="30"/>
    </row>
    <row r="7823">
      <c r="A7823" s="27"/>
      <c r="B7823" s="28"/>
      <c r="C7823" s="27"/>
      <c r="D7823" s="27"/>
      <c r="E7823" s="30"/>
    </row>
    <row r="7824">
      <c r="A7824" s="27"/>
      <c r="B7824" s="28"/>
      <c r="C7824" s="27"/>
      <c r="D7824" s="27"/>
      <c r="E7824" s="30"/>
    </row>
    <row r="7825">
      <c r="A7825" s="27"/>
      <c r="B7825" s="28"/>
      <c r="C7825" s="27"/>
      <c r="D7825" s="27"/>
      <c r="E7825" s="30"/>
    </row>
    <row r="7826">
      <c r="A7826" s="27"/>
      <c r="B7826" s="28"/>
      <c r="C7826" s="27"/>
      <c r="D7826" s="27"/>
      <c r="E7826" s="30"/>
    </row>
    <row r="7827">
      <c r="A7827" s="27"/>
      <c r="B7827" s="28"/>
      <c r="C7827" s="27"/>
      <c r="D7827" s="27"/>
      <c r="E7827" s="30"/>
    </row>
    <row r="7828">
      <c r="A7828" s="27"/>
      <c r="B7828" s="28"/>
      <c r="C7828" s="27"/>
      <c r="D7828" s="27"/>
      <c r="E7828" s="30"/>
    </row>
    <row r="7829">
      <c r="A7829" s="27"/>
      <c r="B7829" s="28"/>
      <c r="C7829" s="27"/>
      <c r="D7829" s="27"/>
      <c r="E7829" s="30"/>
    </row>
    <row r="7830">
      <c r="A7830" s="27"/>
      <c r="B7830" s="28"/>
      <c r="C7830" s="27"/>
      <c r="D7830" s="27"/>
      <c r="E7830" s="30"/>
    </row>
    <row r="7831">
      <c r="A7831" s="27"/>
      <c r="B7831" s="28"/>
      <c r="C7831" s="27"/>
      <c r="D7831" s="27"/>
      <c r="E7831" s="30"/>
    </row>
    <row r="7832">
      <c r="A7832" s="27"/>
      <c r="B7832" s="28"/>
      <c r="C7832" s="27"/>
      <c r="D7832" s="27"/>
      <c r="E7832" s="30"/>
    </row>
    <row r="7833">
      <c r="A7833" s="27"/>
      <c r="B7833" s="28"/>
      <c r="C7833" s="27"/>
      <c r="D7833" s="27"/>
      <c r="E7833" s="30"/>
    </row>
    <row r="7834">
      <c r="A7834" s="27"/>
      <c r="B7834" s="28"/>
      <c r="C7834" s="27"/>
      <c r="D7834" s="27"/>
      <c r="E7834" s="30"/>
    </row>
    <row r="7835">
      <c r="A7835" s="27"/>
      <c r="B7835" s="28"/>
      <c r="C7835" s="27"/>
      <c r="D7835" s="27"/>
      <c r="E7835" s="30"/>
    </row>
    <row r="7836">
      <c r="A7836" s="27"/>
      <c r="B7836" s="28"/>
      <c r="C7836" s="27"/>
      <c r="D7836" s="27"/>
      <c r="E7836" s="30"/>
    </row>
    <row r="7837">
      <c r="A7837" s="27"/>
      <c r="B7837" s="28"/>
      <c r="C7837" s="27"/>
      <c r="D7837" s="27"/>
      <c r="E7837" s="30"/>
    </row>
    <row r="7838">
      <c r="A7838" s="27"/>
      <c r="B7838" s="28"/>
      <c r="C7838" s="27"/>
      <c r="D7838" s="27"/>
      <c r="E7838" s="30"/>
    </row>
    <row r="7839">
      <c r="A7839" s="27"/>
      <c r="B7839" s="28"/>
      <c r="C7839" s="27"/>
      <c r="D7839" s="27"/>
      <c r="E7839" s="30"/>
    </row>
    <row r="7840">
      <c r="A7840" s="27"/>
      <c r="B7840" s="28"/>
      <c r="C7840" s="27"/>
      <c r="D7840" s="27"/>
      <c r="E7840" s="30"/>
    </row>
    <row r="7841">
      <c r="A7841" s="27"/>
      <c r="B7841" s="28"/>
      <c r="C7841" s="27"/>
      <c r="D7841" s="27"/>
      <c r="E7841" s="30"/>
    </row>
    <row r="7842">
      <c r="A7842" s="27"/>
      <c r="B7842" s="28"/>
      <c r="C7842" s="27"/>
      <c r="D7842" s="27"/>
      <c r="E7842" s="30"/>
    </row>
    <row r="7843">
      <c r="A7843" s="27"/>
      <c r="B7843" s="28"/>
      <c r="C7843" s="27"/>
      <c r="D7843" s="27"/>
      <c r="E7843" s="30"/>
    </row>
    <row r="7844">
      <c r="A7844" s="27"/>
      <c r="B7844" s="28"/>
      <c r="C7844" s="27"/>
      <c r="D7844" s="27"/>
      <c r="E7844" s="30"/>
    </row>
    <row r="7845">
      <c r="A7845" s="27"/>
      <c r="B7845" s="28"/>
      <c r="C7845" s="27"/>
      <c r="D7845" s="27"/>
      <c r="E7845" s="30"/>
    </row>
    <row r="7846">
      <c r="A7846" s="27"/>
      <c r="B7846" s="28"/>
      <c r="C7846" s="27"/>
      <c r="D7846" s="27"/>
      <c r="E7846" s="30"/>
    </row>
    <row r="7847">
      <c r="A7847" s="27"/>
      <c r="B7847" s="28"/>
      <c r="C7847" s="27"/>
      <c r="D7847" s="27"/>
      <c r="E7847" s="30"/>
    </row>
    <row r="7848">
      <c r="A7848" s="27"/>
      <c r="B7848" s="28"/>
      <c r="C7848" s="27"/>
      <c r="D7848" s="27"/>
      <c r="E7848" s="30"/>
    </row>
    <row r="7849">
      <c r="A7849" s="27"/>
      <c r="B7849" s="28"/>
      <c r="C7849" s="27"/>
      <c r="D7849" s="27"/>
      <c r="E7849" s="30"/>
    </row>
    <row r="7850">
      <c r="A7850" s="27"/>
      <c r="B7850" s="28"/>
      <c r="C7850" s="27"/>
      <c r="D7850" s="27"/>
      <c r="E7850" s="30"/>
    </row>
    <row r="7851">
      <c r="A7851" s="27"/>
      <c r="B7851" s="28"/>
      <c r="C7851" s="27"/>
      <c r="D7851" s="27"/>
      <c r="E7851" s="30"/>
    </row>
    <row r="7852">
      <c r="A7852" s="27"/>
      <c r="B7852" s="28"/>
      <c r="C7852" s="27"/>
      <c r="D7852" s="27"/>
      <c r="E7852" s="30"/>
    </row>
    <row r="7853">
      <c r="A7853" s="27"/>
      <c r="B7853" s="28"/>
      <c r="C7853" s="27"/>
      <c r="D7853" s="27"/>
      <c r="E7853" s="30"/>
    </row>
    <row r="7854">
      <c r="A7854" s="27"/>
      <c r="B7854" s="28"/>
      <c r="C7854" s="27"/>
      <c r="D7854" s="27"/>
      <c r="E7854" s="30"/>
    </row>
    <row r="7855">
      <c r="A7855" s="27"/>
      <c r="B7855" s="28"/>
      <c r="C7855" s="27"/>
      <c r="D7855" s="27"/>
      <c r="E7855" s="30"/>
    </row>
    <row r="7856">
      <c r="A7856" s="27"/>
      <c r="B7856" s="28"/>
      <c r="C7856" s="27"/>
      <c r="D7856" s="27"/>
      <c r="E7856" s="30"/>
    </row>
    <row r="7857">
      <c r="A7857" s="27"/>
      <c r="B7857" s="28"/>
      <c r="C7857" s="27"/>
      <c r="D7857" s="27"/>
      <c r="E7857" s="30"/>
    </row>
    <row r="7858">
      <c r="A7858" s="27"/>
      <c r="B7858" s="28"/>
      <c r="C7858" s="27"/>
      <c r="D7858" s="27"/>
      <c r="E7858" s="30"/>
    </row>
    <row r="7859">
      <c r="A7859" s="27"/>
      <c r="B7859" s="28"/>
      <c r="C7859" s="27"/>
      <c r="D7859" s="27"/>
      <c r="E7859" s="30"/>
    </row>
    <row r="7860">
      <c r="A7860" s="27"/>
      <c r="B7860" s="28"/>
      <c r="C7860" s="27"/>
      <c r="D7860" s="27"/>
      <c r="E7860" s="30"/>
    </row>
    <row r="7861">
      <c r="A7861" s="27"/>
      <c r="B7861" s="28"/>
      <c r="C7861" s="27"/>
      <c r="D7861" s="27"/>
      <c r="E7861" s="30"/>
    </row>
    <row r="7862">
      <c r="A7862" s="27"/>
      <c r="B7862" s="28"/>
      <c r="C7862" s="27"/>
      <c r="D7862" s="27"/>
      <c r="E7862" s="30"/>
    </row>
    <row r="7863">
      <c r="A7863" s="27"/>
      <c r="B7863" s="28"/>
      <c r="C7863" s="27"/>
      <c r="D7863" s="27"/>
      <c r="E7863" s="30"/>
    </row>
    <row r="7864">
      <c r="A7864" s="27"/>
      <c r="B7864" s="28"/>
      <c r="C7864" s="27"/>
      <c r="D7864" s="27"/>
      <c r="E7864" s="30"/>
    </row>
    <row r="7865">
      <c r="A7865" s="27"/>
      <c r="B7865" s="28"/>
      <c r="C7865" s="27"/>
      <c r="D7865" s="27"/>
      <c r="E7865" s="30"/>
    </row>
    <row r="7866">
      <c r="A7866" s="27"/>
      <c r="B7866" s="28"/>
      <c r="C7866" s="27"/>
      <c r="D7866" s="27"/>
      <c r="E7866" s="30"/>
    </row>
    <row r="7867">
      <c r="A7867" s="27"/>
      <c r="B7867" s="28"/>
      <c r="C7867" s="27"/>
      <c r="D7867" s="27"/>
      <c r="E7867" s="30"/>
    </row>
    <row r="7868">
      <c r="A7868" s="27"/>
      <c r="B7868" s="28"/>
      <c r="C7868" s="27"/>
      <c r="D7868" s="27"/>
      <c r="E7868" s="30"/>
    </row>
    <row r="7869">
      <c r="A7869" s="27"/>
      <c r="B7869" s="28"/>
      <c r="C7869" s="27"/>
      <c r="D7869" s="27"/>
      <c r="E7869" s="30"/>
    </row>
    <row r="7870">
      <c r="A7870" s="27"/>
      <c r="B7870" s="28"/>
      <c r="C7870" s="27"/>
      <c r="D7870" s="27"/>
      <c r="E7870" s="30"/>
    </row>
    <row r="7871">
      <c r="A7871" s="27"/>
      <c r="B7871" s="28"/>
      <c r="C7871" s="27"/>
      <c r="D7871" s="27"/>
      <c r="E7871" s="30"/>
    </row>
    <row r="7872">
      <c r="A7872" s="27"/>
      <c r="B7872" s="28"/>
      <c r="C7872" s="27"/>
      <c r="D7872" s="27"/>
      <c r="E7872" s="30"/>
    </row>
    <row r="7873">
      <c r="A7873" s="27"/>
      <c r="B7873" s="28"/>
      <c r="C7873" s="27"/>
      <c r="D7873" s="27"/>
      <c r="E7873" s="30"/>
    </row>
    <row r="7874">
      <c r="A7874" s="27"/>
      <c r="B7874" s="28"/>
      <c r="C7874" s="27"/>
      <c r="D7874" s="27"/>
      <c r="E7874" s="30"/>
    </row>
    <row r="7875">
      <c r="A7875" s="27"/>
      <c r="B7875" s="28"/>
      <c r="C7875" s="27"/>
      <c r="D7875" s="27"/>
      <c r="E7875" s="30"/>
    </row>
    <row r="7876">
      <c r="A7876" s="27"/>
      <c r="B7876" s="28"/>
      <c r="C7876" s="27"/>
      <c r="D7876" s="27"/>
      <c r="E7876" s="30"/>
    </row>
    <row r="7877">
      <c r="A7877" s="27"/>
      <c r="B7877" s="28"/>
      <c r="C7877" s="27"/>
      <c r="D7877" s="27"/>
      <c r="E7877" s="30"/>
    </row>
    <row r="7878">
      <c r="A7878" s="27"/>
      <c r="B7878" s="28"/>
      <c r="C7878" s="27"/>
      <c r="D7878" s="27"/>
      <c r="E7878" s="30"/>
    </row>
    <row r="7879">
      <c r="A7879" s="27"/>
      <c r="B7879" s="28"/>
      <c r="C7879" s="27"/>
      <c r="D7879" s="27"/>
      <c r="E7879" s="30"/>
    </row>
    <row r="7880">
      <c r="A7880" s="27"/>
      <c r="B7880" s="28"/>
      <c r="C7880" s="27"/>
      <c r="D7880" s="27"/>
      <c r="E7880" s="30"/>
    </row>
    <row r="7881">
      <c r="A7881" s="27"/>
      <c r="B7881" s="28"/>
      <c r="C7881" s="27"/>
      <c r="D7881" s="27"/>
      <c r="E7881" s="30"/>
    </row>
    <row r="7882">
      <c r="A7882" s="27"/>
      <c r="B7882" s="28"/>
      <c r="C7882" s="27"/>
      <c r="D7882" s="27"/>
      <c r="E7882" s="30"/>
    </row>
    <row r="7883">
      <c r="A7883" s="27"/>
      <c r="B7883" s="28"/>
      <c r="C7883" s="27"/>
      <c r="D7883" s="27"/>
      <c r="E7883" s="30"/>
    </row>
    <row r="7884">
      <c r="A7884" s="27"/>
      <c r="B7884" s="28"/>
      <c r="C7884" s="27"/>
      <c r="D7884" s="27"/>
      <c r="E7884" s="30"/>
    </row>
    <row r="7885">
      <c r="A7885" s="27"/>
      <c r="B7885" s="28"/>
      <c r="C7885" s="27"/>
      <c r="D7885" s="27"/>
      <c r="E7885" s="30"/>
    </row>
    <row r="7886">
      <c r="A7886" s="27"/>
      <c r="B7886" s="28"/>
      <c r="C7886" s="27"/>
      <c r="D7886" s="27"/>
      <c r="E7886" s="30"/>
    </row>
    <row r="7887">
      <c r="A7887" s="27"/>
      <c r="B7887" s="28"/>
      <c r="C7887" s="27"/>
      <c r="D7887" s="27"/>
      <c r="E7887" s="30"/>
    </row>
    <row r="7888">
      <c r="A7888" s="27"/>
      <c r="B7888" s="28"/>
      <c r="C7888" s="27"/>
      <c r="D7888" s="27"/>
      <c r="E7888" s="30"/>
    </row>
    <row r="7889">
      <c r="A7889" s="27"/>
      <c r="B7889" s="28"/>
      <c r="C7889" s="27"/>
      <c r="D7889" s="27"/>
      <c r="E7889" s="30"/>
    </row>
    <row r="7890">
      <c r="A7890" s="27"/>
      <c r="B7890" s="28"/>
      <c r="C7890" s="27"/>
      <c r="D7890" s="27"/>
      <c r="E7890" s="30"/>
    </row>
    <row r="7891">
      <c r="A7891" s="27"/>
      <c r="B7891" s="28"/>
      <c r="C7891" s="27"/>
      <c r="D7891" s="27"/>
      <c r="E7891" s="30"/>
    </row>
    <row r="7892">
      <c r="A7892" s="27"/>
      <c r="B7892" s="28"/>
      <c r="C7892" s="27"/>
      <c r="D7892" s="27"/>
      <c r="E7892" s="30"/>
    </row>
    <row r="7893">
      <c r="A7893" s="27"/>
      <c r="B7893" s="28"/>
      <c r="C7893" s="27"/>
      <c r="D7893" s="27"/>
      <c r="E7893" s="30"/>
    </row>
    <row r="7894">
      <c r="A7894" s="27"/>
      <c r="B7894" s="28"/>
      <c r="C7894" s="27"/>
      <c r="D7894" s="27"/>
      <c r="E7894" s="30"/>
    </row>
    <row r="7895">
      <c r="A7895" s="27"/>
      <c r="B7895" s="28"/>
      <c r="C7895" s="27"/>
      <c r="D7895" s="27"/>
      <c r="E7895" s="30"/>
    </row>
    <row r="7896">
      <c r="A7896" s="27"/>
      <c r="B7896" s="28"/>
      <c r="C7896" s="27"/>
      <c r="D7896" s="27"/>
      <c r="E7896" s="30"/>
    </row>
    <row r="7897">
      <c r="A7897" s="27"/>
      <c r="B7897" s="28"/>
      <c r="C7897" s="27"/>
      <c r="D7897" s="27"/>
      <c r="E7897" s="30"/>
    </row>
    <row r="7898">
      <c r="A7898" s="27"/>
      <c r="B7898" s="28"/>
      <c r="C7898" s="27"/>
      <c r="D7898" s="27"/>
      <c r="E7898" s="30"/>
    </row>
    <row r="7899">
      <c r="A7899" s="27"/>
      <c r="B7899" s="28"/>
      <c r="C7899" s="27"/>
      <c r="D7899" s="27"/>
      <c r="E7899" s="30"/>
    </row>
    <row r="7900">
      <c r="A7900" s="27"/>
      <c r="B7900" s="28"/>
      <c r="C7900" s="27"/>
      <c r="D7900" s="27"/>
      <c r="E7900" s="30"/>
    </row>
    <row r="7901">
      <c r="A7901" s="27"/>
      <c r="B7901" s="28"/>
      <c r="C7901" s="27"/>
      <c r="D7901" s="27"/>
      <c r="E7901" s="30"/>
    </row>
    <row r="7902">
      <c r="A7902" s="27"/>
      <c r="B7902" s="28"/>
      <c r="C7902" s="27"/>
      <c r="D7902" s="27"/>
      <c r="E7902" s="30"/>
    </row>
    <row r="7903">
      <c r="A7903" s="27"/>
      <c r="B7903" s="28"/>
      <c r="C7903" s="27"/>
      <c r="D7903" s="27"/>
      <c r="E7903" s="30"/>
    </row>
    <row r="7904">
      <c r="A7904" s="27"/>
      <c r="B7904" s="28"/>
      <c r="C7904" s="27"/>
      <c r="D7904" s="27"/>
      <c r="E7904" s="30"/>
    </row>
    <row r="7905">
      <c r="A7905" s="27"/>
      <c r="B7905" s="28"/>
      <c r="C7905" s="27"/>
      <c r="D7905" s="27"/>
      <c r="E7905" s="30"/>
    </row>
    <row r="7906">
      <c r="A7906" s="27"/>
      <c r="B7906" s="28"/>
      <c r="C7906" s="27"/>
      <c r="D7906" s="27"/>
      <c r="E7906" s="30"/>
    </row>
    <row r="7907">
      <c r="A7907" s="27"/>
      <c r="B7907" s="28"/>
      <c r="C7907" s="27"/>
      <c r="D7907" s="27"/>
      <c r="E7907" s="30"/>
    </row>
    <row r="7908">
      <c r="A7908" s="27"/>
      <c r="B7908" s="28"/>
      <c r="C7908" s="27"/>
      <c r="D7908" s="27"/>
      <c r="E7908" s="30"/>
    </row>
    <row r="7909">
      <c r="A7909" s="27"/>
      <c r="B7909" s="28"/>
      <c r="C7909" s="27"/>
      <c r="D7909" s="27"/>
      <c r="E7909" s="30"/>
    </row>
    <row r="7910">
      <c r="A7910" s="27"/>
      <c r="B7910" s="28"/>
      <c r="C7910" s="27"/>
      <c r="D7910" s="27"/>
      <c r="E7910" s="30"/>
    </row>
    <row r="7911">
      <c r="A7911" s="27"/>
      <c r="B7911" s="28"/>
      <c r="C7911" s="27"/>
      <c r="D7911" s="27"/>
      <c r="E7911" s="30"/>
    </row>
    <row r="7912">
      <c r="A7912" s="27"/>
      <c r="B7912" s="28"/>
      <c r="C7912" s="27"/>
      <c r="D7912" s="27"/>
      <c r="E7912" s="30"/>
    </row>
    <row r="7913">
      <c r="A7913" s="27"/>
      <c r="B7913" s="28"/>
      <c r="C7913" s="27"/>
      <c r="D7913" s="27"/>
      <c r="E7913" s="30"/>
    </row>
    <row r="7914">
      <c r="A7914" s="27"/>
      <c r="B7914" s="28"/>
      <c r="C7914" s="27"/>
      <c r="D7914" s="27"/>
      <c r="E7914" s="30"/>
    </row>
    <row r="7915">
      <c r="A7915" s="27"/>
      <c r="B7915" s="28"/>
      <c r="C7915" s="27"/>
      <c r="D7915" s="27"/>
      <c r="E7915" s="30"/>
    </row>
    <row r="7916">
      <c r="A7916" s="27"/>
      <c r="B7916" s="28"/>
      <c r="C7916" s="27"/>
      <c r="D7916" s="27"/>
      <c r="E7916" s="30"/>
    </row>
    <row r="7917">
      <c r="A7917" s="27"/>
      <c r="B7917" s="28"/>
      <c r="C7917" s="27"/>
      <c r="D7917" s="27"/>
      <c r="E7917" s="30"/>
    </row>
    <row r="7918">
      <c r="A7918" s="27"/>
      <c r="B7918" s="28"/>
      <c r="C7918" s="27"/>
      <c r="D7918" s="27"/>
      <c r="E7918" s="30"/>
    </row>
    <row r="7919">
      <c r="A7919" s="27"/>
      <c r="B7919" s="28"/>
      <c r="C7919" s="27"/>
      <c r="D7919" s="27"/>
      <c r="E7919" s="30"/>
    </row>
    <row r="7920">
      <c r="A7920" s="27"/>
      <c r="B7920" s="28"/>
      <c r="C7920" s="27"/>
      <c r="D7920" s="27"/>
      <c r="E7920" s="30"/>
    </row>
    <row r="7921">
      <c r="A7921" s="27"/>
      <c r="B7921" s="28"/>
      <c r="C7921" s="27"/>
      <c r="D7921" s="27"/>
      <c r="E7921" s="30"/>
    </row>
    <row r="7922">
      <c r="A7922" s="27"/>
      <c r="B7922" s="28"/>
      <c r="C7922" s="27"/>
      <c r="D7922" s="27"/>
      <c r="E7922" s="30"/>
    </row>
    <row r="7923">
      <c r="A7923" s="27"/>
      <c r="B7923" s="28"/>
      <c r="C7923" s="27"/>
      <c r="D7923" s="27"/>
      <c r="E7923" s="30"/>
    </row>
    <row r="7924">
      <c r="A7924" s="27"/>
      <c r="B7924" s="28"/>
      <c r="C7924" s="27"/>
      <c r="D7924" s="27"/>
      <c r="E7924" s="30"/>
    </row>
    <row r="7925">
      <c r="A7925" s="27"/>
      <c r="B7925" s="28"/>
      <c r="C7925" s="27"/>
      <c r="D7925" s="27"/>
      <c r="E7925" s="30"/>
    </row>
    <row r="7926">
      <c r="A7926" s="27"/>
      <c r="B7926" s="28"/>
      <c r="C7926" s="27"/>
      <c r="D7926" s="27"/>
      <c r="E7926" s="30"/>
    </row>
    <row r="7927">
      <c r="A7927" s="27"/>
      <c r="B7927" s="28"/>
      <c r="C7927" s="27"/>
      <c r="D7927" s="27"/>
      <c r="E7927" s="30"/>
    </row>
    <row r="7928">
      <c r="A7928" s="27"/>
      <c r="B7928" s="28"/>
      <c r="C7928" s="27"/>
      <c r="D7928" s="27"/>
      <c r="E7928" s="30"/>
    </row>
    <row r="7929">
      <c r="A7929" s="27"/>
      <c r="B7929" s="28"/>
      <c r="C7929" s="27"/>
      <c r="D7929" s="27"/>
      <c r="E7929" s="30"/>
    </row>
    <row r="7930">
      <c r="A7930" s="27"/>
      <c r="B7930" s="28"/>
      <c r="C7930" s="27"/>
      <c r="D7930" s="27"/>
      <c r="E7930" s="30"/>
    </row>
    <row r="7931">
      <c r="A7931" s="27"/>
      <c r="B7931" s="28"/>
      <c r="C7931" s="27"/>
      <c r="D7931" s="27"/>
      <c r="E7931" s="30"/>
    </row>
    <row r="7932">
      <c r="A7932" s="27"/>
      <c r="B7932" s="28"/>
      <c r="C7932" s="27"/>
      <c r="D7932" s="27"/>
      <c r="E7932" s="30"/>
    </row>
    <row r="7933">
      <c r="A7933" s="27"/>
      <c r="B7933" s="28"/>
      <c r="C7933" s="27"/>
      <c r="D7933" s="27"/>
      <c r="E7933" s="30"/>
    </row>
    <row r="7934">
      <c r="A7934" s="27"/>
      <c r="B7934" s="28"/>
      <c r="C7934" s="27"/>
      <c r="D7934" s="27"/>
      <c r="E7934" s="30"/>
    </row>
    <row r="7935">
      <c r="A7935" s="27"/>
      <c r="B7935" s="28"/>
      <c r="C7935" s="27"/>
      <c r="D7935" s="27"/>
      <c r="E7935" s="30"/>
    </row>
    <row r="7936">
      <c r="A7936" s="27"/>
      <c r="B7936" s="28"/>
      <c r="C7936" s="27"/>
      <c r="D7936" s="27"/>
      <c r="E7936" s="30"/>
    </row>
    <row r="7937">
      <c r="A7937" s="27"/>
      <c r="B7937" s="28"/>
      <c r="C7937" s="27"/>
      <c r="D7937" s="27"/>
      <c r="E7937" s="30"/>
    </row>
    <row r="7938">
      <c r="A7938" s="27"/>
      <c r="B7938" s="28"/>
      <c r="C7938" s="27"/>
      <c r="D7938" s="27"/>
      <c r="E7938" s="30"/>
    </row>
    <row r="7939">
      <c r="A7939" s="27"/>
      <c r="B7939" s="28"/>
      <c r="C7939" s="27"/>
      <c r="D7939" s="27"/>
      <c r="E7939" s="30"/>
    </row>
    <row r="7940">
      <c r="A7940" s="27"/>
      <c r="B7940" s="28"/>
      <c r="C7940" s="27"/>
      <c r="D7940" s="27"/>
      <c r="E7940" s="30"/>
    </row>
    <row r="7941">
      <c r="A7941" s="27"/>
      <c r="B7941" s="28"/>
      <c r="C7941" s="27"/>
      <c r="D7941" s="27"/>
      <c r="E7941" s="30"/>
    </row>
    <row r="7942">
      <c r="A7942" s="27"/>
      <c r="B7942" s="28"/>
      <c r="C7942" s="27"/>
      <c r="D7942" s="27"/>
      <c r="E7942" s="30"/>
    </row>
    <row r="7943">
      <c r="A7943" s="27"/>
      <c r="B7943" s="28"/>
      <c r="C7943" s="27"/>
      <c r="D7943" s="27"/>
      <c r="E7943" s="30"/>
    </row>
    <row r="7944">
      <c r="A7944" s="27"/>
      <c r="B7944" s="28"/>
      <c r="C7944" s="27"/>
      <c r="D7944" s="27"/>
      <c r="E7944" s="30"/>
    </row>
    <row r="7945">
      <c r="A7945" s="27"/>
      <c r="B7945" s="28"/>
      <c r="C7945" s="27"/>
      <c r="D7945" s="27"/>
      <c r="E7945" s="30"/>
    </row>
    <row r="7946">
      <c r="A7946" s="27"/>
      <c r="B7946" s="28"/>
      <c r="C7946" s="27"/>
      <c r="D7946" s="27"/>
      <c r="E7946" s="30"/>
    </row>
    <row r="7947">
      <c r="A7947" s="27"/>
      <c r="B7947" s="28"/>
      <c r="C7947" s="27"/>
      <c r="D7947" s="27"/>
      <c r="E7947" s="30"/>
    </row>
    <row r="7948">
      <c r="A7948" s="27"/>
      <c r="B7948" s="28"/>
      <c r="C7948" s="27"/>
      <c r="D7948" s="27"/>
      <c r="E7948" s="30"/>
    </row>
    <row r="7949">
      <c r="A7949" s="27"/>
      <c r="B7949" s="28"/>
      <c r="C7949" s="27"/>
      <c r="D7949" s="27"/>
      <c r="E7949" s="30"/>
    </row>
    <row r="7950">
      <c r="A7950" s="27"/>
      <c r="B7950" s="28"/>
      <c r="C7950" s="27"/>
      <c r="D7950" s="27"/>
      <c r="E7950" s="30"/>
    </row>
    <row r="7951">
      <c r="A7951" s="27"/>
      <c r="B7951" s="28"/>
      <c r="C7951" s="27"/>
      <c r="D7951" s="27"/>
      <c r="E7951" s="30"/>
    </row>
    <row r="7952">
      <c r="A7952" s="27"/>
      <c r="B7952" s="28"/>
      <c r="C7952" s="27"/>
      <c r="D7952" s="27"/>
      <c r="E7952" s="30"/>
    </row>
    <row r="7953">
      <c r="A7953" s="27"/>
      <c r="B7953" s="28"/>
      <c r="C7953" s="27"/>
      <c r="D7953" s="27"/>
      <c r="E7953" s="30"/>
    </row>
    <row r="7954">
      <c r="A7954" s="27"/>
      <c r="B7954" s="28"/>
      <c r="C7954" s="27"/>
      <c r="D7954" s="27"/>
      <c r="E7954" s="30"/>
    </row>
    <row r="7955">
      <c r="A7955" s="27"/>
      <c r="B7955" s="28"/>
      <c r="C7955" s="27"/>
      <c r="D7955" s="27"/>
      <c r="E7955" s="30"/>
    </row>
    <row r="7956">
      <c r="A7956" s="27"/>
      <c r="B7956" s="28"/>
      <c r="C7956" s="27"/>
      <c r="D7956" s="27"/>
      <c r="E7956" s="30"/>
    </row>
    <row r="7957">
      <c r="A7957" s="27"/>
      <c r="B7957" s="28"/>
      <c r="C7957" s="27"/>
      <c r="D7957" s="27"/>
      <c r="E7957" s="30"/>
    </row>
    <row r="7958">
      <c r="A7958" s="27"/>
      <c r="B7958" s="28"/>
      <c r="C7958" s="27"/>
      <c r="D7958" s="27"/>
      <c r="E7958" s="30"/>
    </row>
    <row r="7959">
      <c r="A7959" s="27"/>
      <c r="B7959" s="28"/>
      <c r="C7959" s="27"/>
      <c r="D7959" s="27"/>
      <c r="E7959" s="30"/>
    </row>
    <row r="7960">
      <c r="A7960" s="27"/>
      <c r="B7960" s="28"/>
      <c r="C7960" s="27"/>
      <c r="D7960" s="27"/>
      <c r="E7960" s="30"/>
    </row>
    <row r="7961">
      <c r="A7961" s="27"/>
      <c r="B7961" s="28"/>
      <c r="C7961" s="27"/>
      <c r="D7961" s="27"/>
      <c r="E7961" s="30"/>
    </row>
    <row r="7962">
      <c r="A7962" s="27"/>
      <c r="B7962" s="28"/>
      <c r="C7962" s="27"/>
      <c r="D7962" s="27"/>
      <c r="E7962" s="30"/>
    </row>
    <row r="7963">
      <c r="A7963" s="27"/>
      <c r="B7963" s="28"/>
      <c r="C7963" s="27"/>
      <c r="D7963" s="27"/>
      <c r="E7963" s="30"/>
    </row>
    <row r="7964">
      <c r="A7964" s="27"/>
      <c r="B7964" s="28"/>
      <c r="C7964" s="27"/>
      <c r="D7964" s="27"/>
      <c r="E7964" s="30"/>
    </row>
    <row r="7965">
      <c r="A7965" s="27"/>
      <c r="B7965" s="28"/>
      <c r="C7965" s="27"/>
      <c r="D7965" s="27"/>
      <c r="E7965" s="30"/>
    </row>
    <row r="7966">
      <c r="A7966" s="27"/>
      <c r="B7966" s="28"/>
      <c r="C7966" s="27"/>
      <c r="D7966" s="27"/>
      <c r="E7966" s="30"/>
    </row>
    <row r="7967">
      <c r="A7967" s="27"/>
      <c r="B7967" s="28"/>
      <c r="C7967" s="27"/>
      <c r="D7967" s="27"/>
      <c r="E7967" s="30"/>
    </row>
    <row r="7968">
      <c r="A7968" s="27"/>
      <c r="B7968" s="28"/>
      <c r="C7968" s="27"/>
      <c r="D7968" s="27"/>
      <c r="E7968" s="30"/>
    </row>
    <row r="7969">
      <c r="A7969" s="27"/>
      <c r="B7969" s="28"/>
      <c r="C7969" s="27"/>
      <c r="D7969" s="27"/>
      <c r="E7969" s="30"/>
    </row>
    <row r="7970">
      <c r="A7970" s="27"/>
      <c r="B7970" s="28"/>
      <c r="C7970" s="27"/>
      <c r="D7970" s="27"/>
      <c r="E7970" s="30"/>
    </row>
    <row r="7971">
      <c r="A7971" s="27"/>
      <c r="B7971" s="28"/>
      <c r="C7971" s="27"/>
      <c r="D7971" s="27"/>
      <c r="E7971" s="30"/>
    </row>
    <row r="7972">
      <c r="A7972" s="27"/>
      <c r="B7972" s="28"/>
      <c r="C7972" s="27"/>
      <c r="D7972" s="27"/>
      <c r="E7972" s="30"/>
    </row>
    <row r="7973">
      <c r="A7973" s="27"/>
      <c r="B7973" s="28"/>
      <c r="C7973" s="27"/>
      <c r="D7973" s="27"/>
      <c r="E7973" s="30"/>
    </row>
    <row r="7974">
      <c r="A7974" s="27"/>
      <c r="B7974" s="28"/>
      <c r="C7974" s="27"/>
      <c r="D7974" s="27"/>
      <c r="E7974" s="30"/>
    </row>
    <row r="7975">
      <c r="A7975" s="27"/>
      <c r="B7975" s="28"/>
      <c r="C7975" s="27"/>
      <c r="D7975" s="27"/>
      <c r="E7975" s="30"/>
    </row>
    <row r="7976">
      <c r="A7976" s="27"/>
      <c r="B7976" s="28"/>
      <c r="C7976" s="27"/>
      <c r="D7976" s="27"/>
      <c r="E7976" s="30"/>
    </row>
    <row r="7977">
      <c r="A7977" s="27"/>
      <c r="B7977" s="28"/>
      <c r="C7977" s="27"/>
      <c r="D7977" s="27"/>
      <c r="E7977" s="30"/>
    </row>
    <row r="7978">
      <c r="A7978" s="27"/>
      <c r="B7978" s="28"/>
      <c r="C7978" s="27"/>
      <c r="D7978" s="27"/>
      <c r="E7978" s="30"/>
    </row>
    <row r="7979">
      <c r="A7979" s="27"/>
      <c r="B7979" s="28"/>
      <c r="C7979" s="27"/>
      <c r="D7979" s="27"/>
      <c r="E7979" s="30"/>
    </row>
    <row r="7980">
      <c r="A7980" s="27"/>
      <c r="B7980" s="28"/>
      <c r="C7980" s="27"/>
      <c r="D7980" s="27"/>
      <c r="E7980" s="30"/>
    </row>
    <row r="7981">
      <c r="A7981" s="27"/>
      <c r="B7981" s="28"/>
      <c r="C7981" s="27"/>
      <c r="D7981" s="27"/>
      <c r="E7981" s="30"/>
    </row>
    <row r="7982">
      <c r="A7982" s="27"/>
      <c r="B7982" s="28"/>
      <c r="C7982" s="27"/>
      <c r="D7982" s="27"/>
      <c r="E7982" s="30"/>
    </row>
    <row r="7983">
      <c r="A7983" s="27"/>
      <c r="B7983" s="28"/>
      <c r="C7983" s="27"/>
      <c r="D7983" s="27"/>
      <c r="E7983" s="30"/>
    </row>
    <row r="7984">
      <c r="A7984" s="27"/>
      <c r="B7984" s="28"/>
      <c r="C7984" s="27"/>
      <c r="D7984" s="27"/>
      <c r="E7984" s="30"/>
    </row>
    <row r="7985">
      <c r="A7985" s="27"/>
      <c r="B7985" s="28"/>
      <c r="C7985" s="27"/>
      <c r="D7985" s="27"/>
      <c r="E7985" s="30"/>
    </row>
    <row r="7986">
      <c r="A7986" s="27"/>
      <c r="B7986" s="28"/>
      <c r="C7986" s="27"/>
      <c r="D7986" s="27"/>
      <c r="E7986" s="30"/>
    </row>
    <row r="7987">
      <c r="A7987" s="27"/>
      <c r="B7987" s="28"/>
      <c r="C7987" s="27"/>
      <c r="D7987" s="27"/>
      <c r="E7987" s="30"/>
    </row>
    <row r="7988">
      <c r="A7988" s="27"/>
      <c r="B7988" s="28"/>
      <c r="C7988" s="27"/>
      <c r="D7988" s="27"/>
      <c r="E7988" s="30"/>
    </row>
    <row r="7989">
      <c r="A7989" s="27"/>
      <c r="B7989" s="28"/>
      <c r="C7989" s="27"/>
      <c r="D7989" s="27"/>
      <c r="E7989" s="30"/>
    </row>
    <row r="7990">
      <c r="A7990" s="27"/>
      <c r="B7990" s="28"/>
      <c r="C7990" s="27"/>
      <c r="D7990" s="27"/>
      <c r="E7990" s="30"/>
    </row>
    <row r="7991">
      <c r="A7991" s="27"/>
      <c r="B7991" s="28"/>
      <c r="C7991" s="27"/>
      <c r="D7991" s="27"/>
      <c r="E7991" s="30"/>
    </row>
    <row r="7992">
      <c r="A7992" s="27"/>
      <c r="B7992" s="28"/>
      <c r="C7992" s="27"/>
      <c r="D7992" s="27"/>
      <c r="E7992" s="30"/>
    </row>
    <row r="7993">
      <c r="A7993" s="27"/>
      <c r="B7993" s="28"/>
      <c r="C7993" s="27"/>
      <c r="D7993" s="27"/>
      <c r="E7993" s="30"/>
    </row>
    <row r="7994">
      <c r="A7994" s="27"/>
      <c r="B7994" s="28"/>
      <c r="C7994" s="27"/>
      <c r="D7994" s="27"/>
      <c r="E7994" s="30"/>
    </row>
    <row r="7995">
      <c r="A7995" s="27"/>
      <c r="B7995" s="28"/>
      <c r="C7995" s="27"/>
      <c r="D7995" s="27"/>
      <c r="E7995" s="30"/>
    </row>
    <row r="7996">
      <c r="A7996" s="27"/>
      <c r="B7996" s="28"/>
      <c r="C7996" s="27"/>
      <c r="D7996" s="27"/>
      <c r="E7996" s="30"/>
    </row>
    <row r="7997">
      <c r="A7997" s="27"/>
      <c r="B7997" s="28"/>
      <c r="C7997" s="27"/>
      <c r="D7997" s="27"/>
      <c r="E7997" s="30"/>
    </row>
    <row r="7998">
      <c r="A7998" s="27"/>
      <c r="B7998" s="28"/>
      <c r="C7998" s="27"/>
      <c r="D7998" s="27"/>
      <c r="E7998" s="30"/>
    </row>
    <row r="7999">
      <c r="A7999" s="27"/>
      <c r="B7999" s="28"/>
      <c r="C7999" s="27"/>
      <c r="D7999" s="27"/>
      <c r="E7999" s="30"/>
    </row>
    <row r="8000">
      <c r="A8000" s="27"/>
      <c r="B8000" s="28"/>
      <c r="C8000" s="27"/>
      <c r="D8000" s="27"/>
      <c r="E8000" s="30"/>
    </row>
    <row r="8001">
      <c r="A8001" s="27"/>
      <c r="B8001" s="28"/>
      <c r="C8001" s="27"/>
      <c r="D8001" s="27"/>
      <c r="E8001" s="30"/>
    </row>
    <row r="8002">
      <c r="A8002" s="27"/>
      <c r="B8002" s="28"/>
      <c r="C8002" s="27"/>
      <c r="D8002" s="27"/>
      <c r="E8002" s="30"/>
    </row>
    <row r="8003">
      <c r="A8003" s="27"/>
      <c r="B8003" s="28"/>
      <c r="C8003" s="27"/>
      <c r="D8003" s="27"/>
      <c r="E8003" s="30"/>
    </row>
    <row r="8004">
      <c r="A8004" s="27"/>
      <c r="B8004" s="28"/>
      <c r="C8004" s="27"/>
      <c r="D8004" s="27"/>
      <c r="E8004" s="30"/>
    </row>
    <row r="8005">
      <c r="A8005" s="27"/>
      <c r="B8005" s="28"/>
      <c r="C8005" s="27"/>
      <c r="D8005" s="27"/>
      <c r="E8005" s="30"/>
    </row>
    <row r="8006">
      <c r="A8006" s="27"/>
      <c r="B8006" s="28"/>
      <c r="C8006" s="27"/>
      <c r="D8006" s="27"/>
      <c r="E8006" s="30"/>
    </row>
    <row r="8007">
      <c r="A8007" s="27"/>
      <c r="B8007" s="28"/>
      <c r="C8007" s="27"/>
      <c r="D8007" s="27"/>
      <c r="E8007" s="30"/>
    </row>
    <row r="8008">
      <c r="A8008" s="27"/>
      <c r="B8008" s="28"/>
      <c r="C8008" s="27"/>
      <c r="D8008" s="27"/>
      <c r="E8008" s="30"/>
    </row>
    <row r="8009">
      <c r="A8009" s="27"/>
      <c r="B8009" s="28"/>
      <c r="C8009" s="27"/>
      <c r="D8009" s="27"/>
      <c r="E8009" s="30"/>
    </row>
    <row r="8010">
      <c r="A8010" s="27"/>
      <c r="B8010" s="28"/>
      <c r="C8010" s="27"/>
      <c r="D8010" s="27"/>
      <c r="E8010" s="30"/>
    </row>
    <row r="8011">
      <c r="A8011" s="27"/>
      <c r="B8011" s="28"/>
      <c r="C8011" s="27"/>
      <c r="D8011" s="27"/>
      <c r="E8011" s="30"/>
    </row>
    <row r="8012">
      <c r="A8012" s="27"/>
      <c r="B8012" s="28"/>
      <c r="C8012" s="27"/>
      <c r="D8012" s="27"/>
      <c r="E8012" s="30"/>
    </row>
    <row r="8013">
      <c r="A8013" s="27"/>
      <c r="B8013" s="28"/>
      <c r="C8013" s="27"/>
      <c r="D8013" s="27"/>
      <c r="E8013" s="30"/>
    </row>
    <row r="8014">
      <c r="A8014" s="27"/>
      <c r="B8014" s="28"/>
      <c r="C8014" s="27"/>
      <c r="D8014" s="27"/>
      <c r="E8014" s="30"/>
    </row>
    <row r="8015">
      <c r="A8015" s="27"/>
      <c r="B8015" s="28"/>
      <c r="C8015" s="27"/>
      <c r="D8015" s="27"/>
      <c r="E8015" s="30"/>
    </row>
    <row r="8016">
      <c r="A8016" s="27"/>
      <c r="B8016" s="28"/>
      <c r="C8016" s="27"/>
      <c r="D8016" s="27"/>
      <c r="E8016" s="30"/>
    </row>
    <row r="8017">
      <c r="A8017" s="27"/>
      <c r="B8017" s="28"/>
      <c r="C8017" s="27"/>
      <c r="D8017" s="27"/>
      <c r="E8017" s="30"/>
    </row>
    <row r="8018">
      <c r="A8018" s="27"/>
      <c r="B8018" s="28"/>
      <c r="C8018" s="27"/>
      <c r="D8018" s="27"/>
      <c r="E8018" s="30"/>
    </row>
    <row r="8019">
      <c r="A8019" s="27"/>
      <c r="B8019" s="28"/>
      <c r="C8019" s="27"/>
      <c r="D8019" s="27"/>
      <c r="E8019" s="30"/>
    </row>
    <row r="8020">
      <c r="A8020" s="27"/>
      <c r="B8020" s="28"/>
      <c r="C8020" s="27"/>
      <c r="D8020" s="27"/>
      <c r="E8020" s="30"/>
    </row>
    <row r="8021">
      <c r="A8021" s="27"/>
      <c r="B8021" s="28"/>
      <c r="C8021" s="27"/>
      <c r="D8021" s="27"/>
      <c r="E8021" s="30"/>
    </row>
    <row r="8022">
      <c r="A8022" s="27"/>
      <c r="B8022" s="28"/>
      <c r="C8022" s="27"/>
      <c r="D8022" s="27"/>
      <c r="E8022" s="30"/>
    </row>
    <row r="8023">
      <c r="A8023" s="27"/>
      <c r="B8023" s="28"/>
      <c r="C8023" s="27"/>
      <c r="D8023" s="27"/>
      <c r="E8023" s="30"/>
    </row>
    <row r="8024">
      <c r="A8024" s="27"/>
      <c r="B8024" s="28"/>
      <c r="C8024" s="27"/>
      <c r="D8024" s="27"/>
      <c r="E8024" s="30"/>
    </row>
    <row r="8025">
      <c r="A8025" s="27"/>
      <c r="B8025" s="28"/>
      <c r="C8025" s="27"/>
      <c r="D8025" s="27"/>
      <c r="E8025" s="30"/>
    </row>
    <row r="8026">
      <c r="A8026" s="27"/>
      <c r="B8026" s="28"/>
      <c r="C8026" s="27"/>
      <c r="D8026" s="27"/>
      <c r="E8026" s="30"/>
    </row>
    <row r="8027">
      <c r="A8027" s="27"/>
      <c r="B8027" s="28"/>
      <c r="C8027" s="27"/>
      <c r="D8027" s="27"/>
      <c r="E8027" s="30"/>
    </row>
    <row r="8028">
      <c r="A8028" s="27"/>
      <c r="B8028" s="28"/>
      <c r="C8028" s="27"/>
      <c r="D8028" s="27"/>
      <c r="E8028" s="30"/>
    </row>
    <row r="8029">
      <c r="A8029" s="27"/>
      <c r="B8029" s="28"/>
      <c r="C8029" s="27"/>
      <c r="D8029" s="27"/>
      <c r="E8029" s="30"/>
    </row>
    <row r="8030">
      <c r="A8030" s="27"/>
      <c r="B8030" s="28"/>
      <c r="C8030" s="27"/>
      <c r="D8030" s="27"/>
      <c r="E8030" s="30"/>
    </row>
    <row r="8031">
      <c r="A8031" s="27"/>
      <c r="B8031" s="28"/>
      <c r="C8031" s="27"/>
      <c r="D8031" s="27"/>
      <c r="E8031" s="30"/>
    </row>
    <row r="8032">
      <c r="A8032" s="27"/>
      <c r="B8032" s="28"/>
      <c r="C8032" s="27"/>
      <c r="D8032" s="27"/>
      <c r="E8032" s="30"/>
    </row>
    <row r="8033">
      <c r="A8033" s="27"/>
      <c r="B8033" s="28"/>
      <c r="C8033" s="27"/>
      <c r="D8033" s="27"/>
      <c r="E8033" s="30"/>
    </row>
    <row r="8034">
      <c r="A8034" s="27"/>
      <c r="B8034" s="28"/>
      <c r="C8034" s="27"/>
      <c r="D8034" s="27"/>
      <c r="E8034" s="30"/>
    </row>
    <row r="8035">
      <c r="A8035" s="27"/>
      <c r="B8035" s="28"/>
      <c r="C8035" s="27"/>
      <c r="D8035" s="27"/>
      <c r="E8035" s="30"/>
    </row>
    <row r="8036">
      <c r="A8036" s="27"/>
      <c r="B8036" s="28"/>
      <c r="C8036" s="27"/>
      <c r="D8036" s="27"/>
      <c r="E8036" s="30"/>
    </row>
    <row r="8037">
      <c r="A8037" s="27"/>
      <c r="B8037" s="28"/>
      <c r="C8037" s="27"/>
      <c r="D8037" s="27"/>
      <c r="E8037" s="30"/>
    </row>
    <row r="8038">
      <c r="A8038" s="27"/>
      <c r="B8038" s="28"/>
      <c r="C8038" s="27"/>
      <c r="D8038" s="27"/>
      <c r="E8038" s="30"/>
    </row>
    <row r="8039">
      <c r="A8039" s="27"/>
      <c r="B8039" s="28"/>
      <c r="C8039" s="27"/>
      <c r="D8039" s="27"/>
      <c r="E8039" s="30"/>
    </row>
    <row r="8040">
      <c r="A8040" s="27"/>
      <c r="B8040" s="28"/>
      <c r="C8040" s="27"/>
      <c r="D8040" s="27"/>
      <c r="E8040" s="30"/>
    </row>
    <row r="8041">
      <c r="A8041" s="27"/>
      <c r="B8041" s="28"/>
      <c r="C8041" s="27"/>
      <c r="D8041" s="27"/>
      <c r="E8041" s="30"/>
    </row>
    <row r="8042">
      <c r="A8042" s="27"/>
      <c r="B8042" s="28"/>
      <c r="C8042" s="27"/>
      <c r="D8042" s="27"/>
      <c r="E8042" s="30"/>
    </row>
    <row r="8043">
      <c r="A8043" s="27"/>
      <c r="B8043" s="28"/>
      <c r="C8043" s="27"/>
      <c r="D8043" s="27"/>
      <c r="E8043" s="30"/>
    </row>
    <row r="8044">
      <c r="A8044" s="27"/>
      <c r="B8044" s="28"/>
      <c r="C8044" s="27"/>
      <c r="D8044" s="27"/>
      <c r="E8044" s="30"/>
    </row>
    <row r="8045">
      <c r="A8045" s="27"/>
      <c r="B8045" s="28"/>
      <c r="C8045" s="27"/>
      <c r="D8045" s="27"/>
      <c r="E8045" s="30"/>
    </row>
    <row r="8046">
      <c r="A8046" s="27"/>
      <c r="B8046" s="28"/>
      <c r="C8046" s="27"/>
      <c r="D8046" s="27"/>
      <c r="E8046" s="30"/>
    </row>
    <row r="8047">
      <c r="A8047" s="27"/>
      <c r="B8047" s="28"/>
      <c r="C8047" s="27"/>
      <c r="D8047" s="27"/>
      <c r="E8047" s="30"/>
    </row>
    <row r="8048">
      <c r="A8048" s="27"/>
      <c r="B8048" s="28"/>
      <c r="C8048" s="27"/>
      <c r="D8048" s="27"/>
      <c r="E8048" s="30"/>
    </row>
    <row r="8049">
      <c r="A8049" s="27"/>
      <c r="B8049" s="28"/>
      <c r="C8049" s="27"/>
      <c r="D8049" s="27"/>
      <c r="E8049" s="30"/>
    </row>
    <row r="8050">
      <c r="A8050" s="27"/>
      <c r="B8050" s="28"/>
      <c r="C8050" s="27"/>
      <c r="D8050" s="27"/>
      <c r="E8050" s="30"/>
    </row>
    <row r="8051">
      <c r="A8051" s="27"/>
      <c r="B8051" s="28"/>
      <c r="C8051" s="27"/>
      <c r="D8051" s="27"/>
      <c r="E8051" s="30"/>
    </row>
    <row r="8052">
      <c r="A8052" s="27"/>
      <c r="B8052" s="28"/>
      <c r="C8052" s="27"/>
      <c r="D8052" s="27"/>
      <c r="E8052" s="30"/>
    </row>
    <row r="8053">
      <c r="A8053" s="27"/>
      <c r="B8053" s="28"/>
      <c r="C8053" s="27"/>
      <c r="D8053" s="27"/>
      <c r="E8053" s="30"/>
    </row>
    <row r="8054">
      <c r="A8054" s="27"/>
      <c r="B8054" s="28"/>
      <c r="C8054" s="27"/>
      <c r="D8054" s="27"/>
      <c r="E8054" s="30"/>
    </row>
    <row r="8055">
      <c r="A8055" s="27"/>
      <c r="B8055" s="28"/>
      <c r="C8055" s="27"/>
      <c r="D8055" s="27"/>
      <c r="E8055" s="30"/>
    </row>
    <row r="8056">
      <c r="A8056" s="27"/>
      <c r="B8056" s="28"/>
      <c r="C8056" s="27"/>
      <c r="D8056" s="27"/>
      <c r="E8056" s="30"/>
    </row>
    <row r="8057">
      <c r="A8057" s="27"/>
      <c r="B8057" s="28"/>
      <c r="C8057" s="27"/>
      <c r="D8057" s="27"/>
      <c r="E8057" s="30"/>
    </row>
    <row r="8058">
      <c r="A8058" s="27"/>
      <c r="B8058" s="28"/>
      <c r="C8058" s="27"/>
      <c r="D8058" s="27"/>
      <c r="E8058" s="30"/>
    </row>
    <row r="8059">
      <c r="A8059" s="27"/>
      <c r="B8059" s="28"/>
      <c r="C8059" s="27"/>
      <c r="D8059" s="27"/>
      <c r="E8059" s="30"/>
    </row>
    <row r="8060">
      <c r="A8060" s="27"/>
      <c r="B8060" s="28"/>
      <c r="C8060" s="27"/>
      <c r="D8060" s="27"/>
      <c r="E8060" s="30"/>
    </row>
    <row r="8061">
      <c r="A8061" s="27"/>
      <c r="B8061" s="28"/>
      <c r="C8061" s="27"/>
      <c r="D8061" s="27"/>
      <c r="E8061" s="30"/>
    </row>
    <row r="8062">
      <c r="A8062" s="27"/>
      <c r="B8062" s="28"/>
      <c r="C8062" s="27"/>
      <c r="D8062" s="27"/>
      <c r="E8062" s="30"/>
    </row>
    <row r="8063">
      <c r="A8063" s="27"/>
      <c r="B8063" s="28"/>
      <c r="C8063" s="27"/>
      <c r="D8063" s="27"/>
      <c r="E8063" s="30"/>
    </row>
    <row r="8064">
      <c r="A8064" s="27"/>
      <c r="B8064" s="28"/>
      <c r="C8064" s="27"/>
      <c r="D8064" s="27"/>
      <c r="E8064" s="30"/>
    </row>
    <row r="8065">
      <c r="A8065" s="27"/>
      <c r="B8065" s="28"/>
      <c r="C8065" s="27"/>
      <c r="D8065" s="27"/>
      <c r="E8065" s="30"/>
    </row>
    <row r="8066">
      <c r="A8066" s="27"/>
      <c r="B8066" s="28"/>
      <c r="C8066" s="27"/>
      <c r="D8066" s="27"/>
      <c r="E8066" s="30"/>
    </row>
    <row r="8067">
      <c r="A8067" s="27"/>
      <c r="B8067" s="28"/>
      <c r="C8067" s="27"/>
      <c r="D8067" s="27"/>
      <c r="E8067" s="30"/>
    </row>
    <row r="8068">
      <c r="A8068" s="27"/>
      <c r="B8068" s="28"/>
      <c r="C8068" s="27"/>
      <c r="D8068" s="27"/>
      <c r="E8068" s="30"/>
    </row>
    <row r="8069">
      <c r="A8069" s="27"/>
      <c r="B8069" s="28"/>
      <c r="C8069" s="27"/>
      <c r="D8069" s="27"/>
      <c r="E8069" s="30"/>
    </row>
    <row r="8070">
      <c r="A8070" s="27"/>
      <c r="B8070" s="28"/>
      <c r="C8070" s="27"/>
      <c r="D8070" s="27"/>
      <c r="E8070" s="30"/>
    </row>
    <row r="8071">
      <c r="A8071" s="27"/>
      <c r="B8071" s="28"/>
      <c r="C8071" s="27"/>
      <c r="D8071" s="27"/>
      <c r="E8071" s="30"/>
    </row>
    <row r="8072">
      <c r="A8072" s="27"/>
      <c r="B8072" s="28"/>
      <c r="C8072" s="27"/>
      <c r="D8072" s="27"/>
      <c r="E8072" s="30"/>
    </row>
    <row r="8073">
      <c r="A8073" s="27"/>
      <c r="B8073" s="28"/>
      <c r="C8073" s="27"/>
      <c r="D8073" s="27"/>
      <c r="E8073" s="30"/>
    </row>
    <row r="8074">
      <c r="A8074" s="27"/>
      <c r="B8074" s="28"/>
      <c r="C8074" s="27"/>
      <c r="D8074" s="27"/>
      <c r="E8074" s="30"/>
    </row>
    <row r="8075">
      <c r="A8075" s="27"/>
      <c r="B8075" s="28"/>
      <c r="C8075" s="27"/>
      <c r="D8075" s="27"/>
      <c r="E8075" s="30"/>
    </row>
    <row r="8076">
      <c r="A8076" s="27"/>
      <c r="B8076" s="28"/>
      <c r="C8076" s="27"/>
      <c r="D8076" s="27"/>
      <c r="E8076" s="30"/>
    </row>
    <row r="8077">
      <c r="A8077" s="27"/>
      <c r="B8077" s="28"/>
      <c r="C8077" s="27"/>
      <c r="D8077" s="27"/>
      <c r="E8077" s="30"/>
    </row>
    <row r="8078">
      <c r="A8078" s="27"/>
      <c r="B8078" s="28"/>
      <c r="C8078" s="27"/>
      <c r="D8078" s="27"/>
      <c r="E8078" s="30"/>
    </row>
    <row r="8079">
      <c r="A8079" s="27"/>
      <c r="B8079" s="28"/>
      <c r="C8079" s="27"/>
      <c r="D8079" s="27"/>
      <c r="E8079" s="30"/>
    </row>
    <row r="8080">
      <c r="A8080" s="27"/>
      <c r="B8080" s="28"/>
      <c r="C8080" s="27"/>
      <c r="D8080" s="27"/>
      <c r="E8080" s="30"/>
    </row>
    <row r="8081">
      <c r="A8081" s="27"/>
      <c r="B8081" s="28"/>
      <c r="C8081" s="27"/>
      <c r="D8081" s="27"/>
      <c r="E8081" s="30"/>
    </row>
    <row r="8082">
      <c r="A8082" s="27"/>
      <c r="B8082" s="28"/>
      <c r="C8082" s="27"/>
      <c r="D8082" s="27"/>
      <c r="E8082" s="30"/>
    </row>
    <row r="8083">
      <c r="A8083" s="27"/>
      <c r="B8083" s="28"/>
      <c r="C8083" s="27"/>
      <c r="D8083" s="27"/>
      <c r="E8083" s="30"/>
    </row>
    <row r="8084">
      <c r="A8084" s="27"/>
      <c r="B8084" s="28"/>
      <c r="C8084" s="27"/>
      <c r="D8084" s="27"/>
      <c r="E8084" s="30"/>
    </row>
    <row r="8085">
      <c r="A8085" s="27"/>
      <c r="B8085" s="28"/>
      <c r="C8085" s="27"/>
      <c r="D8085" s="27"/>
      <c r="E8085" s="30"/>
    </row>
    <row r="8086">
      <c r="A8086" s="27"/>
      <c r="B8086" s="28"/>
      <c r="C8086" s="27"/>
      <c r="D8086" s="27"/>
      <c r="E8086" s="30"/>
    </row>
    <row r="8087">
      <c r="A8087" s="27"/>
      <c r="B8087" s="28"/>
      <c r="C8087" s="27"/>
      <c r="D8087" s="27"/>
      <c r="E8087" s="30"/>
    </row>
    <row r="8088">
      <c r="A8088" s="27"/>
      <c r="B8088" s="28"/>
      <c r="C8088" s="27"/>
      <c r="D8088" s="27"/>
      <c r="E8088" s="30"/>
    </row>
    <row r="8089">
      <c r="A8089" s="27"/>
      <c r="B8089" s="28"/>
      <c r="C8089" s="27"/>
      <c r="D8089" s="27"/>
      <c r="E8089" s="30"/>
    </row>
    <row r="8090">
      <c r="A8090" s="27"/>
      <c r="B8090" s="28"/>
      <c r="C8090" s="27"/>
      <c r="D8090" s="27"/>
      <c r="E8090" s="30"/>
    </row>
    <row r="8091">
      <c r="A8091" s="27"/>
      <c r="B8091" s="28"/>
      <c r="C8091" s="27"/>
      <c r="D8091" s="27"/>
      <c r="E8091" s="30"/>
    </row>
    <row r="8092">
      <c r="A8092" s="27"/>
      <c r="B8092" s="28"/>
      <c r="C8092" s="27"/>
      <c r="D8092" s="27"/>
      <c r="E8092" s="30"/>
    </row>
    <row r="8093">
      <c r="A8093" s="27"/>
      <c r="B8093" s="28"/>
      <c r="C8093" s="27"/>
      <c r="D8093" s="27"/>
      <c r="E8093" s="30"/>
    </row>
    <row r="8094">
      <c r="A8094" s="27"/>
      <c r="B8094" s="28"/>
      <c r="C8094" s="27"/>
      <c r="D8094" s="27"/>
      <c r="E8094" s="30"/>
    </row>
    <row r="8095">
      <c r="A8095" s="27"/>
      <c r="B8095" s="28"/>
      <c r="C8095" s="27"/>
      <c r="D8095" s="27"/>
      <c r="E8095" s="30"/>
    </row>
    <row r="8096">
      <c r="A8096" s="27"/>
      <c r="B8096" s="28"/>
      <c r="C8096" s="27"/>
      <c r="D8096" s="27"/>
      <c r="E8096" s="30"/>
    </row>
    <row r="8097">
      <c r="A8097" s="27"/>
      <c r="B8097" s="28"/>
      <c r="C8097" s="27"/>
      <c r="D8097" s="27"/>
      <c r="E8097" s="30"/>
    </row>
    <row r="8098">
      <c r="A8098" s="27"/>
      <c r="B8098" s="28"/>
      <c r="C8098" s="27"/>
      <c r="D8098" s="27"/>
      <c r="E8098" s="30"/>
    </row>
    <row r="8099">
      <c r="A8099" s="27"/>
      <c r="B8099" s="28"/>
      <c r="C8099" s="27"/>
      <c r="D8099" s="27"/>
      <c r="E8099" s="30"/>
    </row>
    <row r="8100">
      <c r="A8100" s="27"/>
      <c r="B8100" s="28"/>
      <c r="C8100" s="27"/>
      <c r="D8100" s="27"/>
      <c r="E8100" s="30"/>
    </row>
    <row r="8101">
      <c r="A8101" s="27"/>
      <c r="B8101" s="28"/>
      <c r="C8101" s="27"/>
      <c r="D8101" s="27"/>
      <c r="E8101" s="30"/>
    </row>
    <row r="8102">
      <c r="A8102" s="27"/>
      <c r="B8102" s="28"/>
      <c r="C8102" s="27"/>
      <c r="D8102" s="27"/>
      <c r="E8102" s="30"/>
    </row>
    <row r="8103">
      <c r="A8103" s="27"/>
      <c r="B8103" s="28"/>
      <c r="C8103" s="27"/>
      <c r="D8103" s="27"/>
      <c r="E8103" s="30"/>
    </row>
    <row r="8104">
      <c r="A8104" s="27"/>
      <c r="B8104" s="28"/>
      <c r="C8104" s="27"/>
      <c r="D8104" s="27"/>
      <c r="E8104" s="30"/>
    </row>
    <row r="8105">
      <c r="A8105" s="27"/>
      <c r="B8105" s="28"/>
      <c r="C8105" s="27"/>
      <c r="D8105" s="27"/>
      <c r="E8105" s="30"/>
    </row>
    <row r="8106">
      <c r="A8106" s="27"/>
      <c r="B8106" s="28"/>
      <c r="C8106" s="27"/>
      <c r="D8106" s="27"/>
      <c r="E8106" s="30"/>
    </row>
    <row r="8107">
      <c r="A8107" s="27"/>
      <c r="B8107" s="28"/>
      <c r="C8107" s="27"/>
      <c r="D8107" s="27"/>
      <c r="E8107" s="30"/>
    </row>
    <row r="8108">
      <c r="A8108" s="27"/>
      <c r="B8108" s="28"/>
      <c r="C8108" s="27"/>
      <c r="D8108" s="27"/>
      <c r="E8108" s="30"/>
    </row>
    <row r="8109">
      <c r="A8109" s="27"/>
      <c r="B8109" s="28"/>
      <c r="C8109" s="27"/>
      <c r="D8109" s="27"/>
      <c r="E8109" s="30"/>
    </row>
    <row r="8110">
      <c r="A8110" s="27"/>
      <c r="B8110" s="28"/>
      <c r="C8110" s="27"/>
      <c r="D8110" s="27"/>
      <c r="E8110" s="30"/>
    </row>
    <row r="8111">
      <c r="A8111" s="27"/>
      <c r="B8111" s="28"/>
      <c r="C8111" s="27"/>
      <c r="D8111" s="27"/>
      <c r="E8111" s="30"/>
    </row>
    <row r="8112">
      <c r="A8112" s="27"/>
      <c r="B8112" s="28"/>
      <c r="C8112" s="27"/>
      <c r="D8112" s="27"/>
      <c r="E8112" s="30"/>
    </row>
    <row r="8113">
      <c r="A8113" s="27"/>
      <c r="B8113" s="28"/>
      <c r="C8113" s="27"/>
      <c r="D8113" s="27"/>
      <c r="E8113" s="30"/>
    </row>
    <row r="8114">
      <c r="A8114" s="27"/>
      <c r="B8114" s="28"/>
      <c r="C8114" s="27"/>
      <c r="D8114" s="27"/>
      <c r="E8114" s="30"/>
    </row>
    <row r="8115">
      <c r="A8115" s="27"/>
      <c r="B8115" s="28"/>
      <c r="C8115" s="27"/>
      <c r="D8115" s="27"/>
      <c r="E8115" s="30"/>
    </row>
    <row r="8116">
      <c r="A8116" s="27"/>
      <c r="B8116" s="28"/>
      <c r="C8116" s="27"/>
      <c r="D8116" s="27"/>
      <c r="E8116" s="30"/>
    </row>
    <row r="8117">
      <c r="A8117" s="27"/>
      <c r="B8117" s="28"/>
      <c r="C8117" s="27"/>
      <c r="D8117" s="27"/>
      <c r="E8117" s="30"/>
    </row>
    <row r="8118">
      <c r="A8118" s="27"/>
      <c r="B8118" s="28"/>
      <c r="C8118" s="27"/>
      <c r="D8118" s="27"/>
      <c r="E8118" s="30"/>
    </row>
    <row r="8119">
      <c r="A8119" s="27"/>
      <c r="B8119" s="28"/>
      <c r="C8119" s="27"/>
      <c r="D8119" s="27"/>
      <c r="E8119" s="30"/>
    </row>
    <row r="8120">
      <c r="A8120" s="27"/>
      <c r="B8120" s="28"/>
      <c r="C8120" s="27"/>
      <c r="D8120" s="27"/>
      <c r="E8120" s="30"/>
    </row>
    <row r="8121">
      <c r="A8121" s="27"/>
      <c r="B8121" s="28"/>
      <c r="C8121" s="27"/>
      <c r="D8121" s="27"/>
      <c r="E8121" s="30"/>
    </row>
    <row r="8122">
      <c r="A8122" s="27"/>
      <c r="B8122" s="28"/>
      <c r="C8122" s="27"/>
      <c r="D8122" s="27"/>
      <c r="E8122" s="30"/>
    </row>
    <row r="8123">
      <c r="A8123" s="27"/>
      <c r="B8123" s="28"/>
      <c r="C8123" s="27"/>
      <c r="D8123" s="27"/>
      <c r="E8123" s="30"/>
    </row>
    <row r="8124">
      <c r="A8124" s="27"/>
      <c r="B8124" s="28"/>
      <c r="C8124" s="27"/>
      <c r="D8124" s="27"/>
      <c r="E8124" s="30"/>
    </row>
    <row r="8125">
      <c r="A8125" s="27"/>
      <c r="B8125" s="28"/>
      <c r="C8125" s="27"/>
      <c r="D8125" s="27"/>
      <c r="E8125" s="30"/>
    </row>
    <row r="8126">
      <c r="A8126" s="27"/>
      <c r="B8126" s="28"/>
      <c r="C8126" s="27"/>
      <c r="D8126" s="27"/>
      <c r="E8126" s="30"/>
    </row>
    <row r="8127">
      <c r="A8127" s="27"/>
      <c r="B8127" s="28"/>
      <c r="C8127" s="27"/>
      <c r="D8127" s="27"/>
      <c r="E8127" s="30"/>
    </row>
    <row r="8128">
      <c r="A8128" s="27"/>
      <c r="B8128" s="28"/>
      <c r="C8128" s="27"/>
      <c r="D8128" s="27"/>
      <c r="E8128" s="30"/>
    </row>
    <row r="8129">
      <c r="A8129" s="27"/>
      <c r="B8129" s="28"/>
      <c r="C8129" s="27"/>
      <c r="D8129" s="27"/>
      <c r="E8129" s="30"/>
    </row>
    <row r="8130">
      <c r="A8130" s="27"/>
      <c r="B8130" s="28"/>
      <c r="C8130" s="27"/>
      <c r="D8130" s="27"/>
      <c r="E8130" s="30"/>
    </row>
    <row r="8131">
      <c r="A8131" s="27"/>
      <c r="B8131" s="28"/>
      <c r="C8131" s="27"/>
      <c r="D8131" s="27"/>
      <c r="E8131" s="30"/>
    </row>
    <row r="8132">
      <c r="A8132" s="27"/>
      <c r="B8132" s="28"/>
      <c r="C8132" s="27"/>
      <c r="D8132" s="27"/>
      <c r="E8132" s="30"/>
    </row>
    <row r="8133">
      <c r="A8133" s="27"/>
      <c r="B8133" s="28"/>
      <c r="C8133" s="27"/>
      <c r="D8133" s="27"/>
      <c r="E8133" s="30"/>
    </row>
    <row r="8134">
      <c r="A8134" s="27"/>
      <c r="B8134" s="28"/>
      <c r="C8134" s="27"/>
      <c r="D8134" s="27"/>
      <c r="E8134" s="30"/>
    </row>
    <row r="8135">
      <c r="A8135" s="27"/>
      <c r="B8135" s="28"/>
      <c r="C8135" s="27"/>
      <c r="D8135" s="27"/>
      <c r="E8135" s="30"/>
    </row>
    <row r="8136">
      <c r="A8136" s="27"/>
      <c r="B8136" s="28"/>
      <c r="C8136" s="27"/>
      <c r="D8136" s="27"/>
      <c r="E8136" s="30"/>
    </row>
    <row r="8137">
      <c r="A8137" s="27"/>
      <c r="B8137" s="28"/>
      <c r="C8137" s="27"/>
      <c r="D8137" s="27"/>
      <c r="E8137" s="30"/>
    </row>
    <row r="8138">
      <c r="A8138" s="27"/>
      <c r="B8138" s="28"/>
      <c r="C8138" s="27"/>
      <c r="D8138" s="27"/>
      <c r="E8138" s="30"/>
    </row>
    <row r="8139">
      <c r="A8139" s="27"/>
      <c r="B8139" s="28"/>
      <c r="C8139" s="27"/>
      <c r="D8139" s="27"/>
      <c r="E8139" s="30"/>
    </row>
    <row r="8140">
      <c r="A8140" s="27"/>
      <c r="B8140" s="28"/>
      <c r="C8140" s="27"/>
      <c r="D8140" s="27"/>
      <c r="E8140" s="30"/>
    </row>
    <row r="8141">
      <c r="A8141" s="27"/>
      <c r="B8141" s="28"/>
      <c r="C8141" s="27"/>
      <c r="D8141" s="27"/>
      <c r="E8141" s="30"/>
    </row>
    <row r="8142">
      <c r="A8142" s="27"/>
      <c r="B8142" s="28"/>
      <c r="C8142" s="27"/>
      <c r="D8142" s="27"/>
      <c r="E8142" s="30"/>
    </row>
    <row r="8143">
      <c r="A8143" s="27"/>
      <c r="B8143" s="28"/>
      <c r="C8143" s="27"/>
      <c r="D8143" s="27"/>
      <c r="E8143" s="30"/>
    </row>
    <row r="8144">
      <c r="A8144" s="27"/>
      <c r="B8144" s="28"/>
      <c r="C8144" s="27"/>
      <c r="D8144" s="27"/>
      <c r="E8144" s="30"/>
    </row>
    <row r="8145">
      <c r="A8145" s="27"/>
      <c r="B8145" s="28"/>
      <c r="C8145" s="27"/>
      <c r="D8145" s="27"/>
      <c r="E8145" s="30"/>
    </row>
    <row r="8146">
      <c r="A8146" s="27"/>
      <c r="B8146" s="28"/>
      <c r="C8146" s="27"/>
      <c r="D8146" s="27"/>
      <c r="E8146" s="30"/>
    </row>
    <row r="8147">
      <c r="A8147" s="27"/>
      <c r="B8147" s="28"/>
      <c r="C8147" s="27"/>
      <c r="D8147" s="27"/>
      <c r="E8147" s="30"/>
    </row>
    <row r="8148">
      <c r="A8148" s="27"/>
      <c r="B8148" s="28"/>
      <c r="C8148" s="27"/>
      <c r="D8148" s="27"/>
      <c r="E8148" s="30"/>
    </row>
    <row r="8149">
      <c r="A8149" s="27"/>
      <c r="B8149" s="28"/>
      <c r="C8149" s="27"/>
      <c r="D8149" s="27"/>
      <c r="E8149" s="30"/>
    </row>
    <row r="8150">
      <c r="A8150" s="27"/>
      <c r="B8150" s="28"/>
      <c r="C8150" s="27"/>
      <c r="D8150" s="27"/>
      <c r="E8150" s="30"/>
    </row>
    <row r="8151">
      <c r="A8151" s="27"/>
      <c r="B8151" s="28"/>
      <c r="C8151" s="27"/>
      <c r="D8151" s="27"/>
      <c r="E8151" s="30"/>
    </row>
    <row r="8152">
      <c r="A8152" s="27"/>
      <c r="B8152" s="28"/>
      <c r="C8152" s="27"/>
      <c r="D8152" s="27"/>
      <c r="E8152" s="30"/>
    </row>
    <row r="8153">
      <c r="A8153" s="27"/>
      <c r="B8153" s="28"/>
      <c r="C8153" s="27"/>
      <c r="D8153" s="27"/>
      <c r="E8153" s="30"/>
    </row>
    <row r="8154">
      <c r="A8154" s="27"/>
      <c r="B8154" s="28"/>
      <c r="C8154" s="27"/>
      <c r="D8154" s="27"/>
      <c r="E8154" s="30"/>
    </row>
    <row r="8155">
      <c r="A8155" s="27"/>
      <c r="B8155" s="28"/>
      <c r="C8155" s="27"/>
      <c r="D8155" s="27"/>
      <c r="E8155" s="30"/>
    </row>
    <row r="8156">
      <c r="A8156" s="27"/>
      <c r="B8156" s="28"/>
      <c r="C8156" s="27"/>
      <c r="D8156" s="27"/>
      <c r="E8156" s="30"/>
    </row>
    <row r="8157">
      <c r="A8157" s="27"/>
      <c r="B8157" s="28"/>
      <c r="C8157" s="27"/>
      <c r="D8157" s="27"/>
      <c r="E8157" s="30"/>
    </row>
    <row r="8158">
      <c r="A8158" s="27"/>
      <c r="B8158" s="28"/>
      <c r="C8158" s="27"/>
      <c r="D8158" s="27"/>
      <c r="E8158" s="30"/>
    </row>
    <row r="8159">
      <c r="A8159" s="27"/>
      <c r="B8159" s="28"/>
      <c r="C8159" s="27"/>
      <c r="D8159" s="27"/>
      <c r="E8159" s="30"/>
    </row>
    <row r="8160">
      <c r="A8160" s="27"/>
      <c r="B8160" s="28"/>
      <c r="C8160" s="27"/>
      <c r="D8160" s="27"/>
      <c r="E8160" s="30"/>
    </row>
    <row r="8161">
      <c r="A8161" s="27"/>
      <c r="B8161" s="28"/>
      <c r="C8161" s="27"/>
      <c r="D8161" s="27"/>
      <c r="E8161" s="30"/>
    </row>
    <row r="8162">
      <c r="A8162" s="27"/>
      <c r="B8162" s="28"/>
      <c r="C8162" s="27"/>
      <c r="D8162" s="27"/>
      <c r="E8162" s="30"/>
    </row>
    <row r="8163">
      <c r="A8163" s="27"/>
      <c r="B8163" s="28"/>
      <c r="C8163" s="27"/>
      <c r="D8163" s="27"/>
      <c r="E8163" s="30"/>
    </row>
    <row r="8164">
      <c r="A8164" s="27"/>
      <c r="B8164" s="28"/>
      <c r="C8164" s="27"/>
      <c r="D8164" s="27"/>
      <c r="E8164" s="30"/>
    </row>
    <row r="8165">
      <c r="A8165" s="27"/>
      <c r="B8165" s="28"/>
      <c r="C8165" s="27"/>
      <c r="D8165" s="27"/>
      <c r="E8165" s="30"/>
    </row>
    <row r="8166">
      <c r="A8166" s="27"/>
      <c r="B8166" s="28"/>
      <c r="C8166" s="27"/>
      <c r="D8166" s="27"/>
      <c r="E8166" s="30"/>
    </row>
    <row r="8167">
      <c r="A8167" s="27"/>
      <c r="B8167" s="28"/>
      <c r="C8167" s="27"/>
      <c r="D8167" s="27"/>
      <c r="E8167" s="30"/>
    </row>
    <row r="8168">
      <c r="A8168" s="27"/>
      <c r="B8168" s="28"/>
      <c r="C8168" s="27"/>
      <c r="D8168" s="27"/>
      <c r="E8168" s="30"/>
    </row>
    <row r="8169">
      <c r="A8169" s="27"/>
      <c r="B8169" s="28"/>
      <c r="C8169" s="27"/>
      <c r="D8169" s="27"/>
      <c r="E8169" s="30"/>
    </row>
    <row r="8170">
      <c r="A8170" s="27"/>
      <c r="B8170" s="28"/>
      <c r="C8170" s="27"/>
      <c r="D8170" s="27"/>
      <c r="E8170" s="30"/>
    </row>
    <row r="8171">
      <c r="A8171" s="27"/>
      <c r="B8171" s="28"/>
      <c r="C8171" s="27"/>
      <c r="D8171" s="27"/>
      <c r="E8171" s="30"/>
    </row>
    <row r="8172">
      <c r="A8172" s="27"/>
      <c r="B8172" s="28"/>
      <c r="C8172" s="27"/>
      <c r="D8172" s="27"/>
      <c r="E8172" s="30"/>
    </row>
    <row r="8173">
      <c r="A8173" s="27"/>
      <c r="B8173" s="28"/>
      <c r="C8173" s="27"/>
      <c r="D8173" s="27"/>
      <c r="E8173" s="30"/>
    </row>
    <row r="8174">
      <c r="A8174" s="27"/>
      <c r="B8174" s="28"/>
      <c r="C8174" s="27"/>
      <c r="D8174" s="27"/>
      <c r="E8174" s="30"/>
    </row>
    <row r="8175">
      <c r="A8175" s="27"/>
      <c r="B8175" s="28"/>
      <c r="C8175" s="27"/>
      <c r="D8175" s="27"/>
      <c r="E8175" s="30"/>
    </row>
    <row r="8176">
      <c r="A8176" s="27"/>
      <c r="B8176" s="28"/>
      <c r="C8176" s="27"/>
      <c r="D8176" s="27"/>
      <c r="E8176" s="30"/>
    </row>
    <row r="8177">
      <c r="A8177" s="27"/>
      <c r="B8177" s="28"/>
      <c r="C8177" s="27"/>
      <c r="D8177" s="27"/>
      <c r="E8177" s="30"/>
    </row>
    <row r="8178">
      <c r="A8178" s="27"/>
      <c r="B8178" s="28"/>
      <c r="C8178" s="27"/>
      <c r="D8178" s="27"/>
      <c r="E8178" s="30"/>
    </row>
    <row r="8179">
      <c r="A8179" s="27"/>
      <c r="B8179" s="28"/>
      <c r="C8179" s="27"/>
      <c r="D8179" s="27"/>
      <c r="E8179" s="30"/>
    </row>
    <row r="8180">
      <c r="A8180" s="27"/>
      <c r="B8180" s="28"/>
      <c r="C8180" s="27"/>
      <c r="D8180" s="27"/>
      <c r="E8180" s="30"/>
    </row>
    <row r="8181">
      <c r="A8181" s="27"/>
      <c r="B8181" s="28"/>
      <c r="C8181" s="27"/>
      <c r="D8181" s="27"/>
      <c r="E8181" s="30"/>
    </row>
    <row r="8182">
      <c r="A8182" s="27"/>
      <c r="B8182" s="28"/>
      <c r="C8182" s="27"/>
      <c r="D8182" s="27"/>
      <c r="E8182" s="30"/>
    </row>
    <row r="8183">
      <c r="A8183" s="27"/>
      <c r="B8183" s="28"/>
      <c r="C8183" s="27"/>
      <c r="D8183" s="27"/>
      <c r="E8183" s="30"/>
    </row>
    <row r="8184">
      <c r="A8184" s="27"/>
      <c r="B8184" s="28"/>
      <c r="C8184" s="27"/>
      <c r="D8184" s="27"/>
      <c r="E8184" s="30"/>
    </row>
    <row r="8185">
      <c r="A8185" s="27"/>
      <c r="B8185" s="28"/>
      <c r="C8185" s="27"/>
      <c r="D8185" s="27"/>
      <c r="E8185" s="30"/>
    </row>
    <row r="8186">
      <c r="A8186" s="27"/>
      <c r="B8186" s="28"/>
      <c r="C8186" s="27"/>
      <c r="D8186" s="27"/>
      <c r="E8186" s="30"/>
    </row>
    <row r="8187">
      <c r="A8187" s="27"/>
      <c r="B8187" s="28"/>
      <c r="C8187" s="27"/>
      <c r="D8187" s="27"/>
      <c r="E8187" s="30"/>
    </row>
    <row r="8188">
      <c r="A8188" s="27"/>
      <c r="B8188" s="28"/>
      <c r="C8188" s="27"/>
      <c r="D8188" s="27"/>
      <c r="E8188" s="30"/>
    </row>
    <row r="8189">
      <c r="A8189" s="27"/>
      <c r="B8189" s="28"/>
      <c r="C8189" s="27"/>
      <c r="D8189" s="27"/>
      <c r="E8189" s="30"/>
    </row>
    <row r="8190">
      <c r="A8190" s="27"/>
      <c r="B8190" s="28"/>
      <c r="C8190" s="27"/>
      <c r="D8190" s="27"/>
      <c r="E8190" s="30"/>
    </row>
    <row r="8191">
      <c r="A8191" s="27"/>
      <c r="B8191" s="28"/>
      <c r="C8191" s="27"/>
      <c r="D8191" s="27"/>
      <c r="E8191" s="30"/>
    </row>
    <row r="8192">
      <c r="A8192" s="27"/>
      <c r="B8192" s="28"/>
      <c r="C8192" s="27"/>
      <c r="D8192" s="27"/>
      <c r="E8192" s="30"/>
    </row>
    <row r="8193">
      <c r="A8193" s="27"/>
      <c r="B8193" s="28"/>
      <c r="C8193" s="27"/>
      <c r="D8193" s="27"/>
      <c r="E8193" s="30"/>
    </row>
    <row r="8194">
      <c r="A8194" s="27"/>
      <c r="B8194" s="28"/>
      <c r="C8194" s="27"/>
      <c r="D8194" s="27"/>
      <c r="E8194" s="30"/>
    </row>
    <row r="8195">
      <c r="A8195" s="27"/>
      <c r="B8195" s="28"/>
      <c r="C8195" s="27"/>
      <c r="D8195" s="27"/>
      <c r="E8195" s="30"/>
    </row>
    <row r="8196">
      <c r="A8196" s="27"/>
      <c r="B8196" s="28"/>
      <c r="C8196" s="27"/>
      <c r="D8196" s="27"/>
      <c r="E8196" s="30"/>
    </row>
    <row r="8197">
      <c r="A8197" s="27"/>
      <c r="B8197" s="28"/>
      <c r="C8197" s="27"/>
      <c r="D8197" s="27"/>
      <c r="E8197" s="30"/>
    </row>
    <row r="8198">
      <c r="A8198" s="27"/>
      <c r="B8198" s="28"/>
      <c r="C8198" s="27"/>
      <c r="D8198" s="27"/>
      <c r="E8198" s="30"/>
    </row>
    <row r="8199">
      <c r="A8199" s="27"/>
      <c r="B8199" s="28"/>
      <c r="C8199" s="27"/>
      <c r="D8199" s="27"/>
      <c r="E8199" s="30"/>
    </row>
    <row r="8200">
      <c r="A8200" s="27"/>
      <c r="B8200" s="28"/>
      <c r="C8200" s="27"/>
      <c r="D8200" s="27"/>
      <c r="E8200" s="30"/>
    </row>
    <row r="8201">
      <c r="A8201" s="27"/>
      <c r="B8201" s="28"/>
      <c r="C8201" s="27"/>
      <c r="D8201" s="27"/>
      <c r="E8201" s="30"/>
    </row>
    <row r="8202">
      <c r="A8202" s="27"/>
      <c r="B8202" s="28"/>
      <c r="C8202" s="27"/>
      <c r="D8202" s="27"/>
      <c r="E8202" s="30"/>
    </row>
    <row r="8203">
      <c r="A8203" s="27"/>
      <c r="B8203" s="28"/>
      <c r="C8203" s="27"/>
      <c r="D8203" s="27"/>
      <c r="E8203" s="30"/>
    </row>
    <row r="8204">
      <c r="A8204" s="27"/>
      <c r="B8204" s="28"/>
      <c r="C8204" s="27"/>
      <c r="D8204" s="27"/>
      <c r="E8204" s="30"/>
    </row>
    <row r="8205">
      <c r="A8205" s="27"/>
      <c r="B8205" s="28"/>
      <c r="C8205" s="27"/>
      <c r="D8205" s="27"/>
      <c r="E8205" s="30"/>
    </row>
    <row r="8206">
      <c r="A8206" s="27"/>
      <c r="B8206" s="28"/>
      <c r="C8206" s="27"/>
      <c r="D8206" s="27"/>
      <c r="E8206" s="30"/>
    </row>
    <row r="8207">
      <c r="A8207" s="27"/>
      <c r="B8207" s="28"/>
      <c r="C8207" s="27"/>
      <c r="D8207" s="27"/>
      <c r="E8207" s="30"/>
    </row>
    <row r="8208">
      <c r="A8208" s="27"/>
      <c r="B8208" s="28"/>
      <c r="C8208" s="27"/>
      <c r="D8208" s="27"/>
      <c r="E8208" s="30"/>
    </row>
    <row r="8209">
      <c r="A8209" s="27"/>
      <c r="B8209" s="28"/>
      <c r="C8209" s="27"/>
      <c r="D8209" s="27"/>
      <c r="E8209" s="30"/>
    </row>
    <row r="8210">
      <c r="A8210" s="27"/>
      <c r="B8210" s="28"/>
      <c r="C8210" s="27"/>
      <c r="D8210" s="27"/>
      <c r="E8210" s="30"/>
    </row>
    <row r="8211">
      <c r="A8211" s="27"/>
      <c r="B8211" s="28"/>
      <c r="C8211" s="27"/>
      <c r="D8211" s="27"/>
      <c r="E8211" s="30"/>
    </row>
    <row r="8212">
      <c r="A8212" s="27"/>
      <c r="B8212" s="28"/>
      <c r="C8212" s="27"/>
      <c r="D8212" s="27"/>
      <c r="E8212" s="30"/>
    </row>
    <row r="8213">
      <c r="A8213" s="27"/>
      <c r="B8213" s="28"/>
      <c r="C8213" s="27"/>
      <c r="D8213" s="27"/>
      <c r="E8213" s="30"/>
    </row>
    <row r="8214">
      <c r="A8214" s="27"/>
      <c r="B8214" s="28"/>
      <c r="C8214" s="27"/>
      <c r="D8214" s="27"/>
      <c r="E8214" s="30"/>
    </row>
    <row r="8215">
      <c r="A8215" s="27"/>
      <c r="B8215" s="28"/>
      <c r="C8215" s="27"/>
      <c r="D8215" s="27"/>
      <c r="E8215" s="30"/>
    </row>
    <row r="8216">
      <c r="A8216" s="27"/>
      <c r="B8216" s="28"/>
      <c r="C8216" s="27"/>
      <c r="D8216" s="27"/>
      <c r="E8216" s="30"/>
    </row>
    <row r="8217">
      <c r="A8217" s="27"/>
      <c r="B8217" s="28"/>
      <c r="C8217" s="27"/>
      <c r="D8217" s="27"/>
      <c r="E8217" s="30"/>
    </row>
    <row r="8218">
      <c r="A8218" s="27"/>
      <c r="B8218" s="28"/>
      <c r="C8218" s="27"/>
      <c r="D8218" s="27"/>
      <c r="E8218" s="30"/>
    </row>
    <row r="8219">
      <c r="A8219" s="27"/>
      <c r="B8219" s="28"/>
      <c r="C8219" s="27"/>
      <c r="D8219" s="27"/>
      <c r="E8219" s="30"/>
    </row>
    <row r="8220">
      <c r="A8220" s="27"/>
      <c r="B8220" s="28"/>
      <c r="C8220" s="27"/>
      <c r="D8220" s="27"/>
      <c r="E8220" s="30"/>
    </row>
    <row r="8221">
      <c r="A8221" s="27"/>
      <c r="B8221" s="28"/>
      <c r="C8221" s="27"/>
      <c r="D8221" s="27"/>
      <c r="E8221" s="30"/>
    </row>
    <row r="8222">
      <c r="A8222" s="27"/>
      <c r="B8222" s="28"/>
      <c r="C8222" s="27"/>
      <c r="D8222" s="27"/>
      <c r="E8222" s="30"/>
    </row>
    <row r="8223">
      <c r="A8223" s="27"/>
      <c r="B8223" s="28"/>
      <c r="C8223" s="27"/>
      <c r="D8223" s="27"/>
      <c r="E8223" s="30"/>
    </row>
    <row r="8224">
      <c r="A8224" s="27"/>
      <c r="B8224" s="28"/>
      <c r="C8224" s="27"/>
      <c r="D8224" s="27"/>
      <c r="E8224" s="30"/>
    </row>
    <row r="8225">
      <c r="A8225" s="27"/>
      <c r="B8225" s="28"/>
      <c r="C8225" s="27"/>
      <c r="D8225" s="27"/>
      <c r="E8225" s="30"/>
    </row>
    <row r="8226">
      <c r="A8226" s="27"/>
      <c r="B8226" s="28"/>
      <c r="C8226" s="27"/>
      <c r="D8226" s="27"/>
      <c r="E8226" s="30"/>
    </row>
    <row r="8227">
      <c r="A8227" s="27"/>
      <c r="B8227" s="28"/>
      <c r="C8227" s="27"/>
      <c r="D8227" s="27"/>
      <c r="E8227" s="30"/>
    </row>
    <row r="8228">
      <c r="A8228" s="27"/>
      <c r="B8228" s="28"/>
      <c r="C8228" s="27"/>
      <c r="D8228" s="27"/>
      <c r="E8228" s="30"/>
    </row>
    <row r="8229">
      <c r="A8229" s="27"/>
      <c r="B8229" s="28"/>
      <c r="C8229" s="27"/>
      <c r="D8229" s="27"/>
      <c r="E8229" s="30"/>
    </row>
    <row r="8230">
      <c r="A8230" s="27"/>
      <c r="B8230" s="28"/>
      <c r="C8230" s="27"/>
      <c r="D8230" s="27"/>
      <c r="E8230" s="30"/>
    </row>
    <row r="8231">
      <c r="A8231" s="27"/>
      <c r="B8231" s="28"/>
      <c r="C8231" s="27"/>
      <c r="D8231" s="27"/>
      <c r="E8231" s="30"/>
    </row>
    <row r="8232">
      <c r="A8232" s="27"/>
      <c r="B8232" s="28"/>
      <c r="C8232" s="27"/>
      <c r="D8232" s="27"/>
      <c r="E8232" s="30"/>
    </row>
    <row r="8233">
      <c r="A8233" s="27"/>
      <c r="B8233" s="28"/>
      <c r="C8233" s="27"/>
      <c r="D8233" s="27"/>
      <c r="E8233" s="30"/>
    </row>
    <row r="8234">
      <c r="A8234" s="27"/>
      <c r="B8234" s="28"/>
      <c r="C8234" s="27"/>
      <c r="D8234" s="27"/>
      <c r="E8234" s="30"/>
    </row>
    <row r="8235">
      <c r="A8235" s="27"/>
      <c r="B8235" s="28"/>
      <c r="C8235" s="27"/>
      <c r="D8235" s="27"/>
      <c r="E8235" s="30"/>
    </row>
    <row r="8236">
      <c r="A8236" s="27"/>
      <c r="B8236" s="28"/>
      <c r="C8236" s="27"/>
      <c r="D8236" s="27"/>
      <c r="E8236" s="30"/>
    </row>
    <row r="8237">
      <c r="A8237" s="27"/>
      <c r="B8237" s="28"/>
      <c r="C8237" s="27"/>
      <c r="D8237" s="27"/>
      <c r="E8237" s="30"/>
    </row>
    <row r="8238">
      <c r="A8238" s="27"/>
      <c r="B8238" s="28"/>
      <c r="C8238" s="27"/>
      <c r="D8238" s="27"/>
      <c r="E8238" s="30"/>
    </row>
    <row r="8239">
      <c r="A8239" s="27"/>
      <c r="B8239" s="28"/>
      <c r="C8239" s="27"/>
      <c r="D8239" s="27"/>
      <c r="E8239" s="30"/>
    </row>
    <row r="8240">
      <c r="A8240" s="27"/>
      <c r="B8240" s="28"/>
      <c r="C8240" s="27"/>
      <c r="D8240" s="27"/>
      <c r="E8240" s="30"/>
    </row>
    <row r="8241">
      <c r="A8241" s="27"/>
      <c r="B8241" s="28"/>
      <c r="C8241" s="27"/>
      <c r="D8241" s="27"/>
      <c r="E8241" s="30"/>
    </row>
    <row r="8242">
      <c r="A8242" s="27"/>
      <c r="B8242" s="28"/>
      <c r="C8242" s="27"/>
      <c r="D8242" s="27"/>
      <c r="E8242" s="30"/>
    </row>
    <row r="8243">
      <c r="A8243" s="27"/>
      <c r="B8243" s="28"/>
      <c r="C8243" s="27"/>
      <c r="D8243" s="27"/>
      <c r="E8243" s="30"/>
    </row>
    <row r="8244">
      <c r="A8244" s="27"/>
      <c r="B8244" s="28"/>
      <c r="C8244" s="27"/>
      <c r="D8244" s="27"/>
      <c r="E8244" s="30"/>
    </row>
    <row r="8245">
      <c r="A8245" s="27"/>
      <c r="B8245" s="28"/>
      <c r="C8245" s="27"/>
      <c r="D8245" s="27"/>
      <c r="E8245" s="30"/>
    </row>
    <row r="8246">
      <c r="A8246" s="27"/>
      <c r="B8246" s="28"/>
      <c r="C8246" s="27"/>
      <c r="D8246" s="27"/>
      <c r="E8246" s="30"/>
    </row>
    <row r="8247">
      <c r="A8247" s="27"/>
      <c r="B8247" s="28"/>
      <c r="C8247" s="27"/>
      <c r="D8247" s="27"/>
      <c r="E8247" s="30"/>
    </row>
    <row r="8248">
      <c r="A8248" s="27"/>
      <c r="B8248" s="28"/>
      <c r="C8248" s="27"/>
      <c r="D8248" s="27"/>
      <c r="E8248" s="30"/>
    </row>
    <row r="8249">
      <c r="A8249" s="27"/>
      <c r="B8249" s="28"/>
      <c r="C8249" s="27"/>
      <c r="D8249" s="27"/>
      <c r="E8249" s="30"/>
    </row>
    <row r="8250">
      <c r="A8250" s="27"/>
      <c r="B8250" s="28"/>
      <c r="C8250" s="27"/>
      <c r="D8250" s="27"/>
      <c r="E8250" s="30"/>
    </row>
    <row r="8251">
      <c r="A8251" s="27"/>
      <c r="B8251" s="28"/>
      <c r="C8251" s="27"/>
      <c r="D8251" s="27"/>
      <c r="E8251" s="30"/>
    </row>
    <row r="8252">
      <c r="A8252" s="27"/>
      <c r="B8252" s="28"/>
      <c r="C8252" s="27"/>
      <c r="D8252" s="27"/>
      <c r="E8252" s="30"/>
    </row>
    <row r="8253">
      <c r="A8253" s="27"/>
      <c r="B8253" s="28"/>
      <c r="C8253" s="27"/>
      <c r="D8253" s="27"/>
      <c r="E8253" s="30"/>
    </row>
    <row r="8254">
      <c r="A8254" s="27"/>
      <c r="B8254" s="28"/>
      <c r="C8254" s="27"/>
      <c r="D8254" s="27"/>
      <c r="E8254" s="30"/>
    </row>
    <row r="8255">
      <c r="A8255" s="27"/>
      <c r="B8255" s="28"/>
      <c r="C8255" s="27"/>
      <c r="D8255" s="27"/>
      <c r="E8255" s="30"/>
    </row>
    <row r="8256">
      <c r="A8256" s="27"/>
      <c r="B8256" s="28"/>
      <c r="C8256" s="27"/>
      <c r="D8256" s="27"/>
      <c r="E8256" s="30"/>
    </row>
    <row r="8257">
      <c r="A8257" s="27"/>
      <c r="B8257" s="28"/>
      <c r="C8257" s="27"/>
      <c r="D8257" s="27"/>
      <c r="E8257" s="30"/>
    </row>
    <row r="8258">
      <c r="A8258" s="27"/>
      <c r="B8258" s="28"/>
      <c r="C8258" s="27"/>
      <c r="D8258" s="27"/>
      <c r="E8258" s="30"/>
    </row>
    <row r="8259">
      <c r="A8259" s="27"/>
      <c r="B8259" s="28"/>
      <c r="C8259" s="27"/>
      <c r="D8259" s="27"/>
      <c r="E8259" s="30"/>
    </row>
    <row r="8260">
      <c r="A8260" s="27"/>
      <c r="B8260" s="28"/>
      <c r="C8260" s="27"/>
      <c r="D8260" s="27"/>
      <c r="E8260" s="30"/>
    </row>
    <row r="8261">
      <c r="A8261" s="27"/>
      <c r="B8261" s="28"/>
      <c r="C8261" s="27"/>
      <c r="D8261" s="27"/>
      <c r="E8261" s="30"/>
    </row>
    <row r="8262">
      <c r="A8262" s="27"/>
      <c r="B8262" s="28"/>
      <c r="C8262" s="27"/>
      <c r="D8262" s="27"/>
      <c r="E8262" s="30"/>
    </row>
    <row r="8263">
      <c r="A8263" s="27"/>
      <c r="B8263" s="28"/>
      <c r="C8263" s="27"/>
      <c r="D8263" s="27"/>
      <c r="E8263" s="30"/>
    </row>
    <row r="8264">
      <c r="A8264" s="27"/>
      <c r="B8264" s="28"/>
      <c r="C8264" s="27"/>
      <c r="D8264" s="27"/>
      <c r="E8264" s="30"/>
    </row>
    <row r="8265">
      <c r="A8265" s="27"/>
      <c r="B8265" s="28"/>
      <c r="C8265" s="27"/>
      <c r="D8265" s="27"/>
      <c r="E8265" s="30"/>
    </row>
    <row r="8266">
      <c r="A8266" s="27"/>
      <c r="B8266" s="28"/>
      <c r="C8266" s="27"/>
      <c r="D8266" s="27"/>
      <c r="E8266" s="30"/>
    </row>
    <row r="8267">
      <c r="A8267" s="27"/>
      <c r="B8267" s="28"/>
      <c r="C8267" s="27"/>
      <c r="D8267" s="27"/>
      <c r="E8267" s="30"/>
    </row>
    <row r="8268">
      <c r="A8268" s="27"/>
      <c r="B8268" s="28"/>
      <c r="C8268" s="27"/>
      <c r="D8268" s="27"/>
      <c r="E8268" s="30"/>
    </row>
    <row r="8269">
      <c r="A8269" s="27"/>
      <c r="B8269" s="28"/>
      <c r="C8269" s="27"/>
      <c r="D8269" s="27"/>
      <c r="E8269" s="30"/>
    </row>
    <row r="8270">
      <c r="A8270" s="27"/>
      <c r="B8270" s="28"/>
      <c r="C8270" s="27"/>
      <c r="D8270" s="27"/>
      <c r="E8270" s="30"/>
    </row>
    <row r="8271">
      <c r="A8271" s="27"/>
      <c r="B8271" s="28"/>
      <c r="C8271" s="27"/>
      <c r="D8271" s="27"/>
      <c r="E8271" s="30"/>
    </row>
    <row r="8272">
      <c r="A8272" s="27"/>
      <c r="B8272" s="28"/>
      <c r="C8272" s="27"/>
      <c r="D8272" s="27"/>
      <c r="E8272" s="30"/>
    </row>
    <row r="8273">
      <c r="A8273" s="27"/>
      <c r="B8273" s="28"/>
      <c r="C8273" s="27"/>
      <c r="D8273" s="27"/>
      <c r="E8273" s="30"/>
    </row>
    <row r="8274">
      <c r="A8274" s="27"/>
      <c r="B8274" s="28"/>
      <c r="C8274" s="27"/>
      <c r="D8274" s="27"/>
      <c r="E8274" s="30"/>
    </row>
    <row r="8275">
      <c r="A8275" s="27"/>
      <c r="B8275" s="28"/>
      <c r="C8275" s="27"/>
      <c r="D8275" s="27"/>
      <c r="E8275" s="30"/>
    </row>
    <row r="8276">
      <c r="A8276" s="27"/>
      <c r="B8276" s="28"/>
      <c r="C8276" s="27"/>
      <c r="D8276" s="27"/>
      <c r="E8276" s="30"/>
    </row>
    <row r="8277">
      <c r="A8277" s="27"/>
      <c r="B8277" s="28"/>
      <c r="C8277" s="27"/>
      <c r="D8277" s="27"/>
      <c r="E8277" s="30"/>
    </row>
    <row r="8278">
      <c r="A8278" s="27"/>
      <c r="B8278" s="28"/>
      <c r="C8278" s="27"/>
      <c r="D8278" s="27"/>
      <c r="E8278" s="30"/>
    </row>
    <row r="8279">
      <c r="A8279" s="27"/>
      <c r="B8279" s="28"/>
      <c r="C8279" s="27"/>
      <c r="D8279" s="27"/>
      <c r="E8279" s="30"/>
    </row>
    <row r="8280">
      <c r="A8280" s="27"/>
      <c r="B8280" s="28"/>
      <c r="C8280" s="27"/>
      <c r="D8280" s="27"/>
      <c r="E8280" s="30"/>
    </row>
    <row r="8281">
      <c r="A8281" s="27"/>
      <c r="B8281" s="28"/>
      <c r="C8281" s="27"/>
      <c r="D8281" s="27"/>
      <c r="E8281" s="30"/>
    </row>
    <row r="8282">
      <c r="A8282" s="27"/>
      <c r="B8282" s="28"/>
      <c r="C8282" s="27"/>
      <c r="D8282" s="27"/>
      <c r="E8282" s="30"/>
    </row>
    <row r="8283">
      <c r="A8283" s="27"/>
      <c r="B8283" s="28"/>
      <c r="C8283" s="27"/>
      <c r="D8283" s="27"/>
      <c r="E8283" s="30"/>
    </row>
    <row r="8284">
      <c r="A8284" s="27"/>
      <c r="B8284" s="28"/>
      <c r="C8284" s="27"/>
      <c r="D8284" s="27"/>
      <c r="E8284" s="30"/>
    </row>
    <row r="8285">
      <c r="A8285" s="27"/>
      <c r="B8285" s="28"/>
      <c r="C8285" s="27"/>
      <c r="D8285" s="27"/>
      <c r="E8285" s="30"/>
    </row>
    <row r="8286">
      <c r="A8286" s="27"/>
      <c r="B8286" s="28"/>
      <c r="C8286" s="27"/>
      <c r="D8286" s="27"/>
      <c r="E8286" s="30"/>
    </row>
    <row r="8287">
      <c r="A8287" s="27"/>
      <c r="B8287" s="28"/>
      <c r="C8287" s="27"/>
      <c r="D8287" s="27"/>
      <c r="E8287" s="30"/>
    </row>
    <row r="8288">
      <c r="A8288" s="27"/>
      <c r="B8288" s="28"/>
      <c r="C8288" s="27"/>
      <c r="D8288" s="27"/>
      <c r="E8288" s="30"/>
    </row>
    <row r="8289">
      <c r="A8289" s="27"/>
      <c r="B8289" s="28"/>
      <c r="C8289" s="27"/>
      <c r="D8289" s="27"/>
      <c r="E8289" s="30"/>
    </row>
    <row r="8290">
      <c r="A8290" s="27"/>
      <c r="B8290" s="28"/>
      <c r="C8290" s="27"/>
      <c r="D8290" s="27"/>
      <c r="E8290" s="30"/>
    </row>
    <row r="8291">
      <c r="A8291" s="27"/>
      <c r="B8291" s="28"/>
      <c r="C8291" s="27"/>
      <c r="D8291" s="27"/>
      <c r="E8291" s="30"/>
    </row>
    <row r="8292">
      <c r="A8292" s="27"/>
      <c r="B8292" s="28"/>
      <c r="C8292" s="27"/>
      <c r="D8292" s="27"/>
      <c r="E8292" s="30"/>
    </row>
    <row r="8293">
      <c r="A8293" s="27"/>
      <c r="B8293" s="28"/>
      <c r="C8293" s="27"/>
      <c r="D8293" s="27"/>
      <c r="E8293" s="30"/>
    </row>
    <row r="8294">
      <c r="A8294" s="27"/>
      <c r="B8294" s="28"/>
      <c r="C8294" s="27"/>
      <c r="D8294" s="27"/>
      <c r="E8294" s="30"/>
    </row>
    <row r="8295">
      <c r="A8295" s="27"/>
      <c r="B8295" s="28"/>
      <c r="C8295" s="27"/>
      <c r="D8295" s="27"/>
      <c r="E8295" s="30"/>
    </row>
    <row r="8296">
      <c r="A8296" s="27"/>
      <c r="B8296" s="28"/>
      <c r="C8296" s="27"/>
      <c r="D8296" s="27"/>
      <c r="E8296" s="30"/>
    </row>
    <row r="8297">
      <c r="A8297" s="27"/>
      <c r="B8297" s="28"/>
      <c r="C8297" s="27"/>
      <c r="D8297" s="27"/>
      <c r="E8297" s="30"/>
    </row>
    <row r="8298">
      <c r="A8298" s="27"/>
      <c r="B8298" s="28"/>
      <c r="C8298" s="27"/>
      <c r="D8298" s="27"/>
      <c r="E8298" s="30"/>
    </row>
    <row r="8299">
      <c r="A8299" s="27"/>
      <c r="B8299" s="28"/>
      <c r="C8299" s="27"/>
      <c r="D8299" s="27"/>
      <c r="E8299" s="30"/>
    </row>
    <row r="8300">
      <c r="A8300" s="27"/>
      <c r="B8300" s="28"/>
      <c r="C8300" s="27"/>
      <c r="D8300" s="27"/>
      <c r="E8300" s="30"/>
    </row>
    <row r="8301">
      <c r="A8301" s="27"/>
      <c r="B8301" s="28"/>
      <c r="C8301" s="27"/>
      <c r="D8301" s="27"/>
      <c r="E8301" s="30"/>
    </row>
    <row r="8302">
      <c r="A8302" s="27"/>
      <c r="B8302" s="28"/>
      <c r="C8302" s="27"/>
      <c r="D8302" s="27"/>
      <c r="E8302" s="30"/>
    </row>
    <row r="8303">
      <c r="A8303" s="27"/>
      <c r="B8303" s="28"/>
      <c r="C8303" s="27"/>
      <c r="D8303" s="27"/>
      <c r="E8303" s="30"/>
    </row>
    <row r="8304">
      <c r="A8304" s="27"/>
      <c r="B8304" s="28"/>
      <c r="C8304" s="27"/>
      <c r="D8304" s="27"/>
      <c r="E8304" s="30"/>
    </row>
    <row r="8305">
      <c r="A8305" s="27"/>
      <c r="B8305" s="28"/>
      <c r="C8305" s="27"/>
      <c r="D8305" s="27"/>
      <c r="E8305" s="30"/>
    </row>
    <row r="8306">
      <c r="A8306" s="27"/>
      <c r="B8306" s="28"/>
      <c r="C8306" s="27"/>
      <c r="D8306" s="27"/>
      <c r="E8306" s="30"/>
    </row>
    <row r="8307">
      <c r="A8307" s="27"/>
      <c r="B8307" s="28"/>
      <c r="C8307" s="27"/>
      <c r="D8307" s="27"/>
      <c r="E8307" s="30"/>
    </row>
    <row r="8308">
      <c r="A8308" s="27"/>
      <c r="B8308" s="28"/>
      <c r="C8308" s="27"/>
      <c r="D8308" s="27"/>
      <c r="E8308" s="30"/>
    </row>
    <row r="8309">
      <c r="A8309" s="27"/>
      <c r="B8309" s="28"/>
      <c r="C8309" s="27"/>
      <c r="D8309" s="27"/>
      <c r="E8309" s="30"/>
    </row>
    <row r="8310">
      <c r="A8310" s="27"/>
      <c r="B8310" s="28"/>
      <c r="C8310" s="27"/>
      <c r="D8310" s="27"/>
      <c r="E8310" s="30"/>
    </row>
    <row r="8311">
      <c r="A8311" s="27"/>
      <c r="B8311" s="28"/>
      <c r="C8311" s="27"/>
      <c r="D8311" s="27"/>
      <c r="E8311" s="30"/>
    </row>
    <row r="8312">
      <c r="A8312" s="27"/>
      <c r="B8312" s="28"/>
      <c r="C8312" s="27"/>
      <c r="D8312" s="27"/>
      <c r="E8312" s="30"/>
    </row>
    <row r="8313">
      <c r="A8313" s="27"/>
      <c r="B8313" s="28"/>
      <c r="C8313" s="27"/>
      <c r="D8313" s="27"/>
      <c r="E8313" s="30"/>
    </row>
    <row r="8314">
      <c r="A8314" s="27"/>
      <c r="B8314" s="28"/>
      <c r="C8314" s="27"/>
      <c r="D8314" s="27"/>
      <c r="E8314" s="30"/>
    </row>
    <row r="8315">
      <c r="A8315" s="27"/>
      <c r="B8315" s="28"/>
      <c r="C8315" s="27"/>
      <c r="D8315" s="27"/>
      <c r="E8315" s="30"/>
    </row>
    <row r="8316">
      <c r="A8316" s="27"/>
      <c r="B8316" s="28"/>
      <c r="C8316" s="27"/>
      <c r="D8316" s="27"/>
      <c r="E8316" s="30"/>
    </row>
    <row r="8317">
      <c r="A8317" s="27"/>
      <c r="B8317" s="28"/>
      <c r="C8317" s="27"/>
      <c r="D8317" s="27"/>
      <c r="E8317" s="30"/>
    </row>
    <row r="8318">
      <c r="A8318" s="27"/>
      <c r="B8318" s="28"/>
      <c r="C8318" s="27"/>
      <c r="D8318" s="27"/>
      <c r="E8318" s="30"/>
    </row>
    <row r="8319">
      <c r="A8319" s="27"/>
      <c r="B8319" s="28"/>
      <c r="C8319" s="27"/>
      <c r="D8319" s="27"/>
      <c r="E8319" s="30"/>
    </row>
    <row r="8320">
      <c r="A8320" s="27"/>
      <c r="B8320" s="28"/>
      <c r="C8320" s="27"/>
      <c r="D8320" s="27"/>
      <c r="E8320" s="30"/>
    </row>
    <row r="8321">
      <c r="A8321" s="27"/>
      <c r="B8321" s="28"/>
      <c r="C8321" s="27"/>
      <c r="D8321" s="27"/>
      <c r="E8321" s="30"/>
    </row>
    <row r="8322">
      <c r="A8322" s="27"/>
      <c r="B8322" s="28"/>
      <c r="C8322" s="27"/>
      <c r="D8322" s="27"/>
      <c r="E8322" s="30"/>
    </row>
    <row r="8323">
      <c r="A8323" s="27"/>
      <c r="B8323" s="28"/>
      <c r="C8323" s="27"/>
      <c r="D8323" s="27"/>
      <c r="E8323" s="30"/>
    </row>
    <row r="8324">
      <c r="A8324" s="27"/>
      <c r="B8324" s="28"/>
      <c r="C8324" s="27"/>
      <c r="D8324" s="27"/>
      <c r="E8324" s="30"/>
    </row>
    <row r="8325">
      <c r="A8325" s="27"/>
      <c r="B8325" s="28"/>
      <c r="C8325" s="27"/>
      <c r="D8325" s="27"/>
      <c r="E8325" s="30"/>
    </row>
    <row r="8326">
      <c r="A8326" s="27"/>
      <c r="B8326" s="28"/>
      <c r="C8326" s="27"/>
      <c r="D8326" s="27"/>
      <c r="E8326" s="30"/>
    </row>
    <row r="8327">
      <c r="A8327" s="27"/>
      <c r="B8327" s="28"/>
      <c r="C8327" s="27"/>
      <c r="D8327" s="27"/>
      <c r="E8327" s="30"/>
    </row>
    <row r="8328">
      <c r="A8328" s="27"/>
      <c r="B8328" s="28"/>
      <c r="C8328" s="27"/>
      <c r="D8328" s="27"/>
      <c r="E8328" s="30"/>
    </row>
    <row r="8329">
      <c r="A8329" s="27"/>
      <c r="B8329" s="28"/>
      <c r="C8329" s="27"/>
      <c r="D8329" s="27"/>
      <c r="E8329" s="30"/>
    </row>
    <row r="8330">
      <c r="A8330" s="27"/>
      <c r="B8330" s="28"/>
      <c r="C8330" s="27"/>
      <c r="D8330" s="27"/>
      <c r="E8330" s="30"/>
    </row>
    <row r="8331">
      <c r="A8331" s="27"/>
      <c r="B8331" s="28"/>
      <c r="C8331" s="27"/>
      <c r="D8331" s="27"/>
      <c r="E8331" s="30"/>
    </row>
    <row r="8332">
      <c r="A8332" s="27"/>
      <c r="B8332" s="28"/>
      <c r="C8332" s="27"/>
      <c r="D8332" s="27"/>
      <c r="E8332" s="30"/>
    </row>
    <row r="8333">
      <c r="A8333" s="27"/>
      <c r="B8333" s="28"/>
      <c r="C8333" s="27"/>
      <c r="D8333" s="27"/>
      <c r="E8333" s="30"/>
    </row>
    <row r="8334">
      <c r="A8334" s="27"/>
      <c r="B8334" s="28"/>
      <c r="C8334" s="27"/>
      <c r="D8334" s="27"/>
      <c r="E8334" s="30"/>
    </row>
    <row r="8335">
      <c r="A8335" s="27"/>
      <c r="B8335" s="28"/>
      <c r="C8335" s="27"/>
      <c r="D8335" s="27"/>
      <c r="E8335" s="30"/>
    </row>
    <row r="8336">
      <c r="A8336" s="27"/>
      <c r="B8336" s="28"/>
      <c r="C8336" s="27"/>
      <c r="D8336" s="27"/>
      <c r="E8336" s="30"/>
    </row>
    <row r="8337">
      <c r="A8337" s="27"/>
      <c r="B8337" s="28"/>
      <c r="C8337" s="27"/>
      <c r="D8337" s="27"/>
      <c r="E8337" s="30"/>
    </row>
    <row r="8338">
      <c r="A8338" s="27"/>
      <c r="B8338" s="28"/>
      <c r="C8338" s="27"/>
      <c r="D8338" s="27"/>
      <c r="E8338" s="30"/>
    </row>
    <row r="8339">
      <c r="A8339" s="27"/>
      <c r="B8339" s="28"/>
      <c r="C8339" s="27"/>
      <c r="D8339" s="27"/>
      <c r="E8339" s="30"/>
    </row>
    <row r="8340">
      <c r="A8340" s="27"/>
      <c r="B8340" s="28"/>
      <c r="C8340" s="27"/>
      <c r="D8340" s="27"/>
      <c r="E8340" s="30"/>
    </row>
    <row r="8341">
      <c r="A8341" s="27"/>
      <c r="B8341" s="28"/>
      <c r="C8341" s="27"/>
      <c r="D8341" s="27"/>
      <c r="E8341" s="30"/>
    </row>
    <row r="8342">
      <c r="A8342" s="27"/>
      <c r="B8342" s="28"/>
      <c r="C8342" s="27"/>
      <c r="D8342" s="27"/>
      <c r="E8342" s="30"/>
    </row>
    <row r="8343">
      <c r="A8343" s="27"/>
      <c r="B8343" s="28"/>
      <c r="C8343" s="27"/>
      <c r="D8343" s="27"/>
      <c r="E8343" s="30"/>
    </row>
    <row r="8344">
      <c r="A8344" s="27"/>
      <c r="B8344" s="28"/>
      <c r="C8344" s="27"/>
      <c r="D8344" s="27"/>
      <c r="E8344" s="30"/>
    </row>
    <row r="8345">
      <c r="A8345" s="27"/>
      <c r="B8345" s="28"/>
      <c r="C8345" s="27"/>
      <c r="D8345" s="27"/>
      <c r="E8345" s="30"/>
    </row>
    <row r="8346">
      <c r="A8346" s="27"/>
      <c r="B8346" s="28"/>
      <c r="C8346" s="27"/>
      <c r="D8346" s="27"/>
      <c r="E8346" s="30"/>
    </row>
    <row r="8347">
      <c r="A8347" s="27"/>
      <c r="B8347" s="28"/>
      <c r="C8347" s="27"/>
      <c r="D8347" s="27"/>
      <c r="E8347" s="30"/>
    </row>
    <row r="8348">
      <c r="A8348" s="27"/>
      <c r="B8348" s="28"/>
      <c r="C8348" s="27"/>
      <c r="D8348" s="27"/>
      <c r="E8348" s="30"/>
    </row>
    <row r="8349">
      <c r="A8349" s="27"/>
      <c r="B8349" s="28"/>
      <c r="C8349" s="27"/>
      <c r="D8349" s="27"/>
      <c r="E8349" s="30"/>
    </row>
    <row r="8350">
      <c r="A8350" s="27"/>
      <c r="B8350" s="28"/>
      <c r="C8350" s="27"/>
      <c r="D8350" s="27"/>
      <c r="E8350" s="30"/>
    </row>
    <row r="8351">
      <c r="A8351" s="27"/>
      <c r="B8351" s="28"/>
      <c r="C8351" s="27"/>
      <c r="D8351" s="27"/>
      <c r="E8351" s="30"/>
    </row>
    <row r="8352">
      <c r="A8352" s="27"/>
      <c r="B8352" s="28"/>
      <c r="C8352" s="27"/>
      <c r="D8352" s="27"/>
      <c r="E8352" s="30"/>
    </row>
    <row r="8353">
      <c r="A8353" s="27"/>
      <c r="B8353" s="28"/>
      <c r="C8353" s="27"/>
      <c r="D8353" s="27"/>
      <c r="E8353" s="30"/>
    </row>
    <row r="8354">
      <c r="A8354" s="27"/>
      <c r="B8354" s="28"/>
      <c r="C8354" s="27"/>
      <c r="D8354" s="27"/>
      <c r="E8354" s="30"/>
    </row>
    <row r="8355">
      <c r="A8355" s="27"/>
      <c r="B8355" s="28"/>
      <c r="C8355" s="27"/>
      <c r="D8355" s="27"/>
      <c r="E8355" s="30"/>
    </row>
    <row r="8356">
      <c r="A8356" s="27"/>
      <c r="B8356" s="28"/>
      <c r="C8356" s="27"/>
      <c r="D8356" s="27"/>
      <c r="E8356" s="30"/>
    </row>
    <row r="8357">
      <c r="A8357" s="27"/>
      <c r="B8357" s="28"/>
      <c r="C8357" s="27"/>
      <c r="D8357" s="27"/>
      <c r="E8357" s="30"/>
    </row>
    <row r="8358">
      <c r="A8358" s="27"/>
      <c r="B8358" s="28"/>
      <c r="C8358" s="27"/>
      <c r="D8358" s="27"/>
      <c r="E8358" s="30"/>
    </row>
    <row r="8359">
      <c r="A8359" s="27"/>
      <c r="B8359" s="28"/>
      <c r="C8359" s="27"/>
      <c r="D8359" s="27"/>
      <c r="E8359" s="30"/>
    </row>
    <row r="8360">
      <c r="A8360" s="27"/>
      <c r="B8360" s="28"/>
      <c r="C8360" s="27"/>
      <c r="D8360" s="27"/>
      <c r="E8360" s="30"/>
    </row>
    <row r="8361">
      <c r="A8361" s="27"/>
      <c r="B8361" s="28"/>
      <c r="C8361" s="27"/>
      <c r="D8361" s="27"/>
      <c r="E8361" s="30"/>
    </row>
    <row r="8362">
      <c r="A8362" s="27"/>
      <c r="B8362" s="28"/>
      <c r="C8362" s="27"/>
      <c r="D8362" s="27"/>
      <c r="E8362" s="30"/>
    </row>
    <row r="8363">
      <c r="A8363" s="27"/>
      <c r="B8363" s="28"/>
      <c r="C8363" s="27"/>
      <c r="D8363" s="27"/>
      <c r="E8363" s="30"/>
    </row>
    <row r="8364">
      <c r="A8364" s="27"/>
      <c r="B8364" s="28"/>
      <c r="C8364" s="27"/>
      <c r="D8364" s="27"/>
      <c r="E8364" s="30"/>
    </row>
    <row r="8365">
      <c r="A8365" s="27"/>
      <c r="B8365" s="28"/>
      <c r="C8365" s="27"/>
      <c r="D8365" s="27"/>
      <c r="E8365" s="30"/>
    </row>
    <row r="8366">
      <c r="A8366" s="27"/>
      <c r="B8366" s="28"/>
      <c r="C8366" s="27"/>
      <c r="D8366" s="27"/>
      <c r="E8366" s="30"/>
    </row>
    <row r="8367">
      <c r="A8367" s="27"/>
      <c r="B8367" s="28"/>
      <c r="C8367" s="27"/>
      <c r="D8367" s="27"/>
      <c r="E8367" s="30"/>
    </row>
    <row r="8368">
      <c r="A8368" s="27"/>
      <c r="B8368" s="28"/>
      <c r="C8368" s="27"/>
      <c r="D8368" s="27"/>
      <c r="E8368" s="30"/>
    </row>
    <row r="8369">
      <c r="A8369" s="27"/>
      <c r="B8369" s="28"/>
      <c r="C8369" s="27"/>
      <c r="D8369" s="27"/>
      <c r="E8369" s="30"/>
    </row>
    <row r="8370">
      <c r="A8370" s="27"/>
      <c r="B8370" s="28"/>
      <c r="C8370" s="27"/>
      <c r="D8370" s="27"/>
      <c r="E8370" s="30"/>
    </row>
    <row r="8371">
      <c r="A8371" s="27"/>
      <c r="B8371" s="28"/>
      <c r="C8371" s="27"/>
      <c r="D8371" s="27"/>
      <c r="E8371" s="30"/>
    </row>
    <row r="8372">
      <c r="A8372" s="27"/>
      <c r="B8372" s="28"/>
      <c r="C8372" s="27"/>
      <c r="D8372" s="27"/>
      <c r="E8372" s="30"/>
    </row>
    <row r="8373">
      <c r="A8373" s="27"/>
      <c r="B8373" s="28"/>
      <c r="C8373" s="27"/>
    </row>
    <row r="8374">
      <c r="A8374" s="27"/>
      <c r="B8374" s="28"/>
      <c r="C8374" s="27"/>
    </row>
    <row r="8375">
      <c r="A8375" s="27"/>
      <c r="B8375" s="28"/>
      <c r="C8375" s="27"/>
    </row>
    <row r="8376">
      <c r="A8376" s="27"/>
      <c r="B8376" s="28"/>
      <c r="C8376" s="27"/>
    </row>
    <row r="8377">
      <c r="A8377" s="27"/>
      <c r="B8377" s="28"/>
      <c r="C8377" s="27"/>
    </row>
    <row r="8378">
      <c r="A8378" s="27"/>
      <c r="B8378" s="28"/>
      <c r="C8378" s="27"/>
    </row>
    <row r="8379">
      <c r="A8379" s="27"/>
      <c r="B8379" s="28"/>
      <c r="C8379" s="27"/>
    </row>
    <row r="8380">
      <c r="A8380" s="27"/>
      <c r="B8380" s="28"/>
      <c r="C8380" s="27"/>
    </row>
    <row r="8381">
      <c r="A8381" s="27"/>
      <c r="B8381" s="28"/>
      <c r="C8381" s="27"/>
    </row>
    <row r="8382">
      <c r="A8382" s="27"/>
      <c r="B8382" s="28"/>
      <c r="C8382" s="27"/>
    </row>
    <row r="8383">
      <c r="A8383" s="27"/>
      <c r="B8383" s="28"/>
      <c r="C8383" s="27"/>
    </row>
    <row r="8384">
      <c r="A8384" s="27"/>
      <c r="B8384" s="28"/>
      <c r="C8384" s="27"/>
    </row>
    <row r="8385">
      <c r="A8385" s="27"/>
      <c r="B8385" s="28"/>
      <c r="C8385" s="27"/>
    </row>
    <row r="8386">
      <c r="A8386" s="27"/>
      <c r="B8386" s="28"/>
      <c r="C8386" s="27"/>
    </row>
    <row r="8387">
      <c r="A8387" s="27"/>
      <c r="B8387" s="28"/>
      <c r="C8387" s="27"/>
    </row>
    <row r="8388">
      <c r="A8388" s="27"/>
      <c r="B8388" s="28"/>
      <c r="C8388" s="27"/>
    </row>
    <row r="8389">
      <c r="A8389" s="27"/>
      <c r="B8389" s="28"/>
      <c r="C8389" s="27"/>
    </row>
    <row r="8390">
      <c r="A8390" s="27"/>
      <c r="B8390" s="28"/>
      <c r="C8390" s="27"/>
    </row>
    <row r="8391">
      <c r="A8391" s="27"/>
      <c r="B8391" s="28"/>
      <c r="C8391" s="27"/>
    </row>
    <row r="8392">
      <c r="A8392" s="27"/>
      <c r="B8392" s="28"/>
      <c r="C8392" s="27"/>
    </row>
    <row r="8393">
      <c r="A8393" s="27"/>
      <c r="B8393" s="28"/>
      <c r="C8393" s="27"/>
    </row>
    <row r="8394">
      <c r="A8394" s="27"/>
      <c r="B8394" s="28"/>
      <c r="C8394" s="27"/>
    </row>
    <row r="8395">
      <c r="A8395" s="27"/>
      <c r="B8395" s="28"/>
      <c r="C8395" s="27"/>
    </row>
    <row r="8396">
      <c r="A8396" s="27"/>
      <c r="B8396" s="28"/>
      <c r="C8396" s="27"/>
    </row>
    <row r="8397">
      <c r="A8397" s="27"/>
      <c r="B8397" s="28"/>
      <c r="C8397" s="27"/>
    </row>
    <row r="8398">
      <c r="A8398" s="27"/>
      <c r="B8398" s="28"/>
      <c r="C8398" s="27"/>
    </row>
    <row r="8399">
      <c r="A8399" s="27"/>
      <c r="B8399" s="28"/>
      <c r="C8399" s="27"/>
    </row>
    <row r="8400">
      <c r="A8400" s="27"/>
      <c r="B8400" s="28"/>
      <c r="C8400" s="27"/>
    </row>
    <row r="8401">
      <c r="A8401" s="27"/>
      <c r="B8401" s="28"/>
      <c r="C8401" s="27"/>
    </row>
    <row r="8402">
      <c r="A8402" s="27"/>
      <c r="B8402" s="28"/>
      <c r="C8402" s="27"/>
    </row>
  </sheetData>
  <autoFilter ref="$A$1:$F$837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6.63"/>
  </cols>
  <sheetData>
    <row r="1">
      <c r="A1" s="58" t="s">
        <v>9619</v>
      </c>
      <c r="B1" s="58" t="s">
        <v>9620</v>
      </c>
      <c r="C1" s="58" t="s">
        <v>9621</v>
      </c>
      <c r="D1" s="58" t="s">
        <v>9622</v>
      </c>
      <c r="E1" s="58" t="s">
        <v>9623</v>
      </c>
      <c r="F1" s="58" t="s">
        <v>9624</v>
      </c>
      <c r="G1" s="58" t="s">
        <v>9620</v>
      </c>
      <c r="H1" s="58" t="s">
        <v>9621</v>
      </c>
      <c r="I1" s="58" t="s">
        <v>9622</v>
      </c>
      <c r="J1" s="58" t="s">
        <v>9623</v>
      </c>
      <c r="K1" s="59" t="s">
        <v>9625</v>
      </c>
      <c r="L1" s="59" t="s">
        <v>9626</v>
      </c>
      <c r="M1" s="59" t="s">
        <v>9627</v>
      </c>
      <c r="N1" s="59" t="s">
        <v>9628</v>
      </c>
      <c r="O1" s="59" t="s">
        <v>9629</v>
      </c>
      <c r="P1" s="59" t="s">
        <v>9630</v>
      </c>
      <c r="Q1" s="59" t="s">
        <v>9631</v>
      </c>
    </row>
    <row r="2">
      <c r="A2" s="60" t="str">
        <f t="shared" ref="A2:A5" si="1">#REF!</f>
        <v>#REF!</v>
      </c>
      <c r="B2" s="60">
        <f t="shared" ref="B2:B5" si="2">IFERROR(IF(INDEX('전적확인'!$A$2:$R1000,MATCH(#REF!,'전적확인'!$A$1:$A1000,0)-1,18)=0,INDEX('전적확인'!$A$2:$R1000,MATCH(#REF!,'전적확인'!$A$1:$A1000,0)-1,10)*$P$2+$N$2,INDEX('전적확인'!$A$2:$R1000,MATCH(#REF!,'전적확인'!$A$1:$A1000,0)-1,18)),0)</f>
        <v>0</v>
      </c>
      <c r="C2" s="60">
        <f t="shared" ref="C2:C5" si="3">1/(1+POWER(10,($G$6-B2)/$M$2))</f>
        <v>0.0004639435398</v>
      </c>
      <c r="D2" s="60">
        <f t="shared" ref="D2:D5" si="4">ROUNDUP((B2+$L$2*(1-C2))+($L$2*(1-C2)*IFERROR(IF(Q2="Y",0.1,0),0)),0)</f>
        <v>40</v>
      </c>
      <c r="E2" s="60">
        <f t="shared" ref="E2:E5" si="5">D2-B2</f>
        <v>40</v>
      </c>
      <c r="F2" s="61" t="str">
        <f t="shared" ref="F2:F5" si="6">#REF!</f>
        <v>#REF!</v>
      </c>
      <c r="G2" s="61">
        <f t="shared" ref="G2:G5" si="7">IFERROR(IF(INDEX('전적확인'!$A$2:$R1000,MATCH(#REF!,'전적확인'!$A$1:$A1000,0)-1,18)=0,INDEX('전적확인'!$A$2:$R1000,MATCH(#REF!,'전적확인'!$A$1:$A1000,0)-1,10)*$P$2+$N$2,INDEX('전적확인'!$A$2:$R1000,MATCH(#REF!,'전적확인'!$A$1:$A1000,0)-1,18)),0)</f>
        <v>0</v>
      </c>
      <c r="H2" s="61">
        <f t="shared" ref="H2:H5" si="8">1/(1+POWER(10,($B$6-G2)/$M$2))</f>
        <v>0.0004639435398</v>
      </c>
      <c r="I2" s="61" t="str">
        <f t="shared" ref="I2:I5" si="9">ROUND(G2+($L$2*(0-H2)*0.9*$K$2),0)</f>
        <v>#REF!</v>
      </c>
      <c r="J2" s="61" t="str">
        <f t="shared" ref="J2:J5" si="10">I2-G2</f>
        <v>#REF!</v>
      </c>
      <c r="K2" s="62" t="str">
        <f>1-(#REF!/#REF!/2)</f>
        <v>#REF!</v>
      </c>
      <c r="L2" s="63">
        <v>40.0</v>
      </c>
      <c r="M2" s="63">
        <v>300.0</v>
      </c>
      <c r="N2" s="63">
        <v>1000.0</v>
      </c>
      <c r="O2" s="63">
        <v>30.0</v>
      </c>
      <c r="P2" s="63">
        <v>20.0</v>
      </c>
      <c r="Q2" s="40" t="str">
        <f t="array" ref="Q2">IF(INDEX('사용자목록'!$A$1:$F1000,MATCH($A$2,'사용자목록'!$A$1:$A1000,0),6) = "Y", "Y","N")</f>
        <v>#REF!</v>
      </c>
    </row>
    <row r="3">
      <c r="A3" s="60" t="str">
        <f t="shared" si="1"/>
        <v>#REF!</v>
      </c>
      <c r="B3" s="60">
        <f t="shared" si="2"/>
        <v>0</v>
      </c>
      <c r="C3" s="60">
        <f t="shared" si="3"/>
        <v>0.0004639435398</v>
      </c>
      <c r="D3" s="60">
        <f t="shared" si="4"/>
        <v>40</v>
      </c>
      <c r="E3" s="60">
        <f t="shared" si="5"/>
        <v>40</v>
      </c>
      <c r="F3" s="61" t="str">
        <f t="shared" si="6"/>
        <v>#REF!</v>
      </c>
      <c r="G3" s="61">
        <f t="shared" si="7"/>
        <v>0</v>
      </c>
      <c r="H3" s="61">
        <f t="shared" si="8"/>
        <v>0.0004639435398</v>
      </c>
      <c r="I3" s="61" t="str">
        <f t="shared" si="9"/>
        <v>#REF!</v>
      </c>
      <c r="J3" s="61" t="str">
        <f t="shared" si="10"/>
        <v>#REF!</v>
      </c>
      <c r="K3" s="18"/>
      <c r="L3" s="4"/>
      <c r="M3" s="4"/>
      <c r="Q3" s="40" t="str">
        <f t="array" ref="Q3">IF(INDEX('사용자목록'!$A$1:$F1000,MATCH($A$3,'사용자목록'!$A$1:$A1000,0),6) = "Y", "Y","N")</f>
        <v>#REF!</v>
      </c>
    </row>
    <row r="4">
      <c r="A4" s="60" t="str">
        <f t="shared" si="1"/>
        <v>#REF!</v>
      </c>
      <c r="B4" s="60">
        <f t="shared" si="2"/>
        <v>0</v>
      </c>
      <c r="C4" s="60">
        <f t="shared" si="3"/>
        <v>0.0004639435398</v>
      </c>
      <c r="D4" s="60">
        <f t="shared" si="4"/>
        <v>40</v>
      </c>
      <c r="E4" s="60">
        <f t="shared" si="5"/>
        <v>40</v>
      </c>
      <c r="F4" s="61" t="str">
        <f t="shared" si="6"/>
        <v>#REF!</v>
      </c>
      <c r="G4" s="61">
        <f t="shared" si="7"/>
        <v>0</v>
      </c>
      <c r="H4" s="61">
        <f t="shared" si="8"/>
        <v>0.0004639435398</v>
      </c>
      <c r="I4" s="61" t="str">
        <f t="shared" si="9"/>
        <v>#REF!</v>
      </c>
      <c r="J4" s="61" t="str">
        <f t="shared" si="10"/>
        <v>#REF!</v>
      </c>
      <c r="K4" s="18"/>
      <c r="L4" s="4"/>
      <c r="M4" s="4"/>
      <c r="Q4" s="40" t="str">
        <f t="array" ref="Q4">IF(INDEX('사용자목록'!$A$1:$F1000,MATCH($A$4,'사용자목록'!$A$1:$A1000,0),6) = "Y", "Y","N")</f>
        <v>#REF!</v>
      </c>
    </row>
    <row r="5">
      <c r="A5" s="60" t="str">
        <f t="shared" si="1"/>
        <v>#REF!</v>
      </c>
      <c r="B5" s="60">
        <f t="shared" si="2"/>
        <v>0</v>
      </c>
      <c r="C5" s="60">
        <f t="shared" si="3"/>
        <v>0.0004639435398</v>
      </c>
      <c r="D5" s="60">
        <f t="shared" si="4"/>
        <v>40</v>
      </c>
      <c r="E5" s="60">
        <f t="shared" si="5"/>
        <v>40</v>
      </c>
      <c r="F5" s="61" t="str">
        <f t="shared" si="6"/>
        <v>#REF!</v>
      </c>
      <c r="G5" s="61">
        <f t="shared" si="7"/>
        <v>0</v>
      </c>
      <c r="H5" s="61">
        <f t="shared" si="8"/>
        <v>0.0004639435398</v>
      </c>
      <c r="I5" s="61" t="str">
        <f t="shared" si="9"/>
        <v>#REF!</v>
      </c>
      <c r="J5" s="61" t="str">
        <f t="shared" si="10"/>
        <v>#REF!</v>
      </c>
      <c r="K5" s="18"/>
      <c r="L5" s="4"/>
      <c r="M5" s="4"/>
      <c r="Q5" s="40" t="str">
        <f t="array" ref="Q5">IF(INDEX('사용자목록'!$A$1:$F1000,MATCH($A$5,'사용자목록'!$A$1:$A1000,0),6) = "Y", "Y","N")</f>
        <v>#REF!</v>
      </c>
    </row>
    <row r="6">
      <c r="A6" s="5" t="s">
        <v>9632</v>
      </c>
      <c r="B6" s="4">
        <f>IFERROR(SUM(B2:B5)/B7,$N$2)</f>
        <v>1000</v>
      </c>
      <c r="C6" s="4"/>
      <c r="D6" s="4"/>
      <c r="E6" s="4"/>
      <c r="F6" s="4"/>
      <c r="G6" s="4">
        <f>IFERROR(SUM(G2:G5)/G7,$N$2)</f>
        <v>1000</v>
      </c>
      <c r="H6" s="4"/>
      <c r="I6" s="4"/>
      <c r="L6" s="4"/>
      <c r="M6" s="4"/>
    </row>
    <row r="7">
      <c r="A7" s="5" t="s">
        <v>9633</v>
      </c>
      <c r="B7" s="5">
        <f>countif($B$2:$B$5,"&gt;0")</f>
        <v>0</v>
      </c>
      <c r="C7" s="4"/>
      <c r="D7" s="4"/>
      <c r="E7" s="4"/>
      <c r="F7" s="4"/>
      <c r="G7" s="5">
        <f>countif($G$2:$G$5,"&gt;0")</f>
        <v>0</v>
      </c>
      <c r="H7" s="4"/>
      <c r="I7" s="4"/>
      <c r="L7" s="4"/>
      <c r="M7" s="4"/>
    </row>
    <row r="8">
      <c r="A8" s="5"/>
      <c r="B8" s="5"/>
      <c r="C8" s="4"/>
      <c r="D8" s="4"/>
      <c r="E8" s="4"/>
      <c r="F8" s="4"/>
      <c r="G8" s="4"/>
      <c r="H8" s="4"/>
      <c r="I8" s="4"/>
      <c r="L8" s="4"/>
      <c r="M8" s="4"/>
    </row>
    <row r="9">
      <c r="L9" s="4"/>
      <c r="M9" s="4"/>
    </row>
    <row r="10">
      <c r="L10" s="4"/>
      <c r="M10" s="4"/>
    </row>
    <row r="11">
      <c r="L11" s="4"/>
      <c r="M11" s="4"/>
    </row>
    <row r="12">
      <c r="L12" s="4"/>
      <c r="M12" s="4"/>
    </row>
    <row r="13">
      <c r="L13" s="4"/>
      <c r="M13" s="4"/>
    </row>
    <row r="14">
      <c r="L14" s="4"/>
      <c r="M14" s="4"/>
    </row>
    <row r="15">
      <c r="L15" s="4"/>
      <c r="M15" s="4"/>
    </row>
    <row r="16">
      <c r="L16" s="4"/>
      <c r="M16" s="4"/>
    </row>
    <row r="17">
      <c r="L17" s="4"/>
      <c r="M17" s="4"/>
    </row>
    <row r="18">
      <c r="L18" s="4"/>
      <c r="M18" s="4"/>
    </row>
    <row r="19">
      <c r="L19" s="4"/>
      <c r="M19" s="4"/>
    </row>
    <row r="20">
      <c r="L20" s="4"/>
      <c r="M20" s="4"/>
    </row>
    <row r="21">
      <c r="L21" s="4"/>
      <c r="M21" s="4"/>
    </row>
    <row r="22">
      <c r="L22" s="4"/>
      <c r="M22" s="4"/>
    </row>
    <row r="23">
      <c r="L23" s="4"/>
      <c r="M23" s="4"/>
    </row>
    <row r="24">
      <c r="L24" s="4"/>
      <c r="M24" s="4"/>
    </row>
    <row r="25">
      <c r="L25" s="4"/>
      <c r="M25" s="4"/>
    </row>
    <row r="26">
      <c r="L26" s="4"/>
      <c r="M26" s="4"/>
    </row>
    <row r="27">
      <c r="L27" s="4"/>
      <c r="M27" s="4"/>
    </row>
    <row r="28">
      <c r="L28" s="4"/>
      <c r="M28" s="4"/>
    </row>
    <row r="29">
      <c r="L29" s="4"/>
      <c r="M29" s="4"/>
    </row>
    <row r="30">
      <c r="A30" s="9"/>
      <c r="B30" s="9"/>
      <c r="L30" s="4"/>
      <c r="M30" s="4"/>
    </row>
    <row r="31">
      <c r="A31" s="9"/>
      <c r="B31" s="9"/>
      <c r="L31" s="4"/>
      <c r="M31" s="4"/>
    </row>
    <row r="32">
      <c r="A32" s="9"/>
      <c r="B32" s="9"/>
      <c r="L32" s="4"/>
      <c r="M32" s="4"/>
    </row>
    <row r="33">
      <c r="A33" s="5"/>
      <c r="B33" s="5"/>
      <c r="L33" s="4"/>
      <c r="M33" s="4"/>
    </row>
    <row r="34">
      <c r="A34" s="9"/>
      <c r="B34" s="9"/>
      <c r="L34" s="4"/>
      <c r="M34" s="4"/>
    </row>
    <row r="35">
      <c r="A35" s="9"/>
      <c r="B35" s="9"/>
      <c r="L35" s="4"/>
      <c r="M35" s="4"/>
    </row>
    <row r="36">
      <c r="A36" s="9"/>
      <c r="B36" s="9"/>
      <c r="L36" s="4"/>
      <c r="M36" s="4"/>
    </row>
    <row r="37">
      <c r="A37" s="5"/>
      <c r="B37" s="5"/>
      <c r="L37" s="4"/>
      <c r="M37" s="4"/>
    </row>
    <row r="38">
      <c r="A38" s="9"/>
      <c r="B38" s="9"/>
      <c r="L38" s="4"/>
      <c r="M38" s="4"/>
    </row>
    <row r="39">
      <c r="A39" s="9"/>
      <c r="B39" s="9"/>
      <c r="L39" s="4"/>
      <c r="M39" s="4"/>
    </row>
    <row r="40">
      <c r="A40" s="9"/>
      <c r="B40" s="9"/>
      <c r="L40" s="4"/>
      <c r="M40" s="4"/>
    </row>
    <row r="41">
      <c r="A41" s="9"/>
      <c r="B41" s="9"/>
      <c r="L41" s="4"/>
      <c r="M41" s="4"/>
    </row>
    <row r="42">
      <c r="L42" s="4"/>
      <c r="M42" s="4"/>
    </row>
    <row r="43">
      <c r="L43" s="4"/>
      <c r="M43" s="4"/>
    </row>
    <row r="44">
      <c r="L44" s="4"/>
      <c r="M44" s="4"/>
    </row>
    <row r="45">
      <c r="L45" s="4"/>
      <c r="M45" s="4"/>
    </row>
    <row r="46">
      <c r="L46" s="4"/>
      <c r="M46" s="4"/>
    </row>
    <row r="47">
      <c r="L47" s="4"/>
      <c r="M47" s="4"/>
    </row>
    <row r="48">
      <c r="L48" s="4"/>
      <c r="M48" s="4"/>
    </row>
    <row r="49">
      <c r="L49" s="4"/>
      <c r="M49" s="4"/>
    </row>
    <row r="50">
      <c r="L50" s="4"/>
      <c r="M50" s="4"/>
    </row>
    <row r="51">
      <c r="L51" s="4"/>
      <c r="M51" s="4"/>
    </row>
    <row r="52">
      <c r="L52" s="4"/>
      <c r="M52" s="4"/>
    </row>
    <row r="53">
      <c r="L53" s="4"/>
      <c r="M53" s="4"/>
    </row>
    <row r="54">
      <c r="L54" s="4"/>
      <c r="M54" s="4"/>
    </row>
    <row r="55">
      <c r="L55" s="4"/>
      <c r="M55" s="4"/>
    </row>
    <row r="56">
      <c r="L56" s="4"/>
      <c r="M56" s="4"/>
    </row>
    <row r="57">
      <c r="L57" s="4"/>
      <c r="M57" s="4"/>
    </row>
    <row r="58">
      <c r="L58" s="4"/>
      <c r="M58" s="4"/>
    </row>
    <row r="59">
      <c r="L59" s="4"/>
      <c r="M59" s="4"/>
    </row>
    <row r="60">
      <c r="L60" s="4"/>
      <c r="M60" s="4"/>
    </row>
    <row r="61">
      <c r="L61" s="4"/>
      <c r="M61" s="4"/>
    </row>
    <row r="62">
      <c r="L62" s="4"/>
      <c r="M62" s="4"/>
    </row>
    <row r="63">
      <c r="L63" s="4"/>
      <c r="M63" s="4"/>
    </row>
    <row r="64">
      <c r="L64" s="4"/>
      <c r="M64" s="4"/>
    </row>
    <row r="65">
      <c r="L65" s="4"/>
      <c r="M65" s="4"/>
    </row>
    <row r="66">
      <c r="L66" s="4"/>
      <c r="M66" s="4"/>
    </row>
    <row r="67">
      <c r="L67" s="4"/>
      <c r="M67" s="4"/>
    </row>
    <row r="68">
      <c r="L68" s="4"/>
      <c r="M68" s="4"/>
    </row>
    <row r="69">
      <c r="L69" s="4"/>
      <c r="M69" s="4"/>
    </row>
    <row r="70">
      <c r="L70" s="4"/>
      <c r="M70" s="4"/>
    </row>
    <row r="71">
      <c r="L71" s="4"/>
      <c r="M71" s="4"/>
    </row>
    <row r="72">
      <c r="L72" s="4"/>
      <c r="M72" s="4"/>
    </row>
    <row r="73">
      <c r="L73" s="4"/>
      <c r="M73" s="4"/>
    </row>
    <row r="74">
      <c r="L74" s="4"/>
      <c r="M74" s="4"/>
    </row>
    <row r="75">
      <c r="L75" s="4"/>
      <c r="M75" s="4"/>
    </row>
    <row r="76">
      <c r="L76" s="4"/>
      <c r="M76" s="4"/>
    </row>
    <row r="77">
      <c r="L77" s="4"/>
      <c r="M77" s="4"/>
    </row>
    <row r="78">
      <c r="L78" s="4"/>
      <c r="M78" s="4"/>
    </row>
    <row r="79">
      <c r="L79" s="4"/>
      <c r="M79" s="4"/>
    </row>
    <row r="80">
      <c r="L80" s="4"/>
      <c r="M80" s="4"/>
    </row>
    <row r="81">
      <c r="L81" s="4"/>
      <c r="M81" s="4"/>
    </row>
    <row r="82">
      <c r="L82" s="4"/>
      <c r="M82" s="4"/>
    </row>
    <row r="83">
      <c r="L83" s="4"/>
      <c r="M83" s="4"/>
    </row>
    <row r="84">
      <c r="L84" s="4"/>
      <c r="M84" s="4"/>
    </row>
    <row r="85">
      <c r="L85" s="4"/>
      <c r="M85" s="4"/>
    </row>
    <row r="86">
      <c r="L86" s="4"/>
      <c r="M86" s="4"/>
    </row>
    <row r="87">
      <c r="L87" s="4"/>
      <c r="M87" s="4"/>
    </row>
    <row r="88">
      <c r="L88" s="4"/>
      <c r="M88" s="4"/>
    </row>
    <row r="89">
      <c r="L89" s="4"/>
      <c r="M89" s="4"/>
    </row>
    <row r="90">
      <c r="L90" s="4"/>
      <c r="M90" s="4"/>
    </row>
    <row r="91">
      <c r="L91" s="4"/>
      <c r="M91" s="4"/>
    </row>
    <row r="92">
      <c r="L92" s="4"/>
      <c r="M92" s="4"/>
    </row>
    <row r="93">
      <c r="L93" s="4"/>
      <c r="M93" s="4"/>
    </row>
    <row r="94">
      <c r="L94" s="4"/>
      <c r="M94" s="4"/>
    </row>
    <row r="95">
      <c r="L95" s="4"/>
      <c r="M95" s="4"/>
    </row>
    <row r="96">
      <c r="L96" s="4"/>
      <c r="M96" s="4"/>
    </row>
    <row r="97">
      <c r="L97" s="4"/>
      <c r="M97" s="4"/>
    </row>
    <row r="98">
      <c r="L98" s="4"/>
      <c r="M98" s="4"/>
    </row>
    <row r="99">
      <c r="L99" s="4"/>
      <c r="M99" s="4"/>
    </row>
    <row r="100">
      <c r="L100" s="4"/>
      <c r="M100" s="4"/>
    </row>
    <row r="101">
      <c r="L101" s="4"/>
      <c r="M101" s="4"/>
    </row>
    <row r="102">
      <c r="L102" s="4"/>
      <c r="M102" s="4"/>
    </row>
    <row r="103">
      <c r="L103" s="4"/>
      <c r="M103" s="4"/>
    </row>
    <row r="104">
      <c r="L104" s="4"/>
      <c r="M104" s="4"/>
    </row>
    <row r="105">
      <c r="L105" s="4"/>
      <c r="M105" s="4"/>
    </row>
    <row r="106">
      <c r="L106" s="4"/>
      <c r="M106" s="4"/>
    </row>
    <row r="107">
      <c r="L107" s="4"/>
      <c r="M107" s="4"/>
    </row>
    <row r="108">
      <c r="L108" s="4"/>
      <c r="M108" s="4"/>
    </row>
    <row r="109">
      <c r="L109" s="4"/>
      <c r="M109" s="4"/>
    </row>
    <row r="110">
      <c r="L110" s="4"/>
      <c r="M110" s="4"/>
    </row>
    <row r="111">
      <c r="L111" s="4"/>
      <c r="M111" s="4"/>
    </row>
    <row r="112">
      <c r="L112" s="4"/>
      <c r="M112" s="4"/>
    </row>
    <row r="113">
      <c r="L113" s="4"/>
      <c r="M113" s="4"/>
    </row>
    <row r="114">
      <c r="L114" s="4"/>
      <c r="M114" s="4"/>
    </row>
    <row r="115">
      <c r="L115" s="4"/>
      <c r="M115" s="4"/>
    </row>
    <row r="116">
      <c r="L116" s="4"/>
      <c r="M116" s="4"/>
    </row>
    <row r="117">
      <c r="L117" s="4"/>
      <c r="M117" s="4"/>
    </row>
    <row r="118">
      <c r="L118" s="4"/>
      <c r="M118" s="4"/>
    </row>
    <row r="119">
      <c r="L119" s="4"/>
      <c r="M119" s="4"/>
    </row>
    <row r="120">
      <c r="L120" s="4"/>
      <c r="M120" s="4"/>
    </row>
    <row r="121">
      <c r="L121" s="4"/>
      <c r="M121" s="4"/>
    </row>
    <row r="122">
      <c r="L122" s="4"/>
      <c r="M122" s="4"/>
    </row>
    <row r="123">
      <c r="L123" s="4"/>
      <c r="M123" s="4"/>
    </row>
    <row r="124">
      <c r="L124" s="4"/>
      <c r="M124" s="4"/>
    </row>
    <row r="125">
      <c r="L125" s="4"/>
      <c r="M125" s="4"/>
    </row>
    <row r="126">
      <c r="L126" s="4"/>
      <c r="M126" s="4"/>
    </row>
    <row r="127">
      <c r="L127" s="4"/>
      <c r="M127" s="4"/>
    </row>
    <row r="128">
      <c r="L128" s="4"/>
      <c r="M128" s="4"/>
    </row>
    <row r="129">
      <c r="L129" s="4"/>
      <c r="M129" s="4"/>
    </row>
    <row r="130">
      <c r="L130" s="4"/>
      <c r="M130" s="4"/>
    </row>
    <row r="131">
      <c r="L131" s="4"/>
      <c r="M131" s="4"/>
    </row>
    <row r="132">
      <c r="L132" s="4"/>
      <c r="M132" s="4"/>
    </row>
    <row r="133">
      <c r="L133" s="4"/>
      <c r="M133" s="4"/>
    </row>
    <row r="134">
      <c r="L134" s="4"/>
      <c r="M134" s="4"/>
    </row>
    <row r="135">
      <c r="L135" s="4"/>
      <c r="M135" s="4"/>
    </row>
    <row r="136">
      <c r="L136" s="4"/>
      <c r="M136" s="4"/>
    </row>
    <row r="137">
      <c r="L137" s="4"/>
      <c r="M137" s="4"/>
    </row>
    <row r="138">
      <c r="L138" s="4"/>
      <c r="M138" s="4"/>
    </row>
    <row r="139">
      <c r="L139" s="4"/>
      <c r="M139" s="4"/>
    </row>
    <row r="140">
      <c r="L140" s="4"/>
      <c r="M140" s="4"/>
    </row>
    <row r="141">
      <c r="L141" s="4"/>
      <c r="M141" s="4"/>
    </row>
    <row r="142">
      <c r="L142" s="4"/>
      <c r="M142" s="4"/>
    </row>
    <row r="143">
      <c r="L143" s="4"/>
      <c r="M143" s="4"/>
    </row>
    <row r="144">
      <c r="L144" s="4"/>
      <c r="M144" s="4"/>
    </row>
    <row r="145">
      <c r="L145" s="4"/>
      <c r="M145" s="4"/>
    </row>
    <row r="146">
      <c r="L146" s="4"/>
      <c r="M146" s="4"/>
    </row>
    <row r="147">
      <c r="L147" s="4"/>
      <c r="M147" s="4"/>
    </row>
    <row r="148">
      <c r="L148" s="4"/>
      <c r="M148" s="4"/>
    </row>
    <row r="149">
      <c r="L149" s="4"/>
      <c r="M149" s="4"/>
    </row>
    <row r="150">
      <c r="L150" s="4"/>
      <c r="M150" s="4"/>
    </row>
    <row r="151">
      <c r="L151" s="4"/>
      <c r="M151" s="4"/>
    </row>
    <row r="152">
      <c r="L152" s="4"/>
      <c r="M152" s="4"/>
    </row>
    <row r="153">
      <c r="L153" s="4"/>
      <c r="M153" s="4"/>
    </row>
    <row r="154">
      <c r="L154" s="4"/>
      <c r="M154" s="4"/>
    </row>
    <row r="155">
      <c r="L155" s="4"/>
      <c r="M155" s="4"/>
    </row>
    <row r="156">
      <c r="L156" s="4"/>
      <c r="M156" s="4"/>
    </row>
    <row r="157">
      <c r="L157" s="4"/>
      <c r="M157" s="4"/>
    </row>
    <row r="158">
      <c r="L158" s="4"/>
      <c r="M158" s="4"/>
    </row>
    <row r="159">
      <c r="L159" s="4"/>
      <c r="M159" s="4"/>
    </row>
    <row r="160">
      <c r="L160" s="4"/>
      <c r="M160" s="4"/>
    </row>
    <row r="161">
      <c r="L161" s="4"/>
      <c r="M161" s="4"/>
    </row>
    <row r="162">
      <c r="L162" s="4"/>
      <c r="M162" s="4"/>
    </row>
    <row r="163">
      <c r="L163" s="4"/>
      <c r="M163" s="4"/>
    </row>
    <row r="164">
      <c r="L164" s="4"/>
      <c r="M164" s="4"/>
    </row>
    <row r="165">
      <c r="L165" s="4"/>
      <c r="M165" s="4"/>
    </row>
    <row r="166">
      <c r="L166" s="4"/>
      <c r="M166" s="4"/>
    </row>
    <row r="167">
      <c r="L167" s="4"/>
      <c r="M167" s="4"/>
    </row>
    <row r="168">
      <c r="L168" s="4"/>
      <c r="M168" s="4"/>
    </row>
    <row r="169">
      <c r="L169" s="4"/>
      <c r="M169" s="4"/>
    </row>
    <row r="170">
      <c r="L170" s="4"/>
      <c r="M170" s="4"/>
    </row>
    <row r="171">
      <c r="L171" s="4"/>
      <c r="M171" s="4"/>
    </row>
    <row r="172">
      <c r="L172" s="4"/>
      <c r="M172" s="4"/>
    </row>
    <row r="173">
      <c r="L173" s="4"/>
      <c r="M173" s="4"/>
    </row>
    <row r="174">
      <c r="L174" s="4"/>
      <c r="M174" s="4"/>
    </row>
    <row r="175">
      <c r="L175" s="4"/>
      <c r="M175" s="4"/>
    </row>
    <row r="176">
      <c r="L176" s="4"/>
      <c r="M176" s="4"/>
    </row>
    <row r="177">
      <c r="L177" s="4"/>
      <c r="M177" s="4"/>
    </row>
    <row r="178">
      <c r="L178" s="4"/>
      <c r="M178" s="4"/>
    </row>
    <row r="179">
      <c r="L179" s="4"/>
      <c r="M179" s="4"/>
    </row>
    <row r="180">
      <c r="L180" s="4"/>
      <c r="M180" s="4"/>
    </row>
    <row r="181">
      <c r="L181" s="4"/>
      <c r="M181" s="4"/>
    </row>
    <row r="182">
      <c r="L182" s="4"/>
      <c r="M182" s="4"/>
    </row>
    <row r="183">
      <c r="L183" s="4"/>
      <c r="M183" s="4"/>
    </row>
    <row r="184">
      <c r="L184" s="4"/>
      <c r="M184" s="4"/>
    </row>
    <row r="185">
      <c r="L185" s="4"/>
      <c r="M185" s="4"/>
    </row>
    <row r="186">
      <c r="L186" s="4"/>
      <c r="M186" s="4"/>
    </row>
    <row r="187">
      <c r="L187" s="4"/>
      <c r="M187" s="4"/>
    </row>
    <row r="188">
      <c r="L188" s="4"/>
      <c r="M188" s="4"/>
    </row>
    <row r="189">
      <c r="L189" s="4"/>
      <c r="M189" s="4"/>
    </row>
    <row r="190">
      <c r="L190" s="4"/>
      <c r="M190" s="4"/>
    </row>
    <row r="191">
      <c r="L191" s="4"/>
      <c r="M191" s="4"/>
    </row>
    <row r="192">
      <c r="L192" s="4"/>
      <c r="M192" s="4"/>
    </row>
    <row r="193">
      <c r="L193" s="4"/>
      <c r="M193" s="4"/>
    </row>
    <row r="194">
      <c r="L194" s="4"/>
      <c r="M194" s="4"/>
    </row>
    <row r="195">
      <c r="L195" s="4"/>
      <c r="M195" s="4"/>
    </row>
    <row r="196">
      <c r="L196" s="4"/>
      <c r="M196" s="4"/>
    </row>
    <row r="197">
      <c r="L197" s="4"/>
      <c r="M197" s="4"/>
    </row>
    <row r="198">
      <c r="L198" s="4"/>
      <c r="M198" s="4"/>
    </row>
    <row r="199">
      <c r="L199" s="4"/>
      <c r="M199" s="4"/>
    </row>
    <row r="200">
      <c r="L200" s="4"/>
      <c r="M200" s="4"/>
    </row>
    <row r="201">
      <c r="L201" s="4"/>
      <c r="M201" s="4"/>
    </row>
    <row r="202">
      <c r="L202" s="4"/>
      <c r="M202" s="4"/>
    </row>
    <row r="203">
      <c r="L203" s="4"/>
      <c r="M203" s="4"/>
    </row>
    <row r="204">
      <c r="L204" s="4"/>
      <c r="M204" s="4"/>
    </row>
    <row r="205">
      <c r="L205" s="4"/>
      <c r="M205" s="4"/>
    </row>
    <row r="206">
      <c r="L206" s="4"/>
      <c r="M206" s="4"/>
    </row>
    <row r="207">
      <c r="L207" s="4"/>
      <c r="M207" s="4"/>
    </row>
    <row r="208">
      <c r="L208" s="4"/>
      <c r="M208" s="4"/>
    </row>
    <row r="209">
      <c r="L209" s="4"/>
      <c r="M209" s="4"/>
    </row>
    <row r="210">
      <c r="L210" s="4"/>
      <c r="M210" s="4"/>
    </row>
    <row r="211">
      <c r="L211" s="4"/>
      <c r="M211" s="4"/>
    </row>
    <row r="212">
      <c r="L212" s="4"/>
      <c r="M212" s="4"/>
    </row>
    <row r="213">
      <c r="L213" s="4"/>
      <c r="M213" s="4"/>
    </row>
    <row r="214">
      <c r="L214" s="4"/>
      <c r="M214" s="4"/>
    </row>
    <row r="215">
      <c r="L215" s="4"/>
      <c r="M215" s="4"/>
    </row>
    <row r="216">
      <c r="L216" s="4"/>
      <c r="M216" s="4"/>
    </row>
    <row r="217">
      <c r="L217" s="4"/>
      <c r="M217" s="4"/>
    </row>
    <row r="218">
      <c r="L218" s="4"/>
      <c r="M218" s="4"/>
    </row>
    <row r="219">
      <c r="L219" s="4"/>
      <c r="M219" s="4"/>
    </row>
    <row r="220">
      <c r="L220" s="4"/>
      <c r="M220" s="4"/>
    </row>
    <row r="221">
      <c r="L221" s="4"/>
      <c r="M221" s="4"/>
    </row>
    <row r="222">
      <c r="L222" s="4"/>
      <c r="M222" s="4"/>
    </row>
    <row r="223">
      <c r="L223" s="4"/>
      <c r="M223" s="4"/>
    </row>
    <row r="224">
      <c r="L224" s="4"/>
      <c r="M224" s="4"/>
    </row>
    <row r="225">
      <c r="L225" s="4"/>
      <c r="M225" s="4"/>
    </row>
    <row r="226">
      <c r="L226" s="4"/>
      <c r="M226" s="4"/>
    </row>
    <row r="227">
      <c r="L227" s="4"/>
      <c r="M227" s="4"/>
    </row>
    <row r="228">
      <c r="L228" s="4"/>
      <c r="M228" s="4"/>
    </row>
    <row r="229">
      <c r="L229" s="4"/>
      <c r="M229" s="4"/>
    </row>
    <row r="230">
      <c r="L230" s="4"/>
      <c r="M230" s="4"/>
    </row>
    <row r="231">
      <c r="L231" s="4"/>
      <c r="M231" s="4"/>
    </row>
    <row r="232">
      <c r="L232" s="4"/>
      <c r="M232" s="4"/>
    </row>
    <row r="233">
      <c r="L233" s="4"/>
      <c r="M233" s="4"/>
    </row>
    <row r="234">
      <c r="L234" s="4"/>
      <c r="M234" s="4"/>
    </row>
    <row r="235">
      <c r="L235" s="4"/>
      <c r="M235" s="4"/>
    </row>
    <row r="236">
      <c r="L236" s="4"/>
      <c r="M236" s="4"/>
    </row>
    <row r="237">
      <c r="L237" s="4"/>
      <c r="M237" s="4"/>
    </row>
    <row r="238">
      <c r="L238" s="4"/>
      <c r="M238" s="4"/>
    </row>
    <row r="239">
      <c r="L239" s="4"/>
      <c r="M239" s="4"/>
    </row>
    <row r="240">
      <c r="L240" s="4"/>
      <c r="M240" s="4"/>
    </row>
    <row r="241">
      <c r="L241" s="4"/>
      <c r="M241" s="4"/>
    </row>
    <row r="242">
      <c r="L242" s="4"/>
      <c r="M242" s="4"/>
    </row>
    <row r="243">
      <c r="L243" s="4"/>
      <c r="M243" s="4"/>
    </row>
    <row r="244">
      <c r="L244" s="4"/>
      <c r="M244" s="4"/>
    </row>
    <row r="245">
      <c r="L245" s="4"/>
      <c r="M245" s="4"/>
    </row>
    <row r="246">
      <c r="L246" s="4"/>
      <c r="M246" s="4"/>
    </row>
    <row r="247">
      <c r="L247" s="4"/>
      <c r="M247" s="4"/>
    </row>
    <row r="248">
      <c r="L248" s="4"/>
      <c r="M248" s="4"/>
    </row>
    <row r="249">
      <c r="L249" s="4"/>
      <c r="M249" s="4"/>
    </row>
    <row r="250">
      <c r="L250" s="4"/>
      <c r="M250" s="4"/>
    </row>
    <row r="251">
      <c r="L251" s="4"/>
      <c r="M251" s="4"/>
    </row>
    <row r="252">
      <c r="L252" s="4"/>
      <c r="M252" s="4"/>
    </row>
    <row r="253">
      <c r="L253" s="4"/>
      <c r="M253" s="4"/>
    </row>
    <row r="254">
      <c r="L254" s="4"/>
      <c r="M254" s="4"/>
    </row>
    <row r="255">
      <c r="L255" s="4"/>
      <c r="M255" s="4"/>
    </row>
    <row r="256">
      <c r="L256" s="4"/>
      <c r="M256" s="4"/>
    </row>
    <row r="257">
      <c r="L257" s="4"/>
      <c r="M257" s="4"/>
    </row>
    <row r="258">
      <c r="L258" s="4"/>
      <c r="M258" s="4"/>
    </row>
    <row r="259">
      <c r="L259" s="4"/>
      <c r="M259" s="4"/>
    </row>
    <row r="260">
      <c r="L260" s="4"/>
      <c r="M260" s="4"/>
    </row>
    <row r="261">
      <c r="L261" s="4"/>
      <c r="M261" s="4"/>
    </row>
    <row r="262">
      <c r="L262" s="4"/>
      <c r="M262" s="4"/>
    </row>
    <row r="263">
      <c r="L263" s="4"/>
      <c r="M263" s="4"/>
    </row>
    <row r="264">
      <c r="L264" s="4"/>
      <c r="M264" s="4"/>
    </row>
    <row r="265">
      <c r="L265" s="4"/>
      <c r="M265" s="4"/>
    </row>
    <row r="266">
      <c r="L266" s="4"/>
      <c r="M266" s="4"/>
    </row>
    <row r="267">
      <c r="L267" s="4"/>
      <c r="M267" s="4"/>
    </row>
    <row r="268">
      <c r="L268" s="4"/>
      <c r="M268" s="4"/>
    </row>
    <row r="269">
      <c r="L269" s="4"/>
      <c r="M269" s="4"/>
    </row>
    <row r="270">
      <c r="L270" s="4"/>
      <c r="M270" s="4"/>
    </row>
    <row r="271">
      <c r="L271" s="4"/>
      <c r="M271" s="4"/>
    </row>
    <row r="272">
      <c r="L272" s="4"/>
      <c r="M272" s="4"/>
    </row>
    <row r="273">
      <c r="L273" s="4"/>
      <c r="M273" s="4"/>
    </row>
    <row r="274">
      <c r="L274" s="4"/>
      <c r="M274" s="4"/>
    </row>
    <row r="275">
      <c r="L275" s="4"/>
      <c r="M275" s="4"/>
    </row>
    <row r="276">
      <c r="L276" s="4"/>
      <c r="M276" s="4"/>
    </row>
    <row r="277">
      <c r="L277" s="4"/>
      <c r="M277" s="4"/>
    </row>
    <row r="278">
      <c r="L278" s="4"/>
      <c r="M278" s="4"/>
    </row>
    <row r="279">
      <c r="L279" s="4"/>
      <c r="M279" s="4"/>
    </row>
    <row r="280">
      <c r="L280" s="4"/>
      <c r="M280" s="4"/>
    </row>
    <row r="281">
      <c r="L281" s="4"/>
      <c r="M281" s="4"/>
    </row>
    <row r="282">
      <c r="L282" s="4"/>
      <c r="M282" s="4"/>
    </row>
    <row r="283">
      <c r="L283" s="4"/>
      <c r="M283" s="4"/>
    </row>
    <row r="284">
      <c r="L284" s="4"/>
      <c r="M284" s="4"/>
    </row>
    <row r="285">
      <c r="L285" s="4"/>
      <c r="M285" s="4"/>
    </row>
    <row r="286">
      <c r="L286" s="4"/>
      <c r="M286" s="4"/>
    </row>
    <row r="287">
      <c r="L287" s="4"/>
      <c r="M287" s="4"/>
    </row>
    <row r="288">
      <c r="L288" s="4"/>
      <c r="M288" s="4"/>
    </row>
    <row r="289">
      <c r="L289" s="4"/>
      <c r="M289" s="4"/>
    </row>
    <row r="290">
      <c r="L290" s="4"/>
      <c r="M290" s="4"/>
    </row>
    <row r="291">
      <c r="L291" s="4"/>
      <c r="M291" s="4"/>
    </row>
    <row r="292">
      <c r="L292" s="4"/>
      <c r="M292" s="4"/>
    </row>
    <row r="293">
      <c r="L293" s="4"/>
      <c r="M293" s="4"/>
    </row>
    <row r="294">
      <c r="L294" s="4"/>
      <c r="M294" s="4"/>
    </row>
    <row r="295">
      <c r="L295" s="4"/>
      <c r="M295" s="4"/>
    </row>
    <row r="296">
      <c r="L296" s="4"/>
      <c r="M296" s="4"/>
    </row>
    <row r="297">
      <c r="L297" s="4"/>
      <c r="M297" s="4"/>
    </row>
    <row r="298">
      <c r="L298" s="4"/>
      <c r="M298" s="4"/>
    </row>
    <row r="299">
      <c r="L299" s="4"/>
      <c r="M299" s="4"/>
    </row>
    <row r="300">
      <c r="L300" s="4"/>
      <c r="M300" s="4"/>
    </row>
    <row r="301">
      <c r="L301" s="4"/>
      <c r="M301" s="4"/>
    </row>
    <row r="302">
      <c r="L302" s="4"/>
      <c r="M302" s="4"/>
    </row>
    <row r="303">
      <c r="L303" s="4"/>
      <c r="M303" s="4"/>
    </row>
    <row r="304">
      <c r="L304" s="4"/>
      <c r="M304" s="4"/>
    </row>
    <row r="305">
      <c r="L305" s="4"/>
      <c r="M305" s="4"/>
    </row>
    <row r="306">
      <c r="L306" s="4"/>
      <c r="M306" s="4"/>
    </row>
    <row r="307">
      <c r="L307" s="4"/>
      <c r="M307" s="4"/>
    </row>
    <row r="308">
      <c r="L308" s="4"/>
      <c r="M308" s="4"/>
    </row>
    <row r="309">
      <c r="L309" s="4"/>
      <c r="M309" s="4"/>
    </row>
    <row r="310">
      <c r="L310" s="4"/>
      <c r="M310" s="4"/>
    </row>
    <row r="311">
      <c r="L311" s="4"/>
      <c r="M311" s="4"/>
    </row>
    <row r="312">
      <c r="L312" s="4"/>
      <c r="M312" s="4"/>
    </row>
    <row r="313">
      <c r="L313" s="4"/>
      <c r="M313" s="4"/>
    </row>
    <row r="314">
      <c r="L314" s="4"/>
      <c r="M314" s="4"/>
    </row>
    <row r="315">
      <c r="L315" s="4"/>
      <c r="M315" s="4"/>
    </row>
    <row r="316">
      <c r="L316" s="4"/>
      <c r="M316" s="4"/>
    </row>
    <row r="317">
      <c r="L317" s="4"/>
      <c r="M317" s="4"/>
    </row>
    <row r="318">
      <c r="L318" s="4"/>
      <c r="M318" s="4"/>
    </row>
    <row r="319">
      <c r="L319" s="4"/>
      <c r="M319" s="4"/>
    </row>
    <row r="320">
      <c r="L320" s="4"/>
      <c r="M320" s="4"/>
    </row>
    <row r="321">
      <c r="L321" s="4"/>
      <c r="M321" s="4"/>
    </row>
    <row r="322">
      <c r="L322" s="4"/>
      <c r="M322" s="4"/>
    </row>
    <row r="323">
      <c r="L323" s="4"/>
      <c r="M323" s="4"/>
    </row>
    <row r="324">
      <c r="L324" s="4"/>
      <c r="M324" s="4"/>
    </row>
    <row r="325">
      <c r="L325" s="4"/>
      <c r="M325" s="4"/>
    </row>
    <row r="326">
      <c r="L326" s="4"/>
      <c r="M326" s="4"/>
    </row>
    <row r="327">
      <c r="L327" s="4"/>
      <c r="M327" s="4"/>
    </row>
    <row r="328">
      <c r="L328" s="4"/>
      <c r="M328" s="4"/>
    </row>
    <row r="329">
      <c r="L329" s="4"/>
      <c r="M329" s="4"/>
    </row>
    <row r="330">
      <c r="L330" s="4"/>
      <c r="M330" s="4"/>
    </row>
    <row r="331">
      <c r="L331" s="4"/>
      <c r="M331" s="4"/>
    </row>
    <row r="332">
      <c r="L332" s="4"/>
      <c r="M332" s="4"/>
    </row>
    <row r="333">
      <c r="L333" s="4"/>
      <c r="M333" s="4"/>
    </row>
    <row r="334">
      <c r="L334" s="4"/>
      <c r="M334" s="4"/>
    </row>
    <row r="335">
      <c r="L335" s="4"/>
      <c r="M335" s="4"/>
    </row>
    <row r="336">
      <c r="L336" s="4"/>
      <c r="M336" s="4"/>
    </row>
    <row r="337">
      <c r="L337" s="4"/>
      <c r="M337" s="4"/>
    </row>
    <row r="338">
      <c r="L338" s="4"/>
      <c r="M338" s="4"/>
    </row>
    <row r="339">
      <c r="L339" s="4"/>
      <c r="M339" s="4"/>
    </row>
    <row r="340">
      <c r="L340" s="4"/>
      <c r="M340" s="4"/>
    </row>
    <row r="341">
      <c r="L341" s="4"/>
      <c r="M341" s="4"/>
    </row>
    <row r="342">
      <c r="L342" s="4"/>
      <c r="M342" s="4"/>
    </row>
    <row r="343">
      <c r="L343" s="4"/>
      <c r="M343" s="4"/>
    </row>
    <row r="344">
      <c r="L344" s="4"/>
      <c r="M344" s="4"/>
    </row>
    <row r="345">
      <c r="L345" s="4"/>
      <c r="M345" s="4"/>
    </row>
    <row r="346">
      <c r="L346" s="4"/>
      <c r="M346" s="4"/>
    </row>
    <row r="347">
      <c r="L347" s="4"/>
      <c r="M347" s="4"/>
    </row>
    <row r="348">
      <c r="L348" s="4"/>
      <c r="M348" s="4"/>
    </row>
    <row r="349">
      <c r="L349" s="4"/>
      <c r="M349" s="4"/>
    </row>
    <row r="350">
      <c r="L350" s="4"/>
      <c r="M350" s="4"/>
    </row>
    <row r="351">
      <c r="L351" s="4"/>
      <c r="M351" s="4"/>
    </row>
    <row r="352">
      <c r="L352" s="4"/>
      <c r="M352" s="4"/>
    </row>
    <row r="353">
      <c r="L353" s="4"/>
      <c r="M353" s="4"/>
    </row>
    <row r="354">
      <c r="L354" s="4"/>
      <c r="M354" s="4"/>
    </row>
    <row r="355">
      <c r="L355" s="4"/>
      <c r="M355" s="4"/>
    </row>
    <row r="356">
      <c r="L356" s="4"/>
      <c r="M356" s="4"/>
    </row>
    <row r="357">
      <c r="L357" s="4"/>
      <c r="M357" s="4"/>
    </row>
    <row r="358">
      <c r="L358" s="4"/>
      <c r="M358" s="4"/>
    </row>
    <row r="359">
      <c r="L359" s="4"/>
      <c r="M359" s="4"/>
    </row>
    <row r="360">
      <c r="L360" s="4"/>
      <c r="M360" s="4"/>
    </row>
    <row r="361">
      <c r="L361" s="4"/>
      <c r="M361" s="4"/>
    </row>
    <row r="362">
      <c r="L362" s="4"/>
      <c r="M362" s="4"/>
    </row>
    <row r="363">
      <c r="L363" s="4"/>
      <c r="M363" s="4"/>
    </row>
    <row r="364">
      <c r="L364" s="4"/>
      <c r="M364" s="4"/>
    </row>
    <row r="365">
      <c r="L365" s="4"/>
      <c r="M365" s="4"/>
    </row>
    <row r="366">
      <c r="L366" s="4"/>
      <c r="M366" s="4"/>
    </row>
    <row r="367">
      <c r="L367" s="4"/>
      <c r="M367" s="4"/>
    </row>
    <row r="368">
      <c r="L368" s="4"/>
      <c r="M368" s="4"/>
    </row>
    <row r="369">
      <c r="L369" s="4"/>
      <c r="M369" s="4"/>
    </row>
    <row r="370">
      <c r="L370" s="4"/>
      <c r="M370" s="4"/>
    </row>
    <row r="371">
      <c r="L371" s="4"/>
      <c r="M371" s="4"/>
    </row>
    <row r="372">
      <c r="L372" s="4"/>
      <c r="M372" s="4"/>
    </row>
    <row r="373">
      <c r="L373" s="4"/>
      <c r="M373" s="4"/>
    </row>
    <row r="374">
      <c r="L374" s="4"/>
      <c r="M374" s="4"/>
    </row>
    <row r="375">
      <c r="L375" s="4"/>
      <c r="M375" s="4"/>
    </row>
    <row r="376">
      <c r="L376" s="4"/>
      <c r="M376" s="4"/>
    </row>
    <row r="377">
      <c r="L377" s="4"/>
      <c r="M377" s="4"/>
    </row>
    <row r="378">
      <c r="L378" s="4"/>
      <c r="M378" s="4"/>
    </row>
    <row r="379">
      <c r="L379" s="4"/>
      <c r="M379" s="4"/>
    </row>
    <row r="380">
      <c r="L380" s="4"/>
      <c r="M380" s="4"/>
    </row>
    <row r="381">
      <c r="L381" s="4"/>
      <c r="M381" s="4"/>
    </row>
    <row r="382">
      <c r="L382" s="4"/>
      <c r="M382" s="4"/>
    </row>
    <row r="383">
      <c r="L383" s="4"/>
      <c r="M383" s="4"/>
    </row>
    <row r="384">
      <c r="L384" s="4"/>
      <c r="M384" s="4"/>
    </row>
    <row r="385">
      <c r="L385" s="4"/>
      <c r="M385" s="4"/>
    </row>
    <row r="386">
      <c r="L386" s="4"/>
      <c r="M386" s="4"/>
    </row>
    <row r="387">
      <c r="L387" s="4"/>
      <c r="M387" s="4"/>
    </row>
    <row r="388">
      <c r="L388" s="4"/>
      <c r="M388" s="4"/>
    </row>
    <row r="389">
      <c r="L389" s="4"/>
      <c r="M389" s="4"/>
    </row>
    <row r="390">
      <c r="L390" s="4"/>
      <c r="M390" s="4"/>
    </row>
    <row r="391">
      <c r="L391" s="4"/>
      <c r="M391" s="4"/>
    </row>
    <row r="392">
      <c r="L392" s="4"/>
      <c r="M392" s="4"/>
    </row>
    <row r="393">
      <c r="L393" s="4"/>
      <c r="M393" s="4"/>
    </row>
    <row r="394">
      <c r="L394" s="4"/>
      <c r="M394" s="4"/>
    </row>
    <row r="395">
      <c r="L395" s="4"/>
      <c r="M395" s="4"/>
    </row>
    <row r="396">
      <c r="L396" s="4"/>
      <c r="M396" s="4"/>
    </row>
    <row r="397">
      <c r="L397" s="4"/>
      <c r="M397" s="4"/>
    </row>
    <row r="398">
      <c r="L398" s="4"/>
      <c r="M398" s="4"/>
    </row>
    <row r="399">
      <c r="L399" s="4"/>
      <c r="M399" s="4"/>
    </row>
    <row r="400">
      <c r="L400" s="4"/>
      <c r="M400" s="4"/>
    </row>
    <row r="401">
      <c r="L401" s="4"/>
      <c r="M401" s="4"/>
    </row>
    <row r="402">
      <c r="L402" s="4"/>
      <c r="M402" s="4"/>
    </row>
    <row r="403">
      <c r="L403" s="4"/>
      <c r="M403" s="4"/>
    </row>
    <row r="404">
      <c r="L404" s="4"/>
      <c r="M404" s="4"/>
    </row>
    <row r="405">
      <c r="L405" s="4"/>
      <c r="M405" s="4"/>
    </row>
    <row r="406">
      <c r="L406" s="4"/>
      <c r="M406" s="4"/>
    </row>
    <row r="407">
      <c r="L407" s="4"/>
      <c r="M407" s="4"/>
    </row>
    <row r="408">
      <c r="L408" s="4"/>
      <c r="M408" s="4"/>
    </row>
    <row r="409">
      <c r="L409" s="4"/>
      <c r="M409" s="4"/>
    </row>
    <row r="410">
      <c r="L410" s="4"/>
      <c r="M410" s="4"/>
    </row>
    <row r="411">
      <c r="L411" s="4"/>
      <c r="M411" s="4"/>
    </row>
    <row r="412">
      <c r="L412" s="4"/>
      <c r="M412" s="4"/>
    </row>
    <row r="413">
      <c r="L413" s="4"/>
      <c r="M413" s="4"/>
    </row>
    <row r="414">
      <c r="L414" s="4"/>
      <c r="M414" s="4"/>
    </row>
    <row r="415">
      <c r="L415" s="4"/>
      <c r="M415" s="4"/>
    </row>
    <row r="416">
      <c r="L416" s="4"/>
      <c r="M416" s="4"/>
    </row>
    <row r="417">
      <c r="L417" s="4"/>
      <c r="M417" s="4"/>
    </row>
    <row r="418">
      <c r="L418" s="4"/>
      <c r="M418" s="4"/>
    </row>
    <row r="419">
      <c r="L419" s="4"/>
      <c r="M419" s="4"/>
    </row>
    <row r="420">
      <c r="L420" s="4"/>
      <c r="M420" s="4"/>
    </row>
    <row r="421">
      <c r="L421" s="4"/>
      <c r="M421" s="4"/>
    </row>
    <row r="422">
      <c r="L422" s="4"/>
      <c r="M422" s="4"/>
    </row>
    <row r="423">
      <c r="L423" s="4"/>
      <c r="M423" s="4"/>
    </row>
    <row r="424">
      <c r="L424" s="4"/>
      <c r="M424" s="4"/>
    </row>
    <row r="425">
      <c r="L425" s="4"/>
      <c r="M425" s="4"/>
    </row>
    <row r="426">
      <c r="L426" s="4"/>
      <c r="M426" s="4"/>
    </row>
    <row r="427">
      <c r="L427" s="4"/>
      <c r="M427" s="4"/>
    </row>
    <row r="428">
      <c r="L428" s="4"/>
      <c r="M428" s="4"/>
    </row>
    <row r="429">
      <c r="L429" s="4"/>
      <c r="M429" s="4"/>
    </row>
    <row r="430">
      <c r="L430" s="4"/>
      <c r="M430" s="4"/>
    </row>
    <row r="431">
      <c r="L431" s="4"/>
      <c r="M431" s="4"/>
    </row>
    <row r="432">
      <c r="L432" s="4"/>
      <c r="M432" s="4"/>
    </row>
    <row r="433">
      <c r="L433" s="4"/>
      <c r="M433" s="4"/>
    </row>
    <row r="434">
      <c r="L434" s="4"/>
      <c r="M434" s="4"/>
    </row>
    <row r="435">
      <c r="L435" s="4"/>
      <c r="M435" s="4"/>
    </row>
    <row r="436">
      <c r="L436" s="4"/>
      <c r="M436" s="4"/>
    </row>
    <row r="437">
      <c r="L437" s="4"/>
      <c r="M437" s="4"/>
    </row>
    <row r="438">
      <c r="L438" s="4"/>
      <c r="M438" s="4"/>
    </row>
    <row r="439">
      <c r="L439" s="4"/>
      <c r="M439" s="4"/>
    </row>
    <row r="440">
      <c r="L440" s="4"/>
      <c r="M440" s="4"/>
    </row>
    <row r="441">
      <c r="L441" s="4"/>
      <c r="M441" s="4"/>
    </row>
    <row r="442">
      <c r="L442" s="4"/>
      <c r="M442" s="4"/>
    </row>
    <row r="443">
      <c r="L443" s="4"/>
      <c r="M443" s="4"/>
    </row>
    <row r="444">
      <c r="L444" s="4"/>
      <c r="M444" s="4"/>
    </row>
    <row r="445">
      <c r="L445" s="4"/>
      <c r="M445" s="4"/>
    </row>
    <row r="446">
      <c r="L446" s="4"/>
      <c r="M446" s="4"/>
    </row>
    <row r="447">
      <c r="L447" s="4"/>
      <c r="M447" s="4"/>
    </row>
    <row r="448">
      <c r="L448" s="4"/>
      <c r="M448" s="4"/>
    </row>
    <row r="449">
      <c r="L449" s="4"/>
      <c r="M449" s="4"/>
    </row>
    <row r="450">
      <c r="L450" s="4"/>
      <c r="M450" s="4"/>
    </row>
    <row r="451">
      <c r="L451" s="4"/>
      <c r="M451" s="4"/>
    </row>
    <row r="452">
      <c r="L452" s="4"/>
      <c r="M452" s="4"/>
    </row>
    <row r="453">
      <c r="L453" s="4"/>
      <c r="M453" s="4"/>
    </row>
    <row r="454">
      <c r="L454" s="4"/>
      <c r="M454" s="4"/>
    </row>
    <row r="455">
      <c r="L455" s="4"/>
      <c r="M455" s="4"/>
    </row>
    <row r="456">
      <c r="L456" s="4"/>
      <c r="M456" s="4"/>
    </row>
    <row r="457">
      <c r="L457" s="4"/>
      <c r="M457" s="4"/>
    </row>
    <row r="458">
      <c r="L458" s="4"/>
      <c r="M458" s="4"/>
    </row>
    <row r="459">
      <c r="L459" s="4"/>
      <c r="M459" s="4"/>
    </row>
    <row r="460">
      <c r="L460" s="4"/>
      <c r="M460" s="4"/>
    </row>
    <row r="461">
      <c r="L461" s="4"/>
      <c r="M461" s="4"/>
    </row>
    <row r="462">
      <c r="L462" s="4"/>
      <c r="M462" s="4"/>
    </row>
    <row r="463">
      <c r="L463" s="4"/>
      <c r="M463" s="4"/>
    </row>
    <row r="464">
      <c r="L464" s="4"/>
      <c r="M464" s="4"/>
    </row>
    <row r="465">
      <c r="L465" s="4"/>
      <c r="M465" s="4"/>
    </row>
    <row r="466">
      <c r="L466" s="4"/>
      <c r="M466" s="4"/>
    </row>
    <row r="467">
      <c r="L467" s="4"/>
      <c r="M467" s="4"/>
    </row>
    <row r="468">
      <c r="L468" s="4"/>
      <c r="M468" s="4"/>
    </row>
    <row r="469">
      <c r="L469" s="4"/>
      <c r="M469" s="4"/>
    </row>
    <row r="470">
      <c r="L470" s="4"/>
      <c r="M470" s="4"/>
    </row>
    <row r="471">
      <c r="L471" s="4"/>
      <c r="M471" s="4"/>
    </row>
    <row r="472">
      <c r="L472" s="4"/>
      <c r="M472" s="4"/>
    </row>
    <row r="473">
      <c r="L473" s="4"/>
      <c r="M473" s="4"/>
    </row>
    <row r="474">
      <c r="L474" s="4"/>
      <c r="M474" s="4"/>
    </row>
    <row r="475">
      <c r="L475" s="4"/>
      <c r="M475" s="4"/>
    </row>
    <row r="476">
      <c r="L476" s="4"/>
      <c r="M476" s="4"/>
    </row>
    <row r="477">
      <c r="L477" s="4"/>
      <c r="M477" s="4"/>
    </row>
    <row r="478">
      <c r="L478" s="4"/>
      <c r="M478" s="4"/>
    </row>
    <row r="479">
      <c r="L479" s="4"/>
      <c r="M479" s="4"/>
    </row>
    <row r="480">
      <c r="L480" s="4"/>
      <c r="M480" s="4"/>
    </row>
    <row r="481">
      <c r="L481" s="4"/>
      <c r="M481" s="4"/>
    </row>
    <row r="482">
      <c r="L482" s="4"/>
      <c r="M482" s="4"/>
    </row>
    <row r="483">
      <c r="L483" s="4"/>
      <c r="M483" s="4"/>
    </row>
    <row r="484">
      <c r="L484" s="4"/>
      <c r="M484" s="4"/>
    </row>
    <row r="485">
      <c r="L485" s="4"/>
      <c r="M485" s="4"/>
    </row>
    <row r="486">
      <c r="L486" s="4"/>
      <c r="M486" s="4"/>
    </row>
    <row r="487">
      <c r="L487" s="4"/>
      <c r="M487" s="4"/>
    </row>
    <row r="488">
      <c r="L488" s="4"/>
      <c r="M488" s="4"/>
    </row>
    <row r="489">
      <c r="L489" s="4"/>
      <c r="M489" s="4"/>
    </row>
    <row r="490">
      <c r="L490" s="4"/>
      <c r="M490" s="4"/>
    </row>
    <row r="491">
      <c r="L491" s="4"/>
      <c r="M491" s="4"/>
    </row>
    <row r="492">
      <c r="L492" s="4"/>
      <c r="M492" s="4"/>
    </row>
    <row r="493">
      <c r="L493" s="4"/>
      <c r="M493" s="4"/>
    </row>
    <row r="494">
      <c r="L494" s="4"/>
      <c r="M494" s="4"/>
    </row>
    <row r="495">
      <c r="L495" s="4"/>
      <c r="M495" s="4"/>
    </row>
    <row r="496">
      <c r="L496" s="4"/>
      <c r="M496" s="4"/>
    </row>
    <row r="497">
      <c r="L497" s="4"/>
      <c r="M497" s="4"/>
    </row>
    <row r="498">
      <c r="L498" s="4"/>
      <c r="M498" s="4"/>
    </row>
    <row r="499">
      <c r="L499" s="4"/>
      <c r="M499" s="4"/>
    </row>
    <row r="500">
      <c r="L500" s="4"/>
      <c r="M500" s="4"/>
    </row>
    <row r="501">
      <c r="L501" s="4"/>
      <c r="M501" s="4"/>
    </row>
    <row r="502">
      <c r="L502" s="4"/>
      <c r="M502" s="4"/>
    </row>
    <row r="503">
      <c r="L503" s="4"/>
      <c r="M503" s="4"/>
    </row>
    <row r="504">
      <c r="L504" s="4"/>
      <c r="M504" s="4"/>
    </row>
    <row r="505">
      <c r="L505" s="4"/>
      <c r="M505" s="4"/>
    </row>
    <row r="506">
      <c r="L506" s="4"/>
      <c r="M506" s="4"/>
    </row>
    <row r="507">
      <c r="L507" s="4"/>
      <c r="M507" s="4"/>
    </row>
    <row r="508">
      <c r="L508" s="4"/>
      <c r="M508" s="4"/>
    </row>
    <row r="509">
      <c r="L509" s="4"/>
      <c r="M509" s="4"/>
    </row>
    <row r="510">
      <c r="L510" s="4"/>
      <c r="M510" s="4"/>
    </row>
    <row r="511">
      <c r="L511" s="4"/>
      <c r="M511" s="4"/>
    </row>
    <row r="512">
      <c r="L512" s="4"/>
      <c r="M512" s="4"/>
    </row>
    <row r="513">
      <c r="L513" s="4"/>
      <c r="M513" s="4"/>
    </row>
    <row r="514">
      <c r="L514" s="4"/>
      <c r="M514" s="4"/>
    </row>
    <row r="515">
      <c r="L515" s="4"/>
      <c r="M515" s="4"/>
    </row>
    <row r="516">
      <c r="L516" s="4"/>
      <c r="M516" s="4"/>
    </row>
    <row r="517">
      <c r="L517" s="4"/>
      <c r="M517" s="4"/>
    </row>
    <row r="518">
      <c r="L518" s="4"/>
      <c r="M518" s="4"/>
    </row>
    <row r="519">
      <c r="L519" s="4"/>
      <c r="M519" s="4"/>
    </row>
    <row r="520">
      <c r="L520" s="4"/>
      <c r="M520" s="4"/>
    </row>
    <row r="521">
      <c r="L521" s="4"/>
      <c r="M521" s="4"/>
    </row>
    <row r="522">
      <c r="L522" s="4"/>
      <c r="M522" s="4"/>
    </row>
    <row r="523">
      <c r="L523" s="4"/>
      <c r="M523" s="4"/>
    </row>
    <row r="524">
      <c r="L524" s="4"/>
      <c r="M524" s="4"/>
    </row>
    <row r="525">
      <c r="L525" s="4"/>
      <c r="M525" s="4"/>
    </row>
    <row r="526">
      <c r="L526" s="4"/>
      <c r="M526" s="4"/>
    </row>
    <row r="527">
      <c r="L527" s="4"/>
      <c r="M527" s="4"/>
    </row>
    <row r="528">
      <c r="L528" s="4"/>
      <c r="M528" s="4"/>
    </row>
    <row r="529">
      <c r="L529" s="4"/>
      <c r="M529" s="4"/>
    </row>
    <row r="530">
      <c r="L530" s="4"/>
      <c r="M530" s="4"/>
    </row>
    <row r="531">
      <c r="L531" s="4"/>
      <c r="M531" s="4"/>
    </row>
    <row r="532">
      <c r="L532" s="4"/>
      <c r="M532" s="4"/>
    </row>
    <row r="533">
      <c r="L533" s="4"/>
      <c r="M533" s="4"/>
    </row>
    <row r="534">
      <c r="L534" s="4"/>
      <c r="M534" s="4"/>
    </row>
    <row r="535">
      <c r="L535" s="4"/>
      <c r="M535" s="4"/>
    </row>
    <row r="536">
      <c r="L536" s="4"/>
      <c r="M536" s="4"/>
    </row>
    <row r="537">
      <c r="L537" s="4"/>
      <c r="M537" s="4"/>
    </row>
    <row r="538">
      <c r="L538" s="4"/>
      <c r="M538" s="4"/>
    </row>
    <row r="539">
      <c r="L539" s="4"/>
      <c r="M539" s="4"/>
    </row>
    <row r="540">
      <c r="L540" s="4"/>
      <c r="M540" s="4"/>
    </row>
    <row r="541">
      <c r="L541" s="4"/>
      <c r="M541" s="4"/>
    </row>
    <row r="542">
      <c r="L542" s="4"/>
      <c r="M542" s="4"/>
    </row>
    <row r="543">
      <c r="L543" s="4"/>
      <c r="M543" s="4"/>
    </row>
    <row r="544">
      <c r="L544" s="4"/>
      <c r="M544" s="4"/>
    </row>
    <row r="545">
      <c r="L545" s="4"/>
      <c r="M545" s="4"/>
    </row>
    <row r="546">
      <c r="L546" s="4"/>
      <c r="M546" s="4"/>
    </row>
    <row r="547">
      <c r="L547" s="4"/>
      <c r="M547" s="4"/>
    </row>
    <row r="548">
      <c r="L548" s="4"/>
      <c r="M548" s="4"/>
    </row>
    <row r="549">
      <c r="L549" s="4"/>
      <c r="M549" s="4"/>
    </row>
    <row r="550">
      <c r="L550" s="4"/>
      <c r="M550" s="4"/>
    </row>
    <row r="551">
      <c r="L551" s="4"/>
      <c r="M551" s="4"/>
    </row>
    <row r="552">
      <c r="L552" s="4"/>
      <c r="M552" s="4"/>
    </row>
    <row r="553">
      <c r="L553" s="4"/>
      <c r="M553" s="4"/>
    </row>
    <row r="554">
      <c r="L554" s="4"/>
      <c r="M554" s="4"/>
    </row>
    <row r="555">
      <c r="L555" s="4"/>
      <c r="M555" s="4"/>
    </row>
    <row r="556">
      <c r="L556" s="4"/>
      <c r="M556" s="4"/>
    </row>
    <row r="557">
      <c r="L557" s="4"/>
      <c r="M557" s="4"/>
    </row>
    <row r="558">
      <c r="L558" s="4"/>
      <c r="M558" s="4"/>
    </row>
    <row r="559">
      <c r="L559" s="4"/>
      <c r="M559" s="4"/>
    </row>
    <row r="560">
      <c r="L560" s="4"/>
      <c r="M560" s="4"/>
    </row>
    <row r="561">
      <c r="L561" s="4"/>
      <c r="M561" s="4"/>
    </row>
    <row r="562">
      <c r="L562" s="4"/>
      <c r="M562" s="4"/>
    </row>
    <row r="563">
      <c r="L563" s="4"/>
      <c r="M563" s="4"/>
    </row>
    <row r="564">
      <c r="L564" s="4"/>
      <c r="M564" s="4"/>
    </row>
    <row r="565">
      <c r="L565" s="4"/>
      <c r="M565" s="4"/>
    </row>
    <row r="566">
      <c r="L566" s="4"/>
      <c r="M566" s="4"/>
    </row>
    <row r="567">
      <c r="L567" s="4"/>
      <c r="M567" s="4"/>
    </row>
    <row r="568">
      <c r="L568" s="4"/>
      <c r="M568" s="4"/>
    </row>
    <row r="569">
      <c r="L569" s="4"/>
      <c r="M569" s="4"/>
    </row>
    <row r="570">
      <c r="L570" s="4"/>
      <c r="M570" s="4"/>
    </row>
    <row r="571">
      <c r="L571" s="4"/>
      <c r="M571" s="4"/>
    </row>
    <row r="572">
      <c r="L572" s="4"/>
      <c r="M572" s="4"/>
    </row>
    <row r="573">
      <c r="L573" s="4"/>
      <c r="M573" s="4"/>
    </row>
    <row r="574">
      <c r="L574" s="4"/>
      <c r="M574" s="4"/>
    </row>
    <row r="575">
      <c r="L575" s="4"/>
      <c r="M575" s="4"/>
    </row>
    <row r="576">
      <c r="L576" s="4"/>
      <c r="M576" s="4"/>
    </row>
    <row r="577">
      <c r="L577" s="4"/>
      <c r="M577" s="4"/>
    </row>
    <row r="578">
      <c r="L578" s="4"/>
      <c r="M578" s="4"/>
    </row>
    <row r="579">
      <c r="L579" s="4"/>
      <c r="M579" s="4"/>
    </row>
    <row r="580">
      <c r="L580" s="4"/>
      <c r="M580" s="4"/>
    </row>
    <row r="581">
      <c r="L581" s="4"/>
      <c r="M581" s="4"/>
    </row>
    <row r="582">
      <c r="L582" s="4"/>
      <c r="M582" s="4"/>
    </row>
    <row r="583">
      <c r="L583" s="4"/>
      <c r="M583" s="4"/>
    </row>
    <row r="584">
      <c r="L584" s="4"/>
      <c r="M584" s="4"/>
    </row>
    <row r="585">
      <c r="L585" s="4"/>
      <c r="M585" s="4"/>
    </row>
    <row r="586">
      <c r="L586" s="4"/>
      <c r="M586" s="4"/>
    </row>
    <row r="587">
      <c r="L587" s="4"/>
      <c r="M587" s="4"/>
    </row>
    <row r="588">
      <c r="L588" s="4"/>
      <c r="M588" s="4"/>
    </row>
    <row r="589">
      <c r="L589" s="4"/>
      <c r="M589" s="4"/>
    </row>
    <row r="590">
      <c r="L590" s="4"/>
      <c r="M590" s="4"/>
    </row>
    <row r="591">
      <c r="L591" s="4"/>
      <c r="M591" s="4"/>
    </row>
    <row r="592">
      <c r="L592" s="4"/>
      <c r="M592" s="4"/>
    </row>
    <row r="593">
      <c r="L593" s="4"/>
      <c r="M593" s="4"/>
    </row>
    <row r="594">
      <c r="L594" s="4"/>
      <c r="M594" s="4"/>
    </row>
    <row r="595">
      <c r="L595" s="4"/>
      <c r="M595" s="4"/>
    </row>
    <row r="596">
      <c r="L596" s="4"/>
      <c r="M596" s="4"/>
    </row>
    <row r="597">
      <c r="L597" s="4"/>
      <c r="M597" s="4"/>
    </row>
    <row r="598">
      <c r="L598" s="4"/>
      <c r="M598" s="4"/>
    </row>
    <row r="599">
      <c r="L599" s="4"/>
      <c r="M599" s="4"/>
    </row>
    <row r="600">
      <c r="L600" s="4"/>
      <c r="M600" s="4"/>
    </row>
    <row r="601">
      <c r="L601" s="4"/>
      <c r="M601" s="4"/>
    </row>
    <row r="602">
      <c r="L602" s="4"/>
      <c r="M602" s="4"/>
    </row>
    <row r="603">
      <c r="L603" s="4"/>
      <c r="M603" s="4"/>
    </row>
    <row r="604">
      <c r="L604" s="4"/>
      <c r="M604" s="4"/>
    </row>
    <row r="605">
      <c r="L605" s="4"/>
      <c r="M605" s="4"/>
    </row>
    <row r="606">
      <c r="L606" s="4"/>
      <c r="M606" s="4"/>
    </row>
    <row r="607">
      <c r="L607" s="4"/>
      <c r="M607" s="4"/>
    </row>
    <row r="608">
      <c r="L608" s="4"/>
      <c r="M608" s="4"/>
    </row>
    <row r="609">
      <c r="L609" s="4"/>
      <c r="M609" s="4"/>
    </row>
    <row r="610">
      <c r="L610" s="4"/>
      <c r="M610" s="4"/>
    </row>
    <row r="611">
      <c r="L611" s="4"/>
      <c r="M611" s="4"/>
    </row>
    <row r="612">
      <c r="L612" s="4"/>
      <c r="M612" s="4"/>
    </row>
    <row r="613">
      <c r="L613" s="4"/>
      <c r="M613" s="4"/>
    </row>
    <row r="614">
      <c r="L614" s="4"/>
      <c r="M614" s="4"/>
    </row>
    <row r="615">
      <c r="L615" s="4"/>
      <c r="M615" s="4"/>
    </row>
    <row r="616">
      <c r="L616" s="4"/>
      <c r="M616" s="4"/>
    </row>
    <row r="617">
      <c r="L617" s="4"/>
      <c r="M617" s="4"/>
    </row>
    <row r="618">
      <c r="L618" s="4"/>
      <c r="M618" s="4"/>
    </row>
    <row r="619">
      <c r="L619" s="4"/>
      <c r="M619" s="4"/>
    </row>
    <row r="620">
      <c r="L620" s="4"/>
      <c r="M620" s="4"/>
    </row>
    <row r="621">
      <c r="L621" s="4"/>
      <c r="M621" s="4"/>
    </row>
    <row r="622">
      <c r="L622" s="4"/>
      <c r="M622" s="4"/>
    </row>
    <row r="623">
      <c r="L623" s="4"/>
      <c r="M623" s="4"/>
    </row>
    <row r="624">
      <c r="L624" s="4"/>
      <c r="M624" s="4"/>
    </row>
    <row r="625">
      <c r="L625" s="4"/>
      <c r="M625" s="4"/>
    </row>
    <row r="626">
      <c r="L626" s="4"/>
      <c r="M626" s="4"/>
    </row>
    <row r="627">
      <c r="L627" s="4"/>
      <c r="M627" s="4"/>
    </row>
    <row r="628">
      <c r="L628" s="4"/>
      <c r="M628" s="4"/>
    </row>
    <row r="629">
      <c r="L629" s="4"/>
      <c r="M629" s="4"/>
    </row>
    <row r="630">
      <c r="L630" s="4"/>
      <c r="M630" s="4"/>
    </row>
    <row r="631">
      <c r="L631" s="4"/>
      <c r="M631" s="4"/>
    </row>
    <row r="632">
      <c r="L632" s="4"/>
      <c r="M632" s="4"/>
    </row>
    <row r="633">
      <c r="L633" s="4"/>
      <c r="M633" s="4"/>
    </row>
    <row r="634">
      <c r="L634" s="4"/>
      <c r="M634" s="4"/>
    </row>
    <row r="635">
      <c r="L635" s="4"/>
      <c r="M635" s="4"/>
    </row>
    <row r="636">
      <c r="L636" s="4"/>
      <c r="M636" s="4"/>
    </row>
    <row r="637">
      <c r="L637" s="4"/>
      <c r="M637" s="4"/>
    </row>
    <row r="638">
      <c r="L638" s="4"/>
      <c r="M638" s="4"/>
    </row>
    <row r="639">
      <c r="L639" s="4"/>
      <c r="M639" s="4"/>
    </row>
    <row r="640">
      <c r="L640" s="4"/>
      <c r="M640" s="4"/>
    </row>
    <row r="641">
      <c r="L641" s="4"/>
      <c r="M641" s="4"/>
    </row>
    <row r="642">
      <c r="L642" s="4"/>
      <c r="M642" s="4"/>
    </row>
    <row r="643">
      <c r="L643" s="4"/>
      <c r="M643" s="4"/>
    </row>
    <row r="644">
      <c r="L644" s="4"/>
      <c r="M644" s="4"/>
    </row>
    <row r="645">
      <c r="L645" s="4"/>
      <c r="M645" s="4"/>
    </row>
    <row r="646">
      <c r="L646" s="4"/>
      <c r="M646" s="4"/>
    </row>
    <row r="647">
      <c r="L647" s="4"/>
      <c r="M647" s="4"/>
    </row>
    <row r="648">
      <c r="L648" s="4"/>
      <c r="M648" s="4"/>
    </row>
    <row r="649">
      <c r="L649" s="4"/>
      <c r="M649" s="4"/>
    </row>
    <row r="650">
      <c r="L650" s="4"/>
      <c r="M650" s="4"/>
    </row>
    <row r="651">
      <c r="L651" s="4"/>
      <c r="M651" s="4"/>
    </row>
    <row r="652">
      <c r="L652" s="4"/>
      <c r="M652" s="4"/>
    </row>
    <row r="653">
      <c r="L653" s="4"/>
      <c r="M653" s="4"/>
    </row>
    <row r="654">
      <c r="L654" s="4"/>
      <c r="M654" s="4"/>
    </row>
    <row r="655">
      <c r="L655" s="4"/>
      <c r="M655" s="4"/>
    </row>
    <row r="656">
      <c r="L656" s="4"/>
      <c r="M656" s="4"/>
    </row>
    <row r="657">
      <c r="L657" s="4"/>
      <c r="M657" s="4"/>
    </row>
    <row r="658">
      <c r="L658" s="4"/>
      <c r="M658" s="4"/>
    </row>
    <row r="659">
      <c r="L659" s="4"/>
      <c r="M659" s="4"/>
    </row>
    <row r="660">
      <c r="L660" s="4"/>
      <c r="M660" s="4"/>
    </row>
    <row r="661">
      <c r="L661" s="4"/>
      <c r="M661" s="4"/>
    </row>
    <row r="662">
      <c r="L662" s="4"/>
      <c r="M662" s="4"/>
    </row>
    <row r="663">
      <c r="L663" s="4"/>
      <c r="M663" s="4"/>
    </row>
    <row r="664">
      <c r="L664" s="4"/>
      <c r="M664" s="4"/>
    </row>
    <row r="665">
      <c r="L665" s="4"/>
      <c r="M665" s="4"/>
    </row>
    <row r="666">
      <c r="L666" s="4"/>
      <c r="M666" s="4"/>
    </row>
    <row r="667">
      <c r="L667" s="4"/>
      <c r="M667" s="4"/>
    </row>
    <row r="668">
      <c r="L668" s="4"/>
      <c r="M668" s="4"/>
    </row>
    <row r="669">
      <c r="L669" s="4"/>
      <c r="M669" s="4"/>
    </row>
    <row r="670">
      <c r="L670" s="4"/>
      <c r="M670" s="4"/>
    </row>
    <row r="671">
      <c r="L671" s="4"/>
      <c r="M671" s="4"/>
    </row>
    <row r="672">
      <c r="L672" s="4"/>
      <c r="M672" s="4"/>
    </row>
    <row r="673">
      <c r="L673" s="4"/>
      <c r="M673" s="4"/>
    </row>
    <row r="674">
      <c r="L674" s="4"/>
      <c r="M674" s="4"/>
    </row>
    <row r="675">
      <c r="L675" s="4"/>
      <c r="M675" s="4"/>
    </row>
    <row r="676">
      <c r="L676" s="4"/>
      <c r="M676" s="4"/>
    </row>
    <row r="677">
      <c r="L677" s="4"/>
      <c r="M677" s="4"/>
    </row>
    <row r="678">
      <c r="L678" s="4"/>
      <c r="M678" s="4"/>
    </row>
    <row r="679">
      <c r="L679" s="4"/>
      <c r="M679" s="4"/>
    </row>
    <row r="680">
      <c r="L680" s="4"/>
      <c r="M680" s="4"/>
    </row>
    <row r="681">
      <c r="L681" s="4"/>
      <c r="M681" s="4"/>
    </row>
    <row r="682">
      <c r="L682" s="4"/>
      <c r="M682" s="4"/>
    </row>
    <row r="683">
      <c r="L683" s="4"/>
      <c r="M683" s="4"/>
    </row>
    <row r="684">
      <c r="L684" s="4"/>
      <c r="M684" s="4"/>
    </row>
    <row r="685">
      <c r="L685" s="4"/>
      <c r="M685" s="4"/>
    </row>
    <row r="686">
      <c r="L686" s="4"/>
      <c r="M686" s="4"/>
    </row>
    <row r="687">
      <c r="L687" s="4"/>
      <c r="M687" s="4"/>
    </row>
    <row r="688">
      <c r="L688" s="4"/>
      <c r="M688" s="4"/>
    </row>
    <row r="689">
      <c r="L689" s="4"/>
      <c r="M689" s="4"/>
    </row>
    <row r="690">
      <c r="L690" s="4"/>
      <c r="M690" s="4"/>
    </row>
    <row r="691">
      <c r="L691" s="4"/>
      <c r="M691" s="4"/>
    </row>
    <row r="692">
      <c r="L692" s="4"/>
      <c r="M692" s="4"/>
    </row>
    <row r="693">
      <c r="L693" s="4"/>
      <c r="M693" s="4"/>
    </row>
    <row r="694">
      <c r="L694" s="4"/>
      <c r="M694" s="4"/>
    </row>
    <row r="695">
      <c r="L695" s="4"/>
      <c r="M695" s="4"/>
    </row>
    <row r="696">
      <c r="L696" s="4"/>
      <c r="M696" s="4"/>
    </row>
    <row r="697">
      <c r="L697" s="4"/>
      <c r="M697" s="4"/>
    </row>
    <row r="698">
      <c r="L698" s="4"/>
      <c r="M698" s="4"/>
    </row>
    <row r="699">
      <c r="L699" s="4"/>
      <c r="M699" s="4"/>
    </row>
    <row r="700">
      <c r="L700" s="4"/>
      <c r="M700" s="4"/>
    </row>
    <row r="701">
      <c r="L701" s="4"/>
      <c r="M701" s="4"/>
    </row>
    <row r="702">
      <c r="L702" s="4"/>
      <c r="M702" s="4"/>
    </row>
    <row r="703">
      <c r="L703" s="4"/>
      <c r="M703" s="4"/>
    </row>
    <row r="704">
      <c r="L704" s="4"/>
      <c r="M704" s="4"/>
    </row>
    <row r="705">
      <c r="L705" s="4"/>
      <c r="M705" s="4"/>
    </row>
    <row r="706">
      <c r="L706" s="4"/>
      <c r="M706" s="4"/>
    </row>
    <row r="707">
      <c r="L707" s="4"/>
      <c r="M707" s="4"/>
    </row>
    <row r="708">
      <c r="L708" s="4"/>
      <c r="M708" s="4"/>
    </row>
    <row r="709">
      <c r="L709" s="4"/>
      <c r="M709" s="4"/>
    </row>
    <row r="710">
      <c r="L710" s="4"/>
      <c r="M710" s="4"/>
    </row>
    <row r="711">
      <c r="L711" s="4"/>
      <c r="M711" s="4"/>
    </row>
    <row r="712">
      <c r="L712" s="4"/>
      <c r="M712" s="4"/>
    </row>
    <row r="713">
      <c r="L713" s="4"/>
      <c r="M713" s="4"/>
    </row>
    <row r="714">
      <c r="L714" s="4"/>
      <c r="M714" s="4"/>
    </row>
    <row r="715">
      <c r="L715" s="4"/>
      <c r="M715" s="4"/>
    </row>
    <row r="716">
      <c r="L716" s="4"/>
      <c r="M716" s="4"/>
    </row>
    <row r="717">
      <c r="L717" s="4"/>
      <c r="M717" s="4"/>
    </row>
    <row r="718">
      <c r="L718" s="4"/>
      <c r="M718" s="4"/>
    </row>
    <row r="719">
      <c r="L719" s="4"/>
      <c r="M719" s="4"/>
    </row>
    <row r="720">
      <c r="L720" s="4"/>
      <c r="M720" s="4"/>
    </row>
    <row r="721">
      <c r="L721" s="4"/>
      <c r="M721" s="4"/>
    </row>
    <row r="722">
      <c r="L722" s="4"/>
      <c r="M722" s="4"/>
    </row>
    <row r="723">
      <c r="L723" s="4"/>
      <c r="M723" s="4"/>
    </row>
    <row r="724">
      <c r="L724" s="4"/>
      <c r="M724" s="4"/>
    </row>
    <row r="725">
      <c r="L725" s="4"/>
      <c r="M725" s="4"/>
    </row>
    <row r="726">
      <c r="L726" s="4"/>
      <c r="M726" s="4"/>
    </row>
    <row r="727">
      <c r="L727" s="4"/>
      <c r="M727" s="4"/>
    </row>
    <row r="728">
      <c r="L728" s="4"/>
      <c r="M728" s="4"/>
    </row>
    <row r="729">
      <c r="L729" s="4"/>
      <c r="M729" s="4"/>
    </row>
    <row r="730">
      <c r="L730" s="4"/>
      <c r="M730" s="4"/>
    </row>
    <row r="731">
      <c r="L731" s="4"/>
      <c r="M731" s="4"/>
    </row>
    <row r="732">
      <c r="L732" s="4"/>
      <c r="M732" s="4"/>
    </row>
    <row r="733">
      <c r="L733" s="4"/>
      <c r="M733" s="4"/>
    </row>
    <row r="734">
      <c r="L734" s="4"/>
      <c r="M734" s="4"/>
    </row>
    <row r="735">
      <c r="L735" s="4"/>
      <c r="M735" s="4"/>
    </row>
    <row r="736">
      <c r="L736" s="4"/>
      <c r="M736" s="4"/>
    </row>
    <row r="737">
      <c r="L737" s="4"/>
      <c r="M737" s="4"/>
    </row>
    <row r="738">
      <c r="L738" s="4"/>
      <c r="M738" s="4"/>
    </row>
    <row r="739">
      <c r="L739" s="4"/>
      <c r="M739" s="4"/>
    </row>
    <row r="740">
      <c r="L740" s="4"/>
      <c r="M740" s="4"/>
    </row>
    <row r="741">
      <c r="L741" s="4"/>
      <c r="M741" s="4"/>
    </row>
    <row r="742">
      <c r="L742" s="4"/>
      <c r="M742" s="4"/>
    </row>
    <row r="743">
      <c r="L743" s="4"/>
      <c r="M743" s="4"/>
    </row>
    <row r="744">
      <c r="L744" s="4"/>
      <c r="M744" s="4"/>
    </row>
    <row r="745">
      <c r="L745" s="4"/>
      <c r="M745" s="4"/>
    </row>
    <row r="746">
      <c r="L746" s="4"/>
      <c r="M746" s="4"/>
    </row>
    <row r="747">
      <c r="L747" s="4"/>
      <c r="M747" s="4"/>
    </row>
    <row r="748">
      <c r="L748" s="4"/>
      <c r="M748" s="4"/>
    </row>
    <row r="749">
      <c r="L749" s="4"/>
      <c r="M749" s="4"/>
    </row>
    <row r="750">
      <c r="L750" s="4"/>
      <c r="M750" s="4"/>
    </row>
    <row r="751">
      <c r="L751" s="4"/>
      <c r="M751" s="4"/>
    </row>
    <row r="752">
      <c r="L752" s="4"/>
      <c r="M752" s="4"/>
    </row>
    <row r="753">
      <c r="L753" s="4"/>
      <c r="M753" s="4"/>
    </row>
    <row r="754">
      <c r="L754" s="4"/>
      <c r="M754" s="4"/>
    </row>
    <row r="755">
      <c r="L755" s="4"/>
      <c r="M755" s="4"/>
    </row>
    <row r="756">
      <c r="L756" s="4"/>
      <c r="M756" s="4"/>
    </row>
    <row r="757">
      <c r="L757" s="4"/>
      <c r="M757" s="4"/>
    </row>
    <row r="758">
      <c r="L758" s="4"/>
      <c r="M758" s="4"/>
    </row>
    <row r="759">
      <c r="L759" s="4"/>
      <c r="M759" s="4"/>
    </row>
    <row r="760">
      <c r="L760" s="4"/>
      <c r="M760" s="4"/>
    </row>
    <row r="761">
      <c r="L761" s="4"/>
      <c r="M761" s="4"/>
    </row>
    <row r="762">
      <c r="L762" s="4"/>
      <c r="M762" s="4"/>
    </row>
    <row r="763">
      <c r="L763" s="4"/>
      <c r="M763" s="4"/>
    </row>
    <row r="764">
      <c r="L764" s="4"/>
      <c r="M764" s="4"/>
    </row>
    <row r="765">
      <c r="L765" s="4"/>
      <c r="M765" s="4"/>
    </row>
    <row r="766">
      <c r="L766" s="4"/>
      <c r="M766" s="4"/>
    </row>
    <row r="767">
      <c r="L767" s="4"/>
      <c r="M767" s="4"/>
    </row>
    <row r="768">
      <c r="L768" s="4"/>
      <c r="M768" s="4"/>
    </row>
    <row r="769">
      <c r="L769" s="4"/>
      <c r="M769" s="4"/>
    </row>
    <row r="770">
      <c r="L770" s="4"/>
      <c r="M770" s="4"/>
    </row>
    <row r="771">
      <c r="L771" s="4"/>
      <c r="M771" s="4"/>
    </row>
    <row r="772">
      <c r="L772" s="4"/>
      <c r="M772" s="4"/>
    </row>
    <row r="773">
      <c r="L773" s="4"/>
      <c r="M773" s="4"/>
    </row>
    <row r="774">
      <c r="L774" s="4"/>
      <c r="M774" s="4"/>
    </row>
    <row r="775">
      <c r="L775" s="4"/>
      <c r="M775" s="4"/>
    </row>
    <row r="776">
      <c r="L776" s="4"/>
      <c r="M776" s="4"/>
    </row>
    <row r="777">
      <c r="L777" s="4"/>
      <c r="M777" s="4"/>
    </row>
    <row r="778">
      <c r="L778" s="4"/>
      <c r="M778" s="4"/>
    </row>
    <row r="779">
      <c r="L779" s="4"/>
      <c r="M779" s="4"/>
    </row>
    <row r="780">
      <c r="L780" s="4"/>
      <c r="M780" s="4"/>
    </row>
    <row r="781">
      <c r="L781" s="4"/>
      <c r="M781" s="4"/>
    </row>
    <row r="782">
      <c r="L782" s="4"/>
      <c r="M782" s="4"/>
    </row>
    <row r="783">
      <c r="L783" s="4"/>
      <c r="M783" s="4"/>
    </row>
    <row r="784">
      <c r="L784" s="4"/>
      <c r="M784" s="4"/>
    </row>
    <row r="785">
      <c r="L785" s="4"/>
      <c r="M785" s="4"/>
    </row>
    <row r="786">
      <c r="L786" s="4"/>
      <c r="M786" s="4"/>
    </row>
    <row r="787">
      <c r="L787" s="4"/>
      <c r="M787" s="4"/>
    </row>
    <row r="788">
      <c r="L788" s="4"/>
      <c r="M788" s="4"/>
    </row>
    <row r="789">
      <c r="L789" s="4"/>
      <c r="M789" s="4"/>
    </row>
    <row r="790">
      <c r="L790" s="4"/>
      <c r="M790" s="4"/>
    </row>
    <row r="791">
      <c r="L791" s="4"/>
      <c r="M791" s="4"/>
    </row>
    <row r="792">
      <c r="L792" s="4"/>
      <c r="M792" s="4"/>
    </row>
    <row r="793">
      <c r="L793" s="4"/>
      <c r="M793" s="4"/>
    </row>
    <row r="794">
      <c r="L794" s="4"/>
      <c r="M794" s="4"/>
    </row>
    <row r="795">
      <c r="L795" s="4"/>
      <c r="M795" s="4"/>
    </row>
    <row r="796">
      <c r="L796" s="4"/>
      <c r="M796" s="4"/>
    </row>
    <row r="797">
      <c r="L797" s="4"/>
      <c r="M797" s="4"/>
    </row>
    <row r="798">
      <c r="L798" s="4"/>
      <c r="M798" s="4"/>
    </row>
    <row r="799">
      <c r="L799" s="4"/>
      <c r="M799" s="4"/>
    </row>
    <row r="800">
      <c r="L800" s="4"/>
      <c r="M800" s="4"/>
    </row>
    <row r="801">
      <c r="L801" s="4"/>
      <c r="M801" s="4"/>
    </row>
    <row r="802">
      <c r="L802" s="4"/>
      <c r="M802" s="4"/>
    </row>
    <row r="803">
      <c r="L803" s="4"/>
      <c r="M803" s="4"/>
    </row>
    <row r="804">
      <c r="L804" s="4"/>
      <c r="M804" s="4"/>
    </row>
    <row r="805">
      <c r="L805" s="4"/>
      <c r="M805" s="4"/>
    </row>
    <row r="806">
      <c r="L806" s="4"/>
      <c r="M806" s="4"/>
    </row>
    <row r="807">
      <c r="L807" s="4"/>
      <c r="M807" s="4"/>
    </row>
    <row r="808">
      <c r="L808" s="4"/>
      <c r="M808" s="4"/>
    </row>
    <row r="809">
      <c r="L809" s="4"/>
      <c r="M809" s="4"/>
    </row>
    <row r="810">
      <c r="L810" s="4"/>
      <c r="M810" s="4"/>
    </row>
    <row r="811">
      <c r="L811" s="4"/>
      <c r="M811" s="4"/>
    </row>
    <row r="812">
      <c r="L812" s="4"/>
      <c r="M812" s="4"/>
    </row>
    <row r="813">
      <c r="L813" s="4"/>
      <c r="M813" s="4"/>
    </row>
    <row r="814">
      <c r="L814" s="4"/>
      <c r="M814" s="4"/>
    </row>
    <row r="815">
      <c r="L815" s="4"/>
      <c r="M815" s="4"/>
    </row>
    <row r="816">
      <c r="L816" s="4"/>
      <c r="M816" s="4"/>
    </row>
    <row r="817">
      <c r="L817" s="4"/>
      <c r="M817" s="4"/>
    </row>
    <row r="818">
      <c r="L818" s="4"/>
      <c r="M818" s="4"/>
    </row>
    <row r="819">
      <c r="L819" s="4"/>
      <c r="M819" s="4"/>
    </row>
    <row r="820">
      <c r="L820" s="4"/>
      <c r="M820" s="4"/>
    </row>
    <row r="821">
      <c r="L821" s="4"/>
      <c r="M821" s="4"/>
    </row>
    <row r="822">
      <c r="L822" s="4"/>
      <c r="M822" s="4"/>
    </row>
    <row r="823">
      <c r="L823" s="4"/>
      <c r="M823" s="4"/>
    </row>
    <row r="824">
      <c r="L824" s="4"/>
      <c r="M824" s="4"/>
    </row>
    <row r="825">
      <c r="L825" s="4"/>
      <c r="M825" s="4"/>
    </row>
    <row r="826">
      <c r="L826" s="4"/>
      <c r="M826" s="4"/>
    </row>
    <row r="827">
      <c r="L827" s="4"/>
      <c r="M827" s="4"/>
    </row>
    <row r="828">
      <c r="L828" s="4"/>
      <c r="M828" s="4"/>
    </row>
    <row r="829">
      <c r="L829" s="4"/>
      <c r="M829" s="4"/>
    </row>
    <row r="830">
      <c r="L830" s="4"/>
      <c r="M830" s="4"/>
    </row>
    <row r="831">
      <c r="L831" s="4"/>
      <c r="M831" s="4"/>
    </row>
    <row r="832">
      <c r="L832" s="4"/>
      <c r="M832" s="4"/>
    </row>
    <row r="833">
      <c r="L833" s="4"/>
      <c r="M833" s="4"/>
    </row>
    <row r="834">
      <c r="L834" s="4"/>
      <c r="M834" s="4"/>
    </row>
    <row r="835">
      <c r="L835" s="4"/>
      <c r="M835" s="4"/>
    </row>
    <row r="836">
      <c r="L836" s="4"/>
      <c r="M836" s="4"/>
    </row>
    <row r="837">
      <c r="L837" s="4"/>
      <c r="M837" s="4"/>
    </row>
    <row r="838">
      <c r="L838" s="4"/>
      <c r="M838" s="4"/>
    </row>
    <row r="839">
      <c r="L839" s="4"/>
      <c r="M839" s="4"/>
    </row>
    <row r="840">
      <c r="L840" s="4"/>
      <c r="M840" s="4"/>
    </row>
    <row r="841">
      <c r="L841" s="4"/>
      <c r="M841" s="4"/>
    </row>
    <row r="842">
      <c r="L842" s="4"/>
      <c r="M842" s="4"/>
    </row>
    <row r="843">
      <c r="L843" s="4"/>
      <c r="M843" s="4"/>
    </row>
    <row r="844">
      <c r="L844" s="4"/>
      <c r="M844" s="4"/>
    </row>
    <row r="845">
      <c r="L845" s="4"/>
      <c r="M845" s="4"/>
    </row>
    <row r="846">
      <c r="L846" s="4"/>
      <c r="M846" s="4"/>
    </row>
    <row r="847">
      <c r="L847" s="4"/>
      <c r="M847" s="4"/>
    </row>
    <row r="848">
      <c r="L848" s="4"/>
      <c r="M848" s="4"/>
    </row>
    <row r="849">
      <c r="L849" s="4"/>
      <c r="M849" s="4"/>
    </row>
    <row r="850">
      <c r="L850" s="4"/>
      <c r="M850" s="4"/>
    </row>
    <row r="851">
      <c r="L851" s="4"/>
      <c r="M851" s="4"/>
    </row>
    <row r="852">
      <c r="L852" s="4"/>
      <c r="M852" s="4"/>
    </row>
    <row r="853">
      <c r="L853" s="4"/>
      <c r="M853" s="4"/>
    </row>
    <row r="854">
      <c r="L854" s="4"/>
      <c r="M854" s="4"/>
    </row>
    <row r="855">
      <c r="L855" s="4"/>
      <c r="M855" s="4"/>
    </row>
    <row r="856">
      <c r="L856" s="4"/>
      <c r="M856" s="4"/>
    </row>
    <row r="857">
      <c r="L857" s="4"/>
      <c r="M857" s="4"/>
    </row>
    <row r="858">
      <c r="L858" s="4"/>
      <c r="M858" s="4"/>
    </row>
    <row r="859">
      <c r="L859" s="4"/>
      <c r="M859" s="4"/>
    </row>
    <row r="860">
      <c r="L860" s="4"/>
      <c r="M860" s="4"/>
    </row>
    <row r="861">
      <c r="L861" s="4"/>
      <c r="M861" s="4"/>
    </row>
    <row r="862">
      <c r="L862" s="4"/>
      <c r="M862" s="4"/>
    </row>
    <row r="863">
      <c r="L863" s="4"/>
      <c r="M863" s="4"/>
    </row>
    <row r="864">
      <c r="L864" s="4"/>
      <c r="M864" s="4"/>
    </row>
    <row r="865">
      <c r="L865" s="4"/>
      <c r="M865" s="4"/>
    </row>
    <row r="866">
      <c r="L866" s="4"/>
      <c r="M866" s="4"/>
    </row>
    <row r="867">
      <c r="L867" s="4"/>
      <c r="M867" s="4"/>
    </row>
    <row r="868">
      <c r="L868" s="4"/>
      <c r="M868" s="4"/>
    </row>
    <row r="869">
      <c r="L869" s="4"/>
      <c r="M869" s="4"/>
    </row>
    <row r="870">
      <c r="L870" s="4"/>
      <c r="M870" s="4"/>
    </row>
    <row r="871">
      <c r="L871" s="4"/>
      <c r="M871" s="4"/>
    </row>
    <row r="872">
      <c r="L872" s="4"/>
      <c r="M872" s="4"/>
    </row>
    <row r="873">
      <c r="L873" s="4"/>
      <c r="M873" s="4"/>
    </row>
    <row r="874">
      <c r="L874" s="4"/>
      <c r="M874" s="4"/>
    </row>
    <row r="875">
      <c r="L875" s="4"/>
      <c r="M875" s="4"/>
    </row>
    <row r="876">
      <c r="L876" s="4"/>
      <c r="M876" s="4"/>
    </row>
    <row r="877">
      <c r="L877" s="4"/>
      <c r="M877" s="4"/>
    </row>
    <row r="878">
      <c r="L878" s="4"/>
      <c r="M878" s="4"/>
    </row>
    <row r="879">
      <c r="L879" s="4"/>
      <c r="M879" s="4"/>
    </row>
    <row r="880">
      <c r="L880" s="4"/>
      <c r="M880" s="4"/>
    </row>
    <row r="881">
      <c r="L881" s="4"/>
      <c r="M881" s="4"/>
    </row>
    <row r="882">
      <c r="L882" s="4"/>
      <c r="M882" s="4"/>
    </row>
    <row r="883">
      <c r="L883" s="4"/>
      <c r="M883" s="4"/>
    </row>
    <row r="884">
      <c r="L884" s="4"/>
      <c r="M884" s="4"/>
    </row>
    <row r="885">
      <c r="L885" s="4"/>
      <c r="M885" s="4"/>
    </row>
    <row r="886">
      <c r="L886" s="4"/>
      <c r="M886" s="4"/>
    </row>
    <row r="887">
      <c r="L887" s="4"/>
      <c r="M887" s="4"/>
    </row>
    <row r="888">
      <c r="L888" s="4"/>
      <c r="M888" s="4"/>
    </row>
    <row r="889">
      <c r="L889" s="4"/>
      <c r="M889" s="4"/>
    </row>
    <row r="890">
      <c r="L890" s="4"/>
      <c r="M890" s="4"/>
    </row>
    <row r="891">
      <c r="L891" s="4"/>
      <c r="M891" s="4"/>
    </row>
    <row r="892">
      <c r="L892" s="4"/>
      <c r="M892" s="4"/>
    </row>
    <row r="893">
      <c r="L893" s="4"/>
      <c r="M893" s="4"/>
    </row>
    <row r="894">
      <c r="L894" s="4"/>
      <c r="M894" s="4"/>
    </row>
    <row r="895">
      <c r="L895" s="4"/>
      <c r="M895" s="4"/>
    </row>
    <row r="896">
      <c r="L896" s="4"/>
      <c r="M896" s="4"/>
    </row>
    <row r="897">
      <c r="L897" s="4"/>
      <c r="M897" s="4"/>
    </row>
    <row r="898">
      <c r="L898" s="4"/>
      <c r="M898" s="4"/>
    </row>
    <row r="899">
      <c r="L899" s="4"/>
      <c r="M899" s="4"/>
    </row>
    <row r="900">
      <c r="L900" s="4"/>
      <c r="M900" s="4"/>
    </row>
    <row r="901">
      <c r="L901" s="4"/>
      <c r="M901" s="4"/>
    </row>
    <row r="902">
      <c r="L902" s="4"/>
      <c r="M902" s="4"/>
    </row>
    <row r="903">
      <c r="L903" s="4"/>
      <c r="M903" s="4"/>
    </row>
    <row r="904">
      <c r="L904" s="4"/>
      <c r="M904" s="4"/>
    </row>
    <row r="905">
      <c r="L905" s="4"/>
      <c r="M905" s="4"/>
    </row>
    <row r="906">
      <c r="L906" s="4"/>
      <c r="M906" s="4"/>
    </row>
    <row r="907">
      <c r="L907" s="4"/>
      <c r="M907" s="4"/>
    </row>
    <row r="908">
      <c r="L908" s="4"/>
      <c r="M908" s="4"/>
    </row>
    <row r="909">
      <c r="L909" s="4"/>
      <c r="M909" s="4"/>
    </row>
    <row r="910">
      <c r="L910" s="4"/>
      <c r="M910" s="4"/>
    </row>
    <row r="911">
      <c r="L911" s="4"/>
      <c r="M911" s="4"/>
    </row>
    <row r="912">
      <c r="L912" s="4"/>
      <c r="M912" s="4"/>
    </row>
    <row r="913">
      <c r="L913" s="4"/>
      <c r="M913" s="4"/>
    </row>
    <row r="914">
      <c r="L914" s="4"/>
      <c r="M914" s="4"/>
    </row>
    <row r="915">
      <c r="L915" s="4"/>
      <c r="M915" s="4"/>
    </row>
    <row r="916">
      <c r="L916" s="4"/>
      <c r="M916" s="4"/>
    </row>
    <row r="917">
      <c r="L917" s="4"/>
      <c r="M917" s="4"/>
    </row>
    <row r="918">
      <c r="L918" s="4"/>
      <c r="M918" s="4"/>
    </row>
    <row r="919">
      <c r="L919" s="4"/>
      <c r="M919" s="4"/>
    </row>
    <row r="920">
      <c r="L920" s="4"/>
      <c r="M920" s="4"/>
    </row>
    <row r="921">
      <c r="L921" s="4"/>
      <c r="M921" s="4"/>
    </row>
    <row r="922">
      <c r="L922" s="4"/>
      <c r="M922" s="4"/>
    </row>
    <row r="923">
      <c r="L923" s="4"/>
      <c r="M923" s="4"/>
    </row>
    <row r="924">
      <c r="L924" s="4"/>
      <c r="M924" s="4"/>
    </row>
    <row r="925">
      <c r="L925" s="4"/>
      <c r="M925" s="4"/>
    </row>
    <row r="926">
      <c r="L926" s="4"/>
      <c r="M926" s="4"/>
    </row>
    <row r="927">
      <c r="L927" s="4"/>
      <c r="M927" s="4"/>
    </row>
    <row r="928">
      <c r="L928" s="4"/>
      <c r="M928" s="4"/>
    </row>
    <row r="929">
      <c r="L929" s="4"/>
      <c r="M929" s="4"/>
    </row>
    <row r="930">
      <c r="L930" s="4"/>
      <c r="M930" s="4"/>
    </row>
    <row r="931">
      <c r="L931" s="4"/>
      <c r="M931" s="4"/>
    </row>
    <row r="932">
      <c r="L932" s="4"/>
      <c r="M932" s="4"/>
    </row>
    <row r="933">
      <c r="L933" s="4"/>
      <c r="M933" s="4"/>
    </row>
    <row r="934">
      <c r="L934" s="4"/>
      <c r="M934" s="4"/>
    </row>
    <row r="935">
      <c r="L935" s="4"/>
      <c r="M935" s="4"/>
    </row>
    <row r="936">
      <c r="L936" s="4"/>
      <c r="M936" s="4"/>
    </row>
    <row r="937">
      <c r="L937" s="4"/>
      <c r="M937" s="4"/>
    </row>
    <row r="938">
      <c r="L938" s="4"/>
      <c r="M938" s="4"/>
    </row>
    <row r="939">
      <c r="L939" s="4"/>
      <c r="M939" s="4"/>
    </row>
    <row r="940">
      <c r="L940" s="4"/>
      <c r="M940" s="4"/>
    </row>
    <row r="941">
      <c r="L941" s="4"/>
      <c r="M941" s="4"/>
    </row>
    <row r="942">
      <c r="L942" s="4"/>
      <c r="M942" s="4"/>
    </row>
    <row r="943">
      <c r="L943" s="4"/>
      <c r="M943" s="4"/>
    </row>
    <row r="944">
      <c r="L944" s="4"/>
      <c r="M944" s="4"/>
    </row>
    <row r="945">
      <c r="L945" s="4"/>
      <c r="M945" s="4"/>
    </row>
    <row r="946">
      <c r="L946" s="4"/>
      <c r="M946" s="4"/>
    </row>
    <row r="947">
      <c r="L947" s="4"/>
      <c r="M947" s="4"/>
    </row>
    <row r="948">
      <c r="L948" s="4"/>
      <c r="M948" s="4"/>
    </row>
    <row r="949">
      <c r="L949" s="4"/>
      <c r="M949" s="4"/>
    </row>
    <row r="950">
      <c r="L950" s="4"/>
      <c r="M950" s="4"/>
    </row>
    <row r="951">
      <c r="L951" s="4"/>
      <c r="M951" s="4"/>
    </row>
    <row r="952">
      <c r="L952" s="4"/>
      <c r="M952" s="4"/>
    </row>
    <row r="953">
      <c r="L953" s="4"/>
      <c r="M953" s="4"/>
    </row>
    <row r="954">
      <c r="L954" s="4"/>
      <c r="M954" s="4"/>
    </row>
    <row r="955">
      <c r="L955" s="4"/>
      <c r="M955" s="4"/>
    </row>
    <row r="956">
      <c r="L956" s="4"/>
      <c r="M956" s="4"/>
    </row>
    <row r="957">
      <c r="L957" s="4"/>
      <c r="M957" s="4"/>
    </row>
    <row r="958">
      <c r="L958" s="4"/>
      <c r="M958" s="4"/>
    </row>
    <row r="959">
      <c r="L959" s="4"/>
      <c r="M959" s="4"/>
    </row>
    <row r="960">
      <c r="L960" s="4"/>
      <c r="M960" s="4"/>
    </row>
    <row r="961">
      <c r="L961" s="4"/>
      <c r="M961" s="4"/>
    </row>
    <row r="962">
      <c r="L962" s="4"/>
      <c r="M962" s="4"/>
    </row>
    <row r="963">
      <c r="L963" s="4"/>
      <c r="M963" s="4"/>
    </row>
    <row r="964">
      <c r="L964" s="4"/>
      <c r="M964" s="4"/>
    </row>
    <row r="965">
      <c r="L965" s="4"/>
      <c r="M965" s="4"/>
    </row>
    <row r="966">
      <c r="L966" s="4"/>
      <c r="M966" s="4"/>
    </row>
    <row r="967">
      <c r="L967" s="4"/>
      <c r="M967" s="4"/>
    </row>
    <row r="968">
      <c r="L968" s="4"/>
      <c r="M968" s="4"/>
    </row>
    <row r="969">
      <c r="L969" s="4"/>
      <c r="M969" s="4"/>
    </row>
    <row r="970">
      <c r="L970" s="4"/>
      <c r="M970" s="4"/>
    </row>
    <row r="971">
      <c r="L971" s="4"/>
      <c r="M971" s="4"/>
    </row>
    <row r="972">
      <c r="L972" s="4"/>
      <c r="M972" s="4"/>
    </row>
    <row r="973">
      <c r="L973" s="4"/>
      <c r="M973" s="4"/>
    </row>
    <row r="974">
      <c r="L974" s="4"/>
      <c r="M974" s="4"/>
    </row>
    <row r="975">
      <c r="L975" s="4"/>
      <c r="M975" s="4"/>
    </row>
    <row r="976">
      <c r="L976" s="4"/>
      <c r="M976" s="4"/>
    </row>
    <row r="977">
      <c r="L977" s="4"/>
      <c r="M977" s="4"/>
    </row>
    <row r="978">
      <c r="L978" s="4"/>
      <c r="M978" s="4"/>
    </row>
    <row r="979">
      <c r="L979" s="4"/>
      <c r="M979" s="4"/>
    </row>
    <row r="980">
      <c r="L980" s="4"/>
      <c r="M980" s="4"/>
    </row>
    <row r="981">
      <c r="L981" s="4"/>
      <c r="M981" s="4"/>
    </row>
    <row r="982">
      <c r="L982" s="4"/>
      <c r="M982" s="4"/>
    </row>
    <row r="983">
      <c r="L983" s="4"/>
      <c r="M983" s="4"/>
    </row>
    <row r="984">
      <c r="L984" s="4"/>
      <c r="M984" s="4"/>
    </row>
    <row r="985">
      <c r="L985" s="4"/>
      <c r="M985" s="4"/>
    </row>
    <row r="986">
      <c r="L986" s="4"/>
      <c r="M986" s="4"/>
    </row>
    <row r="987">
      <c r="L987" s="4"/>
      <c r="M987" s="4"/>
    </row>
    <row r="988">
      <c r="L988" s="4"/>
      <c r="M988" s="4"/>
    </row>
    <row r="989">
      <c r="L989" s="4"/>
      <c r="M989" s="4"/>
    </row>
    <row r="990">
      <c r="L990" s="4"/>
      <c r="M990" s="4"/>
    </row>
    <row r="991">
      <c r="L991" s="4"/>
      <c r="M991" s="4"/>
    </row>
    <row r="992">
      <c r="L992" s="4"/>
      <c r="M992" s="4"/>
    </row>
    <row r="993">
      <c r="L993" s="4"/>
      <c r="M993" s="4"/>
    </row>
    <row r="994">
      <c r="L994" s="4"/>
      <c r="M994" s="4"/>
    </row>
    <row r="995">
      <c r="L995" s="4"/>
      <c r="M995" s="4"/>
    </row>
    <row r="996">
      <c r="L996" s="4"/>
      <c r="M996" s="4"/>
    </row>
    <row r="997">
      <c r="L997" s="4"/>
      <c r="M997" s="4"/>
    </row>
    <row r="998">
      <c r="L998" s="4"/>
      <c r="M998" s="4"/>
    </row>
    <row r="999">
      <c r="L999" s="4"/>
      <c r="M999" s="4"/>
    </row>
    <row r="1000">
      <c r="L1000" s="4"/>
      <c r="M1000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46.0"/>
    <col customWidth="1" min="3" max="3" width="23.88"/>
    <col hidden="1" min="4" max="10" width="12.63"/>
    <col customWidth="1" hidden="1" min="11" max="11" width="67.88"/>
    <col hidden="1" min="12" max="12" width="12.63"/>
    <col customWidth="1" hidden="1" min="13" max="13" width="56.13"/>
    <col customWidth="1" hidden="1" min="14" max="14" width="63.5"/>
    <col hidden="1" min="15" max="22" width="12.63"/>
  </cols>
  <sheetData>
    <row r="1">
      <c r="A1" s="64" t="s">
        <v>9634</v>
      </c>
      <c r="B1" s="65" t="s">
        <v>9635</v>
      </c>
      <c r="C1" s="66" t="s">
        <v>9636</v>
      </c>
      <c r="D1" s="40"/>
      <c r="E1" s="67" t="s">
        <v>9619</v>
      </c>
      <c r="F1" s="68"/>
      <c r="G1" s="69"/>
      <c r="H1" s="69"/>
      <c r="I1" s="69"/>
      <c r="J1" s="70"/>
      <c r="K1" s="70"/>
      <c r="O1" s="71"/>
      <c r="S1" s="71"/>
      <c r="W1" s="69" t="s">
        <v>9637</v>
      </c>
      <c r="X1" s="69" t="s">
        <v>9638</v>
      </c>
      <c r="Y1" s="72" t="s">
        <v>9639</v>
      </c>
      <c r="Z1" s="72" t="s">
        <v>9640</v>
      </c>
      <c r="AA1" s="72" t="s">
        <v>9641</v>
      </c>
      <c r="AB1" s="72" t="s">
        <v>9642</v>
      </c>
      <c r="AC1" s="24" t="s">
        <v>9643</v>
      </c>
      <c r="AD1" s="24" t="s">
        <v>9644</v>
      </c>
      <c r="AE1" s="24" t="s">
        <v>9645</v>
      </c>
      <c r="AF1" s="24" t="s">
        <v>9646</v>
      </c>
    </row>
    <row r="2">
      <c r="A2" s="73"/>
      <c r="B2" s="74"/>
      <c r="C2" s="74"/>
      <c r="D2" s="43" t="str">
        <f>IFERROR(__xludf.DUMMYFUNCTION("split(TRIM(CLEAN($C$2)),"" "")"),"#VALUE!")</f>
        <v>#VALUE!</v>
      </c>
      <c r="G2" s="43" t="str">
        <f>D2</f>
        <v>#VALUE!</v>
      </c>
      <c r="H2" s="70" t="str">
        <f>IFERROR(__xludf.DUMMYFUNCTION("Split(D2,"":"")"),"#VALUE!")</f>
        <v>#VALUE!</v>
      </c>
      <c r="I2" s="70"/>
      <c r="J2" s="70"/>
      <c r="K2" s="70" t="str">
        <f>IFERROR(__xludf.DUMMYFUNCTION("SPLIT(TRIM(CLEAN($B$2)),""VS"")"),"#VALUE!")</f>
        <v>#VALUE!</v>
      </c>
      <c r="M2" s="43" t="str">
        <f>TRIM((K2))</f>
        <v>#VALUE!</v>
      </c>
      <c r="N2" s="43" t="str">
        <f>CLEAN(TRIM((L2)))</f>
        <v/>
      </c>
      <c r="O2" s="43" t="str">
        <f>IFERROR(__xludf.DUMMYFUNCTION("SPLIT(SUBSTITUTE($K$2,""Team1 : "",""""),"" "")"),"#VALUE!")</f>
        <v>#VALUE!</v>
      </c>
      <c r="S2" s="43" t="str">
        <f>IFERROR(__xludf.DUMMYFUNCTION("SPLIT(SUBSTITUTE($L$2,""Team2 : "",""""),"" "")"),"#VALUE!")</f>
        <v>#VALUE!</v>
      </c>
      <c r="W2" s="43" t="str">
        <f>if(H2&lt;I2,I2,H2)</f>
        <v>#VALUE!</v>
      </c>
      <c r="X2" s="43" t="str">
        <f>if(H2&gt;I2,I2,H2)</f>
        <v>#VALUE!</v>
      </c>
      <c r="Y2" s="43" t="str">
        <f t="shared" ref="Y2:AA2" si="1">TRIM(SUBSTITUTE(O2,right(O2, 4),""))</f>
        <v>#VALUE!</v>
      </c>
      <c r="Z2" s="43" t="str">
        <f t="shared" si="1"/>
        <v/>
      </c>
      <c r="AA2" s="43" t="str">
        <f t="shared" si="1"/>
        <v/>
      </c>
      <c r="AB2" s="43" t="str">
        <f>TRIM((SUBSTITUTE(R2,right(R2, 4),"")))</f>
        <v/>
      </c>
      <c r="AC2" s="43" t="str">
        <f t="shared" ref="AC2:AF2" si="2">TRIM(SUBSTITUTE(S2,right(S2, 4),""))</f>
        <v>#VALUE!</v>
      </c>
      <c r="AD2" s="43" t="str">
        <f t="shared" si="2"/>
        <v/>
      </c>
      <c r="AE2" s="43" t="str">
        <f t="shared" si="2"/>
        <v/>
      </c>
      <c r="AF2" s="43" t="str">
        <f t="shared" si="2"/>
        <v/>
      </c>
    </row>
    <row r="3">
      <c r="A3" s="64" t="s">
        <v>9647</v>
      </c>
      <c r="B3" s="65" t="s">
        <v>70</v>
      </c>
      <c r="C3" s="75"/>
      <c r="H3" s="70"/>
      <c r="I3" s="70"/>
      <c r="J3" s="70"/>
      <c r="K3" s="76"/>
    </row>
    <row r="4">
      <c r="A4" s="30" t="s">
        <v>9648</v>
      </c>
      <c r="B4" s="77" t="s">
        <v>84</v>
      </c>
      <c r="C4" s="75"/>
      <c r="G4" s="70"/>
      <c r="H4" s="70"/>
      <c r="I4" s="70"/>
      <c r="J4" s="70"/>
      <c r="K4" s="70"/>
    </row>
    <row r="5">
      <c r="A5" s="30"/>
      <c r="B5" s="77"/>
      <c r="C5" s="75"/>
      <c r="G5" s="70"/>
      <c r="H5" s="70"/>
      <c r="I5" s="70"/>
      <c r="J5" s="70"/>
      <c r="K5" s="70"/>
    </row>
    <row r="6">
      <c r="A6" s="64" t="s">
        <v>9649</v>
      </c>
      <c r="B6" s="77"/>
      <c r="C6" s="75"/>
      <c r="G6" s="70"/>
      <c r="H6" s="70"/>
      <c r="I6" s="70"/>
      <c r="J6" s="70"/>
      <c r="K6" s="70"/>
    </row>
    <row r="7">
      <c r="A7" s="30"/>
      <c r="B7" s="77"/>
      <c r="C7" s="75"/>
      <c r="G7" s="70"/>
      <c r="H7" s="70"/>
      <c r="I7" s="70"/>
      <c r="J7" s="70"/>
      <c r="K7" s="70"/>
    </row>
    <row r="8">
      <c r="A8" s="30"/>
      <c r="B8" s="77"/>
      <c r="C8" s="75"/>
      <c r="G8" s="70"/>
      <c r="H8" s="70"/>
      <c r="I8" s="70"/>
      <c r="J8" s="70"/>
      <c r="K8" s="70"/>
    </row>
    <row r="9">
      <c r="A9" s="64" t="s">
        <v>9650</v>
      </c>
      <c r="B9" s="77"/>
      <c r="C9" s="75"/>
      <c r="G9" s="70"/>
      <c r="H9" s="70"/>
      <c r="I9" s="70"/>
      <c r="J9" s="70"/>
      <c r="K9" s="70"/>
    </row>
    <row r="10">
      <c r="A10" s="30"/>
      <c r="B10" s="77"/>
      <c r="C10" s="75"/>
      <c r="G10" s="70"/>
      <c r="H10" s="77"/>
      <c r="I10" s="70"/>
      <c r="J10" s="70"/>
      <c r="K10" s="70"/>
    </row>
    <row r="11">
      <c r="A11" s="64" t="s">
        <v>9651</v>
      </c>
      <c r="B11" s="77"/>
      <c r="C11" s="75"/>
      <c r="G11" s="70"/>
      <c r="H11" s="70"/>
      <c r="I11" s="70"/>
      <c r="J11" s="70"/>
      <c r="K11" s="70"/>
    </row>
    <row r="12">
      <c r="A12" s="30"/>
      <c r="B12" s="77"/>
      <c r="C12" s="78"/>
    </row>
    <row r="13">
      <c r="B13" s="79"/>
      <c r="C13" s="78"/>
      <c r="G13" s="30"/>
      <c r="H13" s="30"/>
      <c r="I13" s="30"/>
      <c r="J13" s="30"/>
      <c r="K13" s="30"/>
    </row>
    <row r="14">
      <c r="B14" s="79"/>
      <c r="C14" s="78"/>
      <c r="H14" s="70"/>
      <c r="I14" s="70"/>
      <c r="J14" s="70"/>
      <c r="K14" s="70"/>
    </row>
    <row r="15">
      <c r="B15" s="74"/>
      <c r="C15" s="78"/>
    </row>
    <row r="16">
      <c r="B16" s="79"/>
      <c r="C16" s="78"/>
    </row>
    <row r="17">
      <c r="B17" s="79"/>
      <c r="C17" s="78"/>
    </row>
    <row r="18">
      <c r="B18" s="79"/>
      <c r="C18" s="78"/>
    </row>
    <row r="19">
      <c r="B19" s="79"/>
      <c r="C19" s="78"/>
      <c r="K19" s="77"/>
    </row>
    <row r="20">
      <c r="B20" s="79"/>
      <c r="C20" s="78"/>
    </row>
    <row r="21">
      <c r="B21" s="79"/>
      <c r="C21" s="78"/>
    </row>
    <row r="22">
      <c r="B22" s="79"/>
      <c r="C22" s="78"/>
    </row>
    <row r="23">
      <c r="B23" s="79"/>
      <c r="C23" s="78"/>
      <c r="G23" s="70"/>
      <c r="H23" s="70"/>
      <c r="I23" s="70"/>
      <c r="J23" s="70"/>
      <c r="K23" s="70"/>
    </row>
    <row r="24">
      <c r="A24" s="74"/>
      <c r="B24" s="79"/>
      <c r="C24" s="78"/>
    </row>
    <row r="25">
      <c r="A25" s="74"/>
      <c r="B25" s="79"/>
      <c r="C25" s="78"/>
    </row>
    <row r="26">
      <c r="B26" s="79"/>
      <c r="C26" s="78"/>
    </row>
    <row r="27">
      <c r="B27" s="79"/>
      <c r="C27" s="78"/>
    </row>
    <row r="28">
      <c r="B28" s="79"/>
      <c r="C28" s="78"/>
    </row>
    <row r="29">
      <c r="B29" s="79"/>
      <c r="C29" s="78"/>
    </row>
    <row r="30">
      <c r="B30" s="79"/>
      <c r="C30" s="78"/>
    </row>
    <row r="31">
      <c r="B31" s="79"/>
      <c r="C31" s="78"/>
    </row>
    <row r="32">
      <c r="B32" s="79"/>
      <c r="C32" s="78"/>
    </row>
    <row r="33">
      <c r="B33" s="79"/>
      <c r="C33" s="78"/>
    </row>
    <row r="34">
      <c r="B34" s="79"/>
      <c r="C34" s="78"/>
    </row>
    <row r="35">
      <c r="B35" s="79"/>
      <c r="C35" s="78"/>
    </row>
    <row r="36">
      <c r="B36" s="79"/>
      <c r="C36" s="78"/>
    </row>
    <row r="37">
      <c r="B37" s="79"/>
      <c r="C37" s="78"/>
      <c r="AC37" s="74"/>
    </row>
    <row r="38">
      <c r="B38" s="79"/>
      <c r="C38" s="78"/>
    </row>
    <row r="39">
      <c r="B39" s="79"/>
      <c r="C39" s="78"/>
    </row>
    <row r="40">
      <c r="B40" s="79"/>
      <c r="C40" s="78"/>
    </row>
    <row r="41">
      <c r="B41" s="79"/>
      <c r="C41" s="78"/>
    </row>
    <row r="42">
      <c r="B42" s="80"/>
      <c r="C42" s="78"/>
    </row>
    <row r="43">
      <c r="B43" s="79"/>
      <c r="C43" s="78"/>
    </row>
    <row r="44">
      <c r="B44" s="79"/>
      <c r="C44" s="78"/>
    </row>
    <row r="45">
      <c r="B45" s="79"/>
      <c r="C45" s="78"/>
    </row>
    <row r="46">
      <c r="B46" s="79"/>
      <c r="C46" s="78"/>
    </row>
    <row r="47">
      <c r="B47" s="79"/>
      <c r="C47" s="78"/>
    </row>
    <row r="48">
      <c r="B48" s="79"/>
      <c r="C48" s="78"/>
    </row>
    <row r="49">
      <c r="B49" s="79"/>
      <c r="C49" s="78"/>
    </row>
    <row r="50">
      <c r="B50" s="79"/>
      <c r="C50" s="78"/>
    </row>
    <row r="51">
      <c r="B51" s="79"/>
      <c r="C51" s="78"/>
    </row>
    <row r="52">
      <c r="B52" s="79"/>
      <c r="C52" s="78"/>
    </row>
    <row r="53">
      <c r="B53" s="79"/>
      <c r="C53" s="78"/>
    </row>
    <row r="54">
      <c r="B54" s="79"/>
      <c r="C54" s="78"/>
    </row>
    <row r="55">
      <c r="B55" s="79"/>
      <c r="C55" s="78"/>
    </row>
    <row r="56">
      <c r="B56" s="79"/>
      <c r="C56" s="78"/>
    </row>
    <row r="57">
      <c r="B57" s="79"/>
      <c r="C57" s="78"/>
    </row>
    <row r="58">
      <c r="B58" s="79"/>
      <c r="C58" s="78"/>
    </row>
    <row r="59">
      <c r="B59" s="79"/>
      <c r="C59" s="78"/>
    </row>
    <row r="60">
      <c r="B60" s="79"/>
      <c r="C60" s="78"/>
    </row>
    <row r="61">
      <c r="B61" s="79"/>
      <c r="C61" s="78"/>
    </row>
    <row r="62">
      <c r="B62" s="79"/>
      <c r="C62" s="78"/>
    </row>
    <row r="63">
      <c r="B63" s="79"/>
      <c r="C63" s="78"/>
    </row>
    <row r="64">
      <c r="B64" s="79"/>
      <c r="C64" s="78"/>
    </row>
    <row r="65">
      <c r="B65" s="79"/>
      <c r="C65" s="78"/>
    </row>
    <row r="66">
      <c r="B66" s="79"/>
      <c r="C66" s="78"/>
    </row>
    <row r="67">
      <c r="B67" s="79"/>
      <c r="C67" s="78"/>
    </row>
    <row r="68">
      <c r="B68" s="79"/>
      <c r="C68" s="78"/>
    </row>
    <row r="69">
      <c r="B69" s="79"/>
      <c r="C69" s="78"/>
    </row>
    <row r="70">
      <c r="B70" s="79"/>
      <c r="C70" s="78"/>
    </row>
    <row r="71">
      <c r="B71" s="79"/>
      <c r="C71" s="78"/>
    </row>
    <row r="72">
      <c r="B72" s="79"/>
      <c r="C72" s="78"/>
    </row>
    <row r="73">
      <c r="B73" s="79"/>
      <c r="C73" s="78"/>
    </row>
    <row r="74">
      <c r="B74" s="79"/>
      <c r="C74" s="78"/>
    </row>
    <row r="75">
      <c r="B75" s="79"/>
      <c r="C75" s="78"/>
    </row>
    <row r="76">
      <c r="B76" s="79"/>
      <c r="C76" s="78"/>
    </row>
    <row r="77">
      <c r="B77" s="79"/>
      <c r="C77" s="78"/>
    </row>
    <row r="78">
      <c r="B78" s="79"/>
      <c r="C78" s="78"/>
    </row>
    <row r="79">
      <c r="B79" s="79"/>
      <c r="C79" s="78"/>
    </row>
    <row r="80">
      <c r="B80" s="79"/>
      <c r="C80" s="78"/>
    </row>
    <row r="81">
      <c r="B81" s="79"/>
      <c r="C81" s="78"/>
    </row>
    <row r="82">
      <c r="B82" s="79"/>
      <c r="C82" s="78"/>
    </row>
    <row r="83">
      <c r="B83" s="79"/>
      <c r="C83" s="78"/>
    </row>
    <row r="84">
      <c r="B84" s="79"/>
      <c r="C84" s="78"/>
    </row>
    <row r="85">
      <c r="B85" s="79"/>
      <c r="C85" s="78"/>
    </row>
    <row r="86">
      <c r="B86" s="79"/>
      <c r="C86" s="78"/>
    </row>
    <row r="87">
      <c r="B87" s="79"/>
      <c r="C87" s="78"/>
    </row>
    <row r="88">
      <c r="B88" s="79"/>
      <c r="C88" s="78"/>
    </row>
    <row r="89">
      <c r="B89" s="79"/>
      <c r="C89" s="78"/>
    </row>
    <row r="90">
      <c r="B90" s="79"/>
      <c r="C90" s="78"/>
    </row>
    <row r="91">
      <c r="B91" s="79"/>
      <c r="C91" s="78"/>
    </row>
    <row r="92">
      <c r="B92" s="79"/>
      <c r="C92" s="78"/>
    </row>
    <row r="93">
      <c r="B93" s="79"/>
      <c r="C93" s="78"/>
    </row>
    <row r="94">
      <c r="B94" s="79"/>
      <c r="C94" s="78"/>
    </row>
    <row r="95">
      <c r="B95" s="79"/>
      <c r="C95" s="78"/>
    </row>
    <row r="96">
      <c r="B96" s="79"/>
      <c r="C96" s="78"/>
    </row>
    <row r="97">
      <c r="B97" s="79"/>
      <c r="C97" s="78"/>
    </row>
    <row r="98">
      <c r="B98" s="79"/>
      <c r="C98" s="78"/>
    </row>
    <row r="99">
      <c r="B99" s="79"/>
      <c r="C99" s="78"/>
    </row>
    <row r="100">
      <c r="B100" s="79"/>
      <c r="C100" s="78"/>
    </row>
    <row r="101">
      <c r="B101" s="79"/>
      <c r="C101" s="78"/>
    </row>
    <row r="102">
      <c r="B102" s="79"/>
      <c r="C102" s="78"/>
    </row>
    <row r="103">
      <c r="B103" s="79"/>
      <c r="C103" s="78"/>
    </row>
    <row r="104">
      <c r="B104" s="79"/>
      <c r="C104" s="78"/>
    </row>
    <row r="105">
      <c r="B105" s="79"/>
      <c r="C105" s="78"/>
    </row>
    <row r="106">
      <c r="B106" s="79"/>
      <c r="C106" s="78"/>
    </row>
    <row r="107">
      <c r="B107" s="79"/>
      <c r="C107" s="78"/>
    </row>
    <row r="108">
      <c r="B108" s="79"/>
      <c r="C108" s="78"/>
    </row>
    <row r="109">
      <c r="B109" s="79"/>
      <c r="C109" s="78"/>
    </row>
    <row r="110">
      <c r="B110" s="79"/>
      <c r="C110" s="78"/>
    </row>
    <row r="111">
      <c r="B111" s="79"/>
      <c r="C111" s="78"/>
    </row>
    <row r="112">
      <c r="B112" s="79"/>
      <c r="C112" s="78"/>
    </row>
    <row r="113">
      <c r="B113" s="79"/>
      <c r="C113" s="78"/>
    </row>
    <row r="114">
      <c r="B114" s="79"/>
      <c r="C114" s="78"/>
    </row>
    <row r="115">
      <c r="B115" s="79"/>
      <c r="C115" s="78"/>
    </row>
    <row r="116">
      <c r="B116" s="79"/>
      <c r="C116" s="78"/>
    </row>
    <row r="117">
      <c r="B117" s="79"/>
      <c r="C117" s="78"/>
    </row>
    <row r="118">
      <c r="B118" s="79"/>
      <c r="C118" s="78"/>
    </row>
    <row r="119">
      <c r="B119" s="79"/>
      <c r="C119" s="78"/>
    </row>
    <row r="120">
      <c r="B120" s="79"/>
      <c r="C120" s="78"/>
    </row>
    <row r="121">
      <c r="B121" s="79"/>
      <c r="C121" s="78"/>
    </row>
    <row r="122">
      <c r="B122" s="79"/>
      <c r="C122" s="78"/>
    </row>
    <row r="123">
      <c r="B123" s="79"/>
      <c r="C123" s="78"/>
    </row>
    <row r="124">
      <c r="B124" s="79"/>
      <c r="C124" s="78"/>
    </row>
    <row r="125">
      <c r="B125" s="79"/>
      <c r="C125" s="78"/>
    </row>
    <row r="126">
      <c r="B126" s="79"/>
      <c r="C126" s="78"/>
    </row>
    <row r="127">
      <c r="B127" s="79"/>
      <c r="C127" s="78"/>
    </row>
    <row r="128">
      <c r="B128" s="79"/>
      <c r="C128" s="78"/>
    </row>
    <row r="129">
      <c r="B129" s="79"/>
      <c r="C129" s="78"/>
    </row>
    <row r="130">
      <c r="B130" s="79"/>
      <c r="C130" s="78"/>
    </row>
    <row r="131">
      <c r="B131" s="79"/>
      <c r="C131" s="78"/>
    </row>
    <row r="132">
      <c r="B132" s="79"/>
      <c r="C132" s="78"/>
    </row>
    <row r="133">
      <c r="B133" s="79"/>
      <c r="C133" s="78"/>
    </row>
    <row r="134">
      <c r="B134" s="79"/>
      <c r="C134" s="78"/>
    </row>
    <row r="135">
      <c r="B135" s="79"/>
      <c r="C135" s="78"/>
    </row>
    <row r="136">
      <c r="B136" s="79"/>
      <c r="C136" s="78"/>
    </row>
    <row r="137">
      <c r="B137" s="79"/>
      <c r="C137" s="78"/>
    </row>
    <row r="138">
      <c r="B138" s="79"/>
      <c r="C138" s="78"/>
    </row>
    <row r="139">
      <c r="B139" s="79"/>
      <c r="C139" s="78"/>
    </row>
    <row r="140">
      <c r="B140" s="79"/>
      <c r="C140" s="78"/>
    </row>
    <row r="141">
      <c r="B141" s="79"/>
      <c r="C141" s="78"/>
    </row>
    <row r="142">
      <c r="B142" s="79"/>
      <c r="C142" s="78"/>
    </row>
    <row r="143">
      <c r="B143" s="79"/>
      <c r="C143" s="78"/>
    </row>
    <row r="144">
      <c r="B144" s="79"/>
      <c r="C144" s="78"/>
    </row>
    <row r="145">
      <c r="B145" s="79"/>
      <c r="C145" s="78"/>
    </row>
    <row r="146">
      <c r="B146" s="79"/>
      <c r="C146" s="78"/>
    </row>
    <row r="147">
      <c r="B147" s="79"/>
      <c r="C147" s="78"/>
    </row>
    <row r="148">
      <c r="B148" s="79"/>
      <c r="C148" s="78"/>
    </row>
    <row r="149">
      <c r="B149" s="79"/>
      <c r="C149" s="78"/>
    </row>
    <row r="150">
      <c r="B150" s="79"/>
      <c r="C150" s="78"/>
    </row>
    <row r="151">
      <c r="B151" s="79"/>
      <c r="C151" s="78"/>
    </row>
    <row r="152">
      <c r="B152" s="79"/>
      <c r="C152" s="78"/>
    </row>
    <row r="153">
      <c r="B153" s="79"/>
      <c r="C153" s="78"/>
    </row>
    <row r="154">
      <c r="B154" s="79"/>
      <c r="C154" s="78"/>
    </row>
    <row r="155">
      <c r="B155" s="79"/>
      <c r="C155" s="78"/>
    </row>
    <row r="156">
      <c r="B156" s="79"/>
      <c r="C156" s="78"/>
    </row>
    <row r="157">
      <c r="B157" s="79"/>
      <c r="C157" s="78"/>
    </row>
    <row r="158">
      <c r="B158" s="79"/>
      <c r="C158" s="78"/>
    </row>
    <row r="159">
      <c r="B159" s="79"/>
      <c r="C159" s="78"/>
    </row>
    <row r="160">
      <c r="B160" s="79"/>
      <c r="C160" s="78"/>
    </row>
    <row r="161">
      <c r="B161" s="79"/>
      <c r="C161" s="78"/>
    </row>
    <row r="162">
      <c r="B162" s="79"/>
      <c r="C162" s="78"/>
    </row>
    <row r="163">
      <c r="B163" s="79"/>
      <c r="C163" s="78"/>
    </row>
    <row r="164">
      <c r="B164" s="79"/>
      <c r="C164" s="78"/>
    </row>
    <row r="165">
      <c r="B165" s="79"/>
      <c r="C165" s="78"/>
    </row>
    <row r="166">
      <c r="B166" s="79"/>
      <c r="C166" s="78"/>
    </row>
    <row r="167">
      <c r="B167" s="79"/>
      <c r="C167" s="78"/>
    </row>
    <row r="168">
      <c r="B168" s="79"/>
      <c r="C168" s="78"/>
    </row>
    <row r="169">
      <c r="B169" s="79"/>
      <c r="C169" s="78"/>
    </row>
    <row r="170">
      <c r="B170" s="79"/>
      <c r="C170" s="78"/>
    </row>
    <row r="171">
      <c r="B171" s="79"/>
      <c r="C171" s="78"/>
    </row>
    <row r="172">
      <c r="B172" s="79"/>
      <c r="C172" s="78"/>
    </row>
    <row r="173">
      <c r="B173" s="79"/>
      <c r="C173" s="78"/>
    </row>
    <row r="174">
      <c r="B174" s="79"/>
      <c r="C174" s="78"/>
    </row>
    <row r="175">
      <c r="B175" s="79"/>
      <c r="C175" s="78"/>
    </row>
    <row r="176">
      <c r="B176" s="79"/>
      <c r="C176" s="78"/>
    </row>
    <row r="177">
      <c r="B177" s="79"/>
      <c r="C177" s="78"/>
    </row>
    <row r="178">
      <c r="B178" s="79"/>
      <c r="C178" s="78"/>
    </row>
    <row r="179">
      <c r="B179" s="79"/>
      <c r="C179" s="78"/>
    </row>
    <row r="180">
      <c r="B180" s="79"/>
      <c r="C180" s="78"/>
    </row>
    <row r="181">
      <c r="B181" s="79"/>
      <c r="C181" s="78"/>
    </row>
    <row r="182">
      <c r="B182" s="79"/>
      <c r="C182" s="78"/>
    </row>
    <row r="183">
      <c r="B183" s="79"/>
      <c r="C183" s="78"/>
    </row>
    <row r="184">
      <c r="B184" s="79"/>
      <c r="C184" s="78"/>
    </row>
    <row r="185">
      <c r="B185" s="79"/>
      <c r="C185" s="78"/>
    </row>
    <row r="186">
      <c r="B186" s="79"/>
      <c r="C186" s="78"/>
    </row>
    <row r="187">
      <c r="B187" s="79"/>
      <c r="C187" s="78"/>
    </row>
    <row r="188">
      <c r="B188" s="79"/>
      <c r="C188" s="78"/>
    </row>
    <row r="189">
      <c r="B189" s="79"/>
      <c r="C189" s="78"/>
    </row>
    <row r="190">
      <c r="B190" s="79"/>
      <c r="C190" s="78"/>
    </row>
    <row r="191">
      <c r="B191" s="79"/>
      <c r="C191" s="78"/>
    </row>
    <row r="192">
      <c r="B192" s="79"/>
      <c r="C192" s="78"/>
    </row>
    <row r="193">
      <c r="B193" s="79"/>
      <c r="C193" s="78"/>
    </row>
    <row r="194">
      <c r="B194" s="79"/>
      <c r="C194" s="78"/>
    </row>
    <row r="195">
      <c r="B195" s="79"/>
      <c r="C195" s="78"/>
    </row>
    <row r="196">
      <c r="B196" s="79"/>
      <c r="C196" s="78"/>
    </row>
    <row r="197">
      <c r="B197" s="79"/>
      <c r="C197" s="78"/>
    </row>
    <row r="198">
      <c r="B198" s="79"/>
      <c r="C198" s="78"/>
    </row>
    <row r="199">
      <c r="B199" s="79"/>
      <c r="C199" s="78"/>
    </row>
    <row r="200">
      <c r="B200" s="79"/>
      <c r="C200" s="78"/>
    </row>
    <row r="201">
      <c r="B201" s="79"/>
      <c r="C201" s="78"/>
    </row>
    <row r="202">
      <c r="B202" s="79"/>
      <c r="C202" s="78"/>
    </row>
    <row r="203">
      <c r="B203" s="79"/>
      <c r="C203" s="78"/>
    </row>
    <row r="204">
      <c r="B204" s="79"/>
      <c r="C204" s="78"/>
    </row>
    <row r="205">
      <c r="B205" s="79"/>
      <c r="C205" s="78"/>
    </row>
    <row r="206">
      <c r="B206" s="79"/>
      <c r="C206" s="78"/>
    </row>
    <row r="207">
      <c r="B207" s="79"/>
      <c r="C207" s="78"/>
    </row>
    <row r="208">
      <c r="B208" s="79"/>
      <c r="C208" s="78"/>
    </row>
    <row r="209">
      <c r="B209" s="79"/>
      <c r="C209" s="78"/>
    </row>
    <row r="210">
      <c r="B210" s="79"/>
      <c r="C210" s="78"/>
    </row>
    <row r="211">
      <c r="B211" s="79"/>
      <c r="C211" s="78"/>
    </row>
    <row r="212">
      <c r="B212" s="79"/>
      <c r="C212" s="78"/>
    </row>
    <row r="213">
      <c r="B213" s="79"/>
      <c r="C213" s="78"/>
    </row>
    <row r="214">
      <c r="B214" s="79"/>
      <c r="C214" s="78"/>
    </row>
    <row r="215">
      <c r="B215" s="79"/>
      <c r="C215" s="78"/>
    </row>
    <row r="216">
      <c r="B216" s="79"/>
      <c r="C216" s="78"/>
    </row>
    <row r="217">
      <c r="B217" s="79"/>
      <c r="C217" s="78"/>
    </row>
    <row r="218">
      <c r="B218" s="79"/>
      <c r="C218" s="78"/>
    </row>
    <row r="219">
      <c r="B219" s="79"/>
      <c r="C219" s="78"/>
    </row>
    <row r="220">
      <c r="B220" s="79"/>
      <c r="C220" s="78"/>
    </row>
    <row r="221">
      <c r="B221" s="79"/>
      <c r="C221" s="78"/>
    </row>
    <row r="222">
      <c r="B222" s="79"/>
      <c r="C222" s="78"/>
    </row>
    <row r="223">
      <c r="B223" s="79"/>
      <c r="C223" s="78"/>
    </row>
    <row r="224">
      <c r="B224" s="79"/>
      <c r="C224" s="78"/>
    </row>
    <row r="225">
      <c r="B225" s="79"/>
      <c r="C225" s="78"/>
    </row>
    <row r="226">
      <c r="B226" s="79"/>
      <c r="C226" s="78"/>
    </row>
    <row r="227">
      <c r="B227" s="79"/>
      <c r="C227" s="78"/>
    </row>
    <row r="228">
      <c r="B228" s="79"/>
      <c r="C228" s="78"/>
    </row>
    <row r="229">
      <c r="B229" s="79"/>
      <c r="C229" s="78"/>
    </row>
    <row r="230">
      <c r="B230" s="79"/>
      <c r="C230" s="78"/>
    </row>
    <row r="231">
      <c r="B231" s="79"/>
      <c r="C231" s="78"/>
    </row>
    <row r="232">
      <c r="B232" s="79"/>
      <c r="C232" s="78"/>
    </row>
    <row r="233">
      <c r="B233" s="79"/>
      <c r="C233" s="78"/>
    </row>
    <row r="234">
      <c r="B234" s="79"/>
      <c r="C234" s="78"/>
    </row>
    <row r="235">
      <c r="B235" s="79"/>
      <c r="C235" s="78"/>
    </row>
    <row r="236">
      <c r="B236" s="79"/>
      <c r="C236" s="78"/>
    </row>
    <row r="237">
      <c r="B237" s="79"/>
      <c r="C237" s="78"/>
    </row>
    <row r="238">
      <c r="B238" s="79"/>
      <c r="C238" s="78"/>
    </row>
    <row r="239">
      <c r="B239" s="79"/>
      <c r="C239" s="78"/>
    </row>
    <row r="240">
      <c r="B240" s="79"/>
      <c r="C240" s="78"/>
    </row>
    <row r="241">
      <c r="B241" s="79"/>
      <c r="C241" s="78"/>
    </row>
    <row r="242">
      <c r="B242" s="79"/>
      <c r="C242" s="78"/>
    </row>
    <row r="243">
      <c r="B243" s="79"/>
      <c r="C243" s="78"/>
    </row>
    <row r="244">
      <c r="B244" s="79"/>
      <c r="C244" s="78"/>
    </row>
    <row r="245">
      <c r="B245" s="79"/>
      <c r="C245" s="78"/>
    </row>
    <row r="246">
      <c r="B246" s="79"/>
      <c r="C246" s="78"/>
    </row>
    <row r="247">
      <c r="B247" s="79"/>
      <c r="C247" s="78"/>
    </row>
    <row r="248">
      <c r="B248" s="79"/>
      <c r="C248" s="78"/>
    </row>
    <row r="249">
      <c r="B249" s="79"/>
      <c r="C249" s="78"/>
    </row>
    <row r="250">
      <c r="B250" s="79"/>
      <c r="C250" s="78"/>
    </row>
    <row r="251">
      <c r="B251" s="79"/>
      <c r="C251" s="78"/>
    </row>
    <row r="252">
      <c r="B252" s="79"/>
      <c r="C252" s="78"/>
    </row>
    <row r="253">
      <c r="B253" s="79"/>
      <c r="C253" s="78"/>
    </row>
    <row r="254">
      <c r="B254" s="79"/>
      <c r="C254" s="78"/>
    </row>
    <row r="255">
      <c r="B255" s="79"/>
      <c r="C255" s="78"/>
    </row>
    <row r="256">
      <c r="B256" s="79"/>
      <c r="C256" s="78"/>
    </row>
    <row r="257">
      <c r="B257" s="79"/>
      <c r="C257" s="78"/>
    </row>
    <row r="258">
      <c r="B258" s="79"/>
      <c r="C258" s="78"/>
    </row>
    <row r="259">
      <c r="B259" s="79"/>
      <c r="C259" s="78"/>
    </row>
    <row r="260">
      <c r="B260" s="79"/>
      <c r="C260" s="78"/>
    </row>
    <row r="261">
      <c r="B261" s="79"/>
      <c r="C261" s="78"/>
    </row>
    <row r="262">
      <c r="B262" s="79"/>
      <c r="C262" s="78"/>
    </row>
    <row r="263">
      <c r="B263" s="79"/>
      <c r="C263" s="78"/>
    </row>
    <row r="264">
      <c r="B264" s="79"/>
      <c r="C264" s="78"/>
    </row>
    <row r="265">
      <c r="B265" s="79"/>
      <c r="C265" s="78"/>
    </row>
    <row r="266">
      <c r="B266" s="79"/>
      <c r="C266" s="78"/>
    </row>
    <row r="267">
      <c r="B267" s="79"/>
      <c r="C267" s="78"/>
    </row>
    <row r="268">
      <c r="B268" s="79"/>
      <c r="C268" s="78"/>
    </row>
    <row r="269">
      <c r="B269" s="79"/>
      <c r="C269" s="78"/>
    </row>
    <row r="270">
      <c r="B270" s="79"/>
      <c r="C270" s="78"/>
    </row>
    <row r="271">
      <c r="B271" s="79"/>
      <c r="C271" s="78"/>
    </row>
    <row r="272">
      <c r="B272" s="79"/>
      <c r="C272" s="78"/>
    </row>
    <row r="273">
      <c r="B273" s="79"/>
      <c r="C273" s="78"/>
    </row>
    <row r="274">
      <c r="B274" s="79"/>
      <c r="C274" s="78"/>
    </row>
    <row r="275">
      <c r="B275" s="79"/>
      <c r="C275" s="78"/>
    </row>
    <row r="276">
      <c r="B276" s="79"/>
      <c r="C276" s="78"/>
    </row>
    <row r="277">
      <c r="B277" s="79"/>
      <c r="C277" s="78"/>
    </row>
    <row r="278">
      <c r="B278" s="79"/>
      <c r="C278" s="78"/>
    </row>
    <row r="279">
      <c r="B279" s="79"/>
      <c r="C279" s="78"/>
    </row>
    <row r="280">
      <c r="B280" s="79"/>
      <c r="C280" s="78"/>
    </row>
    <row r="281">
      <c r="B281" s="79"/>
      <c r="C281" s="78"/>
    </row>
    <row r="282">
      <c r="B282" s="79"/>
      <c r="C282" s="78"/>
    </row>
    <row r="283">
      <c r="B283" s="79"/>
      <c r="C283" s="78"/>
    </row>
    <row r="284">
      <c r="B284" s="79"/>
      <c r="C284" s="78"/>
    </row>
    <row r="285">
      <c r="B285" s="79"/>
      <c r="C285" s="78"/>
    </row>
    <row r="286">
      <c r="B286" s="79"/>
      <c r="C286" s="78"/>
    </row>
    <row r="287">
      <c r="B287" s="79"/>
      <c r="C287" s="78"/>
    </row>
    <row r="288">
      <c r="B288" s="79"/>
      <c r="C288" s="78"/>
    </row>
    <row r="289">
      <c r="B289" s="79"/>
      <c r="C289" s="78"/>
    </row>
    <row r="290">
      <c r="B290" s="79"/>
      <c r="C290" s="78"/>
    </row>
    <row r="291">
      <c r="B291" s="79"/>
      <c r="C291" s="78"/>
    </row>
    <row r="292">
      <c r="B292" s="79"/>
      <c r="C292" s="78"/>
    </row>
    <row r="293">
      <c r="B293" s="79"/>
      <c r="C293" s="78"/>
    </row>
    <row r="294">
      <c r="B294" s="79"/>
      <c r="C294" s="78"/>
    </row>
    <row r="295">
      <c r="B295" s="79"/>
      <c r="C295" s="78"/>
    </row>
    <row r="296">
      <c r="B296" s="79"/>
      <c r="C296" s="78"/>
    </row>
    <row r="297">
      <c r="B297" s="79"/>
      <c r="C297" s="78"/>
    </row>
    <row r="298">
      <c r="B298" s="79"/>
      <c r="C298" s="78"/>
    </row>
    <row r="299">
      <c r="B299" s="79"/>
      <c r="C299" s="78"/>
    </row>
    <row r="300">
      <c r="B300" s="79"/>
      <c r="C300" s="78"/>
    </row>
    <row r="301">
      <c r="B301" s="79"/>
      <c r="C301" s="78"/>
    </row>
    <row r="302">
      <c r="B302" s="79"/>
      <c r="C302" s="78"/>
    </row>
    <row r="303">
      <c r="B303" s="79"/>
      <c r="C303" s="78"/>
    </row>
    <row r="304">
      <c r="B304" s="79"/>
      <c r="C304" s="78"/>
    </row>
    <row r="305">
      <c r="B305" s="79"/>
      <c r="C305" s="78"/>
    </row>
    <row r="306">
      <c r="B306" s="79"/>
      <c r="C306" s="78"/>
    </row>
    <row r="307">
      <c r="B307" s="79"/>
      <c r="C307" s="78"/>
    </row>
    <row r="308">
      <c r="B308" s="79"/>
      <c r="C308" s="78"/>
    </row>
    <row r="309">
      <c r="B309" s="79"/>
      <c r="C309" s="78"/>
    </row>
    <row r="310">
      <c r="B310" s="79"/>
      <c r="C310" s="78"/>
    </row>
    <row r="311">
      <c r="B311" s="79"/>
      <c r="C311" s="78"/>
    </row>
    <row r="312">
      <c r="B312" s="79"/>
      <c r="C312" s="78"/>
    </row>
    <row r="313">
      <c r="B313" s="79"/>
      <c r="C313" s="78"/>
    </row>
    <row r="314">
      <c r="B314" s="79"/>
      <c r="C314" s="78"/>
    </row>
    <row r="315">
      <c r="B315" s="79"/>
      <c r="C315" s="78"/>
    </row>
    <row r="316">
      <c r="B316" s="79"/>
      <c r="C316" s="78"/>
    </row>
    <row r="317">
      <c r="B317" s="79"/>
      <c r="C317" s="78"/>
    </row>
    <row r="318">
      <c r="B318" s="79"/>
      <c r="C318" s="78"/>
    </row>
    <row r="319">
      <c r="B319" s="79"/>
      <c r="C319" s="78"/>
    </row>
    <row r="320">
      <c r="B320" s="79"/>
      <c r="C320" s="78"/>
    </row>
    <row r="321">
      <c r="B321" s="79"/>
      <c r="C321" s="78"/>
    </row>
    <row r="322">
      <c r="B322" s="79"/>
      <c r="C322" s="78"/>
    </row>
    <row r="323">
      <c r="B323" s="79"/>
      <c r="C323" s="78"/>
    </row>
    <row r="324">
      <c r="B324" s="79"/>
      <c r="C324" s="78"/>
    </row>
    <row r="325">
      <c r="B325" s="79"/>
      <c r="C325" s="78"/>
    </row>
    <row r="326">
      <c r="B326" s="79"/>
      <c r="C326" s="78"/>
    </row>
    <row r="327">
      <c r="B327" s="79"/>
      <c r="C327" s="78"/>
    </row>
    <row r="328">
      <c r="B328" s="79"/>
      <c r="C328" s="78"/>
    </row>
    <row r="329">
      <c r="B329" s="79"/>
      <c r="C329" s="78"/>
    </row>
    <row r="330">
      <c r="B330" s="79"/>
      <c r="C330" s="78"/>
    </row>
    <row r="331">
      <c r="B331" s="79"/>
      <c r="C331" s="78"/>
    </row>
    <row r="332">
      <c r="B332" s="79"/>
      <c r="C332" s="78"/>
    </row>
    <row r="333">
      <c r="B333" s="79"/>
      <c r="C333" s="78"/>
    </row>
    <row r="334">
      <c r="B334" s="79"/>
      <c r="C334" s="78"/>
    </row>
    <row r="335">
      <c r="B335" s="79"/>
      <c r="C335" s="78"/>
    </row>
    <row r="336">
      <c r="B336" s="79"/>
      <c r="C336" s="78"/>
    </row>
    <row r="337">
      <c r="B337" s="79"/>
      <c r="C337" s="78"/>
    </row>
    <row r="338">
      <c r="B338" s="79"/>
      <c r="C338" s="78"/>
    </row>
    <row r="339">
      <c r="B339" s="79"/>
      <c r="C339" s="78"/>
    </row>
    <row r="340">
      <c r="B340" s="79"/>
      <c r="C340" s="78"/>
    </row>
    <row r="341">
      <c r="B341" s="79"/>
      <c r="C341" s="78"/>
    </row>
    <row r="342">
      <c r="B342" s="79"/>
      <c r="C342" s="78"/>
    </row>
    <row r="343">
      <c r="B343" s="79"/>
      <c r="C343" s="78"/>
    </row>
    <row r="344">
      <c r="B344" s="79"/>
      <c r="C344" s="78"/>
    </row>
    <row r="345">
      <c r="B345" s="79"/>
      <c r="C345" s="78"/>
    </row>
    <row r="346">
      <c r="B346" s="79"/>
      <c r="C346" s="78"/>
    </row>
    <row r="347">
      <c r="B347" s="79"/>
      <c r="C347" s="78"/>
    </row>
    <row r="348">
      <c r="B348" s="79"/>
      <c r="C348" s="78"/>
    </row>
    <row r="349">
      <c r="B349" s="79"/>
      <c r="C349" s="78"/>
    </row>
    <row r="350">
      <c r="B350" s="79"/>
      <c r="C350" s="78"/>
    </row>
    <row r="351">
      <c r="B351" s="79"/>
      <c r="C351" s="78"/>
    </row>
    <row r="352">
      <c r="B352" s="79"/>
      <c r="C352" s="78"/>
    </row>
    <row r="353">
      <c r="B353" s="79"/>
      <c r="C353" s="78"/>
    </row>
    <row r="354">
      <c r="B354" s="79"/>
      <c r="C354" s="78"/>
    </row>
    <row r="355">
      <c r="B355" s="79"/>
      <c r="C355" s="78"/>
    </row>
    <row r="356">
      <c r="B356" s="79"/>
      <c r="C356" s="78"/>
    </row>
    <row r="357">
      <c r="B357" s="79"/>
      <c r="C357" s="78"/>
    </row>
    <row r="358">
      <c r="B358" s="79"/>
      <c r="C358" s="78"/>
    </row>
    <row r="359">
      <c r="B359" s="79"/>
      <c r="C359" s="78"/>
    </row>
    <row r="360">
      <c r="B360" s="79"/>
      <c r="C360" s="78"/>
    </row>
    <row r="361">
      <c r="B361" s="79"/>
      <c r="C361" s="78"/>
    </row>
    <row r="362">
      <c r="B362" s="79"/>
      <c r="C362" s="78"/>
    </row>
    <row r="363">
      <c r="B363" s="79"/>
      <c r="C363" s="78"/>
    </row>
    <row r="364">
      <c r="B364" s="79"/>
      <c r="C364" s="78"/>
    </row>
    <row r="365">
      <c r="B365" s="79"/>
      <c r="C365" s="78"/>
    </row>
    <row r="366">
      <c r="B366" s="79"/>
      <c r="C366" s="78"/>
    </row>
    <row r="367">
      <c r="B367" s="79"/>
      <c r="C367" s="78"/>
    </row>
    <row r="368">
      <c r="B368" s="79"/>
      <c r="C368" s="78"/>
    </row>
    <row r="369">
      <c r="B369" s="79"/>
      <c r="C369" s="78"/>
    </row>
    <row r="370">
      <c r="B370" s="79"/>
      <c r="C370" s="78"/>
    </row>
    <row r="371">
      <c r="B371" s="79"/>
      <c r="C371" s="78"/>
    </row>
    <row r="372">
      <c r="B372" s="79"/>
      <c r="C372" s="78"/>
    </row>
    <row r="373">
      <c r="B373" s="79"/>
      <c r="C373" s="78"/>
    </row>
    <row r="374">
      <c r="B374" s="79"/>
      <c r="C374" s="78"/>
    </row>
    <row r="375">
      <c r="B375" s="79"/>
      <c r="C375" s="78"/>
    </row>
    <row r="376">
      <c r="B376" s="79"/>
      <c r="C376" s="78"/>
    </row>
    <row r="377">
      <c r="B377" s="79"/>
      <c r="C377" s="78"/>
    </row>
    <row r="378">
      <c r="B378" s="79"/>
      <c r="C378" s="78"/>
    </row>
    <row r="379">
      <c r="B379" s="79"/>
      <c r="C379" s="78"/>
    </row>
    <row r="380">
      <c r="B380" s="79"/>
      <c r="C380" s="78"/>
    </row>
    <row r="381">
      <c r="B381" s="79"/>
      <c r="C381" s="78"/>
    </row>
    <row r="382">
      <c r="B382" s="79"/>
      <c r="C382" s="78"/>
    </row>
    <row r="383">
      <c r="B383" s="79"/>
      <c r="C383" s="78"/>
    </row>
    <row r="384">
      <c r="B384" s="79"/>
      <c r="C384" s="78"/>
    </row>
    <row r="385">
      <c r="B385" s="79"/>
      <c r="C385" s="78"/>
    </row>
    <row r="386">
      <c r="B386" s="79"/>
      <c r="C386" s="78"/>
    </row>
    <row r="387">
      <c r="B387" s="79"/>
      <c r="C387" s="78"/>
    </row>
    <row r="388">
      <c r="B388" s="79"/>
      <c r="C388" s="78"/>
    </row>
    <row r="389">
      <c r="B389" s="79"/>
      <c r="C389" s="78"/>
    </row>
    <row r="390">
      <c r="B390" s="79"/>
      <c r="C390" s="78"/>
    </row>
    <row r="391">
      <c r="B391" s="79"/>
      <c r="C391" s="78"/>
    </row>
    <row r="392">
      <c r="B392" s="79"/>
      <c r="C392" s="78"/>
    </row>
    <row r="393">
      <c r="B393" s="79"/>
      <c r="C393" s="78"/>
    </row>
    <row r="394">
      <c r="B394" s="79"/>
      <c r="C394" s="78"/>
    </row>
    <row r="395">
      <c r="B395" s="79"/>
      <c r="C395" s="78"/>
    </row>
    <row r="396">
      <c r="B396" s="79"/>
      <c r="C396" s="78"/>
    </row>
    <row r="397">
      <c r="B397" s="79"/>
      <c r="C397" s="78"/>
    </row>
    <row r="398">
      <c r="B398" s="79"/>
      <c r="C398" s="78"/>
    </row>
    <row r="399">
      <c r="B399" s="79"/>
      <c r="C399" s="78"/>
    </row>
    <row r="400">
      <c r="B400" s="79"/>
      <c r="C400" s="78"/>
    </row>
    <row r="401">
      <c r="B401" s="79"/>
      <c r="C401" s="78"/>
    </row>
    <row r="402">
      <c r="B402" s="79"/>
      <c r="C402" s="78"/>
    </row>
    <row r="403">
      <c r="B403" s="79"/>
      <c r="C403" s="78"/>
    </row>
    <row r="404">
      <c r="B404" s="79"/>
      <c r="C404" s="78"/>
    </row>
    <row r="405">
      <c r="B405" s="79"/>
      <c r="C405" s="78"/>
    </row>
    <row r="406">
      <c r="B406" s="79"/>
      <c r="C406" s="78"/>
    </row>
    <row r="407">
      <c r="B407" s="79"/>
      <c r="C407" s="78"/>
    </row>
    <row r="408">
      <c r="B408" s="79"/>
      <c r="C408" s="78"/>
    </row>
    <row r="409">
      <c r="B409" s="79"/>
      <c r="C409" s="78"/>
    </row>
    <row r="410">
      <c r="B410" s="79"/>
      <c r="C410" s="78"/>
    </row>
    <row r="411">
      <c r="B411" s="79"/>
      <c r="C411" s="78"/>
    </row>
    <row r="412">
      <c r="B412" s="79"/>
      <c r="C412" s="78"/>
    </row>
    <row r="413">
      <c r="B413" s="79"/>
      <c r="C413" s="78"/>
    </row>
    <row r="414">
      <c r="B414" s="79"/>
      <c r="C414" s="78"/>
    </row>
    <row r="415">
      <c r="B415" s="79"/>
      <c r="C415" s="78"/>
    </row>
    <row r="416">
      <c r="B416" s="79"/>
      <c r="C416" s="78"/>
    </row>
    <row r="417">
      <c r="B417" s="79"/>
      <c r="C417" s="78"/>
    </row>
    <row r="418">
      <c r="B418" s="79"/>
      <c r="C418" s="78"/>
    </row>
    <row r="419">
      <c r="B419" s="79"/>
      <c r="C419" s="78"/>
    </row>
    <row r="420">
      <c r="B420" s="79"/>
      <c r="C420" s="78"/>
    </row>
    <row r="421">
      <c r="B421" s="79"/>
      <c r="C421" s="78"/>
    </row>
    <row r="422">
      <c r="B422" s="79"/>
      <c r="C422" s="78"/>
    </row>
    <row r="423">
      <c r="B423" s="79"/>
      <c r="C423" s="78"/>
    </row>
    <row r="424">
      <c r="B424" s="79"/>
      <c r="C424" s="78"/>
    </row>
    <row r="425">
      <c r="B425" s="79"/>
      <c r="C425" s="78"/>
    </row>
    <row r="426">
      <c r="B426" s="79"/>
      <c r="C426" s="78"/>
    </row>
    <row r="427">
      <c r="B427" s="79"/>
      <c r="C427" s="78"/>
    </row>
    <row r="428">
      <c r="B428" s="79"/>
      <c r="C428" s="78"/>
    </row>
    <row r="429">
      <c r="B429" s="79"/>
      <c r="C429" s="78"/>
    </row>
    <row r="430">
      <c r="B430" s="79"/>
      <c r="C430" s="78"/>
    </row>
    <row r="431">
      <c r="B431" s="79"/>
      <c r="C431" s="78"/>
    </row>
    <row r="432">
      <c r="B432" s="79"/>
      <c r="C432" s="78"/>
    </row>
    <row r="433">
      <c r="B433" s="79"/>
      <c r="C433" s="78"/>
    </row>
    <row r="434">
      <c r="B434" s="79"/>
      <c r="C434" s="78"/>
    </row>
    <row r="435">
      <c r="B435" s="79"/>
      <c r="C435" s="78"/>
    </row>
    <row r="436">
      <c r="B436" s="79"/>
      <c r="C436" s="78"/>
    </row>
    <row r="437">
      <c r="B437" s="79"/>
      <c r="C437" s="78"/>
    </row>
    <row r="438">
      <c r="B438" s="79"/>
      <c r="C438" s="78"/>
    </row>
    <row r="439">
      <c r="B439" s="79"/>
      <c r="C439" s="78"/>
    </row>
    <row r="440">
      <c r="B440" s="79"/>
      <c r="C440" s="78"/>
    </row>
    <row r="441">
      <c r="B441" s="79"/>
      <c r="C441" s="78"/>
    </row>
    <row r="442">
      <c r="B442" s="79"/>
      <c r="C442" s="78"/>
    </row>
    <row r="443">
      <c r="B443" s="79"/>
      <c r="C443" s="78"/>
    </row>
    <row r="444">
      <c r="B444" s="79"/>
      <c r="C444" s="78"/>
    </row>
    <row r="445">
      <c r="B445" s="79"/>
      <c r="C445" s="78"/>
    </row>
    <row r="446">
      <c r="B446" s="79"/>
      <c r="C446" s="78"/>
    </row>
    <row r="447">
      <c r="B447" s="79"/>
      <c r="C447" s="78"/>
    </row>
    <row r="448">
      <c r="B448" s="79"/>
      <c r="C448" s="78"/>
    </row>
    <row r="449">
      <c r="B449" s="79"/>
      <c r="C449" s="78"/>
    </row>
    <row r="450">
      <c r="B450" s="79"/>
      <c r="C450" s="78"/>
    </row>
    <row r="451">
      <c r="B451" s="79"/>
      <c r="C451" s="78"/>
    </row>
    <row r="452">
      <c r="B452" s="79"/>
      <c r="C452" s="78"/>
    </row>
    <row r="453">
      <c r="B453" s="79"/>
      <c r="C453" s="78"/>
    </row>
    <row r="454">
      <c r="B454" s="79"/>
      <c r="C454" s="78"/>
    </row>
    <row r="455">
      <c r="B455" s="79"/>
      <c r="C455" s="78"/>
    </row>
    <row r="456">
      <c r="B456" s="79"/>
      <c r="C456" s="78"/>
    </row>
    <row r="457">
      <c r="B457" s="79"/>
      <c r="C457" s="78"/>
    </row>
    <row r="458">
      <c r="B458" s="79"/>
      <c r="C458" s="78"/>
    </row>
    <row r="459">
      <c r="B459" s="79"/>
      <c r="C459" s="78"/>
    </row>
    <row r="460">
      <c r="B460" s="79"/>
      <c r="C460" s="78"/>
    </row>
    <row r="461">
      <c r="B461" s="79"/>
      <c r="C461" s="78"/>
    </row>
    <row r="462">
      <c r="B462" s="79"/>
      <c r="C462" s="78"/>
    </row>
    <row r="463">
      <c r="B463" s="79"/>
      <c r="C463" s="78"/>
    </row>
    <row r="464">
      <c r="B464" s="79"/>
      <c r="C464" s="78"/>
    </row>
    <row r="465">
      <c r="B465" s="79"/>
      <c r="C465" s="78"/>
    </row>
    <row r="466">
      <c r="B466" s="79"/>
      <c r="C466" s="78"/>
    </row>
    <row r="467">
      <c r="B467" s="79"/>
      <c r="C467" s="78"/>
    </row>
    <row r="468">
      <c r="B468" s="79"/>
      <c r="C468" s="78"/>
    </row>
    <row r="469">
      <c r="B469" s="79"/>
      <c r="C469" s="78"/>
    </row>
    <row r="470">
      <c r="B470" s="79"/>
      <c r="C470" s="78"/>
    </row>
    <row r="471">
      <c r="B471" s="79"/>
      <c r="C471" s="78"/>
    </row>
    <row r="472">
      <c r="B472" s="79"/>
      <c r="C472" s="78"/>
    </row>
    <row r="473">
      <c r="B473" s="79"/>
      <c r="C473" s="78"/>
    </row>
    <row r="474">
      <c r="B474" s="79"/>
      <c r="C474" s="78"/>
    </row>
    <row r="475">
      <c r="B475" s="79"/>
      <c r="C475" s="78"/>
    </row>
    <row r="476">
      <c r="B476" s="79"/>
      <c r="C476" s="78"/>
    </row>
    <row r="477">
      <c r="B477" s="79"/>
      <c r="C477" s="78"/>
    </row>
    <row r="478">
      <c r="B478" s="79"/>
      <c r="C478" s="78"/>
    </row>
    <row r="479">
      <c r="B479" s="79"/>
      <c r="C479" s="78"/>
    </row>
    <row r="480">
      <c r="B480" s="79"/>
      <c r="C480" s="78"/>
    </row>
    <row r="481">
      <c r="B481" s="79"/>
      <c r="C481" s="78"/>
    </row>
    <row r="482">
      <c r="B482" s="79"/>
      <c r="C482" s="78"/>
    </row>
    <row r="483">
      <c r="B483" s="79"/>
      <c r="C483" s="78"/>
    </row>
    <row r="484">
      <c r="B484" s="79"/>
      <c r="C484" s="78"/>
    </row>
    <row r="485">
      <c r="B485" s="79"/>
      <c r="C485" s="78"/>
    </row>
    <row r="486">
      <c r="B486" s="79"/>
      <c r="C486" s="78"/>
    </row>
    <row r="487">
      <c r="B487" s="79"/>
      <c r="C487" s="78"/>
    </row>
    <row r="488">
      <c r="B488" s="79"/>
      <c r="C488" s="78"/>
    </row>
    <row r="489">
      <c r="B489" s="79"/>
      <c r="C489" s="78"/>
    </row>
    <row r="490">
      <c r="B490" s="79"/>
      <c r="C490" s="78"/>
    </row>
    <row r="491">
      <c r="B491" s="79"/>
      <c r="C491" s="78"/>
    </row>
    <row r="492">
      <c r="B492" s="79"/>
      <c r="C492" s="78"/>
    </row>
    <row r="493">
      <c r="B493" s="79"/>
      <c r="C493" s="78"/>
    </row>
    <row r="494">
      <c r="B494" s="79"/>
      <c r="C494" s="78"/>
    </row>
    <row r="495">
      <c r="B495" s="79"/>
      <c r="C495" s="78"/>
    </row>
    <row r="496">
      <c r="B496" s="79"/>
      <c r="C496" s="78"/>
    </row>
    <row r="497">
      <c r="B497" s="79"/>
      <c r="C497" s="78"/>
    </row>
    <row r="498">
      <c r="B498" s="79"/>
      <c r="C498" s="78"/>
    </row>
    <row r="499">
      <c r="B499" s="79"/>
      <c r="C499" s="78"/>
    </row>
    <row r="500">
      <c r="B500" s="79"/>
      <c r="C500" s="78"/>
    </row>
    <row r="501">
      <c r="B501" s="79"/>
      <c r="C501" s="78"/>
    </row>
    <row r="502">
      <c r="B502" s="79"/>
      <c r="C502" s="78"/>
    </row>
    <row r="503">
      <c r="B503" s="79"/>
      <c r="C503" s="78"/>
    </row>
    <row r="504">
      <c r="B504" s="79"/>
      <c r="C504" s="78"/>
    </row>
    <row r="505">
      <c r="B505" s="79"/>
      <c r="C505" s="78"/>
    </row>
    <row r="506">
      <c r="B506" s="79"/>
      <c r="C506" s="78"/>
    </row>
    <row r="507">
      <c r="B507" s="79"/>
      <c r="C507" s="78"/>
    </row>
    <row r="508">
      <c r="B508" s="79"/>
      <c r="C508" s="78"/>
    </row>
    <row r="509">
      <c r="B509" s="79"/>
      <c r="C509" s="78"/>
    </row>
    <row r="510">
      <c r="B510" s="79"/>
      <c r="C510" s="78"/>
    </row>
    <row r="511">
      <c r="B511" s="79"/>
      <c r="C511" s="78"/>
    </row>
    <row r="512">
      <c r="B512" s="79"/>
      <c r="C512" s="78"/>
    </row>
    <row r="513">
      <c r="B513" s="79"/>
      <c r="C513" s="78"/>
    </row>
    <row r="514">
      <c r="B514" s="79"/>
      <c r="C514" s="78"/>
    </row>
    <row r="515">
      <c r="B515" s="79"/>
      <c r="C515" s="78"/>
    </row>
    <row r="516">
      <c r="B516" s="79"/>
      <c r="C516" s="78"/>
    </row>
    <row r="517">
      <c r="B517" s="79"/>
      <c r="C517" s="78"/>
    </row>
    <row r="518">
      <c r="B518" s="79"/>
      <c r="C518" s="78"/>
    </row>
    <row r="519">
      <c r="B519" s="79"/>
      <c r="C519" s="78"/>
    </row>
    <row r="520">
      <c r="B520" s="79"/>
      <c r="C520" s="78"/>
    </row>
    <row r="521">
      <c r="B521" s="79"/>
      <c r="C521" s="78"/>
    </row>
    <row r="522">
      <c r="B522" s="79"/>
      <c r="C522" s="78"/>
    </row>
    <row r="523">
      <c r="B523" s="79"/>
      <c r="C523" s="78"/>
    </row>
    <row r="524">
      <c r="B524" s="79"/>
      <c r="C524" s="78"/>
    </row>
    <row r="525">
      <c r="B525" s="79"/>
      <c r="C525" s="78"/>
    </row>
    <row r="526">
      <c r="B526" s="79"/>
      <c r="C526" s="78"/>
    </row>
    <row r="527">
      <c r="B527" s="79"/>
      <c r="C527" s="78"/>
    </row>
    <row r="528">
      <c r="B528" s="79"/>
      <c r="C528" s="78"/>
    </row>
    <row r="529">
      <c r="B529" s="79"/>
      <c r="C529" s="78"/>
    </row>
    <row r="530">
      <c r="B530" s="79"/>
      <c r="C530" s="78"/>
    </row>
    <row r="531">
      <c r="B531" s="79"/>
      <c r="C531" s="78"/>
    </row>
    <row r="532">
      <c r="B532" s="79"/>
      <c r="C532" s="78"/>
    </row>
    <row r="533">
      <c r="B533" s="79"/>
      <c r="C533" s="78"/>
    </row>
    <row r="534">
      <c r="B534" s="79"/>
      <c r="C534" s="78"/>
    </row>
    <row r="535">
      <c r="B535" s="79"/>
      <c r="C535" s="78"/>
    </row>
    <row r="536">
      <c r="B536" s="79"/>
      <c r="C536" s="78"/>
    </row>
    <row r="537">
      <c r="B537" s="79"/>
      <c r="C537" s="78"/>
    </row>
    <row r="538">
      <c r="B538" s="79"/>
      <c r="C538" s="78"/>
    </row>
    <row r="539">
      <c r="B539" s="79"/>
      <c r="C539" s="78"/>
    </row>
    <row r="540">
      <c r="B540" s="79"/>
      <c r="C540" s="78"/>
    </row>
    <row r="541">
      <c r="B541" s="79"/>
      <c r="C541" s="78"/>
    </row>
    <row r="542">
      <c r="B542" s="79"/>
      <c r="C542" s="78"/>
    </row>
    <row r="543">
      <c r="B543" s="79"/>
      <c r="C543" s="78"/>
    </row>
    <row r="544">
      <c r="B544" s="79"/>
      <c r="C544" s="78"/>
    </row>
    <row r="545">
      <c r="B545" s="79"/>
      <c r="C545" s="78"/>
    </row>
    <row r="546">
      <c r="B546" s="79"/>
      <c r="C546" s="78"/>
    </row>
    <row r="547">
      <c r="B547" s="79"/>
      <c r="C547" s="78"/>
    </row>
    <row r="548">
      <c r="B548" s="79"/>
      <c r="C548" s="78"/>
    </row>
    <row r="549">
      <c r="B549" s="79"/>
      <c r="C549" s="78"/>
    </row>
    <row r="550">
      <c r="B550" s="79"/>
      <c r="C550" s="78"/>
    </row>
    <row r="551">
      <c r="B551" s="79"/>
      <c r="C551" s="78"/>
    </row>
    <row r="552">
      <c r="B552" s="79"/>
      <c r="C552" s="78"/>
    </row>
    <row r="553">
      <c r="B553" s="79"/>
      <c r="C553" s="78"/>
    </row>
    <row r="554">
      <c r="B554" s="79"/>
      <c r="C554" s="78"/>
    </row>
    <row r="555">
      <c r="B555" s="79"/>
      <c r="C555" s="78"/>
    </row>
    <row r="556">
      <c r="B556" s="79"/>
      <c r="C556" s="78"/>
    </row>
    <row r="557">
      <c r="B557" s="79"/>
      <c r="C557" s="78"/>
    </row>
    <row r="558">
      <c r="B558" s="79"/>
      <c r="C558" s="78"/>
    </row>
    <row r="559">
      <c r="B559" s="79"/>
      <c r="C559" s="78"/>
    </row>
    <row r="560">
      <c r="B560" s="79"/>
      <c r="C560" s="78"/>
    </row>
    <row r="561">
      <c r="B561" s="79"/>
      <c r="C561" s="78"/>
    </row>
    <row r="562">
      <c r="B562" s="79"/>
      <c r="C562" s="78"/>
    </row>
    <row r="563">
      <c r="B563" s="79"/>
      <c r="C563" s="78"/>
    </row>
    <row r="564">
      <c r="B564" s="79"/>
      <c r="C564" s="78"/>
    </row>
    <row r="565">
      <c r="B565" s="79"/>
      <c r="C565" s="78"/>
    </row>
    <row r="566">
      <c r="B566" s="79"/>
      <c r="C566" s="78"/>
    </row>
    <row r="567">
      <c r="B567" s="79"/>
      <c r="C567" s="78"/>
    </row>
    <row r="568">
      <c r="B568" s="79"/>
      <c r="C568" s="78"/>
    </row>
    <row r="569">
      <c r="B569" s="79"/>
      <c r="C569" s="78"/>
    </row>
    <row r="570">
      <c r="B570" s="79"/>
      <c r="C570" s="78"/>
    </row>
    <row r="571">
      <c r="B571" s="79"/>
      <c r="C571" s="78"/>
    </row>
    <row r="572">
      <c r="B572" s="79"/>
      <c r="C572" s="78"/>
    </row>
    <row r="573">
      <c r="B573" s="79"/>
      <c r="C573" s="78"/>
    </row>
    <row r="574">
      <c r="B574" s="79"/>
      <c r="C574" s="78"/>
    </row>
    <row r="575">
      <c r="B575" s="79"/>
      <c r="C575" s="78"/>
    </row>
    <row r="576">
      <c r="B576" s="79"/>
      <c r="C576" s="78"/>
    </row>
    <row r="577">
      <c r="B577" s="79"/>
      <c r="C577" s="78"/>
    </row>
    <row r="578">
      <c r="B578" s="79"/>
      <c r="C578" s="78"/>
    </row>
    <row r="579">
      <c r="B579" s="79"/>
      <c r="C579" s="78"/>
    </row>
    <row r="580">
      <c r="B580" s="79"/>
      <c r="C580" s="78"/>
    </row>
    <row r="581">
      <c r="B581" s="79"/>
      <c r="C581" s="78"/>
    </row>
    <row r="582">
      <c r="B582" s="79"/>
      <c r="C582" s="78"/>
    </row>
    <row r="583">
      <c r="B583" s="79"/>
      <c r="C583" s="78"/>
    </row>
    <row r="584">
      <c r="B584" s="79"/>
      <c r="C584" s="78"/>
    </row>
    <row r="585">
      <c r="B585" s="79"/>
      <c r="C585" s="78"/>
    </row>
    <row r="586">
      <c r="B586" s="79"/>
      <c r="C586" s="78"/>
    </row>
    <row r="587">
      <c r="B587" s="79"/>
      <c r="C587" s="78"/>
    </row>
    <row r="588">
      <c r="B588" s="79"/>
      <c r="C588" s="78"/>
    </row>
    <row r="589">
      <c r="B589" s="79"/>
      <c r="C589" s="78"/>
    </row>
    <row r="590">
      <c r="B590" s="79"/>
      <c r="C590" s="78"/>
    </row>
    <row r="591">
      <c r="B591" s="79"/>
      <c r="C591" s="78"/>
    </row>
    <row r="592">
      <c r="B592" s="79"/>
      <c r="C592" s="78"/>
    </row>
    <row r="593">
      <c r="B593" s="79"/>
      <c r="C593" s="78"/>
    </row>
    <row r="594">
      <c r="B594" s="79"/>
      <c r="C594" s="78"/>
    </row>
    <row r="595">
      <c r="B595" s="79"/>
      <c r="C595" s="78"/>
    </row>
    <row r="596">
      <c r="B596" s="79"/>
      <c r="C596" s="78"/>
    </row>
    <row r="597">
      <c r="B597" s="79"/>
      <c r="C597" s="78"/>
    </row>
    <row r="598">
      <c r="B598" s="79"/>
      <c r="C598" s="78"/>
    </row>
    <row r="599">
      <c r="B599" s="79"/>
      <c r="C599" s="78"/>
    </row>
    <row r="600">
      <c r="B600" s="79"/>
      <c r="C600" s="78"/>
    </row>
    <row r="601">
      <c r="B601" s="79"/>
      <c r="C601" s="78"/>
    </row>
    <row r="602">
      <c r="B602" s="79"/>
      <c r="C602" s="78"/>
    </row>
    <row r="603">
      <c r="B603" s="79"/>
      <c r="C603" s="78"/>
    </row>
    <row r="604">
      <c r="B604" s="79"/>
      <c r="C604" s="78"/>
    </row>
    <row r="605">
      <c r="B605" s="79"/>
      <c r="C605" s="78"/>
    </row>
    <row r="606">
      <c r="B606" s="79"/>
      <c r="C606" s="78"/>
    </row>
    <row r="607">
      <c r="B607" s="79"/>
      <c r="C607" s="78"/>
    </row>
    <row r="608">
      <c r="B608" s="79"/>
      <c r="C608" s="78"/>
    </row>
    <row r="609">
      <c r="B609" s="79"/>
      <c r="C609" s="78"/>
    </row>
    <row r="610">
      <c r="B610" s="79"/>
      <c r="C610" s="78"/>
    </row>
    <row r="611">
      <c r="B611" s="79"/>
      <c r="C611" s="78"/>
    </row>
    <row r="612">
      <c r="B612" s="79"/>
      <c r="C612" s="78"/>
    </row>
    <row r="613">
      <c r="B613" s="79"/>
      <c r="C613" s="78"/>
    </row>
    <row r="614">
      <c r="B614" s="79"/>
      <c r="C614" s="78"/>
    </row>
    <row r="615">
      <c r="B615" s="79"/>
      <c r="C615" s="78"/>
    </row>
    <row r="616">
      <c r="B616" s="79"/>
      <c r="C616" s="78"/>
    </row>
    <row r="617">
      <c r="B617" s="79"/>
      <c r="C617" s="78"/>
    </row>
    <row r="618">
      <c r="B618" s="79"/>
      <c r="C618" s="78"/>
    </row>
    <row r="619">
      <c r="B619" s="79"/>
      <c r="C619" s="78"/>
    </row>
    <row r="620">
      <c r="B620" s="79"/>
      <c r="C620" s="78"/>
    </row>
    <row r="621">
      <c r="B621" s="79"/>
      <c r="C621" s="78"/>
    </row>
    <row r="622">
      <c r="B622" s="79"/>
      <c r="C622" s="78"/>
    </row>
    <row r="623">
      <c r="B623" s="79"/>
      <c r="C623" s="78"/>
    </row>
    <row r="624">
      <c r="B624" s="79"/>
      <c r="C624" s="78"/>
    </row>
    <row r="625">
      <c r="B625" s="79"/>
      <c r="C625" s="78"/>
    </row>
    <row r="626">
      <c r="B626" s="79"/>
      <c r="C626" s="78"/>
    </row>
    <row r="627">
      <c r="B627" s="79"/>
      <c r="C627" s="78"/>
    </row>
    <row r="628">
      <c r="B628" s="79"/>
      <c r="C628" s="78"/>
    </row>
    <row r="629">
      <c r="B629" s="79"/>
      <c r="C629" s="78"/>
    </row>
    <row r="630">
      <c r="B630" s="79"/>
      <c r="C630" s="78"/>
    </row>
    <row r="631">
      <c r="B631" s="79"/>
      <c r="C631" s="78"/>
    </row>
    <row r="632">
      <c r="B632" s="79"/>
      <c r="C632" s="78"/>
    </row>
    <row r="633">
      <c r="B633" s="79"/>
      <c r="C633" s="78"/>
    </row>
    <row r="634">
      <c r="B634" s="79"/>
      <c r="C634" s="78"/>
    </row>
    <row r="635">
      <c r="B635" s="79"/>
      <c r="C635" s="78"/>
    </row>
    <row r="636">
      <c r="B636" s="79"/>
      <c r="C636" s="78"/>
    </row>
    <row r="637">
      <c r="B637" s="79"/>
      <c r="C637" s="78"/>
    </row>
    <row r="638">
      <c r="B638" s="79"/>
      <c r="C638" s="78"/>
    </row>
    <row r="639">
      <c r="B639" s="79"/>
      <c r="C639" s="78"/>
    </row>
    <row r="640">
      <c r="B640" s="79"/>
      <c r="C640" s="78"/>
    </row>
    <row r="641">
      <c r="B641" s="79"/>
      <c r="C641" s="78"/>
    </row>
    <row r="642">
      <c r="B642" s="79"/>
      <c r="C642" s="78"/>
    </row>
    <row r="643">
      <c r="B643" s="79"/>
      <c r="C643" s="78"/>
    </row>
    <row r="644">
      <c r="B644" s="79"/>
      <c r="C644" s="78"/>
    </row>
    <row r="645">
      <c r="B645" s="79"/>
      <c r="C645" s="78"/>
    </row>
    <row r="646">
      <c r="B646" s="79"/>
      <c r="C646" s="78"/>
    </row>
    <row r="647">
      <c r="B647" s="79"/>
      <c r="C647" s="78"/>
    </row>
    <row r="648">
      <c r="B648" s="79"/>
      <c r="C648" s="78"/>
    </row>
    <row r="649">
      <c r="B649" s="79"/>
      <c r="C649" s="78"/>
    </row>
    <row r="650">
      <c r="B650" s="79"/>
      <c r="C650" s="78"/>
    </row>
    <row r="651">
      <c r="B651" s="79"/>
      <c r="C651" s="78"/>
    </row>
    <row r="652">
      <c r="B652" s="79"/>
      <c r="C652" s="78"/>
    </row>
    <row r="653">
      <c r="B653" s="79"/>
      <c r="C653" s="78"/>
    </row>
    <row r="654">
      <c r="B654" s="79"/>
      <c r="C654" s="78"/>
    </row>
    <row r="655">
      <c r="B655" s="79"/>
      <c r="C655" s="78"/>
    </row>
    <row r="656">
      <c r="B656" s="79"/>
      <c r="C656" s="78"/>
    </row>
    <row r="657">
      <c r="B657" s="79"/>
      <c r="C657" s="78"/>
    </row>
    <row r="658">
      <c r="B658" s="79"/>
      <c r="C658" s="78"/>
    </row>
    <row r="659">
      <c r="B659" s="79"/>
      <c r="C659" s="78"/>
    </row>
    <row r="660">
      <c r="B660" s="79"/>
      <c r="C660" s="78"/>
    </row>
    <row r="661">
      <c r="B661" s="79"/>
      <c r="C661" s="78"/>
    </row>
    <row r="662">
      <c r="B662" s="79"/>
      <c r="C662" s="78"/>
    </row>
    <row r="663">
      <c r="B663" s="79"/>
      <c r="C663" s="78"/>
    </row>
    <row r="664">
      <c r="B664" s="79"/>
      <c r="C664" s="78"/>
    </row>
    <row r="665">
      <c r="B665" s="79"/>
      <c r="C665" s="78"/>
    </row>
    <row r="666">
      <c r="B666" s="79"/>
      <c r="C666" s="78"/>
    </row>
    <row r="667">
      <c r="B667" s="79"/>
      <c r="C667" s="78"/>
    </row>
    <row r="668">
      <c r="B668" s="79"/>
      <c r="C668" s="78"/>
    </row>
    <row r="669">
      <c r="B669" s="79"/>
      <c r="C669" s="78"/>
    </row>
    <row r="670">
      <c r="B670" s="79"/>
      <c r="C670" s="78"/>
    </row>
    <row r="671">
      <c r="B671" s="79"/>
      <c r="C671" s="78"/>
    </row>
    <row r="672">
      <c r="B672" s="79"/>
      <c r="C672" s="78"/>
    </row>
    <row r="673">
      <c r="B673" s="79"/>
      <c r="C673" s="78"/>
    </row>
    <row r="674">
      <c r="B674" s="79"/>
      <c r="C674" s="78"/>
    </row>
    <row r="675">
      <c r="B675" s="79"/>
      <c r="C675" s="78"/>
    </row>
    <row r="676">
      <c r="B676" s="79"/>
      <c r="C676" s="78"/>
    </row>
    <row r="677">
      <c r="B677" s="79"/>
      <c r="C677" s="78"/>
    </row>
    <row r="678">
      <c r="B678" s="79"/>
      <c r="C678" s="78"/>
    </row>
    <row r="679">
      <c r="B679" s="79"/>
      <c r="C679" s="78"/>
    </row>
    <row r="680">
      <c r="B680" s="79"/>
      <c r="C680" s="78"/>
    </row>
    <row r="681">
      <c r="B681" s="79"/>
      <c r="C681" s="78"/>
    </row>
    <row r="682">
      <c r="B682" s="79"/>
      <c r="C682" s="78"/>
    </row>
    <row r="683">
      <c r="B683" s="79"/>
      <c r="C683" s="78"/>
    </row>
    <row r="684">
      <c r="B684" s="79"/>
      <c r="C684" s="78"/>
    </row>
    <row r="685">
      <c r="B685" s="79"/>
      <c r="C685" s="78"/>
    </row>
    <row r="686">
      <c r="B686" s="79"/>
      <c r="C686" s="78"/>
    </row>
    <row r="687">
      <c r="B687" s="79"/>
      <c r="C687" s="78"/>
    </row>
    <row r="688">
      <c r="B688" s="79"/>
      <c r="C688" s="78"/>
    </row>
    <row r="689">
      <c r="B689" s="79"/>
      <c r="C689" s="78"/>
    </row>
    <row r="690">
      <c r="B690" s="79"/>
      <c r="C690" s="78"/>
    </row>
    <row r="691">
      <c r="B691" s="79"/>
      <c r="C691" s="78"/>
    </row>
    <row r="692">
      <c r="B692" s="79"/>
      <c r="C692" s="78"/>
    </row>
    <row r="693">
      <c r="B693" s="79"/>
      <c r="C693" s="78"/>
    </row>
    <row r="694">
      <c r="B694" s="79"/>
      <c r="C694" s="78"/>
    </row>
    <row r="695">
      <c r="B695" s="79"/>
      <c r="C695" s="78"/>
    </row>
    <row r="696">
      <c r="B696" s="79"/>
      <c r="C696" s="78"/>
    </row>
    <row r="697">
      <c r="B697" s="79"/>
      <c r="C697" s="78"/>
    </row>
    <row r="698">
      <c r="B698" s="79"/>
      <c r="C698" s="78"/>
    </row>
    <row r="699">
      <c r="B699" s="79"/>
      <c r="C699" s="78"/>
    </row>
    <row r="700">
      <c r="B700" s="79"/>
      <c r="C700" s="78"/>
    </row>
    <row r="701">
      <c r="B701" s="79"/>
      <c r="C701" s="78"/>
    </row>
    <row r="702">
      <c r="B702" s="79"/>
      <c r="C702" s="78"/>
    </row>
    <row r="703">
      <c r="B703" s="79"/>
      <c r="C703" s="78"/>
    </row>
    <row r="704">
      <c r="B704" s="79"/>
      <c r="C704" s="78"/>
    </row>
    <row r="705">
      <c r="B705" s="79"/>
      <c r="C705" s="78"/>
    </row>
    <row r="706">
      <c r="B706" s="79"/>
      <c r="C706" s="78"/>
    </row>
    <row r="707">
      <c r="B707" s="79"/>
      <c r="C707" s="78"/>
    </row>
    <row r="708">
      <c r="B708" s="79"/>
      <c r="C708" s="78"/>
    </row>
    <row r="709">
      <c r="B709" s="79"/>
      <c r="C709" s="78"/>
    </row>
    <row r="710">
      <c r="B710" s="79"/>
      <c r="C710" s="78"/>
    </row>
    <row r="711">
      <c r="B711" s="79"/>
      <c r="C711" s="78"/>
    </row>
    <row r="712">
      <c r="B712" s="79"/>
      <c r="C712" s="78"/>
    </row>
    <row r="713">
      <c r="B713" s="79"/>
      <c r="C713" s="78"/>
    </row>
    <row r="714">
      <c r="B714" s="79"/>
      <c r="C714" s="78"/>
    </row>
    <row r="715">
      <c r="B715" s="79"/>
      <c r="C715" s="78"/>
    </row>
    <row r="716">
      <c r="B716" s="79"/>
      <c r="C716" s="78"/>
    </row>
    <row r="717">
      <c r="B717" s="79"/>
      <c r="C717" s="78"/>
    </row>
    <row r="718">
      <c r="B718" s="79"/>
      <c r="C718" s="78"/>
    </row>
    <row r="719">
      <c r="B719" s="79"/>
      <c r="C719" s="78"/>
    </row>
    <row r="720">
      <c r="B720" s="79"/>
      <c r="C720" s="78"/>
    </row>
    <row r="721">
      <c r="B721" s="79"/>
      <c r="C721" s="78"/>
    </row>
    <row r="722">
      <c r="B722" s="79"/>
      <c r="C722" s="78"/>
    </row>
    <row r="723">
      <c r="B723" s="79"/>
      <c r="C723" s="78"/>
    </row>
    <row r="724">
      <c r="B724" s="79"/>
      <c r="C724" s="78"/>
    </row>
    <row r="725">
      <c r="B725" s="79"/>
      <c r="C725" s="78"/>
    </row>
    <row r="726">
      <c r="B726" s="79"/>
      <c r="C726" s="78"/>
    </row>
    <row r="727">
      <c r="B727" s="79"/>
      <c r="C727" s="78"/>
    </row>
    <row r="728">
      <c r="B728" s="79"/>
      <c r="C728" s="78"/>
    </row>
    <row r="729">
      <c r="B729" s="79"/>
      <c r="C729" s="78"/>
    </row>
    <row r="730">
      <c r="B730" s="79"/>
      <c r="C730" s="78"/>
    </row>
    <row r="731">
      <c r="B731" s="79"/>
      <c r="C731" s="78"/>
    </row>
    <row r="732">
      <c r="B732" s="79"/>
      <c r="C732" s="78"/>
    </row>
    <row r="733">
      <c r="B733" s="79"/>
      <c r="C733" s="78"/>
    </row>
    <row r="734">
      <c r="B734" s="79"/>
      <c r="C734" s="78"/>
    </row>
    <row r="735">
      <c r="B735" s="79"/>
      <c r="C735" s="78"/>
    </row>
    <row r="736">
      <c r="B736" s="79"/>
      <c r="C736" s="78"/>
    </row>
    <row r="737">
      <c r="B737" s="79"/>
      <c r="C737" s="78"/>
    </row>
    <row r="738">
      <c r="B738" s="79"/>
      <c r="C738" s="78"/>
    </row>
    <row r="739">
      <c r="B739" s="79"/>
      <c r="C739" s="78"/>
    </row>
    <row r="740">
      <c r="B740" s="79"/>
      <c r="C740" s="78"/>
    </row>
    <row r="741">
      <c r="B741" s="79"/>
      <c r="C741" s="78"/>
    </row>
    <row r="742">
      <c r="B742" s="79"/>
      <c r="C742" s="78"/>
    </row>
    <row r="743">
      <c r="B743" s="79"/>
      <c r="C743" s="78"/>
    </row>
    <row r="744">
      <c r="B744" s="79"/>
      <c r="C744" s="78"/>
    </row>
    <row r="745">
      <c r="B745" s="79"/>
      <c r="C745" s="78"/>
    </row>
    <row r="746">
      <c r="B746" s="79"/>
      <c r="C746" s="78"/>
    </row>
    <row r="747">
      <c r="B747" s="79"/>
      <c r="C747" s="78"/>
    </row>
    <row r="748">
      <c r="B748" s="79"/>
      <c r="C748" s="78"/>
    </row>
    <row r="749">
      <c r="B749" s="79"/>
      <c r="C749" s="78"/>
    </row>
    <row r="750">
      <c r="B750" s="79"/>
      <c r="C750" s="78"/>
    </row>
    <row r="751">
      <c r="B751" s="79"/>
      <c r="C751" s="78"/>
    </row>
    <row r="752">
      <c r="B752" s="79"/>
      <c r="C752" s="78"/>
    </row>
    <row r="753">
      <c r="B753" s="79"/>
      <c r="C753" s="78"/>
    </row>
    <row r="754">
      <c r="B754" s="79"/>
      <c r="C754" s="78"/>
    </row>
    <row r="755">
      <c r="B755" s="79"/>
      <c r="C755" s="78"/>
    </row>
    <row r="756">
      <c r="B756" s="79"/>
      <c r="C756" s="78"/>
    </row>
    <row r="757">
      <c r="B757" s="79"/>
      <c r="C757" s="78"/>
    </row>
    <row r="758">
      <c r="B758" s="79"/>
      <c r="C758" s="78"/>
    </row>
    <row r="759">
      <c r="B759" s="79"/>
      <c r="C759" s="78"/>
    </row>
    <row r="760">
      <c r="B760" s="79"/>
      <c r="C760" s="78"/>
    </row>
    <row r="761">
      <c r="B761" s="79"/>
      <c r="C761" s="78"/>
    </row>
    <row r="762">
      <c r="B762" s="79"/>
      <c r="C762" s="78"/>
    </row>
    <row r="763">
      <c r="B763" s="79"/>
      <c r="C763" s="78"/>
    </row>
    <row r="764">
      <c r="B764" s="79"/>
      <c r="C764" s="78"/>
    </row>
    <row r="765">
      <c r="B765" s="79"/>
      <c r="C765" s="78"/>
    </row>
    <row r="766">
      <c r="B766" s="79"/>
      <c r="C766" s="78"/>
    </row>
    <row r="767">
      <c r="B767" s="79"/>
      <c r="C767" s="78"/>
    </row>
    <row r="768">
      <c r="B768" s="79"/>
      <c r="C768" s="78"/>
    </row>
    <row r="769">
      <c r="B769" s="79"/>
      <c r="C769" s="78"/>
    </row>
    <row r="770">
      <c r="B770" s="79"/>
      <c r="C770" s="78"/>
    </row>
    <row r="771">
      <c r="B771" s="79"/>
      <c r="C771" s="78"/>
    </row>
    <row r="772">
      <c r="B772" s="79"/>
      <c r="C772" s="78"/>
    </row>
    <row r="773">
      <c r="B773" s="79"/>
      <c r="C773" s="78"/>
    </row>
    <row r="774">
      <c r="B774" s="79"/>
      <c r="C774" s="78"/>
    </row>
    <row r="775">
      <c r="B775" s="79"/>
      <c r="C775" s="78"/>
    </row>
    <row r="776">
      <c r="B776" s="79"/>
      <c r="C776" s="78"/>
    </row>
    <row r="777">
      <c r="B777" s="79"/>
      <c r="C777" s="78"/>
    </row>
    <row r="778">
      <c r="B778" s="79"/>
      <c r="C778" s="78"/>
    </row>
    <row r="779">
      <c r="B779" s="79"/>
      <c r="C779" s="78"/>
    </row>
    <row r="780">
      <c r="B780" s="79"/>
      <c r="C780" s="78"/>
    </row>
    <row r="781">
      <c r="B781" s="79"/>
      <c r="C781" s="78"/>
    </row>
    <row r="782">
      <c r="B782" s="79"/>
      <c r="C782" s="78"/>
    </row>
    <row r="783">
      <c r="B783" s="79"/>
      <c r="C783" s="78"/>
    </row>
    <row r="784">
      <c r="B784" s="79"/>
      <c r="C784" s="78"/>
    </row>
    <row r="785">
      <c r="B785" s="79"/>
      <c r="C785" s="78"/>
    </row>
    <row r="786">
      <c r="B786" s="79"/>
      <c r="C786" s="78"/>
    </row>
    <row r="787">
      <c r="B787" s="79"/>
      <c r="C787" s="78"/>
    </row>
    <row r="788">
      <c r="B788" s="79"/>
      <c r="C788" s="78"/>
    </row>
    <row r="789">
      <c r="B789" s="79"/>
      <c r="C789" s="78"/>
    </row>
    <row r="790">
      <c r="B790" s="79"/>
      <c r="C790" s="78"/>
    </row>
    <row r="791">
      <c r="B791" s="79"/>
      <c r="C791" s="78"/>
    </row>
    <row r="792">
      <c r="B792" s="79"/>
      <c r="C792" s="78"/>
    </row>
    <row r="793">
      <c r="B793" s="79"/>
      <c r="C793" s="78"/>
    </row>
    <row r="794">
      <c r="B794" s="79"/>
      <c r="C794" s="78"/>
    </row>
    <row r="795">
      <c r="B795" s="79"/>
      <c r="C795" s="78"/>
    </row>
    <row r="796">
      <c r="B796" s="79"/>
      <c r="C796" s="78"/>
    </row>
    <row r="797">
      <c r="B797" s="79"/>
      <c r="C797" s="78"/>
    </row>
    <row r="798">
      <c r="B798" s="79"/>
      <c r="C798" s="78"/>
    </row>
    <row r="799">
      <c r="B799" s="79"/>
      <c r="C799" s="78"/>
    </row>
    <row r="800">
      <c r="B800" s="79"/>
      <c r="C800" s="78"/>
    </row>
    <row r="801">
      <c r="B801" s="79"/>
      <c r="C801" s="78"/>
    </row>
    <row r="802">
      <c r="B802" s="79"/>
      <c r="C802" s="78"/>
    </row>
    <row r="803">
      <c r="B803" s="79"/>
      <c r="C803" s="78"/>
    </row>
    <row r="804">
      <c r="B804" s="79"/>
      <c r="C804" s="78"/>
    </row>
    <row r="805">
      <c r="B805" s="79"/>
      <c r="C805" s="78"/>
    </row>
    <row r="806">
      <c r="B806" s="79"/>
      <c r="C806" s="78"/>
    </row>
    <row r="807">
      <c r="B807" s="79"/>
      <c r="C807" s="78"/>
    </row>
    <row r="808">
      <c r="B808" s="79"/>
      <c r="C808" s="78"/>
    </row>
    <row r="809">
      <c r="B809" s="79"/>
      <c r="C809" s="78"/>
    </row>
    <row r="810">
      <c r="B810" s="79"/>
      <c r="C810" s="78"/>
    </row>
    <row r="811">
      <c r="B811" s="79"/>
      <c r="C811" s="78"/>
    </row>
    <row r="812">
      <c r="B812" s="79"/>
      <c r="C812" s="78"/>
    </row>
    <row r="813">
      <c r="B813" s="79"/>
      <c r="C813" s="78"/>
    </row>
    <row r="814">
      <c r="B814" s="79"/>
      <c r="C814" s="78"/>
    </row>
    <row r="815">
      <c r="B815" s="79"/>
      <c r="C815" s="78"/>
    </row>
    <row r="816">
      <c r="B816" s="79"/>
      <c r="C816" s="78"/>
    </row>
    <row r="817">
      <c r="B817" s="79"/>
      <c r="C817" s="78"/>
    </row>
    <row r="818">
      <c r="B818" s="79"/>
      <c r="C818" s="78"/>
    </row>
    <row r="819">
      <c r="B819" s="79"/>
      <c r="C819" s="78"/>
    </row>
    <row r="820">
      <c r="B820" s="79"/>
      <c r="C820" s="78"/>
    </row>
    <row r="821">
      <c r="B821" s="79"/>
      <c r="C821" s="78"/>
    </row>
    <row r="822">
      <c r="B822" s="79"/>
      <c r="C822" s="78"/>
    </row>
    <row r="823">
      <c r="B823" s="79"/>
      <c r="C823" s="78"/>
    </row>
    <row r="824">
      <c r="B824" s="79"/>
      <c r="C824" s="78"/>
    </row>
    <row r="825">
      <c r="B825" s="79"/>
      <c r="C825" s="78"/>
    </row>
    <row r="826">
      <c r="B826" s="79"/>
      <c r="C826" s="78"/>
    </row>
    <row r="827">
      <c r="B827" s="79"/>
      <c r="C827" s="78"/>
    </row>
    <row r="828">
      <c r="B828" s="79"/>
      <c r="C828" s="78"/>
    </row>
    <row r="829">
      <c r="B829" s="79"/>
      <c r="C829" s="78"/>
    </row>
    <row r="830">
      <c r="B830" s="79"/>
      <c r="C830" s="78"/>
    </row>
    <row r="831">
      <c r="B831" s="79"/>
      <c r="C831" s="78"/>
    </row>
    <row r="832">
      <c r="B832" s="79"/>
      <c r="C832" s="78"/>
    </row>
    <row r="833">
      <c r="B833" s="79"/>
      <c r="C833" s="78"/>
    </row>
    <row r="834">
      <c r="B834" s="79"/>
      <c r="C834" s="78"/>
    </row>
    <row r="835">
      <c r="B835" s="79"/>
      <c r="C835" s="78"/>
    </row>
    <row r="836">
      <c r="B836" s="79"/>
      <c r="C836" s="78"/>
    </row>
    <row r="837">
      <c r="B837" s="79"/>
      <c r="C837" s="78"/>
    </row>
    <row r="838">
      <c r="B838" s="79"/>
      <c r="C838" s="78"/>
    </row>
    <row r="839">
      <c r="B839" s="79"/>
      <c r="C839" s="78"/>
    </row>
    <row r="840">
      <c r="B840" s="79"/>
      <c r="C840" s="78"/>
    </row>
    <row r="841">
      <c r="B841" s="79"/>
      <c r="C841" s="78"/>
    </row>
    <row r="842">
      <c r="B842" s="79"/>
      <c r="C842" s="78"/>
    </row>
    <row r="843">
      <c r="B843" s="79"/>
      <c r="C843" s="78"/>
    </row>
    <row r="844">
      <c r="B844" s="79"/>
      <c r="C844" s="78"/>
    </row>
    <row r="845">
      <c r="B845" s="79"/>
      <c r="C845" s="78"/>
    </row>
    <row r="846">
      <c r="B846" s="79"/>
      <c r="C846" s="78"/>
    </row>
    <row r="847">
      <c r="B847" s="79"/>
      <c r="C847" s="78"/>
    </row>
    <row r="848">
      <c r="B848" s="79"/>
      <c r="C848" s="78"/>
    </row>
    <row r="849">
      <c r="B849" s="79"/>
      <c r="C849" s="78"/>
    </row>
    <row r="850">
      <c r="B850" s="79"/>
      <c r="C850" s="78"/>
    </row>
    <row r="851">
      <c r="B851" s="79"/>
      <c r="C851" s="78"/>
    </row>
    <row r="852">
      <c r="B852" s="79"/>
      <c r="C852" s="78"/>
    </row>
    <row r="853">
      <c r="B853" s="79"/>
      <c r="C853" s="78"/>
    </row>
    <row r="854">
      <c r="B854" s="79"/>
      <c r="C854" s="78"/>
    </row>
    <row r="855">
      <c r="B855" s="79"/>
      <c r="C855" s="78"/>
    </row>
    <row r="856">
      <c r="B856" s="79"/>
      <c r="C856" s="78"/>
    </row>
    <row r="857">
      <c r="B857" s="79"/>
      <c r="C857" s="78"/>
    </row>
    <row r="858">
      <c r="B858" s="79"/>
      <c r="C858" s="78"/>
    </row>
    <row r="859">
      <c r="B859" s="79"/>
      <c r="C859" s="78"/>
    </row>
    <row r="860">
      <c r="B860" s="79"/>
      <c r="C860" s="78"/>
    </row>
    <row r="861">
      <c r="B861" s="79"/>
      <c r="C861" s="78"/>
    </row>
    <row r="862">
      <c r="B862" s="79"/>
      <c r="C862" s="78"/>
    </row>
    <row r="863">
      <c r="B863" s="79"/>
      <c r="C863" s="78"/>
    </row>
    <row r="864">
      <c r="B864" s="79"/>
      <c r="C864" s="78"/>
    </row>
    <row r="865">
      <c r="B865" s="79"/>
      <c r="C865" s="78"/>
    </row>
    <row r="866">
      <c r="B866" s="79"/>
      <c r="C866" s="78"/>
    </row>
    <row r="867">
      <c r="B867" s="79"/>
      <c r="C867" s="78"/>
    </row>
    <row r="868">
      <c r="B868" s="79"/>
      <c r="C868" s="78"/>
    </row>
    <row r="869">
      <c r="B869" s="79"/>
      <c r="C869" s="78"/>
    </row>
    <row r="870">
      <c r="B870" s="79"/>
      <c r="C870" s="78"/>
    </row>
    <row r="871">
      <c r="B871" s="79"/>
      <c r="C871" s="78"/>
    </row>
    <row r="872">
      <c r="B872" s="79"/>
      <c r="C872" s="78"/>
    </row>
    <row r="873">
      <c r="B873" s="79"/>
      <c r="C873" s="78"/>
    </row>
    <row r="874">
      <c r="B874" s="79"/>
      <c r="C874" s="78"/>
    </row>
    <row r="875">
      <c r="B875" s="79"/>
      <c r="C875" s="78"/>
    </row>
    <row r="876">
      <c r="B876" s="79"/>
      <c r="C876" s="78"/>
    </row>
    <row r="877">
      <c r="B877" s="79"/>
      <c r="C877" s="78"/>
    </row>
    <row r="878">
      <c r="B878" s="79"/>
      <c r="C878" s="78"/>
    </row>
    <row r="879">
      <c r="B879" s="79"/>
      <c r="C879" s="78"/>
    </row>
    <row r="880">
      <c r="B880" s="79"/>
      <c r="C880" s="78"/>
    </row>
    <row r="881">
      <c r="B881" s="79"/>
      <c r="C881" s="78"/>
    </row>
    <row r="882">
      <c r="B882" s="79"/>
      <c r="C882" s="78"/>
    </row>
    <row r="883">
      <c r="B883" s="79"/>
      <c r="C883" s="78"/>
    </row>
    <row r="884">
      <c r="B884" s="79"/>
      <c r="C884" s="78"/>
    </row>
    <row r="885">
      <c r="B885" s="79"/>
      <c r="C885" s="78"/>
    </row>
    <row r="886">
      <c r="B886" s="79"/>
      <c r="C886" s="78"/>
    </row>
    <row r="887">
      <c r="B887" s="79"/>
      <c r="C887" s="78"/>
    </row>
    <row r="888">
      <c r="B888" s="79"/>
      <c r="C888" s="78"/>
    </row>
    <row r="889">
      <c r="B889" s="79"/>
      <c r="C889" s="78"/>
    </row>
    <row r="890">
      <c r="B890" s="79"/>
      <c r="C890" s="78"/>
    </row>
    <row r="891">
      <c r="B891" s="79"/>
      <c r="C891" s="78"/>
    </row>
    <row r="892">
      <c r="B892" s="79"/>
      <c r="C892" s="78"/>
    </row>
    <row r="893">
      <c r="B893" s="79"/>
      <c r="C893" s="78"/>
    </row>
    <row r="894">
      <c r="B894" s="79"/>
      <c r="C894" s="78"/>
    </row>
    <row r="895">
      <c r="B895" s="79"/>
      <c r="C895" s="78"/>
    </row>
    <row r="896">
      <c r="B896" s="79"/>
      <c r="C896" s="78"/>
    </row>
    <row r="897">
      <c r="B897" s="79"/>
      <c r="C897" s="78"/>
    </row>
    <row r="898">
      <c r="B898" s="79"/>
      <c r="C898" s="78"/>
    </row>
    <row r="899">
      <c r="B899" s="79"/>
      <c r="C899" s="78"/>
    </row>
    <row r="900">
      <c r="B900" s="79"/>
      <c r="C900" s="78"/>
    </row>
    <row r="901">
      <c r="B901" s="79"/>
      <c r="C901" s="78"/>
    </row>
    <row r="902">
      <c r="B902" s="79"/>
      <c r="C902" s="78"/>
    </row>
    <row r="903">
      <c r="B903" s="79"/>
      <c r="C903" s="78"/>
    </row>
    <row r="904">
      <c r="B904" s="79"/>
      <c r="C904" s="78"/>
    </row>
    <row r="905">
      <c r="B905" s="79"/>
      <c r="C905" s="78"/>
    </row>
    <row r="906">
      <c r="B906" s="79"/>
      <c r="C906" s="78"/>
    </row>
    <row r="907">
      <c r="B907" s="79"/>
      <c r="C907" s="78"/>
    </row>
    <row r="908">
      <c r="B908" s="79"/>
      <c r="C908" s="78"/>
    </row>
    <row r="909">
      <c r="B909" s="79"/>
      <c r="C909" s="78"/>
    </row>
    <row r="910">
      <c r="B910" s="79"/>
      <c r="C910" s="78"/>
    </row>
    <row r="911">
      <c r="B911" s="79"/>
      <c r="C911" s="78"/>
    </row>
    <row r="912">
      <c r="B912" s="79"/>
      <c r="C912" s="78"/>
    </row>
    <row r="913">
      <c r="B913" s="79"/>
      <c r="C913" s="78"/>
    </row>
    <row r="914">
      <c r="B914" s="79"/>
      <c r="C914" s="78"/>
    </row>
    <row r="915">
      <c r="B915" s="79"/>
      <c r="C915" s="78"/>
    </row>
    <row r="916">
      <c r="B916" s="79"/>
      <c r="C916" s="78"/>
    </row>
    <row r="917">
      <c r="B917" s="79"/>
      <c r="C917" s="78"/>
    </row>
    <row r="918">
      <c r="B918" s="79"/>
      <c r="C918" s="78"/>
    </row>
    <row r="919">
      <c r="B919" s="79"/>
      <c r="C919" s="78"/>
    </row>
    <row r="920">
      <c r="B920" s="79"/>
      <c r="C920" s="78"/>
    </row>
    <row r="921">
      <c r="B921" s="79"/>
      <c r="C921" s="78"/>
    </row>
    <row r="922">
      <c r="B922" s="79"/>
      <c r="C922" s="78"/>
    </row>
    <row r="923">
      <c r="B923" s="79"/>
      <c r="C923" s="78"/>
    </row>
    <row r="924">
      <c r="B924" s="79"/>
      <c r="C924" s="78"/>
    </row>
    <row r="925">
      <c r="B925" s="79"/>
      <c r="C925" s="78"/>
    </row>
    <row r="926">
      <c r="B926" s="79"/>
      <c r="C926" s="78"/>
    </row>
    <row r="927">
      <c r="B927" s="79"/>
      <c r="C927" s="78"/>
    </row>
    <row r="928">
      <c r="B928" s="79"/>
      <c r="C928" s="78"/>
    </row>
    <row r="929">
      <c r="B929" s="79"/>
      <c r="C929" s="78"/>
    </row>
    <row r="930">
      <c r="B930" s="79"/>
      <c r="C930" s="78"/>
    </row>
    <row r="931">
      <c r="B931" s="79"/>
      <c r="C931" s="78"/>
    </row>
    <row r="932">
      <c r="B932" s="79"/>
      <c r="C932" s="78"/>
    </row>
    <row r="933">
      <c r="B933" s="79"/>
      <c r="C933" s="78"/>
    </row>
    <row r="934">
      <c r="B934" s="79"/>
      <c r="C934" s="78"/>
    </row>
    <row r="935">
      <c r="B935" s="79"/>
      <c r="C935" s="78"/>
    </row>
    <row r="936">
      <c r="B936" s="79"/>
      <c r="C936" s="78"/>
    </row>
    <row r="937">
      <c r="B937" s="79"/>
      <c r="C937" s="78"/>
    </row>
    <row r="938">
      <c r="B938" s="79"/>
      <c r="C938" s="78"/>
    </row>
    <row r="939">
      <c r="B939" s="79"/>
      <c r="C939" s="78"/>
    </row>
    <row r="940">
      <c r="B940" s="79"/>
      <c r="C940" s="78"/>
    </row>
    <row r="941">
      <c r="B941" s="79"/>
      <c r="C941" s="78"/>
    </row>
    <row r="942">
      <c r="B942" s="79"/>
      <c r="C942" s="78"/>
    </row>
    <row r="943">
      <c r="B943" s="79"/>
      <c r="C943" s="78"/>
    </row>
    <row r="944">
      <c r="B944" s="79"/>
      <c r="C944" s="78"/>
    </row>
    <row r="945">
      <c r="B945" s="79"/>
      <c r="C945" s="78"/>
    </row>
    <row r="946">
      <c r="B946" s="79"/>
      <c r="C946" s="78"/>
    </row>
    <row r="947">
      <c r="B947" s="79"/>
      <c r="C947" s="78"/>
    </row>
    <row r="948">
      <c r="B948" s="79"/>
      <c r="C948" s="78"/>
    </row>
    <row r="949">
      <c r="B949" s="79"/>
      <c r="C949" s="78"/>
    </row>
    <row r="950">
      <c r="B950" s="79"/>
      <c r="C950" s="78"/>
    </row>
    <row r="951">
      <c r="B951" s="79"/>
      <c r="C951" s="78"/>
    </row>
    <row r="952">
      <c r="B952" s="79"/>
      <c r="C952" s="78"/>
    </row>
    <row r="953">
      <c r="B953" s="79"/>
      <c r="C953" s="78"/>
    </row>
    <row r="954">
      <c r="B954" s="79"/>
      <c r="C954" s="78"/>
    </row>
    <row r="955">
      <c r="B955" s="79"/>
      <c r="C955" s="78"/>
    </row>
    <row r="956">
      <c r="B956" s="79"/>
      <c r="C956" s="78"/>
    </row>
    <row r="957">
      <c r="B957" s="79"/>
      <c r="C957" s="78"/>
    </row>
    <row r="958">
      <c r="B958" s="79"/>
      <c r="C958" s="78"/>
    </row>
    <row r="959">
      <c r="B959" s="79"/>
      <c r="C959" s="78"/>
    </row>
    <row r="960">
      <c r="B960" s="79"/>
      <c r="C960" s="78"/>
    </row>
    <row r="961">
      <c r="B961" s="79"/>
      <c r="C961" s="78"/>
    </row>
    <row r="962">
      <c r="B962" s="79"/>
      <c r="C962" s="78"/>
    </row>
    <row r="963">
      <c r="B963" s="79"/>
      <c r="C963" s="78"/>
    </row>
    <row r="964">
      <c r="B964" s="79"/>
      <c r="C964" s="78"/>
    </row>
    <row r="965">
      <c r="B965" s="79"/>
      <c r="C965" s="78"/>
    </row>
    <row r="966">
      <c r="B966" s="79"/>
      <c r="C966" s="78"/>
    </row>
    <row r="967">
      <c r="B967" s="79"/>
      <c r="C967" s="78"/>
    </row>
    <row r="968">
      <c r="B968" s="79"/>
      <c r="C968" s="78"/>
    </row>
    <row r="969">
      <c r="B969" s="79"/>
      <c r="C969" s="78"/>
    </row>
    <row r="970">
      <c r="B970" s="79"/>
      <c r="C970" s="78"/>
    </row>
    <row r="971">
      <c r="B971" s="79"/>
      <c r="C971" s="78"/>
    </row>
    <row r="972">
      <c r="B972" s="79"/>
      <c r="C972" s="78"/>
    </row>
    <row r="973">
      <c r="B973" s="79"/>
      <c r="C973" s="78"/>
    </row>
    <row r="974">
      <c r="B974" s="79"/>
      <c r="C974" s="78"/>
    </row>
    <row r="975">
      <c r="B975" s="79"/>
      <c r="C975" s="78"/>
    </row>
    <row r="976">
      <c r="B976" s="79"/>
      <c r="C976" s="78"/>
    </row>
    <row r="977">
      <c r="B977" s="79"/>
      <c r="C977" s="78"/>
    </row>
    <row r="978">
      <c r="B978" s="79"/>
      <c r="C978" s="78"/>
    </row>
    <row r="979">
      <c r="B979" s="79"/>
      <c r="C979" s="78"/>
    </row>
    <row r="980">
      <c r="B980" s="79"/>
      <c r="C980" s="78"/>
    </row>
    <row r="981">
      <c r="B981" s="79"/>
      <c r="C981" s="78"/>
    </row>
    <row r="982">
      <c r="B982" s="79"/>
      <c r="C982" s="78"/>
    </row>
    <row r="983">
      <c r="B983" s="79"/>
      <c r="C983" s="78"/>
    </row>
    <row r="984">
      <c r="B984" s="79"/>
      <c r="C984" s="78"/>
    </row>
    <row r="985">
      <c r="B985" s="79"/>
      <c r="C985" s="78"/>
    </row>
    <row r="986">
      <c r="B986" s="79"/>
      <c r="C986" s="78"/>
    </row>
    <row r="987">
      <c r="B987" s="79"/>
      <c r="C987" s="78"/>
    </row>
    <row r="988">
      <c r="B988" s="79"/>
      <c r="C988" s="78"/>
    </row>
    <row r="989">
      <c r="B989" s="79"/>
      <c r="C989" s="78"/>
    </row>
    <row r="990">
      <c r="B990" s="79"/>
      <c r="C990" s="78"/>
    </row>
    <row r="991">
      <c r="B991" s="79"/>
      <c r="C991" s="78"/>
    </row>
    <row r="992">
      <c r="B992" s="79"/>
      <c r="C992" s="78"/>
    </row>
    <row r="993">
      <c r="B993" s="79"/>
      <c r="C993" s="78"/>
    </row>
    <row r="994">
      <c r="B994" s="79"/>
      <c r="C994" s="78"/>
    </row>
    <row r="995">
      <c r="B995" s="79"/>
      <c r="C995" s="78"/>
    </row>
    <row r="996">
      <c r="B996" s="79"/>
      <c r="C996" s="78"/>
    </row>
    <row r="997">
      <c r="B997" s="79"/>
      <c r="C997" s="78"/>
    </row>
    <row r="998">
      <c r="B998" s="79"/>
      <c r="C998" s="78"/>
    </row>
    <row r="999">
      <c r="B999" s="79"/>
      <c r="C999" s="78"/>
    </row>
    <row r="1000">
      <c r="B1000" s="79"/>
      <c r="C1000" s="78"/>
    </row>
    <row r="1001">
      <c r="B1001" s="79"/>
      <c r="C1001" s="78"/>
    </row>
    <row r="1002">
      <c r="B1002" s="79"/>
      <c r="C1002" s="78"/>
    </row>
    <row r="1003">
      <c r="B1003" s="79"/>
      <c r="C1003" s="78"/>
    </row>
    <row r="1004">
      <c r="B1004" s="79"/>
      <c r="C1004" s="78"/>
    </row>
    <row r="1005">
      <c r="B1005" s="79"/>
      <c r="C1005" s="78"/>
    </row>
    <row r="1006">
      <c r="B1006" s="79"/>
      <c r="C1006" s="78"/>
    </row>
    <row r="1007">
      <c r="B1007" s="79"/>
      <c r="C1007" s="78"/>
    </row>
    <row r="1008">
      <c r="B1008" s="79"/>
      <c r="C1008" s="78"/>
    </row>
    <row r="1009">
      <c r="B1009" s="79"/>
      <c r="C1009" s="78"/>
    </row>
    <row r="1010">
      <c r="B1010" s="79"/>
      <c r="C1010" s="78"/>
    </row>
    <row r="1011">
      <c r="B1011" s="79"/>
      <c r="C1011" s="7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7.63"/>
    <col customWidth="1" min="3" max="3" width="17.25"/>
    <col customWidth="1" min="4" max="4" width="18.88"/>
  </cols>
  <sheetData>
    <row r="1">
      <c r="A1" s="36" t="s">
        <v>18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1">
        <f>NOW()</f>
        <v>46213.72415</v>
      </c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2" t="s">
        <v>9619</v>
      </c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6" t="s">
        <v>9652</v>
      </c>
      <c r="B4" s="36" t="s">
        <v>9653</v>
      </c>
      <c r="C4" s="36" t="s">
        <v>9654</v>
      </c>
      <c r="D4" s="36" t="s">
        <v>9655</v>
      </c>
      <c r="E4" s="36" t="s">
        <v>9656</v>
      </c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2" t="str">
        <f>if(UPPER('디스코드 연동'!$E$2)="TEAM1",'디스코드 연동'!Y2,'디스코드 연동'!AC2)</f>
        <v>#VALUE!</v>
      </c>
      <c r="B5" s="82" t="str">
        <f>if(UPPER('디스코드 연동'!$E$2)="TEAM1",'디스코드 연동'!Z2,'디스코드 연동'!AD2)</f>
        <v/>
      </c>
      <c r="C5" s="82" t="str">
        <f>if(UPPER('디스코드 연동'!$E$2)="TEAM1",'디스코드 연동'!AA2,'디스코드 연동'!AE2)</f>
        <v/>
      </c>
      <c r="D5" s="82" t="str">
        <f>if(UPPER('디스코드 연동'!$E$2)="TEAM1",'디스코드 연동'!AB2,'디스코드 연동'!AF2)</f>
        <v/>
      </c>
      <c r="E5" s="83" t="str">
        <f>'디스코드 연동'!W2</f>
        <v>#VALUE!</v>
      </c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2" t="s">
        <v>9624</v>
      </c>
      <c r="B6" s="2"/>
      <c r="C6" s="2"/>
      <c r="D6" s="3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6" t="s">
        <v>9652</v>
      </c>
      <c r="B7" s="36" t="s">
        <v>9653</v>
      </c>
      <c r="C7" s="36" t="s">
        <v>9654</v>
      </c>
      <c r="D7" s="36" t="s">
        <v>9655</v>
      </c>
      <c r="E7" s="36" t="s">
        <v>9656</v>
      </c>
      <c r="F7" s="2"/>
      <c r="G7" s="2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2" t="str">
        <f>if(UPPER('디스코드 연동'!$E$2)="TEAM1",'디스코드 연동'!AC2,'디스코드 연동'!Y2)</f>
        <v>#VALUE!</v>
      </c>
      <c r="B8" s="82" t="str">
        <f>if(UPPER('디스코드 연동'!$E$2)="TEAM1",'디스코드 연동'!AD2,'디스코드 연동'!Z2)</f>
        <v/>
      </c>
      <c r="C8" s="82" t="str">
        <f>if(UPPER('디스코드 연동'!$E$2)="TEAM1",'디스코드 연동'!AE2,'디스코드 연동'!AA2)</f>
        <v/>
      </c>
      <c r="D8" s="82" t="str">
        <f>if(UPPER('디스코드 연동'!$E$2)="TEAM1",'디스코드 연동'!AF2,'디스코드 연동'!AB2)</f>
        <v/>
      </c>
      <c r="E8" s="83" t="str">
        <f>'디스코드 연동'!X2</f>
        <v>#VALUE!</v>
      </c>
      <c r="F8" s="2"/>
      <c r="G8" s="2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3"/>
      <c r="E10" s="2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4.5" customHeight="1">
      <c r="A11" s="2"/>
      <c r="B11" s="2"/>
      <c r="C11" s="2"/>
      <c r="D11" s="84"/>
      <c r="E11" s="2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84"/>
      <c r="E12" s="2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conditionalFormatting sqref="B5">
    <cfRule type="expression" dxfId="0" priority="1">
      <formula>countif(A5:D5,B5) + countif(A8:D8,B5) &gt; 1</formula>
    </cfRule>
  </conditionalFormatting>
  <conditionalFormatting sqref="D10">
    <cfRule type="notContainsBlanks" dxfId="1" priority="2">
      <formula>LEN(TRIM(D10))&gt;0</formula>
    </cfRule>
  </conditionalFormatting>
  <conditionalFormatting sqref="A5:D5 A8:D8">
    <cfRule type="expression" dxfId="0" priority="3">
      <formula>countif(A5:D5,A5) + countif(A8:D8,A5) &gt; 1</formula>
    </cfRule>
  </conditionalFormatting>
  <conditionalFormatting sqref="C5:D5">
    <cfRule type="expression" dxfId="0" priority="4">
      <formula>countif(A5:D5,C5) + countif(A8:D8,C5) &gt; 1</formula>
    </cfRule>
  </conditionalFormatting>
  <conditionalFormatting sqref="D5">
    <cfRule type="expression" dxfId="0" priority="5">
      <formula>countif(A5:D5,D5) + countif(A8:D8,D5) &gt; 1</formula>
    </cfRule>
  </conditionalFormatting>
  <conditionalFormatting sqref="A8:D8">
    <cfRule type="expression" dxfId="0" priority="6">
      <formula>countif(A5:D5,A8) + countif(A8:D8,A8) &gt; 1</formula>
    </cfRule>
  </conditionalFormatting>
  <conditionalFormatting sqref="B8">
    <cfRule type="expression" dxfId="0" priority="7">
      <formula>countif(A5:D5,B8) + countif(A8:D8,B8) &gt; 1</formula>
    </cfRule>
  </conditionalFormatting>
  <conditionalFormatting sqref="C8:D8">
    <cfRule type="expression" dxfId="0" priority="8">
      <formula>countif(A5:D5,C8) + countif(A8:D8,C8) &gt; 1</formula>
    </cfRule>
  </conditionalFormatting>
  <conditionalFormatting sqref="D5 D8">
    <cfRule type="expression" dxfId="2" priority="9">
      <formula>countif(A2:D2,D5) + countif(A5:D5,D5) &gt; 1</formula>
    </cfRule>
  </conditionalFormatting>
  <conditionalFormatting sqref="A5:D5 A8:D8">
    <cfRule type="containsBlanks" dxfId="0" priority="10">
      <formula>LEN(TRIM(A5))=0</formula>
    </cfRule>
  </conditionalFormatting>
  <dataValidations>
    <dataValidation type="decimal" operator="greaterThan" allowBlank="1" showDropDown="1" showErrorMessage="1" sqref="E5">
      <formula1>'기록입력_디스코드'!E8</formula1>
    </dataValidation>
    <dataValidation type="list" allowBlank="1" showErrorMessage="1" sqref="A5:D5 A8:D8">
      <formula1>'사용자목록'!$A$2:$A$932</formula1>
    </dataValidation>
    <dataValidation type="custom" allowBlank="1" showDropDown="1" showErrorMessage="1" sqref="A2">
      <formula1>OR(NOT(ISERROR(DATEVALUE(A2))), AND(ISNUMBER(A2), LEFT(CELL("format", A2))="D"))</formula1>
    </dataValidation>
    <dataValidation type="decimal" operator="lessThan" allowBlank="1" showDropDown="1" showErrorMessage="1" sqref="E8">
      <formula1>'기록입력_디스코드'!E5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85" t="s">
        <v>9619</v>
      </c>
      <c r="B1" s="85" t="s">
        <v>9620</v>
      </c>
      <c r="C1" s="85" t="s">
        <v>9621</v>
      </c>
      <c r="D1" s="85" t="s">
        <v>9622</v>
      </c>
      <c r="E1" s="85" t="s">
        <v>9623</v>
      </c>
      <c r="F1" s="85" t="s">
        <v>9624</v>
      </c>
      <c r="G1" s="85" t="s">
        <v>9620</v>
      </c>
      <c r="H1" s="85" t="s">
        <v>9621</v>
      </c>
      <c r="I1" s="85" t="s">
        <v>9622</v>
      </c>
      <c r="J1" s="85" t="s">
        <v>9623</v>
      </c>
      <c r="K1" s="86" t="s">
        <v>9625</v>
      </c>
      <c r="L1" s="86" t="s">
        <v>9657</v>
      </c>
      <c r="M1" s="86" t="s">
        <v>9627</v>
      </c>
      <c r="N1" s="86" t="s">
        <v>9628</v>
      </c>
      <c r="O1" s="87" t="s">
        <v>9629</v>
      </c>
      <c r="P1" s="87" t="s">
        <v>9630</v>
      </c>
      <c r="Q1" s="86" t="s">
        <v>9631</v>
      </c>
      <c r="R1" s="86" t="s">
        <v>9658</v>
      </c>
      <c r="S1" s="87" t="s">
        <v>9659</v>
      </c>
      <c r="T1" s="86" t="s">
        <v>9660</v>
      </c>
    </row>
    <row r="2">
      <c r="A2" s="88" t="str">
        <f>'기록입력_디스코드'!$A$5</f>
        <v>#VALUE!</v>
      </c>
      <c r="B2" s="88">
        <f t="array" ref="B2">IFERROR(IF(INDEX('전적확인'!$A$2:$R1000,MATCH('기록입력_디스코드'!$A$5,'전적확인'!$A$1:$A1000,0)-1,18)=0,INDEX('전적확인'!$A$2:$R1000,MATCH('기록입력_디스코드'!$A$5,'전적확인'!$A$1:$A1000,0)-1,10)*$P$2+$N$2,INDEX('전적확인'!$A$2:$R1000,MATCH('기록입력_디스코드'!$A$5,'전적확인'!$A$1:$A1000,0)-1,18)),0)</f>
        <v>0</v>
      </c>
      <c r="C2" s="88">
        <f t="shared" ref="C2:C5" si="1">1/(1+POWER(10,($G$6-B2)/$M$2))</f>
        <v>0.03593637514</v>
      </c>
      <c r="D2" s="88">
        <f t="shared" ref="D2:D5" si="2">ROUNDUP((B2+$L$2*(1-C2))+($L$2*(1-C2)*IFERROR(IF(Q2="Y",$S$2,0),0)),0)</f>
        <v>39</v>
      </c>
      <c r="E2" s="88">
        <f t="shared" ref="E2:E5" si="3">D2-B2</f>
        <v>39</v>
      </c>
      <c r="F2" s="89" t="str">
        <f>'기록입력_디스코드'!$A$8</f>
        <v>#VALUE!</v>
      </c>
      <c r="G2" s="89">
        <f t="array" ref="G2">IFERROR(IF(INDEX('전적확인'!$A$2:$R1000,MATCH('기록입력_디스코드'!$A$8,'전적확인'!$A$1:$A1000,0)-1,18)=0,INDEX('전적확인'!$A$2:$R1000,MATCH('기록입력_디스코드'!$A$8,'전적확인'!$A$1:$A1000,0)-1,10)*$P$2+$N$2,INDEX('전적확인'!$A$2:$R1000,MATCH('기록입력_디스코드'!$A$8,'전적확인'!$A$1:$A1000,0)-1,18)),0)</f>
        <v>0</v>
      </c>
      <c r="H2" s="89">
        <f t="shared" ref="H2:H5" si="4">1/(1+POWER(10,($B$6-G2)/$T$2))</f>
        <v>0.1772550304</v>
      </c>
      <c r="I2" s="89" t="str">
        <f t="shared" ref="I2:I5" si="5">ROUND(G2+($R$2*(0-H2)*0.9*$K$2),0)</f>
        <v>#VALUE!</v>
      </c>
      <c r="J2" s="89" t="str">
        <f t="shared" ref="J2:J5" si="6">I2-G2</f>
        <v>#VALUE!</v>
      </c>
      <c r="K2" s="90" t="str">
        <f>1-('기록입력_디스코드'!E8/'기록입력_디스코드'!E5/2)</f>
        <v>#VALUE!</v>
      </c>
      <c r="L2" s="83">
        <v>40.0</v>
      </c>
      <c r="M2" s="83">
        <v>700.0</v>
      </c>
      <c r="N2" s="83">
        <v>1000.0</v>
      </c>
      <c r="O2" s="83">
        <v>20.0</v>
      </c>
      <c r="P2" s="83">
        <v>20.0</v>
      </c>
      <c r="Q2" s="2" t="str">
        <f>IF(ISNUMBER(SEARCH(A2,'디스코드 연동'!$B$4)),"Y","N")</f>
        <v>N</v>
      </c>
      <c r="R2" s="83">
        <v>40.0</v>
      </c>
      <c r="S2" s="91">
        <v>0.2</v>
      </c>
      <c r="T2" s="91">
        <v>1500.0</v>
      </c>
    </row>
    <row r="3">
      <c r="A3" s="88" t="str">
        <f>'기록입력_디스코드'!$B$5</f>
        <v/>
      </c>
      <c r="B3" s="88">
        <f t="array" ref="B3">IFERROR(IF(INDEX('전적확인'!$A$2:$R1000,MATCH('기록입력_디스코드'!$B$5,'전적확인'!$A$1:$A1000,0)-1,18)=0,INDEX('전적확인'!$A$2:$R1000,MATCH('기록입력_디스코드'!$B$5,'전적확인'!$A$1:$A1000,0)-1,10)*$P$2+$N$2,INDEX('전적확인'!$A$2:$R1000,MATCH('기록입력_디스코드'!$B$5,'전적확인'!$A$1:$A1000,0)-1,18)),0)</f>
        <v>0</v>
      </c>
      <c r="C3" s="88">
        <f t="shared" si="1"/>
        <v>0.03593637514</v>
      </c>
      <c r="D3" s="88">
        <f t="shared" si="2"/>
        <v>47</v>
      </c>
      <c r="E3" s="88">
        <f t="shared" si="3"/>
        <v>47</v>
      </c>
      <c r="F3" s="89" t="str">
        <f>'기록입력_디스코드'!$B$8</f>
        <v/>
      </c>
      <c r="G3" s="89">
        <f t="array" ref="G3">IFERROR(IF(INDEX('전적확인'!$A$2:$R1000,MATCH('기록입력_디스코드'!$B$8,'전적확인'!$A$1:$A1000,0)-1,18)=0,INDEX('전적확인'!$A$2:$R1000,MATCH('기록입력_디스코드'!$B$8,'전적확인'!$A$1:$A1000,0)-1,10)*$P$2+$N$2,INDEX('전적확인'!$A$2:$R1000,MATCH('기록입력_디스코드'!$B$8,'전적확인'!$A$1:$A1000,0)-1,18)),0)</f>
        <v>0</v>
      </c>
      <c r="H3" s="89">
        <f t="shared" si="4"/>
        <v>0.1772550304</v>
      </c>
      <c r="I3" s="89" t="str">
        <f t="shared" si="5"/>
        <v>#VALUE!</v>
      </c>
      <c r="J3" s="89" t="str">
        <f t="shared" si="6"/>
        <v>#VALUE!</v>
      </c>
      <c r="K3" s="92"/>
      <c r="L3" s="2"/>
      <c r="M3" s="2"/>
      <c r="N3" s="2"/>
      <c r="O3" s="2"/>
      <c r="P3" s="2"/>
      <c r="Q3" s="2" t="str">
        <f>IF(ISNUMBER(SEARCH(A3,'디스코드 연동'!$B$4)),"Y","N")</f>
        <v>Y</v>
      </c>
      <c r="R3" s="2"/>
      <c r="S3" s="2"/>
      <c r="T3" s="2"/>
    </row>
    <row r="4">
      <c r="A4" s="88" t="str">
        <f>'기록입력_디스코드'!$C$5</f>
        <v/>
      </c>
      <c r="B4" s="88">
        <f t="array" ref="B4">IFERROR(IF(INDEX('전적확인'!$A$2:$R1000,MATCH('기록입력_디스코드'!$C$5,'전적확인'!$A$1:$A1000,0)-1,18)=0,INDEX('전적확인'!$A$2:$R1000,MATCH('기록입력_디스코드'!$C$5,'전적확인'!$A$1:$A1000,0)-1,10)*$P$2+$N$2,INDEX('전적확인'!$A$2:$R1000,MATCH('기록입력_디스코드'!$C$5,'전적확인'!$A$1:$A1000,0)-1,18)),0)</f>
        <v>0</v>
      </c>
      <c r="C4" s="88">
        <f t="shared" si="1"/>
        <v>0.03593637514</v>
      </c>
      <c r="D4" s="88">
        <f t="shared" si="2"/>
        <v>47</v>
      </c>
      <c r="E4" s="88">
        <f t="shared" si="3"/>
        <v>47</v>
      </c>
      <c r="F4" s="89" t="str">
        <f>'기록입력_디스코드'!$C$8</f>
        <v/>
      </c>
      <c r="G4" s="89">
        <f t="array" ref="G4">IFERROR(IF(INDEX('전적확인'!$A$2:$R1000,MATCH('기록입력_디스코드'!$C$8,'전적확인'!$A$1:$A1000,0)-1,18)=0,INDEX('전적확인'!$A$2:$R1000,MATCH('기록입력_디스코드'!$C$8,'전적확인'!$A$1:$A1000,0)-1,10)*$P$2+$N$2,INDEX('전적확인'!$A$2:$R1000,MATCH('기록입력_디스코드'!$C$8,'전적확인'!$A$1:$A1000,0)-1,18)),0)</f>
        <v>0</v>
      </c>
      <c r="H4" s="89">
        <f t="shared" si="4"/>
        <v>0.1772550304</v>
      </c>
      <c r="I4" s="89" t="str">
        <f t="shared" si="5"/>
        <v>#VALUE!</v>
      </c>
      <c r="J4" s="89" t="str">
        <f t="shared" si="6"/>
        <v>#VALUE!</v>
      </c>
      <c r="K4" s="93">
        <f>1-(1/5/2)</f>
        <v>0.9</v>
      </c>
      <c r="L4" s="93">
        <f>1-(2/5/2)</f>
        <v>0.8</v>
      </c>
      <c r="M4" s="93">
        <f>1-(3/5/2)</f>
        <v>0.7</v>
      </c>
      <c r="N4" s="93">
        <f>1-(4/5/2)</f>
        <v>0.6</v>
      </c>
      <c r="O4" s="2"/>
      <c r="P4" s="2"/>
      <c r="Q4" s="2" t="str">
        <f>IF(ISNUMBER(SEARCH(A4,'디스코드 연동'!$B$4)),"Y","N")</f>
        <v>Y</v>
      </c>
      <c r="R4" s="2"/>
      <c r="S4" s="2"/>
      <c r="T4" s="2"/>
    </row>
    <row r="5">
      <c r="A5" s="88" t="str">
        <f>'기록입력_디스코드'!$D$5</f>
        <v/>
      </c>
      <c r="B5" s="88">
        <f t="array" ref="B5">IFERROR(IF(INDEX('전적확인'!$A$2:$R1000,MATCH('기록입력_디스코드'!$D$5,'전적확인'!$A$1:$A1000,0)-1,18)=0,INDEX('전적확인'!$A$2:$R1000,MATCH('기록입력_디스코드'!$D$5,'전적확인'!$A$1:$A1000,0)-1,10)*$P$2+$N$2,INDEX('전적확인'!$A$2:$R1000,MATCH('기록입력_디스코드'!$D$5,'전적확인'!$A$1:$A1000,0)-1,18)),0)</f>
        <v>0</v>
      </c>
      <c r="C5" s="88">
        <f t="shared" si="1"/>
        <v>0.03593637514</v>
      </c>
      <c r="D5" s="88">
        <f t="shared" si="2"/>
        <v>47</v>
      </c>
      <c r="E5" s="88">
        <f t="shared" si="3"/>
        <v>47</v>
      </c>
      <c r="F5" s="89" t="str">
        <f>'기록입력_디스코드'!$D$8</f>
        <v/>
      </c>
      <c r="G5" s="89">
        <f t="array" ref="G5">IFERROR(IF(INDEX('전적확인'!$A$2:$R1000,MATCH('기록입력_디스코드'!$D$8,'전적확인'!$A$1:$A1000,0)-1,18)=0,INDEX('전적확인'!$A$2:$R1000,MATCH('기록입력_디스코드'!$D$8,'전적확인'!$A$1:$A1000,0)-1,10)*$P$2+$N$2,INDEX('전적확인'!$A$2:$R1000,MATCH('기록입력_디스코드'!$D$8,'전적확인'!$A$1:$A1000,0)-1,18)),0)</f>
        <v>0</v>
      </c>
      <c r="H5" s="89">
        <f t="shared" si="4"/>
        <v>0.1772550304</v>
      </c>
      <c r="I5" s="89" t="str">
        <f t="shared" si="5"/>
        <v>#VALUE!</v>
      </c>
      <c r="J5" s="89" t="str">
        <f t="shared" si="6"/>
        <v>#VALUE!</v>
      </c>
      <c r="K5" s="92"/>
      <c r="L5" s="2"/>
      <c r="M5" s="2"/>
      <c r="N5" s="2"/>
      <c r="O5" s="2"/>
      <c r="P5" s="2"/>
      <c r="Q5" s="2" t="str">
        <f>IF(ISNUMBER(SEARCH(A5,'디스코드 연동'!$B$4)),"Y","N")</f>
        <v>Y</v>
      </c>
      <c r="R5" s="2"/>
      <c r="S5" s="2"/>
      <c r="T5" s="2"/>
    </row>
    <row r="6">
      <c r="A6" s="82" t="s">
        <v>9632</v>
      </c>
      <c r="B6" s="94">
        <f>IFERROR(SUM(B2:B5)/B7,$N$2)</f>
        <v>1000</v>
      </c>
      <c r="C6" s="3"/>
      <c r="D6" s="2"/>
      <c r="E6" s="2"/>
      <c r="F6" s="2"/>
      <c r="G6" s="94">
        <f>IFERROR(SUM(G2:G5)/G7,$N$2)</f>
        <v>1000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82" t="s">
        <v>9633</v>
      </c>
      <c r="B7" s="82">
        <f>countif($B$2:$B$5,"&gt;0")</f>
        <v>0</v>
      </c>
      <c r="C7" s="2"/>
      <c r="D7" s="2"/>
      <c r="E7" s="2"/>
      <c r="F7" s="2"/>
      <c r="G7" s="82">
        <f>countif($G$2:$G$5,"&gt;0")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5"/>
      <c r="B8" s="5"/>
      <c r="C8" s="4"/>
      <c r="D8" s="4"/>
      <c r="E8" s="4"/>
      <c r="F8" s="4"/>
      <c r="G8" s="4"/>
      <c r="H8" s="4"/>
      <c r="I8" s="4"/>
      <c r="L8" s="4"/>
      <c r="M8" s="4"/>
    </row>
    <row r="9">
      <c r="L9" s="4"/>
      <c r="M9" s="4"/>
    </row>
    <row r="10">
      <c r="L10" s="4"/>
      <c r="M10" s="4"/>
    </row>
    <row r="11">
      <c r="L11" s="4"/>
      <c r="M11" s="4"/>
    </row>
    <row r="12">
      <c r="L12" s="4"/>
      <c r="M12" s="4"/>
    </row>
    <row r="13">
      <c r="L13" s="4"/>
      <c r="M13" s="4"/>
    </row>
    <row r="14">
      <c r="L14" s="4"/>
      <c r="M14" s="4"/>
    </row>
    <row r="15">
      <c r="L15" s="4"/>
      <c r="M15" s="4"/>
    </row>
    <row r="16">
      <c r="L16" s="4"/>
      <c r="M16" s="4"/>
    </row>
    <row r="17">
      <c r="L17" s="4"/>
      <c r="M17" s="4"/>
    </row>
    <row r="18">
      <c r="L18" s="4"/>
      <c r="M18" s="4"/>
    </row>
    <row r="19">
      <c r="L19" s="4"/>
      <c r="M19" s="4"/>
    </row>
    <row r="20">
      <c r="L20" s="4"/>
      <c r="M20" s="4"/>
    </row>
    <row r="21">
      <c r="L21" s="4"/>
      <c r="M21" s="4"/>
    </row>
    <row r="22">
      <c r="L22" s="4"/>
      <c r="M22" s="4"/>
    </row>
    <row r="23">
      <c r="L23" s="4"/>
      <c r="M23" s="4"/>
    </row>
    <row r="24">
      <c r="L24" s="4"/>
      <c r="M24" s="4"/>
    </row>
    <row r="25">
      <c r="L25" s="4"/>
      <c r="M25" s="4"/>
    </row>
    <row r="26">
      <c r="L26" s="4"/>
      <c r="M26" s="4"/>
    </row>
    <row r="27">
      <c r="L27" s="4"/>
      <c r="M27" s="4"/>
    </row>
    <row r="28">
      <c r="L28" s="4"/>
      <c r="M28" s="4"/>
    </row>
    <row r="29">
      <c r="L29" s="4"/>
      <c r="M29" s="4"/>
    </row>
    <row r="30">
      <c r="A30" s="9"/>
      <c r="B30" s="9"/>
      <c r="L30" s="4"/>
      <c r="M30" s="4"/>
    </row>
    <row r="31">
      <c r="A31" s="9"/>
      <c r="B31" s="9"/>
      <c r="L31" s="4"/>
      <c r="M31" s="4"/>
    </row>
    <row r="32">
      <c r="A32" s="9"/>
      <c r="B32" s="9"/>
      <c r="L32" s="4"/>
      <c r="M32" s="4"/>
    </row>
    <row r="33">
      <c r="A33" s="5"/>
      <c r="B33" s="5"/>
      <c r="L33" s="4"/>
      <c r="M33" s="4"/>
    </row>
    <row r="34">
      <c r="A34" s="9"/>
      <c r="B34" s="9"/>
      <c r="L34" s="4"/>
      <c r="M34" s="4"/>
    </row>
    <row r="35">
      <c r="A35" s="9"/>
      <c r="B35" s="9"/>
      <c r="L35" s="4"/>
      <c r="M35" s="4"/>
    </row>
    <row r="36">
      <c r="A36" s="9"/>
      <c r="B36" s="9"/>
      <c r="L36" s="4"/>
      <c r="M36" s="4"/>
    </row>
    <row r="37">
      <c r="A37" s="5"/>
      <c r="B37" s="5"/>
      <c r="L37" s="4"/>
      <c r="M37" s="4"/>
    </row>
    <row r="38">
      <c r="A38" s="9"/>
      <c r="B38" s="9"/>
      <c r="L38" s="4"/>
      <c r="M38" s="4"/>
    </row>
    <row r="39">
      <c r="A39" s="9"/>
      <c r="B39" s="9"/>
      <c r="L39" s="4"/>
      <c r="M39" s="4"/>
    </row>
    <row r="40">
      <c r="A40" s="9"/>
      <c r="B40" s="9"/>
      <c r="L40" s="4"/>
      <c r="M40" s="4"/>
    </row>
    <row r="41">
      <c r="A41" s="9"/>
      <c r="B41" s="9"/>
      <c r="L41" s="4"/>
      <c r="M41" s="4"/>
    </row>
    <row r="42">
      <c r="L42" s="4"/>
      <c r="M42" s="4"/>
    </row>
    <row r="43">
      <c r="L43" s="4"/>
      <c r="M43" s="4"/>
    </row>
    <row r="44">
      <c r="L44" s="4"/>
      <c r="M44" s="4"/>
    </row>
    <row r="45">
      <c r="L45" s="4"/>
      <c r="M45" s="4"/>
    </row>
    <row r="46">
      <c r="L46" s="4"/>
      <c r="M46" s="4"/>
    </row>
    <row r="47">
      <c r="L47" s="4"/>
      <c r="M47" s="4"/>
    </row>
    <row r="48">
      <c r="L48" s="4"/>
      <c r="M48" s="4"/>
    </row>
    <row r="49">
      <c r="L49" s="4"/>
      <c r="M49" s="4"/>
    </row>
    <row r="50">
      <c r="L50" s="4"/>
      <c r="M50" s="4"/>
    </row>
    <row r="51">
      <c r="L51" s="4"/>
      <c r="M51" s="4"/>
    </row>
    <row r="52">
      <c r="L52" s="4"/>
      <c r="M52" s="4"/>
    </row>
    <row r="53">
      <c r="L53" s="4"/>
      <c r="M53" s="4"/>
    </row>
    <row r="54">
      <c r="L54" s="4"/>
      <c r="M54" s="4"/>
    </row>
    <row r="55">
      <c r="L55" s="4"/>
      <c r="M55" s="4"/>
    </row>
    <row r="56">
      <c r="L56" s="4"/>
      <c r="M56" s="4"/>
    </row>
    <row r="57">
      <c r="L57" s="4"/>
      <c r="M57" s="4"/>
    </row>
    <row r="58">
      <c r="L58" s="4"/>
      <c r="M58" s="4"/>
    </row>
    <row r="59">
      <c r="L59" s="4"/>
      <c r="M59" s="4"/>
    </row>
    <row r="60">
      <c r="L60" s="4"/>
      <c r="M60" s="4"/>
    </row>
    <row r="61">
      <c r="L61" s="4"/>
      <c r="M61" s="4"/>
    </row>
    <row r="62">
      <c r="L62" s="4"/>
      <c r="M62" s="4"/>
    </row>
    <row r="63">
      <c r="L63" s="4"/>
      <c r="M63" s="4"/>
    </row>
    <row r="64">
      <c r="L64" s="4"/>
      <c r="M64" s="4"/>
    </row>
    <row r="65">
      <c r="L65" s="4"/>
      <c r="M65" s="4"/>
    </row>
    <row r="66">
      <c r="L66" s="4"/>
      <c r="M66" s="4"/>
    </row>
    <row r="67">
      <c r="L67" s="4"/>
      <c r="M67" s="4"/>
    </row>
    <row r="68">
      <c r="L68" s="4"/>
      <c r="M68" s="4"/>
    </row>
    <row r="69">
      <c r="L69" s="4"/>
      <c r="M69" s="4"/>
    </row>
    <row r="70">
      <c r="L70" s="4"/>
      <c r="M70" s="4"/>
    </row>
    <row r="71">
      <c r="L71" s="4"/>
      <c r="M71" s="4"/>
    </row>
    <row r="72">
      <c r="L72" s="4"/>
      <c r="M72" s="4"/>
    </row>
    <row r="73">
      <c r="L73" s="4"/>
      <c r="M73" s="4"/>
    </row>
    <row r="74">
      <c r="L74" s="4"/>
      <c r="M74" s="4"/>
    </row>
    <row r="75">
      <c r="L75" s="4"/>
      <c r="M75" s="4"/>
    </row>
    <row r="76">
      <c r="L76" s="4"/>
      <c r="M76" s="4"/>
    </row>
    <row r="77">
      <c r="L77" s="4"/>
      <c r="M77" s="4"/>
    </row>
    <row r="78">
      <c r="L78" s="4"/>
      <c r="M78" s="4"/>
    </row>
    <row r="79">
      <c r="L79" s="4"/>
      <c r="M79" s="4"/>
    </row>
    <row r="80">
      <c r="L80" s="4"/>
      <c r="M80" s="4"/>
    </row>
    <row r="81">
      <c r="L81" s="4"/>
      <c r="M81" s="4"/>
    </row>
    <row r="82">
      <c r="L82" s="4"/>
      <c r="M82" s="4"/>
    </row>
    <row r="83">
      <c r="L83" s="4"/>
      <c r="M83" s="4"/>
    </row>
    <row r="84">
      <c r="L84" s="4"/>
      <c r="M84" s="4"/>
    </row>
    <row r="85">
      <c r="L85" s="4"/>
      <c r="M85" s="4"/>
    </row>
    <row r="86">
      <c r="L86" s="4"/>
      <c r="M86" s="4"/>
    </row>
    <row r="87">
      <c r="L87" s="4"/>
      <c r="M87" s="4"/>
    </row>
    <row r="88">
      <c r="L88" s="4"/>
      <c r="M88" s="4"/>
    </row>
    <row r="89">
      <c r="L89" s="4"/>
      <c r="M89" s="4"/>
    </row>
    <row r="90">
      <c r="L90" s="4"/>
      <c r="M90" s="4"/>
    </row>
    <row r="91">
      <c r="L91" s="4"/>
      <c r="M91" s="4"/>
    </row>
    <row r="92">
      <c r="L92" s="4"/>
      <c r="M92" s="4"/>
    </row>
    <row r="93">
      <c r="L93" s="4"/>
      <c r="M93" s="4"/>
    </row>
    <row r="94">
      <c r="L94" s="4"/>
      <c r="M94" s="4"/>
    </row>
    <row r="95">
      <c r="L95" s="4"/>
      <c r="M95" s="4"/>
    </row>
    <row r="96">
      <c r="L96" s="4"/>
      <c r="M96" s="4"/>
    </row>
    <row r="97">
      <c r="L97" s="4"/>
      <c r="M97" s="4"/>
    </row>
    <row r="98">
      <c r="L98" s="4"/>
      <c r="M98" s="4"/>
    </row>
    <row r="99">
      <c r="L99" s="4"/>
      <c r="M99" s="4"/>
    </row>
    <row r="100">
      <c r="L100" s="4"/>
      <c r="M100" s="4"/>
    </row>
    <row r="101">
      <c r="L101" s="4"/>
      <c r="M101" s="4"/>
    </row>
    <row r="102">
      <c r="L102" s="4"/>
      <c r="M102" s="4"/>
    </row>
    <row r="103">
      <c r="L103" s="4"/>
      <c r="M103" s="4"/>
    </row>
    <row r="104">
      <c r="L104" s="4"/>
      <c r="M104" s="4"/>
    </row>
    <row r="105">
      <c r="L105" s="4"/>
      <c r="M105" s="4"/>
    </row>
    <row r="106">
      <c r="L106" s="4"/>
      <c r="M106" s="4"/>
    </row>
    <row r="107">
      <c r="L107" s="4"/>
      <c r="M107" s="4"/>
    </row>
    <row r="108">
      <c r="L108" s="4"/>
      <c r="M108" s="4"/>
    </row>
    <row r="109">
      <c r="L109" s="4"/>
      <c r="M109" s="4"/>
    </row>
    <row r="110">
      <c r="L110" s="4"/>
      <c r="M110" s="4"/>
    </row>
    <row r="111">
      <c r="L111" s="4"/>
      <c r="M111" s="4"/>
    </row>
    <row r="112">
      <c r="L112" s="4"/>
      <c r="M112" s="4"/>
    </row>
    <row r="113">
      <c r="L113" s="4"/>
      <c r="M113" s="4"/>
    </row>
    <row r="114">
      <c r="L114" s="4"/>
      <c r="M114" s="4"/>
    </row>
    <row r="115">
      <c r="L115" s="4"/>
      <c r="M115" s="4"/>
    </row>
    <row r="116">
      <c r="L116" s="4"/>
      <c r="M116" s="4"/>
    </row>
    <row r="117">
      <c r="L117" s="4"/>
      <c r="M117" s="4"/>
    </row>
    <row r="118">
      <c r="L118" s="4"/>
      <c r="M118" s="4"/>
    </row>
    <row r="119">
      <c r="L119" s="4"/>
      <c r="M119" s="4"/>
    </row>
    <row r="120">
      <c r="L120" s="4"/>
      <c r="M120" s="4"/>
    </row>
    <row r="121">
      <c r="L121" s="4"/>
      <c r="M121" s="4"/>
    </row>
    <row r="122">
      <c r="L122" s="4"/>
      <c r="M122" s="4"/>
    </row>
    <row r="123">
      <c r="L123" s="4"/>
      <c r="M123" s="4"/>
    </row>
    <row r="124">
      <c r="L124" s="4"/>
      <c r="M124" s="4"/>
    </row>
    <row r="125">
      <c r="L125" s="4"/>
      <c r="M125" s="4"/>
    </row>
    <row r="126">
      <c r="L126" s="4"/>
      <c r="M126" s="4"/>
    </row>
    <row r="127">
      <c r="L127" s="4"/>
      <c r="M127" s="4"/>
    </row>
    <row r="128">
      <c r="L128" s="4"/>
      <c r="M128" s="4"/>
    </row>
    <row r="129">
      <c r="L129" s="4"/>
      <c r="M129" s="4"/>
    </row>
    <row r="130">
      <c r="L130" s="4"/>
      <c r="M130" s="4"/>
    </row>
    <row r="131">
      <c r="L131" s="4"/>
      <c r="M131" s="4"/>
    </row>
    <row r="132">
      <c r="L132" s="4"/>
      <c r="M132" s="4"/>
    </row>
    <row r="133">
      <c r="L133" s="4"/>
      <c r="M133" s="4"/>
    </row>
    <row r="134">
      <c r="L134" s="4"/>
      <c r="M134" s="4"/>
    </row>
    <row r="135">
      <c r="L135" s="4"/>
      <c r="M135" s="4"/>
    </row>
    <row r="136">
      <c r="L136" s="4"/>
      <c r="M136" s="4"/>
    </row>
    <row r="137">
      <c r="L137" s="4"/>
      <c r="M137" s="4"/>
    </row>
    <row r="138">
      <c r="L138" s="4"/>
      <c r="M138" s="4"/>
    </row>
    <row r="139">
      <c r="L139" s="4"/>
      <c r="M139" s="4"/>
    </row>
    <row r="140">
      <c r="L140" s="4"/>
      <c r="M140" s="4"/>
    </row>
    <row r="141">
      <c r="L141" s="4"/>
      <c r="M141" s="4"/>
    </row>
    <row r="142">
      <c r="L142" s="4"/>
      <c r="M142" s="4"/>
    </row>
    <row r="143">
      <c r="L143" s="4"/>
      <c r="M143" s="4"/>
    </row>
    <row r="144">
      <c r="L144" s="4"/>
      <c r="M144" s="4"/>
    </row>
    <row r="145">
      <c r="L145" s="4"/>
      <c r="M145" s="4"/>
    </row>
    <row r="146">
      <c r="L146" s="4"/>
      <c r="M146" s="4"/>
    </row>
    <row r="147">
      <c r="L147" s="4"/>
      <c r="M147" s="4"/>
    </row>
    <row r="148">
      <c r="L148" s="4"/>
      <c r="M148" s="4"/>
    </row>
    <row r="149">
      <c r="L149" s="4"/>
      <c r="M149" s="4"/>
    </row>
    <row r="150">
      <c r="L150" s="4"/>
      <c r="M150" s="4"/>
    </row>
    <row r="151">
      <c r="L151" s="4"/>
      <c r="M151" s="4"/>
    </row>
    <row r="152">
      <c r="L152" s="4"/>
      <c r="M152" s="4"/>
    </row>
    <row r="153">
      <c r="L153" s="4"/>
      <c r="M153" s="4"/>
    </row>
    <row r="154">
      <c r="L154" s="4"/>
      <c r="M154" s="4"/>
    </row>
    <row r="155">
      <c r="L155" s="4"/>
      <c r="M155" s="4"/>
    </row>
    <row r="156">
      <c r="L156" s="4"/>
      <c r="M156" s="4"/>
    </row>
    <row r="157">
      <c r="L157" s="4"/>
      <c r="M157" s="4"/>
    </row>
    <row r="158">
      <c r="L158" s="4"/>
      <c r="M158" s="4"/>
    </row>
    <row r="159">
      <c r="L159" s="4"/>
      <c r="M159" s="4"/>
    </row>
    <row r="160">
      <c r="L160" s="4"/>
      <c r="M160" s="4"/>
    </row>
    <row r="161">
      <c r="L161" s="4"/>
      <c r="M161" s="4"/>
    </row>
    <row r="162">
      <c r="L162" s="4"/>
      <c r="M162" s="4"/>
    </row>
    <row r="163">
      <c r="L163" s="4"/>
      <c r="M163" s="4"/>
    </row>
    <row r="164">
      <c r="L164" s="4"/>
      <c r="M164" s="4"/>
    </row>
    <row r="165">
      <c r="L165" s="4"/>
      <c r="M165" s="4"/>
    </row>
    <row r="166">
      <c r="L166" s="4"/>
      <c r="M166" s="4"/>
    </row>
    <row r="167">
      <c r="L167" s="4"/>
      <c r="M167" s="4"/>
    </row>
    <row r="168">
      <c r="L168" s="4"/>
      <c r="M168" s="4"/>
    </row>
    <row r="169">
      <c r="L169" s="4"/>
      <c r="M169" s="4"/>
    </row>
    <row r="170">
      <c r="L170" s="4"/>
      <c r="M170" s="4"/>
    </row>
    <row r="171">
      <c r="L171" s="4"/>
      <c r="M171" s="4"/>
    </row>
    <row r="172">
      <c r="L172" s="4"/>
      <c r="M172" s="4"/>
    </row>
    <row r="173">
      <c r="L173" s="4"/>
      <c r="M173" s="4"/>
    </row>
    <row r="174">
      <c r="L174" s="4"/>
      <c r="M174" s="4"/>
    </row>
    <row r="175">
      <c r="L175" s="4"/>
      <c r="M175" s="4"/>
    </row>
    <row r="176">
      <c r="L176" s="4"/>
      <c r="M176" s="4"/>
    </row>
    <row r="177">
      <c r="L177" s="4"/>
      <c r="M177" s="4"/>
    </row>
    <row r="178">
      <c r="L178" s="4"/>
      <c r="M178" s="4"/>
    </row>
    <row r="179">
      <c r="L179" s="4"/>
      <c r="M179" s="4"/>
    </row>
    <row r="180">
      <c r="L180" s="4"/>
      <c r="M180" s="4"/>
    </row>
    <row r="181">
      <c r="L181" s="4"/>
      <c r="M181" s="4"/>
    </row>
    <row r="182">
      <c r="L182" s="4"/>
      <c r="M182" s="4"/>
    </row>
    <row r="183">
      <c r="L183" s="4"/>
      <c r="M183" s="4"/>
    </row>
    <row r="184">
      <c r="L184" s="4"/>
      <c r="M184" s="4"/>
    </row>
    <row r="185">
      <c r="L185" s="4"/>
      <c r="M185" s="4"/>
    </row>
    <row r="186">
      <c r="L186" s="4"/>
      <c r="M186" s="4"/>
    </row>
    <row r="187">
      <c r="L187" s="4"/>
      <c r="M187" s="4"/>
    </row>
    <row r="188">
      <c r="L188" s="4"/>
      <c r="M188" s="4"/>
    </row>
    <row r="189">
      <c r="L189" s="4"/>
      <c r="M189" s="4"/>
    </row>
    <row r="190">
      <c r="L190" s="4"/>
      <c r="M190" s="4"/>
    </row>
    <row r="191">
      <c r="L191" s="4"/>
      <c r="M191" s="4"/>
    </row>
    <row r="192">
      <c r="L192" s="4"/>
      <c r="M192" s="4"/>
    </row>
    <row r="193">
      <c r="L193" s="4"/>
      <c r="M193" s="4"/>
    </row>
    <row r="194">
      <c r="L194" s="4"/>
      <c r="M194" s="4"/>
    </row>
    <row r="195">
      <c r="L195" s="4"/>
      <c r="M195" s="4"/>
    </row>
    <row r="196">
      <c r="L196" s="4"/>
      <c r="M196" s="4"/>
    </row>
    <row r="197">
      <c r="L197" s="4"/>
      <c r="M197" s="4"/>
    </row>
    <row r="198">
      <c r="L198" s="4"/>
      <c r="M198" s="4"/>
    </row>
    <row r="199">
      <c r="L199" s="4"/>
      <c r="M199" s="4"/>
    </row>
    <row r="200">
      <c r="L200" s="4"/>
      <c r="M200" s="4"/>
    </row>
    <row r="201">
      <c r="L201" s="4"/>
      <c r="M201" s="4"/>
    </row>
    <row r="202">
      <c r="L202" s="4"/>
      <c r="M202" s="4"/>
    </row>
    <row r="203">
      <c r="L203" s="4"/>
      <c r="M203" s="4"/>
    </row>
    <row r="204">
      <c r="L204" s="4"/>
      <c r="M204" s="4"/>
    </row>
    <row r="205">
      <c r="L205" s="4"/>
      <c r="M205" s="4"/>
    </row>
    <row r="206">
      <c r="L206" s="4"/>
      <c r="M206" s="4"/>
    </row>
    <row r="207">
      <c r="L207" s="4"/>
      <c r="M207" s="4"/>
    </row>
    <row r="208">
      <c r="L208" s="4"/>
      <c r="M208" s="4"/>
    </row>
    <row r="209">
      <c r="L209" s="4"/>
      <c r="M209" s="4"/>
    </row>
    <row r="210">
      <c r="L210" s="4"/>
      <c r="M210" s="4"/>
    </row>
    <row r="211">
      <c r="L211" s="4"/>
      <c r="M211" s="4"/>
    </row>
    <row r="212">
      <c r="L212" s="4"/>
      <c r="M212" s="4"/>
    </row>
    <row r="213">
      <c r="L213" s="4"/>
      <c r="M213" s="4"/>
    </row>
    <row r="214">
      <c r="L214" s="4"/>
      <c r="M214" s="4"/>
    </row>
    <row r="215">
      <c r="L215" s="4"/>
      <c r="M215" s="4"/>
    </row>
    <row r="216">
      <c r="L216" s="4"/>
      <c r="M216" s="4"/>
    </row>
    <row r="217">
      <c r="L217" s="4"/>
      <c r="M217" s="4"/>
    </row>
    <row r="218">
      <c r="L218" s="4"/>
      <c r="M218" s="4"/>
    </row>
    <row r="219">
      <c r="L219" s="4"/>
      <c r="M219" s="4"/>
    </row>
    <row r="220">
      <c r="L220" s="4"/>
      <c r="M220" s="4"/>
    </row>
    <row r="221">
      <c r="L221" s="4"/>
      <c r="M221" s="4"/>
    </row>
    <row r="222">
      <c r="L222" s="4"/>
      <c r="M222" s="4"/>
    </row>
    <row r="223">
      <c r="L223" s="4"/>
      <c r="M223" s="4"/>
    </row>
    <row r="224">
      <c r="L224" s="4"/>
      <c r="M224" s="4"/>
    </row>
    <row r="225">
      <c r="L225" s="4"/>
      <c r="M225" s="4"/>
    </row>
    <row r="226">
      <c r="L226" s="4"/>
      <c r="M226" s="4"/>
    </row>
    <row r="227">
      <c r="L227" s="4"/>
      <c r="M227" s="4"/>
    </row>
    <row r="228">
      <c r="L228" s="4"/>
      <c r="M228" s="4"/>
    </row>
    <row r="229">
      <c r="L229" s="4"/>
      <c r="M229" s="4"/>
    </row>
    <row r="230">
      <c r="L230" s="4"/>
      <c r="M230" s="4"/>
    </row>
    <row r="231">
      <c r="L231" s="4"/>
      <c r="M231" s="4"/>
    </row>
    <row r="232">
      <c r="L232" s="4"/>
      <c r="M232" s="4"/>
    </row>
    <row r="233">
      <c r="L233" s="4"/>
      <c r="M233" s="4"/>
    </row>
    <row r="234">
      <c r="L234" s="4"/>
      <c r="M234" s="4"/>
    </row>
    <row r="235">
      <c r="L235" s="4"/>
      <c r="M235" s="4"/>
    </row>
    <row r="236">
      <c r="L236" s="4"/>
      <c r="M236" s="4"/>
    </row>
    <row r="237">
      <c r="L237" s="4"/>
      <c r="M237" s="4"/>
    </row>
    <row r="238">
      <c r="L238" s="4"/>
      <c r="M238" s="4"/>
    </row>
    <row r="239">
      <c r="L239" s="4"/>
      <c r="M239" s="4"/>
    </row>
    <row r="240">
      <c r="L240" s="4"/>
      <c r="M240" s="4"/>
    </row>
    <row r="241">
      <c r="L241" s="4"/>
      <c r="M241" s="4"/>
    </row>
    <row r="242">
      <c r="L242" s="4"/>
      <c r="M242" s="4"/>
    </row>
    <row r="243">
      <c r="L243" s="4"/>
      <c r="M243" s="4"/>
    </row>
    <row r="244">
      <c r="L244" s="4"/>
      <c r="M244" s="4"/>
    </row>
    <row r="245">
      <c r="L245" s="4"/>
      <c r="M245" s="4"/>
    </row>
    <row r="246">
      <c r="L246" s="4"/>
      <c r="M246" s="4"/>
    </row>
    <row r="247">
      <c r="L247" s="4"/>
      <c r="M247" s="4"/>
    </row>
    <row r="248">
      <c r="L248" s="4"/>
      <c r="M248" s="4"/>
    </row>
    <row r="249">
      <c r="L249" s="4"/>
      <c r="M249" s="4"/>
    </row>
    <row r="250">
      <c r="L250" s="4"/>
      <c r="M250" s="4"/>
    </row>
    <row r="251">
      <c r="L251" s="4"/>
      <c r="M251" s="4"/>
    </row>
    <row r="252">
      <c r="L252" s="4"/>
      <c r="M252" s="4"/>
    </row>
    <row r="253">
      <c r="L253" s="4"/>
      <c r="M253" s="4"/>
    </row>
    <row r="254">
      <c r="L254" s="4"/>
      <c r="M254" s="4"/>
    </row>
    <row r="255">
      <c r="L255" s="4"/>
      <c r="M255" s="4"/>
    </row>
    <row r="256">
      <c r="L256" s="4"/>
      <c r="M256" s="4"/>
    </row>
    <row r="257">
      <c r="L257" s="4"/>
      <c r="M257" s="4"/>
    </row>
    <row r="258">
      <c r="L258" s="4"/>
      <c r="M258" s="4"/>
    </row>
    <row r="259">
      <c r="L259" s="4"/>
      <c r="M259" s="4"/>
    </row>
    <row r="260">
      <c r="L260" s="4"/>
      <c r="M260" s="4"/>
    </row>
    <row r="261">
      <c r="L261" s="4"/>
      <c r="M261" s="4"/>
    </row>
    <row r="262">
      <c r="L262" s="4"/>
      <c r="M262" s="4"/>
    </row>
    <row r="263">
      <c r="L263" s="4"/>
      <c r="M263" s="4"/>
    </row>
    <row r="264">
      <c r="L264" s="4"/>
      <c r="M264" s="4"/>
    </row>
    <row r="265">
      <c r="L265" s="4"/>
      <c r="M265" s="4"/>
    </row>
    <row r="266">
      <c r="L266" s="4"/>
      <c r="M266" s="4"/>
    </row>
    <row r="267">
      <c r="L267" s="4"/>
      <c r="M267" s="4"/>
    </row>
    <row r="268">
      <c r="L268" s="4"/>
      <c r="M268" s="4"/>
    </row>
    <row r="269">
      <c r="L269" s="4"/>
      <c r="M269" s="4"/>
    </row>
    <row r="270">
      <c r="L270" s="4"/>
      <c r="M270" s="4"/>
    </row>
    <row r="271">
      <c r="L271" s="4"/>
      <c r="M271" s="4"/>
    </row>
    <row r="272">
      <c r="L272" s="4"/>
      <c r="M272" s="4"/>
    </row>
    <row r="273">
      <c r="L273" s="4"/>
      <c r="M273" s="4"/>
    </row>
    <row r="274">
      <c r="L274" s="4"/>
      <c r="M274" s="4"/>
    </row>
    <row r="275">
      <c r="L275" s="4"/>
      <c r="M275" s="4"/>
    </row>
    <row r="276">
      <c r="L276" s="4"/>
      <c r="M276" s="4"/>
    </row>
    <row r="277">
      <c r="L277" s="4"/>
      <c r="M277" s="4"/>
    </row>
    <row r="278">
      <c r="L278" s="4"/>
      <c r="M278" s="4"/>
    </row>
    <row r="279">
      <c r="L279" s="4"/>
      <c r="M279" s="4"/>
    </row>
    <row r="280">
      <c r="L280" s="4"/>
      <c r="M280" s="4"/>
    </row>
    <row r="281">
      <c r="L281" s="4"/>
      <c r="M281" s="4"/>
    </row>
    <row r="282">
      <c r="L282" s="4"/>
      <c r="M282" s="4"/>
    </row>
    <row r="283">
      <c r="L283" s="4"/>
      <c r="M283" s="4"/>
    </row>
    <row r="284">
      <c r="L284" s="4"/>
      <c r="M284" s="4"/>
    </row>
    <row r="285">
      <c r="L285" s="4"/>
      <c r="M285" s="4"/>
    </row>
    <row r="286">
      <c r="L286" s="4"/>
      <c r="M286" s="4"/>
    </row>
    <row r="287">
      <c r="L287" s="4"/>
      <c r="M287" s="4"/>
    </row>
    <row r="288">
      <c r="L288" s="4"/>
      <c r="M288" s="4"/>
    </row>
    <row r="289">
      <c r="L289" s="4"/>
      <c r="M289" s="4"/>
    </row>
    <row r="290">
      <c r="L290" s="4"/>
      <c r="M290" s="4"/>
    </row>
    <row r="291">
      <c r="L291" s="4"/>
      <c r="M291" s="4"/>
    </row>
    <row r="292">
      <c r="L292" s="4"/>
      <c r="M292" s="4"/>
    </row>
    <row r="293">
      <c r="L293" s="4"/>
      <c r="M293" s="4"/>
    </row>
    <row r="294">
      <c r="L294" s="4"/>
      <c r="M294" s="4"/>
    </row>
    <row r="295">
      <c r="L295" s="4"/>
      <c r="M295" s="4"/>
    </row>
    <row r="296">
      <c r="L296" s="4"/>
      <c r="M296" s="4"/>
    </row>
    <row r="297">
      <c r="L297" s="4"/>
      <c r="M297" s="4"/>
    </row>
    <row r="298">
      <c r="L298" s="4"/>
      <c r="M298" s="4"/>
    </row>
    <row r="299">
      <c r="L299" s="4"/>
      <c r="M299" s="4"/>
    </row>
    <row r="300">
      <c r="L300" s="4"/>
      <c r="M300" s="4"/>
    </row>
    <row r="301">
      <c r="L301" s="4"/>
      <c r="M301" s="4"/>
    </row>
    <row r="302">
      <c r="L302" s="4"/>
      <c r="M302" s="4"/>
    </row>
    <row r="303">
      <c r="L303" s="4"/>
      <c r="M303" s="4"/>
    </row>
    <row r="304">
      <c r="L304" s="4"/>
      <c r="M304" s="4"/>
    </row>
    <row r="305">
      <c r="L305" s="4"/>
      <c r="M305" s="4"/>
    </row>
    <row r="306">
      <c r="L306" s="4"/>
      <c r="M306" s="4"/>
    </row>
    <row r="307">
      <c r="L307" s="4"/>
      <c r="M307" s="4"/>
    </row>
    <row r="308">
      <c r="L308" s="4"/>
      <c r="M308" s="4"/>
    </row>
    <row r="309">
      <c r="L309" s="4"/>
      <c r="M309" s="4"/>
    </row>
    <row r="310">
      <c r="L310" s="4"/>
      <c r="M310" s="4"/>
    </row>
    <row r="311">
      <c r="L311" s="4"/>
      <c r="M311" s="4"/>
    </row>
    <row r="312">
      <c r="L312" s="4"/>
      <c r="M312" s="4"/>
    </row>
    <row r="313">
      <c r="L313" s="4"/>
      <c r="M313" s="4"/>
    </row>
    <row r="314">
      <c r="L314" s="4"/>
      <c r="M314" s="4"/>
    </row>
    <row r="315">
      <c r="L315" s="4"/>
      <c r="M315" s="4"/>
    </row>
    <row r="316">
      <c r="L316" s="4"/>
      <c r="M316" s="4"/>
    </row>
    <row r="317">
      <c r="L317" s="4"/>
      <c r="M317" s="4"/>
    </row>
    <row r="318">
      <c r="L318" s="4"/>
      <c r="M318" s="4"/>
    </row>
    <row r="319">
      <c r="L319" s="4"/>
      <c r="M319" s="4"/>
    </row>
    <row r="320">
      <c r="L320" s="4"/>
      <c r="M320" s="4"/>
    </row>
    <row r="321">
      <c r="L321" s="4"/>
      <c r="M321" s="4"/>
    </row>
    <row r="322">
      <c r="L322" s="4"/>
      <c r="M322" s="4"/>
    </row>
    <row r="323">
      <c r="L323" s="4"/>
      <c r="M323" s="4"/>
    </row>
    <row r="324">
      <c r="L324" s="4"/>
      <c r="M324" s="4"/>
    </row>
    <row r="325">
      <c r="L325" s="4"/>
      <c r="M325" s="4"/>
    </row>
    <row r="326">
      <c r="L326" s="4"/>
      <c r="M326" s="4"/>
    </row>
    <row r="327">
      <c r="L327" s="4"/>
      <c r="M327" s="4"/>
    </row>
    <row r="328">
      <c r="L328" s="4"/>
      <c r="M328" s="4"/>
    </row>
    <row r="329">
      <c r="L329" s="4"/>
      <c r="M329" s="4"/>
    </row>
    <row r="330">
      <c r="L330" s="4"/>
      <c r="M330" s="4"/>
    </row>
    <row r="331">
      <c r="L331" s="4"/>
      <c r="M331" s="4"/>
    </row>
    <row r="332">
      <c r="L332" s="4"/>
      <c r="M332" s="4"/>
    </row>
    <row r="333">
      <c r="L333" s="4"/>
      <c r="M333" s="4"/>
    </row>
    <row r="334">
      <c r="L334" s="4"/>
      <c r="M334" s="4"/>
    </row>
    <row r="335">
      <c r="L335" s="4"/>
      <c r="M335" s="4"/>
    </row>
    <row r="336">
      <c r="L336" s="4"/>
      <c r="M336" s="4"/>
    </row>
    <row r="337">
      <c r="L337" s="4"/>
      <c r="M337" s="4"/>
    </row>
    <row r="338">
      <c r="L338" s="4"/>
      <c r="M338" s="4"/>
    </row>
    <row r="339">
      <c r="L339" s="4"/>
      <c r="M339" s="4"/>
    </row>
    <row r="340">
      <c r="L340" s="4"/>
      <c r="M340" s="4"/>
    </row>
    <row r="341">
      <c r="L341" s="4"/>
      <c r="M341" s="4"/>
    </row>
    <row r="342">
      <c r="L342" s="4"/>
      <c r="M342" s="4"/>
    </row>
    <row r="343">
      <c r="L343" s="4"/>
      <c r="M343" s="4"/>
    </row>
    <row r="344">
      <c r="L344" s="4"/>
      <c r="M344" s="4"/>
    </row>
    <row r="345">
      <c r="L345" s="4"/>
      <c r="M345" s="4"/>
    </row>
    <row r="346">
      <c r="L346" s="4"/>
      <c r="M346" s="4"/>
    </row>
    <row r="347">
      <c r="L347" s="4"/>
      <c r="M347" s="4"/>
    </row>
    <row r="348">
      <c r="L348" s="4"/>
      <c r="M348" s="4"/>
    </row>
    <row r="349">
      <c r="L349" s="4"/>
      <c r="M349" s="4"/>
    </row>
    <row r="350">
      <c r="L350" s="4"/>
      <c r="M350" s="4"/>
    </row>
    <row r="351">
      <c r="L351" s="4"/>
      <c r="M351" s="4"/>
    </row>
    <row r="352">
      <c r="L352" s="4"/>
      <c r="M352" s="4"/>
    </row>
    <row r="353">
      <c r="L353" s="4"/>
      <c r="M353" s="4"/>
    </row>
    <row r="354">
      <c r="L354" s="4"/>
      <c r="M354" s="4"/>
    </row>
    <row r="355">
      <c r="L355" s="4"/>
      <c r="M355" s="4"/>
    </row>
    <row r="356">
      <c r="L356" s="4"/>
      <c r="M356" s="4"/>
    </row>
    <row r="357">
      <c r="L357" s="4"/>
      <c r="M357" s="4"/>
    </row>
    <row r="358">
      <c r="L358" s="4"/>
      <c r="M358" s="4"/>
    </row>
    <row r="359">
      <c r="L359" s="4"/>
      <c r="M359" s="4"/>
    </row>
    <row r="360">
      <c r="L360" s="4"/>
      <c r="M360" s="4"/>
    </row>
    <row r="361">
      <c r="L361" s="4"/>
      <c r="M361" s="4"/>
    </row>
    <row r="362">
      <c r="L362" s="4"/>
      <c r="M362" s="4"/>
    </row>
    <row r="363">
      <c r="L363" s="4"/>
      <c r="M363" s="4"/>
    </row>
    <row r="364">
      <c r="L364" s="4"/>
      <c r="M364" s="4"/>
    </row>
    <row r="365">
      <c r="L365" s="4"/>
      <c r="M365" s="4"/>
    </row>
    <row r="366">
      <c r="L366" s="4"/>
      <c r="M366" s="4"/>
    </row>
    <row r="367">
      <c r="L367" s="4"/>
      <c r="M367" s="4"/>
    </row>
    <row r="368">
      <c r="L368" s="4"/>
      <c r="M368" s="4"/>
    </row>
    <row r="369">
      <c r="L369" s="4"/>
      <c r="M369" s="4"/>
    </row>
    <row r="370">
      <c r="L370" s="4"/>
      <c r="M370" s="4"/>
    </row>
    <row r="371">
      <c r="L371" s="4"/>
      <c r="M371" s="4"/>
    </row>
    <row r="372">
      <c r="L372" s="4"/>
      <c r="M372" s="4"/>
    </row>
    <row r="373">
      <c r="L373" s="4"/>
      <c r="M373" s="4"/>
    </row>
    <row r="374">
      <c r="L374" s="4"/>
      <c r="M374" s="4"/>
    </row>
    <row r="375">
      <c r="L375" s="4"/>
      <c r="M375" s="4"/>
    </row>
    <row r="376">
      <c r="L376" s="4"/>
      <c r="M376" s="4"/>
    </row>
    <row r="377">
      <c r="L377" s="4"/>
      <c r="M377" s="4"/>
    </row>
    <row r="378">
      <c r="L378" s="4"/>
      <c r="M378" s="4"/>
    </row>
    <row r="379">
      <c r="L379" s="4"/>
      <c r="M379" s="4"/>
    </row>
    <row r="380">
      <c r="L380" s="4"/>
      <c r="M380" s="4"/>
    </row>
    <row r="381">
      <c r="L381" s="4"/>
      <c r="M381" s="4"/>
    </row>
    <row r="382">
      <c r="L382" s="4"/>
      <c r="M382" s="4"/>
    </row>
    <row r="383">
      <c r="L383" s="4"/>
      <c r="M383" s="4"/>
    </row>
    <row r="384">
      <c r="L384" s="4"/>
      <c r="M384" s="4"/>
    </row>
    <row r="385">
      <c r="L385" s="4"/>
      <c r="M385" s="4"/>
    </row>
    <row r="386">
      <c r="L386" s="4"/>
      <c r="M386" s="4"/>
    </row>
    <row r="387">
      <c r="L387" s="4"/>
      <c r="M387" s="4"/>
    </row>
    <row r="388">
      <c r="L388" s="4"/>
      <c r="M388" s="4"/>
    </row>
    <row r="389">
      <c r="L389" s="4"/>
      <c r="M389" s="4"/>
    </row>
    <row r="390">
      <c r="L390" s="4"/>
      <c r="M390" s="4"/>
    </row>
    <row r="391">
      <c r="L391" s="4"/>
      <c r="M391" s="4"/>
    </row>
    <row r="392">
      <c r="L392" s="4"/>
      <c r="M392" s="4"/>
    </row>
    <row r="393">
      <c r="L393" s="4"/>
      <c r="M393" s="4"/>
    </row>
    <row r="394">
      <c r="L394" s="4"/>
      <c r="M394" s="4"/>
    </row>
    <row r="395">
      <c r="L395" s="4"/>
      <c r="M395" s="4"/>
    </row>
    <row r="396">
      <c r="L396" s="4"/>
      <c r="M396" s="4"/>
    </row>
    <row r="397">
      <c r="L397" s="4"/>
      <c r="M397" s="4"/>
    </row>
    <row r="398">
      <c r="L398" s="4"/>
      <c r="M398" s="4"/>
    </row>
    <row r="399">
      <c r="L399" s="4"/>
      <c r="M399" s="4"/>
    </row>
    <row r="400">
      <c r="L400" s="4"/>
      <c r="M400" s="4"/>
    </row>
    <row r="401">
      <c r="L401" s="4"/>
      <c r="M401" s="4"/>
    </row>
    <row r="402">
      <c r="L402" s="4"/>
      <c r="M402" s="4"/>
    </row>
    <row r="403">
      <c r="L403" s="4"/>
      <c r="M403" s="4"/>
    </row>
    <row r="404">
      <c r="L404" s="4"/>
      <c r="M404" s="4"/>
    </row>
    <row r="405">
      <c r="L405" s="4"/>
      <c r="M405" s="4"/>
    </row>
    <row r="406">
      <c r="L406" s="4"/>
      <c r="M406" s="4"/>
    </row>
    <row r="407">
      <c r="L407" s="4"/>
      <c r="M407" s="4"/>
    </row>
    <row r="408">
      <c r="L408" s="4"/>
      <c r="M408" s="4"/>
    </row>
    <row r="409">
      <c r="L409" s="4"/>
      <c r="M409" s="4"/>
    </row>
    <row r="410">
      <c r="L410" s="4"/>
      <c r="M410" s="4"/>
    </row>
    <row r="411">
      <c r="L411" s="4"/>
      <c r="M411" s="4"/>
    </row>
    <row r="412">
      <c r="L412" s="4"/>
      <c r="M412" s="4"/>
    </row>
    <row r="413">
      <c r="L413" s="4"/>
      <c r="M413" s="4"/>
    </row>
    <row r="414">
      <c r="L414" s="4"/>
      <c r="M414" s="4"/>
    </row>
    <row r="415">
      <c r="L415" s="4"/>
      <c r="M415" s="4"/>
    </row>
    <row r="416">
      <c r="L416" s="4"/>
      <c r="M416" s="4"/>
    </row>
    <row r="417">
      <c r="L417" s="4"/>
      <c r="M417" s="4"/>
    </row>
    <row r="418">
      <c r="L418" s="4"/>
      <c r="M418" s="4"/>
    </row>
    <row r="419">
      <c r="L419" s="4"/>
      <c r="M419" s="4"/>
    </row>
    <row r="420">
      <c r="L420" s="4"/>
      <c r="M420" s="4"/>
    </row>
    <row r="421">
      <c r="L421" s="4"/>
      <c r="M421" s="4"/>
    </row>
    <row r="422">
      <c r="L422" s="4"/>
      <c r="M422" s="4"/>
    </row>
    <row r="423">
      <c r="L423" s="4"/>
      <c r="M423" s="4"/>
    </row>
    <row r="424">
      <c r="L424" s="4"/>
      <c r="M424" s="4"/>
    </row>
    <row r="425">
      <c r="L425" s="4"/>
      <c r="M425" s="4"/>
    </row>
    <row r="426">
      <c r="L426" s="4"/>
      <c r="M426" s="4"/>
    </row>
    <row r="427">
      <c r="L427" s="4"/>
      <c r="M427" s="4"/>
    </row>
    <row r="428">
      <c r="L428" s="4"/>
      <c r="M428" s="4"/>
    </row>
    <row r="429">
      <c r="L429" s="4"/>
      <c r="M429" s="4"/>
    </row>
    <row r="430">
      <c r="L430" s="4"/>
      <c r="M430" s="4"/>
    </row>
    <row r="431">
      <c r="L431" s="4"/>
      <c r="M431" s="4"/>
    </row>
    <row r="432">
      <c r="L432" s="4"/>
      <c r="M432" s="4"/>
    </row>
    <row r="433">
      <c r="L433" s="4"/>
      <c r="M433" s="4"/>
    </row>
    <row r="434">
      <c r="L434" s="4"/>
      <c r="M434" s="4"/>
    </row>
    <row r="435">
      <c r="L435" s="4"/>
      <c r="M435" s="4"/>
    </row>
    <row r="436">
      <c r="L436" s="4"/>
      <c r="M436" s="4"/>
    </row>
    <row r="437">
      <c r="L437" s="4"/>
      <c r="M437" s="4"/>
    </row>
    <row r="438">
      <c r="L438" s="4"/>
      <c r="M438" s="4"/>
    </row>
    <row r="439">
      <c r="L439" s="4"/>
      <c r="M439" s="4"/>
    </row>
    <row r="440">
      <c r="L440" s="4"/>
      <c r="M440" s="4"/>
    </row>
    <row r="441">
      <c r="L441" s="4"/>
      <c r="M441" s="4"/>
    </row>
    <row r="442">
      <c r="L442" s="4"/>
      <c r="M442" s="4"/>
    </row>
    <row r="443">
      <c r="L443" s="4"/>
      <c r="M443" s="4"/>
    </row>
    <row r="444">
      <c r="L444" s="4"/>
      <c r="M444" s="4"/>
    </row>
    <row r="445">
      <c r="L445" s="4"/>
      <c r="M445" s="4"/>
    </row>
    <row r="446">
      <c r="L446" s="4"/>
      <c r="M446" s="4"/>
    </row>
    <row r="447">
      <c r="L447" s="4"/>
      <c r="M447" s="4"/>
    </row>
    <row r="448">
      <c r="L448" s="4"/>
      <c r="M448" s="4"/>
    </row>
    <row r="449">
      <c r="L449" s="4"/>
      <c r="M449" s="4"/>
    </row>
    <row r="450">
      <c r="L450" s="4"/>
      <c r="M450" s="4"/>
    </row>
    <row r="451">
      <c r="L451" s="4"/>
      <c r="M451" s="4"/>
    </row>
    <row r="452">
      <c r="L452" s="4"/>
      <c r="M452" s="4"/>
    </row>
    <row r="453">
      <c r="L453" s="4"/>
      <c r="M453" s="4"/>
    </row>
    <row r="454">
      <c r="L454" s="4"/>
      <c r="M454" s="4"/>
    </row>
    <row r="455">
      <c r="L455" s="4"/>
      <c r="M455" s="4"/>
    </row>
    <row r="456">
      <c r="L456" s="4"/>
      <c r="M456" s="4"/>
    </row>
    <row r="457">
      <c r="L457" s="4"/>
      <c r="M457" s="4"/>
    </row>
    <row r="458">
      <c r="L458" s="4"/>
      <c r="M458" s="4"/>
    </row>
    <row r="459">
      <c r="L459" s="4"/>
      <c r="M459" s="4"/>
    </row>
    <row r="460">
      <c r="L460" s="4"/>
      <c r="M460" s="4"/>
    </row>
    <row r="461">
      <c r="L461" s="4"/>
      <c r="M461" s="4"/>
    </row>
    <row r="462">
      <c r="L462" s="4"/>
      <c r="M462" s="4"/>
    </row>
    <row r="463">
      <c r="L463" s="4"/>
      <c r="M463" s="4"/>
    </row>
    <row r="464">
      <c r="L464" s="4"/>
      <c r="M464" s="4"/>
    </row>
    <row r="465">
      <c r="L465" s="4"/>
      <c r="M465" s="4"/>
    </row>
    <row r="466">
      <c r="L466" s="4"/>
      <c r="M466" s="4"/>
    </row>
    <row r="467">
      <c r="L467" s="4"/>
      <c r="M467" s="4"/>
    </row>
    <row r="468">
      <c r="L468" s="4"/>
      <c r="M468" s="4"/>
    </row>
    <row r="469">
      <c r="L469" s="4"/>
      <c r="M469" s="4"/>
    </row>
    <row r="470">
      <c r="L470" s="4"/>
      <c r="M470" s="4"/>
    </row>
    <row r="471">
      <c r="L471" s="4"/>
      <c r="M471" s="4"/>
    </row>
    <row r="472">
      <c r="L472" s="4"/>
      <c r="M472" s="4"/>
    </row>
    <row r="473">
      <c r="L473" s="4"/>
      <c r="M473" s="4"/>
    </row>
    <row r="474">
      <c r="L474" s="4"/>
      <c r="M474" s="4"/>
    </row>
    <row r="475">
      <c r="L475" s="4"/>
      <c r="M475" s="4"/>
    </row>
    <row r="476">
      <c r="L476" s="4"/>
      <c r="M476" s="4"/>
    </row>
    <row r="477">
      <c r="L477" s="4"/>
      <c r="M477" s="4"/>
    </row>
    <row r="478">
      <c r="L478" s="4"/>
      <c r="M478" s="4"/>
    </row>
    <row r="479">
      <c r="L479" s="4"/>
      <c r="M479" s="4"/>
    </row>
    <row r="480">
      <c r="L480" s="4"/>
      <c r="M480" s="4"/>
    </row>
    <row r="481">
      <c r="L481" s="4"/>
      <c r="M481" s="4"/>
    </row>
    <row r="482">
      <c r="L482" s="4"/>
      <c r="M482" s="4"/>
    </row>
    <row r="483">
      <c r="L483" s="4"/>
      <c r="M483" s="4"/>
    </row>
    <row r="484">
      <c r="L484" s="4"/>
      <c r="M484" s="4"/>
    </row>
    <row r="485">
      <c r="L485" s="4"/>
      <c r="M485" s="4"/>
    </row>
    <row r="486">
      <c r="L486" s="4"/>
      <c r="M486" s="4"/>
    </row>
    <row r="487">
      <c r="L487" s="4"/>
      <c r="M487" s="4"/>
    </row>
    <row r="488">
      <c r="L488" s="4"/>
      <c r="M488" s="4"/>
    </row>
    <row r="489">
      <c r="L489" s="4"/>
      <c r="M489" s="4"/>
    </row>
    <row r="490">
      <c r="L490" s="4"/>
      <c r="M490" s="4"/>
    </row>
    <row r="491">
      <c r="L491" s="4"/>
      <c r="M491" s="4"/>
    </row>
    <row r="492">
      <c r="L492" s="4"/>
      <c r="M492" s="4"/>
    </row>
    <row r="493">
      <c r="L493" s="4"/>
      <c r="M493" s="4"/>
    </row>
    <row r="494">
      <c r="L494" s="4"/>
      <c r="M494" s="4"/>
    </row>
    <row r="495">
      <c r="L495" s="4"/>
      <c r="M495" s="4"/>
    </row>
    <row r="496">
      <c r="L496" s="4"/>
      <c r="M496" s="4"/>
    </row>
    <row r="497">
      <c r="L497" s="4"/>
      <c r="M497" s="4"/>
    </row>
    <row r="498">
      <c r="L498" s="4"/>
      <c r="M498" s="4"/>
    </row>
    <row r="499">
      <c r="L499" s="4"/>
      <c r="M499" s="4"/>
    </row>
    <row r="500">
      <c r="L500" s="4"/>
      <c r="M500" s="4"/>
    </row>
    <row r="501">
      <c r="L501" s="4"/>
      <c r="M501" s="4"/>
    </row>
    <row r="502">
      <c r="L502" s="4"/>
      <c r="M502" s="4"/>
    </row>
    <row r="503">
      <c r="L503" s="4"/>
      <c r="M503" s="4"/>
    </row>
    <row r="504">
      <c r="L504" s="4"/>
      <c r="M504" s="4"/>
    </row>
    <row r="505">
      <c r="L505" s="4"/>
      <c r="M505" s="4"/>
    </row>
    <row r="506">
      <c r="L506" s="4"/>
      <c r="M506" s="4"/>
    </row>
    <row r="507">
      <c r="L507" s="4"/>
      <c r="M507" s="4"/>
    </row>
    <row r="508">
      <c r="L508" s="4"/>
      <c r="M508" s="4"/>
    </row>
    <row r="509">
      <c r="L509" s="4"/>
      <c r="M509" s="4"/>
    </row>
    <row r="510">
      <c r="L510" s="4"/>
      <c r="M510" s="4"/>
    </row>
    <row r="511">
      <c r="L511" s="4"/>
      <c r="M511" s="4"/>
    </row>
    <row r="512">
      <c r="L512" s="4"/>
      <c r="M512" s="4"/>
    </row>
    <row r="513">
      <c r="L513" s="4"/>
      <c r="M513" s="4"/>
    </row>
    <row r="514">
      <c r="L514" s="4"/>
      <c r="M514" s="4"/>
    </row>
    <row r="515">
      <c r="L515" s="4"/>
      <c r="M515" s="4"/>
    </row>
    <row r="516">
      <c r="L516" s="4"/>
      <c r="M516" s="4"/>
    </row>
    <row r="517">
      <c r="L517" s="4"/>
      <c r="M517" s="4"/>
    </row>
    <row r="518">
      <c r="L518" s="4"/>
      <c r="M518" s="4"/>
    </row>
    <row r="519">
      <c r="L519" s="4"/>
      <c r="M519" s="4"/>
    </row>
    <row r="520">
      <c r="L520" s="4"/>
      <c r="M520" s="4"/>
    </row>
    <row r="521">
      <c r="L521" s="4"/>
      <c r="M521" s="4"/>
    </row>
    <row r="522">
      <c r="L522" s="4"/>
      <c r="M522" s="4"/>
    </row>
    <row r="523">
      <c r="L523" s="4"/>
      <c r="M523" s="4"/>
    </row>
    <row r="524">
      <c r="L524" s="4"/>
      <c r="M524" s="4"/>
    </row>
    <row r="525">
      <c r="L525" s="4"/>
      <c r="M525" s="4"/>
    </row>
    <row r="526">
      <c r="L526" s="4"/>
      <c r="M526" s="4"/>
    </row>
    <row r="527">
      <c r="L527" s="4"/>
      <c r="M527" s="4"/>
    </row>
    <row r="528">
      <c r="L528" s="4"/>
      <c r="M528" s="4"/>
    </row>
    <row r="529">
      <c r="L529" s="4"/>
      <c r="M529" s="4"/>
    </row>
    <row r="530">
      <c r="L530" s="4"/>
      <c r="M530" s="4"/>
    </row>
    <row r="531">
      <c r="L531" s="4"/>
      <c r="M531" s="4"/>
    </row>
    <row r="532">
      <c r="L532" s="4"/>
      <c r="M532" s="4"/>
    </row>
    <row r="533">
      <c r="L533" s="4"/>
      <c r="M533" s="4"/>
    </row>
    <row r="534">
      <c r="L534" s="4"/>
      <c r="M534" s="4"/>
    </row>
    <row r="535">
      <c r="L535" s="4"/>
      <c r="M535" s="4"/>
    </row>
    <row r="536">
      <c r="L536" s="4"/>
      <c r="M536" s="4"/>
    </row>
    <row r="537">
      <c r="L537" s="4"/>
      <c r="M537" s="4"/>
    </row>
    <row r="538">
      <c r="L538" s="4"/>
      <c r="M538" s="4"/>
    </row>
    <row r="539">
      <c r="L539" s="4"/>
      <c r="M539" s="4"/>
    </row>
    <row r="540">
      <c r="L540" s="4"/>
      <c r="M540" s="4"/>
    </row>
    <row r="541">
      <c r="L541" s="4"/>
      <c r="M541" s="4"/>
    </row>
    <row r="542">
      <c r="L542" s="4"/>
      <c r="M542" s="4"/>
    </row>
    <row r="543">
      <c r="L543" s="4"/>
      <c r="M543" s="4"/>
    </row>
    <row r="544">
      <c r="L544" s="4"/>
      <c r="M544" s="4"/>
    </row>
    <row r="545">
      <c r="L545" s="4"/>
      <c r="M545" s="4"/>
    </row>
    <row r="546">
      <c r="L546" s="4"/>
      <c r="M546" s="4"/>
    </row>
    <row r="547">
      <c r="L547" s="4"/>
      <c r="M547" s="4"/>
    </row>
    <row r="548">
      <c r="L548" s="4"/>
      <c r="M548" s="4"/>
    </row>
    <row r="549">
      <c r="L549" s="4"/>
      <c r="M549" s="4"/>
    </row>
    <row r="550">
      <c r="L550" s="4"/>
      <c r="M550" s="4"/>
    </row>
    <row r="551">
      <c r="L551" s="4"/>
      <c r="M551" s="4"/>
    </row>
    <row r="552">
      <c r="L552" s="4"/>
      <c r="M552" s="4"/>
    </row>
    <row r="553">
      <c r="L553" s="4"/>
      <c r="M553" s="4"/>
    </row>
    <row r="554">
      <c r="L554" s="4"/>
      <c r="M554" s="4"/>
    </row>
    <row r="555">
      <c r="L555" s="4"/>
      <c r="M555" s="4"/>
    </row>
    <row r="556">
      <c r="L556" s="4"/>
      <c r="M556" s="4"/>
    </row>
    <row r="557">
      <c r="L557" s="4"/>
      <c r="M557" s="4"/>
    </row>
    <row r="558">
      <c r="L558" s="4"/>
      <c r="M558" s="4"/>
    </row>
    <row r="559">
      <c r="L559" s="4"/>
      <c r="M559" s="4"/>
    </row>
    <row r="560">
      <c r="L560" s="4"/>
      <c r="M560" s="4"/>
    </row>
    <row r="561">
      <c r="L561" s="4"/>
      <c r="M561" s="4"/>
    </row>
    <row r="562">
      <c r="L562" s="4"/>
      <c r="M562" s="4"/>
    </row>
    <row r="563">
      <c r="L563" s="4"/>
      <c r="M563" s="4"/>
    </row>
    <row r="564">
      <c r="L564" s="4"/>
      <c r="M564" s="4"/>
    </row>
    <row r="565">
      <c r="L565" s="4"/>
      <c r="M565" s="4"/>
    </row>
    <row r="566">
      <c r="L566" s="4"/>
      <c r="M566" s="4"/>
    </row>
    <row r="567">
      <c r="L567" s="4"/>
      <c r="M567" s="4"/>
    </row>
    <row r="568">
      <c r="L568" s="4"/>
      <c r="M568" s="4"/>
    </row>
    <row r="569">
      <c r="L569" s="4"/>
      <c r="M569" s="4"/>
    </row>
    <row r="570">
      <c r="L570" s="4"/>
      <c r="M570" s="4"/>
    </row>
    <row r="571">
      <c r="L571" s="4"/>
      <c r="M571" s="4"/>
    </row>
    <row r="572">
      <c r="L572" s="4"/>
      <c r="M572" s="4"/>
    </row>
    <row r="573">
      <c r="L573" s="4"/>
      <c r="M573" s="4"/>
    </row>
    <row r="574">
      <c r="L574" s="4"/>
      <c r="M574" s="4"/>
    </row>
    <row r="575">
      <c r="L575" s="4"/>
      <c r="M575" s="4"/>
    </row>
    <row r="576">
      <c r="L576" s="4"/>
      <c r="M576" s="4"/>
    </row>
    <row r="577">
      <c r="L577" s="4"/>
      <c r="M577" s="4"/>
    </row>
    <row r="578">
      <c r="L578" s="4"/>
      <c r="M578" s="4"/>
    </row>
    <row r="579">
      <c r="L579" s="4"/>
      <c r="M579" s="4"/>
    </row>
    <row r="580">
      <c r="L580" s="4"/>
      <c r="M580" s="4"/>
    </row>
    <row r="581">
      <c r="L581" s="4"/>
      <c r="M581" s="4"/>
    </row>
    <row r="582">
      <c r="L582" s="4"/>
      <c r="M582" s="4"/>
    </row>
    <row r="583">
      <c r="L583" s="4"/>
      <c r="M583" s="4"/>
    </row>
    <row r="584">
      <c r="L584" s="4"/>
      <c r="M584" s="4"/>
    </row>
    <row r="585">
      <c r="L585" s="4"/>
      <c r="M585" s="4"/>
    </row>
    <row r="586">
      <c r="L586" s="4"/>
      <c r="M586" s="4"/>
    </row>
    <row r="587">
      <c r="L587" s="4"/>
      <c r="M587" s="4"/>
    </row>
    <row r="588">
      <c r="L588" s="4"/>
      <c r="M588" s="4"/>
    </row>
    <row r="589">
      <c r="L589" s="4"/>
      <c r="M589" s="4"/>
    </row>
    <row r="590">
      <c r="L590" s="4"/>
      <c r="M590" s="4"/>
    </row>
    <row r="591">
      <c r="L591" s="4"/>
      <c r="M591" s="4"/>
    </row>
    <row r="592">
      <c r="L592" s="4"/>
      <c r="M592" s="4"/>
    </row>
    <row r="593">
      <c r="L593" s="4"/>
      <c r="M593" s="4"/>
    </row>
    <row r="594">
      <c r="L594" s="4"/>
      <c r="M594" s="4"/>
    </row>
    <row r="595">
      <c r="L595" s="4"/>
      <c r="M595" s="4"/>
    </row>
    <row r="596">
      <c r="L596" s="4"/>
      <c r="M596" s="4"/>
    </row>
    <row r="597">
      <c r="L597" s="4"/>
      <c r="M597" s="4"/>
    </row>
    <row r="598">
      <c r="L598" s="4"/>
      <c r="M598" s="4"/>
    </row>
    <row r="599">
      <c r="L599" s="4"/>
      <c r="M599" s="4"/>
    </row>
    <row r="600">
      <c r="L600" s="4"/>
      <c r="M600" s="4"/>
    </row>
    <row r="601">
      <c r="L601" s="4"/>
      <c r="M601" s="4"/>
    </row>
    <row r="602">
      <c r="L602" s="4"/>
      <c r="M602" s="4"/>
    </row>
    <row r="603">
      <c r="L603" s="4"/>
      <c r="M603" s="4"/>
    </row>
    <row r="604">
      <c r="L604" s="4"/>
      <c r="M604" s="4"/>
    </row>
    <row r="605">
      <c r="L605" s="4"/>
      <c r="M605" s="4"/>
    </row>
    <row r="606">
      <c r="L606" s="4"/>
      <c r="M606" s="4"/>
    </row>
    <row r="607">
      <c r="L607" s="4"/>
      <c r="M607" s="4"/>
    </row>
    <row r="608">
      <c r="L608" s="4"/>
      <c r="M608" s="4"/>
    </row>
    <row r="609">
      <c r="L609" s="4"/>
      <c r="M609" s="4"/>
    </row>
    <row r="610">
      <c r="L610" s="4"/>
      <c r="M610" s="4"/>
    </row>
    <row r="611">
      <c r="L611" s="4"/>
      <c r="M611" s="4"/>
    </row>
    <row r="612">
      <c r="L612" s="4"/>
      <c r="M612" s="4"/>
    </row>
    <row r="613">
      <c r="L613" s="4"/>
      <c r="M613" s="4"/>
    </row>
    <row r="614">
      <c r="L614" s="4"/>
      <c r="M614" s="4"/>
    </row>
    <row r="615">
      <c r="L615" s="4"/>
      <c r="M615" s="4"/>
    </row>
    <row r="616">
      <c r="L616" s="4"/>
      <c r="M616" s="4"/>
    </row>
    <row r="617">
      <c r="L617" s="4"/>
      <c r="M617" s="4"/>
    </row>
    <row r="618">
      <c r="L618" s="4"/>
      <c r="M618" s="4"/>
    </row>
    <row r="619">
      <c r="L619" s="4"/>
      <c r="M619" s="4"/>
    </row>
    <row r="620">
      <c r="L620" s="4"/>
      <c r="M620" s="4"/>
    </row>
    <row r="621">
      <c r="L621" s="4"/>
      <c r="M621" s="4"/>
    </row>
    <row r="622">
      <c r="L622" s="4"/>
      <c r="M622" s="4"/>
    </row>
    <row r="623">
      <c r="L623" s="4"/>
      <c r="M623" s="4"/>
    </row>
    <row r="624">
      <c r="L624" s="4"/>
      <c r="M624" s="4"/>
    </row>
    <row r="625">
      <c r="L625" s="4"/>
      <c r="M625" s="4"/>
    </row>
    <row r="626">
      <c r="L626" s="4"/>
      <c r="M626" s="4"/>
    </row>
    <row r="627">
      <c r="L627" s="4"/>
      <c r="M627" s="4"/>
    </row>
    <row r="628">
      <c r="L628" s="4"/>
      <c r="M628" s="4"/>
    </row>
    <row r="629">
      <c r="L629" s="4"/>
      <c r="M629" s="4"/>
    </row>
    <row r="630">
      <c r="L630" s="4"/>
      <c r="M630" s="4"/>
    </row>
    <row r="631">
      <c r="L631" s="4"/>
      <c r="M631" s="4"/>
    </row>
    <row r="632">
      <c r="L632" s="4"/>
      <c r="M632" s="4"/>
    </row>
    <row r="633">
      <c r="L633" s="4"/>
      <c r="M633" s="4"/>
    </row>
    <row r="634">
      <c r="L634" s="4"/>
      <c r="M634" s="4"/>
    </row>
    <row r="635">
      <c r="L635" s="4"/>
      <c r="M635" s="4"/>
    </row>
    <row r="636">
      <c r="L636" s="4"/>
      <c r="M636" s="4"/>
    </row>
    <row r="637">
      <c r="L637" s="4"/>
      <c r="M637" s="4"/>
    </row>
    <row r="638">
      <c r="L638" s="4"/>
      <c r="M638" s="4"/>
    </row>
    <row r="639">
      <c r="L639" s="4"/>
      <c r="M639" s="4"/>
    </row>
    <row r="640">
      <c r="L640" s="4"/>
      <c r="M640" s="4"/>
    </row>
    <row r="641">
      <c r="L641" s="4"/>
      <c r="M641" s="4"/>
    </row>
    <row r="642">
      <c r="L642" s="4"/>
      <c r="M642" s="4"/>
    </row>
    <row r="643">
      <c r="L643" s="4"/>
      <c r="M643" s="4"/>
    </row>
    <row r="644">
      <c r="L644" s="4"/>
      <c r="M644" s="4"/>
    </row>
    <row r="645">
      <c r="L645" s="4"/>
      <c r="M645" s="4"/>
    </row>
    <row r="646">
      <c r="L646" s="4"/>
      <c r="M646" s="4"/>
    </row>
    <row r="647">
      <c r="L647" s="4"/>
      <c r="M647" s="4"/>
    </row>
    <row r="648">
      <c r="L648" s="4"/>
      <c r="M648" s="4"/>
    </row>
    <row r="649">
      <c r="L649" s="4"/>
      <c r="M649" s="4"/>
    </row>
    <row r="650">
      <c r="L650" s="4"/>
      <c r="M650" s="4"/>
    </row>
    <row r="651">
      <c r="L651" s="4"/>
      <c r="M651" s="4"/>
    </row>
    <row r="652">
      <c r="L652" s="4"/>
      <c r="M652" s="4"/>
    </row>
    <row r="653">
      <c r="L653" s="4"/>
      <c r="M653" s="4"/>
    </row>
    <row r="654">
      <c r="L654" s="4"/>
      <c r="M654" s="4"/>
    </row>
    <row r="655">
      <c r="L655" s="4"/>
      <c r="M655" s="4"/>
    </row>
    <row r="656">
      <c r="L656" s="4"/>
      <c r="M656" s="4"/>
    </row>
    <row r="657">
      <c r="L657" s="4"/>
      <c r="M657" s="4"/>
    </row>
    <row r="658">
      <c r="L658" s="4"/>
      <c r="M658" s="4"/>
    </row>
    <row r="659">
      <c r="L659" s="4"/>
      <c r="M659" s="4"/>
    </row>
    <row r="660">
      <c r="L660" s="4"/>
      <c r="M660" s="4"/>
    </row>
    <row r="661">
      <c r="L661" s="4"/>
      <c r="M661" s="4"/>
    </row>
    <row r="662">
      <c r="L662" s="4"/>
      <c r="M662" s="4"/>
    </row>
    <row r="663">
      <c r="L663" s="4"/>
      <c r="M663" s="4"/>
    </row>
    <row r="664">
      <c r="L664" s="4"/>
      <c r="M664" s="4"/>
    </row>
    <row r="665">
      <c r="L665" s="4"/>
      <c r="M665" s="4"/>
    </row>
    <row r="666">
      <c r="L666" s="4"/>
      <c r="M666" s="4"/>
    </row>
    <row r="667">
      <c r="L667" s="4"/>
      <c r="M667" s="4"/>
    </row>
    <row r="668">
      <c r="L668" s="4"/>
      <c r="M668" s="4"/>
    </row>
    <row r="669">
      <c r="L669" s="4"/>
      <c r="M669" s="4"/>
    </row>
    <row r="670">
      <c r="L670" s="4"/>
      <c r="M670" s="4"/>
    </row>
    <row r="671">
      <c r="L671" s="4"/>
      <c r="M671" s="4"/>
    </row>
    <row r="672">
      <c r="L672" s="4"/>
      <c r="M672" s="4"/>
    </row>
    <row r="673">
      <c r="L673" s="4"/>
      <c r="M673" s="4"/>
    </row>
    <row r="674">
      <c r="L674" s="4"/>
      <c r="M674" s="4"/>
    </row>
    <row r="675">
      <c r="L675" s="4"/>
      <c r="M675" s="4"/>
    </row>
    <row r="676">
      <c r="L676" s="4"/>
      <c r="M676" s="4"/>
    </row>
    <row r="677">
      <c r="L677" s="4"/>
      <c r="M677" s="4"/>
    </row>
    <row r="678">
      <c r="L678" s="4"/>
      <c r="M678" s="4"/>
    </row>
    <row r="679">
      <c r="L679" s="4"/>
      <c r="M679" s="4"/>
    </row>
    <row r="680">
      <c r="L680" s="4"/>
      <c r="M680" s="4"/>
    </row>
    <row r="681">
      <c r="L681" s="4"/>
      <c r="M681" s="4"/>
    </row>
    <row r="682">
      <c r="L682" s="4"/>
      <c r="M682" s="4"/>
    </row>
    <row r="683">
      <c r="L683" s="4"/>
      <c r="M683" s="4"/>
    </row>
    <row r="684">
      <c r="L684" s="4"/>
      <c r="M684" s="4"/>
    </row>
    <row r="685">
      <c r="L685" s="4"/>
      <c r="M685" s="4"/>
    </row>
    <row r="686">
      <c r="L686" s="4"/>
      <c r="M686" s="4"/>
    </row>
    <row r="687">
      <c r="L687" s="4"/>
      <c r="M687" s="4"/>
    </row>
    <row r="688">
      <c r="L688" s="4"/>
      <c r="M688" s="4"/>
    </row>
    <row r="689">
      <c r="L689" s="4"/>
      <c r="M689" s="4"/>
    </row>
    <row r="690">
      <c r="L690" s="4"/>
      <c r="M690" s="4"/>
    </row>
    <row r="691">
      <c r="L691" s="4"/>
      <c r="M691" s="4"/>
    </row>
    <row r="692">
      <c r="L692" s="4"/>
      <c r="M692" s="4"/>
    </row>
    <row r="693">
      <c r="L693" s="4"/>
      <c r="M693" s="4"/>
    </row>
    <row r="694">
      <c r="L694" s="4"/>
      <c r="M694" s="4"/>
    </row>
    <row r="695">
      <c r="L695" s="4"/>
      <c r="M695" s="4"/>
    </row>
    <row r="696">
      <c r="L696" s="4"/>
      <c r="M696" s="4"/>
    </row>
    <row r="697">
      <c r="L697" s="4"/>
      <c r="M697" s="4"/>
    </row>
    <row r="698">
      <c r="L698" s="4"/>
      <c r="M698" s="4"/>
    </row>
    <row r="699">
      <c r="L699" s="4"/>
      <c r="M699" s="4"/>
    </row>
    <row r="700">
      <c r="L700" s="4"/>
      <c r="M700" s="4"/>
    </row>
    <row r="701">
      <c r="L701" s="4"/>
      <c r="M701" s="4"/>
    </row>
    <row r="702">
      <c r="L702" s="4"/>
      <c r="M702" s="4"/>
    </row>
    <row r="703">
      <c r="L703" s="4"/>
      <c r="M703" s="4"/>
    </row>
    <row r="704">
      <c r="L704" s="4"/>
      <c r="M704" s="4"/>
    </row>
    <row r="705">
      <c r="L705" s="4"/>
      <c r="M705" s="4"/>
    </row>
    <row r="706">
      <c r="L706" s="4"/>
      <c r="M706" s="4"/>
    </row>
    <row r="707">
      <c r="L707" s="4"/>
      <c r="M707" s="4"/>
    </row>
    <row r="708">
      <c r="L708" s="4"/>
      <c r="M708" s="4"/>
    </row>
    <row r="709">
      <c r="L709" s="4"/>
      <c r="M709" s="4"/>
    </row>
    <row r="710">
      <c r="L710" s="4"/>
      <c r="M710" s="4"/>
    </row>
    <row r="711">
      <c r="L711" s="4"/>
      <c r="M711" s="4"/>
    </row>
    <row r="712">
      <c r="L712" s="4"/>
      <c r="M712" s="4"/>
    </row>
    <row r="713">
      <c r="L713" s="4"/>
      <c r="M713" s="4"/>
    </row>
    <row r="714">
      <c r="L714" s="4"/>
      <c r="M714" s="4"/>
    </row>
    <row r="715">
      <c r="L715" s="4"/>
      <c r="M715" s="4"/>
    </row>
    <row r="716">
      <c r="L716" s="4"/>
      <c r="M716" s="4"/>
    </row>
    <row r="717">
      <c r="L717" s="4"/>
      <c r="M717" s="4"/>
    </row>
    <row r="718">
      <c r="L718" s="4"/>
      <c r="M718" s="4"/>
    </row>
    <row r="719">
      <c r="L719" s="4"/>
      <c r="M719" s="4"/>
    </row>
    <row r="720">
      <c r="L720" s="4"/>
      <c r="M720" s="4"/>
    </row>
    <row r="721">
      <c r="L721" s="4"/>
      <c r="M721" s="4"/>
    </row>
    <row r="722">
      <c r="L722" s="4"/>
      <c r="M722" s="4"/>
    </row>
    <row r="723">
      <c r="L723" s="4"/>
      <c r="M723" s="4"/>
    </row>
    <row r="724">
      <c r="L724" s="4"/>
      <c r="M724" s="4"/>
    </row>
    <row r="725">
      <c r="L725" s="4"/>
      <c r="M725" s="4"/>
    </row>
    <row r="726">
      <c r="L726" s="4"/>
      <c r="M726" s="4"/>
    </row>
    <row r="727">
      <c r="L727" s="4"/>
      <c r="M727" s="4"/>
    </row>
    <row r="728">
      <c r="L728" s="4"/>
      <c r="M728" s="4"/>
    </row>
    <row r="729">
      <c r="L729" s="4"/>
      <c r="M729" s="4"/>
    </row>
    <row r="730">
      <c r="L730" s="4"/>
      <c r="M730" s="4"/>
    </row>
    <row r="731">
      <c r="L731" s="4"/>
      <c r="M731" s="4"/>
    </row>
    <row r="732">
      <c r="L732" s="4"/>
      <c r="M732" s="4"/>
    </row>
    <row r="733">
      <c r="L733" s="4"/>
      <c r="M733" s="4"/>
    </row>
    <row r="734">
      <c r="L734" s="4"/>
      <c r="M734" s="4"/>
    </row>
    <row r="735">
      <c r="L735" s="4"/>
      <c r="M735" s="4"/>
    </row>
    <row r="736">
      <c r="L736" s="4"/>
      <c r="M736" s="4"/>
    </row>
    <row r="737">
      <c r="L737" s="4"/>
      <c r="M737" s="4"/>
    </row>
    <row r="738">
      <c r="L738" s="4"/>
      <c r="M738" s="4"/>
    </row>
    <row r="739">
      <c r="L739" s="4"/>
      <c r="M739" s="4"/>
    </row>
    <row r="740">
      <c r="L740" s="4"/>
      <c r="M740" s="4"/>
    </row>
    <row r="741">
      <c r="L741" s="4"/>
      <c r="M741" s="4"/>
    </row>
    <row r="742">
      <c r="L742" s="4"/>
      <c r="M742" s="4"/>
    </row>
    <row r="743">
      <c r="L743" s="4"/>
      <c r="M743" s="4"/>
    </row>
    <row r="744">
      <c r="L744" s="4"/>
      <c r="M744" s="4"/>
    </row>
    <row r="745">
      <c r="L745" s="4"/>
      <c r="M745" s="4"/>
    </row>
    <row r="746">
      <c r="L746" s="4"/>
      <c r="M746" s="4"/>
    </row>
    <row r="747">
      <c r="L747" s="4"/>
      <c r="M747" s="4"/>
    </row>
    <row r="748">
      <c r="L748" s="4"/>
      <c r="M748" s="4"/>
    </row>
    <row r="749">
      <c r="L749" s="4"/>
      <c r="M749" s="4"/>
    </row>
    <row r="750">
      <c r="L750" s="4"/>
      <c r="M750" s="4"/>
    </row>
    <row r="751">
      <c r="L751" s="4"/>
      <c r="M751" s="4"/>
    </row>
    <row r="752">
      <c r="L752" s="4"/>
      <c r="M752" s="4"/>
    </row>
    <row r="753">
      <c r="L753" s="4"/>
      <c r="M753" s="4"/>
    </row>
    <row r="754">
      <c r="L754" s="4"/>
      <c r="M754" s="4"/>
    </row>
    <row r="755">
      <c r="L755" s="4"/>
      <c r="M755" s="4"/>
    </row>
    <row r="756">
      <c r="L756" s="4"/>
      <c r="M756" s="4"/>
    </row>
    <row r="757">
      <c r="L757" s="4"/>
      <c r="M757" s="4"/>
    </row>
    <row r="758">
      <c r="L758" s="4"/>
      <c r="M758" s="4"/>
    </row>
    <row r="759">
      <c r="L759" s="4"/>
      <c r="M759" s="4"/>
    </row>
    <row r="760">
      <c r="L760" s="4"/>
      <c r="M760" s="4"/>
    </row>
    <row r="761">
      <c r="L761" s="4"/>
      <c r="M761" s="4"/>
    </row>
    <row r="762">
      <c r="L762" s="4"/>
      <c r="M762" s="4"/>
    </row>
    <row r="763">
      <c r="L763" s="4"/>
      <c r="M763" s="4"/>
    </row>
    <row r="764">
      <c r="L764" s="4"/>
      <c r="M764" s="4"/>
    </row>
    <row r="765">
      <c r="L765" s="4"/>
      <c r="M765" s="4"/>
    </row>
    <row r="766">
      <c r="L766" s="4"/>
      <c r="M766" s="4"/>
    </row>
    <row r="767">
      <c r="L767" s="4"/>
      <c r="M767" s="4"/>
    </row>
    <row r="768">
      <c r="L768" s="4"/>
      <c r="M768" s="4"/>
    </row>
    <row r="769">
      <c r="L769" s="4"/>
      <c r="M769" s="4"/>
    </row>
    <row r="770">
      <c r="L770" s="4"/>
      <c r="M770" s="4"/>
    </row>
    <row r="771">
      <c r="L771" s="4"/>
      <c r="M771" s="4"/>
    </row>
    <row r="772">
      <c r="L772" s="4"/>
      <c r="M772" s="4"/>
    </row>
    <row r="773">
      <c r="L773" s="4"/>
      <c r="M773" s="4"/>
    </row>
    <row r="774">
      <c r="L774" s="4"/>
      <c r="M774" s="4"/>
    </row>
    <row r="775">
      <c r="L775" s="4"/>
      <c r="M775" s="4"/>
    </row>
    <row r="776">
      <c r="L776" s="4"/>
      <c r="M776" s="4"/>
    </row>
    <row r="777">
      <c r="L777" s="4"/>
      <c r="M777" s="4"/>
    </row>
    <row r="778">
      <c r="L778" s="4"/>
      <c r="M778" s="4"/>
    </row>
    <row r="779">
      <c r="L779" s="4"/>
      <c r="M779" s="4"/>
    </row>
    <row r="780">
      <c r="L780" s="4"/>
      <c r="M780" s="4"/>
    </row>
    <row r="781">
      <c r="L781" s="4"/>
      <c r="M781" s="4"/>
    </row>
    <row r="782">
      <c r="L782" s="4"/>
      <c r="M782" s="4"/>
    </row>
    <row r="783">
      <c r="L783" s="4"/>
      <c r="M783" s="4"/>
    </row>
    <row r="784">
      <c r="L784" s="4"/>
      <c r="M784" s="4"/>
    </row>
    <row r="785">
      <c r="L785" s="4"/>
      <c r="M785" s="4"/>
    </row>
    <row r="786">
      <c r="L786" s="4"/>
      <c r="M786" s="4"/>
    </row>
    <row r="787">
      <c r="L787" s="4"/>
      <c r="M787" s="4"/>
    </row>
    <row r="788">
      <c r="L788" s="4"/>
      <c r="M788" s="4"/>
    </row>
    <row r="789">
      <c r="L789" s="4"/>
      <c r="M789" s="4"/>
    </row>
    <row r="790">
      <c r="L790" s="4"/>
      <c r="M790" s="4"/>
    </row>
    <row r="791">
      <c r="L791" s="4"/>
      <c r="M791" s="4"/>
    </row>
    <row r="792">
      <c r="L792" s="4"/>
      <c r="M792" s="4"/>
    </row>
    <row r="793">
      <c r="L793" s="4"/>
      <c r="M793" s="4"/>
    </row>
    <row r="794">
      <c r="L794" s="4"/>
      <c r="M794" s="4"/>
    </row>
    <row r="795">
      <c r="L795" s="4"/>
      <c r="M795" s="4"/>
    </row>
    <row r="796">
      <c r="L796" s="4"/>
      <c r="M796" s="4"/>
    </row>
    <row r="797">
      <c r="L797" s="4"/>
      <c r="M797" s="4"/>
    </row>
    <row r="798">
      <c r="L798" s="4"/>
      <c r="M798" s="4"/>
    </row>
    <row r="799">
      <c r="L799" s="4"/>
      <c r="M799" s="4"/>
    </row>
    <row r="800">
      <c r="L800" s="4"/>
      <c r="M800" s="4"/>
    </row>
    <row r="801">
      <c r="L801" s="4"/>
      <c r="M801" s="4"/>
    </row>
    <row r="802">
      <c r="L802" s="4"/>
      <c r="M802" s="4"/>
    </row>
    <row r="803">
      <c r="L803" s="4"/>
      <c r="M803" s="4"/>
    </row>
    <row r="804">
      <c r="L804" s="4"/>
      <c r="M804" s="4"/>
    </row>
    <row r="805">
      <c r="L805" s="4"/>
      <c r="M805" s="4"/>
    </row>
    <row r="806">
      <c r="L806" s="4"/>
      <c r="M806" s="4"/>
    </row>
    <row r="807">
      <c r="L807" s="4"/>
      <c r="M807" s="4"/>
    </row>
    <row r="808">
      <c r="L808" s="4"/>
      <c r="M808" s="4"/>
    </row>
    <row r="809">
      <c r="L809" s="4"/>
      <c r="M809" s="4"/>
    </row>
    <row r="810">
      <c r="L810" s="4"/>
      <c r="M810" s="4"/>
    </row>
    <row r="811">
      <c r="L811" s="4"/>
      <c r="M811" s="4"/>
    </row>
    <row r="812">
      <c r="L812" s="4"/>
      <c r="M812" s="4"/>
    </row>
    <row r="813">
      <c r="L813" s="4"/>
      <c r="M813" s="4"/>
    </row>
    <row r="814">
      <c r="L814" s="4"/>
      <c r="M814" s="4"/>
    </row>
    <row r="815">
      <c r="L815" s="4"/>
      <c r="M815" s="4"/>
    </row>
    <row r="816">
      <c r="L816" s="4"/>
      <c r="M816" s="4"/>
    </row>
    <row r="817">
      <c r="L817" s="4"/>
      <c r="M817" s="4"/>
    </row>
    <row r="818">
      <c r="L818" s="4"/>
      <c r="M818" s="4"/>
    </row>
    <row r="819">
      <c r="L819" s="4"/>
      <c r="M819" s="4"/>
    </row>
    <row r="820">
      <c r="L820" s="4"/>
      <c r="M820" s="4"/>
    </row>
    <row r="821">
      <c r="L821" s="4"/>
      <c r="M821" s="4"/>
    </row>
    <row r="822">
      <c r="L822" s="4"/>
      <c r="M822" s="4"/>
    </row>
    <row r="823">
      <c r="L823" s="4"/>
      <c r="M823" s="4"/>
    </row>
    <row r="824">
      <c r="L824" s="4"/>
      <c r="M824" s="4"/>
    </row>
    <row r="825">
      <c r="L825" s="4"/>
      <c r="M825" s="4"/>
    </row>
    <row r="826">
      <c r="L826" s="4"/>
      <c r="M826" s="4"/>
    </row>
    <row r="827">
      <c r="L827" s="4"/>
      <c r="M827" s="4"/>
    </row>
    <row r="828">
      <c r="L828" s="4"/>
      <c r="M828" s="4"/>
    </row>
    <row r="829">
      <c r="L829" s="4"/>
      <c r="M829" s="4"/>
    </row>
    <row r="830">
      <c r="L830" s="4"/>
      <c r="M830" s="4"/>
    </row>
    <row r="831">
      <c r="L831" s="4"/>
      <c r="M831" s="4"/>
    </row>
    <row r="832">
      <c r="L832" s="4"/>
      <c r="M832" s="4"/>
    </row>
    <row r="833">
      <c r="L833" s="4"/>
      <c r="M833" s="4"/>
    </row>
    <row r="834">
      <c r="L834" s="4"/>
      <c r="M834" s="4"/>
    </row>
    <row r="835">
      <c r="L835" s="4"/>
      <c r="M835" s="4"/>
    </row>
    <row r="836">
      <c r="L836" s="4"/>
      <c r="M836" s="4"/>
    </row>
    <row r="837">
      <c r="L837" s="4"/>
      <c r="M837" s="4"/>
    </row>
    <row r="838">
      <c r="L838" s="4"/>
      <c r="M838" s="4"/>
    </row>
    <row r="839">
      <c r="L839" s="4"/>
      <c r="M839" s="4"/>
    </row>
    <row r="840">
      <c r="L840" s="4"/>
      <c r="M840" s="4"/>
    </row>
    <row r="841">
      <c r="L841" s="4"/>
      <c r="M841" s="4"/>
    </row>
    <row r="842">
      <c r="L842" s="4"/>
      <c r="M842" s="4"/>
    </row>
    <row r="843">
      <c r="L843" s="4"/>
      <c r="M843" s="4"/>
    </row>
    <row r="844">
      <c r="L844" s="4"/>
      <c r="M844" s="4"/>
    </row>
    <row r="845">
      <c r="L845" s="4"/>
      <c r="M845" s="4"/>
    </row>
    <row r="846">
      <c r="L846" s="4"/>
      <c r="M846" s="4"/>
    </row>
    <row r="847">
      <c r="L847" s="4"/>
      <c r="M847" s="4"/>
    </row>
    <row r="848">
      <c r="L848" s="4"/>
      <c r="M848" s="4"/>
    </row>
    <row r="849">
      <c r="L849" s="4"/>
      <c r="M849" s="4"/>
    </row>
    <row r="850">
      <c r="L850" s="4"/>
      <c r="M850" s="4"/>
    </row>
    <row r="851">
      <c r="L851" s="4"/>
      <c r="M851" s="4"/>
    </row>
    <row r="852">
      <c r="L852" s="4"/>
      <c r="M852" s="4"/>
    </row>
    <row r="853">
      <c r="L853" s="4"/>
      <c r="M853" s="4"/>
    </row>
    <row r="854">
      <c r="L854" s="4"/>
      <c r="M854" s="4"/>
    </row>
    <row r="855">
      <c r="L855" s="4"/>
      <c r="M855" s="4"/>
    </row>
    <row r="856">
      <c r="L856" s="4"/>
      <c r="M856" s="4"/>
    </row>
    <row r="857">
      <c r="L857" s="4"/>
      <c r="M857" s="4"/>
    </row>
    <row r="858">
      <c r="L858" s="4"/>
      <c r="M858" s="4"/>
    </row>
    <row r="859">
      <c r="L859" s="4"/>
      <c r="M859" s="4"/>
    </row>
    <row r="860">
      <c r="L860" s="4"/>
      <c r="M860" s="4"/>
    </row>
    <row r="861">
      <c r="L861" s="4"/>
      <c r="M861" s="4"/>
    </row>
    <row r="862">
      <c r="L862" s="4"/>
      <c r="M862" s="4"/>
    </row>
    <row r="863">
      <c r="L863" s="4"/>
      <c r="M863" s="4"/>
    </row>
    <row r="864">
      <c r="L864" s="4"/>
      <c r="M864" s="4"/>
    </row>
    <row r="865">
      <c r="L865" s="4"/>
      <c r="M865" s="4"/>
    </row>
    <row r="866">
      <c r="L866" s="4"/>
      <c r="M866" s="4"/>
    </row>
    <row r="867">
      <c r="L867" s="4"/>
      <c r="M867" s="4"/>
    </row>
    <row r="868">
      <c r="L868" s="4"/>
      <c r="M868" s="4"/>
    </row>
    <row r="869">
      <c r="L869" s="4"/>
      <c r="M869" s="4"/>
    </row>
    <row r="870">
      <c r="L870" s="4"/>
      <c r="M870" s="4"/>
    </row>
    <row r="871">
      <c r="L871" s="4"/>
      <c r="M871" s="4"/>
    </row>
    <row r="872">
      <c r="L872" s="4"/>
      <c r="M872" s="4"/>
    </row>
    <row r="873">
      <c r="L873" s="4"/>
      <c r="M873" s="4"/>
    </row>
    <row r="874">
      <c r="L874" s="4"/>
      <c r="M874" s="4"/>
    </row>
    <row r="875">
      <c r="L875" s="4"/>
      <c r="M875" s="4"/>
    </row>
    <row r="876">
      <c r="L876" s="4"/>
      <c r="M876" s="4"/>
    </row>
    <row r="877">
      <c r="L877" s="4"/>
      <c r="M877" s="4"/>
    </row>
    <row r="878">
      <c r="L878" s="4"/>
      <c r="M878" s="4"/>
    </row>
    <row r="879">
      <c r="L879" s="4"/>
      <c r="M879" s="4"/>
    </row>
    <row r="880">
      <c r="L880" s="4"/>
      <c r="M880" s="4"/>
    </row>
    <row r="881">
      <c r="L881" s="4"/>
      <c r="M881" s="4"/>
    </row>
    <row r="882">
      <c r="L882" s="4"/>
      <c r="M882" s="4"/>
    </row>
    <row r="883">
      <c r="L883" s="4"/>
      <c r="M883" s="4"/>
    </row>
    <row r="884">
      <c r="L884" s="4"/>
      <c r="M884" s="4"/>
    </row>
    <row r="885">
      <c r="L885" s="4"/>
      <c r="M885" s="4"/>
    </row>
    <row r="886">
      <c r="L886" s="4"/>
      <c r="M886" s="4"/>
    </row>
    <row r="887">
      <c r="L887" s="4"/>
      <c r="M887" s="4"/>
    </row>
    <row r="888">
      <c r="L888" s="4"/>
      <c r="M888" s="4"/>
    </row>
    <row r="889">
      <c r="L889" s="4"/>
      <c r="M889" s="4"/>
    </row>
    <row r="890">
      <c r="L890" s="4"/>
      <c r="M890" s="4"/>
    </row>
    <row r="891">
      <c r="L891" s="4"/>
      <c r="M891" s="4"/>
    </row>
    <row r="892">
      <c r="L892" s="4"/>
      <c r="M892" s="4"/>
    </row>
    <row r="893">
      <c r="L893" s="4"/>
      <c r="M893" s="4"/>
    </row>
    <row r="894">
      <c r="L894" s="4"/>
      <c r="M894" s="4"/>
    </row>
    <row r="895">
      <c r="L895" s="4"/>
      <c r="M895" s="4"/>
    </row>
    <row r="896">
      <c r="L896" s="4"/>
      <c r="M896" s="4"/>
    </row>
    <row r="897">
      <c r="L897" s="4"/>
      <c r="M897" s="4"/>
    </row>
    <row r="898">
      <c r="L898" s="4"/>
      <c r="M898" s="4"/>
    </row>
    <row r="899">
      <c r="L899" s="4"/>
      <c r="M899" s="4"/>
    </row>
    <row r="900">
      <c r="L900" s="4"/>
      <c r="M900" s="4"/>
    </row>
    <row r="901">
      <c r="L901" s="4"/>
      <c r="M901" s="4"/>
    </row>
    <row r="902">
      <c r="L902" s="4"/>
      <c r="M902" s="4"/>
    </row>
    <row r="903">
      <c r="L903" s="4"/>
      <c r="M903" s="4"/>
    </row>
    <row r="904">
      <c r="L904" s="4"/>
      <c r="M904" s="4"/>
    </row>
    <row r="905">
      <c r="L905" s="4"/>
      <c r="M905" s="4"/>
    </row>
    <row r="906">
      <c r="L906" s="4"/>
      <c r="M906" s="4"/>
    </row>
    <row r="907">
      <c r="L907" s="4"/>
      <c r="M907" s="4"/>
    </row>
    <row r="908">
      <c r="L908" s="4"/>
      <c r="M908" s="4"/>
    </row>
    <row r="909">
      <c r="L909" s="4"/>
      <c r="M909" s="4"/>
    </row>
    <row r="910">
      <c r="L910" s="4"/>
      <c r="M910" s="4"/>
    </row>
    <row r="911">
      <c r="L911" s="4"/>
      <c r="M911" s="4"/>
    </row>
    <row r="912">
      <c r="L912" s="4"/>
      <c r="M912" s="4"/>
    </row>
    <row r="913">
      <c r="L913" s="4"/>
      <c r="M913" s="4"/>
    </row>
    <row r="914">
      <c r="L914" s="4"/>
      <c r="M914" s="4"/>
    </row>
    <row r="915">
      <c r="L915" s="4"/>
      <c r="M915" s="4"/>
    </row>
    <row r="916">
      <c r="L916" s="4"/>
      <c r="M916" s="4"/>
    </row>
    <row r="917">
      <c r="L917" s="4"/>
      <c r="M917" s="4"/>
    </row>
    <row r="918">
      <c r="L918" s="4"/>
      <c r="M918" s="4"/>
    </row>
    <row r="919">
      <c r="L919" s="4"/>
      <c r="M919" s="4"/>
    </row>
    <row r="920">
      <c r="L920" s="4"/>
      <c r="M920" s="4"/>
    </row>
    <row r="921">
      <c r="L921" s="4"/>
      <c r="M921" s="4"/>
    </row>
    <row r="922">
      <c r="L922" s="4"/>
      <c r="M922" s="4"/>
    </row>
    <row r="923">
      <c r="L923" s="4"/>
      <c r="M923" s="4"/>
    </row>
    <row r="924">
      <c r="L924" s="4"/>
      <c r="M924" s="4"/>
    </row>
    <row r="925">
      <c r="L925" s="4"/>
      <c r="M925" s="4"/>
    </row>
    <row r="926">
      <c r="L926" s="4"/>
      <c r="M926" s="4"/>
    </row>
    <row r="927">
      <c r="L927" s="4"/>
      <c r="M927" s="4"/>
    </row>
    <row r="928">
      <c r="L928" s="4"/>
      <c r="M928" s="4"/>
    </row>
    <row r="929">
      <c r="L929" s="4"/>
      <c r="M929" s="4"/>
    </row>
    <row r="930">
      <c r="L930" s="4"/>
      <c r="M930" s="4"/>
    </row>
    <row r="931">
      <c r="L931" s="4"/>
      <c r="M931" s="4"/>
    </row>
    <row r="932">
      <c r="L932" s="4"/>
      <c r="M932" s="4"/>
    </row>
    <row r="933">
      <c r="L933" s="4"/>
      <c r="M933" s="4"/>
    </row>
    <row r="934">
      <c r="L934" s="4"/>
      <c r="M934" s="4"/>
    </row>
    <row r="935">
      <c r="L935" s="4"/>
      <c r="M935" s="4"/>
    </row>
    <row r="936">
      <c r="L936" s="4"/>
      <c r="M936" s="4"/>
    </row>
    <row r="937">
      <c r="L937" s="4"/>
      <c r="M937" s="4"/>
    </row>
    <row r="938">
      <c r="L938" s="4"/>
      <c r="M938" s="4"/>
    </row>
    <row r="939">
      <c r="L939" s="4"/>
      <c r="M939" s="4"/>
    </row>
    <row r="940">
      <c r="L940" s="4"/>
      <c r="M940" s="4"/>
    </row>
    <row r="941">
      <c r="L941" s="4"/>
      <c r="M941" s="4"/>
    </row>
    <row r="942">
      <c r="L942" s="4"/>
      <c r="M942" s="4"/>
    </row>
    <row r="943">
      <c r="L943" s="4"/>
      <c r="M943" s="4"/>
    </row>
    <row r="944">
      <c r="L944" s="4"/>
      <c r="M944" s="4"/>
    </row>
    <row r="945">
      <c r="L945" s="4"/>
      <c r="M945" s="4"/>
    </row>
    <row r="946">
      <c r="L946" s="4"/>
      <c r="M946" s="4"/>
    </row>
    <row r="947">
      <c r="L947" s="4"/>
      <c r="M947" s="4"/>
    </row>
    <row r="948">
      <c r="L948" s="4"/>
      <c r="M948" s="4"/>
    </row>
    <row r="949">
      <c r="L949" s="4"/>
      <c r="M949" s="4"/>
    </row>
    <row r="950">
      <c r="L950" s="4"/>
      <c r="M950" s="4"/>
    </row>
    <row r="951">
      <c r="L951" s="4"/>
      <c r="M951" s="4"/>
    </row>
    <row r="952">
      <c r="L952" s="4"/>
      <c r="M952" s="4"/>
    </row>
    <row r="953">
      <c r="L953" s="4"/>
      <c r="M953" s="4"/>
    </row>
    <row r="954">
      <c r="L954" s="4"/>
      <c r="M954" s="4"/>
    </row>
    <row r="955">
      <c r="L955" s="4"/>
      <c r="M955" s="4"/>
    </row>
    <row r="956">
      <c r="L956" s="4"/>
      <c r="M956" s="4"/>
    </row>
    <row r="957">
      <c r="L957" s="4"/>
      <c r="M957" s="4"/>
    </row>
    <row r="958">
      <c r="L958" s="4"/>
      <c r="M958" s="4"/>
    </row>
    <row r="959">
      <c r="L959" s="4"/>
      <c r="M959" s="4"/>
    </row>
    <row r="960">
      <c r="L960" s="4"/>
      <c r="M960" s="4"/>
    </row>
    <row r="961">
      <c r="L961" s="4"/>
      <c r="M961" s="4"/>
    </row>
    <row r="962">
      <c r="L962" s="4"/>
      <c r="M962" s="4"/>
    </row>
    <row r="963">
      <c r="L963" s="4"/>
      <c r="M963" s="4"/>
    </row>
    <row r="964">
      <c r="L964" s="4"/>
      <c r="M964" s="4"/>
    </row>
    <row r="965">
      <c r="L965" s="4"/>
      <c r="M965" s="4"/>
    </row>
    <row r="966">
      <c r="L966" s="4"/>
      <c r="M966" s="4"/>
    </row>
    <row r="967">
      <c r="L967" s="4"/>
      <c r="M967" s="4"/>
    </row>
    <row r="968">
      <c r="L968" s="4"/>
      <c r="M968" s="4"/>
    </row>
    <row r="969">
      <c r="L969" s="4"/>
      <c r="M969" s="4"/>
    </row>
    <row r="970">
      <c r="L970" s="4"/>
      <c r="M970" s="4"/>
    </row>
    <row r="971">
      <c r="L971" s="4"/>
      <c r="M971" s="4"/>
    </row>
    <row r="972">
      <c r="L972" s="4"/>
      <c r="M972" s="4"/>
    </row>
    <row r="973">
      <c r="L973" s="4"/>
      <c r="M973" s="4"/>
    </row>
    <row r="974">
      <c r="L974" s="4"/>
      <c r="M974" s="4"/>
    </row>
    <row r="975">
      <c r="L975" s="4"/>
      <c r="M975" s="4"/>
    </row>
    <row r="976">
      <c r="L976" s="4"/>
      <c r="M976" s="4"/>
    </row>
    <row r="977">
      <c r="L977" s="4"/>
      <c r="M977" s="4"/>
    </row>
    <row r="978">
      <c r="L978" s="4"/>
      <c r="M978" s="4"/>
    </row>
    <row r="979">
      <c r="L979" s="4"/>
      <c r="M979" s="4"/>
    </row>
    <row r="980">
      <c r="L980" s="4"/>
      <c r="M980" s="4"/>
    </row>
    <row r="981">
      <c r="L981" s="4"/>
      <c r="M981" s="4"/>
    </row>
    <row r="982">
      <c r="L982" s="4"/>
      <c r="M982" s="4"/>
    </row>
    <row r="983">
      <c r="L983" s="4"/>
      <c r="M983" s="4"/>
    </row>
    <row r="984">
      <c r="L984" s="4"/>
      <c r="M984" s="4"/>
    </row>
    <row r="985">
      <c r="L985" s="4"/>
      <c r="M985" s="4"/>
    </row>
    <row r="986">
      <c r="L986" s="4"/>
      <c r="M986" s="4"/>
    </row>
    <row r="987">
      <c r="L987" s="4"/>
      <c r="M987" s="4"/>
    </row>
    <row r="988">
      <c r="L988" s="4"/>
      <c r="M988" s="4"/>
    </row>
    <row r="989">
      <c r="L989" s="4"/>
      <c r="M989" s="4"/>
    </row>
    <row r="990">
      <c r="L990" s="4"/>
      <c r="M990" s="4"/>
    </row>
    <row r="991">
      <c r="L991" s="4"/>
      <c r="M991" s="4"/>
    </row>
    <row r="992">
      <c r="L992" s="4"/>
      <c r="M992" s="4"/>
    </row>
    <row r="993">
      <c r="L993" s="4"/>
      <c r="M993" s="4"/>
    </row>
    <row r="994">
      <c r="L994" s="4"/>
      <c r="M994" s="4"/>
    </row>
    <row r="995">
      <c r="L995" s="4"/>
      <c r="M995" s="4"/>
    </row>
    <row r="996">
      <c r="L996" s="4"/>
      <c r="M996" s="4"/>
    </row>
    <row r="997">
      <c r="L997" s="4"/>
      <c r="M997" s="4"/>
    </row>
    <row r="998">
      <c r="L998" s="4"/>
      <c r="M998" s="4"/>
    </row>
    <row r="999">
      <c r="L999" s="4"/>
      <c r="M999" s="4"/>
    </row>
    <row r="1000">
      <c r="L1000" s="4"/>
      <c r="M1000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9619</v>
      </c>
      <c r="B1" s="58" t="s">
        <v>9620</v>
      </c>
      <c r="C1" s="58" t="s">
        <v>9621</v>
      </c>
      <c r="D1" s="58" t="s">
        <v>9622</v>
      </c>
      <c r="E1" s="58" t="s">
        <v>9623</v>
      </c>
      <c r="F1" s="58" t="s">
        <v>9624</v>
      </c>
      <c r="G1" s="58" t="s">
        <v>9620</v>
      </c>
      <c r="H1" s="58" t="s">
        <v>9621</v>
      </c>
      <c r="I1" s="58" t="s">
        <v>9622</v>
      </c>
      <c r="J1" s="58" t="s">
        <v>9623</v>
      </c>
      <c r="K1" s="59" t="s">
        <v>9625</v>
      </c>
      <c r="L1" s="59" t="s">
        <v>9657</v>
      </c>
      <c r="M1" s="59" t="s">
        <v>9627</v>
      </c>
      <c r="N1" s="59" t="s">
        <v>9628</v>
      </c>
      <c r="O1" s="59" t="s">
        <v>9629</v>
      </c>
      <c r="P1" s="59" t="s">
        <v>9630</v>
      </c>
      <c r="Q1" s="59" t="s">
        <v>9631</v>
      </c>
      <c r="R1" s="59" t="s">
        <v>9658</v>
      </c>
      <c r="S1" s="59" t="s">
        <v>9659</v>
      </c>
      <c r="T1" s="59" t="s">
        <v>9660</v>
      </c>
    </row>
    <row r="2">
      <c r="A2" s="60" t="str">
        <f>'기록입력_디스코드'!$A$5</f>
        <v>#VALUE!</v>
      </c>
      <c r="B2" s="60">
        <f t="array" ref="B2">IFERROR(IF(INDEX('전적확인'!$A$2:$R1000,MATCH('기록입력_디스코드'!$A$5,'전적확인'!$A$1:$A1000,0)-1,18)=0,INDEX('전적확인'!$A$2:$R1000,MATCH('기록입력_디스코드'!$A$5,'전적확인'!$A$1:$A1000,0)-1,10)*$P$2+$N$2,INDEX('전적확인'!$A$2:$R1000,MATCH('기록입력_디스코드'!$A$5,'전적확인'!$A$1:$A1000,0)-1,18)),0)</f>
        <v>0</v>
      </c>
      <c r="C2" s="60">
        <f t="shared" ref="C2:C5" si="1">1/(1+POWER(10,($G$6-B2)/$M$2))</f>
        <v>0.03593637514</v>
      </c>
      <c r="D2" s="60">
        <f t="shared" ref="D2:D5" si="2">ROUNDUP((B2+$L$2*(1-C2))+($L$2*(1-C2)*IFERROR(IF(Q2="Y",$S$2,0),0)),0)</f>
        <v>39</v>
      </c>
      <c r="E2" s="60">
        <f t="shared" ref="E2:E5" si="3">D2-B2</f>
        <v>39</v>
      </c>
      <c r="F2" s="61" t="str">
        <f>'기록입력_디스코드'!$A$8</f>
        <v>#VALUE!</v>
      </c>
      <c r="G2" s="61">
        <f t="array" ref="G2">IFERROR(IF(INDEX('전적확인'!$A$2:$R1000,MATCH('기록입력_디스코드'!$A$8,'전적확인'!$A$1:$A1000,0)-1,18)=0,INDEX('전적확인'!$A$2:$R1000,MATCH('기록입력_디스코드'!$A$8,'전적확인'!$A$1:$A1000,0)-1,10)*$P$2+$N$2,INDEX('전적확인'!$A$2:$R1000,MATCH('기록입력_디스코드'!$A$8,'전적확인'!$A$1:$A1000,0)-1,18)),0)</f>
        <v>0</v>
      </c>
      <c r="H2" s="61">
        <f t="shared" ref="H2:H5" si="4">1/(1+POWER(10,($B$6-G2)/$T$2))</f>
        <v>0.1772550304</v>
      </c>
      <c r="I2" s="61" t="str">
        <f t="shared" ref="I2:I5" si="5">ROUND(G2+($R$2*(0-H2)*0.9*$K$2),0)</f>
        <v>#VALUE!</v>
      </c>
      <c r="J2" s="61" t="str">
        <f t="shared" ref="J2:J5" si="6">I2-G2</f>
        <v>#VALUE!</v>
      </c>
      <c r="K2" s="62" t="str">
        <f>1-('기록입력_디스코드'!E8/'기록입력_디스코드'!E5/2)</f>
        <v>#VALUE!</v>
      </c>
      <c r="L2" s="63">
        <v>40.0</v>
      </c>
      <c r="M2" s="63">
        <v>700.0</v>
      </c>
      <c r="N2" s="63">
        <v>1000.0</v>
      </c>
      <c r="O2" s="63">
        <v>20.0</v>
      </c>
      <c r="P2" s="63">
        <v>20.0</v>
      </c>
      <c r="Q2" s="40" t="str">
        <f>IF(ISNUMBER(SEARCH(A2,'디스코드 연동'!$B$4)),"Y","N")</f>
        <v>N</v>
      </c>
      <c r="R2" s="63">
        <v>40.0</v>
      </c>
      <c r="S2" s="40">
        <v>0.2</v>
      </c>
      <c r="T2" s="40">
        <v>1500.0</v>
      </c>
    </row>
    <row r="3">
      <c r="A3" s="60" t="str">
        <f>'기록입력_디스코드'!$B$5</f>
        <v/>
      </c>
      <c r="B3" s="60">
        <f t="array" ref="B3">IFERROR(IF(INDEX('전적확인'!$A$2:$R1000,MATCH('기록입력_디스코드'!$B$5,'전적확인'!$A$1:$A1000,0)-1,18)=0,INDEX('전적확인'!$A$2:$R1000,MATCH('기록입력_디스코드'!$B$5,'전적확인'!$A$1:$A1000,0)-1,10)*$P$2+$N$2,INDEX('전적확인'!$A$2:$R1000,MATCH('기록입력_디스코드'!$B$5,'전적확인'!$A$1:$A1000,0)-1,18)),0)</f>
        <v>0</v>
      </c>
      <c r="C3" s="60">
        <f t="shared" si="1"/>
        <v>0.03593637514</v>
      </c>
      <c r="D3" s="60">
        <f t="shared" si="2"/>
        <v>47</v>
      </c>
      <c r="E3" s="60">
        <f t="shared" si="3"/>
        <v>47</v>
      </c>
      <c r="F3" s="61" t="str">
        <f>'기록입력_디스코드'!$B$8</f>
        <v/>
      </c>
      <c r="G3" s="61">
        <f t="array" ref="G3">IFERROR(IF(INDEX('전적확인'!$A$2:$R1000,MATCH('기록입력_디스코드'!$B$8,'전적확인'!$A$1:$A1000,0)-1,18)=0,INDEX('전적확인'!$A$2:$R1000,MATCH('기록입력_디스코드'!$B$8,'전적확인'!$A$1:$A1000,0)-1,10)*$P$2+$N$2,INDEX('전적확인'!$A$2:$R1000,MATCH('기록입력_디스코드'!$B$8,'전적확인'!$A$1:$A1000,0)-1,18)),0)</f>
        <v>0</v>
      </c>
      <c r="H3" s="61">
        <f t="shared" si="4"/>
        <v>0.1772550304</v>
      </c>
      <c r="I3" s="61" t="str">
        <f t="shared" si="5"/>
        <v>#VALUE!</v>
      </c>
      <c r="J3" s="61" t="str">
        <f t="shared" si="6"/>
        <v>#VALUE!</v>
      </c>
      <c r="K3" s="18"/>
      <c r="L3" s="4"/>
      <c r="M3" s="4"/>
      <c r="Q3" s="40" t="str">
        <f>IF(ISNUMBER(SEARCH(A3,'디스코드 연동'!$B$4)),"Y","N")</f>
        <v>Y</v>
      </c>
    </row>
    <row r="4">
      <c r="A4" s="60" t="str">
        <f>'기록입력_디스코드'!$C$5</f>
        <v/>
      </c>
      <c r="B4" s="60">
        <f t="array" ref="B4">IFERROR(IF(INDEX('전적확인'!$A$2:$R1000,MATCH('기록입력_디스코드'!$C$5,'전적확인'!$A$1:$A1000,0)-1,18)=0,INDEX('전적확인'!$A$2:$R1000,MATCH('기록입력_디스코드'!$C$5,'전적확인'!$A$1:$A1000,0)-1,10)*$P$2+$N$2,INDEX('전적확인'!$A$2:$R1000,MATCH('기록입력_디스코드'!$C$5,'전적확인'!$A$1:$A1000,0)-1,18)),0)</f>
        <v>0</v>
      </c>
      <c r="C4" s="60">
        <f t="shared" si="1"/>
        <v>0.03593637514</v>
      </c>
      <c r="D4" s="60">
        <f t="shared" si="2"/>
        <v>47</v>
      </c>
      <c r="E4" s="60">
        <f t="shared" si="3"/>
        <v>47</v>
      </c>
      <c r="F4" s="61" t="str">
        <f>'기록입력_디스코드'!$C$8</f>
        <v/>
      </c>
      <c r="G4" s="61">
        <f t="array" ref="G4">IFERROR(IF(INDEX('전적확인'!$A$2:$R1000,MATCH('기록입력_디스코드'!$C$8,'전적확인'!$A$1:$A1000,0)-1,18)=0,INDEX('전적확인'!$A$2:$R1000,MATCH('기록입력_디스코드'!$C$8,'전적확인'!$A$1:$A1000,0)-1,10)*$P$2+$N$2,INDEX('전적확인'!$A$2:$R1000,MATCH('기록입력_디스코드'!$C$8,'전적확인'!$A$1:$A1000,0)-1,18)),0)</f>
        <v>0</v>
      </c>
      <c r="H4" s="61">
        <f t="shared" si="4"/>
        <v>0.1772550304</v>
      </c>
      <c r="I4" s="61" t="str">
        <f t="shared" si="5"/>
        <v>#VALUE!</v>
      </c>
      <c r="J4" s="61" t="str">
        <f t="shared" si="6"/>
        <v>#VALUE!</v>
      </c>
      <c r="K4" s="18">
        <f>1-(1/5/2)</f>
        <v>0.9</v>
      </c>
      <c r="L4" s="18">
        <f>1-(2/5/2)</f>
        <v>0.8</v>
      </c>
      <c r="M4" s="18">
        <f>1-(3/5/2)</f>
        <v>0.7</v>
      </c>
      <c r="N4" s="18">
        <f>1-(4/5/2)</f>
        <v>0.6</v>
      </c>
      <c r="Q4" s="40" t="str">
        <f>IF(ISNUMBER(SEARCH(A4,'디스코드 연동'!$B$4)),"Y","N")</f>
        <v>Y</v>
      </c>
    </row>
    <row r="5">
      <c r="A5" s="60" t="str">
        <f>'기록입력_디스코드'!$D$5</f>
        <v/>
      </c>
      <c r="B5" s="60">
        <f t="array" ref="B5">IFERROR(IF(INDEX('전적확인'!$A$2:$R1000,MATCH('기록입력_디스코드'!$D$5,'전적확인'!$A$1:$A1000,0)-1,18)=0,INDEX('전적확인'!$A$2:$R1000,MATCH('기록입력_디스코드'!$D$5,'전적확인'!$A$1:$A1000,0)-1,10)*$P$2+$N$2,INDEX('전적확인'!$A$2:$R1000,MATCH('기록입력_디스코드'!$D$5,'전적확인'!$A$1:$A1000,0)-1,18)),0)</f>
        <v>0</v>
      </c>
      <c r="C5" s="60">
        <f t="shared" si="1"/>
        <v>0.03593637514</v>
      </c>
      <c r="D5" s="60">
        <f t="shared" si="2"/>
        <v>47</v>
      </c>
      <c r="E5" s="60">
        <f t="shared" si="3"/>
        <v>47</v>
      </c>
      <c r="F5" s="61" t="str">
        <f>'기록입력_디스코드'!$D$8</f>
        <v/>
      </c>
      <c r="G5" s="61">
        <f t="array" ref="G5">IFERROR(IF(INDEX('전적확인'!$A$2:$R1000,MATCH('기록입력_디스코드'!$D$8,'전적확인'!$A$1:$A1000,0)-1,18)=0,INDEX('전적확인'!$A$2:$R1000,MATCH('기록입력_디스코드'!$D$8,'전적확인'!$A$1:$A1000,0)-1,10)*$P$2+$N$2,INDEX('전적확인'!$A$2:$R1000,MATCH('기록입력_디스코드'!$D$8,'전적확인'!$A$1:$A1000,0)-1,18)),0)</f>
        <v>0</v>
      </c>
      <c r="H5" s="61">
        <f t="shared" si="4"/>
        <v>0.1772550304</v>
      </c>
      <c r="I5" s="61" t="str">
        <f t="shared" si="5"/>
        <v>#VALUE!</v>
      </c>
      <c r="J5" s="61" t="str">
        <f t="shared" si="6"/>
        <v>#VALUE!</v>
      </c>
      <c r="K5" s="18"/>
      <c r="L5" s="4"/>
      <c r="M5" s="4"/>
      <c r="Q5" s="40" t="str">
        <f>IF(ISNUMBER(SEARCH(A5,'디스코드 연동'!$B$4)),"Y","N")</f>
        <v>Y</v>
      </c>
    </row>
    <row r="6">
      <c r="A6" s="5" t="s">
        <v>9632</v>
      </c>
      <c r="B6" s="4">
        <f>IFERROR(SUM(B2:B5)/B7,$N$2)</f>
        <v>1000</v>
      </c>
      <c r="C6" s="5"/>
      <c r="D6" s="4"/>
      <c r="E6" s="4"/>
      <c r="F6" s="4"/>
      <c r="G6" s="4">
        <f>IFERROR(SUM(G2:G5)/G7,$N$2)</f>
        <v>1000</v>
      </c>
      <c r="H6" s="4"/>
      <c r="I6" s="4"/>
      <c r="L6" s="4"/>
      <c r="M6" s="4"/>
    </row>
    <row r="7">
      <c r="A7" s="5" t="s">
        <v>9633</v>
      </c>
      <c r="B7" s="5">
        <f>countif($B$2:$B$5,"&gt;0")</f>
        <v>0</v>
      </c>
      <c r="C7" s="4"/>
      <c r="D7" s="4"/>
      <c r="E7" s="4"/>
      <c r="F7" s="4"/>
      <c r="G7" s="5">
        <f>countif($G$2:$G$5,"&gt;0")</f>
        <v>0</v>
      </c>
      <c r="H7" s="4"/>
      <c r="I7" s="4"/>
      <c r="L7" s="4"/>
      <c r="M7" s="4"/>
    </row>
    <row r="8">
      <c r="A8" s="5"/>
      <c r="B8" s="5"/>
      <c r="C8" s="4"/>
      <c r="D8" s="4"/>
      <c r="E8" s="4"/>
      <c r="F8" s="4"/>
      <c r="G8" s="4"/>
      <c r="H8" s="4"/>
      <c r="I8" s="4"/>
      <c r="L8" s="4"/>
      <c r="M8" s="4"/>
    </row>
    <row r="9">
      <c r="L9" s="4"/>
      <c r="M9" s="4"/>
    </row>
    <row r="10">
      <c r="L10" s="4"/>
      <c r="M10" s="4"/>
    </row>
    <row r="11">
      <c r="L11" s="4"/>
      <c r="M11" s="4"/>
    </row>
    <row r="12">
      <c r="L12" s="4"/>
      <c r="M12" s="4"/>
    </row>
    <row r="13">
      <c r="L13" s="4"/>
      <c r="M13" s="4"/>
    </row>
    <row r="14">
      <c r="L14" s="4"/>
      <c r="M14" s="4"/>
    </row>
    <row r="15">
      <c r="L15" s="4"/>
      <c r="M15" s="4"/>
    </row>
    <row r="16">
      <c r="L16" s="4"/>
      <c r="M16" s="4"/>
    </row>
    <row r="17">
      <c r="L17" s="4"/>
      <c r="M17" s="4"/>
    </row>
    <row r="18">
      <c r="L18" s="4"/>
      <c r="M18" s="4"/>
    </row>
    <row r="19">
      <c r="L19" s="4"/>
      <c r="M19" s="4"/>
    </row>
    <row r="20">
      <c r="L20" s="4"/>
      <c r="M20" s="4"/>
    </row>
    <row r="21">
      <c r="L21" s="4"/>
      <c r="M21" s="4"/>
    </row>
    <row r="22">
      <c r="L22" s="4"/>
      <c r="M22" s="4"/>
    </row>
    <row r="23">
      <c r="L23" s="4"/>
      <c r="M23" s="4"/>
    </row>
    <row r="24">
      <c r="L24" s="4"/>
      <c r="M24" s="4"/>
    </row>
    <row r="25">
      <c r="L25" s="4"/>
      <c r="M25" s="4"/>
    </row>
    <row r="26">
      <c r="L26" s="4"/>
      <c r="M26" s="4"/>
    </row>
    <row r="27">
      <c r="L27" s="4"/>
      <c r="M27" s="4"/>
    </row>
    <row r="28">
      <c r="L28" s="4"/>
      <c r="M28" s="4"/>
    </row>
    <row r="29">
      <c r="L29" s="4"/>
      <c r="M29" s="4"/>
    </row>
    <row r="30">
      <c r="A30" s="9"/>
      <c r="B30" s="9"/>
      <c r="L30" s="4"/>
      <c r="M30" s="4"/>
    </row>
    <row r="31">
      <c r="A31" s="9"/>
      <c r="B31" s="9"/>
      <c r="L31" s="4"/>
      <c r="M31" s="4"/>
    </row>
    <row r="32">
      <c r="A32" s="9"/>
      <c r="B32" s="9"/>
      <c r="L32" s="4"/>
      <c r="M32" s="4"/>
    </row>
    <row r="33">
      <c r="A33" s="5"/>
      <c r="B33" s="5"/>
      <c r="L33" s="4"/>
      <c r="M33" s="4"/>
    </row>
    <row r="34">
      <c r="A34" s="9"/>
      <c r="B34" s="9"/>
      <c r="L34" s="4"/>
      <c r="M34" s="4"/>
    </row>
    <row r="35">
      <c r="A35" s="9"/>
      <c r="B35" s="9"/>
      <c r="L35" s="4"/>
      <c r="M35" s="4"/>
    </row>
    <row r="36">
      <c r="A36" s="9"/>
      <c r="B36" s="9"/>
      <c r="L36" s="4"/>
      <c r="M36" s="4"/>
    </row>
    <row r="37">
      <c r="A37" s="5"/>
      <c r="B37" s="5"/>
      <c r="L37" s="4"/>
      <c r="M37" s="4"/>
    </row>
    <row r="38">
      <c r="A38" s="9"/>
      <c r="B38" s="9"/>
      <c r="L38" s="4"/>
      <c r="M38" s="4"/>
    </row>
    <row r="39">
      <c r="A39" s="9"/>
      <c r="B39" s="9"/>
      <c r="L39" s="4"/>
      <c r="M39" s="4"/>
    </row>
    <row r="40">
      <c r="A40" s="9"/>
      <c r="B40" s="9"/>
      <c r="L40" s="4"/>
      <c r="M40" s="4"/>
    </row>
    <row r="41">
      <c r="A41" s="9"/>
      <c r="B41" s="9"/>
      <c r="L41" s="4"/>
      <c r="M41" s="4"/>
    </row>
    <row r="42">
      <c r="L42" s="4"/>
      <c r="M42" s="4"/>
    </row>
    <row r="43">
      <c r="L43" s="4"/>
      <c r="M43" s="4"/>
    </row>
    <row r="44">
      <c r="L44" s="4"/>
      <c r="M44" s="4"/>
    </row>
    <row r="45">
      <c r="L45" s="4"/>
      <c r="M45" s="4"/>
    </row>
    <row r="46">
      <c r="L46" s="4"/>
      <c r="M46" s="4"/>
    </row>
    <row r="47">
      <c r="L47" s="4"/>
      <c r="M47" s="4"/>
    </row>
    <row r="48">
      <c r="L48" s="4"/>
      <c r="M48" s="4"/>
    </row>
    <row r="49">
      <c r="L49" s="4"/>
      <c r="M49" s="4"/>
    </row>
    <row r="50">
      <c r="L50" s="4"/>
      <c r="M50" s="4"/>
    </row>
    <row r="51">
      <c r="L51" s="4"/>
      <c r="M51" s="4"/>
    </row>
    <row r="52">
      <c r="L52" s="4"/>
      <c r="M52" s="4"/>
    </row>
    <row r="53">
      <c r="L53" s="4"/>
      <c r="M53" s="4"/>
    </row>
    <row r="54">
      <c r="L54" s="4"/>
      <c r="M54" s="4"/>
    </row>
    <row r="55">
      <c r="L55" s="4"/>
      <c r="M55" s="4"/>
    </row>
    <row r="56">
      <c r="L56" s="4"/>
      <c r="M56" s="4"/>
    </row>
    <row r="57">
      <c r="L57" s="4"/>
      <c r="M57" s="4"/>
    </row>
    <row r="58">
      <c r="L58" s="4"/>
      <c r="M58" s="4"/>
    </row>
    <row r="59">
      <c r="L59" s="4"/>
      <c r="M59" s="4"/>
    </row>
    <row r="60">
      <c r="L60" s="4"/>
      <c r="M60" s="4"/>
    </row>
    <row r="61">
      <c r="L61" s="4"/>
      <c r="M61" s="4"/>
    </row>
    <row r="62">
      <c r="L62" s="4"/>
      <c r="M62" s="4"/>
    </row>
    <row r="63">
      <c r="L63" s="4"/>
      <c r="M63" s="4"/>
    </row>
    <row r="64">
      <c r="L64" s="4"/>
      <c r="M64" s="4"/>
    </row>
    <row r="65">
      <c r="L65" s="4"/>
      <c r="M65" s="4"/>
    </row>
    <row r="66">
      <c r="L66" s="4"/>
      <c r="M66" s="4"/>
    </row>
    <row r="67">
      <c r="L67" s="4"/>
      <c r="M67" s="4"/>
    </row>
    <row r="68">
      <c r="L68" s="4"/>
      <c r="M68" s="4"/>
    </row>
    <row r="69">
      <c r="L69" s="4"/>
      <c r="M69" s="4"/>
    </row>
    <row r="70">
      <c r="L70" s="4"/>
      <c r="M70" s="4"/>
    </row>
    <row r="71">
      <c r="L71" s="4"/>
      <c r="M71" s="4"/>
    </row>
    <row r="72">
      <c r="L72" s="4"/>
      <c r="M72" s="4"/>
    </row>
    <row r="73">
      <c r="L73" s="4"/>
      <c r="M73" s="4"/>
    </row>
    <row r="74">
      <c r="L74" s="4"/>
      <c r="M74" s="4"/>
    </row>
    <row r="75">
      <c r="L75" s="4"/>
      <c r="M75" s="4"/>
    </row>
    <row r="76">
      <c r="L76" s="4"/>
      <c r="M76" s="4"/>
    </row>
    <row r="77">
      <c r="L77" s="4"/>
      <c r="M77" s="4"/>
    </row>
    <row r="78">
      <c r="L78" s="4"/>
      <c r="M78" s="4"/>
    </row>
    <row r="79">
      <c r="L79" s="4"/>
      <c r="M79" s="4"/>
    </row>
    <row r="80">
      <c r="L80" s="4"/>
      <c r="M80" s="4"/>
    </row>
    <row r="81">
      <c r="L81" s="4"/>
      <c r="M81" s="4"/>
    </row>
    <row r="82">
      <c r="L82" s="4"/>
      <c r="M82" s="4"/>
    </row>
    <row r="83">
      <c r="L83" s="4"/>
      <c r="M83" s="4"/>
    </row>
    <row r="84">
      <c r="L84" s="4"/>
      <c r="M84" s="4"/>
    </row>
    <row r="85">
      <c r="L85" s="4"/>
      <c r="M85" s="4"/>
    </row>
    <row r="86">
      <c r="L86" s="4"/>
      <c r="M86" s="4"/>
    </row>
    <row r="87">
      <c r="L87" s="4"/>
      <c r="M87" s="4"/>
    </row>
    <row r="88">
      <c r="L88" s="4"/>
      <c r="M88" s="4"/>
    </row>
    <row r="89">
      <c r="L89" s="4"/>
      <c r="M89" s="4"/>
    </row>
    <row r="90">
      <c r="L90" s="4"/>
      <c r="M90" s="4"/>
    </row>
    <row r="91">
      <c r="L91" s="4"/>
      <c r="M91" s="4"/>
    </row>
    <row r="92">
      <c r="L92" s="4"/>
      <c r="M92" s="4"/>
    </row>
    <row r="93">
      <c r="L93" s="4"/>
      <c r="M93" s="4"/>
    </row>
    <row r="94">
      <c r="L94" s="4"/>
      <c r="M94" s="4"/>
    </row>
    <row r="95">
      <c r="L95" s="4"/>
      <c r="M95" s="4"/>
    </row>
    <row r="96">
      <c r="L96" s="4"/>
      <c r="M96" s="4"/>
    </row>
    <row r="97">
      <c r="L97" s="4"/>
      <c r="M97" s="4"/>
    </row>
    <row r="98">
      <c r="L98" s="4"/>
      <c r="M98" s="4"/>
    </row>
    <row r="99">
      <c r="L99" s="4"/>
      <c r="M99" s="4"/>
    </row>
    <row r="100">
      <c r="L100" s="4"/>
      <c r="M100" s="4"/>
    </row>
    <row r="101">
      <c r="L101" s="4"/>
      <c r="M101" s="4"/>
    </row>
    <row r="102">
      <c r="L102" s="4"/>
      <c r="M102" s="4"/>
    </row>
    <row r="103">
      <c r="L103" s="4"/>
      <c r="M103" s="4"/>
    </row>
    <row r="104">
      <c r="L104" s="4"/>
      <c r="M104" s="4"/>
    </row>
    <row r="105">
      <c r="L105" s="4"/>
      <c r="M105" s="4"/>
    </row>
    <row r="106">
      <c r="L106" s="4"/>
      <c r="M106" s="4"/>
    </row>
    <row r="107">
      <c r="L107" s="4"/>
      <c r="M107" s="4"/>
    </row>
    <row r="108">
      <c r="L108" s="4"/>
      <c r="M108" s="4"/>
    </row>
    <row r="109">
      <c r="L109" s="4"/>
      <c r="M109" s="4"/>
    </row>
    <row r="110">
      <c r="L110" s="4"/>
      <c r="M110" s="4"/>
    </row>
    <row r="111">
      <c r="L111" s="4"/>
      <c r="M111" s="4"/>
    </row>
    <row r="112">
      <c r="L112" s="4"/>
      <c r="M112" s="4"/>
    </row>
    <row r="113">
      <c r="L113" s="4"/>
      <c r="M113" s="4"/>
    </row>
    <row r="114">
      <c r="L114" s="4"/>
      <c r="M114" s="4"/>
    </row>
    <row r="115">
      <c r="L115" s="4"/>
      <c r="M115" s="4"/>
    </row>
    <row r="116">
      <c r="L116" s="4"/>
      <c r="M116" s="4"/>
    </row>
    <row r="117">
      <c r="L117" s="4"/>
      <c r="M117" s="4"/>
    </row>
    <row r="118">
      <c r="L118" s="4"/>
      <c r="M118" s="4"/>
    </row>
    <row r="119">
      <c r="L119" s="4"/>
      <c r="M119" s="4"/>
    </row>
    <row r="120">
      <c r="L120" s="4"/>
      <c r="M120" s="4"/>
    </row>
    <row r="121">
      <c r="L121" s="4"/>
      <c r="M121" s="4"/>
    </row>
    <row r="122">
      <c r="L122" s="4"/>
      <c r="M122" s="4"/>
    </row>
    <row r="123">
      <c r="L123" s="4"/>
      <c r="M123" s="4"/>
    </row>
    <row r="124">
      <c r="L124" s="4"/>
      <c r="M124" s="4"/>
    </row>
    <row r="125">
      <c r="L125" s="4"/>
      <c r="M125" s="4"/>
    </row>
    <row r="126">
      <c r="L126" s="4"/>
      <c r="M126" s="4"/>
    </row>
    <row r="127">
      <c r="L127" s="4"/>
      <c r="M127" s="4"/>
    </row>
    <row r="128">
      <c r="L128" s="4"/>
      <c r="M128" s="4"/>
    </row>
    <row r="129">
      <c r="L129" s="4"/>
      <c r="M129" s="4"/>
    </row>
    <row r="130">
      <c r="L130" s="4"/>
      <c r="M130" s="4"/>
    </row>
    <row r="131">
      <c r="L131" s="4"/>
      <c r="M131" s="4"/>
    </row>
    <row r="132">
      <c r="L132" s="4"/>
      <c r="M132" s="4"/>
    </row>
    <row r="133">
      <c r="L133" s="4"/>
      <c r="M133" s="4"/>
    </row>
    <row r="134">
      <c r="L134" s="4"/>
      <c r="M134" s="4"/>
    </row>
    <row r="135">
      <c r="L135" s="4"/>
      <c r="M135" s="4"/>
    </row>
    <row r="136">
      <c r="L136" s="4"/>
      <c r="M136" s="4"/>
    </row>
    <row r="137">
      <c r="L137" s="4"/>
      <c r="M137" s="4"/>
    </row>
    <row r="138">
      <c r="L138" s="4"/>
      <c r="M138" s="4"/>
    </row>
    <row r="139">
      <c r="L139" s="4"/>
      <c r="M139" s="4"/>
    </row>
    <row r="140">
      <c r="L140" s="4"/>
      <c r="M140" s="4"/>
    </row>
    <row r="141">
      <c r="L141" s="4"/>
      <c r="M141" s="4"/>
    </row>
    <row r="142">
      <c r="L142" s="4"/>
      <c r="M142" s="4"/>
    </row>
    <row r="143">
      <c r="L143" s="4"/>
      <c r="M143" s="4"/>
    </row>
    <row r="144">
      <c r="L144" s="4"/>
      <c r="M144" s="4"/>
    </row>
    <row r="145">
      <c r="L145" s="4"/>
      <c r="M145" s="4"/>
    </row>
    <row r="146">
      <c r="L146" s="4"/>
      <c r="M146" s="4"/>
    </row>
    <row r="147">
      <c r="L147" s="4"/>
      <c r="M147" s="4"/>
    </row>
    <row r="148">
      <c r="L148" s="4"/>
      <c r="M148" s="4"/>
    </row>
    <row r="149">
      <c r="L149" s="4"/>
      <c r="M149" s="4"/>
    </row>
    <row r="150">
      <c r="L150" s="4"/>
      <c r="M150" s="4"/>
    </row>
    <row r="151">
      <c r="L151" s="4"/>
      <c r="M151" s="4"/>
    </row>
    <row r="152">
      <c r="L152" s="4"/>
      <c r="M152" s="4"/>
    </row>
    <row r="153">
      <c r="L153" s="4"/>
      <c r="M153" s="4"/>
    </row>
    <row r="154">
      <c r="L154" s="4"/>
      <c r="M154" s="4"/>
    </row>
    <row r="155">
      <c r="L155" s="4"/>
      <c r="M155" s="4"/>
    </row>
    <row r="156">
      <c r="L156" s="4"/>
      <c r="M156" s="4"/>
    </row>
    <row r="157">
      <c r="L157" s="4"/>
      <c r="M157" s="4"/>
    </row>
    <row r="158">
      <c r="L158" s="4"/>
      <c r="M158" s="4"/>
    </row>
    <row r="159">
      <c r="L159" s="4"/>
      <c r="M159" s="4"/>
    </row>
    <row r="160">
      <c r="L160" s="4"/>
      <c r="M160" s="4"/>
    </row>
    <row r="161">
      <c r="L161" s="4"/>
      <c r="M161" s="4"/>
    </row>
    <row r="162">
      <c r="L162" s="4"/>
      <c r="M162" s="4"/>
    </row>
    <row r="163">
      <c r="L163" s="4"/>
      <c r="M163" s="4"/>
    </row>
    <row r="164">
      <c r="L164" s="4"/>
      <c r="M164" s="4"/>
    </row>
    <row r="165">
      <c r="L165" s="4"/>
      <c r="M165" s="4"/>
    </row>
    <row r="166">
      <c r="L166" s="4"/>
      <c r="M166" s="4"/>
    </row>
    <row r="167">
      <c r="L167" s="4"/>
      <c r="M167" s="4"/>
    </row>
    <row r="168">
      <c r="L168" s="4"/>
      <c r="M168" s="4"/>
    </row>
    <row r="169">
      <c r="L169" s="4"/>
      <c r="M169" s="4"/>
    </row>
    <row r="170">
      <c r="L170" s="4"/>
      <c r="M170" s="4"/>
    </row>
    <row r="171">
      <c r="L171" s="4"/>
      <c r="M171" s="4"/>
    </row>
    <row r="172">
      <c r="L172" s="4"/>
      <c r="M172" s="4"/>
    </row>
    <row r="173">
      <c r="L173" s="4"/>
      <c r="M173" s="4"/>
    </row>
    <row r="174">
      <c r="L174" s="4"/>
      <c r="M174" s="4"/>
    </row>
    <row r="175">
      <c r="L175" s="4"/>
      <c r="M175" s="4"/>
    </row>
    <row r="176">
      <c r="L176" s="4"/>
      <c r="M176" s="4"/>
    </row>
    <row r="177">
      <c r="L177" s="4"/>
      <c r="M177" s="4"/>
    </row>
    <row r="178">
      <c r="L178" s="4"/>
      <c r="M178" s="4"/>
    </row>
    <row r="179">
      <c r="L179" s="4"/>
      <c r="M179" s="4"/>
    </row>
    <row r="180">
      <c r="L180" s="4"/>
      <c r="M180" s="4"/>
    </row>
    <row r="181">
      <c r="L181" s="4"/>
      <c r="M181" s="4"/>
    </row>
    <row r="182">
      <c r="L182" s="4"/>
      <c r="M182" s="4"/>
    </row>
    <row r="183">
      <c r="L183" s="4"/>
      <c r="M183" s="4"/>
    </row>
    <row r="184">
      <c r="L184" s="4"/>
      <c r="M184" s="4"/>
    </row>
    <row r="185">
      <c r="L185" s="4"/>
      <c r="M185" s="4"/>
    </row>
    <row r="186">
      <c r="L186" s="4"/>
      <c r="M186" s="4"/>
    </row>
    <row r="187">
      <c r="L187" s="4"/>
      <c r="M187" s="4"/>
    </row>
    <row r="188">
      <c r="L188" s="4"/>
      <c r="M188" s="4"/>
    </row>
    <row r="189">
      <c r="L189" s="4"/>
      <c r="M189" s="4"/>
    </row>
    <row r="190">
      <c r="L190" s="4"/>
      <c r="M190" s="4"/>
    </row>
    <row r="191">
      <c r="L191" s="4"/>
      <c r="M191" s="4"/>
    </row>
    <row r="192">
      <c r="L192" s="4"/>
      <c r="M192" s="4"/>
    </row>
    <row r="193">
      <c r="L193" s="4"/>
      <c r="M193" s="4"/>
    </row>
    <row r="194">
      <c r="L194" s="4"/>
      <c r="M194" s="4"/>
    </row>
    <row r="195">
      <c r="L195" s="4"/>
      <c r="M195" s="4"/>
    </row>
    <row r="196">
      <c r="L196" s="4"/>
      <c r="M196" s="4"/>
    </row>
    <row r="197">
      <c r="L197" s="4"/>
      <c r="M197" s="4"/>
    </row>
    <row r="198">
      <c r="L198" s="4"/>
      <c r="M198" s="4"/>
    </row>
    <row r="199">
      <c r="L199" s="4"/>
      <c r="M199" s="4"/>
    </row>
    <row r="200">
      <c r="L200" s="4"/>
      <c r="M200" s="4"/>
    </row>
    <row r="201">
      <c r="L201" s="4"/>
      <c r="M201" s="4"/>
    </row>
    <row r="202">
      <c r="L202" s="4"/>
      <c r="M202" s="4"/>
    </row>
    <row r="203">
      <c r="L203" s="4"/>
      <c r="M203" s="4"/>
    </row>
    <row r="204">
      <c r="L204" s="4"/>
      <c r="M204" s="4"/>
    </row>
    <row r="205">
      <c r="L205" s="4"/>
      <c r="M205" s="4"/>
    </row>
    <row r="206">
      <c r="L206" s="4"/>
      <c r="M206" s="4"/>
    </row>
    <row r="207">
      <c r="L207" s="4"/>
      <c r="M207" s="4"/>
    </row>
    <row r="208">
      <c r="L208" s="4"/>
      <c r="M208" s="4"/>
    </row>
    <row r="209">
      <c r="L209" s="4"/>
      <c r="M209" s="4"/>
    </row>
    <row r="210">
      <c r="L210" s="4"/>
      <c r="M210" s="4"/>
    </row>
    <row r="211">
      <c r="L211" s="4"/>
      <c r="M211" s="4"/>
    </row>
    <row r="212">
      <c r="L212" s="4"/>
      <c r="M212" s="4"/>
    </row>
    <row r="213">
      <c r="L213" s="4"/>
      <c r="M213" s="4"/>
    </row>
    <row r="214">
      <c r="L214" s="4"/>
      <c r="M214" s="4"/>
    </row>
    <row r="215">
      <c r="L215" s="4"/>
      <c r="M215" s="4"/>
    </row>
    <row r="216">
      <c r="L216" s="4"/>
      <c r="M216" s="4"/>
    </row>
    <row r="217">
      <c r="L217" s="4"/>
      <c r="M217" s="4"/>
    </row>
    <row r="218">
      <c r="L218" s="4"/>
      <c r="M218" s="4"/>
    </row>
    <row r="219">
      <c r="L219" s="4"/>
      <c r="M219" s="4"/>
    </row>
    <row r="220">
      <c r="L220" s="4"/>
      <c r="M220" s="4"/>
    </row>
    <row r="221">
      <c r="L221" s="4"/>
      <c r="M221" s="4"/>
    </row>
    <row r="222">
      <c r="L222" s="4"/>
      <c r="M222" s="4"/>
    </row>
    <row r="223">
      <c r="L223" s="4"/>
      <c r="M223" s="4"/>
    </row>
    <row r="224">
      <c r="L224" s="4"/>
      <c r="M224" s="4"/>
    </row>
    <row r="225">
      <c r="L225" s="4"/>
      <c r="M225" s="4"/>
    </row>
    <row r="226">
      <c r="L226" s="4"/>
      <c r="M226" s="4"/>
    </row>
    <row r="227">
      <c r="L227" s="4"/>
      <c r="M227" s="4"/>
    </row>
    <row r="228">
      <c r="L228" s="4"/>
      <c r="M228" s="4"/>
    </row>
    <row r="229">
      <c r="L229" s="4"/>
      <c r="M229" s="4"/>
    </row>
    <row r="230">
      <c r="L230" s="4"/>
      <c r="M230" s="4"/>
    </row>
    <row r="231">
      <c r="L231" s="4"/>
      <c r="M231" s="4"/>
    </row>
    <row r="232">
      <c r="L232" s="4"/>
      <c r="M232" s="4"/>
    </row>
    <row r="233">
      <c r="L233" s="4"/>
      <c r="M233" s="4"/>
    </row>
    <row r="234">
      <c r="L234" s="4"/>
      <c r="M234" s="4"/>
    </row>
    <row r="235">
      <c r="L235" s="4"/>
      <c r="M235" s="4"/>
    </row>
    <row r="236">
      <c r="L236" s="4"/>
      <c r="M236" s="4"/>
    </row>
    <row r="237">
      <c r="L237" s="4"/>
      <c r="M237" s="4"/>
    </row>
    <row r="238">
      <c r="L238" s="4"/>
      <c r="M238" s="4"/>
    </row>
    <row r="239">
      <c r="L239" s="4"/>
      <c r="M239" s="4"/>
    </row>
    <row r="240">
      <c r="L240" s="4"/>
      <c r="M240" s="4"/>
    </row>
    <row r="241">
      <c r="L241" s="4"/>
      <c r="M241" s="4"/>
    </row>
    <row r="242">
      <c r="L242" s="4"/>
      <c r="M242" s="4"/>
    </row>
    <row r="243">
      <c r="L243" s="4"/>
      <c r="M243" s="4"/>
    </row>
    <row r="244">
      <c r="L244" s="4"/>
      <c r="M244" s="4"/>
    </row>
    <row r="245">
      <c r="L245" s="4"/>
      <c r="M245" s="4"/>
    </row>
    <row r="246">
      <c r="L246" s="4"/>
      <c r="M246" s="4"/>
    </row>
    <row r="247">
      <c r="L247" s="4"/>
      <c r="M247" s="4"/>
    </row>
    <row r="248">
      <c r="L248" s="4"/>
      <c r="M248" s="4"/>
    </row>
    <row r="249">
      <c r="L249" s="4"/>
      <c r="M249" s="4"/>
    </row>
    <row r="250">
      <c r="L250" s="4"/>
      <c r="M250" s="4"/>
    </row>
    <row r="251">
      <c r="L251" s="4"/>
      <c r="M251" s="4"/>
    </row>
    <row r="252">
      <c r="L252" s="4"/>
      <c r="M252" s="4"/>
    </row>
    <row r="253">
      <c r="L253" s="4"/>
      <c r="M253" s="4"/>
    </row>
    <row r="254">
      <c r="L254" s="4"/>
      <c r="M254" s="4"/>
    </row>
    <row r="255">
      <c r="L255" s="4"/>
      <c r="M255" s="4"/>
    </row>
    <row r="256">
      <c r="L256" s="4"/>
      <c r="M256" s="4"/>
    </row>
    <row r="257">
      <c r="L257" s="4"/>
      <c r="M257" s="4"/>
    </row>
    <row r="258">
      <c r="L258" s="4"/>
      <c r="M258" s="4"/>
    </row>
    <row r="259">
      <c r="L259" s="4"/>
      <c r="M259" s="4"/>
    </row>
    <row r="260">
      <c r="L260" s="4"/>
      <c r="M260" s="4"/>
    </row>
    <row r="261">
      <c r="L261" s="4"/>
      <c r="M261" s="4"/>
    </row>
    <row r="262">
      <c r="L262" s="4"/>
      <c r="M262" s="4"/>
    </row>
    <row r="263">
      <c r="L263" s="4"/>
      <c r="M263" s="4"/>
    </row>
    <row r="264">
      <c r="L264" s="4"/>
      <c r="M264" s="4"/>
    </row>
    <row r="265">
      <c r="L265" s="4"/>
      <c r="M265" s="4"/>
    </row>
    <row r="266">
      <c r="L266" s="4"/>
      <c r="M266" s="4"/>
    </row>
    <row r="267">
      <c r="L267" s="4"/>
      <c r="M267" s="4"/>
    </row>
    <row r="268">
      <c r="L268" s="4"/>
      <c r="M268" s="4"/>
    </row>
    <row r="269">
      <c r="L269" s="4"/>
      <c r="M269" s="4"/>
    </row>
    <row r="270">
      <c r="L270" s="4"/>
      <c r="M270" s="4"/>
    </row>
    <row r="271">
      <c r="L271" s="4"/>
      <c r="M271" s="4"/>
    </row>
    <row r="272">
      <c r="L272" s="4"/>
      <c r="M272" s="4"/>
    </row>
    <row r="273">
      <c r="L273" s="4"/>
      <c r="M273" s="4"/>
    </row>
    <row r="274">
      <c r="L274" s="4"/>
      <c r="M274" s="4"/>
    </row>
    <row r="275">
      <c r="L275" s="4"/>
      <c r="M275" s="4"/>
    </row>
    <row r="276">
      <c r="L276" s="4"/>
      <c r="M276" s="4"/>
    </row>
    <row r="277">
      <c r="L277" s="4"/>
      <c r="M277" s="4"/>
    </row>
    <row r="278">
      <c r="L278" s="4"/>
      <c r="M278" s="4"/>
    </row>
    <row r="279">
      <c r="L279" s="4"/>
      <c r="M279" s="4"/>
    </row>
    <row r="280">
      <c r="L280" s="4"/>
      <c r="M280" s="4"/>
    </row>
    <row r="281">
      <c r="L281" s="4"/>
      <c r="M281" s="4"/>
    </row>
    <row r="282">
      <c r="L282" s="4"/>
      <c r="M282" s="4"/>
    </row>
    <row r="283">
      <c r="L283" s="4"/>
      <c r="M283" s="4"/>
    </row>
    <row r="284">
      <c r="L284" s="4"/>
      <c r="M284" s="4"/>
    </row>
    <row r="285">
      <c r="L285" s="4"/>
      <c r="M285" s="4"/>
    </row>
    <row r="286">
      <c r="L286" s="4"/>
      <c r="M286" s="4"/>
    </row>
    <row r="287">
      <c r="L287" s="4"/>
      <c r="M287" s="4"/>
    </row>
    <row r="288">
      <c r="L288" s="4"/>
      <c r="M288" s="4"/>
    </row>
    <row r="289">
      <c r="L289" s="4"/>
      <c r="M289" s="4"/>
    </row>
    <row r="290">
      <c r="L290" s="4"/>
      <c r="M290" s="4"/>
    </row>
    <row r="291">
      <c r="L291" s="4"/>
      <c r="M291" s="4"/>
    </row>
    <row r="292">
      <c r="L292" s="4"/>
      <c r="M292" s="4"/>
    </row>
    <row r="293">
      <c r="L293" s="4"/>
      <c r="M293" s="4"/>
    </row>
    <row r="294">
      <c r="L294" s="4"/>
      <c r="M294" s="4"/>
    </row>
    <row r="295">
      <c r="L295" s="4"/>
      <c r="M295" s="4"/>
    </row>
    <row r="296">
      <c r="L296" s="4"/>
      <c r="M296" s="4"/>
    </row>
    <row r="297">
      <c r="L297" s="4"/>
      <c r="M297" s="4"/>
    </row>
    <row r="298">
      <c r="L298" s="4"/>
      <c r="M298" s="4"/>
    </row>
    <row r="299">
      <c r="L299" s="4"/>
      <c r="M299" s="4"/>
    </row>
    <row r="300">
      <c r="L300" s="4"/>
      <c r="M300" s="4"/>
    </row>
    <row r="301">
      <c r="L301" s="4"/>
      <c r="M301" s="4"/>
    </row>
    <row r="302">
      <c r="L302" s="4"/>
      <c r="M302" s="4"/>
    </row>
    <row r="303">
      <c r="L303" s="4"/>
      <c r="M303" s="4"/>
    </row>
    <row r="304">
      <c r="L304" s="4"/>
      <c r="M304" s="4"/>
    </row>
    <row r="305">
      <c r="L305" s="4"/>
      <c r="M305" s="4"/>
    </row>
    <row r="306">
      <c r="L306" s="4"/>
      <c r="M306" s="4"/>
    </row>
    <row r="307">
      <c r="L307" s="4"/>
      <c r="M307" s="4"/>
    </row>
    <row r="308">
      <c r="L308" s="4"/>
      <c r="M308" s="4"/>
    </row>
    <row r="309">
      <c r="L309" s="4"/>
      <c r="M309" s="4"/>
    </row>
    <row r="310">
      <c r="L310" s="4"/>
      <c r="M310" s="4"/>
    </row>
    <row r="311">
      <c r="L311" s="4"/>
      <c r="M311" s="4"/>
    </row>
    <row r="312">
      <c r="L312" s="4"/>
      <c r="M312" s="4"/>
    </row>
    <row r="313">
      <c r="L313" s="4"/>
      <c r="M313" s="4"/>
    </row>
    <row r="314">
      <c r="L314" s="4"/>
      <c r="M314" s="4"/>
    </row>
    <row r="315">
      <c r="L315" s="4"/>
      <c r="M315" s="4"/>
    </row>
    <row r="316">
      <c r="L316" s="4"/>
      <c r="M316" s="4"/>
    </row>
    <row r="317">
      <c r="L317" s="4"/>
      <c r="M317" s="4"/>
    </row>
    <row r="318">
      <c r="L318" s="4"/>
      <c r="M318" s="4"/>
    </row>
    <row r="319">
      <c r="L319" s="4"/>
      <c r="M319" s="4"/>
    </row>
    <row r="320">
      <c r="L320" s="4"/>
      <c r="M320" s="4"/>
    </row>
    <row r="321">
      <c r="L321" s="4"/>
      <c r="M321" s="4"/>
    </row>
    <row r="322">
      <c r="L322" s="4"/>
      <c r="M322" s="4"/>
    </row>
    <row r="323">
      <c r="L323" s="4"/>
      <c r="M323" s="4"/>
    </row>
    <row r="324">
      <c r="L324" s="4"/>
      <c r="M324" s="4"/>
    </row>
    <row r="325">
      <c r="L325" s="4"/>
      <c r="M325" s="4"/>
    </row>
    <row r="326">
      <c r="L326" s="4"/>
      <c r="M326" s="4"/>
    </row>
    <row r="327">
      <c r="L327" s="4"/>
      <c r="M327" s="4"/>
    </row>
    <row r="328">
      <c r="L328" s="4"/>
      <c r="M328" s="4"/>
    </row>
    <row r="329">
      <c r="L329" s="4"/>
      <c r="M329" s="4"/>
    </row>
    <row r="330">
      <c r="L330" s="4"/>
      <c r="M330" s="4"/>
    </row>
    <row r="331">
      <c r="L331" s="4"/>
      <c r="M331" s="4"/>
    </row>
    <row r="332">
      <c r="L332" s="4"/>
      <c r="M332" s="4"/>
    </row>
    <row r="333">
      <c r="L333" s="4"/>
      <c r="M333" s="4"/>
    </row>
    <row r="334">
      <c r="L334" s="4"/>
      <c r="M334" s="4"/>
    </row>
    <row r="335">
      <c r="L335" s="4"/>
      <c r="M335" s="4"/>
    </row>
    <row r="336">
      <c r="L336" s="4"/>
      <c r="M336" s="4"/>
    </row>
    <row r="337">
      <c r="L337" s="4"/>
      <c r="M337" s="4"/>
    </row>
    <row r="338">
      <c r="L338" s="4"/>
      <c r="M338" s="4"/>
    </row>
    <row r="339">
      <c r="L339" s="4"/>
      <c r="M339" s="4"/>
    </row>
    <row r="340">
      <c r="L340" s="4"/>
      <c r="M340" s="4"/>
    </row>
    <row r="341">
      <c r="L341" s="4"/>
      <c r="M341" s="4"/>
    </row>
    <row r="342">
      <c r="L342" s="4"/>
      <c r="M342" s="4"/>
    </row>
    <row r="343">
      <c r="L343" s="4"/>
      <c r="M343" s="4"/>
    </row>
    <row r="344">
      <c r="L344" s="4"/>
      <c r="M344" s="4"/>
    </row>
    <row r="345">
      <c r="L345" s="4"/>
      <c r="M345" s="4"/>
    </row>
    <row r="346">
      <c r="L346" s="4"/>
      <c r="M346" s="4"/>
    </row>
    <row r="347">
      <c r="L347" s="4"/>
      <c r="M347" s="4"/>
    </row>
    <row r="348">
      <c r="L348" s="4"/>
      <c r="M348" s="4"/>
    </row>
    <row r="349">
      <c r="L349" s="4"/>
      <c r="M349" s="4"/>
    </row>
    <row r="350">
      <c r="L350" s="4"/>
      <c r="M350" s="4"/>
    </row>
    <row r="351">
      <c r="L351" s="4"/>
      <c r="M351" s="4"/>
    </row>
    <row r="352">
      <c r="L352" s="4"/>
      <c r="M352" s="4"/>
    </row>
    <row r="353">
      <c r="L353" s="4"/>
      <c r="M353" s="4"/>
    </row>
    <row r="354">
      <c r="L354" s="4"/>
      <c r="M354" s="4"/>
    </row>
    <row r="355">
      <c r="L355" s="4"/>
      <c r="M355" s="4"/>
    </row>
    <row r="356">
      <c r="L356" s="4"/>
      <c r="M356" s="4"/>
    </row>
    <row r="357">
      <c r="L357" s="4"/>
      <c r="M357" s="4"/>
    </row>
    <row r="358">
      <c r="L358" s="4"/>
      <c r="M358" s="4"/>
    </row>
    <row r="359">
      <c r="L359" s="4"/>
      <c r="M359" s="4"/>
    </row>
    <row r="360">
      <c r="L360" s="4"/>
      <c r="M360" s="4"/>
    </row>
    <row r="361">
      <c r="L361" s="4"/>
      <c r="M361" s="4"/>
    </row>
    <row r="362">
      <c r="L362" s="4"/>
      <c r="M362" s="4"/>
    </row>
    <row r="363">
      <c r="L363" s="4"/>
      <c r="M363" s="4"/>
    </row>
    <row r="364">
      <c r="L364" s="4"/>
      <c r="M364" s="4"/>
    </row>
    <row r="365">
      <c r="L365" s="4"/>
      <c r="M365" s="4"/>
    </row>
    <row r="366">
      <c r="L366" s="4"/>
      <c r="M366" s="4"/>
    </row>
    <row r="367">
      <c r="L367" s="4"/>
      <c r="M367" s="4"/>
    </row>
    <row r="368">
      <c r="L368" s="4"/>
      <c r="M368" s="4"/>
    </row>
    <row r="369">
      <c r="L369" s="4"/>
      <c r="M369" s="4"/>
    </row>
    <row r="370">
      <c r="L370" s="4"/>
      <c r="M370" s="4"/>
    </row>
    <row r="371">
      <c r="L371" s="4"/>
      <c r="M371" s="4"/>
    </row>
    <row r="372">
      <c r="L372" s="4"/>
      <c r="M372" s="4"/>
    </row>
    <row r="373">
      <c r="L373" s="4"/>
      <c r="M373" s="4"/>
    </row>
    <row r="374">
      <c r="L374" s="4"/>
      <c r="M374" s="4"/>
    </row>
    <row r="375">
      <c r="L375" s="4"/>
      <c r="M375" s="4"/>
    </row>
    <row r="376">
      <c r="L376" s="4"/>
      <c r="M376" s="4"/>
    </row>
    <row r="377">
      <c r="L377" s="4"/>
      <c r="M377" s="4"/>
    </row>
    <row r="378">
      <c r="L378" s="4"/>
      <c r="M378" s="4"/>
    </row>
    <row r="379">
      <c r="L379" s="4"/>
      <c r="M379" s="4"/>
    </row>
    <row r="380">
      <c r="L380" s="4"/>
      <c r="M380" s="4"/>
    </row>
    <row r="381">
      <c r="L381" s="4"/>
      <c r="M381" s="4"/>
    </row>
    <row r="382">
      <c r="L382" s="4"/>
      <c r="M382" s="4"/>
    </row>
    <row r="383">
      <c r="L383" s="4"/>
      <c r="M383" s="4"/>
    </row>
    <row r="384">
      <c r="L384" s="4"/>
      <c r="M384" s="4"/>
    </row>
    <row r="385">
      <c r="L385" s="4"/>
      <c r="M385" s="4"/>
    </row>
    <row r="386">
      <c r="L386" s="4"/>
      <c r="M386" s="4"/>
    </row>
    <row r="387">
      <c r="L387" s="4"/>
      <c r="M387" s="4"/>
    </row>
    <row r="388">
      <c r="L388" s="4"/>
      <c r="M388" s="4"/>
    </row>
    <row r="389">
      <c r="L389" s="4"/>
      <c r="M389" s="4"/>
    </row>
    <row r="390">
      <c r="L390" s="4"/>
      <c r="M390" s="4"/>
    </row>
    <row r="391">
      <c r="L391" s="4"/>
      <c r="M391" s="4"/>
    </row>
    <row r="392">
      <c r="L392" s="4"/>
      <c r="M392" s="4"/>
    </row>
    <row r="393">
      <c r="L393" s="4"/>
      <c r="M393" s="4"/>
    </row>
    <row r="394">
      <c r="L394" s="4"/>
      <c r="M394" s="4"/>
    </row>
    <row r="395">
      <c r="L395" s="4"/>
      <c r="M395" s="4"/>
    </row>
    <row r="396">
      <c r="L396" s="4"/>
      <c r="M396" s="4"/>
    </row>
    <row r="397">
      <c r="L397" s="4"/>
      <c r="M397" s="4"/>
    </row>
    <row r="398">
      <c r="L398" s="4"/>
      <c r="M398" s="4"/>
    </row>
    <row r="399">
      <c r="L399" s="4"/>
      <c r="M399" s="4"/>
    </row>
    <row r="400">
      <c r="L400" s="4"/>
      <c r="M400" s="4"/>
    </row>
    <row r="401">
      <c r="L401" s="4"/>
      <c r="M401" s="4"/>
    </row>
    <row r="402">
      <c r="L402" s="4"/>
      <c r="M402" s="4"/>
    </row>
    <row r="403">
      <c r="L403" s="4"/>
      <c r="M403" s="4"/>
    </row>
    <row r="404">
      <c r="L404" s="4"/>
      <c r="M404" s="4"/>
    </row>
    <row r="405">
      <c r="L405" s="4"/>
      <c r="M405" s="4"/>
    </row>
    <row r="406">
      <c r="L406" s="4"/>
      <c r="M406" s="4"/>
    </row>
    <row r="407">
      <c r="L407" s="4"/>
      <c r="M407" s="4"/>
    </row>
    <row r="408">
      <c r="L408" s="4"/>
      <c r="M408" s="4"/>
    </row>
    <row r="409">
      <c r="L409" s="4"/>
      <c r="M409" s="4"/>
    </row>
    <row r="410">
      <c r="L410" s="4"/>
      <c r="M410" s="4"/>
    </row>
    <row r="411">
      <c r="L411" s="4"/>
      <c r="M411" s="4"/>
    </row>
    <row r="412">
      <c r="L412" s="4"/>
      <c r="M412" s="4"/>
    </row>
    <row r="413">
      <c r="L413" s="4"/>
      <c r="M413" s="4"/>
    </row>
    <row r="414">
      <c r="L414" s="4"/>
      <c r="M414" s="4"/>
    </row>
    <row r="415">
      <c r="L415" s="4"/>
      <c r="M415" s="4"/>
    </row>
    <row r="416">
      <c r="L416" s="4"/>
      <c r="M416" s="4"/>
    </row>
    <row r="417">
      <c r="L417" s="4"/>
      <c r="M417" s="4"/>
    </row>
    <row r="418">
      <c r="L418" s="4"/>
      <c r="M418" s="4"/>
    </row>
    <row r="419">
      <c r="L419" s="4"/>
      <c r="M419" s="4"/>
    </row>
    <row r="420">
      <c r="L420" s="4"/>
      <c r="M420" s="4"/>
    </row>
    <row r="421">
      <c r="L421" s="4"/>
      <c r="M421" s="4"/>
    </row>
    <row r="422">
      <c r="L422" s="4"/>
      <c r="M422" s="4"/>
    </row>
    <row r="423">
      <c r="L423" s="4"/>
      <c r="M423" s="4"/>
    </row>
    <row r="424">
      <c r="L424" s="4"/>
      <c r="M424" s="4"/>
    </row>
    <row r="425">
      <c r="L425" s="4"/>
      <c r="M425" s="4"/>
    </row>
    <row r="426">
      <c r="L426" s="4"/>
      <c r="M426" s="4"/>
    </row>
    <row r="427">
      <c r="L427" s="4"/>
      <c r="M427" s="4"/>
    </row>
    <row r="428">
      <c r="L428" s="4"/>
      <c r="M428" s="4"/>
    </row>
    <row r="429">
      <c r="L429" s="4"/>
      <c r="M429" s="4"/>
    </row>
    <row r="430">
      <c r="L430" s="4"/>
      <c r="M430" s="4"/>
    </row>
    <row r="431">
      <c r="L431" s="4"/>
      <c r="M431" s="4"/>
    </row>
    <row r="432">
      <c r="L432" s="4"/>
      <c r="M432" s="4"/>
    </row>
    <row r="433">
      <c r="L433" s="4"/>
      <c r="M433" s="4"/>
    </row>
    <row r="434">
      <c r="L434" s="4"/>
      <c r="M434" s="4"/>
    </row>
    <row r="435">
      <c r="L435" s="4"/>
      <c r="M435" s="4"/>
    </row>
    <row r="436">
      <c r="L436" s="4"/>
      <c r="M436" s="4"/>
    </row>
    <row r="437">
      <c r="L437" s="4"/>
      <c r="M437" s="4"/>
    </row>
    <row r="438">
      <c r="L438" s="4"/>
      <c r="M438" s="4"/>
    </row>
    <row r="439">
      <c r="L439" s="4"/>
      <c r="M439" s="4"/>
    </row>
    <row r="440">
      <c r="L440" s="4"/>
      <c r="M440" s="4"/>
    </row>
    <row r="441">
      <c r="L441" s="4"/>
      <c r="M441" s="4"/>
    </row>
    <row r="442">
      <c r="L442" s="4"/>
      <c r="M442" s="4"/>
    </row>
    <row r="443">
      <c r="L443" s="4"/>
      <c r="M443" s="4"/>
    </row>
    <row r="444">
      <c r="L444" s="4"/>
      <c r="M444" s="4"/>
    </row>
    <row r="445">
      <c r="L445" s="4"/>
      <c r="M445" s="4"/>
    </row>
    <row r="446">
      <c r="L446" s="4"/>
      <c r="M446" s="4"/>
    </row>
    <row r="447">
      <c r="L447" s="4"/>
      <c r="M447" s="4"/>
    </row>
    <row r="448">
      <c r="L448" s="4"/>
      <c r="M448" s="4"/>
    </row>
    <row r="449">
      <c r="L449" s="4"/>
      <c r="M449" s="4"/>
    </row>
    <row r="450">
      <c r="L450" s="4"/>
      <c r="M450" s="4"/>
    </row>
    <row r="451">
      <c r="L451" s="4"/>
      <c r="M451" s="4"/>
    </row>
    <row r="452">
      <c r="L452" s="4"/>
      <c r="M452" s="4"/>
    </row>
    <row r="453">
      <c r="L453" s="4"/>
      <c r="M453" s="4"/>
    </row>
    <row r="454">
      <c r="L454" s="4"/>
      <c r="M454" s="4"/>
    </row>
    <row r="455">
      <c r="L455" s="4"/>
      <c r="M455" s="4"/>
    </row>
    <row r="456">
      <c r="L456" s="4"/>
      <c r="M456" s="4"/>
    </row>
    <row r="457">
      <c r="L457" s="4"/>
      <c r="M457" s="4"/>
    </row>
    <row r="458">
      <c r="L458" s="4"/>
      <c r="M458" s="4"/>
    </row>
    <row r="459">
      <c r="L459" s="4"/>
      <c r="M459" s="4"/>
    </row>
    <row r="460">
      <c r="L460" s="4"/>
      <c r="M460" s="4"/>
    </row>
    <row r="461">
      <c r="L461" s="4"/>
      <c r="M461" s="4"/>
    </row>
    <row r="462">
      <c r="L462" s="4"/>
      <c r="M462" s="4"/>
    </row>
    <row r="463">
      <c r="L463" s="4"/>
      <c r="M463" s="4"/>
    </row>
    <row r="464">
      <c r="L464" s="4"/>
      <c r="M464" s="4"/>
    </row>
    <row r="465">
      <c r="L465" s="4"/>
      <c r="M465" s="4"/>
    </row>
    <row r="466">
      <c r="L466" s="4"/>
      <c r="M466" s="4"/>
    </row>
    <row r="467">
      <c r="L467" s="4"/>
      <c r="M467" s="4"/>
    </row>
    <row r="468">
      <c r="L468" s="4"/>
      <c r="M468" s="4"/>
    </row>
    <row r="469">
      <c r="L469" s="4"/>
      <c r="M469" s="4"/>
    </row>
    <row r="470">
      <c r="L470" s="4"/>
      <c r="M470" s="4"/>
    </row>
    <row r="471">
      <c r="L471" s="4"/>
      <c r="M471" s="4"/>
    </row>
    <row r="472">
      <c r="L472" s="4"/>
      <c r="M472" s="4"/>
    </row>
    <row r="473">
      <c r="L473" s="4"/>
      <c r="M473" s="4"/>
    </row>
    <row r="474">
      <c r="L474" s="4"/>
      <c r="M474" s="4"/>
    </row>
    <row r="475">
      <c r="L475" s="4"/>
      <c r="M475" s="4"/>
    </row>
    <row r="476">
      <c r="L476" s="4"/>
      <c r="M476" s="4"/>
    </row>
    <row r="477">
      <c r="L477" s="4"/>
      <c r="M477" s="4"/>
    </row>
    <row r="478">
      <c r="L478" s="4"/>
      <c r="M478" s="4"/>
    </row>
    <row r="479">
      <c r="L479" s="4"/>
      <c r="M479" s="4"/>
    </row>
    <row r="480">
      <c r="L480" s="4"/>
      <c r="M480" s="4"/>
    </row>
    <row r="481">
      <c r="L481" s="4"/>
      <c r="M481" s="4"/>
    </row>
    <row r="482">
      <c r="L482" s="4"/>
      <c r="M482" s="4"/>
    </row>
    <row r="483">
      <c r="L483" s="4"/>
      <c r="M483" s="4"/>
    </row>
    <row r="484">
      <c r="L484" s="4"/>
      <c r="M484" s="4"/>
    </row>
    <row r="485">
      <c r="L485" s="4"/>
      <c r="M485" s="4"/>
    </row>
    <row r="486">
      <c r="L486" s="4"/>
      <c r="M486" s="4"/>
    </row>
    <row r="487">
      <c r="L487" s="4"/>
      <c r="M487" s="4"/>
    </row>
    <row r="488">
      <c r="L488" s="4"/>
      <c r="M488" s="4"/>
    </row>
    <row r="489">
      <c r="L489" s="4"/>
      <c r="M489" s="4"/>
    </row>
    <row r="490">
      <c r="L490" s="4"/>
      <c r="M490" s="4"/>
    </row>
    <row r="491">
      <c r="L491" s="4"/>
      <c r="M491" s="4"/>
    </row>
    <row r="492">
      <c r="L492" s="4"/>
      <c r="M492" s="4"/>
    </row>
    <row r="493">
      <c r="L493" s="4"/>
      <c r="M493" s="4"/>
    </row>
    <row r="494">
      <c r="L494" s="4"/>
      <c r="M494" s="4"/>
    </row>
    <row r="495">
      <c r="L495" s="4"/>
      <c r="M495" s="4"/>
    </row>
    <row r="496">
      <c r="L496" s="4"/>
      <c r="M496" s="4"/>
    </row>
    <row r="497">
      <c r="L497" s="4"/>
      <c r="M497" s="4"/>
    </row>
    <row r="498">
      <c r="L498" s="4"/>
      <c r="M498" s="4"/>
    </row>
    <row r="499">
      <c r="L499" s="4"/>
      <c r="M499" s="4"/>
    </row>
    <row r="500">
      <c r="L500" s="4"/>
      <c r="M500" s="4"/>
    </row>
    <row r="501">
      <c r="L501" s="4"/>
      <c r="M501" s="4"/>
    </row>
    <row r="502">
      <c r="L502" s="4"/>
      <c r="M502" s="4"/>
    </row>
    <row r="503">
      <c r="L503" s="4"/>
      <c r="M503" s="4"/>
    </row>
    <row r="504">
      <c r="L504" s="4"/>
      <c r="M504" s="4"/>
    </row>
    <row r="505">
      <c r="L505" s="4"/>
      <c r="M505" s="4"/>
    </row>
    <row r="506">
      <c r="L506" s="4"/>
      <c r="M506" s="4"/>
    </row>
    <row r="507">
      <c r="L507" s="4"/>
      <c r="M507" s="4"/>
    </row>
    <row r="508">
      <c r="L508" s="4"/>
      <c r="M508" s="4"/>
    </row>
    <row r="509">
      <c r="L509" s="4"/>
      <c r="M509" s="4"/>
    </row>
    <row r="510">
      <c r="L510" s="4"/>
      <c r="M510" s="4"/>
    </row>
    <row r="511">
      <c r="L511" s="4"/>
      <c r="M511" s="4"/>
    </row>
    <row r="512">
      <c r="L512" s="4"/>
      <c r="M512" s="4"/>
    </row>
    <row r="513">
      <c r="L513" s="4"/>
      <c r="M513" s="4"/>
    </row>
    <row r="514">
      <c r="L514" s="4"/>
      <c r="M514" s="4"/>
    </row>
    <row r="515">
      <c r="L515" s="4"/>
      <c r="M515" s="4"/>
    </row>
    <row r="516">
      <c r="L516" s="4"/>
      <c r="M516" s="4"/>
    </row>
    <row r="517">
      <c r="L517" s="4"/>
      <c r="M517" s="4"/>
    </row>
    <row r="518">
      <c r="L518" s="4"/>
      <c r="M518" s="4"/>
    </row>
    <row r="519">
      <c r="L519" s="4"/>
      <c r="M519" s="4"/>
    </row>
    <row r="520">
      <c r="L520" s="4"/>
      <c r="M520" s="4"/>
    </row>
    <row r="521">
      <c r="L521" s="4"/>
      <c r="M521" s="4"/>
    </row>
    <row r="522">
      <c r="L522" s="4"/>
      <c r="M522" s="4"/>
    </row>
    <row r="523">
      <c r="L523" s="4"/>
      <c r="M523" s="4"/>
    </row>
    <row r="524">
      <c r="L524" s="4"/>
      <c r="M524" s="4"/>
    </row>
    <row r="525">
      <c r="L525" s="4"/>
      <c r="M525" s="4"/>
    </row>
    <row r="526">
      <c r="L526" s="4"/>
      <c r="M526" s="4"/>
    </row>
    <row r="527">
      <c r="L527" s="4"/>
      <c r="M527" s="4"/>
    </row>
    <row r="528">
      <c r="L528" s="4"/>
      <c r="M528" s="4"/>
    </row>
    <row r="529">
      <c r="L529" s="4"/>
      <c r="M529" s="4"/>
    </row>
    <row r="530">
      <c r="L530" s="4"/>
      <c r="M530" s="4"/>
    </row>
    <row r="531">
      <c r="L531" s="4"/>
      <c r="M531" s="4"/>
    </row>
    <row r="532">
      <c r="L532" s="4"/>
      <c r="M532" s="4"/>
    </row>
    <row r="533">
      <c r="L533" s="4"/>
      <c r="M533" s="4"/>
    </row>
    <row r="534">
      <c r="L534" s="4"/>
      <c r="M534" s="4"/>
    </row>
    <row r="535">
      <c r="L535" s="4"/>
      <c r="M535" s="4"/>
    </row>
    <row r="536">
      <c r="L536" s="4"/>
      <c r="M536" s="4"/>
    </row>
    <row r="537">
      <c r="L537" s="4"/>
      <c r="M537" s="4"/>
    </row>
    <row r="538">
      <c r="L538" s="4"/>
      <c r="M538" s="4"/>
    </row>
    <row r="539">
      <c r="L539" s="4"/>
      <c r="M539" s="4"/>
    </row>
    <row r="540">
      <c r="L540" s="4"/>
      <c r="M540" s="4"/>
    </row>
    <row r="541">
      <c r="L541" s="4"/>
      <c r="M541" s="4"/>
    </row>
    <row r="542">
      <c r="L542" s="4"/>
      <c r="M542" s="4"/>
    </row>
    <row r="543">
      <c r="L543" s="4"/>
      <c r="M543" s="4"/>
    </row>
    <row r="544">
      <c r="L544" s="4"/>
      <c r="M544" s="4"/>
    </row>
    <row r="545">
      <c r="L545" s="4"/>
      <c r="M545" s="4"/>
    </row>
    <row r="546">
      <c r="L546" s="4"/>
      <c r="M546" s="4"/>
    </row>
    <row r="547">
      <c r="L547" s="4"/>
      <c r="M547" s="4"/>
    </row>
    <row r="548">
      <c r="L548" s="4"/>
      <c r="M548" s="4"/>
    </row>
    <row r="549">
      <c r="L549" s="4"/>
      <c r="M549" s="4"/>
    </row>
    <row r="550">
      <c r="L550" s="4"/>
      <c r="M550" s="4"/>
    </row>
    <row r="551">
      <c r="L551" s="4"/>
      <c r="M551" s="4"/>
    </row>
    <row r="552">
      <c r="L552" s="4"/>
      <c r="M552" s="4"/>
    </row>
    <row r="553">
      <c r="L553" s="4"/>
      <c r="M553" s="4"/>
    </row>
    <row r="554">
      <c r="L554" s="4"/>
      <c r="M554" s="4"/>
    </row>
    <row r="555">
      <c r="L555" s="4"/>
      <c r="M555" s="4"/>
    </row>
    <row r="556">
      <c r="L556" s="4"/>
      <c r="M556" s="4"/>
    </row>
    <row r="557">
      <c r="L557" s="4"/>
      <c r="M557" s="4"/>
    </row>
    <row r="558">
      <c r="L558" s="4"/>
      <c r="M558" s="4"/>
    </row>
    <row r="559">
      <c r="L559" s="4"/>
      <c r="M559" s="4"/>
    </row>
    <row r="560">
      <c r="L560" s="4"/>
      <c r="M560" s="4"/>
    </row>
    <row r="561">
      <c r="L561" s="4"/>
      <c r="M561" s="4"/>
    </row>
    <row r="562">
      <c r="L562" s="4"/>
      <c r="M562" s="4"/>
    </row>
    <row r="563">
      <c r="L563" s="4"/>
      <c r="M563" s="4"/>
    </row>
    <row r="564">
      <c r="L564" s="4"/>
      <c r="M564" s="4"/>
    </row>
    <row r="565">
      <c r="L565" s="4"/>
      <c r="M565" s="4"/>
    </row>
    <row r="566">
      <c r="L566" s="4"/>
      <c r="M566" s="4"/>
    </row>
    <row r="567">
      <c r="L567" s="4"/>
      <c r="M567" s="4"/>
    </row>
    <row r="568">
      <c r="L568" s="4"/>
      <c r="M568" s="4"/>
    </row>
    <row r="569">
      <c r="L569" s="4"/>
      <c r="M569" s="4"/>
    </row>
    <row r="570">
      <c r="L570" s="4"/>
      <c r="M570" s="4"/>
    </row>
    <row r="571">
      <c r="L571" s="4"/>
      <c r="M571" s="4"/>
    </row>
    <row r="572">
      <c r="L572" s="4"/>
      <c r="M572" s="4"/>
    </row>
    <row r="573">
      <c r="L573" s="4"/>
      <c r="M573" s="4"/>
    </row>
    <row r="574">
      <c r="L574" s="4"/>
      <c r="M574" s="4"/>
    </row>
    <row r="575">
      <c r="L575" s="4"/>
      <c r="M575" s="4"/>
    </row>
    <row r="576">
      <c r="L576" s="4"/>
      <c r="M576" s="4"/>
    </row>
    <row r="577">
      <c r="L577" s="4"/>
      <c r="M577" s="4"/>
    </row>
    <row r="578">
      <c r="L578" s="4"/>
      <c r="M578" s="4"/>
    </row>
    <row r="579">
      <c r="L579" s="4"/>
      <c r="M579" s="4"/>
    </row>
    <row r="580">
      <c r="L580" s="4"/>
      <c r="M580" s="4"/>
    </row>
    <row r="581">
      <c r="L581" s="4"/>
      <c r="M581" s="4"/>
    </row>
    <row r="582">
      <c r="L582" s="4"/>
      <c r="M582" s="4"/>
    </row>
    <row r="583">
      <c r="L583" s="4"/>
      <c r="M583" s="4"/>
    </row>
    <row r="584">
      <c r="L584" s="4"/>
      <c r="M584" s="4"/>
    </row>
    <row r="585">
      <c r="L585" s="4"/>
      <c r="M585" s="4"/>
    </row>
    <row r="586">
      <c r="L586" s="4"/>
      <c r="M586" s="4"/>
    </row>
    <row r="587">
      <c r="L587" s="4"/>
      <c r="M587" s="4"/>
    </row>
    <row r="588">
      <c r="L588" s="4"/>
      <c r="M588" s="4"/>
    </row>
    <row r="589">
      <c r="L589" s="4"/>
      <c r="M589" s="4"/>
    </row>
    <row r="590">
      <c r="L590" s="4"/>
      <c r="M590" s="4"/>
    </row>
    <row r="591">
      <c r="L591" s="4"/>
      <c r="M591" s="4"/>
    </row>
    <row r="592">
      <c r="L592" s="4"/>
      <c r="M592" s="4"/>
    </row>
    <row r="593">
      <c r="L593" s="4"/>
      <c r="M593" s="4"/>
    </row>
    <row r="594">
      <c r="L594" s="4"/>
      <c r="M594" s="4"/>
    </row>
    <row r="595">
      <c r="L595" s="4"/>
      <c r="M595" s="4"/>
    </row>
    <row r="596">
      <c r="L596" s="4"/>
      <c r="M596" s="4"/>
    </row>
    <row r="597">
      <c r="L597" s="4"/>
      <c r="M597" s="4"/>
    </row>
    <row r="598">
      <c r="L598" s="4"/>
      <c r="M598" s="4"/>
    </row>
    <row r="599">
      <c r="L599" s="4"/>
      <c r="M599" s="4"/>
    </row>
    <row r="600">
      <c r="L600" s="4"/>
      <c r="M600" s="4"/>
    </row>
    <row r="601">
      <c r="L601" s="4"/>
      <c r="M601" s="4"/>
    </row>
    <row r="602">
      <c r="L602" s="4"/>
      <c r="M602" s="4"/>
    </row>
    <row r="603">
      <c r="L603" s="4"/>
      <c r="M603" s="4"/>
    </row>
    <row r="604">
      <c r="L604" s="4"/>
      <c r="M604" s="4"/>
    </row>
    <row r="605">
      <c r="L605" s="4"/>
      <c r="M605" s="4"/>
    </row>
    <row r="606">
      <c r="L606" s="4"/>
      <c r="M606" s="4"/>
    </row>
    <row r="607">
      <c r="L607" s="4"/>
      <c r="M607" s="4"/>
    </row>
    <row r="608">
      <c r="L608" s="4"/>
      <c r="M608" s="4"/>
    </row>
    <row r="609">
      <c r="L609" s="4"/>
      <c r="M609" s="4"/>
    </row>
    <row r="610">
      <c r="L610" s="4"/>
      <c r="M610" s="4"/>
    </row>
    <row r="611">
      <c r="L611" s="4"/>
      <c r="M611" s="4"/>
    </row>
    <row r="612">
      <c r="L612" s="4"/>
      <c r="M612" s="4"/>
    </row>
    <row r="613">
      <c r="L613" s="4"/>
      <c r="M613" s="4"/>
    </row>
    <row r="614">
      <c r="L614" s="4"/>
      <c r="M614" s="4"/>
    </row>
    <row r="615">
      <c r="L615" s="4"/>
      <c r="M615" s="4"/>
    </row>
    <row r="616">
      <c r="L616" s="4"/>
      <c r="M616" s="4"/>
    </row>
    <row r="617">
      <c r="L617" s="4"/>
      <c r="M617" s="4"/>
    </row>
    <row r="618">
      <c r="L618" s="4"/>
      <c r="M618" s="4"/>
    </row>
    <row r="619">
      <c r="L619" s="4"/>
      <c r="M619" s="4"/>
    </row>
    <row r="620">
      <c r="L620" s="4"/>
      <c r="M620" s="4"/>
    </row>
    <row r="621">
      <c r="L621" s="4"/>
      <c r="M621" s="4"/>
    </row>
    <row r="622">
      <c r="L622" s="4"/>
      <c r="M622" s="4"/>
    </row>
    <row r="623">
      <c r="L623" s="4"/>
      <c r="M623" s="4"/>
    </row>
    <row r="624">
      <c r="L624" s="4"/>
      <c r="M624" s="4"/>
    </row>
    <row r="625">
      <c r="L625" s="4"/>
      <c r="M625" s="4"/>
    </row>
    <row r="626">
      <c r="L626" s="4"/>
      <c r="M626" s="4"/>
    </row>
    <row r="627">
      <c r="L627" s="4"/>
      <c r="M627" s="4"/>
    </row>
    <row r="628">
      <c r="L628" s="4"/>
      <c r="M628" s="4"/>
    </row>
    <row r="629">
      <c r="L629" s="4"/>
      <c r="M629" s="4"/>
    </row>
    <row r="630">
      <c r="L630" s="4"/>
      <c r="M630" s="4"/>
    </row>
    <row r="631">
      <c r="L631" s="4"/>
      <c r="M631" s="4"/>
    </row>
    <row r="632">
      <c r="L632" s="4"/>
      <c r="M632" s="4"/>
    </row>
    <row r="633">
      <c r="L633" s="4"/>
      <c r="M633" s="4"/>
    </row>
    <row r="634">
      <c r="L634" s="4"/>
      <c r="M634" s="4"/>
    </row>
    <row r="635">
      <c r="L635" s="4"/>
      <c r="M635" s="4"/>
    </row>
    <row r="636">
      <c r="L636" s="4"/>
      <c r="M636" s="4"/>
    </row>
    <row r="637">
      <c r="L637" s="4"/>
      <c r="M637" s="4"/>
    </row>
    <row r="638">
      <c r="L638" s="4"/>
      <c r="M638" s="4"/>
    </row>
    <row r="639">
      <c r="L639" s="4"/>
      <c r="M639" s="4"/>
    </row>
    <row r="640">
      <c r="L640" s="4"/>
      <c r="M640" s="4"/>
    </row>
    <row r="641">
      <c r="L641" s="4"/>
      <c r="M641" s="4"/>
    </row>
    <row r="642">
      <c r="L642" s="4"/>
      <c r="M642" s="4"/>
    </row>
    <row r="643">
      <c r="L643" s="4"/>
      <c r="M643" s="4"/>
    </row>
    <row r="644">
      <c r="L644" s="4"/>
      <c r="M644" s="4"/>
    </row>
    <row r="645">
      <c r="L645" s="4"/>
      <c r="M645" s="4"/>
    </row>
    <row r="646">
      <c r="L646" s="4"/>
      <c r="M646" s="4"/>
    </row>
    <row r="647">
      <c r="L647" s="4"/>
      <c r="M647" s="4"/>
    </row>
    <row r="648">
      <c r="L648" s="4"/>
      <c r="M648" s="4"/>
    </row>
    <row r="649">
      <c r="L649" s="4"/>
      <c r="M649" s="4"/>
    </row>
    <row r="650">
      <c r="L650" s="4"/>
      <c r="M650" s="4"/>
    </row>
    <row r="651">
      <c r="L651" s="4"/>
      <c r="M651" s="4"/>
    </row>
    <row r="652">
      <c r="L652" s="4"/>
      <c r="M652" s="4"/>
    </row>
    <row r="653">
      <c r="L653" s="4"/>
      <c r="M653" s="4"/>
    </row>
    <row r="654">
      <c r="L654" s="4"/>
      <c r="M654" s="4"/>
    </row>
    <row r="655">
      <c r="L655" s="4"/>
      <c r="M655" s="4"/>
    </row>
    <row r="656">
      <c r="L656" s="4"/>
      <c r="M656" s="4"/>
    </row>
    <row r="657">
      <c r="L657" s="4"/>
      <c r="M657" s="4"/>
    </row>
    <row r="658">
      <c r="L658" s="4"/>
      <c r="M658" s="4"/>
    </row>
    <row r="659">
      <c r="L659" s="4"/>
      <c r="M659" s="4"/>
    </row>
    <row r="660">
      <c r="L660" s="4"/>
      <c r="M660" s="4"/>
    </row>
    <row r="661">
      <c r="L661" s="4"/>
      <c r="M661" s="4"/>
    </row>
    <row r="662">
      <c r="L662" s="4"/>
      <c r="M662" s="4"/>
    </row>
    <row r="663">
      <c r="L663" s="4"/>
      <c r="M663" s="4"/>
    </row>
    <row r="664">
      <c r="L664" s="4"/>
      <c r="M664" s="4"/>
    </row>
    <row r="665">
      <c r="L665" s="4"/>
      <c r="M665" s="4"/>
    </row>
    <row r="666">
      <c r="L666" s="4"/>
      <c r="M666" s="4"/>
    </row>
    <row r="667">
      <c r="L667" s="4"/>
      <c r="M667" s="4"/>
    </row>
    <row r="668">
      <c r="L668" s="4"/>
      <c r="M668" s="4"/>
    </row>
    <row r="669">
      <c r="L669" s="4"/>
      <c r="M669" s="4"/>
    </row>
    <row r="670">
      <c r="L670" s="4"/>
      <c r="M670" s="4"/>
    </row>
    <row r="671">
      <c r="L671" s="4"/>
      <c r="M671" s="4"/>
    </row>
    <row r="672">
      <c r="L672" s="4"/>
      <c r="M672" s="4"/>
    </row>
    <row r="673">
      <c r="L673" s="4"/>
      <c r="M673" s="4"/>
    </row>
    <row r="674">
      <c r="L674" s="4"/>
      <c r="M674" s="4"/>
    </row>
    <row r="675">
      <c r="L675" s="4"/>
      <c r="M675" s="4"/>
    </row>
    <row r="676">
      <c r="L676" s="4"/>
      <c r="M676" s="4"/>
    </row>
    <row r="677">
      <c r="L677" s="4"/>
      <c r="M677" s="4"/>
    </row>
    <row r="678">
      <c r="L678" s="4"/>
      <c r="M678" s="4"/>
    </row>
    <row r="679">
      <c r="L679" s="4"/>
      <c r="M679" s="4"/>
    </row>
    <row r="680">
      <c r="L680" s="4"/>
      <c r="M680" s="4"/>
    </row>
    <row r="681">
      <c r="L681" s="4"/>
      <c r="M681" s="4"/>
    </row>
    <row r="682">
      <c r="L682" s="4"/>
      <c r="M682" s="4"/>
    </row>
    <row r="683">
      <c r="L683" s="4"/>
      <c r="M683" s="4"/>
    </row>
    <row r="684">
      <c r="L684" s="4"/>
      <c r="M684" s="4"/>
    </row>
    <row r="685">
      <c r="L685" s="4"/>
      <c r="M685" s="4"/>
    </row>
    <row r="686">
      <c r="L686" s="4"/>
      <c r="M686" s="4"/>
    </row>
    <row r="687">
      <c r="L687" s="4"/>
      <c r="M687" s="4"/>
    </row>
    <row r="688">
      <c r="L688" s="4"/>
      <c r="M688" s="4"/>
    </row>
    <row r="689">
      <c r="L689" s="4"/>
      <c r="M689" s="4"/>
    </row>
    <row r="690">
      <c r="L690" s="4"/>
      <c r="M690" s="4"/>
    </row>
    <row r="691">
      <c r="L691" s="4"/>
      <c r="M691" s="4"/>
    </row>
    <row r="692">
      <c r="L692" s="4"/>
      <c r="M692" s="4"/>
    </row>
    <row r="693">
      <c r="L693" s="4"/>
      <c r="M693" s="4"/>
    </row>
    <row r="694">
      <c r="L694" s="4"/>
      <c r="M694" s="4"/>
    </row>
    <row r="695">
      <c r="L695" s="4"/>
      <c r="M695" s="4"/>
    </row>
    <row r="696">
      <c r="L696" s="4"/>
      <c r="M696" s="4"/>
    </row>
    <row r="697">
      <c r="L697" s="4"/>
      <c r="M697" s="4"/>
    </row>
    <row r="698">
      <c r="L698" s="4"/>
      <c r="M698" s="4"/>
    </row>
    <row r="699">
      <c r="L699" s="4"/>
      <c r="M699" s="4"/>
    </row>
    <row r="700">
      <c r="L700" s="4"/>
      <c r="M700" s="4"/>
    </row>
    <row r="701">
      <c r="L701" s="4"/>
      <c r="M701" s="4"/>
    </row>
    <row r="702">
      <c r="L702" s="4"/>
      <c r="M702" s="4"/>
    </row>
    <row r="703">
      <c r="L703" s="4"/>
      <c r="M703" s="4"/>
    </row>
    <row r="704">
      <c r="L704" s="4"/>
      <c r="M704" s="4"/>
    </row>
    <row r="705">
      <c r="L705" s="4"/>
      <c r="M705" s="4"/>
    </row>
    <row r="706">
      <c r="L706" s="4"/>
      <c r="M706" s="4"/>
    </row>
    <row r="707">
      <c r="L707" s="4"/>
      <c r="M707" s="4"/>
    </row>
    <row r="708">
      <c r="L708" s="4"/>
      <c r="M708" s="4"/>
    </row>
    <row r="709">
      <c r="L709" s="4"/>
      <c r="M709" s="4"/>
    </row>
    <row r="710">
      <c r="L710" s="4"/>
      <c r="M710" s="4"/>
    </row>
    <row r="711">
      <c r="L711" s="4"/>
      <c r="M711" s="4"/>
    </row>
    <row r="712">
      <c r="L712" s="4"/>
      <c r="M712" s="4"/>
    </row>
    <row r="713">
      <c r="L713" s="4"/>
      <c r="M713" s="4"/>
    </row>
    <row r="714">
      <c r="L714" s="4"/>
      <c r="M714" s="4"/>
    </row>
    <row r="715">
      <c r="L715" s="4"/>
      <c r="M715" s="4"/>
    </row>
    <row r="716">
      <c r="L716" s="4"/>
      <c r="M716" s="4"/>
    </row>
    <row r="717">
      <c r="L717" s="4"/>
      <c r="M717" s="4"/>
    </row>
    <row r="718">
      <c r="L718" s="4"/>
      <c r="M718" s="4"/>
    </row>
    <row r="719">
      <c r="L719" s="4"/>
      <c r="M719" s="4"/>
    </row>
    <row r="720">
      <c r="L720" s="4"/>
      <c r="M720" s="4"/>
    </row>
    <row r="721">
      <c r="L721" s="4"/>
      <c r="M721" s="4"/>
    </row>
    <row r="722">
      <c r="L722" s="4"/>
      <c r="M722" s="4"/>
    </row>
    <row r="723">
      <c r="L723" s="4"/>
      <c r="M723" s="4"/>
    </row>
    <row r="724">
      <c r="L724" s="4"/>
      <c r="M724" s="4"/>
    </row>
    <row r="725">
      <c r="L725" s="4"/>
      <c r="M725" s="4"/>
    </row>
    <row r="726">
      <c r="L726" s="4"/>
      <c r="M726" s="4"/>
    </row>
    <row r="727">
      <c r="L727" s="4"/>
      <c r="M727" s="4"/>
    </row>
    <row r="728">
      <c r="L728" s="4"/>
      <c r="M728" s="4"/>
    </row>
    <row r="729">
      <c r="L729" s="4"/>
      <c r="M729" s="4"/>
    </row>
    <row r="730">
      <c r="L730" s="4"/>
      <c r="M730" s="4"/>
    </row>
    <row r="731">
      <c r="L731" s="4"/>
      <c r="M731" s="4"/>
    </row>
    <row r="732">
      <c r="L732" s="4"/>
      <c r="M732" s="4"/>
    </row>
    <row r="733">
      <c r="L733" s="4"/>
      <c r="M733" s="4"/>
    </row>
    <row r="734">
      <c r="L734" s="4"/>
      <c r="M734" s="4"/>
    </row>
    <row r="735">
      <c r="L735" s="4"/>
      <c r="M735" s="4"/>
    </row>
    <row r="736">
      <c r="L736" s="4"/>
      <c r="M736" s="4"/>
    </row>
    <row r="737">
      <c r="L737" s="4"/>
      <c r="M737" s="4"/>
    </row>
    <row r="738">
      <c r="L738" s="4"/>
      <c r="M738" s="4"/>
    </row>
    <row r="739">
      <c r="L739" s="4"/>
      <c r="M739" s="4"/>
    </row>
    <row r="740">
      <c r="L740" s="4"/>
      <c r="M740" s="4"/>
    </row>
    <row r="741">
      <c r="L741" s="4"/>
      <c r="M741" s="4"/>
    </row>
    <row r="742">
      <c r="L742" s="4"/>
      <c r="M742" s="4"/>
    </row>
    <row r="743">
      <c r="L743" s="4"/>
      <c r="M743" s="4"/>
    </row>
    <row r="744">
      <c r="L744" s="4"/>
      <c r="M744" s="4"/>
    </row>
    <row r="745">
      <c r="L745" s="4"/>
      <c r="M745" s="4"/>
    </row>
    <row r="746">
      <c r="L746" s="4"/>
      <c r="M746" s="4"/>
    </row>
    <row r="747">
      <c r="L747" s="4"/>
      <c r="M747" s="4"/>
    </row>
    <row r="748">
      <c r="L748" s="4"/>
      <c r="M748" s="4"/>
    </row>
    <row r="749">
      <c r="L749" s="4"/>
      <c r="M749" s="4"/>
    </row>
    <row r="750">
      <c r="L750" s="4"/>
      <c r="M750" s="4"/>
    </row>
    <row r="751">
      <c r="L751" s="4"/>
      <c r="M751" s="4"/>
    </row>
    <row r="752">
      <c r="L752" s="4"/>
      <c r="M752" s="4"/>
    </row>
    <row r="753">
      <c r="L753" s="4"/>
      <c r="M753" s="4"/>
    </row>
    <row r="754">
      <c r="L754" s="4"/>
      <c r="M754" s="4"/>
    </row>
    <row r="755">
      <c r="L755" s="4"/>
      <c r="M755" s="4"/>
    </row>
    <row r="756">
      <c r="L756" s="4"/>
      <c r="M756" s="4"/>
    </row>
    <row r="757">
      <c r="L757" s="4"/>
      <c r="M757" s="4"/>
    </row>
    <row r="758">
      <c r="L758" s="4"/>
      <c r="M758" s="4"/>
    </row>
    <row r="759">
      <c r="L759" s="4"/>
      <c r="M759" s="4"/>
    </row>
    <row r="760">
      <c r="L760" s="4"/>
      <c r="M760" s="4"/>
    </row>
    <row r="761">
      <c r="L761" s="4"/>
      <c r="M761" s="4"/>
    </row>
    <row r="762">
      <c r="L762" s="4"/>
      <c r="M762" s="4"/>
    </row>
    <row r="763">
      <c r="L763" s="4"/>
      <c r="M763" s="4"/>
    </row>
    <row r="764">
      <c r="L764" s="4"/>
      <c r="M764" s="4"/>
    </row>
    <row r="765">
      <c r="L765" s="4"/>
      <c r="M765" s="4"/>
    </row>
    <row r="766">
      <c r="L766" s="4"/>
      <c r="M766" s="4"/>
    </row>
    <row r="767">
      <c r="L767" s="4"/>
      <c r="M767" s="4"/>
    </row>
    <row r="768">
      <c r="L768" s="4"/>
      <c r="M768" s="4"/>
    </row>
    <row r="769">
      <c r="L769" s="4"/>
      <c r="M769" s="4"/>
    </row>
    <row r="770">
      <c r="L770" s="4"/>
      <c r="M770" s="4"/>
    </row>
    <row r="771">
      <c r="L771" s="4"/>
      <c r="M771" s="4"/>
    </row>
    <row r="772">
      <c r="L772" s="4"/>
      <c r="M772" s="4"/>
    </row>
    <row r="773">
      <c r="L773" s="4"/>
      <c r="M773" s="4"/>
    </row>
    <row r="774">
      <c r="L774" s="4"/>
      <c r="M774" s="4"/>
    </row>
    <row r="775">
      <c r="L775" s="4"/>
      <c r="M775" s="4"/>
    </row>
    <row r="776">
      <c r="L776" s="4"/>
      <c r="M776" s="4"/>
    </row>
    <row r="777">
      <c r="L777" s="4"/>
      <c r="M777" s="4"/>
    </row>
    <row r="778">
      <c r="L778" s="4"/>
      <c r="M778" s="4"/>
    </row>
    <row r="779">
      <c r="L779" s="4"/>
      <c r="M779" s="4"/>
    </row>
    <row r="780">
      <c r="L780" s="4"/>
      <c r="M780" s="4"/>
    </row>
    <row r="781">
      <c r="L781" s="4"/>
      <c r="M781" s="4"/>
    </row>
    <row r="782">
      <c r="L782" s="4"/>
      <c r="M782" s="4"/>
    </row>
    <row r="783">
      <c r="L783" s="4"/>
      <c r="M783" s="4"/>
    </row>
    <row r="784">
      <c r="L784" s="4"/>
      <c r="M784" s="4"/>
    </row>
    <row r="785">
      <c r="L785" s="4"/>
      <c r="M785" s="4"/>
    </row>
    <row r="786">
      <c r="L786" s="4"/>
      <c r="M786" s="4"/>
    </row>
    <row r="787">
      <c r="L787" s="4"/>
      <c r="M787" s="4"/>
    </row>
    <row r="788">
      <c r="L788" s="4"/>
      <c r="M788" s="4"/>
    </row>
    <row r="789">
      <c r="L789" s="4"/>
      <c r="M789" s="4"/>
    </row>
    <row r="790">
      <c r="L790" s="4"/>
      <c r="M790" s="4"/>
    </row>
    <row r="791">
      <c r="L791" s="4"/>
      <c r="M791" s="4"/>
    </row>
    <row r="792">
      <c r="L792" s="4"/>
      <c r="M792" s="4"/>
    </row>
    <row r="793">
      <c r="L793" s="4"/>
      <c r="M793" s="4"/>
    </row>
    <row r="794">
      <c r="L794" s="4"/>
      <c r="M794" s="4"/>
    </row>
    <row r="795">
      <c r="L795" s="4"/>
      <c r="M795" s="4"/>
    </row>
    <row r="796">
      <c r="L796" s="4"/>
      <c r="M796" s="4"/>
    </row>
    <row r="797">
      <c r="L797" s="4"/>
      <c r="M797" s="4"/>
    </row>
    <row r="798">
      <c r="L798" s="4"/>
      <c r="M798" s="4"/>
    </row>
    <row r="799">
      <c r="L799" s="4"/>
      <c r="M799" s="4"/>
    </row>
    <row r="800">
      <c r="L800" s="4"/>
      <c r="M800" s="4"/>
    </row>
    <row r="801">
      <c r="L801" s="4"/>
      <c r="M801" s="4"/>
    </row>
    <row r="802">
      <c r="L802" s="4"/>
      <c r="M802" s="4"/>
    </row>
    <row r="803">
      <c r="L803" s="4"/>
      <c r="M803" s="4"/>
    </row>
    <row r="804">
      <c r="L804" s="4"/>
      <c r="M804" s="4"/>
    </row>
    <row r="805">
      <c r="L805" s="4"/>
      <c r="M805" s="4"/>
    </row>
    <row r="806">
      <c r="L806" s="4"/>
      <c r="M806" s="4"/>
    </row>
    <row r="807">
      <c r="L807" s="4"/>
      <c r="M807" s="4"/>
    </row>
    <row r="808">
      <c r="L808" s="4"/>
      <c r="M808" s="4"/>
    </row>
    <row r="809">
      <c r="L809" s="4"/>
      <c r="M809" s="4"/>
    </row>
    <row r="810">
      <c r="L810" s="4"/>
      <c r="M810" s="4"/>
    </row>
    <row r="811">
      <c r="L811" s="4"/>
      <c r="M811" s="4"/>
    </row>
    <row r="812">
      <c r="L812" s="4"/>
      <c r="M812" s="4"/>
    </row>
    <row r="813">
      <c r="L813" s="4"/>
      <c r="M813" s="4"/>
    </row>
    <row r="814">
      <c r="L814" s="4"/>
      <c r="M814" s="4"/>
    </row>
    <row r="815">
      <c r="L815" s="4"/>
      <c r="M815" s="4"/>
    </row>
    <row r="816">
      <c r="L816" s="4"/>
      <c r="M816" s="4"/>
    </row>
    <row r="817">
      <c r="L817" s="4"/>
      <c r="M817" s="4"/>
    </row>
    <row r="818">
      <c r="L818" s="4"/>
      <c r="M818" s="4"/>
    </row>
    <row r="819">
      <c r="L819" s="4"/>
      <c r="M819" s="4"/>
    </row>
    <row r="820">
      <c r="L820" s="4"/>
      <c r="M820" s="4"/>
    </row>
    <row r="821">
      <c r="L821" s="4"/>
      <c r="M821" s="4"/>
    </row>
    <row r="822">
      <c r="L822" s="4"/>
      <c r="M822" s="4"/>
    </row>
    <row r="823">
      <c r="L823" s="4"/>
      <c r="M823" s="4"/>
    </row>
    <row r="824">
      <c r="L824" s="4"/>
      <c r="M824" s="4"/>
    </row>
    <row r="825">
      <c r="L825" s="4"/>
      <c r="M825" s="4"/>
    </row>
    <row r="826">
      <c r="L826" s="4"/>
      <c r="M826" s="4"/>
    </row>
    <row r="827">
      <c r="L827" s="4"/>
      <c r="M827" s="4"/>
    </row>
    <row r="828">
      <c r="L828" s="4"/>
      <c r="M828" s="4"/>
    </row>
    <row r="829">
      <c r="L829" s="4"/>
      <c r="M829" s="4"/>
    </row>
    <row r="830">
      <c r="L830" s="4"/>
      <c r="M830" s="4"/>
    </row>
    <row r="831">
      <c r="L831" s="4"/>
      <c r="M831" s="4"/>
    </row>
    <row r="832">
      <c r="L832" s="4"/>
      <c r="M832" s="4"/>
    </row>
    <row r="833">
      <c r="L833" s="4"/>
      <c r="M833" s="4"/>
    </row>
    <row r="834">
      <c r="L834" s="4"/>
      <c r="M834" s="4"/>
    </row>
    <row r="835">
      <c r="L835" s="4"/>
      <c r="M835" s="4"/>
    </row>
    <row r="836">
      <c r="L836" s="4"/>
      <c r="M836" s="4"/>
    </row>
    <row r="837">
      <c r="L837" s="4"/>
      <c r="M837" s="4"/>
    </row>
    <row r="838">
      <c r="L838" s="4"/>
      <c r="M838" s="4"/>
    </row>
    <row r="839">
      <c r="L839" s="4"/>
      <c r="M839" s="4"/>
    </row>
    <row r="840">
      <c r="L840" s="4"/>
      <c r="M840" s="4"/>
    </row>
    <row r="841">
      <c r="L841" s="4"/>
      <c r="M841" s="4"/>
    </row>
    <row r="842">
      <c r="L842" s="4"/>
      <c r="M842" s="4"/>
    </row>
    <row r="843">
      <c r="L843" s="4"/>
      <c r="M843" s="4"/>
    </row>
    <row r="844">
      <c r="L844" s="4"/>
      <c r="M844" s="4"/>
    </row>
    <row r="845">
      <c r="L845" s="4"/>
      <c r="M845" s="4"/>
    </row>
    <row r="846">
      <c r="L846" s="4"/>
      <c r="M846" s="4"/>
    </row>
    <row r="847">
      <c r="L847" s="4"/>
      <c r="M847" s="4"/>
    </row>
    <row r="848">
      <c r="L848" s="4"/>
      <c r="M848" s="4"/>
    </row>
    <row r="849">
      <c r="L849" s="4"/>
      <c r="M849" s="4"/>
    </row>
    <row r="850">
      <c r="L850" s="4"/>
      <c r="M850" s="4"/>
    </row>
    <row r="851">
      <c r="L851" s="4"/>
      <c r="M851" s="4"/>
    </row>
    <row r="852">
      <c r="L852" s="4"/>
      <c r="M852" s="4"/>
    </row>
    <row r="853">
      <c r="L853" s="4"/>
      <c r="M853" s="4"/>
    </row>
    <row r="854">
      <c r="L854" s="4"/>
      <c r="M854" s="4"/>
    </row>
    <row r="855">
      <c r="L855" s="4"/>
      <c r="M855" s="4"/>
    </row>
    <row r="856">
      <c r="L856" s="4"/>
      <c r="M856" s="4"/>
    </row>
    <row r="857">
      <c r="L857" s="4"/>
      <c r="M857" s="4"/>
    </row>
    <row r="858">
      <c r="L858" s="4"/>
      <c r="M858" s="4"/>
    </row>
    <row r="859">
      <c r="L859" s="4"/>
      <c r="M859" s="4"/>
    </row>
    <row r="860">
      <c r="L860" s="4"/>
      <c r="M860" s="4"/>
    </row>
    <row r="861">
      <c r="L861" s="4"/>
      <c r="M861" s="4"/>
    </row>
    <row r="862">
      <c r="L862" s="4"/>
      <c r="M862" s="4"/>
    </row>
    <row r="863">
      <c r="L863" s="4"/>
      <c r="M863" s="4"/>
    </row>
    <row r="864">
      <c r="L864" s="4"/>
      <c r="M864" s="4"/>
    </row>
    <row r="865">
      <c r="L865" s="4"/>
      <c r="M865" s="4"/>
    </row>
    <row r="866">
      <c r="L866" s="4"/>
      <c r="M866" s="4"/>
    </row>
    <row r="867">
      <c r="L867" s="4"/>
      <c r="M867" s="4"/>
    </row>
    <row r="868">
      <c r="L868" s="4"/>
      <c r="M868" s="4"/>
    </row>
    <row r="869">
      <c r="L869" s="4"/>
      <c r="M869" s="4"/>
    </row>
    <row r="870">
      <c r="L870" s="4"/>
      <c r="M870" s="4"/>
    </row>
    <row r="871">
      <c r="L871" s="4"/>
      <c r="M871" s="4"/>
    </row>
    <row r="872">
      <c r="L872" s="4"/>
      <c r="M872" s="4"/>
    </row>
    <row r="873">
      <c r="L873" s="4"/>
      <c r="M873" s="4"/>
    </row>
    <row r="874">
      <c r="L874" s="4"/>
      <c r="M874" s="4"/>
    </row>
    <row r="875">
      <c r="L875" s="4"/>
      <c r="M875" s="4"/>
    </row>
    <row r="876">
      <c r="L876" s="4"/>
      <c r="M876" s="4"/>
    </row>
    <row r="877">
      <c r="L877" s="4"/>
      <c r="M877" s="4"/>
    </row>
    <row r="878">
      <c r="L878" s="4"/>
      <c r="M878" s="4"/>
    </row>
    <row r="879">
      <c r="L879" s="4"/>
      <c r="M879" s="4"/>
    </row>
    <row r="880">
      <c r="L880" s="4"/>
      <c r="M880" s="4"/>
    </row>
    <row r="881">
      <c r="L881" s="4"/>
      <c r="M881" s="4"/>
    </row>
    <row r="882">
      <c r="L882" s="4"/>
      <c r="M882" s="4"/>
    </row>
    <row r="883">
      <c r="L883" s="4"/>
      <c r="M883" s="4"/>
    </row>
    <row r="884">
      <c r="L884" s="4"/>
      <c r="M884" s="4"/>
    </row>
    <row r="885">
      <c r="L885" s="4"/>
      <c r="M885" s="4"/>
    </row>
    <row r="886">
      <c r="L886" s="4"/>
      <c r="M886" s="4"/>
    </row>
    <row r="887">
      <c r="L887" s="4"/>
      <c r="M887" s="4"/>
    </row>
    <row r="888">
      <c r="L888" s="4"/>
      <c r="M888" s="4"/>
    </row>
    <row r="889">
      <c r="L889" s="4"/>
      <c r="M889" s="4"/>
    </row>
    <row r="890">
      <c r="L890" s="4"/>
      <c r="M890" s="4"/>
    </row>
    <row r="891">
      <c r="L891" s="4"/>
      <c r="M891" s="4"/>
    </row>
    <row r="892">
      <c r="L892" s="4"/>
      <c r="M892" s="4"/>
    </row>
    <row r="893">
      <c r="L893" s="4"/>
      <c r="M893" s="4"/>
    </row>
    <row r="894">
      <c r="L894" s="4"/>
      <c r="M894" s="4"/>
    </row>
    <row r="895">
      <c r="L895" s="4"/>
      <c r="M895" s="4"/>
    </row>
    <row r="896">
      <c r="L896" s="4"/>
      <c r="M896" s="4"/>
    </row>
    <row r="897">
      <c r="L897" s="4"/>
      <c r="M897" s="4"/>
    </row>
    <row r="898">
      <c r="L898" s="4"/>
      <c r="M898" s="4"/>
    </row>
    <row r="899">
      <c r="L899" s="4"/>
      <c r="M899" s="4"/>
    </row>
    <row r="900">
      <c r="L900" s="4"/>
      <c r="M900" s="4"/>
    </row>
    <row r="901">
      <c r="L901" s="4"/>
      <c r="M901" s="4"/>
    </row>
    <row r="902">
      <c r="L902" s="4"/>
      <c r="M902" s="4"/>
    </row>
    <row r="903">
      <c r="L903" s="4"/>
      <c r="M903" s="4"/>
    </row>
    <row r="904">
      <c r="L904" s="4"/>
      <c r="M904" s="4"/>
    </row>
    <row r="905">
      <c r="L905" s="4"/>
      <c r="M905" s="4"/>
    </row>
    <row r="906">
      <c r="L906" s="4"/>
      <c r="M906" s="4"/>
    </row>
    <row r="907">
      <c r="L907" s="4"/>
      <c r="M907" s="4"/>
    </row>
    <row r="908">
      <c r="L908" s="4"/>
      <c r="M908" s="4"/>
    </row>
    <row r="909">
      <c r="L909" s="4"/>
      <c r="M909" s="4"/>
    </row>
    <row r="910">
      <c r="L910" s="4"/>
      <c r="M910" s="4"/>
    </row>
    <row r="911">
      <c r="L911" s="4"/>
      <c r="M911" s="4"/>
    </row>
    <row r="912">
      <c r="L912" s="4"/>
      <c r="M912" s="4"/>
    </row>
    <row r="913">
      <c r="L913" s="4"/>
      <c r="M913" s="4"/>
    </row>
    <row r="914">
      <c r="L914" s="4"/>
      <c r="M914" s="4"/>
    </row>
    <row r="915">
      <c r="L915" s="4"/>
      <c r="M915" s="4"/>
    </row>
    <row r="916">
      <c r="L916" s="4"/>
      <c r="M916" s="4"/>
    </row>
    <row r="917">
      <c r="L917" s="4"/>
      <c r="M917" s="4"/>
    </row>
    <row r="918">
      <c r="L918" s="4"/>
      <c r="M918" s="4"/>
    </row>
    <row r="919">
      <c r="L919" s="4"/>
      <c r="M919" s="4"/>
    </row>
    <row r="920">
      <c r="L920" s="4"/>
      <c r="M920" s="4"/>
    </row>
    <row r="921">
      <c r="L921" s="4"/>
      <c r="M921" s="4"/>
    </row>
    <row r="922">
      <c r="L922" s="4"/>
      <c r="M922" s="4"/>
    </row>
    <row r="923">
      <c r="L923" s="4"/>
      <c r="M923" s="4"/>
    </row>
    <row r="924">
      <c r="L924" s="4"/>
      <c r="M924" s="4"/>
    </row>
    <row r="925">
      <c r="L925" s="4"/>
      <c r="M925" s="4"/>
    </row>
    <row r="926">
      <c r="L926" s="4"/>
      <c r="M926" s="4"/>
    </row>
    <row r="927">
      <c r="L927" s="4"/>
      <c r="M927" s="4"/>
    </row>
    <row r="928">
      <c r="L928" s="4"/>
      <c r="M928" s="4"/>
    </row>
    <row r="929">
      <c r="L929" s="4"/>
      <c r="M929" s="4"/>
    </row>
    <row r="930">
      <c r="L930" s="4"/>
      <c r="M930" s="4"/>
    </row>
    <row r="931">
      <c r="L931" s="4"/>
      <c r="M931" s="4"/>
    </row>
    <row r="932">
      <c r="L932" s="4"/>
      <c r="M932" s="4"/>
    </row>
    <row r="933">
      <c r="L933" s="4"/>
      <c r="M933" s="4"/>
    </row>
    <row r="934">
      <c r="L934" s="4"/>
      <c r="M934" s="4"/>
    </row>
    <row r="935">
      <c r="L935" s="4"/>
      <c r="M935" s="4"/>
    </row>
    <row r="936">
      <c r="L936" s="4"/>
      <c r="M936" s="4"/>
    </row>
    <row r="937">
      <c r="L937" s="4"/>
      <c r="M937" s="4"/>
    </row>
    <row r="938">
      <c r="L938" s="4"/>
      <c r="M938" s="4"/>
    </row>
    <row r="939">
      <c r="L939" s="4"/>
      <c r="M939" s="4"/>
    </row>
    <row r="940">
      <c r="L940" s="4"/>
      <c r="M940" s="4"/>
    </row>
    <row r="941">
      <c r="L941" s="4"/>
      <c r="M941" s="4"/>
    </row>
    <row r="942">
      <c r="L942" s="4"/>
      <c r="M942" s="4"/>
    </row>
    <row r="943">
      <c r="L943" s="4"/>
      <c r="M943" s="4"/>
    </row>
    <row r="944">
      <c r="L944" s="4"/>
      <c r="M944" s="4"/>
    </row>
    <row r="945">
      <c r="L945" s="4"/>
      <c r="M945" s="4"/>
    </row>
    <row r="946">
      <c r="L946" s="4"/>
      <c r="M946" s="4"/>
    </row>
    <row r="947">
      <c r="L947" s="4"/>
      <c r="M947" s="4"/>
    </row>
    <row r="948">
      <c r="L948" s="4"/>
      <c r="M948" s="4"/>
    </row>
    <row r="949">
      <c r="L949" s="4"/>
      <c r="M949" s="4"/>
    </row>
    <row r="950">
      <c r="L950" s="4"/>
      <c r="M950" s="4"/>
    </row>
    <row r="951">
      <c r="L951" s="4"/>
      <c r="M951" s="4"/>
    </row>
    <row r="952">
      <c r="L952" s="4"/>
      <c r="M952" s="4"/>
    </row>
    <row r="953">
      <c r="L953" s="4"/>
      <c r="M953" s="4"/>
    </row>
    <row r="954">
      <c r="L954" s="4"/>
      <c r="M954" s="4"/>
    </row>
    <row r="955">
      <c r="L955" s="4"/>
      <c r="M955" s="4"/>
    </row>
    <row r="956">
      <c r="L956" s="4"/>
      <c r="M956" s="4"/>
    </row>
    <row r="957">
      <c r="L957" s="4"/>
      <c r="M957" s="4"/>
    </row>
    <row r="958">
      <c r="L958" s="4"/>
      <c r="M958" s="4"/>
    </row>
    <row r="959">
      <c r="L959" s="4"/>
      <c r="M959" s="4"/>
    </row>
    <row r="960">
      <c r="L960" s="4"/>
      <c r="M960" s="4"/>
    </row>
    <row r="961">
      <c r="L961" s="4"/>
      <c r="M961" s="4"/>
    </row>
    <row r="962">
      <c r="L962" s="4"/>
      <c r="M962" s="4"/>
    </row>
    <row r="963">
      <c r="L963" s="4"/>
      <c r="M963" s="4"/>
    </row>
    <row r="964">
      <c r="L964" s="4"/>
      <c r="M964" s="4"/>
    </row>
    <row r="965">
      <c r="L965" s="4"/>
      <c r="M965" s="4"/>
    </row>
    <row r="966">
      <c r="L966" s="4"/>
      <c r="M966" s="4"/>
    </row>
    <row r="967">
      <c r="L967" s="4"/>
      <c r="M967" s="4"/>
    </row>
    <row r="968">
      <c r="L968" s="4"/>
      <c r="M968" s="4"/>
    </row>
    <row r="969">
      <c r="L969" s="4"/>
      <c r="M969" s="4"/>
    </row>
    <row r="970">
      <c r="L970" s="4"/>
      <c r="M970" s="4"/>
    </row>
    <row r="971">
      <c r="L971" s="4"/>
      <c r="M971" s="4"/>
    </row>
    <row r="972">
      <c r="L972" s="4"/>
      <c r="M972" s="4"/>
    </row>
    <row r="973">
      <c r="L973" s="4"/>
      <c r="M973" s="4"/>
    </row>
    <row r="974">
      <c r="L974" s="4"/>
      <c r="M974" s="4"/>
    </row>
    <row r="975">
      <c r="L975" s="4"/>
      <c r="M975" s="4"/>
    </row>
    <row r="976">
      <c r="L976" s="4"/>
      <c r="M976" s="4"/>
    </row>
    <row r="977">
      <c r="L977" s="4"/>
      <c r="M977" s="4"/>
    </row>
    <row r="978">
      <c r="L978" s="4"/>
      <c r="M978" s="4"/>
    </row>
    <row r="979">
      <c r="L979" s="4"/>
      <c r="M979" s="4"/>
    </row>
    <row r="980">
      <c r="L980" s="4"/>
      <c r="M980" s="4"/>
    </row>
    <row r="981">
      <c r="L981" s="4"/>
      <c r="M981" s="4"/>
    </row>
    <row r="982">
      <c r="L982" s="4"/>
      <c r="M982" s="4"/>
    </row>
    <row r="983">
      <c r="L983" s="4"/>
      <c r="M983" s="4"/>
    </row>
    <row r="984">
      <c r="L984" s="4"/>
      <c r="M984" s="4"/>
    </row>
    <row r="985">
      <c r="L985" s="4"/>
      <c r="M985" s="4"/>
    </row>
    <row r="986">
      <c r="L986" s="4"/>
      <c r="M986" s="4"/>
    </row>
    <row r="987">
      <c r="L987" s="4"/>
      <c r="M987" s="4"/>
    </row>
    <row r="988">
      <c r="L988" s="4"/>
      <c r="M988" s="4"/>
    </row>
    <row r="989">
      <c r="L989" s="4"/>
      <c r="M989" s="4"/>
    </row>
    <row r="990">
      <c r="L990" s="4"/>
      <c r="M990" s="4"/>
    </row>
    <row r="991">
      <c r="L991" s="4"/>
      <c r="M991" s="4"/>
    </row>
    <row r="992">
      <c r="L992" s="4"/>
      <c r="M992" s="4"/>
    </row>
    <row r="993">
      <c r="L993" s="4"/>
      <c r="M993" s="4"/>
    </row>
    <row r="994">
      <c r="L994" s="4"/>
      <c r="M994" s="4"/>
    </row>
    <row r="995">
      <c r="L995" s="4"/>
      <c r="M995" s="4"/>
    </row>
    <row r="996">
      <c r="L996" s="4"/>
      <c r="M996" s="4"/>
    </row>
    <row r="997">
      <c r="L997" s="4"/>
      <c r="M997" s="4"/>
    </row>
    <row r="998">
      <c r="L998" s="4"/>
      <c r="M998" s="4"/>
    </row>
    <row r="999">
      <c r="L999" s="4"/>
      <c r="M999" s="4"/>
    </row>
    <row r="1000">
      <c r="L1000" s="4"/>
      <c r="M1000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2" max="2" width="12.38"/>
    <col hidden="1" min="3" max="6" width="12.63"/>
    <col customWidth="1" min="7" max="7" width="15.5"/>
  </cols>
  <sheetData>
    <row r="1">
      <c r="A1" s="36" t="s">
        <v>9661</v>
      </c>
      <c r="B1" s="36" t="s">
        <v>9662</v>
      </c>
      <c r="C1" s="36" t="s">
        <v>9663</v>
      </c>
      <c r="D1" s="36" t="s">
        <v>9664</v>
      </c>
      <c r="E1" s="36" t="s">
        <v>9665</v>
      </c>
      <c r="F1" s="36" t="s">
        <v>70</v>
      </c>
      <c r="G1" s="36" t="s">
        <v>9666</v>
      </c>
      <c r="H1" s="94">
        <f t="shared" ref="H1:H25" si="1">I1+J1</f>
        <v>0</v>
      </c>
      <c r="I1" s="94">
        <f>iferror(vlookup(A1,'전적확인'!$A$2:$S$61,10,0),0) + iferror(vlookup(A1,'전적확인_베타시즌'!$A$2:$S$100,10,0),0)+iferror(vlookup(A1,'전적확인_시즌1'!$A$2:$S$100,10,0),0)+iferror(vlookup(A1,'전적확인_시즌2'!$A$2:$S$100,10,0),0)+iferror(vlookup(A1,'전적확인_시즌3'!$A$2:$S$100,10,0),0) + iferror(vlookup(A1,'전적확인_시즌4'!$A$2:$S$100,10,0),0) + iferror(vlookup(A1,'전적확인_시즌5'!$A$2:$S$100,10,0),0) + iferror(vlookup(A1,'전적확인_시즌6'!$A$2:$S$100,10,0),0) + iferror(vlookup(A1,'전적확인_시즌7'!$A$2:$S$100,10,0),0) + iferror(vlookup(A1,'전적확인_시즌8'!$A$2:$S$100,10,0),0) + iferror(vlookup(A1,'전적확인_시즌9'!$A$2:$S$100,10,0),0) + iferror(vlookup(A1,'전적확인_시즌10'!$A$2:$S$100,10,0),0) + iferror(vlookup(A1,'전적확인_시즌11'!$A$2:$S$100,10,0),0) + iferror(vlookup(A1,'전적확인_시즌12'!$A$2:$S$100,10,0),0) + iferror(vlookup(A1,'전적확인_시즌13'!$A$2:$S$100,10,0),0) + iferror(vlookup(A1,'전적확인_시즌14'!$A$2:$S$100,10,0),0) + iferror(vlookup(A1,'전적확인_시즌15'!$A$2:$S$100,10,0),0) + iferror(vlookup(A1,'전적확인_시즌16'!$A$2:$S$100,10,0),0) + iferror(vlookup(A1,'전적확인_시즌17'!$A$2:$S$100,10,0),0) + iferror(vlookup(A1,'전적확인_시즌17'!$A$2:$S$100,10,0),0) + iferror(vlookup(A1,'전적확인_시즌18'!$A$2:$S$100,10,0),0) + iferror(vlookup(A1,'전적확인_시즌19'!$A$2:$S$100,10,0),0) + iferror(vlookup(A1,'전적확인_시즌20'!$A$2:$S$100,10,0),0) + iferror(vlookup(A1,'전적확인_시즌21'!$A$2:$S$100,10,0),0) + iferror(vlookup(A1,'전적확인_시즌22'!$A$2:$S$100,10,0),0) + iferror(vlookup(A1,'전적확인_시즌23'!$A$2:$S$100,10,0),0) + iferror(vlookup(A1,'전적확인_시즌24'!$A$2:$S$100,10,0),0) + iferror(vlookup(A1,'전적확인_시즌25'!$A$2:$S$100,10,0),0) + iferror(vlookup(A1,'전적확인_시즌26'!$A$2:$S$100,10,0),0) + iferror(vlookup(A1,'전적확인_시즌27'!$A$2:$S$100,10,0),0) + iferror(vlookup(A1,'전적확인_시즌28'!$A$2:$S$100,10,0),0) + iferror(vlookup(A1,'전적확인_시즌29'!$A$2:$S$100,10,0),0) + iferror(vlookup(A1,'전적확인_시즌30'!$A$2:$S$100,10,0),0)</f>
        <v>0</v>
      </c>
      <c r="J1" s="94">
        <f>iferror(vlookup(A1,'전적확인'!$A$2:$S$61,11,0),0) + iferror(vlookup(A1,'전적확인_베타시즌'!$A$2:$S$100,11,0),0)+iferror(vlookup(A1,'전적확인_시즌1'!$A$2:$S$100,11,0),0)+iferror(vlookup(A1,'전적확인_시즌2'!$A$2:$S$100,11,0),0)+iferror(vlookup(A1,'전적확인_시즌3'!$A$2:$S$100,11,0),0) + iferror(vlookup(A1,'전적확인_시즌4'!$A$2:$S$100,11,0),0) + iferror(vlookup(A1,'전적확인_시즌5'!$A$2:$S$100,11,0),0) + iferror(vlookup(A1,'전적확인_시즌6'!$A$2:$S$100,11,0),0) + iferror(vlookup(A1,'전적확인_시즌7'!$A$2:$S$100,11,0),0) + iferror(vlookup(A1,'전적확인_시즌8'!$A$2:$S$100,11,0),0) + iferror(vlookup(A1,'전적확인_시즌9'!$A$2:$S$100,11,0),0) + iferror(vlookup(A1,'전적확인_시즌10'!$A$2:$S$100,11,0),0) + iferror(vlookup(A1,'전적확인_시즌11'!$A$2:$S$100,11,0),0) + iferror(vlookup(A1,'전적확인_시즌12'!$A$2:$S$100,11,0),0) + iferror(vlookup(A1,'전적확인_시즌13'!$A$2:$S$100,11,0),0) + iferror(vlookup(A1,'전적확인_시즌14'!$A$2:$S$100,11,0),0) + iferror(vlookup(A1,'전적확인_시즌15'!$A$2:$S$100,11,0),0) + iferror(vlookup(A1,'전적확인_시즌16'!$A$2:$S$100,11,0),0) + iferror(vlookup(A1,'전적확인_시즌17'!$A$2:$S$100,11,0),0) + iferror(vlookup(A1,'전적확인_시즌17'!$A$2:$S$100,11,0),0) + iferror(vlookup(A1,'전적확인_시즌18'!$A$2:$S$100,11,0),0) + iferror(vlookup(A1,'전적확인_시즌19'!$A$2:$S$100,11,0),0) + iferror(vlookup(A1,'전적확인_시즌20'!$A$2:$S$100,11,0),0) + iferror(vlookup(A1,'전적확인_시즌21'!$A$2:$S$100,11,0),0) + iferror(vlookup(A1,'전적확인_시즌22'!$A$2:$S$100,11,0),0) + iferror(vlookup(A1,'전적확인_시즌23'!$A$2:$S$100,11,0),0) + iferror(vlookup(A1,'전적확인_시즌24'!$A$2:$S$100,11,0),0) + iferror(vlookup(A1,'전적확인_시즌25'!$A$2:$S$100,11,0),0) + iferror(vlookup(A1,'전적확인_시즌26'!$A$2:$S$100,11,0),0) + iferror(vlookup(A1,'전적확인_시즌27'!$A$2:$S$100,11,0),0) + iferror(vlookup(A1,'전적확인_시즌28'!$A$2:$S$100,11,0),0) + iferror(vlookup(A1,'전적확인_시즌29'!$A$2:$S$100,11,0),0) + iferror(vlookup(A1,'전적확인_시즌30'!$A$2:$S$100,11,0),0)</f>
        <v>0</v>
      </c>
      <c r="K1" s="94">
        <f>iferror(Round(I1/H1 * 100, 2),0)</f>
        <v>0</v>
      </c>
      <c r="L1" s="82">
        <f t="array" ref="L1">iferror(vlookup(A1,INDIRECT('시즌목록'!$H$2 &amp; "!$A$2:$S$100"),10,0),0)</f>
        <v>0</v>
      </c>
      <c r="M1" s="82">
        <f t="array" ref="M1">iferror(vlookup(A1,INDIRECT('시즌목록'!$H$2 &amp; "!$A$2:$S$100"),11,0),0)</f>
        <v>0</v>
      </c>
      <c r="N1" s="94">
        <f>iferror(Round(L1/(L1+M1) * 100, 2),0)</f>
        <v>0</v>
      </c>
      <c r="O1" s="82" t="str">
        <f>if(and(N1&gt;=60, L1+M1&gt;=50),"마스터",if(and(N1&gt;=55, L1+M1&gt;=50),"다이아", if(and(N1&gt;=50, L1+M1&gt;=50),"플래티넘", if(and(N1&gt;=40, L1+M1&gt;=50),"골드" , if(and(N1&gt;=30, L1+M1&gt;=50),"실버", if(and(N1&gt;=0, L1+M1&gt;=50),"브론즈","아이언"))))))</f>
        <v>아이언</v>
      </c>
      <c r="P1" s="94">
        <f>iferror(vlookup(A1,'전적확인'!$A$2:$S$61,2,0),0)+ iferror(vlookup(A1,'전적확인_베타시즌'!$A$2:$S$100,2,0),0)+iferror(vlookup(A1,'전적확인_시즌1'!$A$2:$S$100,2,0),0)+iferror(vlookup(A1,'전적확인_시즌2'!$A$2:$S$100,2,0),0)+iferror(vlookup(A1,'전적확인_시즌3'!$A$2:$S$100,2,0),0) + iferror(vlookup(A1,'전적확인_시즌4'!$A$2:$S$100,2,0),0) + iferror(vlookup(A1,'전적확인_시즌5'!$A$2:$S$100,2,0),0) + iferror(vlookup(A1,'전적확인_시즌6'!$A$2:$S$100,2,0),0) + iferror(vlookup(A1,'전적확인_시즌7'!$A$2:$S$100,2,0),0) + iferror(vlookup(A1,'전적확인_시즌8'!$A$2:$S$100,2,0),0) + iferror(vlookup(A1,'전적확인_시즌9'!$A$2:$S$100,2,0),0) + iferror(vlookup(A1,'전적확인_시즌10'!$A$2:$S$100,2,0),0) + iferror(vlookup(A1,'전적확인_시즌11'!$A$2:$S$100,2,0),0) + iferror(vlookup(A1,'전적확인_시즌12'!$A$2:$S$100,2,0),0) + iferror(vlookup(A1,'전적확인_시즌13'!$A$2:$S$100,2,0),0) + iferror(vlookup(A1,'전적확인_시즌14'!$A$2:$S$100,2,0),0) + iferror(vlookup(A1,'전적확인_시즌15'!$A$2:$S$100,2,0),0) + iferror(vlookup(A1,'전적확인_시즌16'!$A$2:$S$100,2,0),0) + iferror(vlookup(A1,'전적확인_시즌17'!$A$2:$S$100,2,0),0) + iferror(vlookup(A1,'전적확인_시즌17'!$A$2:$S$100,2,0),0) + iferror(vlookup(A1,'전적확인_시즌18'!$A$2:$S$100,2,0),0) + iferror(vlookup(A1,'전적확인_시즌19'!$A$2:$S$100,2,0),0) + iferror(vlookup(A1,'전적확인_시즌20'!$A$2:$S$100,2,0),0) + iferror(vlookup(A1,'전적확인_시즌21'!$A$2:$S$100,2,0),0) + iferror(vlookup(A1,'전적확인_시즌22'!$A$2:$S$100,2,0),0) + iferror(vlookup(A1,'전적확인_시즌23'!$A$2:$S$100,2,0),0) + iferror(vlookup(A1,'전적확인_시즌24'!$A$2:$S$100,2,0),0) + iferror(vlookup(A1,'전적확인_시즌25'!$A$2:$S$100,2,0),0) + iferror(vlookup(A1,'전적확인_시즌26'!$A$2:$S$100,2,0),0) + iferror(vlookup(A1,'전적확인_시즌27'!$A$2:$S$100,2,0),0) + iferror(vlookup(A1,'전적확인_시즌28'!$A$2:$S$100,2,0),0) + iferror(vlookup(A1,'전적확인_시즌29'!$A$2:$S$100,2,0),0) + iferror(vlookup(A1,'전적확인_시즌30'!$A$2:$S$100,2,0),0)</f>
        <v>0</v>
      </c>
      <c r="Q1" s="94">
        <f>iferror(vlookup(A1,'전적확인'!$A$2:$S$61,3,0),0)+ iferror(vlookup(A1,'전적확인_베타시즌'!$A$2:$S$100,3,0),0)+iferror(vlookup(A1,'전적확인_시즌1'!$A$2:$S$100,3,0),0)+iferror(vlookup(A1,'전적확인_시즌2'!$A$2:$S$100,3,0),0)+iferror(vlookup(A1,'전적확인_시즌3'!$A$2:$S$100,3,0),0) + iferror(vlookup(A1,'전적확인_시즌4'!$A$2:$S$100,3,0),0) + iferror(vlookup(A1,'전적확인_시즌5'!$A$2:$S$100,3,0),0) + iferror(vlookup(A1,'전적확인_시즌6'!$A$2:$S$100,3,0),0) + iferror(vlookup(A1,'전적확인_시즌7'!$A$2:$S$100,3,0),0) + iferror(vlookup(A1,'전적확인_시즌8'!$A$2:$S$100,3,0),0) + iferror(vlookup(A1,'전적확인_시즌9'!$A$2:$S$100,3,0),0) + iferror(vlookup(A1,'전적확인_시즌10'!$A$2:$S$100,3,0),0) + iferror(vlookup(A1,'전적확인_시즌11'!$A$2:$S$100,3,0),0) + iferror(vlookup(A1,'전적확인_시즌12'!$A$2:$S$100,3,0),0) + iferror(vlookup(A1,'전적확인_시즌13'!$A$2:$S$100,3,0),0) + iferror(vlookup(A1,'전적확인_시즌14'!$A$2:$S$100,3,0),0) + iferror(vlookup(A1,'전적확인_시즌15'!$A$2:$S$100,3,0),0) + iferror(vlookup(A1,'전적확인_시즌16'!$A$2:$S$100,3,0),0) + iferror(vlookup(A1,'전적확인_시즌17'!$A$2:$S$100,3,0),0) + iferror(vlookup(A1,'전적확인_시즌17'!$A$2:$S$100,3,0),0) + iferror(vlookup(A1,'전적확인_시즌18'!$A$2:$S$100,3,0),0) + iferror(vlookup(A1,'전적확인_시즌19'!$A$2:$S$100,3,0),0) + iferror(vlookup(A1,'전적확인_시즌20'!$A$2:$S$100,3,0),0) + iferror(vlookup(A1,'전적확인_시즌21'!$A$2:$S$100,3,0),0) + iferror(vlookup(A1,'전적확인_시즌22'!$A$2:$S$100,3,0),0) + iferror(vlookup(A1,'전적확인_시즌23'!$A$2:$S$100,3,0),0) + iferror(vlookup(A1,'전적확인_시즌24'!$A$2:$S$100,3,0),0) + iferror(vlookup(A1,'전적확인_시즌25'!$A$2:$S$100,3,0),0) + iferror(vlookup(A1,'전적확인_시즌26'!$A$2:$S$100,3,0),0) + iferror(vlookup(A1,'전적확인_시즌27'!$A$2:$S$100,3,0),0) + iferror(vlookup(A1,'전적확인_시즌28'!$A$2:$S$100,3,0),0) + iferror(vlookup(A1,'전적확인_시즌29'!$A$2:$S$100,3,0),0) + iferror(vlookup(A1,'전적확인_시즌30'!$A$2:$S$100,3,0),0)</f>
        <v>0</v>
      </c>
      <c r="R1" s="94">
        <f>iferror(Round((P1/(P1+Q1)*100),2),0)</f>
        <v>0</v>
      </c>
      <c r="S1" s="94">
        <f>iferror(vlookup(A1,'전적확인'!$A$2:$S$61,4,0),0) + iferror(vlookup(A1,'전적확인_베타시즌'!$A$2:$S$100,4,0),0)+iferror(vlookup(A1,'전적확인_시즌1'!$A$2:$S$100,4,0),0)+iferror(vlookup(A1,'전적확인_시즌2'!$A$2:$S$100,4,0),0)+iferror(vlookup(A1,'전적확인_시즌3'!$A$2:$S$100,4,0),0) + iferror(vlookup(A1,'전적확인_시즌4'!$A$2:$S$100,4,0),0) + iferror(vlookup(A1,'전적확인_시즌5'!$A$2:$S$100,4,0),0) + iferror(vlookup(A1,'전적확인_시즌6'!$A$2:$S$100,4,0),0) + iferror(vlookup(A1,'전적확인_시즌7'!$A$2:$S$100,4,0),0) + iferror(vlookup(A1,'전적확인_시즌8'!$A$2:$S$100,4,0),0) + iferror(vlookup(A1,'전적확인_시즌9'!$A$2:$S$100,4,0),0) + iferror(vlookup(A1,'전적확인_시즌10'!$A$2:$S$100,4,0),0) + iferror(vlookup(A1,'전적확인_시즌11'!$A$2:$S$100,4,0),0) + iferror(vlookup(A1,'전적확인_시즌12'!$A$2:$S$100,4,0),0) + iferror(vlookup(A1,'전적확인_시즌13'!$A$2:$S$100,4,0),0) + iferror(vlookup(A1,'전적확인_시즌14'!$A$2:$S$100,4,0),0) + iferror(vlookup(A1,'전적확인_시즌15'!$A$2:$S$100,4,0),0) + iferror(vlookup(A1,'전적확인_시즌16'!$A$2:$S$100,4,0),0) + iferror(vlookup(A1,'전적확인_시즌17'!$A$2:$S$100,4,0),0) + iferror(vlookup(A1,'전적확인_시즌17'!$A$2:$S$100,4,0),0) + iferror(vlookup(A1,'전적확인_시즌18'!$A$2:$S$100,4,0),0) + iferror(vlookup(A1,'전적확인_시즌19'!$A$2:$S$100,4,0),0) + iferror(vlookup(A1,'전적확인_시즌20'!$A$2:$S$100,4,0),0) + iferror(vlookup(A1,'전적확인_시즌21'!$A$2:$S$100,4,0),0) + iferror(vlookup(A1,'전적확인_시즌22'!$A$2:$S$100,4,0),0) + iferror(vlookup(A1,'전적확인_시즌23'!$A$2:$S$100,4,0),0) + iferror(vlookup(A1,'전적확인_시즌24'!$A$2:$S$100,4,0),0) + iferror(vlookup(A1,'전적확인_시즌25'!$A$2:$S$100,4,0),0) + iferror(vlookup(A1,'전적확인_시즌26'!$A$2:$S$100,4,0),0) + iferror(vlookup(A1,'전적확인_시즌27'!$A$2:$S$100,4,0),0) + iferror(vlookup(A1,'전적확인_시즌28'!$A$2:$S$100,4,0),0) + iferror(vlookup(A1,'전적확인_시즌29'!$A$2:$S$100,4,0),0) + iferror(vlookup(A1,'전적확인_시즌30'!$A$2:$S$100,4,0),0)</f>
        <v>0</v>
      </c>
      <c r="T1" s="94">
        <f>iferror(vlookup(A1,'전적확인'!$A$2:$S$61,5,0),0) + iferror(vlookup(A1,'전적확인_베타시즌'!$A$2:$S$100,5,0),0)+iferror(vlookup(A1,'전적확인_시즌1'!$A$2:$S$100,5,0),0)+iferror(vlookup(A1,'전적확인_시즌2'!$A$2:$S$100,5,0),0)+iferror(vlookup(A1,'전적확인_시즌3'!$A$2:$S$100,5,0),0) + iferror(vlookup(A1,'전적확인_시즌4'!$A$2:$S$100,5,0),0) + iferror(vlookup(A1,'전적확인_시즌5'!$A$2:$S$100,5,0),0) + iferror(vlookup(A1,'전적확인_시즌6'!$A$2:$S$100,5,0),0) + iferror(vlookup(A1,'전적확인_시즌7'!$A$2:$S$100,5,0),0) + iferror(vlookup(A1,'전적확인_시즌8'!$A$2:$S$100,5,0),0) + iferror(vlookup(A1,'전적확인_시즌9'!$A$2:$S$100,5,0),0) + iferror(vlookup(A1,'전적확인_시즌10'!$A$2:$S$100,5,0),0) + iferror(vlookup(A1,'전적확인_시즌11'!$A$2:$S$100,5,0),0) + iferror(vlookup(A1,'전적확인_시즌12'!$A$2:$S$100,5,0),0) + iferror(vlookup(A1,'전적확인_시즌13'!$A$2:$S$100,5,0),0) + iferror(vlookup(A1,'전적확인_시즌14'!$A$2:$S$100,5,0),0) + iferror(vlookup(A1,'전적확인_시즌15'!$A$2:$S$100,5,0),0) + iferror(vlookup(A1,'전적확인_시즌16'!$A$2:$S$100,5,0),0) + iferror(vlookup(A1,'전적확인_시즌17'!$A$2:$S$100,5,0),0) + iferror(vlookup(A1,'전적확인_시즌17'!$A$2:$S$100,5,0),0) + iferror(vlookup(A1,'전적확인_시즌18'!$A$2:$S$100,5,0),0) + iferror(vlookup(A1,'전적확인_시즌19'!$A$2:$S$100,5,0),0) + iferror(vlookup(A1,'전적확인_시즌20'!$A$2:$S$100,5,0),0) + iferror(vlookup(A1,'전적확인_시즌21'!$A$2:$S$100,5,0),0) + iferror(vlookup(A1,'전적확인_시즌22'!$A$2:$S$100,5,0),0) + iferror(vlookup(A1,'전적확인_시즌23'!$A$2:$S$100,5,0),0) + iferror(vlookup(A1,'전적확인_시즌24'!$A$2:$S$100,5,0),0) + iferror(vlookup(A1,'전적확인_시즌25'!$A$2:$S$100,5,0),0) + iferror(vlookup(A1,'전적확인_시즌26'!$A$2:$S$100,5,0),0) + iferror(vlookup(A1,'전적확인_시즌27'!$A$2:$S$100,5,0),0) + iferror(vlookup(A1,'전적확인_시즌28'!$A$2:$S$100,5,0),0) + iferror(vlookup(A1,'전적확인_시즌29'!$A$2:$S$100,5,0),0) + iferror(vlookup(A1,'전적확인_시즌30'!$A$2:$S$100,5,0),0)</f>
        <v>0</v>
      </c>
      <c r="U1" s="94">
        <f>iferror(Round((S1/(S1+T1)*100),2),0)</f>
        <v>0</v>
      </c>
      <c r="V1" s="94">
        <f>iferror(vlookup(A1,'전적확인'!$A$2:$S$61,6,0),0)+ iferror(vlookup(A1,'전적확인_베타시즌'!$A$2:$S$100,6,0),0)+iferror(vlookup(A1,'전적확인_시즌1'!$A$2:$S$100,6,0),0)+iferror(vlookup(A1,'전적확인_시즌2'!$A$2:$S$100,6,0),0)+iferror(vlookup(A1,'전적확인_시즌3'!$A$2:$S$100,6,0),0) + iferror(vlookup(A1,'전적확인_시즌4'!$A$2:$S$100,6,0),0) + iferror(vlookup(A1,'전적확인_시즌5'!$A$2:$S$100,6,0),0) + iferror(vlookup(A1,'전적확인_시즌6'!$A$2:$S$100,6,0),0) + iferror(vlookup(A1,'전적확인_시즌7'!$A$2:$S$100,6,0),0) + iferror(vlookup(A1,'전적확인_시즌8'!$A$2:$S$100,6,0),0) + iferror(vlookup(A1,'전적확인_시즌9'!$A$2:$S$100,6,0),0) + iferror(vlookup(A1,'전적확인_시즌10'!$A$2:$S$100,6,0),0) + iferror(vlookup(A1,'전적확인_시즌11'!$A$2:$S$100,6,0),0) + iferror(vlookup(A1,'전적확인_시즌12'!$A$2:$S$100,6,0),0) + iferror(vlookup(A1,'전적확인_시즌13'!$A$2:$S$100,6,0),0) + iferror(vlookup(A1,'전적확인_시즌14'!$A$2:$S$100,6,0),0) + iferror(vlookup(A1,'전적확인_시즌15'!$A$2:$S$100,6,0),0) + iferror(vlookup(A1,'전적확인_시즌16'!$A$2:$S$100,6,0),0) + iferror(vlookup(A1,'전적확인_시즌17'!$A$2:$S$100,6,0),0) + iferror(vlookup(A1,'전적확인_시즌17'!$A$2:$S$100,6,0),0) + iferror(vlookup(A1,'전적확인_시즌18'!$A$2:$S$100,6,0),0) + iferror(vlookup(A1,'전적확인_시즌19'!$A$2:$S$100,6,0),0) + iferror(vlookup(A1,'전적확인_시즌20'!$A$2:$S$100,6,0),0) + iferror(vlookup(A1,'전적확인_시즌21'!$A$2:$S$100,6,0),0) + iferror(vlookup(A1,'전적확인_시즌22'!$A$2:$S$100,6,0),0) + iferror(vlookup(A1,'전적확인_시즌23'!$A$2:$S$100,6,0),0) + iferror(vlookup(A1,'전적확인_시즌24'!$A$2:$S$100,6,0),0) + iferror(vlookup(A1,'전적확인_시즌25'!$A$2:$S$100,6,0),0) + iferror(vlookup(A1,'전적확인_시즌26'!$A$2:$S$100,6,0),0) + iferror(vlookup(A1,'전적확인_시즌27'!$A$2:$S$100,6,0),0) + iferror(vlookup(A1,'전적확인_시즌28'!$A$2:$S$100,6,0),0) + iferror(vlookup(A1,'전적확인_시즌29'!$A$2:$S$100,6,0),0) + iferror(vlookup(A1,'전적확인_시즌30'!$A$2:$S$100,6,0),0)</f>
        <v>0</v>
      </c>
      <c r="W1" s="94">
        <f> iferror(vlookup(A1,'전적확인'!$A$2:$S$61,7,0),0)+ iferror(vlookup(A1,'전적확인_베타시즌'!$A$2:$S$100,7,0),0)+iferror(vlookup(A1,'전적확인_시즌1'!$A$2:$S$100,7,0),0)+iferror(vlookup(A1,'전적확인_시즌2'!$A$2:$S$100,7,0),0)+iferror(vlookup(A1,'전적확인_시즌3'!$A$2:$S$100,7,0),0) + iferror(vlookup(A1,'전적확인_시즌4'!$A$2:$S$100,7,0),0) + iferror(vlookup(A1,'전적확인_시즌5'!$A$2:$S$100,7,0),0) + iferror(vlookup(A1,'전적확인_시즌6'!$A$2:$S$100,7,0),0) + iferror(vlookup(A1,'전적확인_시즌7'!$A$2:$S$100,7,0),0) + iferror(vlookup(A1,'전적확인_시즌8'!$A$2:$S$100,7,0),0) + iferror(vlookup(A1,'전적확인_시즌9'!$A$2:$S$100,7,0),0) + iferror(vlookup(A1,'전적확인_시즌10'!$A$2:$S$100,7,0),0) + iferror(vlookup(A1,'전적확인_시즌11'!$A$2:$S$100,7,0),0) + iferror(vlookup(A1,'전적확인_시즌12'!$A$2:$S$100,7,0),0) + iferror(vlookup(A1,'전적확인_시즌13'!$A$2:$S$100,7,0),0) + iferror(vlookup(A1,'전적확인_시즌14'!$A$2:$S$100,7,0),0) + iferror(vlookup(A1,'전적확인_시즌15'!$A$2:$S$100,7,0),0) + iferror(vlookup(A1,'전적확인_시즌16'!$A$2:$S$100,7,0),0) + iferror(vlookup(A1,'전적확인_시즌17'!$A$2:$S$100,7,0),0) + iferror(vlookup(A1,'전적확인_시즌17'!$A$2:$S$100,7,0),0) + iferror(vlookup(A1,'전적확인_시즌18'!$A$2:$S$100,7,0),0) + iferror(vlookup(A1,'전적확인_시즌19'!$A$2:$S$100,7,0),0) + iferror(vlookup(A1,'전적확인_시즌20'!$A$2:$S$100,7,0),0) + iferror(vlookup(A1,'전적확인_시즌21'!$A$2:$S$100,7,0),0) + iferror(vlookup(A1,'전적확인_시즌22'!$A$2:$S$100,7,0),0) + iferror(vlookup(A1,'전적확인_시즌23'!$A$2:$S$100,7,0),0) + iferror(vlookup(A1,'전적확인_시즌24'!$A$2:$S$100,7,0),0) + iferror(vlookup(A1,'전적확인_시즌25'!$A$2:$S$100,7,0),0) + iferror(vlookup(A1,'전적확인_시즌26'!$A$2:$S$100,7,0),0) + iferror(vlookup(A1,'전적확인_시즌27'!$A$2:$S$100,7,0),0) + iferror(vlookup(A1,'전적확인_시즌28'!$A$2:$S$100,7,0),0) + iferror(vlookup(A1,'전적확인_시즌29'!$A$2:$S$100,7,0),0) + iferror(vlookup(A1,'전적확인_시즌30'!$A$2:$S$100,7,0),0)</f>
        <v>0</v>
      </c>
      <c r="X1" s="94">
        <f>iferror(Round((V1/(V1+W1)*100),2),0)</f>
        <v>0</v>
      </c>
      <c r="Y1" s="94">
        <f>iferror(vlookup(A1,'전적확인'!$A$2:$S$61,8,0),0) + iferror(vlookup(A1,'전적확인_베타시즌'!$A$2:$S$100,8,0),0)+iferror(vlookup(A1,'전적확인_시즌1'!$A$2:$S$100,8,0),0)+iferror(vlookup(A1,'전적확인_시즌2'!$A$2:$S$100,8,0),0)+iferror(vlookup(A1,'전적확인_시즌3'!$A$2:$S$100,8,0),0) + iferror(vlookup(A1,'전적확인_시즌4'!$A$2:$S$100,8,0),0) + iferror(vlookup(A1,'전적확인_시즌5'!$A$2:$S$100,8,0),0) + iferror(vlookup(A1,'전적확인_시즌6'!$A$2:$S$100,8,0),0) + iferror(vlookup(A1,'전적확인_시즌7'!$A$2:$S$100,8,0),0) + iferror(vlookup(A1,'전적확인_시즌8'!$A$2:$S$100,8,0),0) + iferror(vlookup(A1,'전적확인_시즌9'!$A$2:$S$100,8,0),0) + iferror(vlookup(A1,'전적확인_시즌10'!$A$2:$S$100,8,0),0) + iferror(vlookup(A1,'전적확인_시즌11'!$A$2:$S$100,8,0),0) + iferror(vlookup(A1,'전적확인_시즌12'!$A$2:$S$100,8,0),0) + iferror(vlookup(A1,'전적확인_시즌13'!$A$2:$S$100,8,0),0) + iferror(vlookup(A1,'전적확인_시즌14'!$A$2:$S$100,8,0),0) + iferror(vlookup(A1,'전적확인_시즌15'!$A$2:$S$100,8,0),0) + iferror(vlookup(A1,'전적확인_시즌16'!$A$2:$S$100,8,0),0) + iferror(vlookup(A1,'전적확인_시즌17'!$A$2:$S$100,8,0),0) + iferror(vlookup(A1,'전적확인_시즌17'!$A$2:$S$100,8,0),0) + iferror(vlookup(A1,'전적확인_시즌18'!$A$2:$S$100,8,0),0) + iferror(vlookup(A1,'전적확인_시즌19'!$A$2:$S$100,8,0),0) + iferror(vlookup(A1,'전적확인_시즌20'!$A$2:$S$100,8,0),0) + iferror(vlookup(A1,'전적확인_시즌21'!$A$2:$S$100,8,0),0) + iferror(vlookup(A1,'전적확인_시즌22'!$A$2:$S$100,8,0),0) + iferror(vlookup(A1,'전적확인_시즌23'!$A$2:$S$100,8,0),0) + iferror(vlookup(A1,'전적확인_시즌24'!$A$2:$S$100,8,0),0) + iferror(vlookup(A1,'전적확인_시즌25'!$A$2:$S$100,8,0),0) + iferror(vlookup(A1,'전적확인_시즌26'!$A$2:$S$100,8,0),0) + iferror(vlookup(A1,'전적확인_시즌27'!$A$2:$S$100,8,0),0) + iferror(vlookup(A1,'전적확인_시즌28'!$A$2:$S$100,8,0),0) + iferror(vlookup(A1,'전적확인_시즌29'!$A$2:$S$100,8,0),0) + iferror(vlookup(A1,'전적확인_시즌30'!$A$2:$S$100,8,0),0)</f>
        <v>0</v>
      </c>
      <c r="Z1" s="94">
        <f>iferror(vlookup(A1,'전적확인'!$A$2:$S$61,9,0),0) + iferror(vlookup(A1,'전적확인_베타시즌'!$A$2:$S$100,9,0),0)+iferror(vlookup(A1,'전적확인_시즌1'!$A$2:$S$100,9,0),0)+iferror(vlookup(A1,'전적확인_시즌2'!$A$2:$S$100,9,0),0)+iferror(vlookup(A1,'전적확인_시즌3'!$A$2:$S$100,9,0),0) + iferror(vlookup(A1,'전적확인_시즌4'!$A$2:$S$100,9,0),0) + iferror(vlookup(A1,'전적확인_시즌5'!$A$2:$S$100,9,0),0) + iferror(vlookup(A1,'전적확인_시즌6'!$A$2:$S$100,9,0),0) + iferror(vlookup(A1,'전적확인_시즌7'!$A$2:$S$100,9,0),0) + iferror(vlookup(A1,'전적확인_시즌8'!$A$2:$S$100,9,0),0) + iferror(vlookup(A1,'전적확인_시즌9'!$A$2:$S$100,9,0),0) + iferror(vlookup(A1,'전적확인_시즌10'!$A$2:$S$100,9,0),0) + iferror(vlookup(A1,'전적확인_시즌11'!$A$2:$S$100,9,0),0) + iferror(vlookup(A1,'전적확인_시즌12'!$A$2:$S$100,9,0),0) + iferror(vlookup(A1,'전적확인_시즌13'!$A$2:$S$100,9,0),0) + iferror(vlookup(A1,'전적확인_시즌14'!$A$2:$S$100,9,0),0) + iferror(vlookup(A1,'전적확인_시즌15'!$A$2:$S$100,9,0),0) + iferror(vlookup(A1,'전적확인_시즌16'!$A$2:$S$100,9,0),0) + iferror(vlookup(A1,'전적확인_시즌17'!$A$2:$S$100,9,0),0) + iferror(vlookup(A1,'전적확인_시즌17'!$A$2:$S$100,9,0),0) + iferror(vlookup(A1,'전적확인_시즌18'!$A$2:$S$100,9,0),0) + iferror(vlookup(A1,'전적확인_시즌19'!$A$2:$S$100,9,0),0) + iferror(vlookup(A1,'전적확인_시즌20'!$A$2:$S$100,9,0),0) + iferror(vlookup(A1,'전적확인_시즌21'!$A$2:$S$100,9,0),0) + iferror(vlookup(A1,'전적확인_시즌22'!$A$2:$S$100,9,0),0) + iferror(vlookup(A1,'전적확인_시즌23'!$A$2:$S$100,9,0),0) + iferror(vlookup(A1,'전적확인_시즌24'!$A$2:$S$100,9,0),0) + iferror(vlookup(A1,'전적확인_시즌25'!$A$2:$S$100,9,0),0) + iferror(vlookup(A1,'전적확인_시즌26'!$A$2:$S$100,9,0),0) + iferror(vlookup(A1,'전적확인_시즌27'!$A$2:$S$100,9,0),0) + iferror(vlookup(A1,'전적확인_시즌28'!$A$2:$S$100,9,0),0) + iferror(vlookup(A1,'전적확인_시즌29'!$A$2:$S$100,9,0),0) + iferror(vlookup(A1,'전적확인_시즌30'!$A$2:$S$100,9,0),0)</f>
        <v>0</v>
      </c>
      <c r="AA1" s="94">
        <f>iferror(Round((Y1/(Y1+Z1)*100),2),0)</f>
        <v>0</v>
      </c>
      <c r="AB1" s="3"/>
      <c r="AC1" s="2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>
      <c r="A2" s="95" t="s">
        <v>24</v>
      </c>
      <c r="B2" s="95" t="s">
        <v>9667</v>
      </c>
      <c r="C2" s="95" t="s">
        <v>9667</v>
      </c>
      <c r="D2" s="95" t="s">
        <v>9667</v>
      </c>
      <c r="E2" s="96" t="s">
        <v>9667</v>
      </c>
      <c r="F2" s="95" t="s">
        <v>47</v>
      </c>
      <c r="G2" s="97" t="s">
        <v>9668</v>
      </c>
      <c r="H2" s="98">
        <f t="shared" si="1"/>
        <v>530</v>
      </c>
      <c r="I2" s="98">
        <f>iferror(vlookup(A2,'전적확인'!$A$2:$S$61,10,0),0) + iferror(vlookup(A2,'전적확인_베타시즌'!$A$2:$S$100,10,0),0)+iferror(vlookup(A2,'전적확인_시즌1'!$A$2:$S$100,10,0),0)+iferror(vlookup(A2,'전적확인_시즌2'!$A$2:$S$100,10,0),0)+iferror(vlookup(A2,'전적확인_시즌3'!$A$2:$S$100,10,0),0) + iferror(vlookup(A2,'전적확인_시즌4'!$A$2:$S$100,10,0),0) + iferror(vlookup(A2,'전적확인_시즌5'!$A$2:$S$100,10,0),0) + iferror(vlookup(A2,'전적확인_시즌6'!$A$2:$S$100,10,0),0) + iferror(vlookup(A2,'전적확인_시즌7'!$A$2:$S$100,10,0),0) + iferror(vlookup(A2,'전적확인_시즌8'!$A$2:$S$100,10,0),0) + iferror(vlookup(A2,'전적확인_시즌9'!$A$2:$S$100,10,0),0) + iferror(vlookup(A2,'전적확인_시즌10'!$A$2:$S$100,10,0),0) + iferror(vlookup(A2,'전적확인_시즌11'!$A$2:$S$100,10,0),0) + iferror(vlookup(A2,'전적확인_시즌12'!$A$2:$S$100,10,0),0) + iferror(vlookup(A2,'전적확인_시즌13'!$A$2:$S$100,10,0),0) + iferror(vlookup(A2,'전적확인_시즌14'!$A$2:$S$100,10,0),0) + iferror(vlookup(A2,'전적확인_시즌15'!$A$2:$S$100,10,0),0) + iferror(vlookup(A2,'전적확인_시즌16'!$A$2:$S$100,10,0),0) + iferror(vlookup(A2,'전적확인_시즌17'!$A$2:$S$100,10,0),0) + iferror(vlookup(A2,'전적확인_시즌17'!$A$2:$S$100,10,0),0) + iferror(vlookup(A2,'전적확인_시즌18'!$A$2:$S$100,10,0),0) + iferror(vlookup(A2,'전적확인_시즌19'!$A$2:$S$100,10,0),0) + iferror(vlookup(A2,'전적확인_시즌20'!$A$2:$S$100,10,0),0) + iferror(vlookup(A2,'전적확인_시즌21'!$A$2:$S$100,10,0),0) + iferror(vlookup(A2,'전적확인_시즌22'!$A$2:$S$100,10,0),0) + iferror(vlookup(A2,'전적확인_시즌23'!$A$2:$S$100,10,0),0) + iferror(vlookup(A2,'전적확인_시즌24'!$A$2:$S$100,10,0),0) + iferror(vlookup(A2,'전적확인_시즌25'!$A$2:$S$100,10,0),0) + iferror(vlookup(A2,'전적확인_시즌26'!$A$2:$S$100,10,0),0) + iferror(vlookup(A2,'전적확인_시즌27'!$A$2:$S$100,10,0),0) + iferror(vlookup(A2,'전적확인_시즌28'!$A$2:$S$100,10,0),0) + iferror(vlookup(A2,'전적확인_시즌29'!$A$2:$S$100,10,0),0) + iferror(vlookup(A2,'전적확인_시즌30'!$A$2:$S$100,10,0),0)</f>
        <v>365</v>
      </c>
      <c r="J2" s="98">
        <f>iferror(vlookup(A2,'전적확인'!$A$2:$S$61,11,0),0) + iferror(vlookup(A2,'전적확인_베타시즌'!$A$2:$S$100,11,0),0)+iferror(vlookup(A2,'전적확인_시즌1'!$A$2:$S$100,11,0),0)+iferror(vlookup(A2,'전적확인_시즌2'!$A$2:$S$100,11,0),0)+iferror(vlookup(A2,'전적확인_시즌3'!$A$2:$S$100,11,0),0) + iferror(vlookup(A2,'전적확인_시즌4'!$A$2:$S$100,11,0),0) + iferror(vlookup(A2,'전적확인_시즌5'!$A$2:$S$100,11,0),0) + iferror(vlookup(A2,'전적확인_시즌6'!$A$2:$S$100,11,0),0) + iferror(vlookup(A2,'전적확인_시즌7'!$A$2:$S$100,11,0),0) + iferror(vlookup(A2,'전적확인_시즌8'!$A$2:$S$100,11,0),0) + iferror(vlookup(A2,'전적확인_시즌9'!$A$2:$S$100,11,0),0) + iferror(vlookup(A2,'전적확인_시즌10'!$A$2:$S$100,11,0),0) + iferror(vlookup(A2,'전적확인_시즌11'!$A$2:$S$100,11,0),0) + iferror(vlookup(A2,'전적확인_시즌12'!$A$2:$S$100,11,0),0) + iferror(vlookup(A2,'전적확인_시즌13'!$A$2:$S$100,11,0),0) + iferror(vlookup(A2,'전적확인_시즌14'!$A$2:$S$100,11,0),0) + iferror(vlookup(A2,'전적확인_시즌15'!$A$2:$S$100,11,0),0) + iferror(vlookup(A2,'전적확인_시즌16'!$A$2:$S$100,11,0),0) + iferror(vlookup(A2,'전적확인_시즌17'!$A$2:$S$100,11,0),0) + iferror(vlookup(A2,'전적확인_시즌17'!$A$2:$S$100,11,0),0) + iferror(vlookup(A2,'전적확인_시즌18'!$A$2:$S$100,11,0),0) + iferror(vlookup(A2,'전적확인_시즌19'!$A$2:$S$100,11,0),0) + iferror(vlookup(A2,'전적확인_시즌20'!$A$2:$S$100,11,0),0) + iferror(vlookup(A2,'전적확인_시즌21'!$A$2:$S$100,11,0),0) + iferror(vlookup(A2,'전적확인_시즌22'!$A$2:$S$100,11,0),0) + iferror(vlookup(A2,'전적확인_시즌23'!$A$2:$S$100,11,0),0) + iferror(vlookup(A2,'전적확인_시즌24'!$A$2:$S$100,11,0),0) + iferror(vlookup(A2,'전적확인_시즌25'!$A$2:$S$100,11,0),0) + iferror(vlookup(A2,'전적확인_시즌26'!$A$2:$S$100,11,0),0) + iferror(vlookup(A2,'전적확인_시즌27'!$A$2:$S$100,11,0),0) + iferror(vlookup(A2,'전적확인_시즌28'!$A$2:$S$100,11,0),0) + iferror(vlookup(A2,'전적확인_시즌29'!$A$2:$S$100,11,0),0) + iferror(vlookup(A2,'전적확인_시즌30'!$A$2:$S$100,11,0),0)</f>
        <v>165</v>
      </c>
      <c r="K2" s="98">
        <f t="shared" ref="K2:K25" si="2">iferror(Round(I2/H2 * 100, 2),0)</f>
        <v>68.87</v>
      </c>
      <c r="L2" s="95">
        <f t="array" ref="L2">iferror(vlookup(A2,INDIRECT('시즌목록'!$H$2 &amp; "!$A$2:$S$100"),10,0),0)</f>
        <v>43</v>
      </c>
      <c r="M2" s="95">
        <f t="array" ref="M2">iferror(vlookup(A2,INDIRECT('시즌목록'!$H$2 &amp; "!$A$2:$S$100"),11,0),0)</f>
        <v>19</v>
      </c>
      <c r="N2" s="98">
        <f t="shared" ref="N2:N25" si="3">iferror(Round(L2/(L2+M2) * 100, 2),0)</f>
        <v>69.35</v>
      </c>
      <c r="O2" s="95" t="str">
        <f t="shared" ref="O2:O25" si="4">if(and(N2&gt;=60, L2+M2&gt;=50),"마스터",if(and(N2&gt;=55, L2+M2&gt;=50),"다이아", if(and(N2&gt;=50, L2+M2&gt;=50),"플래티넘", if(and(N2&gt;=40, L2+M2&gt;=50),"골드" , if(and(N2&gt;=30, L2+M2&gt;=50),"실버", if(and(N2&gt;=0, L2+M2&gt;=50),"브론즈","아이언"))))))</f>
        <v>마스터</v>
      </c>
      <c r="P2" s="98">
        <f>iferror(vlookup(A2,'전적확인'!$A$2:$S$61,2,0),0)+ iferror(vlookup(A2,'전적확인_베타시즌'!$A$2:$S$100,2,0),0)+iferror(vlookup(A2,'전적확인_시즌1'!$A$2:$S$100,2,0),0)+iferror(vlookup(A2,'전적확인_시즌2'!$A$2:$S$100,2,0),0)+iferror(vlookup(A2,'전적확인_시즌3'!$A$2:$S$100,2,0),0) + iferror(vlookup(A2,'전적확인_시즌4'!$A$2:$S$100,2,0),0) + iferror(vlookup(A2,'전적확인_시즌5'!$A$2:$S$100,2,0),0) + iferror(vlookup(A2,'전적확인_시즌6'!$A$2:$S$100,2,0),0) + iferror(vlookup(A2,'전적확인_시즌7'!$A$2:$S$100,2,0),0) + iferror(vlookup(A2,'전적확인_시즌8'!$A$2:$S$100,2,0),0) + iferror(vlookup(A2,'전적확인_시즌9'!$A$2:$S$100,2,0),0) + iferror(vlookup(A2,'전적확인_시즌10'!$A$2:$S$100,2,0),0) + iferror(vlookup(A2,'전적확인_시즌11'!$A$2:$S$100,2,0),0) + iferror(vlookup(A2,'전적확인_시즌12'!$A$2:$S$100,2,0),0) + iferror(vlookup(A2,'전적확인_시즌13'!$A$2:$S$100,2,0),0) + iferror(vlookup(A2,'전적확인_시즌14'!$A$2:$S$100,2,0),0) + iferror(vlookup(A2,'전적확인_시즌15'!$A$2:$S$100,2,0),0) + iferror(vlookup(A2,'전적확인_시즌16'!$A$2:$S$100,2,0),0) + iferror(vlookup(A2,'전적확인_시즌17'!$A$2:$S$100,2,0),0) + iferror(vlookup(A2,'전적확인_시즌17'!$A$2:$S$100,2,0),0) + iferror(vlookup(A2,'전적확인_시즌18'!$A$2:$S$100,2,0),0) + iferror(vlookup(A2,'전적확인_시즌19'!$A$2:$S$100,2,0),0) + iferror(vlookup(A2,'전적확인_시즌20'!$A$2:$S$100,2,0),0) + iferror(vlookup(A2,'전적확인_시즌21'!$A$2:$S$100,2,0),0) + iferror(vlookup(A2,'전적확인_시즌22'!$A$2:$S$100,2,0),0) + iferror(vlookup(A2,'전적확인_시즌23'!$A$2:$S$100,2,0),0) + iferror(vlookup(A2,'전적확인_시즌24'!$A$2:$S$100,2,0),0) + iferror(vlookup(A2,'전적확인_시즌25'!$A$2:$S$100,2,0),0) + iferror(vlookup(A2,'전적확인_시즌26'!$A$2:$S$100,2,0),0) + iferror(vlookup(A2,'전적확인_시즌27'!$A$2:$S$100,2,0),0) + iferror(vlookup(A2,'전적확인_시즌28'!$A$2:$S$100,2,0),0) + iferror(vlookup(A2,'전적확인_시즌29'!$A$2:$S$100,2,0),0) + iferror(vlookup(A2,'전적확인_시즌30'!$A$2:$S$100,2,0),0)</f>
        <v>69</v>
      </c>
      <c r="Q2" s="98">
        <f>iferror(vlookup(A2,'전적확인'!$A$2:$S$61,3,0),0)+ iferror(vlookup(A2,'전적확인_베타시즌'!$A$2:$S$100,3,0),0)+iferror(vlookup(A2,'전적확인_시즌1'!$A$2:$S$100,3,0),0)+iferror(vlookup(A2,'전적확인_시즌2'!$A$2:$S$100,3,0),0)+iferror(vlookup(A2,'전적확인_시즌3'!$A$2:$S$100,3,0),0) + iferror(vlookup(A2,'전적확인_시즌4'!$A$2:$S$100,3,0),0) + iferror(vlookup(A2,'전적확인_시즌5'!$A$2:$S$100,3,0),0) + iferror(vlookup(A2,'전적확인_시즌6'!$A$2:$S$100,3,0),0) + iferror(vlookup(A2,'전적확인_시즌7'!$A$2:$S$100,3,0),0) + iferror(vlookup(A2,'전적확인_시즌8'!$A$2:$S$100,3,0),0) + iferror(vlookup(A2,'전적확인_시즌9'!$A$2:$S$100,3,0),0) + iferror(vlookup(A2,'전적확인_시즌10'!$A$2:$S$100,3,0),0) + iferror(vlookup(A2,'전적확인_시즌11'!$A$2:$S$100,3,0),0) + iferror(vlookup(A2,'전적확인_시즌12'!$A$2:$S$100,3,0),0) + iferror(vlookup(A2,'전적확인_시즌13'!$A$2:$S$100,3,0),0) + iferror(vlookup(A2,'전적확인_시즌14'!$A$2:$S$100,3,0),0) + iferror(vlookup(A2,'전적확인_시즌15'!$A$2:$S$100,3,0),0) + iferror(vlookup(A2,'전적확인_시즌16'!$A$2:$S$100,3,0),0) + iferror(vlookup(A2,'전적확인_시즌17'!$A$2:$S$100,3,0),0) + iferror(vlookup(A2,'전적확인_시즌17'!$A$2:$S$100,3,0),0) + iferror(vlookup(A2,'전적확인_시즌18'!$A$2:$S$100,3,0),0) + iferror(vlookup(A2,'전적확인_시즌19'!$A$2:$S$100,3,0),0) + iferror(vlookup(A2,'전적확인_시즌20'!$A$2:$S$100,3,0),0) + iferror(vlookup(A2,'전적확인_시즌21'!$A$2:$S$100,3,0),0) + iferror(vlookup(A2,'전적확인_시즌22'!$A$2:$S$100,3,0),0) + iferror(vlookup(A2,'전적확인_시즌23'!$A$2:$S$100,3,0),0) + iferror(vlookup(A2,'전적확인_시즌24'!$A$2:$S$100,3,0),0) + iferror(vlookup(A2,'전적확인_시즌25'!$A$2:$S$100,3,0),0) + iferror(vlookup(A2,'전적확인_시즌26'!$A$2:$S$100,3,0),0) + iferror(vlookup(A2,'전적확인_시즌27'!$A$2:$S$100,3,0),0) + iferror(vlookup(A2,'전적확인_시즌28'!$A$2:$S$100,3,0),0) + iferror(vlookup(A2,'전적확인_시즌29'!$A$2:$S$100,3,0),0) + iferror(vlookup(A2,'전적확인_시즌30'!$A$2:$S$100,3,0),0)</f>
        <v>37</v>
      </c>
      <c r="R2" s="98">
        <f t="shared" ref="R2:R24" si="5">iferror(Round((P2/(P2+Q2)*100),2),0)</f>
        <v>65.09</v>
      </c>
      <c r="S2" s="98">
        <f>iferror(vlookup(A2,'전적확인'!$A$2:$S$61,4,0),0) + iferror(vlookup(A2,'전적확인_베타시즌'!$A$2:$S$100,4,0),0)+iferror(vlookup(A2,'전적확인_시즌1'!$A$2:$S$100,4,0),0)+iferror(vlookup(A2,'전적확인_시즌2'!$A$2:$S$100,4,0),0)+iferror(vlookup(A2,'전적확인_시즌3'!$A$2:$S$100,4,0),0) + iferror(vlookup(A2,'전적확인_시즌4'!$A$2:$S$100,4,0),0) + iferror(vlookup(A2,'전적확인_시즌5'!$A$2:$S$100,4,0),0) + iferror(vlookup(A2,'전적확인_시즌6'!$A$2:$S$100,4,0),0) + iferror(vlookup(A2,'전적확인_시즌7'!$A$2:$S$100,4,0),0) + iferror(vlookup(A2,'전적확인_시즌8'!$A$2:$S$100,4,0),0) + iferror(vlookup(A2,'전적확인_시즌9'!$A$2:$S$100,4,0),0) + iferror(vlookup(A2,'전적확인_시즌10'!$A$2:$S$100,4,0),0) + iferror(vlookup(A2,'전적확인_시즌11'!$A$2:$S$100,4,0),0) + iferror(vlookup(A2,'전적확인_시즌12'!$A$2:$S$100,4,0),0) + iferror(vlookup(A2,'전적확인_시즌13'!$A$2:$S$100,4,0),0) + iferror(vlookup(A2,'전적확인_시즌14'!$A$2:$S$100,4,0),0) + iferror(vlookup(A2,'전적확인_시즌15'!$A$2:$S$100,4,0),0) + iferror(vlookup(A2,'전적확인_시즌16'!$A$2:$S$100,4,0),0) + iferror(vlookup(A2,'전적확인_시즌17'!$A$2:$S$100,4,0),0) + iferror(vlookup(A2,'전적확인_시즌17'!$A$2:$S$100,4,0),0) + iferror(vlookup(A2,'전적확인_시즌18'!$A$2:$S$100,4,0),0) + iferror(vlookup(A2,'전적확인_시즌19'!$A$2:$S$100,4,0),0) + iferror(vlookup(A2,'전적확인_시즌20'!$A$2:$S$100,4,0),0) + iferror(vlookup(A2,'전적확인_시즌21'!$A$2:$S$100,4,0),0) + iferror(vlookup(A2,'전적확인_시즌22'!$A$2:$S$100,4,0),0) + iferror(vlookup(A2,'전적확인_시즌23'!$A$2:$S$100,4,0),0) + iferror(vlookup(A2,'전적확인_시즌24'!$A$2:$S$100,4,0),0) + iferror(vlookup(A2,'전적확인_시즌25'!$A$2:$S$100,4,0),0) + iferror(vlookup(A2,'전적확인_시즌26'!$A$2:$S$100,4,0),0) + iferror(vlookup(A2,'전적확인_시즌27'!$A$2:$S$100,4,0),0) + iferror(vlookup(A2,'전적확인_시즌28'!$A$2:$S$100,4,0),0) + iferror(vlookup(A2,'전적확인_시즌29'!$A$2:$S$100,4,0),0) + iferror(vlookup(A2,'전적확인_시즌30'!$A$2:$S$100,4,0),0)</f>
        <v>86</v>
      </c>
      <c r="T2" s="98">
        <f>iferror(vlookup(A2,'전적확인'!$A$2:$S$61,5,0),0) + iferror(vlookup(A2,'전적확인_베타시즌'!$A$2:$S$100,5,0),0)+iferror(vlookup(A2,'전적확인_시즌1'!$A$2:$S$100,5,0),0)+iferror(vlookup(A2,'전적확인_시즌2'!$A$2:$S$100,5,0),0)+iferror(vlookup(A2,'전적확인_시즌3'!$A$2:$S$100,5,0),0) + iferror(vlookup(A2,'전적확인_시즌4'!$A$2:$S$100,5,0),0) + iferror(vlookup(A2,'전적확인_시즌5'!$A$2:$S$100,5,0),0) + iferror(vlookup(A2,'전적확인_시즌6'!$A$2:$S$100,5,0),0) + iferror(vlookup(A2,'전적확인_시즌7'!$A$2:$S$100,5,0),0) + iferror(vlookup(A2,'전적확인_시즌8'!$A$2:$S$100,5,0),0) + iferror(vlookup(A2,'전적확인_시즌9'!$A$2:$S$100,5,0),0) + iferror(vlookup(A2,'전적확인_시즌10'!$A$2:$S$100,5,0),0) + iferror(vlookup(A2,'전적확인_시즌11'!$A$2:$S$100,5,0),0) + iferror(vlookup(A2,'전적확인_시즌12'!$A$2:$S$100,5,0),0) + iferror(vlookup(A2,'전적확인_시즌13'!$A$2:$S$100,5,0),0) + iferror(vlookup(A2,'전적확인_시즌14'!$A$2:$S$100,5,0),0) + iferror(vlookup(A2,'전적확인_시즌15'!$A$2:$S$100,5,0),0) + iferror(vlookup(A2,'전적확인_시즌16'!$A$2:$S$100,5,0),0) + iferror(vlookup(A2,'전적확인_시즌17'!$A$2:$S$100,5,0),0) + iferror(vlookup(A2,'전적확인_시즌17'!$A$2:$S$100,5,0),0) + iferror(vlookup(A2,'전적확인_시즌18'!$A$2:$S$100,5,0),0) + iferror(vlookup(A2,'전적확인_시즌19'!$A$2:$S$100,5,0),0) + iferror(vlookup(A2,'전적확인_시즌20'!$A$2:$S$100,5,0),0) + iferror(vlookup(A2,'전적확인_시즌21'!$A$2:$S$100,5,0),0) + iferror(vlookup(A2,'전적확인_시즌22'!$A$2:$S$100,5,0),0) + iferror(vlookup(A2,'전적확인_시즌23'!$A$2:$S$100,5,0),0) + iferror(vlookup(A2,'전적확인_시즌24'!$A$2:$S$100,5,0),0) + iferror(vlookup(A2,'전적확인_시즌25'!$A$2:$S$100,5,0),0) + iferror(vlookup(A2,'전적확인_시즌26'!$A$2:$S$100,5,0),0) + iferror(vlookup(A2,'전적확인_시즌27'!$A$2:$S$100,5,0),0) + iferror(vlookup(A2,'전적확인_시즌28'!$A$2:$S$100,5,0),0) + iferror(vlookup(A2,'전적확인_시즌29'!$A$2:$S$100,5,0),0) + iferror(vlookup(A2,'전적확인_시즌30'!$A$2:$S$100,5,0),0)</f>
        <v>50</v>
      </c>
      <c r="U2" s="98">
        <f t="shared" ref="U2:U24" si="6">iferror(Round((S2/(S2+T2)*100),2),0)</f>
        <v>63.24</v>
      </c>
      <c r="V2" s="98">
        <f>iferror(vlookup(A2,'전적확인'!$A$2:$S$61,6,0),0)+ iferror(vlookup(A2,'전적확인_베타시즌'!$A$2:$S$100,6,0),0)+iferror(vlookup(A2,'전적확인_시즌1'!$A$2:$S$100,6,0),0)+iferror(vlookup(A2,'전적확인_시즌2'!$A$2:$S$100,6,0),0)+iferror(vlookup(A2,'전적확인_시즌3'!$A$2:$S$100,6,0),0) + iferror(vlookup(A2,'전적확인_시즌4'!$A$2:$S$100,6,0),0) + iferror(vlookup(A2,'전적확인_시즌5'!$A$2:$S$100,6,0),0) + iferror(vlookup(A2,'전적확인_시즌6'!$A$2:$S$100,6,0),0) + iferror(vlookup(A2,'전적확인_시즌7'!$A$2:$S$100,6,0),0) + iferror(vlookup(A2,'전적확인_시즌8'!$A$2:$S$100,6,0),0) + iferror(vlookup(A2,'전적확인_시즌9'!$A$2:$S$100,6,0),0) + iferror(vlookup(A2,'전적확인_시즌10'!$A$2:$S$100,6,0),0) + iferror(vlookup(A2,'전적확인_시즌11'!$A$2:$S$100,6,0),0) + iferror(vlookup(A2,'전적확인_시즌12'!$A$2:$S$100,6,0),0) + iferror(vlookup(A2,'전적확인_시즌13'!$A$2:$S$100,6,0),0) + iferror(vlookup(A2,'전적확인_시즌14'!$A$2:$S$100,6,0),0) + iferror(vlookup(A2,'전적확인_시즌15'!$A$2:$S$100,6,0),0) + iferror(vlookup(A2,'전적확인_시즌16'!$A$2:$S$100,6,0),0) + iferror(vlookup(A2,'전적확인_시즌17'!$A$2:$S$100,6,0),0) + iferror(vlookup(A2,'전적확인_시즌17'!$A$2:$S$100,6,0),0) + iferror(vlookup(A2,'전적확인_시즌18'!$A$2:$S$100,6,0),0) + iferror(vlookup(A2,'전적확인_시즌19'!$A$2:$S$100,6,0),0) + iferror(vlookup(A2,'전적확인_시즌20'!$A$2:$S$100,6,0),0) + iferror(vlookup(A2,'전적확인_시즌21'!$A$2:$S$100,6,0),0) + iferror(vlookup(A2,'전적확인_시즌22'!$A$2:$S$100,6,0),0) + iferror(vlookup(A2,'전적확인_시즌23'!$A$2:$S$100,6,0),0) + iferror(vlookup(A2,'전적확인_시즌24'!$A$2:$S$100,6,0),0) + iferror(vlookup(A2,'전적확인_시즌25'!$A$2:$S$100,6,0),0) + iferror(vlookup(A2,'전적확인_시즌26'!$A$2:$S$100,6,0),0) + iferror(vlookup(A2,'전적확인_시즌27'!$A$2:$S$100,6,0),0) + iferror(vlookup(A2,'전적확인_시즌28'!$A$2:$S$100,6,0),0) + iferror(vlookup(A2,'전적확인_시즌29'!$A$2:$S$100,6,0),0) + iferror(vlookup(A2,'전적확인_시즌30'!$A$2:$S$100,6,0),0)</f>
        <v>80</v>
      </c>
      <c r="W2" s="98">
        <f> iferror(vlookup(A2,'전적확인'!$A$2:$S$61,7,0),0)+ iferror(vlookup(A2,'전적확인_베타시즌'!$A$2:$S$100,7,0),0)+iferror(vlookup(A2,'전적확인_시즌1'!$A$2:$S$100,7,0),0)+iferror(vlookup(A2,'전적확인_시즌2'!$A$2:$S$100,7,0),0)+iferror(vlookup(A2,'전적확인_시즌3'!$A$2:$S$100,7,0),0) + iferror(vlookup(A2,'전적확인_시즌4'!$A$2:$S$100,7,0),0) + iferror(vlookup(A2,'전적확인_시즌5'!$A$2:$S$100,7,0),0) + iferror(vlookup(A2,'전적확인_시즌6'!$A$2:$S$100,7,0),0) + iferror(vlookup(A2,'전적확인_시즌7'!$A$2:$S$100,7,0),0) + iferror(vlookup(A2,'전적확인_시즌8'!$A$2:$S$100,7,0),0) + iferror(vlookup(A2,'전적확인_시즌9'!$A$2:$S$100,7,0),0) + iferror(vlookup(A2,'전적확인_시즌10'!$A$2:$S$100,7,0),0) + iferror(vlookup(A2,'전적확인_시즌11'!$A$2:$S$100,7,0),0) + iferror(vlookup(A2,'전적확인_시즌12'!$A$2:$S$100,7,0),0) + iferror(vlookup(A2,'전적확인_시즌13'!$A$2:$S$100,7,0),0) + iferror(vlookup(A2,'전적확인_시즌14'!$A$2:$S$100,7,0),0) + iferror(vlookup(A2,'전적확인_시즌15'!$A$2:$S$100,7,0),0) + iferror(vlookup(A2,'전적확인_시즌16'!$A$2:$S$100,7,0),0) + iferror(vlookup(A2,'전적확인_시즌17'!$A$2:$S$100,7,0),0) + iferror(vlookup(A2,'전적확인_시즌17'!$A$2:$S$100,7,0),0) + iferror(vlookup(A2,'전적확인_시즌18'!$A$2:$S$100,7,0),0) + iferror(vlookup(A2,'전적확인_시즌19'!$A$2:$S$100,7,0),0) + iferror(vlookup(A2,'전적확인_시즌20'!$A$2:$S$100,7,0),0) + iferror(vlookup(A2,'전적확인_시즌21'!$A$2:$S$100,7,0),0) + iferror(vlookup(A2,'전적확인_시즌22'!$A$2:$S$100,7,0),0) + iferror(vlookup(A2,'전적확인_시즌23'!$A$2:$S$100,7,0),0) + iferror(vlookup(A2,'전적확인_시즌24'!$A$2:$S$100,7,0),0) + iferror(vlookup(A2,'전적확인_시즌25'!$A$2:$S$100,7,0),0) + iferror(vlookup(A2,'전적확인_시즌26'!$A$2:$S$100,7,0),0) + iferror(vlookup(A2,'전적확인_시즌27'!$A$2:$S$100,7,0),0) + iferror(vlookup(A2,'전적확인_시즌28'!$A$2:$S$100,7,0),0) + iferror(vlookup(A2,'전적확인_시즌29'!$A$2:$S$100,7,0),0) + iferror(vlookup(A2,'전적확인_시즌30'!$A$2:$S$100,7,0),0)</f>
        <v>29</v>
      </c>
      <c r="X2" s="98">
        <f t="shared" ref="X2:X24" si="7">iferror(Round((V2/(V2+W2)*100),2),0)</f>
        <v>73.39</v>
      </c>
      <c r="Y2" s="98">
        <f>iferror(vlookup(A2,'전적확인'!$A$2:$S$61,8,0),0) + iferror(vlookup(A2,'전적확인_베타시즌'!$A$2:$S$100,8,0),0)+iferror(vlookup(A2,'전적확인_시즌1'!$A$2:$S$100,8,0),0)+iferror(vlookup(A2,'전적확인_시즌2'!$A$2:$S$100,8,0),0)+iferror(vlookup(A2,'전적확인_시즌3'!$A$2:$S$100,8,0),0) + iferror(vlookup(A2,'전적확인_시즌4'!$A$2:$S$100,8,0),0) + iferror(vlookup(A2,'전적확인_시즌5'!$A$2:$S$100,8,0),0) + iferror(vlookup(A2,'전적확인_시즌6'!$A$2:$S$100,8,0),0) + iferror(vlookup(A2,'전적확인_시즌7'!$A$2:$S$100,8,0),0) + iferror(vlookup(A2,'전적확인_시즌8'!$A$2:$S$100,8,0),0) + iferror(vlookup(A2,'전적확인_시즌9'!$A$2:$S$100,8,0),0) + iferror(vlookup(A2,'전적확인_시즌10'!$A$2:$S$100,8,0),0) + iferror(vlookup(A2,'전적확인_시즌11'!$A$2:$S$100,8,0),0) + iferror(vlookup(A2,'전적확인_시즌12'!$A$2:$S$100,8,0),0) + iferror(vlookup(A2,'전적확인_시즌13'!$A$2:$S$100,8,0),0) + iferror(vlookup(A2,'전적확인_시즌14'!$A$2:$S$100,8,0),0) + iferror(vlookup(A2,'전적확인_시즌15'!$A$2:$S$100,8,0),0) + iferror(vlookup(A2,'전적확인_시즌16'!$A$2:$S$100,8,0),0) + iferror(vlookup(A2,'전적확인_시즌17'!$A$2:$S$100,8,0),0) + iferror(vlookup(A2,'전적확인_시즌17'!$A$2:$S$100,8,0),0) + iferror(vlookup(A2,'전적확인_시즌18'!$A$2:$S$100,8,0),0) + iferror(vlookup(A2,'전적확인_시즌19'!$A$2:$S$100,8,0),0) + iferror(vlookup(A2,'전적확인_시즌20'!$A$2:$S$100,8,0),0) + iferror(vlookup(A2,'전적확인_시즌21'!$A$2:$S$100,8,0),0) + iferror(vlookup(A2,'전적확인_시즌22'!$A$2:$S$100,8,0),0) + iferror(vlookup(A2,'전적확인_시즌23'!$A$2:$S$100,8,0),0) + iferror(vlookup(A2,'전적확인_시즌24'!$A$2:$S$100,8,0),0) + iferror(vlookup(A2,'전적확인_시즌25'!$A$2:$S$100,8,0),0) + iferror(vlookup(A2,'전적확인_시즌26'!$A$2:$S$100,8,0),0) + iferror(vlookup(A2,'전적확인_시즌27'!$A$2:$S$100,8,0),0) + iferror(vlookup(A2,'전적확인_시즌28'!$A$2:$S$100,8,0),0) + iferror(vlookup(A2,'전적확인_시즌29'!$A$2:$S$100,8,0),0) + iferror(vlookup(A2,'전적확인_시즌30'!$A$2:$S$100,8,0),0)</f>
        <v>130</v>
      </c>
      <c r="Z2" s="98">
        <f>iferror(vlookup(A2,'전적확인'!$A$2:$S$61,9,0),0) + iferror(vlookup(A2,'전적확인_베타시즌'!$A$2:$S$100,9,0),0)+iferror(vlookup(A2,'전적확인_시즌1'!$A$2:$S$100,9,0),0)+iferror(vlookup(A2,'전적확인_시즌2'!$A$2:$S$100,9,0),0)+iferror(vlookup(A2,'전적확인_시즌3'!$A$2:$S$100,9,0),0) + iferror(vlookup(A2,'전적확인_시즌4'!$A$2:$S$100,9,0),0) + iferror(vlookup(A2,'전적확인_시즌5'!$A$2:$S$100,9,0),0) + iferror(vlookup(A2,'전적확인_시즌6'!$A$2:$S$100,9,0),0) + iferror(vlookup(A2,'전적확인_시즌7'!$A$2:$S$100,9,0),0) + iferror(vlookup(A2,'전적확인_시즌8'!$A$2:$S$100,9,0),0) + iferror(vlookup(A2,'전적확인_시즌9'!$A$2:$S$100,9,0),0) + iferror(vlookup(A2,'전적확인_시즌10'!$A$2:$S$100,9,0),0) + iferror(vlookup(A2,'전적확인_시즌11'!$A$2:$S$100,9,0),0) + iferror(vlookup(A2,'전적확인_시즌12'!$A$2:$S$100,9,0),0) + iferror(vlookup(A2,'전적확인_시즌13'!$A$2:$S$100,9,0),0) + iferror(vlookup(A2,'전적확인_시즌14'!$A$2:$S$100,9,0),0) + iferror(vlookup(A2,'전적확인_시즌15'!$A$2:$S$100,9,0),0) + iferror(vlookup(A2,'전적확인_시즌16'!$A$2:$S$100,9,0),0) + iferror(vlookup(A2,'전적확인_시즌17'!$A$2:$S$100,9,0),0) + iferror(vlookup(A2,'전적확인_시즌17'!$A$2:$S$100,9,0),0) + iferror(vlookup(A2,'전적확인_시즌18'!$A$2:$S$100,9,0),0) + iferror(vlookup(A2,'전적확인_시즌19'!$A$2:$S$100,9,0),0) + iferror(vlookup(A2,'전적확인_시즌20'!$A$2:$S$100,9,0),0) + iferror(vlookup(A2,'전적확인_시즌21'!$A$2:$S$100,9,0),0) + iferror(vlookup(A2,'전적확인_시즌22'!$A$2:$S$100,9,0),0) + iferror(vlookup(A2,'전적확인_시즌23'!$A$2:$S$100,9,0),0) + iferror(vlookup(A2,'전적확인_시즌24'!$A$2:$S$100,9,0),0) + iferror(vlookup(A2,'전적확인_시즌25'!$A$2:$S$100,9,0),0) + iferror(vlookup(A2,'전적확인_시즌26'!$A$2:$S$100,9,0),0) + iferror(vlookup(A2,'전적확인_시즌27'!$A$2:$S$100,9,0),0) + iferror(vlookup(A2,'전적확인_시즌28'!$A$2:$S$100,9,0),0) + iferror(vlookup(A2,'전적확인_시즌29'!$A$2:$S$100,9,0),0) + iferror(vlookup(A2,'전적확인_시즌30'!$A$2:$S$100,9,0),0)</f>
        <v>49</v>
      </c>
      <c r="AA2" s="98">
        <f t="shared" ref="AA2:AA24" si="8">iferror(Round((Y2/(Y2+Z2)*100),2),0)</f>
        <v>72.63</v>
      </c>
      <c r="AB2" s="3"/>
      <c r="AC2" s="2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>
      <c r="A3" s="95" t="s">
        <v>27</v>
      </c>
      <c r="B3" s="95" t="s">
        <v>9669</v>
      </c>
      <c r="C3" s="95" t="s">
        <v>9670</v>
      </c>
      <c r="D3" s="95" t="s">
        <v>9671</v>
      </c>
      <c r="E3" s="95" t="s">
        <v>9667</v>
      </c>
      <c r="F3" s="3"/>
      <c r="G3" s="95" t="s">
        <v>9672</v>
      </c>
      <c r="H3" s="98">
        <f t="shared" si="1"/>
        <v>1087</v>
      </c>
      <c r="I3" s="98">
        <f>iferror(vlookup(A3,'전적확인'!$A$2:$S$61,10,0),0) + iferror(vlookup(A3,'전적확인_베타시즌'!$A$2:$S$100,10,0),0)+iferror(vlookup(A3,'전적확인_시즌1'!$A$2:$S$100,10,0),0)+iferror(vlookup(A3,'전적확인_시즌2'!$A$2:$S$100,10,0),0)+iferror(vlookup(A3,'전적확인_시즌3'!$A$2:$S$100,10,0),0) + iferror(vlookup(A3,'전적확인_시즌4'!$A$2:$S$100,10,0),0) + iferror(vlookup(A3,'전적확인_시즌5'!$A$2:$S$100,10,0),0) + iferror(vlookup(A3,'전적확인_시즌6'!$A$2:$S$100,10,0),0) + iferror(vlookup(A3,'전적확인_시즌7'!$A$2:$S$100,10,0),0) + iferror(vlookup(A3,'전적확인_시즌8'!$A$2:$S$100,10,0),0) + iferror(vlookup(A3,'전적확인_시즌9'!$A$2:$S$100,10,0),0) + iferror(vlookup(A3,'전적확인_시즌10'!$A$2:$S$100,10,0),0) + iferror(vlookup(A3,'전적확인_시즌11'!$A$2:$S$100,10,0),0) + iferror(vlookup(A3,'전적확인_시즌12'!$A$2:$S$100,10,0),0) + iferror(vlookup(A3,'전적확인_시즌13'!$A$2:$S$100,10,0),0) + iferror(vlookup(A3,'전적확인_시즌14'!$A$2:$S$100,10,0),0) + iferror(vlookup(A3,'전적확인_시즌15'!$A$2:$S$100,10,0),0) + iferror(vlookup(A3,'전적확인_시즌16'!$A$2:$S$100,10,0),0) + iferror(vlookup(A3,'전적확인_시즌17'!$A$2:$S$100,10,0),0) + iferror(vlookup(A3,'전적확인_시즌17'!$A$2:$S$100,10,0),0) + iferror(vlookup(A3,'전적확인_시즌18'!$A$2:$S$100,10,0),0) + iferror(vlookup(A3,'전적확인_시즌19'!$A$2:$S$100,10,0),0) + iferror(vlookup(A3,'전적확인_시즌20'!$A$2:$S$100,10,0),0) + iferror(vlookup(A3,'전적확인_시즌21'!$A$2:$S$100,10,0),0) + iferror(vlookup(A3,'전적확인_시즌22'!$A$2:$S$100,10,0),0) + iferror(vlookup(A3,'전적확인_시즌23'!$A$2:$S$100,10,0),0) + iferror(vlookup(A3,'전적확인_시즌24'!$A$2:$S$100,10,0),0) + iferror(vlookup(A3,'전적확인_시즌25'!$A$2:$S$100,10,0),0) + iferror(vlookup(A3,'전적확인_시즌26'!$A$2:$S$100,10,0),0) + iferror(vlookup(A3,'전적확인_시즌27'!$A$2:$S$100,10,0),0) + iferror(vlookup(A3,'전적확인_시즌28'!$A$2:$S$100,10,0),0) + iferror(vlookup(A3,'전적확인_시즌29'!$A$2:$S$100,10,0),0) + iferror(vlookup(A3,'전적확인_시즌30'!$A$2:$S$100,10,0),0)</f>
        <v>676</v>
      </c>
      <c r="J3" s="98">
        <f>iferror(vlookup(A3,'전적확인'!$A$2:$S$61,11,0),0) + iferror(vlookup(A3,'전적확인_베타시즌'!$A$2:$S$100,11,0),0)+iferror(vlookup(A3,'전적확인_시즌1'!$A$2:$S$100,11,0),0)+iferror(vlookup(A3,'전적확인_시즌2'!$A$2:$S$100,11,0),0)+iferror(vlookup(A3,'전적확인_시즌3'!$A$2:$S$100,11,0),0) + iferror(vlookup(A3,'전적확인_시즌4'!$A$2:$S$100,11,0),0) + iferror(vlookup(A3,'전적확인_시즌5'!$A$2:$S$100,11,0),0) + iferror(vlookup(A3,'전적확인_시즌6'!$A$2:$S$100,11,0),0) + iferror(vlookup(A3,'전적확인_시즌7'!$A$2:$S$100,11,0),0) + iferror(vlookup(A3,'전적확인_시즌8'!$A$2:$S$100,11,0),0) + iferror(vlookup(A3,'전적확인_시즌9'!$A$2:$S$100,11,0),0) + iferror(vlookup(A3,'전적확인_시즌10'!$A$2:$S$100,11,0),0) + iferror(vlookup(A3,'전적확인_시즌11'!$A$2:$S$100,11,0),0) + iferror(vlookup(A3,'전적확인_시즌12'!$A$2:$S$100,11,0),0) + iferror(vlookup(A3,'전적확인_시즌13'!$A$2:$S$100,11,0),0) + iferror(vlookup(A3,'전적확인_시즌14'!$A$2:$S$100,11,0),0) + iferror(vlookup(A3,'전적확인_시즌15'!$A$2:$S$100,11,0),0) + iferror(vlookup(A3,'전적확인_시즌16'!$A$2:$S$100,11,0),0) + iferror(vlookup(A3,'전적확인_시즌17'!$A$2:$S$100,11,0),0) + iferror(vlookup(A3,'전적확인_시즌17'!$A$2:$S$100,11,0),0) + iferror(vlookup(A3,'전적확인_시즌18'!$A$2:$S$100,11,0),0) + iferror(vlookup(A3,'전적확인_시즌19'!$A$2:$S$100,11,0),0) + iferror(vlookup(A3,'전적확인_시즌20'!$A$2:$S$100,11,0),0) + iferror(vlookup(A3,'전적확인_시즌21'!$A$2:$S$100,11,0),0) + iferror(vlookup(A3,'전적확인_시즌22'!$A$2:$S$100,11,0),0) + iferror(vlookup(A3,'전적확인_시즌23'!$A$2:$S$100,11,0),0) + iferror(vlookup(A3,'전적확인_시즌24'!$A$2:$S$100,11,0),0) + iferror(vlookup(A3,'전적확인_시즌25'!$A$2:$S$100,11,0),0) + iferror(vlookup(A3,'전적확인_시즌26'!$A$2:$S$100,11,0),0) + iferror(vlookup(A3,'전적확인_시즌27'!$A$2:$S$100,11,0),0) + iferror(vlookup(A3,'전적확인_시즌28'!$A$2:$S$100,11,0),0) + iferror(vlookup(A3,'전적확인_시즌29'!$A$2:$S$100,11,0),0) + iferror(vlookup(A3,'전적확인_시즌30'!$A$2:$S$100,11,0),0)</f>
        <v>411</v>
      </c>
      <c r="K3" s="98">
        <f t="shared" si="2"/>
        <v>62.19</v>
      </c>
      <c r="L3" s="95">
        <f t="array" ref="L3">iferror(vlookup(A3,INDIRECT('시즌목록'!$H$2 &amp; "!$A$2:$S$100"),10,0),0)</f>
        <v>75</v>
      </c>
      <c r="M3" s="95">
        <f t="array" ref="M3">iferror(vlookup(A3,INDIRECT('시즌목록'!$H$2 &amp; "!$A$2:$S$100"),11,0),0)</f>
        <v>36</v>
      </c>
      <c r="N3" s="98">
        <f t="shared" si="3"/>
        <v>67.57</v>
      </c>
      <c r="O3" s="95" t="str">
        <f t="shared" si="4"/>
        <v>마스터</v>
      </c>
      <c r="P3" s="98">
        <f>iferror(vlookup(A3,'전적확인'!$A$2:$S$61,2,0),0)+ iferror(vlookup(A3,'전적확인_베타시즌'!$A$2:$S$100,2,0),0)+iferror(vlookup(A3,'전적확인_시즌1'!$A$2:$S$100,2,0),0)+iferror(vlookup(A3,'전적확인_시즌2'!$A$2:$S$100,2,0),0)+iferror(vlookup(A3,'전적확인_시즌3'!$A$2:$S$100,2,0),0) + iferror(vlookup(A3,'전적확인_시즌4'!$A$2:$S$100,2,0),0) + iferror(vlookup(A3,'전적확인_시즌5'!$A$2:$S$100,2,0),0) + iferror(vlookup(A3,'전적확인_시즌6'!$A$2:$S$100,2,0),0) + iferror(vlookup(A3,'전적확인_시즌7'!$A$2:$S$100,2,0),0) + iferror(vlookup(A3,'전적확인_시즌8'!$A$2:$S$100,2,0),0) + iferror(vlookup(A3,'전적확인_시즌9'!$A$2:$S$100,2,0),0) + iferror(vlookup(A3,'전적확인_시즌10'!$A$2:$S$100,2,0),0) + iferror(vlookup(A3,'전적확인_시즌11'!$A$2:$S$100,2,0),0) + iferror(vlookup(A3,'전적확인_시즌12'!$A$2:$S$100,2,0),0) + iferror(vlookup(A3,'전적확인_시즌13'!$A$2:$S$100,2,0),0) + iferror(vlookup(A3,'전적확인_시즌14'!$A$2:$S$100,2,0),0) + iferror(vlookup(A3,'전적확인_시즌15'!$A$2:$S$100,2,0),0) + iferror(vlookup(A3,'전적확인_시즌16'!$A$2:$S$100,2,0),0) + iferror(vlookup(A3,'전적확인_시즌17'!$A$2:$S$100,2,0),0) + iferror(vlookup(A3,'전적확인_시즌17'!$A$2:$S$100,2,0),0) + iferror(vlookup(A3,'전적확인_시즌18'!$A$2:$S$100,2,0),0) + iferror(vlookup(A3,'전적확인_시즌19'!$A$2:$S$100,2,0),0) + iferror(vlookup(A3,'전적확인_시즌20'!$A$2:$S$100,2,0),0) + iferror(vlookup(A3,'전적확인_시즌21'!$A$2:$S$100,2,0),0) + iferror(vlookup(A3,'전적확인_시즌22'!$A$2:$S$100,2,0),0) + iferror(vlookup(A3,'전적확인_시즌23'!$A$2:$S$100,2,0),0) + iferror(vlookup(A3,'전적확인_시즌24'!$A$2:$S$100,2,0),0) + iferror(vlookup(A3,'전적확인_시즌25'!$A$2:$S$100,2,0),0) + iferror(vlookup(A3,'전적확인_시즌26'!$A$2:$S$100,2,0),0) + iferror(vlookup(A3,'전적확인_시즌27'!$A$2:$S$100,2,0),0) + iferror(vlookup(A3,'전적확인_시즌28'!$A$2:$S$100,2,0),0) + iferror(vlookup(A3,'전적확인_시즌29'!$A$2:$S$100,2,0),0) + iferror(vlookup(A3,'전적확인_시즌30'!$A$2:$S$100,2,0),0)</f>
        <v>212</v>
      </c>
      <c r="Q3" s="98">
        <f>iferror(vlookup(A3,'전적확인'!$A$2:$S$61,3,0),0)+ iferror(vlookup(A3,'전적확인_베타시즌'!$A$2:$S$100,3,0),0)+iferror(vlookup(A3,'전적확인_시즌1'!$A$2:$S$100,3,0),0)+iferror(vlookup(A3,'전적확인_시즌2'!$A$2:$S$100,3,0),0)+iferror(vlookup(A3,'전적확인_시즌3'!$A$2:$S$100,3,0),0) + iferror(vlookup(A3,'전적확인_시즌4'!$A$2:$S$100,3,0),0) + iferror(vlookup(A3,'전적확인_시즌5'!$A$2:$S$100,3,0),0) + iferror(vlookup(A3,'전적확인_시즌6'!$A$2:$S$100,3,0),0) + iferror(vlookup(A3,'전적확인_시즌7'!$A$2:$S$100,3,0),0) + iferror(vlookup(A3,'전적확인_시즌8'!$A$2:$S$100,3,0),0) + iferror(vlookup(A3,'전적확인_시즌9'!$A$2:$S$100,3,0),0) + iferror(vlookup(A3,'전적확인_시즌10'!$A$2:$S$100,3,0),0) + iferror(vlookup(A3,'전적확인_시즌11'!$A$2:$S$100,3,0),0) + iferror(vlookup(A3,'전적확인_시즌12'!$A$2:$S$100,3,0),0) + iferror(vlookup(A3,'전적확인_시즌13'!$A$2:$S$100,3,0),0) + iferror(vlookup(A3,'전적확인_시즌14'!$A$2:$S$100,3,0),0) + iferror(vlookup(A3,'전적확인_시즌15'!$A$2:$S$100,3,0),0) + iferror(vlookup(A3,'전적확인_시즌16'!$A$2:$S$100,3,0),0) + iferror(vlookup(A3,'전적확인_시즌17'!$A$2:$S$100,3,0),0) + iferror(vlookup(A3,'전적확인_시즌17'!$A$2:$S$100,3,0),0) + iferror(vlookup(A3,'전적확인_시즌18'!$A$2:$S$100,3,0),0) + iferror(vlookup(A3,'전적확인_시즌19'!$A$2:$S$100,3,0),0) + iferror(vlookup(A3,'전적확인_시즌20'!$A$2:$S$100,3,0),0) + iferror(vlookup(A3,'전적확인_시즌21'!$A$2:$S$100,3,0),0) + iferror(vlookup(A3,'전적확인_시즌22'!$A$2:$S$100,3,0),0) + iferror(vlookup(A3,'전적확인_시즌23'!$A$2:$S$100,3,0),0) + iferror(vlookup(A3,'전적확인_시즌24'!$A$2:$S$100,3,0),0) + iferror(vlookup(A3,'전적확인_시즌25'!$A$2:$S$100,3,0),0) + iferror(vlookup(A3,'전적확인_시즌26'!$A$2:$S$100,3,0),0) + iferror(vlookup(A3,'전적확인_시즌27'!$A$2:$S$100,3,0),0) + iferror(vlookup(A3,'전적확인_시즌28'!$A$2:$S$100,3,0),0) + iferror(vlookup(A3,'전적확인_시즌29'!$A$2:$S$100,3,0),0) + iferror(vlookup(A3,'전적확인_시즌30'!$A$2:$S$100,3,0),0)</f>
        <v>143</v>
      </c>
      <c r="R3" s="98">
        <f t="shared" si="5"/>
        <v>59.72</v>
      </c>
      <c r="S3" s="98">
        <f>iferror(vlookup(A3,'전적확인'!$A$2:$S$61,4,0),0) + iferror(vlookup(A3,'전적확인_베타시즌'!$A$2:$S$100,4,0),0)+iferror(vlookup(A3,'전적확인_시즌1'!$A$2:$S$100,4,0),0)+iferror(vlookup(A3,'전적확인_시즌2'!$A$2:$S$100,4,0),0)+iferror(vlookup(A3,'전적확인_시즌3'!$A$2:$S$100,4,0),0) + iferror(vlookup(A3,'전적확인_시즌4'!$A$2:$S$100,4,0),0) + iferror(vlookup(A3,'전적확인_시즌5'!$A$2:$S$100,4,0),0) + iferror(vlookup(A3,'전적확인_시즌6'!$A$2:$S$100,4,0),0) + iferror(vlookup(A3,'전적확인_시즌7'!$A$2:$S$100,4,0),0) + iferror(vlookup(A3,'전적확인_시즌8'!$A$2:$S$100,4,0),0) + iferror(vlookup(A3,'전적확인_시즌9'!$A$2:$S$100,4,0),0) + iferror(vlookup(A3,'전적확인_시즌10'!$A$2:$S$100,4,0),0) + iferror(vlookup(A3,'전적확인_시즌11'!$A$2:$S$100,4,0),0) + iferror(vlookup(A3,'전적확인_시즌12'!$A$2:$S$100,4,0),0) + iferror(vlookup(A3,'전적확인_시즌13'!$A$2:$S$100,4,0),0) + iferror(vlookup(A3,'전적확인_시즌14'!$A$2:$S$100,4,0),0) + iferror(vlookup(A3,'전적확인_시즌15'!$A$2:$S$100,4,0),0) + iferror(vlookup(A3,'전적확인_시즌16'!$A$2:$S$100,4,0),0) + iferror(vlookup(A3,'전적확인_시즌17'!$A$2:$S$100,4,0),0) + iferror(vlookup(A3,'전적확인_시즌17'!$A$2:$S$100,4,0),0) + iferror(vlookup(A3,'전적확인_시즌18'!$A$2:$S$100,4,0),0) + iferror(vlookup(A3,'전적확인_시즌19'!$A$2:$S$100,4,0),0) + iferror(vlookup(A3,'전적확인_시즌20'!$A$2:$S$100,4,0),0) + iferror(vlookup(A3,'전적확인_시즌21'!$A$2:$S$100,4,0),0) + iferror(vlookup(A3,'전적확인_시즌22'!$A$2:$S$100,4,0),0) + iferror(vlookup(A3,'전적확인_시즌23'!$A$2:$S$100,4,0),0) + iferror(vlookup(A3,'전적확인_시즌24'!$A$2:$S$100,4,0),0) + iferror(vlookup(A3,'전적확인_시즌25'!$A$2:$S$100,4,0),0) + iferror(vlookup(A3,'전적확인_시즌26'!$A$2:$S$100,4,0),0) + iferror(vlookup(A3,'전적확인_시즌27'!$A$2:$S$100,4,0),0) + iferror(vlookup(A3,'전적확인_시즌28'!$A$2:$S$100,4,0),0) + iferror(vlookup(A3,'전적확인_시즌29'!$A$2:$S$100,4,0),0) + iferror(vlookup(A3,'전적확인_시즌30'!$A$2:$S$100,4,0),0)</f>
        <v>249</v>
      </c>
      <c r="T3" s="98">
        <f>iferror(vlookup(A3,'전적확인'!$A$2:$S$61,5,0),0) + iferror(vlookup(A3,'전적확인_베타시즌'!$A$2:$S$100,5,0),0)+iferror(vlookup(A3,'전적확인_시즌1'!$A$2:$S$100,5,0),0)+iferror(vlookup(A3,'전적확인_시즌2'!$A$2:$S$100,5,0),0)+iferror(vlookup(A3,'전적확인_시즌3'!$A$2:$S$100,5,0),0) + iferror(vlookup(A3,'전적확인_시즌4'!$A$2:$S$100,5,0),0) + iferror(vlookup(A3,'전적확인_시즌5'!$A$2:$S$100,5,0),0) + iferror(vlookup(A3,'전적확인_시즌6'!$A$2:$S$100,5,0),0) + iferror(vlookup(A3,'전적확인_시즌7'!$A$2:$S$100,5,0),0) + iferror(vlookup(A3,'전적확인_시즌8'!$A$2:$S$100,5,0),0) + iferror(vlookup(A3,'전적확인_시즌9'!$A$2:$S$100,5,0),0) + iferror(vlookup(A3,'전적확인_시즌10'!$A$2:$S$100,5,0),0) + iferror(vlookup(A3,'전적확인_시즌11'!$A$2:$S$100,5,0),0) + iferror(vlookup(A3,'전적확인_시즌12'!$A$2:$S$100,5,0),0) + iferror(vlookup(A3,'전적확인_시즌13'!$A$2:$S$100,5,0),0) + iferror(vlookup(A3,'전적확인_시즌14'!$A$2:$S$100,5,0),0) + iferror(vlookup(A3,'전적확인_시즌15'!$A$2:$S$100,5,0),0) + iferror(vlookup(A3,'전적확인_시즌16'!$A$2:$S$100,5,0),0) + iferror(vlookup(A3,'전적확인_시즌17'!$A$2:$S$100,5,0),0) + iferror(vlookup(A3,'전적확인_시즌17'!$A$2:$S$100,5,0),0) + iferror(vlookup(A3,'전적확인_시즌18'!$A$2:$S$100,5,0),0) + iferror(vlookup(A3,'전적확인_시즌19'!$A$2:$S$100,5,0),0) + iferror(vlookup(A3,'전적확인_시즌20'!$A$2:$S$100,5,0),0) + iferror(vlookup(A3,'전적확인_시즌21'!$A$2:$S$100,5,0),0) + iferror(vlookup(A3,'전적확인_시즌22'!$A$2:$S$100,5,0),0) + iferror(vlookup(A3,'전적확인_시즌23'!$A$2:$S$100,5,0),0) + iferror(vlookup(A3,'전적확인_시즌24'!$A$2:$S$100,5,0),0) + iferror(vlookup(A3,'전적확인_시즌25'!$A$2:$S$100,5,0),0) + iferror(vlookup(A3,'전적확인_시즌26'!$A$2:$S$100,5,0),0) + iferror(vlookup(A3,'전적확인_시즌27'!$A$2:$S$100,5,0),0) + iferror(vlookup(A3,'전적확인_시즌28'!$A$2:$S$100,5,0),0) + iferror(vlookup(A3,'전적확인_시즌29'!$A$2:$S$100,5,0),0) + iferror(vlookup(A3,'전적확인_시즌30'!$A$2:$S$100,5,0),0)</f>
        <v>151</v>
      </c>
      <c r="U3" s="98">
        <f t="shared" si="6"/>
        <v>62.25</v>
      </c>
      <c r="V3" s="98">
        <f>iferror(vlookup(A3,'전적확인'!$A$2:$S$61,6,0),0)+ iferror(vlookup(A3,'전적확인_베타시즌'!$A$2:$S$100,6,0),0)+iferror(vlookup(A3,'전적확인_시즌1'!$A$2:$S$100,6,0),0)+iferror(vlookup(A3,'전적확인_시즌2'!$A$2:$S$100,6,0),0)+iferror(vlookup(A3,'전적확인_시즌3'!$A$2:$S$100,6,0),0) + iferror(vlookup(A3,'전적확인_시즌4'!$A$2:$S$100,6,0),0) + iferror(vlookup(A3,'전적확인_시즌5'!$A$2:$S$100,6,0),0) + iferror(vlookup(A3,'전적확인_시즌6'!$A$2:$S$100,6,0),0) + iferror(vlookup(A3,'전적확인_시즌7'!$A$2:$S$100,6,0),0) + iferror(vlookup(A3,'전적확인_시즌8'!$A$2:$S$100,6,0),0) + iferror(vlookup(A3,'전적확인_시즌9'!$A$2:$S$100,6,0),0) + iferror(vlookup(A3,'전적확인_시즌10'!$A$2:$S$100,6,0),0) + iferror(vlookup(A3,'전적확인_시즌11'!$A$2:$S$100,6,0),0) + iferror(vlookup(A3,'전적확인_시즌12'!$A$2:$S$100,6,0),0) + iferror(vlookup(A3,'전적확인_시즌13'!$A$2:$S$100,6,0),0) + iferror(vlookup(A3,'전적확인_시즌14'!$A$2:$S$100,6,0),0) + iferror(vlookup(A3,'전적확인_시즌15'!$A$2:$S$100,6,0),0) + iferror(vlookup(A3,'전적확인_시즌16'!$A$2:$S$100,6,0),0) + iferror(vlookup(A3,'전적확인_시즌17'!$A$2:$S$100,6,0),0) + iferror(vlookup(A3,'전적확인_시즌17'!$A$2:$S$100,6,0),0) + iferror(vlookup(A3,'전적확인_시즌18'!$A$2:$S$100,6,0),0) + iferror(vlookup(A3,'전적확인_시즌19'!$A$2:$S$100,6,0),0) + iferror(vlookup(A3,'전적확인_시즌20'!$A$2:$S$100,6,0),0) + iferror(vlookup(A3,'전적확인_시즌21'!$A$2:$S$100,6,0),0) + iferror(vlookup(A3,'전적확인_시즌22'!$A$2:$S$100,6,0),0) + iferror(vlookup(A3,'전적확인_시즌23'!$A$2:$S$100,6,0),0) + iferror(vlookup(A3,'전적확인_시즌24'!$A$2:$S$100,6,0),0) + iferror(vlookup(A3,'전적확인_시즌25'!$A$2:$S$100,6,0),0) + iferror(vlookup(A3,'전적확인_시즌26'!$A$2:$S$100,6,0),0) + iferror(vlookup(A3,'전적확인_시즌27'!$A$2:$S$100,6,0),0) + iferror(vlookup(A3,'전적확인_시즌28'!$A$2:$S$100,6,0),0) + iferror(vlookup(A3,'전적확인_시즌29'!$A$2:$S$100,6,0),0) + iferror(vlookup(A3,'전적확인_시즌30'!$A$2:$S$100,6,0),0)</f>
        <v>215</v>
      </c>
      <c r="W3" s="98">
        <f> iferror(vlookup(A3,'전적확인'!$A$2:$S$61,7,0),0)+ iferror(vlookup(A3,'전적확인_베타시즌'!$A$2:$S$100,7,0),0)+iferror(vlookup(A3,'전적확인_시즌1'!$A$2:$S$100,7,0),0)+iferror(vlookup(A3,'전적확인_시즌2'!$A$2:$S$100,7,0),0)+iferror(vlookup(A3,'전적확인_시즌3'!$A$2:$S$100,7,0),0) + iferror(vlookup(A3,'전적확인_시즌4'!$A$2:$S$100,7,0),0) + iferror(vlookup(A3,'전적확인_시즌5'!$A$2:$S$100,7,0),0) + iferror(vlookup(A3,'전적확인_시즌6'!$A$2:$S$100,7,0),0) + iferror(vlookup(A3,'전적확인_시즌7'!$A$2:$S$100,7,0),0) + iferror(vlookup(A3,'전적확인_시즌8'!$A$2:$S$100,7,0),0) + iferror(vlookup(A3,'전적확인_시즌9'!$A$2:$S$100,7,0),0) + iferror(vlookup(A3,'전적확인_시즌10'!$A$2:$S$100,7,0),0) + iferror(vlookup(A3,'전적확인_시즌11'!$A$2:$S$100,7,0),0) + iferror(vlookup(A3,'전적확인_시즌12'!$A$2:$S$100,7,0),0) + iferror(vlookup(A3,'전적확인_시즌13'!$A$2:$S$100,7,0),0) + iferror(vlookup(A3,'전적확인_시즌14'!$A$2:$S$100,7,0),0) + iferror(vlookup(A3,'전적확인_시즌15'!$A$2:$S$100,7,0),0) + iferror(vlookup(A3,'전적확인_시즌16'!$A$2:$S$100,7,0),0) + iferror(vlookup(A3,'전적확인_시즌17'!$A$2:$S$100,7,0),0) + iferror(vlookup(A3,'전적확인_시즌17'!$A$2:$S$100,7,0),0) + iferror(vlookup(A3,'전적확인_시즌18'!$A$2:$S$100,7,0),0) + iferror(vlookup(A3,'전적확인_시즌19'!$A$2:$S$100,7,0),0) + iferror(vlookup(A3,'전적확인_시즌20'!$A$2:$S$100,7,0),0) + iferror(vlookup(A3,'전적확인_시즌21'!$A$2:$S$100,7,0),0) + iferror(vlookup(A3,'전적확인_시즌22'!$A$2:$S$100,7,0),0) + iferror(vlookup(A3,'전적확인_시즌23'!$A$2:$S$100,7,0),0) + iferror(vlookup(A3,'전적확인_시즌24'!$A$2:$S$100,7,0),0) + iferror(vlookup(A3,'전적확인_시즌25'!$A$2:$S$100,7,0),0) + iferror(vlookup(A3,'전적확인_시즌26'!$A$2:$S$100,7,0),0) + iferror(vlookup(A3,'전적확인_시즌27'!$A$2:$S$100,7,0),0) + iferror(vlookup(A3,'전적확인_시즌28'!$A$2:$S$100,7,0),0) + iferror(vlookup(A3,'전적확인_시즌29'!$A$2:$S$100,7,0),0) + iferror(vlookup(A3,'전적확인_시즌30'!$A$2:$S$100,7,0),0)</f>
        <v>117</v>
      </c>
      <c r="X3" s="98">
        <f t="shared" si="7"/>
        <v>64.76</v>
      </c>
      <c r="Y3" s="98">
        <f>iferror(vlookup(A3,'전적확인'!$A$2:$S$61,8,0),0) + iferror(vlookup(A3,'전적확인_베타시즌'!$A$2:$S$100,8,0),0)+iferror(vlookup(A3,'전적확인_시즌1'!$A$2:$S$100,8,0),0)+iferror(vlookup(A3,'전적확인_시즌2'!$A$2:$S$100,8,0),0)+iferror(vlookup(A3,'전적확인_시즌3'!$A$2:$S$100,8,0),0) + iferror(vlookup(A3,'전적확인_시즌4'!$A$2:$S$100,8,0),0) + iferror(vlookup(A3,'전적확인_시즌5'!$A$2:$S$100,8,0),0) + iferror(vlookup(A3,'전적확인_시즌6'!$A$2:$S$100,8,0),0) + iferror(vlookup(A3,'전적확인_시즌7'!$A$2:$S$100,8,0),0) + iferror(vlookup(A3,'전적확인_시즌8'!$A$2:$S$100,8,0),0) + iferror(vlookup(A3,'전적확인_시즌9'!$A$2:$S$100,8,0),0) + iferror(vlookup(A3,'전적확인_시즌10'!$A$2:$S$100,8,0),0) + iferror(vlookup(A3,'전적확인_시즌11'!$A$2:$S$100,8,0),0) + iferror(vlookup(A3,'전적확인_시즌12'!$A$2:$S$100,8,0),0) + iferror(vlookup(A3,'전적확인_시즌13'!$A$2:$S$100,8,0),0) + iferror(vlookup(A3,'전적확인_시즌14'!$A$2:$S$100,8,0),0) + iferror(vlookup(A3,'전적확인_시즌15'!$A$2:$S$100,8,0),0) + iferror(vlookup(A3,'전적확인_시즌16'!$A$2:$S$100,8,0),0) + iferror(vlookup(A3,'전적확인_시즌17'!$A$2:$S$100,8,0),0) + iferror(vlookup(A3,'전적확인_시즌17'!$A$2:$S$100,8,0),0) + iferror(vlookup(A3,'전적확인_시즌18'!$A$2:$S$100,8,0),0) + iferror(vlookup(A3,'전적확인_시즌19'!$A$2:$S$100,8,0),0) + iferror(vlookup(A3,'전적확인_시즌20'!$A$2:$S$100,8,0),0) + iferror(vlookup(A3,'전적확인_시즌21'!$A$2:$S$100,8,0),0) + iferror(vlookup(A3,'전적확인_시즌22'!$A$2:$S$100,8,0),0) + iferror(vlookup(A3,'전적확인_시즌23'!$A$2:$S$100,8,0),0) + iferror(vlookup(A3,'전적확인_시즌24'!$A$2:$S$100,8,0),0) + iferror(vlookup(A3,'전적확인_시즌25'!$A$2:$S$100,8,0),0) + iferror(vlookup(A3,'전적확인_시즌26'!$A$2:$S$100,8,0),0) + iferror(vlookup(A3,'전적확인_시즌27'!$A$2:$S$100,8,0),0) + iferror(vlookup(A3,'전적확인_시즌28'!$A$2:$S$100,8,0),0) + iferror(vlookup(A3,'전적확인_시즌29'!$A$2:$S$100,8,0),0) + iferror(vlookup(A3,'전적확인_시즌30'!$A$2:$S$100,8,0),0)</f>
        <v>0</v>
      </c>
      <c r="Z3" s="98">
        <f>iferror(vlookup(A3,'전적확인'!$A$2:$S$61,9,0),0) + iferror(vlookup(A3,'전적확인_베타시즌'!$A$2:$S$100,9,0),0)+iferror(vlookup(A3,'전적확인_시즌1'!$A$2:$S$100,9,0),0)+iferror(vlookup(A3,'전적확인_시즌2'!$A$2:$S$100,9,0),0)+iferror(vlookup(A3,'전적확인_시즌3'!$A$2:$S$100,9,0),0) + iferror(vlookup(A3,'전적확인_시즌4'!$A$2:$S$100,9,0),0) + iferror(vlookup(A3,'전적확인_시즌5'!$A$2:$S$100,9,0),0) + iferror(vlookup(A3,'전적확인_시즌6'!$A$2:$S$100,9,0),0) + iferror(vlookup(A3,'전적확인_시즌7'!$A$2:$S$100,9,0),0) + iferror(vlookup(A3,'전적확인_시즌8'!$A$2:$S$100,9,0),0) + iferror(vlookup(A3,'전적확인_시즌9'!$A$2:$S$100,9,0),0) + iferror(vlookup(A3,'전적확인_시즌10'!$A$2:$S$100,9,0),0) + iferror(vlookup(A3,'전적확인_시즌11'!$A$2:$S$100,9,0),0) + iferror(vlookup(A3,'전적확인_시즌12'!$A$2:$S$100,9,0),0) + iferror(vlookup(A3,'전적확인_시즌13'!$A$2:$S$100,9,0),0) + iferror(vlookup(A3,'전적확인_시즌14'!$A$2:$S$100,9,0),0) + iferror(vlookup(A3,'전적확인_시즌15'!$A$2:$S$100,9,0),0) + iferror(vlookup(A3,'전적확인_시즌16'!$A$2:$S$100,9,0),0) + iferror(vlookup(A3,'전적확인_시즌17'!$A$2:$S$100,9,0),0) + iferror(vlookup(A3,'전적확인_시즌17'!$A$2:$S$100,9,0),0) + iferror(vlookup(A3,'전적확인_시즌18'!$A$2:$S$100,9,0),0) + iferror(vlookup(A3,'전적확인_시즌19'!$A$2:$S$100,9,0),0) + iferror(vlookup(A3,'전적확인_시즌20'!$A$2:$S$100,9,0),0) + iferror(vlookup(A3,'전적확인_시즌21'!$A$2:$S$100,9,0),0) + iferror(vlookup(A3,'전적확인_시즌22'!$A$2:$S$100,9,0),0) + iferror(vlookup(A3,'전적확인_시즌23'!$A$2:$S$100,9,0),0) + iferror(vlookup(A3,'전적확인_시즌24'!$A$2:$S$100,9,0),0) + iferror(vlookup(A3,'전적확인_시즌25'!$A$2:$S$100,9,0),0) + iferror(vlookup(A3,'전적확인_시즌26'!$A$2:$S$100,9,0),0) + iferror(vlookup(A3,'전적확인_시즌27'!$A$2:$S$100,9,0),0) + iferror(vlookup(A3,'전적확인_시즌28'!$A$2:$S$100,9,0),0) + iferror(vlookup(A3,'전적확인_시즌29'!$A$2:$S$100,9,0),0) + iferror(vlookup(A3,'전적확인_시즌30'!$A$2:$S$100,9,0),0)</f>
        <v>0</v>
      </c>
      <c r="AA3" s="98">
        <f t="shared" si="8"/>
        <v>0</v>
      </c>
      <c r="AB3" s="95" t="s">
        <v>47</v>
      </c>
      <c r="AC3" s="2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>
      <c r="A4" s="95" t="s">
        <v>28</v>
      </c>
      <c r="B4" s="95" t="s">
        <v>9667</v>
      </c>
      <c r="C4" s="96" t="s">
        <v>9667</v>
      </c>
      <c r="D4" s="96" t="s">
        <v>9667</v>
      </c>
      <c r="E4" s="96" t="s">
        <v>9667</v>
      </c>
      <c r="F4" s="3"/>
      <c r="G4" s="97"/>
      <c r="H4" s="98">
        <f t="shared" si="1"/>
        <v>272</v>
      </c>
      <c r="I4" s="98">
        <f>iferror(vlookup(A4,'전적확인'!$A$2:$S$61,10,0),0) + iferror(vlookup(A4,'전적확인_베타시즌'!$A$2:$S$100,10,0),0)+iferror(vlookup(A4,'전적확인_시즌1'!$A$2:$S$100,10,0),0)+iferror(vlookup(A4,'전적확인_시즌2'!$A$2:$S$100,10,0),0)+iferror(vlookup(A4,'전적확인_시즌3'!$A$2:$S$100,10,0),0) + iferror(vlookup(A4,'전적확인_시즌4'!$A$2:$S$100,10,0),0) + iferror(vlookup(A4,'전적확인_시즌5'!$A$2:$S$100,10,0),0) + iferror(vlookup(A4,'전적확인_시즌6'!$A$2:$S$100,10,0),0) + iferror(vlookup(A4,'전적확인_시즌7'!$A$2:$S$100,10,0),0) + iferror(vlookup(A4,'전적확인_시즌8'!$A$2:$S$100,10,0),0) + iferror(vlookup(A4,'전적확인_시즌9'!$A$2:$S$100,10,0),0) + iferror(vlookup(A4,'전적확인_시즌10'!$A$2:$S$100,10,0),0) + iferror(vlookup(A4,'전적확인_시즌11'!$A$2:$S$100,10,0),0) + iferror(vlookup(A4,'전적확인_시즌12'!$A$2:$S$100,10,0),0) + iferror(vlookup(A4,'전적확인_시즌13'!$A$2:$S$100,10,0),0) + iferror(vlookup(A4,'전적확인_시즌14'!$A$2:$S$100,10,0),0) + iferror(vlookup(A4,'전적확인_시즌15'!$A$2:$S$100,10,0),0) + iferror(vlookup(A4,'전적확인_시즌16'!$A$2:$S$100,10,0),0) + iferror(vlookup(A4,'전적확인_시즌17'!$A$2:$S$100,10,0),0) + iferror(vlookup(A4,'전적확인_시즌17'!$A$2:$S$100,10,0),0) + iferror(vlookup(A4,'전적확인_시즌18'!$A$2:$S$100,10,0),0) + iferror(vlookup(A4,'전적확인_시즌19'!$A$2:$S$100,10,0),0) + iferror(vlookup(A4,'전적확인_시즌20'!$A$2:$S$100,10,0),0) + iferror(vlookup(A4,'전적확인_시즌21'!$A$2:$S$100,10,0),0) + iferror(vlookup(A4,'전적확인_시즌22'!$A$2:$S$100,10,0),0) + iferror(vlookup(A4,'전적확인_시즌23'!$A$2:$S$100,10,0),0) + iferror(vlookup(A4,'전적확인_시즌24'!$A$2:$S$100,10,0),0) + iferror(vlookup(A4,'전적확인_시즌25'!$A$2:$S$100,10,0),0) + iferror(vlookup(A4,'전적확인_시즌26'!$A$2:$S$100,10,0),0) + iferror(vlookup(A4,'전적확인_시즌27'!$A$2:$S$100,10,0),0) + iferror(vlookup(A4,'전적확인_시즌28'!$A$2:$S$100,10,0),0) + iferror(vlookup(A4,'전적확인_시즌29'!$A$2:$S$100,10,0),0) + iferror(vlookup(A4,'전적확인_시즌30'!$A$2:$S$100,10,0),0)</f>
        <v>159</v>
      </c>
      <c r="J4" s="98">
        <f>iferror(vlookup(A4,'전적확인'!$A$2:$S$61,11,0),0) + iferror(vlookup(A4,'전적확인_베타시즌'!$A$2:$S$100,11,0),0)+iferror(vlookup(A4,'전적확인_시즌1'!$A$2:$S$100,11,0),0)+iferror(vlookup(A4,'전적확인_시즌2'!$A$2:$S$100,11,0),0)+iferror(vlookup(A4,'전적확인_시즌3'!$A$2:$S$100,11,0),0) + iferror(vlookup(A4,'전적확인_시즌4'!$A$2:$S$100,11,0),0) + iferror(vlookup(A4,'전적확인_시즌5'!$A$2:$S$100,11,0),0) + iferror(vlookup(A4,'전적확인_시즌6'!$A$2:$S$100,11,0),0) + iferror(vlookup(A4,'전적확인_시즌7'!$A$2:$S$100,11,0),0) + iferror(vlookup(A4,'전적확인_시즌8'!$A$2:$S$100,11,0),0) + iferror(vlookup(A4,'전적확인_시즌9'!$A$2:$S$100,11,0),0) + iferror(vlookup(A4,'전적확인_시즌10'!$A$2:$S$100,11,0),0) + iferror(vlookup(A4,'전적확인_시즌11'!$A$2:$S$100,11,0),0) + iferror(vlookup(A4,'전적확인_시즌12'!$A$2:$S$100,11,0),0) + iferror(vlookup(A4,'전적확인_시즌13'!$A$2:$S$100,11,0),0) + iferror(vlookup(A4,'전적확인_시즌14'!$A$2:$S$100,11,0),0) + iferror(vlookup(A4,'전적확인_시즌15'!$A$2:$S$100,11,0),0) + iferror(vlookup(A4,'전적확인_시즌16'!$A$2:$S$100,11,0),0) + iferror(vlookup(A4,'전적확인_시즌17'!$A$2:$S$100,11,0),0) + iferror(vlookup(A4,'전적확인_시즌17'!$A$2:$S$100,11,0),0) + iferror(vlookup(A4,'전적확인_시즌18'!$A$2:$S$100,11,0),0) + iferror(vlookup(A4,'전적확인_시즌19'!$A$2:$S$100,11,0),0) + iferror(vlookup(A4,'전적확인_시즌20'!$A$2:$S$100,11,0),0) + iferror(vlookup(A4,'전적확인_시즌21'!$A$2:$S$100,11,0),0) + iferror(vlookup(A4,'전적확인_시즌22'!$A$2:$S$100,11,0),0) + iferror(vlookup(A4,'전적확인_시즌23'!$A$2:$S$100,11,0),0) + iferror(vlookup(A4,'전적확인_시즌24'!$A$2:$S$100,11,0),0) + iferror(vlookup(A4,'전적확인_시즌25'!$A$2:$S$100,11,0),0) + iferror(vlookup(A4,'전적확인_시즌26'!$A$2:$S$100,11,0),0) + iferror(vlookup(A4,'전적확인_시즌27'!$A$2:$S$100,11,0),0) + iferror(vlookup(A4,'전적확인_시즌28'!$A$2:$S$100,11,0),0) + iferror(vlookup(A4,'전적확인_시즌29'!$A$2:$S$100,11,0),0) + iferror(vlookup(A4,'전적확인_시즌30'!$A$2:$S$100,11,0),0)</f>
        <v>113</v>
      </c>
      <c r="K4" s="98">
        <f t="shared" si="2"/>
        <v>58.46</v>
      </c>
      <c r="L4" s="95">
        <f t="array" ref="L4">iferror(vlookup(A4,INDIRECT('시즌목록'!$H$2 &amp; "!$A$2:$S$100"),10,0),0)</f>
        <v>85</v>
      </c>
      <c r="M4" s="95">
        <f t="array" ref="M4">iferror(vlookup(A4,INDIRECT('시즌목록'!$H$2 &amp; "!$A$2:$S$100"),11,0),0)</f>
        <v>55</v>
      </c>
      <c r="N4" s="98">
        <f t="shared" si="3"/>
        <v>60.71</v>
      </c>
      <c r="O4" s="95" t="str">
        <f t="shared" si="4"/>
        <v>마스터</v>
      </c>
      <c r="P4" s="98">
        <f>iferror(vlookup(A4,'전적확인'!$A$2:$S$61,2,0),0)+ iferror(vlookup(A4,'전적확인_베타시즌'!$A$2:$S$100,2,0),0)+iferror(vlookup(A4,'전적확인_시즌1'!$A$2:$S$100,2,0),0)+iferror(vlookup(A4,'전적확인_시즌2'!$A$2:$S$100,2,0),0)+iferror(vlookup(A4,'전적확인_시즌3'!$A$2:$S$100,2,0),0) + iferror(vlookup(A4,'전적확인_시즌4'!$A$2:$S$100,2,0),0) + iferror(vlookup(A4,'전적확인_시즌5'!$A$2:$S$100,2,0),0) + iferror(vlookup(A4,'전적확인_시즌6'!$A$2:$S$100,2,0),0) + iferror(vlookup(A4,'전적확인_시즌7'!$A$2:$S$100,2,0),0) + iferror(vlookup(A4,'전적확인_시즌8'!$A$2:$S$100,2,0),0) + iferror(vlookup(A4,'전적확인_시즌9'!$A$2:$S$100,2,0),0) + iferror(vlookup(A4,'전적확인_시즌10'!$A$2:$S$100,2,0),0) + iferror(vlookup(A4,'전적확인_시즌11'!$A$2:$S$100,2,0),0) + iferror(vlookup(A4,'전적확인_시즌12'!$A$2:$S$100,2,0),0) + iferror(vlookup(A4,'전적확인_시즌13'!$A$2:$S$100,2,0),0) + iferror(vlookup(A4,'전적확인_시즌14'!$A$2:$S$100,2,0),0) + iferror(vlookup(A4,'전적확인_시즌15'!$A$2:$S$100,2,0),0) + iferror(vlookup(A4,'전적확인_시즌16'!$A$2:$S$100,2,0),0) + iferror(vlookup(A4,'전적확인_시즌17'!$A$2:$S$100,2,0),0) + iferror(vlookup(A4,'전적확인_시즌17'!$A$2:$S$100,2,0),0) + iferror(vlookup(A4,'전적확인_시즌18'!$A$2:$S$100,2,0),0) + iferror(vlookup(A4,'전적확인_시즌19'!$A$2:$S$100,2,0),0) + iferror(vlookup(A4,'전적확인_시즌20'!$A$2:$S$100,2,0),0) + iferror(vlookup(A4,'전적확인_시즌21'!$A$2:$S$100,2,0),0) + iferror(vlookup(A4,'전적확인_시즌22'!$A$2:$S$100,2,0),0) + iferror(vlookup(A4,'전적확인_시즌23'!$A$2:$S$100,2,0),0) + iferror(vlookup(A4,'전적확인_시즌24'!$A$2:$S$100,2,0),0) + iferror(vlookup(A4,'전적확인_시즌25'!$A$2:$S$100,2,0),0) + iferror(vlookup(A4,'전적확인_시즌26'!$A$2:$S$100,2,0),0) + iferror(vlookup(A4,'전적확인_시즌27'!$A$2:$S$100,2,0),0) + iferror(vlookup(A4,'전적확인_시즌28'!$A$2:$S$100,2,0),0) + iferror(vlookup(A4,'전적확인_시즌29'!$A$2:$S$100,2,0),0) + iferror(vlookup(A4,'전적확인_시즌30'!$A$2:$S$100,2,0),0)</f>
        <v>3</v>
      </c>
      <c r="Q4" s="98">
        <f>iferror(vlookup(A4,'전적확인'!$A$2:$S$61,3,0),0)+ iferror(vlookup(A4,'전적확인_베타시즌'!$A$2:$S$100,3,0),0)+iferror(vlookup(A4,'전적확인_시즌1'!$A$2:$S$100,3,0),0)+iferror(vlookup(A4,'전적확인_시즌2'!$A$2:$S$100,3,0),0)+iferror(vlookup(A4,'전적확인_시즌3'!$A$2:$S$100,3,0),0) + iferror(vlookup(A4,'전적확인_시즌4'!$A$2:$S$100,3,0),0) + iferror(vlookup(A4,'전적확인_시즌5'!$A$2:$S$100,3,0),0) + iferror(vlookup(A4,'전적확인_시즌6'!$A$2:$S$100,3,0),0) + iferror(vlookup(A4,'전적확인_시즌7'!$A$2:$S$100,3,0),0) + iferror(vlookup(A4,'전적확인_시즌8'!$A$2:$S$100,3,0),0) + iferror(vlookup(A4,'전적확인_시즌9'!$A$2:$S$100,3,0),0) + iferror(vlookup(A4,'전적확인_시즌10'!$A$2:$S$100,3,0),0) + iferror(vlookup(A4,'전적확인_시즌11'!$A$2:$S$100,3,0),0) + iferror(vlookup(A4,'전적확인_시즌12'!$A$2:$S$100,3,0),0) + iferror(vlookup(A4,'전적확인_시즌13'!$A$2:$S$100,3,0),0) + iferror(vlookup(A4,'전적확인_시즌14'!$A$2:$S$100,3,0),0) + iferror(vlookup(A4,'전적확인_시즌15'!$A$2:$S$100,3,0),0) + iferror(vlookup(A4,'전적확인_시즌16'!$A$2:$S$100,3,0),0) + iferror(vlookup(A4,'전적확인_시즌17'!$A$2:$S$100,3,0),0) + iferror(vlookup(A4,'전적확인_시즌17'!$A$2:$S$100,3,0),0) + iferror(vlookup(A4,'전적확인_시즌18'!$A$2:$S$100,3,0),0) + iferror(vlookup(A4,'전적확인_시즌19'!$A$2:$S$100,3,0),0) + iferror(vlookup(A4,'전적확인_시즌20'!$A$2:$S$100,3,0),0) + iferror(vlookup(A4,'전적확인_시즌21'!$A$2:$S$100,3,0),0) + iferror(vlookup(A4,'전적확인_시즌22'!$A$2:$S$100,3,0),0) + iferror(vlookup(A4,'전적확인_시즌23'!$A$2:$S$100,3,0),0) + iferror(vlookup(A4,'전적확인_시즌24'!$A$2:$S$100,3,0),0) + iferror(vlookup(A4,'전적확인_시즌25'!$A$2:$S$100,3,0),0) + iferror(vlookup(A4,'전적확인_시즌26'!$A$2:$S$100,3,0),0) + iferror(vlookup(A4,'전적확인_시즌27'!$A$2:$S$100,3,0),0) + iferror(vlookup(A4,'전적확인_시즌28'!$A$2:$S$100,3,0),0) + iferror(vlookup(A4,'전적확인_시즌29'!$A$2:$S$100,3,0),0) + iferror(vlookup(A4,'전적확인_시즌30'!$A$2:$S$100,3,0),0)</f>
        <v>3</v>
      </c>
      <c r="R4" s="98">
        <f t="shared" si="5"/>
        <v>50</v>
      </c>
      <c r="S4" s="98">
        <f>iferror(vlookup(A4,'전적확인'!$A$2:$S$61,4,0),0) + iferror(vlookup(A4,'전적확인_베타시즌'!$A$2:$S$100,4,0),0)+iferror(vlookup(A4,'전적확인_시즌1'!$A$2:$S$100,4,0),0)+iferror(vlookup(A4,'전적확인_시즌2'!$A$2:$S$100,4,0),0)+iferror(vlookup(A4,'전적확인_시즌3'!$A$2:$S$100,4,0),0) + iferror(vlookup(A4,'전적확인_시즌4'!$A$2:$S$100,4,0),0) + iferror(vlookup(A4,'전적확인_시즌5'!$A$2:$S$100,4,0),0) + iferror(vlookup(A4,'전적확인_시즌6'!$A$2:$S$100,4,0),0) + iferror(vlookup(A4,'전적확인_시즌7'!$A$2:$S$100,4,0),0) + iferror(vlookup(A4,'전적확인_시즌8'!$A$2:$S$100,4,0),0) + iferror(vlookup(A4,'전적확인_시즌9'!$A$2:$S$100,4,0),0) + iferror(vlookup(A4,'전적확인_시즌10'!$A$2:$S$100,4,0),0) + iferror(vlookup(A4,'전적확인_시즌11'!$A$2:$S$100,4,0),0) + iferror(vlookup(A4,'전적확인_시즌12'!$A$2:$S$100,4,0),0) + iferror(vlookup(A4,'전적확인_시즌13'!$A$2:$S$100,4,0),0) + iferror(vlookup(A4,'전적확인_시즌14'!$A$2:$S$100,4,0),0) + iferror(vlookup(A4,'전적확인_시즌15'!$A$2:$S$100,4,0),0) + iferror(vlookup(A4,'전적확인_시즌16'!$A$2:$S$100,4,0),0) + iferror(vlookup(A4,'전적확인_시즌17'!$A$2:$S$100,4,0),0) + iferror(vlookup(A4,'전적확인_시즌17'!$A$2:$S$100,4,0),0) + iferror(vlookup(A4,'전적확인_시즌18'!$A$2:$S$100,4,0),0) + iferror(vlookup(A4,'전적확인_시즌19'!$A$2:$S$100,4,0),0) + iferror(vlookup(A4,'전적확인_시즌20'!$A$2:$S$100,4,0),0) + iferror(vlookup(A4,'전적확인_시즌21'!$A$2:$S$100,4,0),0) + iferror(vlookup(A4,'전적확인_시즌22'!$A$2:$S$100,4,0),0) + iferror(vlookup(A4,'전적확인_시즌23'!$A$2:$S$100,4,0),0) + iferror(vlookup(A4,'전적확인_시즌24'!$A$2:$S$100,4,0),0) + iferror(vlookup(A4,'전적확인_시즌25'!$A$2:$S$100,4,0),0) + iferror(vlookup(A4,'전적확인_시즌26'!$A$2:$S$100,4,0),0) + iferror(vlookup(A4,'전적확인_시즌27'!$A$2:$S$100,4,0),0) + iferror(vlookup(A4,'전적확인_시즌28'!$A$2:$S$100,4,0),0) + iferror(vlookup(A4,'전적확인_시즌29'!$A$2:$S$100,4,0),0) + iferror(vlookup(A4,'전적확인_시즌30'!$A$2:$S$100,4,0),0)</f>
        <v>52</v>
      </c>
      <c r="T4" s="98">
        <f>iferror(vlookup(A4,'전적확인'!$A$2:$S$61,5,0),0) + iferror(vlookup(A4,'전적확인_베타시즌'!$A$2:$S$100,5,0),0)+iferror(vlookup(A4,'전적확인_시즌1'!$A$2:$S$100,5,0),0)+iferror(vlookup(A4,'전적확인_시즌2'!$A$2:$S$100,5,0),0)+iferror(vlookup(A4,'전적확인_시즌3'!$A$2:$S$100,5,0),0) + iferror(vlookup(A4,'전적확인_시즌4'!$A$2:$S$100,5,0),0) + iferror(vlookup(A4,'전적확인_시즌5'!$A$2:$S$100,5,0),0) + iferror(vlookup(A4,'전적확인_시즌6'!$A$2:$S$100,5,0),0) + iferror(vlookup(A4,'전적확인_시즌7'!$A$2:$S$100,5,0),0) + iferror(vlookup(A4,'전적확인_시즌8'!$A$2:$S$100,5,0),0) + iferror(vlookup(A4,'전적확인_시즌9'!$A$2:$S$100,5,0),0) + iferror(vlookup(A4,'전적확인_시즌10'!$A$2:$S$100,5,0),0) + iferror(vlookup(A4,'전적확인_시즌11'!$A$2:$S$100,5,0),0) + iferror(vlookup(A4,'전적확인_시즌12'!$A$2:$S$100,5,0),0) + iferror(vlookup(A4,'전적확인_시즌13'!$A$2:$S$100,5,0),0) + iferror(vlookup(A4,'전적확인_시즌14'!$A$2:$S$100,5,0),0) + iferror(vlookup(A4,'전적확인_시즌15'!$A$2:$S$100,5,0),0) + iferror(vlookup(A4,'전적확인_시즌16'!$A$2:$S$100,5,0),0) + iferror(vlookup(A4,'전적확인_시즌17'!$A$2:$S$100,5,0),0) + iferror(vlookup(A4,'전적확인_시즌17'!$A$2:$S$100,5,0),0) + iferror(vlookup(A4,'전적확인_시즌18'!$A$2:$S$100,5,0),0) + iferror(vlookup(A4,'전적확인_시즌19'!$A$2:$S$100,5,0),0) + iferror(vlookup(A4,'전적확인_시즌20'!$A$2:$S$100,5,0),0) + iferror(vlookup(A4,'전적확인_시즌21'!$A$2:$S$100,5,0),0) + iferror(vlookup(A4,'전적확인_시즌22'!$A$2:$S$100,5,0),0) + iferror(vlookup(A4,'전적확인_시즌23'!$A$2:$S$100,5,0),0) + iferror(vlookup(A4,'전적확인_시즌24'!$A$2:$S$100,5,0),0) + iferror(vlookup(A4,'전적확인_시즌25'!$A$2:$S$100,5,0),0) + iferror(vlookup(A4,'전적확인_시즌26'!$A$2:$S$100,5,0),0) + iferror(vlookup(A4,'전적확인_시즌27'!$A$2:$S$100,5,0),0) + iferror(vlookup(A4,'전적확인_시즌28'!$A$2:$S$100,5,0),0) + iferror(vlookup(A4,'전적확인_시즌29'!$A$2:$S$100,5,0),0) + iferror(vlookup(A4,'전적확인_시즌30'!$A$2:$S$100,5,0),0)</f>
        <v>33</v>
      </c>
      <c r="U4" s="98">
        <f t="shared" si="6"/>
        <v>61.18</v>
      </c>
      <c r="V4" s="98">
        <f>iferror(vlookup(A4,'전적확인'!$A$2:$S$61,6,0),0)+ iferror(vlookup(A4,'전적확인_베타시즌'!$A$2:$S$100,6,0),0)+iferror(vlookup(A4,'전적확인_시즌1'!$A$2:$S$100,6,0),0)+iferror(vlookup(A4,'전적확인_시즌2'!$A$2:$S$100,6,0),0)+iferror(vlookup(A4,'전적확인_시즌3'!$A$2:$S$100,6,0),0) + iferror(vlookup(A4,'전적확인_시즌4'!$A$2:$S$100,6,0),0) + iferror(vlookup(A4,'전적확인_시즌5'!$A$2:$S$100,6,0),0) + iferror(vlookup(A4,'전적확인_시즌6'!$A$2:$S$100,6,0),0) + iferror(vlookup(A4,'전적확인_시즌7'!$A$2:$S$100,6,0),0) + iferror(vlookup(A4,'전적확인_시즌8'!$A$2:$S$100,6,0),0) + iferror(vlookup(A4,'전적확인_시즌9'!$A$2:$S$100,6,0),0) + iferror(vlookup(A4,'전적확인_시즌10'!$A$2:$S$100,6,0),0) + iferror(vlookup(A4,'전적확인_시즌11'!$A$2:$S$100,6,0),0) + iferror(vlookup(A4,'전적확인_시즌12'!$A$2:$S$100,6,0),0) + iferror(vlookup(A4,'전적확인_시즌13'!$A$2:$S$100,6,0),0) + iferror(vlookup(A4,'전적확인_시즌14'!$A$2:$S$100,6,0),0) + iferror(vlookup(A4,'전적확인_시즌15'!$A$2:$S$100,6,0),0) + iferror(vlookup(A4,'전적확인_시즌16'!$A$2:$S$100,6,0),0) + iferror(vlookup(A4,'전적확인_시즌17'!$A$2:$S$100,6,0),0) + iferror(vlookup(A4,'전적확인_시즌17'!$A$2:$S$100,6,0),0) + iferror(vlookup(A4,'전적확인_시즌18'!$A$2:$S$100,6,0),0) + iferror(vlookup(A4,'전적확인_시즌19'!$A$2:$S$100,6,0),0) + iferror(vlookup(A4,'전적확인_시즌20'!$A$2:$S$100,6,0),0) + iferror(vlookup(A4,'전적확인_시즌21'!$A$2:$S$100,6,0),0) + iferror(vlookup(A4,'전적확인_시즌22'!$A$2:$S$100,6,0),0) + iferror(vlookup(A4,'전적확인_시즌23'!$A$2:$S$100,6,0),0) + iferror(vlookup(A4,'전적확인_시즌24'!$A$2:$S$100,6,0),0) + iferror(vlookup(A4,'전적확인_시즌25'!$A$2:$S$100,6,0),0) + iferror(vlookup(A4,'전적확인_시즌26'!$A$2:$S$100,6,0),0) + iferror(vlookup(A4,'전적확인_시즌27'!$A$2:$S$100,6,0),0) + iferror(vlookup(A4,'전적확인_시즌28'!$A$2:$S$100,6,0),0) + iferror(vlookup(A4,'전적확인_시즌29'!$A$2:$S$100,6,0),0) + iferror(vlookup(A4,'전적확인_시즌30'!$A$2:$S$100,6,0),0)</f>
        <v>40</v>
      </c>
      <c r="W4" s="98">
        <f> iferror(vlookup(A4,'전적확인'!$A$2:$S$61,7,0),0)+ iferror(vlookup(A4,'전적확인_베타시즌'!$A$2:$S$100,7,0),0)+iferror(vlookup(A4,'전적확인_시즌1'!$A$2:$S$100,7,0),0)+iferror(vlookup(A4,'전적확인_시즌2'!$A$2:$S$100,7,0),0)+iferror(vlookup(A4,'전적확인_시즌3'!$A$2:$S$100,7,0),0) + iferror(vlookup(A4,'전적확인_시즌4'!$A$2:$S$100,7,0),0) + iferror(vlookup(A4,'전적확인_시즌5'!$A$2:$S$100,7,0),0) + iferror(vlookup(A4,'전적확인_시즌6'!$A$2:$S$100,7,0),0) + iferror(vlookup(A4,'전적확인_시즌7'!$A$2:$S$100,7,0),0) + iferror(vlookup(A4,'전적확인_시즌8'!$A$2:$S$100,7,0),0) + iferror(vlookup(A4,'전적확인_시즌9'!$A$2:$S$100,7,0),0) + iferror(vlookup(A4,'전적확인_시즌10'!$A$2:$S$100,7,0),0) + iferror(vlookup(A4,'전적확인_시즌11'!$A$2:$S$100,7,0),0) + iferror(vlookup(A4,'전적확인_시즌12'!$A$2:$S$100,7,0),0) + iferror(vlookup(A4,'전적확인_시즌13'!$A$2:$S$100,7,0),0) + iferror(vlookup(A4,'전적확인_시즌14'!$A$2:$S$100,7,0),0) + iferror(vlookup(A4,'전적확인_시즌15'!$A$2:$S$100,7,0),0) + iferror(vlookup(A4,'전적확인_시즌16'!$A$2:$S$100,7,0),0) + iferror(vlookup(A4,'전적확인_시즌17'!$A$2:$S$100,7,0),0) + iferror(vlookup(A4,'전적확인_시즌17'!$A$2:$S$100,7,0),0) + iferror(vlookup(A4,'전적확인_시즌18'!$A$2:$S$100,7,0),0) + iferror(vlookup(A4,'전적확인_시즌19'!$A$2:$S$100,7,0),0) + iferror(vlookup(A4,'전적확인_시즌20'!$A$2:$S$100,7,0),0) + iferror(vlookup(A4,'전적확인_시즌21'!$A$2:$S$100,7,0),0) + iferror(vlookup(A4,'전적확인_시즌22'!$A$2:$S$100,7,0),0) + iferror(vlookup(A4,'전적확인_시즌23'!$A$2:$S$100,7,0),0) + iferror(vlookup(A4,'전적확인_시즌24'!$A$2:$S$100,7,0),0) + iferror(vlookup(A4,'전적확인_시즌25'!$A$2:$S$100,7,0),0) + iferror(vlookup(A4,'전적확인_시즌26'!$A$2:$S$100,7,0),0) + iferror(vlookup(A4,'전적확인_시즌27'!$A$2:$S$100,7,0),0) + iferror(vlookup(A4,'전적확인_시즌28'!$A$2:$S$100,7,0),0) + iferror(vlookup(A4,'전적확인_시즌29'!$A$2:$S$100,7,0),0) + iferror(vlookup(A4,'전적확인_시즌30'!$A$2:$S$100,7,0),0)</f>
        <v>37</v>
      </c>
      <c r="X4" s="98">
        <f t="shared" si="7"/>
        <v>51.95</v>
      </c>
      <c r="Y4" s="98">
        <f>iferror(vlookup(A4,'전적확인'!$A$2:$S$61,8,0),0) + iferror(vlookup(A4,'전적확인_베타시즌'!$A$2:$S$100,8,0),0)+iferror(vlookup(A4,'전적확인_시즌1'!$A$2:$S$100,8,0),0)+iferror(vlookup(A4,'전적확인_시즌2'!$A$2:$S$100,8,0),0)+iferror(vlookup(A4,'전적확인_시즌3'!$A$2:$S$100,8,0),0) + iferror(vlookup(A4,'전적확인_시즌4'!$A$2:$S$100,8,0),0) + iferror(vlookup(A4,'전적확인_시즌5'!$A$2:$S$100,8,0),0) + iferror(vlookup(A4,'전적확인_시즌6'!$A$2:$S$100,8,0),0) + iferror(vlookup(A4,'전적확인_시즌7'!$A$2:$S$100,8,0),0) + iferror(vlookup(A4,'전적확인_시즌8'!$A$2:$S$100,8,0),0) + iferror(vlookup(A4,'전적확인_시즌9'!$A$2:$S$100,8,0),0) + iferror(vlookup(A4,'전적확인_시즌10'!$A$2:$S$100,8,0),0) + iferror(vlookup(A4,'전적확인_시즌11'!$A$2:$S$100,8,0),0) + iferror(vlookup(A4,'전적확인_시즌12'!$A$2:$S$100,8,0),0) + iferror(vlookup(A4,'전적확인_시즌13'!$A$2:$S$100,8,0),0) + iferror(vlookup(A4,'전적확인_시즌14'!$A$2:$S$100,8,0),0) + iferror(vlookup(A4,'전적확인_시즌15'!$A$2:$S$100,8,0),0) + iferror(vlookup(A4,'전적확인_시즌16'!$A$2:$S$100,8,0),0) + iferror(vlookup(A4,'전적확인_시즌17'!$A$2:$S$100,8,0),0) + iferror(vlookup(A4,'전적확인_시즌17'!$A$2:$S$100,8,0),0) + iferror(vlookup(A4,'전적확인_시즌18'!$A$2:$S$100,8,0),0) + iferror(vlookup(A4,'전적확인_시즌19'!$A$2:$S$100,8,0),0) + iferror(vlookup(A4,'전적확인_시즌20'!$A$2:$S$100,8,0),0) + iferror(vlookup(A4,'전적확인_시즌21'!$A$2:$S$100,8,0),0) + iferror(vlookup(A4,'전적확인_시즌22'!$A$2:$S$100,8,0),0) + iferror(vlookup(A4,'전적확인_시즌23'!$A$2:$S$100,8,0),0) + iferror(vlookup(A4,'전적확인_시즌24'!$A$2:$S$100,8,0),0) + iferror(vlookup(A4,'전적확인_시즌25'!$A$2:$S$100,8,0),0) + iferror(vlookup(A4,'전적확인_시즌26'!$A$2:$S$100,8,0),0) + iferror(vlookup(A4,'전적확인_시즌27'!$A$2:$S$100,8,0),0) + iferror(vlookup(A4,'전적확인_시즌28'!$A$2:$S$100,8,0),0) + iferror(vlookup(A4,'전적확인_시즌29'!$A$2:$S$100,8,0),0) + iferror(vlookup(A4,'전적확인_시즌30'!$A$2:$S$100,8,0),0)</f>
        <v>64</v>
      </c>
      <c r="Z4" s="98">
        <f>iferror(vlookup(A4,'전적확인'!$A$2:$S$61,9,0),0) + iferror(vlookup(A4,'전적확인_베타시즌'!$A$2:$S$100,9,0),0)+iferror(vlookup(A4,'전적확인_시즌1'!$A$2:$S$100,9,0),0)+iferror(vlookup(A4,'전적확인_시즌2'!$A$2:$S$100,9,0),0)+iferror(vlookup(A4,'전적확인_시즌3'!$A$2:$S$100,9,0),0) + iferror(vlookup(A4,'전적확인_시즌4'!$A$2:$S$100,9,0),0) + iferror(vlookup(A4,'전적확인_시즌5'!$A$2:$S$100,9,0),0) + iferror(vlookup(A4,'전적확인_시즌6'!$A$2:$S$100,9,0),0) + iferror(vlookup(A4,'전적확인_시즌7'!$A$2:$S$100,9,0),0) + iferror(vlookup(A4,'전적확인_시즌8'!$A$2:$S$100,9,0),0) + iferror(vlookup(A4,'전적확인_시즌9'!$A$2:$S$100,9,0),0) + iferror(vlookup(A4,'전적확인_시즌10'!$A$2:$S$100,9,0),0) + iferror(vlookup(A4,'전적확인_시즌11'!$A$2:$S$100,9,0),0) + iferror(vlookup(A4,'전적확인_시즌12'!$A$2:$S$100,9,0),0) + iferror(vlookup(A4,'전적확인_시즌13'!$A$2:$S$100,9,0),0) + iferror(vlookup(A4,'전적확인_시즌14'!$A$2:$S$100,9,0),0) + iferror(vlookup(A4,'전적확인_시즌15'!$A$2:$S$100,9,0),0) + iferror(vlookup(A4,'전적확인_시즌16'!$A$2:$S$100,9,0),0) + iferror(vlookup(A4,'전적확인_시즌17'!$A$2:$S$100,9,0),0) + iferror(vlookup(A4,'전적확인_시즌17'!$A$2:$S$100,9,0),0) + iferror(vlookup(A4,'전적확인_시즌18'!$A$2:$S$100,9,0),0) + iferror(vlookup(A4,'전적확인_시즌19'!$A$2:$S$100,9,0),0) + iferror(vlookup(A4,'전적확인_시즌20'!$A$2:$S$100,9,0),0) + iferror(vlookup(A4,'전적확인_시즌21'!$A$2:$S$100,9,0),0) + iferror(vlookup(A4,'전적확인_시즌22'!$A$2:$S$100,9,0),0) + iferror(vlookup(A4,'전적확인_시즌23'!$A$2:$S$100,9,0),0) + iferror(vlookup(A4,'전적확인_시즌24'!$A$2:$S$100,9,0),0) + iferror(vlookup(A4,'전적확인_시즌25'!$A$2:$S$100,9,0),0) + iferror(vlookup(A4,'전적확인_시즌26'!$A$2:$S$100,9,0),0) + iferror(vlookup(A4,'전적확인_시즌27'!$A$2:$S$100,9,0),0) + iferror(vlookup(A4,'전적확인_시즌28'!$A$2:$S$100,9,0),0) + iferror(vlookup(A4,'전적확인_시즌29'!$A$2:$S$100,9,0),0) + iferror(vlookup(A4,'전적확인_시즌30'!$A$2:$S$100,9,0),0)</f>
        <v>40</v>
      </c>
      <c r="AA4" s="98">
        <f t="shared" si="8"/>
        <v>61.54</v>
      </c>
      <c r="AB4" s="3"/>
      <c r="AC4" s="2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ht="15.75" customHeight="1">
      <c r="A5" s="95" t="s">
        <v>35</v>
      </c>
      <c r="B5" s="95" t="s">
        <v>9673</v>
      </c>
      <c r="C5" s="95" t="s">
        <v>9674</v>
      </c>
      <c r="D5" s="95" t="s">
        <v>9675</v>
      </c>
      <c r="E5" s="95" t="s">
        <v>35</v>
      </c>
      <c r="F5" s="3"/>
      <c r="G5" s="95" t="s">
        <v>9676</v>
      </c>
      <c r="H5" s="98">
        <f t="shared" si="1"/>
        <v>848</v>
      </c>
      <c r="I5" s="98">
        <f>iferror(vlookup(A5,'전적확인'!$A$2:$S$61,10,0),0) + iferror(vlookup(A5,'전적확인_베타시즌'!$A$2:$S$100,10,0),0)+iferror(vlookup(A5,'전적확인_시즌1'!$A$2:$S$100,10,0),0)+iferror(vlookup(A5,'전적확인_시즌2'!$A$2:$S$100,10,0),0)+iferror(vlookup(A5,'전적확인_시즌3'!$A$2:$S$100,10,0),0) + iferror(vlookup(A5,'전적확인_시즌4'!$A$2:$S$100,10,0),0) + iferror(vlookup(A5,'전적확인_시즌5'!$A$2:$S$100,10,0),0) + iferror(vlookup(A5,'전적확인_시즌6'!$A$2:$S$100,10,0),0) + iferror(vlookup(A5,'전적확인_시즌7'!$A$2:$S$100,10,0),0) + iferror(vlookup(A5,'전적확인_시즌8'!$A$2:$S$100,10,0),0) + iferror(vlookup(A5,'전적확인_시즌9'!$A$2:$S$100,10,0),0) + iferror(vlookup(A5,'전적확인_시즌10'!$A$2:$S$100,10,0),0) + iferror(vlookup(A5,'전적확인_시즌11'!$A$2:$S$100,10,0),0) + iferror(vlookup(A5,'전적확인_시즌12'!$A$2:$S$100,10,0),0) + iferror(vlookup(A5,'전적확인_시즌13'!$A$2:$S$100,10,0),0) + iferror(vlookup(A5,'전적확인_시즌14'!$A$2:$S$100,10,0),0) + iferror(vlookup(A5,'전적확인_시즌15'!$A$2:$S$100,10,0),0) + iferror(vlookup(A5,'전적확인_시즌16'!$A$2:$S$100,10,0),0) + iferror(vlookup(A5,'전적확인_시즌17'!$A$2:$S$100,10,0),0) + iferror(vlookup(A5,'전적확인_시즌17'!$A$2:$S$100,10,0),0) + iferror(vlookup(A5,'전적확인_시즌18'!$A$2:$S$100,10,0),0) + iferror(vlookup(A5,'전적확인_시즌19'!$A$2:$S$100,10,0),0) + iferror(vlookup(A5,'전적확인_시즌20'!$A$2:$S$100,10,0),0) + iferror(vlookup(A5,'전적확인_시즌21'!$A$2:$S$100,10,0),0) + iferror(vlookup(A5,'전적확인_시즌22'!$A$2:$S$100,10,0),0) + iferror(vlookup(A5,'전적확인_시즌23'!$A$2:$S$100,10,0),0) + iferror(vlookup(A5,'전적확인_시즌24'!$A$2:$S$100,10,0),0) + iferror(vlookup(A5,'전적확인_시즌25'!$A$2:$S$100,10,0),0) + iferror(vlookup(A5,'전적확인_시즌26'!$A$2:$S$100,10,0),0) + iferror(vlookup(A5,'전적확인_시즌27'!$A$2:$S$100,10,0),0) + iferror(vlookup(A5,'전적확인_시즌28'!$A$2:$S$100,10,0),0) + iferror(vlookup(A5,'전적확인_시즌29'!$A$2:$S$100,10,0),0) + iferror(vlookup(A5,'전적확인_시즌30'!$A$2:$S$100,10,0),0)</f>
        <v>493</v>
      </c>
      <c r="J5" s="98">
        <f>iferror(vlookup(A5,'전적확인'!$A$2:$S$61,11,0),0) + iferror(vlookup(A5,'전적확인_베타시즌'!$A$2:$S$100,11,0),0)+iferror(vlookup(A5,'전적확인_시즌1'!$A$2:$S$100,11,0),0)+iferror(vlookup(A5,'전적확인_시즌2'!$A$2:$S$100,11,0),0)+iferror(vlookup(A5,'전적확인_시즌3'!$A$2:$S$100,11,0),0) + iferror(vlookup(A5,'전적확인_시즌4'!$A$2:$S$100,11,0),0) + iferror(vlookup(A5,'전적확인_시즌5'!$A$2:$S$100,11,0),0) + iferror(vlookup(A5,'전적확인_시즌6'!$A$2:$S$100,11,0),0) + iferror(vlookup(A5,'전적확인_시즌7'!$A$2:$S$100,11,0),0) + iferror(vlookup(A5,'전적확인_시즌8'!$A$2:$S$100,11,0),0) + iferror(vlookup(A5,'전적확인_시즌9'!$A$2:$S$100,11,0),0) + iferror(vlookup(A5,'전적확인_시즌10'!$A$2:$S$100,11,0),0) + iferror(vlookup(A5,'전적확인_시즌11'!$A$2:$S$100,11,0),0) + iferror(vlookup(A5,'전적확인_시즌12'!$A$2:$S$100,11,0),0) + iferror(vlookup(A5,'전적확인_시즌13'!$A$2:$S$100,11,0),0) + iferror(vlookup(A5,'전적확인_시즌14'!$A$2:$S$100,11,0),0) + iferror(vlookup(A5,'전적확인_시즌15'!$A$2:$S$100,11,0),0) + iferror(vlookup(A5,'전적확인_시즌16'!$A$2:$S$100,11,0),0) + iferror(vlookup(A5,'전적확인_시즌17'!$A$2:$S$100,11,0),0) + iferror(vlookup(A5,'전적확인_시즌17'!$A$2:$S$100,11,0),0) + iferror(vlookup(A5,'전적확인_시즌18'!$A$2:$S$100,11,0),0) + iferror(vlookup(A5,'전적확인_시즌19'!$A$2:$S$100,11,0),0) + iferror(vlookup(A5,'전적확인_시즌20'!$A$2:$S$100,11,0),0) + iferror(vlookup(A5,'전적확인_시즌21'!$A$2:$S$100,11,0),0) + iferror(vlookup(A5,'전적확인_시즌22'!$A$2:$S$100,11,0),0) + iferror(vlookup(A5,'전적확인_시즌23'!$A$2:$S$100,11,0),0) + iferror(vlookup(A5,'전적확인_시즌24'!$A$2:$S$100,11,0),0) + iferror(vlookup(A5,'전적확인_시즌25'!$A$2:$S$100,11,0),0) + iferror(vlookup(A5,'전적확인_시즌26'!$A$2:$S$100,11,0),0) + iferror(vlookup(A5,'전적확인_시즌27'!$A$2:$S$100,11,0),0) + iferror(vlookup(A5,'전적확인_시즌28'!$A$2:$S$100,11,0),0) + iferror(vlookup(A5,'전적확인_시즌29'!$A$2:$S$100,11,0),0) + iferror(vlookup(A5,'전적확인_시즌30'!$A$2:$S$100,11,0),0)</f>
        <v>355</v>
      </c>
      <c r="K5" s="98">
        <f t="shared" si="2"/>
        <v>58.14</v>
      </c>
      <c r="L5" s="95">
        <f t="array" ref="L5">iferror(vlookup(A5,INDIRECT('시즌목록'!$H$2 &amp; "!$A$2:$S$100"),10,0),0)</f>
        <v>50</v>
      </c>
      <c r="M5" s="95">
        <f t="array" ref="M5">iferror(vlookup(A5,INDIRECT('시즌목록'!$H$2 &amp; "!$A$2:$S$100"),11,0),0)</f>
        <v>52</v>
      </c>
      <c r="N5" s="98">
        <f t="shared" si="3"/>
        <v>49.02</v>
      </c>
      <c r="O5" s="95" t="str">
        <f t="shared" si="4"/>
        <v>골드</v>
      </c>
      <c r="P5" s="98">
        <f>iferror(vlookup(A5,'전적확인'!$A$2:$S$61,2,0),0)+ iferror(vlookup(A5,'전적확인_베타시즌'!$A$2:$S$100,2,0),0)+iferror(vlookup(A5,'전적확인_시즌1'!$A$2:$S$100,2,0),0)+iferror(vlookup(A5,'전적확인_시즌2'!$A$2:$S$100,2,0),0)+iferror(vlookup(A5,'전적확인_시즌3'!$A$2:$S$100,2,0),0) + iferror(vlookup(A5,'전적확인_시즌4'!$A$2:$S$100,2,0),0) + iferror(vlookup(A5,'전적확인_시즌5'!$A$2:$S$100,2,0),0) + iferror(vlookup(A5,'전적확인_시즌6'!$A$2:$S$100,2,0),0) + iferror(vlookup(A5,'전적확인_시즌7'!$A$2:$S$100,2,0),0) + iferror(vlookup(A5,'전적확인_시즌8'!$A$2:$S$100,2,0),0) + iferror(vlookup(A5,'전적확인_시즌9'!$A$2:$S$100,2,0),0) + iferror(vlookup(A5,'전적확인_시즌10'!$A$2:$S$100,2,0),0) + iferror(vlookup(A5,'전적확인_시즌11'!$A$2:$S$100,2,0),0) + iferror(vlookup(A5,'전적확인_시즌12'!$A$2:$S$100,2,0),0) + iferror(vlookup(A5,'전적확인_시즌13'!$A$2:$S$100,2,0),0) + iferror(vlookup(A5,'전적확인_시즌14'!$A$2:$S$100,2,0),0) + iferror(vlookup(A5,'전적확인_시즌15'!$A$2:$S$100,2,0),0) + iferror(vlookup(A5,'전적확인_시즌16'!$A$2:$S$100,2,0),0) + iferror(vlookup(A5,'전적확인_시즌17'!$A$2:$S$100,2,0),0) + iferror(vlookup(A5,'전적확인_시즌17'!$A$2:$S$100,2,0),0) + iferror(vlookup(A5,'전적확인_시즌18'!$A$2:$S$100,2,0),0) + iferror(vlookup(A5,'전적확인_시즌19'!$A$2:$S$100,2,0),0) + iferror(vlookup(A5,'전적확인_시즌20'!$A$2:$S$100,2,0),0) + iferror(vlookup(A5,'전적확인_시즌21'!$A$2:$S$100,2,0),0) + iferror(vlookup(A5,'전적확인_시즌22'!$A$2:$S$100,2,0),0) + iferror(vlookup(A5,'전적확인_시즌23'!$A$2:$S$100,2,0),0) + iferror(vlookup(A5,'전적확인_시즌24'!$A$2:$S$100,2,0),0) + iferror(vlookup(A5,'전적확인_시즌25'!$A$2:$S$100,2,0),0) + iferror(vlookup(A5,'전적확인_시즌26'!$A$2:$S$100,2,0),0) + iferror(vlookup(A5,'전적확인_시즌27'!$A$2:$S$100,2,0),0) + iferror(vlookup(A5,'전적확인_시즌28'!$A$2:$S$100,2,0),0) + iferror(vlookup(A5,'전적확인_시즌29'!$A$2:$S$100,2,0),0) + iferror(vlookup(A5,'전적확인_시즌30'!$A$2:$S$100,2,0),0)</f>
        <v>86</v>
      </c>
      <c r="Q5" s="98">
        <f>iferror(vlookup(A5,'전적확인'!$A$2:$S$61,3,0),0)+ iferror(vlookup(A5,'전적확인_베타시즌'!$A$2:$S$100,3,0),0)+iferror(vlookup(A5,'전적확인_시즌1'!$A$2:$S$100,3,0),0)+iferror(vlookup(A5,'전적확인_시즌2'!$A$2:$S$100,3,0),0)+iferror(vlookup(A5,'전적확인_시즌3'!$A$2:$S$100,3,0),0) + iferror(vlookup(A5,'전적확인_시즌4'!$A$2:$S$100,3,0),0) + iferror(vlookup(A5,'전적확인_시즌5'!$A$2:$S$100,3,0),0) + iferror(vlookup(A5,'전적확인_시즌6'!$A$2:$S$100,3,0),0) + iferror(vlookup(A5,'전적확인_시즌7'!$A$2:$S$100,3,0),0) + iferror(vlookup(A5,'전적확인_시즌8'!$A$2:$S$100,3,0),0) + iferror(vlookup(A5,'전적확인_시즌9'!$A$2:$S$100,3,0),0) + iferror(vlookup(A5,'전적확인_시즌10'!$A$2:$S$100,3,0),0) + iferror(vlookup(A5,'전적확인_시즌11'!$A$2:$S$100,3,0),0) + iferror(vlookup(A5,'전적확인_시즌12'!$A$2:$S$100,3,0),0) + iferror(vlookup(A5,'전적확인_시즌13'!$A$2:$S$100,3,0),0) + iferror(vlookup(A5,'전적확인_시즌14'!$A$2:$S$100,3,0),0) + iferror(vlookup(A5,'전적확인_시즌15'!$A$2:$S$100,3,0),0) + iferror(vlookup(A5,'전적확인_시즌16'!$A$2:$S$100,3,0),0) + iferror(vlookup(A5,'전적확인_시즌17'!$A$2:$S$100,3,0),0) + iferror(vlookup(A5,'전적확인_시즌17'!$A$2:$S$100,3,0),0) + iferror(vlookup(A5,'전적확인_시즌18'!$A$2:$S$100,3,0),0) + iferror(vlookup(A5,'전적확인_시즌19'!$A$2:$S$100,3,0),0) + iferror(vlookup(A5,'전적확인_시즌20'!$A$2:$S$100,3,0),0) + iferror(vlookup(A5,'전적확인_시즌21'!$A$2:$S$100,3,0),0) + iferror(vlookup(A5,'전적확인_시즌22'!$A$2:$S$100,3,0),0) + iferror(vlookup(A5,'전적확인_시즌23'!$A$2:$S$100,3,0),0) + iferror(vlookup(A5,'전적확인_시즌24'!$A$2:$S$100,3,0),0) + iferror(vlookup(A5,'전적확인_시즌25'!$A$2:$S$100,3,0),0) + iferror(vlookup(A5,'전적확인_시즌26'!$A$2:$S$100,3,0),0) + iferror(vlookup(A5,'전적확인_시즌27'!$A$2:$S$100,3,0),0) + iferror(vlookup(A5,'전적확인_시즌28'!$A$2:$S$100,3,0),0) + iferror(vlookup(A5,'전적확인_시즌29'!$A$2:$S$100,3,0),0) + iferror(vlookup(A5,'전적확인_시즌30'!$A$2:$S$100,3,0),0)</f>
        <v>105</v>
      </c>
      <c r="R5" s="98">
        <f t="shared" si="5"/>
        <v>45.03</v>
      </c>
      <c r="S5" s="98">
        <f>iferror(vlookup(A5,'전적확인'!$A$2:$S$61,4,0),0) + iferror(vlookup(A5,'전적확인_베타시즌'!$A$2:$S$100,4,0),0)+iferror(vlookup(A5,'전적확인_시즌1'!$A$2:$S$100,4,0),0)+iferror(vlookup(A5,'전적확인_시즌2'!$A$2:$S$100,4,0),0)+iferror(vlookup(A5,'전적확인_시즌3'!$A$2:$S$100,4,0),0) + iferror(vlookup(A5,'전적확인_시즌4'!$A$2:$S$100,4,0),0) + iferror(vlookup(A5,'전적확인_시즌5'!$A$2:$S$100,4,0),0) + iferror(vlookup(A5,'전적확인_시즌6'!$A$2:$S$100,4,0),0) + iferror(vlookup(A5,'전적확인_시즌7'!$A$2:$S$100,4,0),0) + iferror(vlookup(A5,'전적확인_시즌8'!$A$2:$S$100,4,0),0) + iferror(vlookup(A5,'전적확인_시즌9'!$A$2:$S$100,4,0),0) + iferror(vlookup(A5,'전적확인_시즌10'!$A$2:$S$100,4,0),0) + iferror(vlookup(A5,'전적확인_시즌11'!$A$2:$S$100,4,0),0) + iferror(vlookup(A5,'전적확인_시즌12'!$A$2:$S$100,4,0),0) + iferror(vlookup(A5,'전적확인_시즌13'!$A$2:$S$100,4,0),0) + iferror(vlookup(A5,'전적확인_시즌14'!$A$2:$S$100,4,0),0) + iferror(vlookup(A5,'전적확인_시즌15'!$A$2:$S$100,4,0),0) + iferror(vlookup(A5,'전적확인_시즌16'!$A$2:$S$100,4,0),0) + iferror(vlookup(A5,'전적확인_시즌17'!$A$2:$S$100,4,0),0) + iferror(vlookup(A5,'전적확인_시즌17'!$A$2:$S$100,4,0),0) + iferror(vlookup(A5,'전적확인_시즌18'!$A$2:$S$100,4,0),0) + iferror(vlookup(A5,'전적확인_시즌19'!$A$2:$S$100,4,0),0) + iferror(vlookup(A5,'전적확인_시즌20'!$A$2:$S$100,4,0),0) + iferror(vlookup(A5,'전적확인_시즌21'!$A$2:$S$100,4,0),0) + iferror(vlookup(A5,'전적확인_시즌22'!$A$2:$S$100,4,0),0) + iferror(vlookup(A5,'전적확인_시즌23'!$A$2:$S$100,4,0),0) + iferror(vlookup(A5,'전적확인_시즌24'!$A$2:$S$100,4,0),0) + iferror(vlookup(A5,'전적확인_시즌25'!$A$2:$S$100,4,0),0) + iferror(vlookup(A5,'전적확인_시즌26'!$A$2:$S$100,4,0),0) + iferror(vlookup(A5,'전적확인_시즌27'!$A$2:$S$100,4,0),0) + iferror(vlookup(A5,'전적확인_시즌28'!$A$2:$S$100,4,0),0) + iferror(vlookup(A5,'전적확인_시즌29'!$A$2:$S$100,4,0),0) + iferror(vlookup(A5,'전적확인_시즌30'!$A$2:$S$100,4,0),0)</f>
        <v>202</v>
      </c>
      <c r="T5" s="98">
        <f>iferror(vlookup(A5,'전적확인'!$A$2:$S$61,5,0),0) + iferror(vlookup(A5,'전적확인_베타시즌'!$A$2:$S$100,5,0),0)+iferror(vlookup(A5,'전적확인_시즌1'!$A$2:$S$100,5,0),0)+iferror(vlookup(A5,'전적확인_시즌2'!$A$2:$S$100,5,0),0)+iferror(vlookup(A5,'전적확인_시즌3'!$A$2:$S$100,5,0),0) + iferror(vlookup(A5,'전적확인_시즌4'!$A$2:$S$100,5,0),0) + iferror(vlookup(A5,'전적확인_시즌5'!$A$2:$S$100,5,0),0) + iferror(vlookup(A5,'전적확인_시즌6'!$A$2:$S$100,5,0),0) + iferror(vlookup(A5,'전적확인_시즌7'!$A$2:$S$100,5,0),0) + iferror(vlookup(A5,'전적확인_시즌8'!$A$2:$S$100,5,0),0) + iferror(vlookup(A5,'전적확인_시즌9'!$A$2:$S$100,5,0),0) + iferror(vlookup(A5,'전적확인_시즌10'!$A$2:$S$100,5,0),0) + iferror(vlookup(A5,'전적확인_시즌11'!$A$2:$S$100,5,0),0) + iferror(vlookup(A5,'전적확인_시즌12'!$A$2:$S$100,5,0),0) + iferror(vlookup(A5,'전적확인_시즌13'!$A$2:$S$100,5,0),0) + iferror(vlookup(A5,'전적확인_시즌14'!$A$2:$S$100,5,0),0) + iferror(vlookup(A5,'전적확인_시즌15'!$A$2:$S$100,5,0),0) + iferror(vlookup(A5,'전적확인_시즌16'!$A$2:$S$100,5,0),0) + iferror(vlookup(A5,'전적확인_시즌17'!$A$2:$S$100,5,0),0) + iferror(vlookup(A5,'전적확인_시즌17'!$A$2:$S$100,5,0),0) + iferror(vlookup(A5,'전적확인_시즌18'!$A$2:$S$100,5,0),0) + iferror(vlookup(A5,'전적확인_시즌19'!$A$2:$S$100,5,0),0) + iferror(vlookup(A5,'전적확인_시즌20'!$A$2:$S$100,5,0),0) + iferror(vlookup(A5,'전적확인_시즌21'!$A$2:$S$100,5,0),0) + iferror(vlookup(A5,'전적확인_시즌22'!$A$2:$S$100,5,0),0) + iferror(vlookup(A5,'전적확인_시즌23'!$A$2:$S$100,5,0),0) + iferror(vlookup(A5,'전적확인_시즌24'!$A$2:$S$100,5,0),0) + iferror(vlookup(A5,'전적확인_시즌25'!$A$2:$S$100,5,0),0) + iferror(vlookup(A5,'전적확인_시즌26'!$A$2:$S$100,5,0),0) + iferror(vlookup(A5,'전적확인_시즌27'!$A$2:$S$100,5,0),0) + iferror(vlookup(A5,'전적확인_시즌28'!$A$2:$S$100,5,0),0) + iferror(vlookup(A5,'전적확인_시즌29'!$A$2:$S$100,5,0),0) + iferror(vlookup(A5,'전적확인_시즌30'!$A$2:$S$100,5,0),0)</f>
        <v>97</v>
      </c>
      <c r="U5" s="98">
        <f t="shared" si="6"/>
        <v>67.56</v>
      </c>
      <c r="V5" s="98">
        <f>iferror(vlookup(A5,'전적확인'!$A$2:$S$61,6,0),0)+ iferror(vlookup(A5,'전적확인_베타시즌'!$A$2:$S$100,6,0),0)+iferror(vlookup(A5,'전적확인_시즌1'!$A$2:$S$100,6,0),0)+iferror(vlookup(A5,'전적확인_시즌2'!$A$2:$S$100,6,0),0)+iferror(vlookup(A5,'전적확인_시즌3'!$A$2:$S$100,6,0),0) + iferror(vlookup(A5,'전적확인_시즌4'!$A$2:$S$100,6,0),0) + iferror(vlookup(A5,'전적확인_시즌5'!$A$2:$S$100,6,0),0) + iferror(vlookup(A5,'전적확인_시즌6'!$A$2:$S$100,6,0),0) + iferror(vlookup(A5,'전적확인_시즌7'!$A$2:$S$100,6,0),0) + iferror(vlookup(A5,'전적확인_시즌8'!$A$2:$S$100,6,0),0) + iferror(vlookup(A5,'전적확인_시즌9'!$A$2:$S$100,6,0),0) + iferror(vlookup(A5,'전적확인_시즌10'!$A$2:$S$100,6,0),0) + iferror(vlookup(A5,'전적확인_시즌11'!$A$2:$S$100,6,0),0) + iferror(vlookup(A5,'전적확인_시즌12'!$A$2:$S$100,6,0),0) + iferror(vlookup(A5,'전적확인_시즌13'!$A$2:$S$100,6,0),0) + iferror(vlookup(A5,'전적확인_시즌14'!$A$2:$S$100,6,0),0) + iferror(vlookup(A5,'전적확인_시즌15'!$A$2:$S$100,6,0),0) + iferror(vlookup(A5,'전적확인_시즌16'!$A$2:$S$100,6,0),0) + iferror(vlookup(A5,'전적확인_시즌17'!$A$2:$S$100,6,0),0) + iferror(vlookup(A5,'전적확인_시즌17'!$A$2:$S$100,6,0),0) + iferror(vlookup(A5,'전적확인_시즌18'!$A$2:$S$100,6,0),0) + iferror(vlookup(A5,'전적확인_시즌19'!$A$2:$S$100,6,0),0) + iferror(vlookup(A5,'전적확인_시즌20'!$A$2:$S$100,6,0),0) + iferror(vlookup(A5,'전적확인_시즌21'!$A$2:$S$100,6,0),0) + iferror(vlookup(A5,'전적확인_시즌22'!$A$2:$S$100,6,0),0) + iferror(vlookup(A5,'전적확인_시즌23'!$A$2:$S$100,6,0),0) + iferror(vlookup(A5,'전적확인_시즌24'!$A$2:$S$100,6,0),0) + iferror(vlookup(A5,'전적확인_시즌25'!$A$2:$S$100,6,0),0) + iferror(vlookup(A5,'전적확인_시즌26'!$A$2:$S$100,6,0),0) + iferror(vlookup(A5,'전적확인_시즌27'!$A$2:$S$100,6,0),0) + iferror(vlookup(A5,'전적확인_시즌28'!$A$2:$S$100,6,0),0) + iferror(vlookup(A5,'전적확인_시즌29'!$A$2:$S$100,6,0),0) + iferror(vlookup(A5,'전적확인_시즌30'!$A$2:$S$100,6,0),0)</f>
        <v>149</v>
      </c>
      <c r="W5" s="98">
        <f> iferror(vlookup(A5,'전적확인'!$A$2:$S$61,7,0),0)+ iferror(vlookup(A5,'전적확인_베타시즌'!$A$2:$S$100,7,0),0)+iferror(vlookup(A5,'전적확인_시즌1'!$A$2:$S$100,7,0),0)+iferror(vlookup(A5,'전적확인_시즌2'!$A$2:$S$100,7,0),0)+iferror(vlookup(A5,'전적확인_시즌3'!$A$2:$S$100,7,0),0) + iferror(vlookup(A5,'전적확인_시즌4'!$A$2:$S$100,7,0),0) + iferror(vlookup(A5,'전적확인_시즌5'!$A$2:$S$100,7,0),0) + iferror(vlookup(A5,'전적확인_시즌6'!$A$2:$S$100,7,0),0) + iferror(vlookup(A5,'전적확인_시즌7'!$A$2:$S$100,7,0),0) + iferror(vlookup(A5,'전적확인_시즌8'!$A$2:$S$100,7,0),0) + iferror(vlookup(A5,'전적확인_시즌9'!$A$2:$S$100,7,0),0) + iferror(vlookup(A5,'전적확인_시즌10'!$A$2:$S$100,7,0),0) + iferror(vlookup(A5,'전적확인_시즌11'!$A$2:$S$100,7,0),0) + iferror(vlookup(A5,'전적확인_시즌12'!$A$2:$S$100,7,0),0) + iferror(vlookup(A5,'전적확인_시즌13'!$A$2:$S$100,7,0),0) + iferror(vlookup(A5,'전적확인_시즌14'!$A$2:$S$100,7,0),0) + iferror(vlookup(A5,'전적확인_시즌15'!$A$2:$S$100,7,0),0) + iferror(vlookup(A5,'전적확인_시즌16'!$A$2:$S$100,7,0),0) + iferror(vlookup(A5,'전적확인_시즌17'!$A$2:$S$100,7,0),0) + iferror(vlookup(A5,'전적확인_시즌17'!$A$2:$S$100,7,0),0) + iferror(vlookup(A5,'전적확인_시즌18'!$A$2:$S$100,7,0),0) + iferror(vlookup(A5,'전적확인_시즌19'!$A$2:$S$100,7,0),0) + iferror(vlookup(A5,'전적확인_시즌20'!$A$2:$S$100,7,0),0) + iferror(vlookup(A5,'전적확인_시즌21'!$A$2:$S$100,7,0),0) + iferror(vlookup(A5,'전적확인_시즌22'!$A$2:$S$100,7,0),0) + iferror(vlookup(A5,'전적확인_시즌23'!$A$2:$S$100,7,0),0) + iferror(vlookup(A5,'전적확인_시즌24'!$A$2:$S$100,7,0),0) + iferror(vlookup(A5,'전적확인_시즌25'!$A$2:$S$100,7,0),0) + iferror(vlookup(A5,'전적확인_시즌26'!$A$2:$S$100,7,0),0) + iferror(vlookup(A5,'전적확인_시즌27'!$A$2:$S$100,7,0),0) + iferror(vlookup(A5,'전적확인_시즌28'!$A$2:$S$100,7,0),0) + iferror(vlookup(A5,'전적확인_시즌29'!$A$2:$S$100,7,0),0) + iferror(vlookup(A5,'전적확인_시즌30'!$A$2:$S$100,7,0),0)</f>
        <v>108</v>
      </c>
      <c r="X5" s="98">
        <f t="shared" si="7"/>
        <v>57.98</v>
      </c>
      <c r="Y5" s="98">
        <f>iferror(vlookup(A5,'전적확인'!$A$2:$S$61,8,0),0) + iferror(vlookup(A5,'전적확인_베타시즌'!$A$2:$S$100,8,0),0)+iferror(vlookup(A5,'전적확인_시즌1'!$A$2:$S$100,8,0),0)+iferror(vlookup(A5,'전적확인_시즌2'!$A$2:$S$100,8,0),0)+iferror(vlookup(A5,'전적확인_시즌3'!$A$2:$S$100,8,0),0) + iferror(vlookup(A5,'전적확인_시즌4'!$A$2:$S$100,8,0),0) + iferror(vlookup(A5,'전적확인_시즌5'!$A$2:$S$100,8,0),0) + iferror(vlookup(A5,'전적확인_시즌6'!$A$2:$S$100,8,0),0) + iferror(vlookup(A5,'전적확인_시즌7'!$A$2:$S$100,8,0),0) + iferror(vlookup(A5,'전적확인_시즌8'!$A$2:$S$100,8,0),0) + iferror(vlookup(A5,'전적확인_시즌9'!$A$2:$S$100,8,0),0) + iferror(vlookup(A5,'전적확인_시즌10'!$A$2:$S$100,8,0),0) + iferror(vlookup(A5,'전적확인_시즌11'!$A$2:$S$100,8,0),0) + iferror(vlookup(A5,'전적확인_시즌12'!$A$2:$S$100,8,0),0) + iferror(vlookup(A5,'전적확인_시즌13'!$A$2:$S$100,8,0),0) + iferror(vlookup(A5,'전적확인_시즌14'!$A$2:$S$100,8,0),0) + iferror(vlookup(A5,'전적확인_시즌15'!$A$2:$S$100,8,0),0) + iferror(vlookup(A5,'전적확인_시즌16'!$A$2:$S$100,8,0),0) + iferror(vlookup(A5,'전적확인_시즌17'!$A$2:$S$100,8,0),0) + iferror(vlookup(A5,'전적확인_시즌17'!$A$2:$S$100,8,0),0) + iferror(vlookup(A5,'전적확인_시즌18'!$A$2:$S$100,8,0),0) + iferror(vlookup(A5,'전적확인_시즌19'!$A$2:$S$100,8,0),0) + iferror(vlookup(A5,'전적확인_시즌20'!$A$2:$S$100,8,0),0) + iferror(vlookup(A5,'전적확인_시즌21'!$A$2:$S$100,8,0),0) + iferror(vlookup(A5,'전적확인_시즌22'!$A$2:$S$100,8,0),0) + iferror(vlookup(A5,'전적확인_시즌23'!$A$2:$S$100,8,0),0) + iferror(vlookup(A5,'전적확인_시즌24'!$A$2:$S$100,8,0),0) + iferror(vlookup(A5,'전적확인_시즌25'!$A$2:$S$100,8,0),0) + iferror(vlookup(A5,'전적확인_시즌26'!$A$2:$S$100,8,0),0) + iferror(vlookup(A5,'전적확인_시즌27'!$A$2:$S$100,8,0),0) + iferror(vlookup(A5,'전적확인_시즌28'!$A$2:$S$100,8,0),0) + iferror(vlookup(A5,'전적확인_시즌29'!$A$2:$S$100,8,0),0) + iferror(vlookup(A5,'전적확인_시즌30'!$A$2:$S$100,8,0),0)</f>
        <v>56</v>
      </c>
      <c r="Z5" s="98">
        <f>iferror(vlookup(A5,'전적확인'!$A$2:$S$61,9,0),0) + iferror(vlookup(A5,'전적확인_베타시즌'!$A$2:$S$100,9,0),0)+iferror(vlookup(A5,'전적확인_시즌1'!$A$2:$S$100,9,0),0)+iferror(vlookup(A5,'전적확인_시즌2'!$A$2:$S$100,9,0),0)+iferror(vlookup(A5,'전적확인_시즌3'!$A$2:$S$100,9,0),0) + iferror(vlookup(A5,'전적확인_시즌4'!$A$2:$S$100,9,0),0) + iferror(vlookup(A5,'전적확인_시즌5'!$A$2:$S$100,9,0),0) + iferror(vlookup(A5,'전적확인_시즌6'!$A$2:$S$100,9,0),0) + iferror(vlookup(A5,'전적확인_시즌7'!$A$2:$S$100,9,0),0) + iferror(vlookup(A5,'전적확인_시즌8'!$A$2:$S$100,9,0),0) + iferror(vlookup(A5,'전적확인_시즌9'!$A$2:$S$100,9,0),0) + iferror(vlookup(A5,'전적확인_시즌10'!$A$2:$S$100,9,0),0) + iferror(vlookup(A5,'전적확인_시즌11'!$A$2:$S$100,9,0),0) + iferror(vlookup(A5,'전적확인_시즌12'!$A$2:$S$100,9,0),0) + iferror(vlookup(A5,'전적확인_시즌13'!$A$2:$S$100,9,0),0) + iferror(vlookup(A5,'전적확인_시즌14'!$A$2:$S$100,9,0),0) + iferror(vlookup(A5,'전적확인_시즌15'!$A$2:$S$100,9,0),0) + iferror(vlookup(A5,'전적확인_시즌16'!$A$2:$S$100,9,0),0) + iferror(vlookup(A5,'전적확인_시즌17'!$A$2:$S$100,9,0),0) + iferror(vlookup(A5,'전적확인_시즌17'!$A$2:$S$100,9,0),0) + iferror(vlookup(A5,'전적확인_시즌18'!$A$2:$S$100,9,0),0) + iferror(vlookup(A5,'전적확인_시즌19'!$A$2:$S$100,9,0),0) + iferror(vlookup(A5,'전적확인_시즌20'!$A$2:$S$100,9,0),0) + iferror(vlookup(A5,'전적확인_시즌21'!$A$2:$S$100,9,0),0) + iferror(vlookup(A5,'전적확인_시즌22'!$A$2:$S$100,9,0),0) + iferror(vlookup(A5,'전적확인_시즌23'!$A$2:$S$100,9,0),0) + iferror(vlookup(A5,'전적확인_시즌24'!$A$2:$S$100,9,0),0) + iferror(vlookup(A5,'전적확인_시즌25'!$A$2:$S$100,9,0),0) + iferror(vlookup(A5,'전적확인_시즌26'!$A$2:$S$100,9,0),0) + iferror(vlookup(A5,'전적확인_시즌27'!$A$2:$S$100,9,0),0) + iferror(vlookup(A5,'전적확인_시즌28'!$A$2:$S$100,9,0),0) + iferror(vlookup(A5,'전적확인_시즌29'!$A$2:$S$100,9,0),0) + iferror(vlookup(A5,'전적확인_시즌30'!$A$2:$S$100,9,0),0)</f>
        <v>45</v>
      </c>
      <c r="AA5" s="98">
        <f t="shared" si="8"/>
        <v>55.45</v>
      </c>
      <c r="AB5" s="2"/>
      <c r="AC5" s="2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>
      <c r="A6" s="95" t="s">
        <v>31</v>
      </c>
      <c r="B6" s="95" t="s">
        <v>9667</v>
      </c>
      <c r="C6" s="95" t="s">
        <v>9667</v>
      </c>
      <c r="D6" s="96" t="s">
        <v>9667</v>
      </c>
      <c r="E6" s="96" t="s">
        <v>9667</v>
      </c>
      <c r="F6" s="3"/>
      <c r="G6" s="99" t="s">
        <v>9677</v>
      </c>
      <c r="H6" s="98">
        <f t="shared" si="1"/>
        <v>482</v>
      </c>
      <c r="I6" s="98">
        <f>iferror(vlookup(A6,'전적확인'!$A$2:$S$61,10,0),0) + iferror(vlookup(A6,'전적확인_베타시즌'!$A$2:$S$100,10,0),0)+iferror(vlookup(A6,'전적확인_시즌1'!$A$2:$S$100,10,0),0)+iferror(vlookup(A6,'전적확인_시즌2'!$A$2:$S$100,10,0),0)+iferror(vlookup(A6,'전적확인_시즌3'!$A$2:$S$100,10,0),0) + iferror(vlookup(A6,'전적확인_시즌4'!$A$2:$S$100,10,0),0) + iferror(vlookup(A6,'전적확인_시즌5'!$A$2:$S$100,10,0),0) + iferror(vlookup(A6,'전적확인_시즌6'!$A$2:$S$100,10,0),0) + iferror(vlookup(A6,'전적확인_시즌7'!$A$2:$S$100,10,0),0) + iferror(vlookup(A6,'전적확인_시즌8'!$A$2:$S$100,10,0),0) + iferror(vlookup(A6,'전적확인_시즌9'!$A$2:$S$100,10,0),0) + iferror(vlookup(A6,'전적확인_시즌10'!$A$2:$S$100,10,0),0) + iferror(vlookup(A6,'전적확인_시즌11'!$A$2:$S$100,10,0),0) + iferror(vlookup(A6,'전적확인_시즌12'!$A$2:$S$100,10,0),0) + iferror(vlookup(A6,'전적확인_시즌13'!$A$2:$S$100,10,0),0) + iferror(vlookup(A6,'전적확인_시즌14'!$A$2:$S$100,10,0),0) + iferror(vlookup(A6,'전적확인_시즌15'!$A$2:$S$100,10,0),0) + iferror(vlookup(A6,'전적확인_시즌16'!$A$2:$S$100,10,0),0) + iferror(vlookup(A6,'전적확인_시즌17'!$A$2:$S$100,10,0),0) + iferror(vlookup(A6,'전적확인_시즌17'!$A$2:$S$100,10,0),0) + iferror(vlookup(A6,'전적확인_시즌18'!$A$2:$S$100,10,0),0) + iferror(vlookup(A6,'전적확인_시즌19'!$A$2:$S$100,10,0),0) + iferror(vlookup(A6,'전적확인_시즌20'!$A$2:$S$100,10,0),0) + iferror(vlookup(A6,'전적확인_시즌21'!$A$2:$S$100,10,0),0) + iferror(vlookup(A6,'전적확인_시즌22'!$A$2:$S$100,10,0),0) + iferror(vlookup(A6,'전적확인_시즌23'!$A$2:$S$100,10,0),0) + iferror(vlookup(A6,'전적확인_시즌24'!$A$2:$S$100,10,0),0) + iferror(vlookup(A6,'전적확인_시즌25'!$A$2:$S$100,10,0),0) + iferror(vlookup(A6,'전적확인_시즌26'!$A$2:$S$100,10,0),0) + iferror(vlookup(A6,'전적확인_시즌27'!$A$2:$S$100,10,0),0) + iferror(vlookup(A6,'전적확인_시즌28'!$A$2:$S$100,10,0),0) + iferror(vlookup(A6,'전적확인_시즌29'!$A$2:$S$100,10,0),0) + iferror(vlookup(A6,'전적확인_시즌30'!$A$2:$S$100,10,0),0)</f>
        <v>280</v>
      </c>
      <c r="J6" s="98">
        <f>iferror(vlookup(A6,'전적확인'!$A$2:$S$61,11,0),0) + iferror(vlookup(A6,'전적확인_베타시즌'!$A$2:$S$100,11,0),0)+iferror(vlookup(A6,'전적확인_시즌1'!$A$2:$S$100,11,0),0)+iferror(vlookup(A6,'전적확인_시즌2'!$A$2:$S$100,11,0),0)+iferror(vlookup(A6,'전적확인_시즌3'!$A$2:$S$100,11,0),0) + iferror(vlookup(A6,'전적확인_시즌4'!$A$2:$S$100,11,0),0) + iferror(vlookup(A6,'전적확인_시즌5'!$A$2:$S$100,11,0),0) + iferror(vlookup(A6,'전적확인_시즌6'!$A$2:$S$100,11,0),0) + iferror(vlookup(A6,'전적확인_시즌7'!$A$2:$S$100,11,0),0) + iferror(vlookup(A6,'전적확인_시즌8'!$A$2:$S$100,11,0),0) + iferror(vlookup(A6,'전적확인_시즌9'!$A$2:$S$100,11,0),0) + iferror(vlookup(A6,'전적확인_시즌10'!$A$2:$S$100,11,0),0) + iferror(vlookup(A6,'전적확인_시즌11'!$A$2:$S$100,11,0),0) + iferror(vlookup(A6,'전적확인_시즌12'!$A$2:$S$100,11,0),0) + iferror(vlookup(A6,'전적확인_시즌13'!$A$2:$S$100,11,0),0) + iferror(vlookup(A6,'전적확인_시즌14'!$A$2:$S$100,11,0),0) + iferror(vlookup(A6,'전적확인_시즌15'!$A$2:$S$100,11,0),0) + iferror(vlookup(A6,'전적확인_시즌16'!$A$2:$S$100,11,0),0) + iferror(vlookup(A6,'전적확인_시즌17'!$A$2:$S$100,11,0),0) + iferror(vlookup(A6,'전적확인_시즌17'!$A$2:$S$100,11,0),0) + iferror(vlookup(A6,'전적확인_시즌18'!$A$2:$S$100,11,0),0) + iferror(vlookup(A6,'전적확인_시즌19'!$A$2:$S$100,11,0),0) + iferror(vlookup(A6,'전적확인_시즌20'!$A$2:$S$100,11,0),0) + iferror(vlookup(A6,'전적확인_시즌21'!$A$2:$S$100,11,0),0) + iferror(vlookup(A6,'전적확인_시즌22'!$A$2:$S$100,11,0),0) + iferror(vlookup(A6,'전적확인_시즌23'!$A$2:$S$100,11,0),0) + iferror(vlookup(A6,'전적확인_시즌24'!$A$2:$S$100,11,0),0) + iferror(vlookup(A6,'전적확인_시즌25'!$A$2:$S$100,11,0),0) + iferror(vlookup(A6,'전적확인_시즌26'!$A$2:$S$100,11,0),0) + iferror(vlookup(A6,'전적확인_시즌27'!$A$2:$S$100,11,0),0) + iferror(vlookup(A6,'전적확인_시즌28'!$A$2:$S$100,11,0),0) + iferror(vlookup(A6,'전적확인_시즌29'!$A$2:$S$100,11,0),0) + iferror(vlookup(A6,'전적확인_시즌30'!$A$2:$S$100,11,0),0)</f>
        <v>202</v>
      </c>
      <c r="K6" s="98">
        <f t="shared" si="2"/>
        <v>58.09</v>
      </c>
      <c r="L6" s="95">
        <f t="array" ref="L6">iferror(vlookup(A6,INDIRECT('시즌목록'!$H$2 &amp; "!$A$2:$S$100"),10,0),0)</f>
        <v>69</v>
      </c>
      <c r="M6" s="95">
        <f t="array" ref="M6">iferror(vlookup(A6,INDIRECT('시즌목록'!$H$2 &amp; "!$A$2:$S$100"),11,0),0)</f>
        <v>46</v>
      </c>
      <c r="N6" s="98">
        <f t="shared" si="3"/>
        <v>60</v>
      </c>
      <c r="O6" s="95" t="str">
        <f t="shared" si="4"/>
        <v>마스터</v>
      </c>
      <c r="P6" s="98">
        <f>iferror(vlookup(A6,'전적확인'!$A$2:$S$61,2,0),0)+ iferror(vlookup(A6,'전적확인_베타시즌'!$A$2:$S$100,2,0),0)+iferror(vlookup(A6,'전적확인_시즌1'!$A$2:$S$100,2,0),0)+iferror(vlookup(A6,'전적확인_시즌2'!$A$2:$S$100,2,0),0)+iferror(vlookup(A6,'전적확인_시즌3'!$A$2:$S$100,2,0),0) + iferror(vlookup(A6,'전적확인_시즌4'!$A$2:$S$100,2,0),0) + iferror(vlookup(A6,'전적확인_시즌5'!$A$2:$S$100,2,0),0) + iferror(vlookup(A6,'전적확인_시즌6'!$A$2:$S$100,2,0),0) + iferror(vlookup(A6,'전적확인_시즌7'!$A$2:$S$100,2,0),0) + iferror(vlookup(A6,'전적확인_시즌8'!$A$2:$S$100,2,0),0) + iferror(vlookup(A6,'전적확인_시즌9'!$A$2:$S$100,2,0),0) + iferror(vlookup(A6,'전적확인_시즌10'!$A$2:$S$100,2,0),0) + iferror(vlookup(A6,'전적확인_시즌11'!$A$2:$S$100,2,0),0) + iferror(vlookup(A6,'전적확인_시즌12'!$A$2:$S$100,2,0),0) + iferror(vlookup(A6,'전적확인_시즌13'!$A$2:$S$100,2,0),0) + iferror(vlookup(A6,'전적확인_시즌14'!$A$2:$S$100,2,0),0) + iferror(vlookup(A6,'전적확인_시즌15'!$A$2:$S$100,2,0),0) + iferror(vlookup(A6,'전적확인_시즌16'!$A$2:$S$100,2,0),0) + iferror(vlookup(A6,'전적확인_시즌17'!$A$2:$S$100,2,0),0) + iferror(vlookup(A6,'전적확인_시즌17'!$A$2:$S$100,2,0),0) + iferror(vlookup(A6,'전적확인_시즌18'!$A$2:$S$100,2,0),0) + iferror(vlookup(A6,'전적확인_시즌19'!$A$2:$S$100,2,0),0) + iferror(vlookup(A6,'전적확인_시즌20'!$A$2:$S$100,2,0),0) + iferror(vlookup(A6,'전적확인_시즌21'!$A$2:$S$100,2,0),0) + iferror(vlookup(A6,'전적확인_시즌22'!$A$2:$S$100,2,0),0) + iferror(vlookup(A6,'전적확인_시즌23'!$A$2:$S$100,2,0),0) + iferror(vlookup(A6,'전적확인_시즌24'!$A$2:$S$100,2,0),0) + iferror(vlookup(A6,'전적확인_시즌25'!$A$2:$S$100,2,0),0) + iferror(vlookup(A6,'전적확인_시즌26'!$A$2:$S$100,2,0),0) + iferror(vlookup(A6,'전적확인_시즌27'!$A$2:$S$100,2,0),0) + iferror(vlookup(A6,'전적확인_시즌28'!$A$2:$S$100,2,0),0) + iferror(vlookup(A6,'전적확인_시즌29'!$A$2:$S$100,2,0),0) + iferror(vlookup(A6,'전적확인_시즌30'!$A$2:$S$100,2,0),0)</f>
        <v>67</v>
      </c>
      <c r="Q6" s="98">
        <f>iferror(vlookup(A6,'전적확인'!$A$2:$S$61,3,0),0)+ iferror(vlookup(A6,'전적확인_베타시즌'!$A$2:$S$100,3,0),0)+iferror(vlookup(A6,'전적확인_시즌1'!$A$2:$S$100,3,0),0)+iferror(vlookup(A6,'전적확인_시즌2'!$A$2:$S$100,3,0),0)+iferror(vlookup(A6,'전적확인_시즌3'!$A$2:$S$100,3,0),0) + iferror(vlookup(A6,'전적확인_시즌4'!$A$2:$S$100,3,0),0) + iferror(vlookup(A6,'전적확인_시즌5'!$A$2:$S$100,3,0),0) + iferror(vlookup(A6,'전적확인_시즌6'!$A$2:$S$100,3,0),0) + iferror(vlookup(A6,'전적확인_시즌7'!$A$2:$S$100,3,0),0) + iferror(vlookup(A6,'전적확인_시즌8'!$A$2:$S$100,3,0),0) + iferror(vlookup(A6,'전적확인_시즌9'!$A$2:$S$100,3,0),0) + iferror(vlookup(A6,'전적확인_시즌10'!$A$2:$S$100,3,0),0) + iferror(vlookup(A6,'전적확인_시즌11'!$A$2:$S$100,3,0),0) + iferror(vlookup(A6,'전적확인_시즌12'!$A$2:$S$100,3,0),0) + iferror(vlookup(A6,'전적확인_시즌13'!$A$2:$S$100,3,0),0) + iferror(vlookup(A6,'전적확인_시즌14'!$A$2:$S$100,3,0),0) + iferror(vlookup(A6,'전적확인_시즌15'!$A$2:$S$100,3,0),0) + iferror(vlookup(A6,'전적확인_시즌16'!$A$2:$S$100,3,0),0) + iferror(vlookup(A6,'전적확인_시즌17'!$A$2:$S$100,3,0),0) + iferror(vlookup(A6,'전적확인_시즌17'!$A$2:$S$100,3,0),0) + iferror(vlookup(A6,'전적확인_시즌18'!$A$2:$S$100,3,0),0) + iferror(vlookup(A6,'전적확인_시즌19'!$A$2:$S$100,3,0),0) + iferror(vlookup(A6,'전적확인_시즌20'!$A$2:$S$100,3,0),0) + iferror(vlookup(A6,'전적확인_시즌21'!$A$2:$S$100,3,0),0) + iferror(vlookup(A6,'전적확인_시즌22'!$A$2:$S$100,3,0),0) + iferror(vlookup(A6,'전적확인_시즌23'!$A$2:$S$100,3,0),0) + iferror(vlookup(A6,'전적확인_시즌24'!$A$2:$S$100,3,0),0) + iferror(vlookup(A6,'전적확인_시즌25'!$A$2:$S$100,3,0),0) + iferror(vlookup(A6,'전적확인_시즌26'!$A$2:$S$100,3,0),0) + iferror(vlookup(A6,'전적확인_시즌27'!$A$2:$S$100,3,0),0) + iferror(vlookup(A6,'전적확인_시즌28'!$A$2:$S$100,3,0),0) + iferror(vlookup(A6,'전적확인_시즌29'!$A$2:$S$100,3,0),0) + iferror(vlookup(A6,'전적확인_시즌30'!$A$2:$S$100,3,0),0)</f>
        <v>38</v>
      </c>
      <c r="R6" s="98">
        <f t="shared" si="5"/>
        <v>63.81</v>
      </c>
      <c r="S6" s="98">
        <f>iferror(vlookup(A6,'전적확인'!$A$2:$S$61,4,0),0) + iferror(vlookup(A6,'전적확인_베타시즌'!$A$2:$S$100,4,0),0)+iferror(vlookup(A6,'전적확인_시즌1'!$A$2:$S$100,4,0),0)+iferror(vlookup(A6,'전적확인_시즌2'!$A$2:$S$100,4,0),0)+iferror(vlookup(A6,'전적확인_시즌3'!$A$2:$S$100,4,0),0) + iferror(vlookup(A6,'전적확인_시즌4'!$A$2:$S$100,4,0),0) + iferror(vlookup(A6,'전적확인_시즌5'!$A$2:$S$100,4,0),0) + iferror(vlookup(A6,'전적확인_시즌6'!$A$2:$S$100,4,0),0) + iferror(vlookup(A6,'전적확인_시즌7'!$A$2:$S$100,4,0),0) + iferror(vlookup(A6,'전적확인_시즌8'!$A$2:$S$100,4,0),0) + iferror(vlookup(A6,'전적확인_시즌9'!$A$2:$S$100,4,0),0) + iferror(vlookup(A6,'전적확인_시즌10'!$A$2:$S$100,4,0),0) + iferror(vlookup(A6,'전적확인_시즌11'!$A$2:$S$100,4,0),0) + iferror(vlookup(A6,'전적확인_시즌12'!$A$2:$S$100,4,0),0) + iferror(vlookup(A6,'전적확인_시즌13'!$A$2:$S$100,4,0),0) + iferror(vlookup(A6,'전적확인_시즌14'!$A$2:$S$100,4,0),0) + iferror(vlookup(A6,'전적확인_시즌15'!$A$2:$S$100,4,0),0) + iferror(vlookup(A6,'전적확인_시즌16'!$A$2:$S$100,4,0),0) + iferror(vlookup(A6,'전적확인_시즌17'!$A$2:$S$100,4,0),0) + iferror(vlookup(A6,'전적확인_시즌17'!$A$2:$S$100,4,0),0) + iferror(vlookup(A6,'전적확인_시즌18'!$A$2:$S$100,4,0),0) + iferror(vlookup(A6,'전적확인_시즌19'!$A$2:$S$100,4,0),0) + iferror(vlookup(A6,'전적확인_시즌20'!$A$2:$S$100,4,0),0) + iferror(vlookup(A6,'전적확인_시즌21'!$A$2:$S$100,4,0),0) + iferror(vlookup(A6,'전적확인_시즌22'!$A$2:$S$100,4,0),0) + iferror(vlookup(A6,'전적확인_시즌23'!$A$2:$S$100,4,0),0) + iferror(vlookup(A6,'전적확인_시즌24'!$A$2:$S$100,4,0),0) + iferror(vlookup(A6,'전적확인_시즌25'!$A$2:$S$100,4,0),0) + iferror(vlookup(A6,'전적확인_시즌26'!$A$2:$S$100,4,0),0) + iferror(vlookup(A6,'전적확인_시즌27'!$A$2:$S$100,4,0),0) + iferror(vlookup(A6,'전적확인_시즌28'!$A$2:$S$100,4,0),0) + iferror(vlookup(A6,'전적확인_시즌29'!$A$2:$S$100,4,0),0) + iferror(vlookup(A6,'전적확인_시즌30'!$A$2:$S$100,4,0),0)</f>
        <v>79</v>
      </c>
      <c r="T6" s="98">
        <f>iferror(vlookup(A6,'전적확인'!$A$2:$S$61,5,0),0) + iferror(vlookup(A6,'전적확인_베타시즌'!$A$2:$S$100,5,0),0)+iferror(vlookup(A6,'전적확인_시즌1'!$A$2:$S$100,5,0),0)+iferror(vlookup(A6,'전적확인_시즌2'!$A$2:$S$100,5,0),0)+iferror(vlookup(A6,'전적확인_시즌3'!$A$2:$S$100,5,0),0) + iferror(vlookup(A6,'전적확인_시즌4'!$A$2:$S$100,5,0),0) + iferror(vlookup(A6,'전적확인_시즌5'!$A$2:$S$100,5,0),0) + iferror(vlookup(A6,'전적확인_시즌6'!$A$2:$S$100,5,0),0) + iferror(vlookup(A6,'전적확인_시즌7'!$A$2:$S$100,5,0),0) + iferror(vlookup(A6,'전적확인_시즌8'!$A$2:$S$100,5,0),0) + iferror(vlookup(A6,'전적확인_시즌9'!$A$2:$S$100,5,0),0) + iferror(vlookup(A6,'전적확인_시즌10'!$A$2:$S$100,5,0),0) + iferror(vlookup(A6,'전적확인_시즌11'!$A$2:$S$100,5,0),0) + iferror(vlookup(A6,'전적확인_시즌12'!$A$2:$S$100,5,0),0) + iferror(vlookup(A6,'전적확인_시즌13'!$A$2:$S$100,5,0),0) + iferror(vlookup(A6,'전적확인_시즌14'!$A$2:$S$100,5,0),0) + iferror(vlookup(A6,'전적확인_시즌15'!$A$2:$S$100,5,0),0) + iferror(vlookup(A6,'전적확인_시즌16'!$A$2:$S$100,5,0),0) + iferror(vlookup(A6,'전적확인_시즌17'!$A$2:$S$100,5,0),0) + iferror(vlookup(A6,'전적확인_시즌17'!$A$2:$S$100,5,0),0) + iferror(vlookup(A6,'전적확인_시즌18'!$A$2:$S$100,5,0),0) + iferror(vlookup(A6,'전적확인_시즌19'!$A$2:$S$100,5,0),0) + iferror(vlookup(A6,'전적확인_시즌20'!$A$2:$S$100,5,0),0) + iferror(vlookup(A6,'전적확인_시즌21'!$A$2:$S$100,5,0),0) + iferror(vlookup(A6,'전적확인_시즌22'!$A$2:$S$100,5,0),0) + iferror(vlookup(A6,'전적확인_시즌23'!$A$2:$S$100,5,0),0) + iferror(vlookup(A6,'전적확인_시즌24'!$A$2:$S$100,5,0),0) + iferror(vlookup(A6,'전적확인_시즌25'!$A$2:$S$100,5,0),0) + iferror(vlookup(A6,'전적확인_시즌26'!$A$2:$S$100,5,0),0) + iferror(vlookup(A6,'전적확인_시즌27'!$A$2:$S$100,5,0),0) + iferror(vlookup(A6,'전적확인_시즌28'!$A$2:$S$100,5,0),0) + iferror(vlookup(A6,'전적확인_시즌29'!$A$2:$S$100,5,0),0) + iferror(vlookup(A6,'전적확인_시즌30'!$A$2:$S$100,5,0),0)</f>
        <v>54</v>
      </c>
      <c r="U6" s="98">
        <f t="shared" si="6"/>
        <v>59.4</v>
      </c>
      <c r="V6" s="98">
        <f>iferror(vlookup(A6,'전적확인'!$A$2:$S$61,6,0),0)+ iferror(vlookup(A6,'전적확인_베타시즌'!$A$2:$S$100,6,0),0)+iferror(vlookup(A6,'전적확인_시즌1'!$A$2:$S$100,6,0),0)+iferror(vlookup(A6,'전적확인_시즌2'!$A$2:$S$100,6,0),0)+iferror(vlookup(A6,'전적확인_시즌3'!$A$2:$S$100,6,0),0) + iferror(vlookup(A6,'전적확인_시즌4'!$A$2:$S$100,6,0),0) + iferror(vlookup(A6,'전적확인_시즌5'!$A$2:$S$100,6,0),0) + iferror(vlookup(A6,'전적확인_시즌6'!$A$2:$S$100,6,0),0) + iferror(vlookup(A6,'전적확인_시즌7'!$A$2:$S$100,6,0),0) + iferror(vlookup(A6,'전적확인_시즌8'!$A$2:$S$100,6,0),0) + iferror(vlookup(A6,'전적확인_시즌9'!$A$2:$S$100,6,0),0) + iferror(vlookup(A6,'전적확인_시즌10'!$A$2:$S$100,6,0),0) + iferror(vlookup(A6,'전적확인_시즌11'!$A$2:$S$100,6,0),0) + iferror(vlookup(A6,'전적확인_시즌12'!$A$2:$S$100,6,0),0) + iferror(vlookup(A6,'전적확인_시즌13'!$A$2:$S$100,6,0),0) + iferror(vlookup(A6,'전적확인_시즌14'!$A$2:$S$100,6,0),0) + iferror(vlookup(A6,'전적확인_시즌15'!$A$2:$S$100,6,0),0) + iferror(vlookup(A6,'전적확인_시즌16'!$A$2:$S$100,6,0),0) + iferror(vlookup(A6,'전적확인_시즌17'!$A$2:$S$100,6,0),0) + iferror(vlookup(A6,'전적확인_시즌17'!$A$2:$S$100,6,0),0) + iferror(vlookup(A6,'전적확인_시즌18'!$A$2:$S$100,6,0),0) + iferror(vlookup(A6,'전적확인_시즌19'!$A$2:$S$100,6,0),0) + iferror(vlookup(A6,'전적확인_시즌20'!$A$2:$S$100,6,0),0) + iferror(vlookup(A6,'전적확인_시즌21'!$A$2:$S$100,6,0),0) + iferror(vlookup(A6,'전적확인_시즌22'!$A$2:$S$100,6,0),0) + iferror(vlookup(A6,'전적확인_시즌23'!$A$2:$S$100,6,0),0) + iferror(vlookup(A6,'전적확인_시즌24'!$A$2:$S$100,6,0),0) + iferror(vlookup(A6,'전적확인_시즌25'!$A$2:$S$100,6,0),0) + iferror(vlookup(A6,'전적확인_시즌26'!$A$2:$S$100,6,0),0) + iferror(vlookup(A6,'전적확인_시즌27'!$A$2:$S$100,6,0),0) + iferror(vlookup(A6,'전적확인_시즌28'!$A$2:$S$100,6,0),0) + iferror(vlookup(A6,'전적확인_시즌29'!$A$2:$S$100,6,0),0) + iferror(vlookup(A6,'전적확인_시즌30'!$A$2:$S$100,6,0),0)</f>
        <v>60</v>
      </c>
      <c r="W6" s="98">
        <f> iferror(vlookup(A6,'전적확인'!$A$2:$S$61,7,0),0)+ iferror(vlookup(A6,'전적확인_베타시즌'!$A$2:$S$100,7,0),0)+iferror(vlookup(A6,'전적확인_시즌1'!$A$2:$S$100,7,0),0)+iferror(vlookup(A6,'전적확인_시즌2'!$A$2:$S$100,7,0),0)+iferror(vlookup(A6,'전적확인_시즌3'!$A$2:$S$100,7,0),0) + iferror(vlookup(A6,'전적확인_시즌4'!$A$2:$S$100,7,0),0) + iferror(vlookup(A6,'전적확인_시즌5'!$A$2:$S$100,7,0),0) + iferror(vlookup(A6,'전적확인_시즌6'!$A$2:$S$100,7,0),0) + iferror(vlookup(A6,'전적확인_시즌7'!$A$2:$S$100,7,0),0) + iferror(vlookup(A6,'전적확인_시즌8'!$A$2:$S$100,7,0),0) + iferror(vlookup(A6,'전적확인_시즌9'!$A$2:$S$100,7,0),0) + iferror(vlookup(A6,'전적확인_시즌10'!$A$2:$S$100,7,0),0) + iferror(vlookup(A6,'전적확인_시즌11'!$A$2:$S$100,7,0),0) + iferror(vlookup(A6,'전적확인_시즌12'!$A$2:$S$100,7,0),0) + iferror(vlookup(A6,'전적확인_시즌13'!$A$2:$S$100,7,0),0) + iferror(vlookup(A6,'전적확인_시즌14'!$A$2:$S$100,7,0),0) + iferror(vlookup(A6,'전적확인_시즌15'!$A$2:$S$100,7,0),0) + iferror(vlookup(A6,'전적확인_시즌16'!$A$2:$S$100,7,0),0) + iferror(vlookup(A6,'전적확인_시즌17'!$A$2:$S$100,7,0),0) + iferror(vlookup(A6,'전적확인_시즌17'!$A$2:$S$100,7,0),0) + iferror(vlookup(A6,'전적확인_시즌18'!$A$2:$S$100,7,0),0) + iferror(vlookup(A6,'전적확인_시즌19'!$A$2:$S$100,7,0),0) + iferror(vlookup(A6,'전적확인_시즌20'!$A$2:$S$100,7,0),0) + iferror(vlookup(A6,'전적확인_시즌21'!$A$2:$S$100,7,0),0) + iferror(vlookup(A6,'전적확인_시즌22'!$A$2:$S$100,7,0),0) + iferror(vlookup(A6,'전적확인_시즌23'!$A$2:$S$100,7,0),0) + iferror(vlookup(A6,'전적확인_시즌24'!$A$2:$S$100,7,0),0) + iferror(vlookup(A6,'전적확인_시즌25'!$A$2:$S$100,7,0),0) + iferror(vlookup(A6,'전적확인_시즌26'!$A$2:$S$100,7,0),0) + iferror(vlookup(A6,'전적확인_시즌27'!$A$2:$S$100,7,0),0) + iferror(vlookup(A6,'전적확인_시즌28'!$A$2:$S$100,7,0),0) + iferror(vlookup(A6,'전적확인_시즌29'!$A$2:$S$100,7,0),0) + iferror(vlookup(A6,'전적확인_시즌30'!$A$2:$S$100,7,0),0)</f>
        <v>35</v>
      </c>
      <c r="X6" s="98">
        <f t="shared" si="7"/>
        <v>63.16</v>
      </c>
      <c r="Y6" s="98">
        <f>iferror(vlookup(A6,'전적확인'!$A$2:$S$61,8,0),0) + iferror(vlookup(A6,'전적확인_베타시즌'!$A$2:$S$100,8,0),0)+iferror(vlookup(A6,'전적확인_시즌1'!$A$2:$S$100,8,0),0)+iferror(vlookup(A6,'전적확인_시즌2'!$A$2:$S$100,8,0),0)+iferror(vlookup(A6,'전적확인_시즌3'!$A$2:$S$100,8,0),0) + iferror(vlookup(A6,'전적확인_시즌4'!$A$2:$S$100,8,0),0) + iferror(vlookup(A6,'전적확인_시즌5'!$A$2:$S$100,8,0),0) + iferror(vlookup(A6,'전적확인_시즌6'!$A$2:$S$100,8,0),0) + iferror(vlookup(A6,'전적확인_시즌7'!$A$2:$S$100,8,0),0) + iferror(vlookup(A6,'전적확인_시즌8'!$A$2:$S$100,8,0),0) + iferror(vlookup(A6,'전적확인_시즌9'!$A$2:$S$100,8,0),0) + iferror(vlookup(A6,'전적확인_시즌10'!$A$2:$S$100,8,0),0) + iferror(vlookup(A6,'전적확인_시즌11'!$A$2:$S$100,8,0),0) + iferror(vlookup(A6,'전적확인_시즌12'!$A$2:$S$100,8,0),0) + iferror(vlookup(A6,'전적확인_시즌13'!$A$2:$S$100,8,0),0) + iferror(vlookup(A6,'전적확인_시즌14'!$A$2:$S$100,8,0),0) + iferror(vlookup(A6,'전적확인_시즌15'!$A$2:$S$100,8,0),0) + iferror(vlookup(A6,'전적확인_시즌16'!$A$2:$S$100,8,0),0) + iferror(vlookup(A6,'전적확인_시즌17'!$A$2:$S$100,8,0),0) + iferror(vlookup(A6,'전적확인_시즌17'!$A$2:$S$100,8,0),0) + iferror(vlookup(A6,'전적확인_시즌18'!$A$2:$S$100,8,0),0) + iferror(vlookup(A6,'전적확인_시즌19'!$A$2:$S$100,8,0),0) + iferror(vlookup(A6,'전적확인_시즌20'!$A$2:$S$100,8,0),0) + iferror(vlookup(A6,'전적확인_시즌21'!$A$2:$S$100,8,0),0) + iferror(vlookup(A6,'전적확인_시즌22'!$A$2:$S$100,8,0),0) + iferror(vlookup(A6,'전적확인_시즌23'!$A$2:$S$100,8,0),0) + iferror(vlookup(A6,'전적확인_시즌24'!$A$2:$S$100,8,0),0) + iferror(vlookup(A6,'전적확인_시즌25'!$A$2:$S$100,8,0),0) + iferror(vlookup(A6,'전적확인_시즌26'!$A$2:$S$100,8,0),0) + iferror(vlookup(A6,'전적확인_시즌27'!$A$2:$S$100,8,0),0) + iferror(vlookup(A6,'전적확인_시즌28'!$A$2:$S$100,8,0),0) + iferror(vlookup(A6,'전적확인_시즌29'!$A$2:$S$100,8,0),0) + iferror(vlookup(A6,'전적확인_시즌30'!$A$2:$S$100,8,0),0)</f>
        <v>74</v>
      </c>
      <c r="Z6" s="98">
        <f>iferror(vlookup(A6,'전적확인'!$A$2:$S$61,9,0),0) + iferror(vlookup(A6,'전적확인_베타시즌'!$A$2:$S$100,9,0),0)+iferror(vlookup(A6,'전적확인_시즌1'!$A$2:$S$100,9,0),0)+iferror(vlookup(A6,'전적확인_시즌2'!$A$2:$S$100,9,0),0)+iferror(vlookup(A6,'전적확인_시즌3'!$A$2:$S$100,9,0),0) + iferror(vlookup(A6,'전적확인_시즌4'!$A$2:$S$100,9,0),0) + iferror(vlookup(A6,'전적확인_시즌5'!$A$2:$S$100,9,0),0) + iferror(vlookup(A6,'전적확인_시즌6'!$A$2:$S$100,9,0),0) + iferror(vlookup(A6,'전적확인_시즌7'!$A$2:$S$100,9,0),0) + iferror(vlookup(A6,'전적확인_시즌8'!$A$2:$S$100,9,0),0) + iferror(vlookup(A6,'전적확인_시즌9'!$A$2:$S$100,9,0),0) + iferror(vlookup(A6,'전적확인_시즌10'!$A$2:$S$100,9,0),0) + iferror(vlookup(A6,'전적확인_시즌11'!$A$2:$S$100,9,0),0) + iferror(vlookup(A6,'전적확인_시즌12'!$A$2:$S$100,9,0),0) + iferror(vlookup(A6,'전적확인_시즌13'!$A$2:$S$100,9,0),0) + iferror(vlookup(A6,'전적확인_시즌14'!$A$2:$S$100,9,0),0) + iferror(vlookup(A6,'전적확인_시즌15'!$A$2:$S$100,9,0),0) + iferror(vlookup(A6,'전적확인_시즌16'!$A$2:$S$100,9,0),0) + iferror(vlookup(A6,'전적확인_시즌17'!$A$2:$S$100,9,0),0) + iferror(vlookup(A6,'전적확인_시즌17'!$A$2:$S$100,9,0),0) + iferror(vlookup(A6,'전적확인_시즌18'!$A$2:$S$100,9,0),0) + iferror(vlookup(A6,'전적확인_시즌19'!$A$2:$S$100,9,0),0) + iferror(vlookup(A6,'전적확인_시즌20'!$A$2:$S$100,9,0),0) + iferror(vlookup(A6,'전적확인_시즌21'!$A$2:$S$100,9,0),0) + iferror(vlookup(A6,'전적확인_시즌22'!$A$2:$S$100,9,0),0) + iferror(vlookup(A6,'전적확인_시즌23'!$A$2:$S$100,9,0),0) + iferror(vlookup(A6,'전적확인_시즌24'!$A$2:$S$100,9,0),0) + iferror(vlookup(A6,'전적확인_시즌25'!$A$2:$S$100,9,0),0) + iferror(vlookup(A6,'전적확인_시즌26'!$A$2:$S$100,9,0),0) + iferror(vlookup(A6,'전적확인_시즌27'!$A$2:$S$100,9,0),0) + iferror(vlookup(A6,'전적확인_시즌28'!$A$2:$S$100,9,0),0) + iferror(vlookup(A6,'전적확인_시즌29'!$A$2:$S$100,9,0),0) + iferror(vlookup(A6,'전적확인_시즌30'!$A$2:$S$100,9,0),0)</f>
        <v>75</v>
      </c>
      <c r="AA6" s="98">
        <f t="shared" si="8"/>
        <v>49.66</v>
      </c>
      <c r="AB6" s="2"/>
      <c r="AC6" s="2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>
      <c r="A7" s="95" t="s">
        <v>9678</v>
      </c>
      <c r="B7" s="95" t="s">
        <v>9667</v>
      </c>
      <c r="C7" s="95" t="s">
        <v>9667</v>
      </c>
      <c r="D7" s="96" t="s">
        <v>9667</v>
      </c>
      <c r="E7" s="96" t="s">
        <v>9667</v>
      </c>
      <c r="F7" s="3"/>
      <c r="G7" s="3"/>
      <c r="H7" s="98">
        <f t="shared" si="1"/>
        <v>162</v>
      </c>
      <c r="I7" s="98">
        <f>iferror(vlookup(A7,'전적확인'!$A$2:$S$61,10,0),0) + iferror(vlookup(A7,'전적확인_베타시즌'!$A$2:$S$100,10,0),0)+iferror(vlookup(A7,'전적확인_시즌1'!$A$2:$S$100,10,0),0)+iferror(vlookup(A7,'전적확인_시즌2'!$A$2:$S$100,10,0),0)+iferror(vlookup(A7,'전적확인_시즌3'!$A$2:$S$100,10,0),0) + iferror(vlookup(A7,'전적확인_시즌4'!$A$2:$S$100,10,0),0) + iferror(vlookup(A7,'전적확인_시즌5'!$A$2:$S$100,10,0),0) + iferror(vlookup(A7,'전적확인_시즌6'!$A$2:$S$100,10,0),0) + iferror(vlookup(A7,'전적확인_시즌7'!$A$2:$S$100,10,0),0) + iferror(vlookup(A7,'전적확인_시즌8'!$A$2:$S$100,10,0),0) + iferror(vlookup(A7,'전적확인_시즌9'!$A$2:$S$100,10,0),0) + iferror(vlookup(A7,'전적확인_시즌10'!$A$2:$S$100,10,0),0) + iferror(vlookup(A7,'전적확인_시즌11'!$A$2:$S$100,10,0),0) + iferror(vlookup(A7,'전적확인_시즌12'!$A$2:$S$100,10,0),0) + iferror(vlookup(A7,'전적확인_시즌13'!$A$2:$S$100,10,0),0) + iferror(vlookup(A7,'전적확인_시즌14'!$A$2:$S$100,10,0),0) + iferror(vlookup(A7,'전적확인_시즌15'!$A$2:$S$100,10,0),0) + iferror(vlookup(A7,'전적확인_시즌16'!$A$2:$S$100,10,0),0) + iferror(vlookup(A7,'전적확인_시즌17'!$A$2:$S$100,10,0),0) + iferror(vlookup(A7,'전적확인_시즌17'!$A$2:$S$100,10,0),0) + iferror(vlookup(A7,'전적확인_시즌18'!$A$2:$S$100,10,0),0) + iferror(vlookup(A7,'전적확인_시즌19'!$A$2:$S$100,10,0),0) + iferror(vlookup(A7,'전적확인_시즌20'!$A$2:$S$100,10,0),0) + iferror(vlookup(A7,'전적확인_시즌21'!$A$2:$S$100,10,0),0) + iferror(vlookup(A7,'전적확인_시즌22'!$A$2:$S$100,10,0),0) + iferror(vlookup(A7,'전적확인_시즌23'!$A$2:$S$100,10,0),0) + iferror(vlookup(A7,'전적확인_시즌24'!$A$2:$S$100,10,0),0) + iferror(vlookup(A7,'전적확인_시즌25'!$A$2:$S$100,10,0),0) + iferror(vlookup(A7,'전적확인_시즌26'!$A$2:$S$100,10,0),0) + iferror(vlookup(A7,'전적확인_시즌27'!$A$2:$S$100,10,0),0) + iferror(vlookup(A7,'전적확인_시즌28'!$A$2:$S$100,10,0),0) + iferror(vlookup(A7,'전적확인_시즌29'!$A$2:$S$100,10,0),0) + iferror(vlookup(A7,'전적확인_시즌30'!$A$2:$S$100,10,0),0)</f>
        <v>90</v>
      </c>
      <c r="J7" s="98">
        <f>iferror(vlookup(A7,'전적확인'!$A$2:$S$61,11,0),0) + iferror(vlookup(A7,'전적확인_베타시즌'!$A$2:$S$100,11,0),0)+iferror(vlookup(A7,'전적확인_시즌1'!$A$2:$S$100,11,0),0)+iferror(vlookup(A7,'전적확인_시즌2'!$A$2:$S$100,11,0),0)+iferror(vlookup(A7,'전적확인_시즌3'!$A$2:$S$100,11,0),0) + iferror(vlookup(A7,'전적확인_시즌4'!$A$2:$S$100,11,0),0) + iferror(vlookup(A7,'전적확인_시즌5'!$A$2:$S$100,11,0),0) + iferror(vlookup(A7,'전적확인_시즌6'!$A$2:$S$100,11,0),0) + iferror(vlookup(A7,'전적확인_시즌7'!$A$2:$S$100,11,0),0) + iferror(vlookup(A7,'전적확인_시즌8'!$A$2:$S$100,11,0),0) + iferror(vlookup(A7,'전적확인_시즌9'!$A$2:$S$100,11,0),0) + iferror(vlookup(A7,'전적확인_시즌10'!$A$2:$S$100,11,0),0) + iferror(vlookup(A7,'전적확인_시즌11'!$A$2:$S$100,11,0),0) + iferror(vlookup(A7,'전적확인_시즌12'!$A$2:$S$100,11,0),0) + iferror(vlookup(A7,'전적확인_시즌13'!$A$2:$S$100,11,0),0) + iferror(vlookup(A7,'전적확인_시즌14'!$A$2:$S$100,11,0),0) + iferror(vlookup(A7,'전적확인_시즌15'!$A$2:$S$100,11,0),0) + iferror(vlookup(A7,'전적확인_시즌16'!$A$2:$S$100,11,0),0) + iferror(vlookup(A7,'전적확인_시즌17'!$A$2:$S$100,11,0),0) + iferror(vlookup(A7,'전적확인_시즌17'!$A$2:$S$100,11,0),0) + iferror(vlookup(A7,'전적확인_시즌18'!$A$2:$S$100,11,0),0) + iferror(vlookup(A7,'전적확인_시즌19'!$A$2:$S$100,11,0),0) + iferror(vlookup(A7,'전적확인_시즌20'!$A$2:$S$100,11,0),0) + iferror(vlookup(A7,'전적확인_시즌21'!$A$2:$S$100,11,0),0) + iferror(vlookup(A7,'전적확인_시즌22'!$A$2:$S$100,11,0),0) + iferror(vlookup(A7,'전적확인_시즌23'!$A$2:$S$100,11,0),0) + iferror(vlookup(A7,'전적확인_시즌24'!$A$2:$S$100,11,0),0) + iferror(vlookup(A7,'전적확인_시즌25'!$A$2:$S$100,11,0),0) + iferror(vlookup(A7,'전적확인_시즌26'!$A$2:$S$100,11,0),0) + iferror(vlookup(A7,'전적확인_시즌27'!$A$2:$S$100,11,0),0) + iferror(vlookup(A7,'전적확인_시즌28'!$A$2:$S$100,11,0),0) + iferror(vlookup(A7,'전적확인_시즌29'!$A$2:$S$100,11,0),0) + iferror(vlookup(A7,'전적확인_시즌30'!$A$2:$S$100,11,0),0)</f>
        <v>72</v>
      </c>
      <c r="K7" s="98">
        <f t="shared" si="2"/>
        <v>55.56</v>
      </c>
      <c r="L7" s="95">
        <f t="array" ref="L7">iferror(vlookup(A7,INDIRECT('시즌목록'!$H$2 &amp; "!$A$2:$S$100"),10,0),0)</f>
        <v>0</v>
      </c>
      <c r="M7" s="95">
        <f t="array" ref="M7">iferror(vlookup(A7,INDIRECT('시즌목록'!$H$2 &amp; "!$A$2:$S$100"),11,0),0)</f>
        <v>0</v>
      </c>
      <c r="N7" s="98">
        <f t="shared" si="3"/>
        <v>0</v>
      </c>
      <c r="O7" s="95" t="str">
        <f t="shared" si="4"/>
        <v>아이언</v>
      </c>
      <c r="P7" s="98">
        <f>iferror(vlookup(A7,'전적확인'!$A$2:$S$61,2,0),0)+ iferror(vlookup(A7,'전적확인_베타시즌'!$A$2:$S$100,2,0),0)+iferror(vlookup(A7,'전적확인_시즌1'!$A$2:$S$100,2,0),0)+iferror(vlookup(A7,'전적확인_시즌2'!$A$2:$S$100,2,0),0)+iferror(vlookup(A7,'전적확인_시즌3'!$A$2:$S$100,2,0),0) + iferror(vlookup(A7,'전적확인_시즌4'!$A$2:$S$100,2,0),0) + iferror(vlookup(A7,'전적확인_시즌5'!$A$2:$S$100,2,0),0) + iferror(vlookup(A7,'전적확인_시즌6'!$A$2:$S$100,2,0),0) + iferror(vlookup(A7,'전적확인_시즌7'!$A$2:$S$100,2,0),0) + iferror(vlookup(A7,'전적확인_시즌8'!$A$2:$S$100,2,0),0) + iferror(vlookup(A7,'전적확인_시즌9'!$A$2:$S$100,2,0),0) + iferror(vlookup(A7,'전적확인_시즌10'!$A$2:$S$100,2,0),0) + iferror(vlookup(A7,'전적확인_시즌11'!$A$2:$S$100,2,0),0) + iferror(vlookup(A7,'전적확인_시즌12'!$A$2:$S$100,2,0),0) + iferror(vlookup(A7,'전적확인_시즌13'!$A$2:$S$100,2,0),0) + iferror(vlookup(A7,'전적확인_시즌14'!$A$2:$S$100,2,0),0) + iferror(vlookup(A7,'전적확인_시즌15'!$A$2:$S$100,2,0),0) + iferror(vlookup(A7,'전적확인_시즌16'!$A$2:$S$100,2,0),0) + iferror(vlookup(A7,'전적확인_시즌17'!$A$2:$S$100,2,0),0) + iferror(vlookup(A7,'전적확인_시즌17'!$A$2:$S$100,2,0),0) + iferror(vlookup(A7,'전적확인_시즌18'!$A$2:$S$100,2,0),0) + iferror(vlookup(A7,'전적확인_시즌19'!$A$2:$S$100,2,0),0) + iferror(vlookup(A7,'전적확인_시즌20'!$A$2:$S$100,2,0),0) + iferror(vlookup(A7,'전적확인_시즌21'!$A$2:$S$100,2,0),0) + iferror(vlookup(A7,'전적확인_시즌22'!$A$2:$S$100,2,0),0) + iferror(vlookup(A7,'전적확인_시즌23'!$A$2:$S$100,2,0),0) + iferror(vlookup(A7,'전적확인_시즌24'!$A$2:$S$100,2,0),0) + iferror(vlookup(A7,'전적확인_시즌25'!$A$2:$S$100,2,0),0) + iferror(vlookup(A7,'전적확인_시즌26'!$A$2:$S$100,2,0),0) + iferror(vlookup(A7,'전적확인_시즌27'!$A$2:$S$100,2,0),0) + iferror(vlookup(A7,'전적확인_시즌28'!$A$2:$S$100,2,0),0) + iferror(vlookup(A7,'전적확인_시즌29'!$A$2:$S$100,2,0),0) + iferror(vlookup(A7,'전적확인_시즌30'!$A$2:$S$100,2,0),0)</f>
        <v>24</v>
      </c>
      <c r="Q7" s="98">
        <f>iferror(vlookup(A7,'전적확인'!$A$2:$S$61,3,0),0)+ iferror(vlookup(A7,'전적확인_베타시즌'!$A$2:$S$100,3,0),0)+iferror(vlookup(A7,'전적확인_시즌1'!$A$2:$S$100,3,0),0)+iferror(vlookup(A7,'전적확인_시즌2'!$A$2:$S$100,3,0),0)+iferror(vlookup(A7,'전적확인_시즌3'!$A$2:$S$100,3,0),0) + iferror(vlookup(A7,'전적확인_시즌4'!$A$2:$S$100,3,0),0) + iferror(vlookup(A7,'전적확인_시즌5'!$A$2:$S$100,3,0),0) + iferror(vlookup(A7,'전적확인_시즌6'!$A$2:$S$100,3,0),0) + iferror(vlookup(A7,'전적확인_시즌7'!$A$2:$S$100,3,0),0) + iferror(vlookup(A7,'전적확인_시즌8'!$A$2:$S$100,3,0),0) + iferror(vlookup(A7,'전적확인_시즌9'!$A$2:$S$100,3,0),0) + iferror(vlookup(A7,'전적확인_시즌10'!$A$2:$S$100,3,0),0) + iferror(vlookup(A7,'전적확인_시즌11'!$A$2:$S$100,3,0),0) + iferror(vlookup(A7,'전적확인_시즌12'!$A$2:$S$100,3,0),0) + iferror(vlookup(A7,'전적확인_시즌13'!$A$2:$S$100,3,0),0) + iferror(vlookup(A7,'전적확인_시즌14'!$A$2:$S$100,3,0),0) + iferror(vlookup(A7,'전적확인_시즌15'!$A$2:$S$100,3,0),0) + iferror(vlookup(A7,'전적확인_시즌16'!$A$2:$S$100,3,0),0) + iferror(vlookup(A7,'전적확인_시즌17'!$A$2:$S$100,3,0),0) + iferror(vlookup(A7,'전적확인_시즌17'!$A$2:$S$100,3,0),0) + iferror(vlookup(A7,'전적확인_시즌18'!$A$2:$S$100,3,0),0) + iferror(vlookup(A7,'전적확인_시즌19'!$A$2:$S$100,3,0),0) + iferror(vlookup(A7,'전적확인_시즌20'!$A$2:$S$100,3,0),0) + iferror(vlookup(A7,'전적확인_시즌21'!$A$2:$S$100,3,0),0) + iferror(vlookup(A7,'전적확인_시즌22'!$A$2:$S$100,3,0),0) + iferror(vlookup(A7,'전적확인_시즌23'!$A$2:$S$100,3,0),0) + iferror(vlookup(A7,'전적확인_시즌24'!$A$2:$S$100,3,0),0) + iferror(vlookup(A7,'전적확인_시즌25'!$A$2:$S$100,3,0),0) + iferror(vlookup(A7,'전적확인_시즌26'!$A$2:$S$100,3,0),0) + iferror(vlookup(A7,'전적확인_시즌27'!$A$2:$S$100,3,0),0) + iferror(vlookup(A7,'전적확인_시즌28'!$A$2:$S$100,3,0),0) + iferror(vlookup(A7,'전적확인_시즌29'!$A$2:$S$100,3,0),0) + iferror(vlookup(A7,'전적확인_시즌30'!$A$2:$S$100,3,0),0)</f>
        <v>23</v>
      </c>
      <c r="R7" s="98">
        <f t="shared" si="5"/>
        <v>51.06</v>
      </c>
      <c r="S7" s="98">
        <f>iferror(vlookup(A7,'전적확인'!$A$2:$S$61,4,0),0) + iferror(vlookup(A7,'전적확인_베타시즌'!$A$2:$S$100,4,0),0)+iferror(vlookup(A7,'전적확인_시즌1'!$A$2:$S$100,4,0),0)+iferror(vlookup(A7,'전적확인_시즌2'!$A$2:$S$100,4,0),0)+iferror(vlookup(A7,'전적확인_시즌3'!$A$2:$S$100,4,0),0) + iferror(vlookup(A7,'전적확인_시즌4'!$A$2:$S$100,4,0),0) + iferror(vlookup(A7,'전적확인_시즌5'!$A$2:$S$100,4,0),0) + iferror(vlookup(A7,'전적확인_시즌6'!$A$2:$S$100,4,0),0) + iferror(vlookup(A7,'전적확인_시즌7'!$A$2:$S$100,4,0),0) + iferror(vlookup(A7,'전적확인_시즌8'!$A$2:$S$100,4,0),0) + iferror(vlookup(A7,'전적확인_시즌9'!$A$2:$S$100,4,0),0) + iferror(vlookup(A7,'전적확인_시즌10'!$A$2:$S$100,4,0),0) + iferror(vlookup(A7,'전적확인_시즌11'!$A$2:$S$100,4,0),0) + iferror(vlookup(A7,'전적확인_시즌12'!$A$2:$S$100,4,0),0) + iferror(vlookup(A7,'전적확인_시즌13'!$A$2:$S$100,4,0),0) + iferror(vlookup(A7,'전적확인_시즌14'!$A$2:$S$100,4,0),0) + iferror(vlookup(A7,'전적확인_시즌15'!$A$2:$S$100,4,0),0) + iferror(vlookup(A7,'전적확인_시즌16'!$A$2:$S$100,4,0),0) + iferror(vlookup(A7,'전적확인_시즌17'!$A$2:$S$100,4,0),0) + iferror(vlookup(A7,'전적확인_시즌17'!$A$2:$S$100,4,0),0) + iferror(vlookup(A7,'전적확인_시즌18'!$A$2:$S$100,4,0),0) + iferror(vlookup(A7,'전적확인_시즌19'!$A$2:$S$100,4,0),0) + iferror(vlookup(A7,'전적확인_시즌20'!$A$2:$S$100,4,0),0) + iferror(vlookup(A7,'전적확인_시즌21'!$A$2:$S$100,4,0),0) + iferror(vlookup(A7,'전적확인_시즌22'!$A$2:$S$100,4,0),0) + iferror(vlookup(A7,'전적확인_시즌23'!$A$2:$S$100,4,0),0) + iferror(vlookup(A7,'전적확인_시즌24'!$A$2:$S$100,4,0),0) + iferror(vlookup(A7,'전적확인_시즌25'!$A$2:$S$100,4,0),0) + iferror(vlookup(A7,'전적확인_시즌26'!$A$2:$S$100,4,0),0) + iferror(vlookup(A7,'전적확인_시즌27'!$A$2:$S$100,4,0),0) + iferror(vlookup(A7,'전적확인_시즌28'!$A$2:$S$100,4,0),0) + iferror(vlookup(A7,'전적확인_시즌29'!$A$2:$S$100,4,0),0) + iferror(vlookup(A7,'전적확인_시즌30'!$A$2:$S$100,4,0),0)</f>
        <v>0</v>
      </c>
      <c r="T7" s="98">
        <f>iferror(vlookup(A7,'전적확인'!$A$2:$S$61,5,0),0) + iferror(vlookup(A7,'전적확인_베타시즌'!$A$2:$S$100,5,0),0)+iferror(vlookup(A7,'전적확인_시즌1'!$A$2:$S$100,5,0),0)+iferror(vlookup(A7,'전적확인_시즌2'!$A$2:$S$100,5,0),0)+iferror(vlookup(A7,'전적확인_시즌3'!$A$2:$S$100,5,0),0) + iferror(vlookup(A7,'전적확인_시즌4'!$A$2:$S$100,5,0),0) + iferror(vlookup(A7,'전적확인_시즌5'!$A$2:$S$100,5,0),0) + iferror(vlookup(A7,'전적확인_시즌6'!$A$2:$S$100,5,0),0) + iferror(vlookup(A7,'전적확인_시즌7'!$A$2:$S$100,5,0),0) + iferror(vlookup(A7,'전적확인_시즌8'!$A$2:$S$100,5,0),0) + iferror(vlookup(A7,'전적확인_시즌9'!$A$2:$S$100,5,0),0) + iferror(vlookup(A7,'전적확인_시즌10'!$A$2:$S$100,5,0),0) + iferror(vlookup(A7,'전적확인_시즌11'!$A$2:$S$100,5,0),0) + iferror(vlookup(A7,'전적확인_시즌12'!$A$2:$S$100,5,0),0) + iferror(vlookup(A7,'전적확인_시즌13'!$A$2:$S$100,5,0),0) + iferror(vlookup(A7,'전적확인_시즌14'!$A$2:$S$100,5,0),0) + iferror(vlookup(A7,'전적확인_시즌15'!$A$2:$S$100,5,0),0) + iferror(vlookup(A7,'전적확인_시즌16'!$A$2:$S$100,5,0),0) + iferror(vlookup(A7,'전적확인_시즌17'!$A$2:$S$100,5,0),0) + iferror(vlookup(A7,'전적확인_시즌17'!$A$2:$S$100,5,0),0) + iferror(vlookup(A7,'전적확인_시즌18'!$A$2:$S$100,5,0),0) + iferror(vlookup(A7,'전적확인_시즌19'!$A$2:$S$100,5,0),0) + iferror(vlookup(A7,'전적확인_시즌20'!$A$2:$S$100,5,0),0) + iferror(vlookup(A7,'전적확인_시즌21'!$A$2:$S$100,5,0),0) + iferror(vlookup(A7,'전적확인_시즌22'!$A$2:$S$100,5,0),0) + iferror(vlookup(A7,'전적확인_시즌23'!$A$2:$S$100,5,0),0) + iferror(vlookup(A7,'전적확인_시즌24'!$A$2:$S$100,5,0),0) + iferror(vlookup(A7,'전적확인_시즌25'!$A$2:$S$100,5,0),0) + iferror(vlookup(A7,'전적확인_시즌26'!$A$2:$S$100,5,0),0) + iferror(vlookup(A7,'전적확인_시즌27'!$A$2:$S$100,5,0),0) + iferror(vlookup(A7,'전적확인_시즌28'!$A$2:$S$100,5,0),0) + iferror(vlookup(A7,'전적확인_시즌29'!$A$2:$S$100,5,0),0) + iferror(vlookup(A7,'전적확인_시즌30'!$A$2:$S$100,5,0),0)</f>
        <v>0</v>
      </c>
      <c r="U7" s="98">
        <f t="shared" si="6"/>
        <v>0</v>
      </c>
      <c r="V7" s="98">
        <f>iferror(vlookup(A7,'전적확인'!$A$2:$S$61,6,0),0)+ iferror(vlookup(A7,'전적확인_베타시즌'!$A$2:$S$100,6,0),0)+iferror(vlookup(A7,'전적확인_시즌1'!$A$2:$S$100,6,0),0)+iferror(vlookup(A7,'전적확인_시즌2'!$A$2:$S$100,6,0),0)+iferror(vlookup(A7,'전적확인_시즌3'!$A$2:$S$100,6,0),0) + iferror(vlookup(A7,'전적확인_시즌4'!$A$2:$S$100,6,0),0) + iferror(vlookup(A7,'전적확인_시즌5'!$A$2:$S$100,6,0),0) + iferror(vlookup(A7,'전적확인_시즌6'!$A$2:$S$100,6,0),0) + iferror(vlookup(A7,'전적확인_시즌7'!$A$2:$S$100,6,0),0) + iferror(vlookup(A7,'전적확인_시즌8'!$A$2:$S$100,6,0),0) + iferror(vlookup(A7,'전적확인_시즌9'!$A$2:$S$100,6,0),0) + iferror(vlookup(A7,'전적확인_시즌10'!$A$2:$S$100,6,0),0) + iferror(vlookup(A7,'전적확인_시즌11'!$A$2:$S$100,6,0),0) + iferror(vlookup(A7,'전적확인_시즌12'!$A$2:$S$100,6,0),0) + iferror(vlookup(A7,'전적확인_시즌13'!$A$2:$S$100,6,0),0) + iferror(vlookup(A7,'전적확인_시즌14'!$A$2:$S$100,6,0),0) + iferror(vlookup(A7,'전적확인_시즌15'!$A$2:$S$100,6,0),0) + iferror(vlookup(A7,'전적확인_시즌16'!$A$2:$S$100,6,0),0) + iferror(vlookup(A7,'전적확인_시즌17'!$A$2:$S$100,6,0),0) + iferror(vlookup(A7,'전적확인_시즌17'!$A$2:$S$100,6,0),0) + iferror(vlookup(A7,'전적확인_시즌18'!$A$2:$S$100,6,0),0) + iferror(vlookup(A7,'전적확인_시즌19'!$A$2:$S$100,6,0),0) + iferror(vlookup(A7,'전적확인_시즌20'!$A$2:$S$100,6,0),0) + iferror(vlookup(A7,'전적확인_시즌21'!$A$2:$S$100,6,0),0) + iferror(vlookup(A7,'전적확인_시즌22'!$A$2:$S$100,6,0),0) + iferror(vlookup(A7,'전적확인_시즌23'!$A$2:$S$100,6,0),0) + iferror(vlookup(A7,'전적확인_시즌24'!$A$2:$S$100,6,0),0) + iferror(vlookup(A7,'전적확인_시즌25'!$A$2:$S$100,6,0),0) + iferror(vlookup(A7,'전적확인_시즌26'!$A$2:$S$100,6,0),0) + iferror(vlookup(A7,'전적확인_시즌27'!$A$2:$S$100,6,0),0) + iferror(vlookup(A7,'전적확인_시즌28'!$A$2:$S$100,6,0),0) + iferror(vlookup(A7,'전적확인_시즌29'!$A$2:$S$100,6,0),0) + iferror(vlookup(A7,'전적확인_시즌30'!$A$2:$S$100,6,0),0)</f>
        <v>21</v>
      </c>
      <c r="W7" s="98">
        <f> iferror(vlookup(A7,'전적확인'!$A$2:$S$61,7,0),0)+ iferror(vlookup(A7,'전적확인_베타시즌'!$A$2:$S$100,7,0),0)+iferror(vlookup(A7,'전적확인_시즌1'!$A$2:$S$100,7,0),0)+iferror(vlookup(A7,'전적확인_시즌2'!$A$2:$S$100,7,0),0)+iferror(vlookup(A7,'전적확인_시즌3'!$A$2:$S$100,7,0),0) + iferror(vlookup(A7,'전적확인_시즌4'!$A$2:$S$100,7,0),0) + iferror(vlookup(A7,'전적확인_시즌5'!$A$2:$S$100,7,0),0) + iferror(vlookup(A7,'전적확인_시즌6'!$A$2:$S$100,7,0),0) + iferror(vlookup(A7,'전적확인_시즌7'!$A$2:$S$100,7,0),0) + iferror(vlookup(A7,'전적확인_시즌8'!$A$2:$S$100,7,0),0) + iferror(vlookup(A7,'전적확인_시즌9'!$A$2:$S$100,7,0),0) + iferror(vlookup(A7,'전적확인_시즌10'!$A$2:$S$100,7,0),0) + iferror(vlookup(A7,'전적확인_시즌11'!$A$2:$S$100,7,0),0) + iferror(vlookup(A7,'전적확인_시즌12'!$A$2:$S$100,7,0),0) + iferror(vlookup(A7,'전적확인_시즌13'!$A$2:$S$100,7,0),0) + iferror(vlookup(A7,'전적확인_시즌14'!$A$2:$S$100,7,0),0) + iferror(vlookup(A7,'전적확인_시즌15'!$A$2:$S$100,7,0),0) + iferror(vlookup(A7,'전적확인_시즌16'!$A$2:$S$100,7,0),0) + iferror(vlookup(A7,'전적확인_시즌17'!$A$2:$S$100,7,0),0) + iferror(vlookup(A7,'전적확인_시즌17'!$A$2:$S$100,7,0),0) + iferror(vlookup(A7,'전적확인_시즌18'!$A$2:$S$100,7,0),0) + iferror(vlookup(A7,'전적확인_시즌19'!$A$2:$S$100,7,0),0) + iferror(vlookup(A7,'전적확인_시즌20'!$A$2:$S$100,7,0),0) + iferror(vlookup(A7,'전적확인_시즌21'!$A$2:$S$100,7,0),0) + iferror(vlookup(A7,'전적확인_시즌22'!$A$2:$S$100,7,0),0) + iferror(vlookup(A7,'전적확인_시즌23'!$A$2:$S$100,7,0),0) + iferror(vlookup(A7,'전적확인_시즌24'!$A$2:$S$100,7,0),0) + iferror(vlookup(A7,'전적확인_시즌25'!$A$2:$S$100,7,0),0) + iferror(vlookup(A7,'전적확인_시즌26'!$A$2:$S$100,7,0),0) + iferror(vlookup(A7,'전적확인_시즌27'!$A$2:$S$100,7,0),0) + iferror(vlookup(A7,'전적확인_시즌28'!$A$2:$S$100,7,0),0) + iferror(vlookup(A7,'전적확인_시즌29'!$A$2:$S$100,7,0),0) + iferror(vlookup(A7,'전적확인_시즌30'!$A$2:$S$100,7,0),0)</f>
        <v>16</v>
      </c>
      <c r="X7" s="98">
        <f t="shared" si="7"/>
        <v>56.76</v>
      </c>
      <c r="Y7" s="98">
        <f>iferror(vlookup(A7,'전적확인'!$A$2:$S$61,8,0),0) + iferror(vlookup(A7,'전적확인_베타시즌'!$A$2:$S$100,8,0),0)+iferror(vlookup(A7,'전적확인_시즌1'!$A$2:$S$100,8,0),0)+iferror(vlookup(A7,'전적확인_시즌2'!$A$2:$S$100,8,0),0)+iferror(vlookup(A7,'전적확인_시즌3'!$A$2:$S$100,8,0),0) + iferror(vlookup(A7,'전적확인_시즌4'!$A$2:$S$100,8,0),0) + iferror(vlookup(A7,'전적확인_시즌5'!$A$2:$S$100,8,0),0) + iferror(vlookup(A7,'전적확인_시즌6'!$A$2:$S$100,8,0),0) + iferror(vlookup(A7,'전적확인_시즌7'!$A$2:$S$100,8,0),0) + iferror(vlookup(A7,'전적확인_시즌8'!$A$2:$S$100,8,0),0) + iferror(vlookup(A7,'전적확인_시즌9'!$A$2:$S$100,8,0),0) + iferror(vlookup(A7,'전적확인_시즌10'!$A$2:$S$100,8,0),0) + iferror(vlookup(A7,'전적확인_시즌11'!$A$2:$S$100,8,0),0) + iferror(vlookup(A7,'전적확인_시즌12'!$A$2:$S$100,8,0),0) + iferror(vlookup(A7,'전적확인_시즌13'!$A$2:$S$100,8,0),0) + iferror(vlookup(A7,'전적확인_시즌14'!$A$2:$S$100,8,0),0) + iferror(vlookup(A7,'전적확인_시즌15'!$A$2:$S$100,8,0),0) + iferror(vlookup(A7,'전적확인_시즌16'!$A$2:$S$100,8,0),0) + iferror(vlookup(A7,'전적확인_시즌17'!$A$2:$S$100,8,0),0) + iferror(vlookup(A7,'전적확인_시즌17'!$A$2:$S$100,8,0),0) + iferror(vlookup(A7,'전적확인_시즌18'!$A$2:$S$100,8,0),0) + iferror(vlookup(A7,'전적확인_시즌19'!$A$2:$S$100,8,0),0) + iferror(vlookup(A7,'전적확인_시즌20'!$A$2:$S$100,8,0),0) + iferror(vlookup(A7,'전적확인_시즌21'!$A$2:$S$100,8,0),0) + iferror(vlookup(A7,'전적확인_시즌22'!$A$2:$S$100,8,0),0) + iferror(vlookup(A7,'전적확인_시즌23'!$A$2:$S$100,8,0),0) + iferror(vlookup(A7,'전적확인_시즌24'!$A$2:$S$100,8,0),0) + iferror(vlookup(A7,'전적확인_시즌25'!$A$2:$S$100,8,0),0) + iferror(vlookup(A7,'전적확인_시즌26'!$A$2:$S$100,8,0),0) + iferror(vlookup(A7,'전적확인_시즌27'!$A$2:$S$100,8,0),0) + iferror(vlookup(A7,'전적확인_시즌28'!$A$2:$S$100,8,0),0) + iferror(vlookup(A7,'전적확인_시즌29'!$A$2:$S$100,8,0),0) + iferror(vlookup(A7,'전적확인_시즌30'!$A$2:$S$100,8,0),0)</f>
        <v>45</v>
      </c>
      <c r="Z7" s="98">
        <f>iferror(vlookup(A7,'전적확인'!$A$2:$S$61,9,0),0) + iferror(vlookup(A7,'전적확인_베타시즌'!$A$2:$S$100,9,0),0)+iferror(vlookup(A7,'전적확인_시즌1'!$A$2:$S$100,9,0),0)+iferror(vlookup(A7,'전적확인_시즌2'!$A$2:$S$100,9,0),0)+iferror(vlookup(A7,'전적확인_시즌3'!$A$2:$S$100,9,0),0) + iferror(vlookup(A7,'전적확인_시즌4'!$A$2:$S$100,9,0),0) + iferror(vlookup(A7,'전적확인_시즌5'!$A$2:$S$100,9,0),0) + iferror(vlookup(A7,'전적확인_시즌6'!$A$2:$S$100,9,0),0) + iferror(vlookup(A7,'전적확인_시즌7'!$A$2:$S$100,9,0),0) + iferror(vlookup(A7,'전적확인_시즌8'!$A$2:$S$100,9,0),0) + iferror(vlookup(A7,'전적확인_시즌9'!$A$2:$S$100,9,0),0) + iferror(vlookup(A7,'전적확인_시즌10'!$A$2:$S$100,9,0),0) + iferror(vlookup(A7,'전적확인_시즌11'!$A$2:$S$100,9,0),0) + iferror(vlookup(A7,'전적확인_시즌12'!$A$2:$S$100,9,0),0) + iferror(vlookup(A7,'전적확인_시즌13'!$A$2:$S$100,9,0),0) + iferror(vlookup(A7,'전적확인_시즌14'!$A$2:$S$100,9,0),0) + iferror(vlookup(A7,'전적확인_시즌15'!$A$2:$S$100,9,0),0) + iferror(vlookup(A7,'전적확인_시즌16'!$A$2:$S$100,9,0),0) + iferror(vlookup(A7,'전적확인_시즌17'!$A$2:$S$100,9,0),0) + iferror(vlookup(A7,'전적확인_시즌17'!$A$2:$S$100,9,0),0) + iferror(vlookup(A7,'전적확인_시즌18'!$A$2:$S$100,9,0),0) + iferror(vlookup(A7,'전적확인_시즌19'!$A$2:$S$100,9,0),0) + iferror(vlookup(A7,'전적확인_시즌20'!$A$2:$S$100,9,0),0) + iferror(vlookup(A7,'전적확인_시즌21'!$A$2:$S$100,9,0),0) + iferror(vlookup(A7,'전적확인_시즌22'!$A$2:$S$100,9,0),0) + iferror(vlookup(A7,'전적확인_시즌23'!$A$2:$S$100,9,0),0) + iferror(vlookup(A7,'전적확인_시즌24'!$A$2:$S$100,9,0),0) + iferror(vlookup(A7,'전적확인_시즌25'!$A$2:$S$100,9,0),0) + iferror(vlookup(A7,'전적확인_시즌26'!$A$2:$S$100,9,0),0) + iferror(vlookup(A7,'전적확인_시즌27'!$A$2:$S$100,9,0),0) + iferror(vlookup(A7,'전적확인_시즌28'!$A$2:$S$100,9,0),0) + iferror(vlookup(A7,'전적확인_시즌29'!$A$2:$S$100,9,0),0) + iferror(vlookup(A7,'전적확인_시즌30'!$A$2:$S$100,9,0),0)</f>
        <v>33</v>
      </c>
      <c r="AA7" s="98">
        <f t="shared" si="8"/>
        <v>57.69</v>
      </c>
      <c r="AB7" s="2"/>
      <c r="AC7" s="2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ht="15.75" customHeight="1">
      <c r="A8" s="95" t="s">
        <v>9609</v>
      </c>
      <c r="B8" s="95" t="s">
        <v>9667</v>
      </c>
      <c r="C8" s="95" t="s">
        <v>9667</v>
      </c>
      <c r="D8" s="95" t="s">
        <v>9667</v>
      </c>
      <c r="E8" s="95" t="s">
        <v>9667</v>
      </c>
      <c r="F8" s="3"/>
      <c r="G8" s="3"/>
      <c r="H8" s="98">
        <f t="shared" si="1"/>
        <v>215</v>
      </c>
      <c r="I8" s="98">
        <f>iferror(vlookup(A8,'전적확인'!$A$2:$S$61,10,0),0) + iferror(vlookup(A8,'전적확인_베타시즌'!$A$2:$S$100,10,0),0)+iferror(vlookup(A8,'전적확인_시즌1'!$A$2:$S$100,10,0),0)+iferror(vlookup(A8,'전적확인_시즌2'!$A$2:$S$100,10,0),0)+iferror(vlookup(A8,'전적확인_시즌3'!$A$2:$S$100,10,0),0) + iferror(vlookup(A8,'전적확인_시즌4'!$A$2:$S$100,10,0),0) + iferror(vlookup(A8,'전적확인_시즌5'!$A$2:$S$100,10,0),0) + iferror(vlookup(A8,'전적확인_시즌6'!$A$2:$S$100,10,0),0) + iferror(vlookup(A8,'전적확인_시즌7'!$A$2:$S$100,10,0),0) + iferror(vlookup(A8,'전적확인_시즌8'!$A$2:$S$100,10,0),0) + iferror(vlookup(A8,'전적확인_시즌9'!$A$2:$S$100,10,0),0) + iferror(vlookup(A8,'전적확인_시즌10'!$A$2:$S$100,10,0),0) + iferror(vlookup(A8,'전적확인_시즌11'!$A$2:$S$100,10,0),0) + iferror(vlookup(A8,'전적확인_시즌12'!$A$2:$S$100,10,0),0) + iferror(vlookup(A8,'전적확인_시즌13'!$A$2:$S$100,10,0),0) + iferror(vlookup(A8,'전적확인_시즌14'!$A$2:$S$100,10,0),0) + iferror(vlookup(A8,'전적확인_시즌15'!$A$2:$S$100,10,0),0) + iferror(vlookup(A8,'전적확인_시즌16'!$A$2:$S$100,10,0),0) + iferror(vlookup(A8,'전적확인_시즌17'!$A$2:$S$100,10,0),0) + iferror(vlookup(A8,'전적확인_시즌17'!$A$2:$S$100,10,0),0) + iferror(vlookup(A8,'전적확인_시즌18'!$A$2:$S$100,10,0),0) + iferror(vlookup(A8,'전적확인_시즌19'!$A$2:$S$100,10,0),0) + iferror(vlookup(A8,'전적확인_시즌20'!$A$2:$S$100,10,0),0) + iferror(vlookup(A8,'전적확인_시즌21'!$A$2:$S$100,10,0),0) + iferror(vlookup(A8,'전적확인_시즌22'!$A$2:$S$100,10,0),0) + iferror(vlookup(A8,'전적확인_시즌23'!$A$2:$S$100,10,0),0) + iferror(vlookup(A8,'전적확인_시즌24'!$A$2:$S$100,10,0),0) + iferror(vlookup(A8,'전적확인_시즌25'!$A$2:$S$100,10,0),0) + iferror(vlookup(A8,'전적확인_시즌26'!$A$2:$S$100,10,0),0) + iferror(vlookup(A8,'전적확인_시즌27'!$A$2:$S$100,10,0),0) + iferror(vlookup(A8,'전적확인_시즌28'!$A$2:$S$100,10,0),0) + iferror(vlookup(A8,'전적확인_시즌29'!$A$2:$S$100,10,0),0) + iferror(vlookup(A8,'전적확인_시즌30'!$A$2:$S$100,10,0),0)</f>
        <v>118</v>
      </c>
      <c r="J8" s="98">
        <f>iferror(vlookup(A8,'전적확인'!$A$2:$S$61,11,0),0) + iferror(vlookup(A8,'전적확인_베타시즌'!$A$2:$S$100,11,0),0)+iferror(vlookup(A8,'전적확인_시즌1'!$A$2:$S$100,11,0),0)+iferror(vlookup(A8,'전적확인_시즌2'!$A$2:$S$100,11,0),0)+iferror(vlookup(A8,'전적확인_시즌3'!$A$2:$S$100,11,0),0) + iferror(vlookup(A8,'전적확인_시즌4'!$A$2:$S$100,11,0),0) + iferror(vlookup(A8,'전적확인_시즌5'!$A$2:$S$100,11,0),0) + iferror(vlookup(A8,'전적확인_시즌6'!$A$2:$S$100,11,0),0) + iferror(vlookup(A8,'전적확인_시즌7'!$A$2:$S$100,11,0),0) + iferror(vlookup(A8,'전적확인_시즌8'!$A$2:$S$100,11,0),0) + iferror(vlookup(A8,'전적확인_시즌9'!$A$2:$S$100,11,0),0) + iferror(vlookup(A8,'전적확인_시즌10'!$A$2:$S$100,11,0),0) + iferror(vlookup(A8,'전적확인_시즌11'!$A$2:$S$100,11,0),0) + iferror(vlookup(A8,'전적확인_시즌12'!$A$2:$S$100,11,0),0) + iferror(vlookup(A8,'전적확인_시즌13'!$A$2:$S$100,11,0),0) + iferror(vlookup(A8,'전적확인_시즌14'!$A$2:$S$100,11,0),0) + iferror(vlookup(A8,'전적확인_시즌15'!$A$2:$S$100,11,0),0) + iferror(vlookup(A8,'전적확인_시즌16'!$A$2:$S$100,11,0),0) + iferror(vlookup(A8,'전적확인_시즌17'!$A$2:$S$100,11,0),0) + iferror(vlookup(A8,'전적확인_시즌17'!$A$2:$S$100,11,0),0) + iferror(vlookup(A8,'전적확인_시즌18'!$A$2:$S$100,11,0),0) + iferror(vlookup(A8,'전적확인_시즌19'!$A$2:$S$100,11,0),0) + iferror(vlookup(A8,'전적확인_시즌20'!$A$2:$S$100,11,0),0) + iferror(vlookup(A8,'전적확인_시즌21'!$A$2:$S$100,11,0),0) + iferror(vlookup(A8,'전적확인_시즌22'!$A$2:$S$100,11,0),0) + iferror(vlookup(A8,'전적확인_시즌23'!$A$2:$S$100,11,0),0) + iferror(vlookup(A8,'전적확인_시즌24'!$A$2:$S$100,11,0),0) + iferror(vlookup(A8,'전적확인_시즌25'!$A$2:$S$100,11,0),0) + iferror(vlookup(A8,'전적확인_시즌26'!$A$2:$S$100,11,0),0) + iferror(vlookup(A8,'전적확인_시즌27'!$A$2:$S$100,11,0),0) + iferror(vlookup(A8,'전적확인_시즌28'!$A$2:$S$100,11,0),0) + iferror(vlookup(A8,'전적확인_시즌29'!$A$2:$S$100,11,0),0) + iferror(vlookup(A8,'전적확인_시즌30'!$A$2:$S$100,11,0),0)</f>
        <v>97</v>
      </c>
      <c r="K8" s="98">
        <f t="shared" si="2"/>
        <v>54.88</v>
      </c>
      <c r="L8" s="95">
        <f t="array" ref="L8">iferror(vlookup(A8,INDIRECT('시즌목록'!$H$2 &amp; "!$A$2:$S$100"),10,0),0)</f>
        <v>0</v>
      </c>
      <c r="M8" s="95">
        <f t="array" ref="M8">iferror(vlookup(A8,INDIRECT('시즌목록'!$H$2 &amp; "!$A$2:$S$100"),11,0),0)</f>
        <v>0</v>
      </c>
      <c r="N8" s="98">
        <f t="shared" si="3"/>
        <v>0</v>
      </c>
      <c r="O8" s="95" t="str">
        <f t="shared" si="4"/>
        <v>아이언</v>
      </c>
      <c r="P8" s="98">
        <f>iferror(vlookup(A8,'전적확인'!$A$2:$S$61,2,0),0)+ iferror(vlookup(A8,'전적확인_베타시즌'!$A$2:$S$100,2,0),0)+iferror(vlookup(A8,'전적확인_시즌1'!$A$2:$S$100,2,0),0)+iferror(vlookup(A8,'전적확인_시즌2'!$A$2:$S$100,2,0),0)+iferror(vlookup(A8,'전적확인_시즌3'!$A$2:$S$100,2,0),0) + iferror(vlookup(A8,'전적확인_시즌4'!$A$2:$S$100,2,0),0) + iferror(vlookup(A8,'전적확인_시즌5'!$A$2:$S$100,2,0),0) + iferror(vlookup(A8,'전적확인_시즌6'!$A$2:$S$100,2,0),0) + iferror(vlookup(A8,'전적확인_시즌7'!$A$2:$S$100,2,0),0) + iferror(vlookup(A8,'전적확인_시즌8'!$A$2:$S$100,2,0),0) + iferror(vlookup(A8,'전적확인_시즌9'!$A$2:$S$100,2,0),0) + iferror(vlookup(A8,'전적확인_시즌10'!$A$2:$S$100,2,0),0) + iferror(vlookup(A8,'전적확인_시즌11'!$A$2:$S$100,2,0),0) + iferror(vlookup(A8,'전적확인_시즌12'!$A$2:$S$100,2,0),0) + iferror(vlookup(A8,'전적확인_시즌13'!$A$2:$S$100,2,0),0) + iferror(vlookup(A8,'전적확인_시즌14'!$A$2:$S$100,2,0),0) + iferror(vlookup(A8,'전적확인_시즌15'!$A$2:$S$100,2,0),0) + iferror(vlookup(A8,'전적확인_시즌16'!$A$2:$S$100,2,0),0) + iferror(vlookup(A8,'전적확인_시즌17'!$A$2:$S$100,2,0),0) + iferror(vlookup(A8,'전적확인_시즌17'!$A$2:$S$100,2,0),0) + iferror(vlookup(A8,'전적확인_시즌18'!$A$2:$S$100,2,0),0) + iferror(vlookup(A8,'전적확인_시즌19'!$A$2:$S$100,2,0),0) + iferror(vlookup(A8,'전적확인_시즌20'!$A$2:$S$100,2,0),0) + iferror(vlookup(A8,'전적확인_시즌21'!$A$2:$S$100,2,0),0) + iferror(vlookup(A8,'전적확인_시즌22'!$A$2:$S$100,2,0),0) + iferror(vlookup(A8,'전적확인_시즌23'!$A$2:$S$100,2,0),0) + iferror(vlookup(A8,'전적확인_시즌24'!$A$2:$S$100,2,0),0) + iferror(vlookup(A8,'전적확인_시즌25'!$A$2:$S$100,2,0),0) + iferror(vlookup(A8,'전적확인_시즌26'!$A$2:$S$100,2,0),0) + iferror(vlookup(A8,'전적확인_시즌27'!$A$2:$S$100,2,0),0) + iferror(vlookup(A8,'전적확인_시즌28'!$A$2:$S$100,2,0),0) + iferror(vlookup(A8,'전적확인_시즌29'!$A$2:$S$100,2,0),0) + iferror(vlookup(A8,'전적확인_시즌30'!$A$2:$S$100,2,0),0)</f>
        <v>44</v>
      </c>
      <c r="Q8" s="98">
        <f>iferror(vlookup(A8,'전적확인'!$A$2:$S$61,3,0),0)+ iferror(vlookup(A8,'전적확인_베타시즌'!$A$2:$S$100,3,0),0)+iferror(vlookup(A8,'전적확인_시즌1'!$A$2:$S$100,3,0),0)+iferror(vlookup(A8,'전적확인_시즌2'!$A$2:$S$100,3,0),0)+iferror(vlookup(A8,'전적확인_시즌3'!$A$2:$S$100,3,0),0) + iferror(vlookup(A8,'전적확인_시즌4'!$A$2:$S$100,3,0),0) + iferror(vlookup(A8,'전적확인_시즌5'!$A$2:$S$100,3,0),0) + iferror(vlookup(A8,'전적확인_시즌6'!$A$2:$S$100,3,0),0) + iferror(vlookup(A8,'전적확인_시즌7'!$A$2:$S$100,3,0),0) + iferror(vlookup(A8,'전적확인_시즌8'!$A$2:$S$100,3,0),0) + iferror(vlookup(A8,'전적확인_시즌9'!$A$2:$S$100,3,0),0) + iferror(vlookup(A8,'전적확인_시즌10'!$A$2:$S$100,3,0),0) + iferror(vlookup(A8,'전적확인_시즌11'!$A$2:$S$100,3,0),0) + iferror(vlookup(A8,'전적확인_시즌12'!$A$2:$S$100,3,0),0) + iferror(vlookup(A8,'전적확인_시즌13'!$A$2:$S$100,3,0),0) + iferror(vlookup(A8,'전적확인_시즌14'!$A$2:$S$100,3,0),0) + iferror(vlookup(A8,'전적확인_시즌15'!$A$2:$S$100,3,0),0) + iferror(vlookup(A8,'전적확인_시즌16'!$A$2:$S$100,3,0),0) + iferror(vlookup(A8,'전적확인_시즌17'!$A$2:$S$100,3,0),0) + iferror(vlookup(A8,'전적확인_시즌17'!$A$2:$S$100,3,0),0) + iferror(vlookup(A8,'전적확인_시즌18'!$A$2:$S$100,3,0),0) + iferror(vlookup(A8,'전적확인_시즌19'!$A$2:$S$100,3,0),0) + iferror(vlookup(A8,'전적확인_시즌20'!$A$2:$S$100,3,0),0) + iferror(vlookup(A8,'전적확인_시즌21'!$A$2:$S$100,3,0),0) + iferror(vlookup(A8,'전적확인_시즌22'!$A$2:$S$100,3,0),0) + iferror(vlookup(A8,'전적확인_시즌23'!$A$2:$S$100,3,0),0) + iferror(vlookup(A8,'전적확인_시즌24'!$A$2:$S$100,3,0),0) + iferror(vlookup(A8,'전적확인_시즌25'!$A$2:$S$100,3,0),0) + iferror(vlookup(A8,'전적확인_시즌26'!$A$2:$S$100,3,0),0) + iferror(vlookup(A8,'전적확인_시즌27'!$A$2:$S$100,3,0),0) + iferror(vlookup(A8,'전적확인_시즌28'!$A$2:$S$100,3,0),0) + iferror(vlookup(A8,'전적확인_시즌29'!$A$2:$S$100,3,0),0) + iferror(vlookup(A8,'전적확인_시즌30'!$A$2:$S$100,3,0),0)</f>
        <v>18</v>
      </c>
      <c r="R8" s="98">
        <f t="shared" si="5"/>
        <v>70.97</v>
      </c>
      <c r="S8" s="98">
        <f>iferror(vlookup(A8,'전적확인'!$A$2:$S$61,4,0),0) + iferror(vlookup(A8,'전적확인_베타시즌'!$A$2:$S$100,4,0),0)+iferror(vlookup(A8,'전적확인_시즌1'!$A$2:$S$100,4,0),0)+iferror(vlookup(A8,'전적확인_시즌2'!$A$2:$S$100,4,0),0)+iferror(vlookup(A8,'전적확인_시즌3'!$A$2:$S$100,4,0),0) + iferror(vlookup(A8,'전적확인_시즌4'!$A$2:$S$100,4,0),0) + iferror(vlookup(A8,'전적확인_시즌5'!$A$2:$S$100,4,0),0) + iferror(vlookup(A8,'전적확인_시즌6'!$A$2:$S$100,4,0),0) + iferror(vlookup(A8,'전적확인_시즌7'!$A$2:$S$100,4,0),0) + iferror(vlookup(A8,'전적확인_시즌8'!$A$2:$S$100,4,0),0) + iferror(vlookup(A8,'전적확인_시즌9'!$A$2:$S$100,4,0),0) + iferror(vlookup(A8,'전적확인_시즌10'!$A$2:$S$100,4,0),0) + iferror(vlookup(A8,'전적확인_시즌11'!$A$2:$S$100,4,0),0) + iferror(vlookup(A8,'전적확인_시즌12'!$A$2:$S$100,4,0),0) + iferror(vlookup(A8,'전적확인_시즌13'!$A$2:$S$100,4,0),0) + iferror(vlookup(A8,'전적확인_시즌14'!$A$2:$S$100,4,0),0) + iferror(vlookup(A8,'전적확인_시즌15'!$A$2:$S$100,4,0),0) + iferror(vlookup(A8,'전적확인_시즌16'!$A$2:$S$100,4,0),0) + iferror(vlookup(A8,'전적확인_시즌17'!$A$2:$S$100,4,0),0) + iferror(vlookup(A8,'전적확인_시즌17'!$A$2:$S$100,4,0),0) + iferror(vlookup(A8,'전적확인_시즌18'!$A$2:$S$100,4,0),0) + iferror(vlookup(A8,'전적확인_시즌19'!$A$2:$S$100,4,0),0) + iferror(vlookup(A8,'전적확인_시즌20'!$A$2:$S$100,4,0),0) + iferror(vlookup(A8,'전적확인_시즌21'!$A$2:$S$100,4,0),0) + iferror(vlookup(A8,'전적확인_시즌22'!$A$2:$S$100,4,0),0) + iferror(vlookup(A8,'전적확인_시즌23'!$A$2:$S$100,4,0),0) + iferror(vlookup(A8,'전적확인_시즌24'!$A$2:$S$100,4,0),0) + iferror(vlookup(A8,'전적확인_시즌25'!$A$2:$S$100,4,0),0) + iferror(vlookup(A8,'전적확인_시즌26'!$A$2:$S$100,4,0),0) + iferror(vlookup(A8,'전적확인_시즌27'!$A$2:$S$100,4,0),0) + iferror(vlookup(A8,'전적확인_시즌28'!$A$2:$S$100,4,0),0) + iferror(vlookup(A8,'전적확인_시즌29'!$A$2:$S$100,4,0),0) + iferror(vlookup(A8,'전적확인_시즌30'!$A$2:$S$100,4,0),0)</f>
        <v>3</v>
      </c>
      <c r="T8" s="98">
        <f>iferror(vlookup(A8,'전적확인'!$A$2:$S$61,5,0),0) + iferror(vlookup(A8,'전적확인_베타시즌'!$A$2:$S$100,5,0),0)+iferror(vlookup(A8,'전적확인_시즌1'!$A$2:$S$100,5,0),0)+iferror(vlookup(A8,'전적확인_시즌2'!$A$2:$S$100,5,0),0)+iferror(vlookup(A8,'전적확인_시즌3'!$A$2:$S$100,5,0),0) + iferror(vlookup(A8,'전적확인_시즌4'!$A$2:$S$100,5,0),0) + iferror(vlookup(A8,'전적확인_시즌5'!$A$2:$S$100,5,0),0) + iferror(vlookup(A8,'전적확인_시즌6'!$A$2:$S$100,5,0),0) + iferror(vlookup(A8,'전적확인_시즌7'!$A$2:$S$100,5,0),0) + iferror(vlookup(A8,'전적확인_시즌8'!$A$2:$S$100,5,0),0) + iferror(vlookup(A8,'전적확인_시즌9'!$A$2:$S$100,5,0),0) + iferror(vlookup(A8,'전적확인_시즌10'!$A$2:$S$100,5,0),0) + iferror(vlookup(A8,'전적확인_시즌11'!$A$2:$S$100,5,0),0) + iferror(vlookup(A8,'전적확인_시즌12'!$A$2:$S$100,5,0),0) + iferror(vlookup(A8,'전적확인_시즌13'!$A$2:$S$100,5,0),0) + iferror(vlookup(A8,'전적확인_시즌14'!$A$2:$S$100,5,0),0) + iferror(vlookup(A8,'전적확인_시즌15'!$A$2:$S$100,5,0),0) + iferror(vlookup(A8,'전적확인_시즌16'!$A$2:$S$100,5,0),0) + iferror(vlookup(A8,'전적확인_시즌17'!$A$2:$S$100,5,0),0) + iferror(vlookup(A8,'전적확인_시즌17'!$A$2:$S$100,5,0),0) + iferror(vlookup(A8,'전적확인_시즌18'!$A$2:$S$100,5,0),0) + iferror(vlookup(A8,'전적확인_시즌19'!$A$2:$S$100,5,0),0) + iferror(vlookup(A8,'전적확인_시즌20'!$A$2:$S$100,5,0),0) + iferror(vlookup(A8,'전적확인_시즌21'!$A$2:$S$100,5,0),0) + iferror(vlookup(A8,'전적확인_시즌22'!$A$2:$S$100,5,0),0) + iferror(vlookup(A8,'전적확인_시즌23'!$A$2:$S$100,5,0),0) + iferror(vlookup(A8,'전적확인_시즌24'!$A$2:$S$100,5,0),0) + iferror(vlookup(A8,'전적확인_시즌25'!$A$2:$S$100,5,0),0) + iferror(vlookup(A8,'전적확인_시즌26'!$A$2:$S$100,5,0),0) + iferror(vlookup(A8,'전적확인_시즌27'!$A$2:$S$100,5,0),0) + iferror(vlookup(A8,'전적확인_시즌28'!$A$2:$S$100,5,0),0) + iferror(vlookup(A8,'전적확인_시즌29'!$A$2:$S$100,5,0),0) + iferror(vlookup(A8,'전적확인_시즌30'!$A$2:$S$100,5,0),0)</f>
        <v>7</v>
      </c>
      <c r="U8" s="98">
        <f t="shared" si="6"/>
        <v>30</v>
      </c>
      <c r="V8" s="98">
        <f>iferror(vlookup(A8,'전적확인'!$A$2:$S$61,6,0),0)+ iferror(vlookup(A8,'전적확인_베타시즌'!$A$2:$S$100,6,0),0)+iferror(vlookup(A8,'전적확인_시즌1'!$A$2:$S$100,6,0),0)+iferror(vlookup(A8,'전적확인_시즌2'!$A$2:$S$100,6,0),0)+iferror(vlookup(A8,'전적확인_시즌3'!$A$2:$S$100,6,0),0) + iferror(vlookup(A8,'전적확인_시즌4'!$A$2:$S$100,6,0),0) + iferror(vlookup(A8,'전적확인_시즌5'!$A$2:$S$100,6,0),0) + iferror(vlookup(A8,'전적확인_시즌6'!$A$2:$S$100,6,0),0) + iferror(vlookup(A8,'전적확인_시즌7'!$A$2:$S$100,6,0),0) + iferror(vlookup(A8,'전적확인_시즌8'!$A$2:$S$100,6,0),0) + iferror(vlookup(A8,'전적확인_시즌9'!$A$2:$S$100,6,0),0) + iferror(vlookup(A8,'전적확인_시즌10'!$A$2:$S$100,6,0),0) + iferror(vlookup(A8,'전적확인_시즌11'!$A$2:$S$100,6,0),0) + iferror(vlookup(A8,'전적확인_시즌12'!$A$2:$S$100,6,0),0) + iferror(vlookup(A8,'전적확인_시즌13'!$A$2:$S$100,6,0),0) + iferror(vlookup(A8,'전적확인_시즌14'!$A$2:$S$100,6,0),0) + iferror(vlookup(A8,'전적확인_시즌15'!$A$2:$S$100,6,0),0) + iferror(vlookup(A8,'전적확인_시즌16'!$A$2:$S$100,6,0),0) + iferror(vlookup(A8,'전적확인_시즌17'!$A$2:$S$100,6,0),0) + iferror(vlookup(A8,'전적확인_시즌17'!$A$2:$S$100,6,0),0) + iferror(vlookup(A8,'전적확인_시즌18'!$A$2:$S$100,6,0),0) + iferror(vlookup(A8,'전적확인_시즌19'!$A$2:$S$100,6,0),0) + iferror(vlookup(A8,'전적확인_시즌20'!$A$2:$S$100,6,0),0) + iferror(vlookup(A8,'전적확인_시즌21'!$A$2:$S$100,6,0),0) + iferror(vlookup(A8,'전적확인_시즌22'!$A$2:$S$100,6,0),0) + iferror(vlookup(A8,'전적확인_시즌23'!$A$2:$S$100,6,0),0) + iferror(vlookup(A8,'전적확인_시즌24'!$A$2:$S$100,6,0),0) + iferror(vlookup(A8,'전적확인_시즌25'!$A$2:$S$100,6,0),0) + iferror(vlookup(A8,'전적확인_시즌26'!$A$2:$S$100,6,0),0) + iferror(vlookup(A8,'전적확인_시즌27'!$A$2:$S$100,6,0),0) + iferror(vlookup(A8,'전적확인_시즌28'!$A$2:$S$100,6,0),0) + iferror(vlookup(A8,'전적확인_시즌29'!$A$2:$S$100,6,0),0) + iferror(vlookup(A8,'전적확인_시즌30'!$A$2:$S$100,6,0),0)</f>
        <v>31</v>
      </c>
      <c r="W8" s="98">
        <f> iferror(vlookup(A8,'전적확인'!$A$2:$S$61,7,0),0)+ iferror(vlookup(A8,'전적확인_베타시즌'!$A$2:$S$100,7,0),0)+iferror(vlookup(A8,'전적확인_시즌1'!$A$2:$S$100,7,0),0)+iferror(vlookup(A8,'전적확인_시즌2'!$A$2:$S$100,7,0),0)+iferror(vlookup(A8,'전적확인_시즌3'!$A$2:$S$100,7,0),0) + iferror(vlookup(A8,'전적확인_시즌4'!$A$2:$S$100,7,0),0) + iferror(vlookup(A8,'전적확인_시즌5'!$A$2:$S$100,7,0),0) + iferror(vlookup(A8,'전적확인_시즌6'!$A$2:$S$100,7,0),0) + iferror(vlookup(A8,'전적확인_시즌7'!$A$2:$S$100,7,0),0) + iferror(vlookup(A8,'전적확인_시즌8'!$A$2:$S$100,7,0),0) + iferror(vlookup(A8,'전적확인_시즌9'!$A$2:$S$100,7,0),0) + iferror(vlookup(A8,'전적확인_시즌10'!$A$2:$S$100,7,0),0) + iferror(vlookup(A8,'전적확인_시즌11'!$A$2:$S$100,7,0),0) + iferror(vlookup(A8,'전적확인_시즌12'!$A$2:$S$100,7,0),0) + iferror(vlookup(A8,'전적확인_시즌13'!$A$2:$S$100,7,0),0) + iferror(vlookup(A8,'전적확인_시즌14'!$A$2:$S$100,7,0),0) + iferror(vlookup(A8,'전적확인_시즌15'!$A$2:$S$100,7,0),0) + iferror(vlookup(A8,'전적확인_시즌16'!$A$2:$S$100,7,0),0) + iferror(vlookup(A8,'전적확인_시즌17'!$A$2:$S$100,7,0),0) + iferror(vlookup(A8,'전적확인_시즌17'!$A$2:$S$100,7,0),0) + iferror(vlookup(A8,'전적확인_시즌18'!$A$2:$S$100,7,0),0) + iferror(vlookup(A8,'전적확인_시즌19'!$A$2:$S$100,7,0),0) + iferror(vlookup(A8,'전적확인_시즌20'!$A$2:$S$100,7,0),0) + iferror(vlookup(A8,'전적확인_시즌21'!$A$2:$S$100,7,0),0) + iferror(vlookup(A8,'전적확인_시즌22'!$A$2:$S$100,7,0),0) + iferror(vlookup(A8,'전적확인_시즌23'!$A$2:$S$100,7,0),0) + iferror(vlookup(A8,'전적확인_시즌24'!$A$2:$S$100,7,0),0) + iferror(vlookup(A8,'전적확인_시즌25'!$A$2:$S$100,7,0),0) + iferror(vlookup(A8,'전적확인_시즌26'!$A$2:$S$100,7,0),0) + iferror(vlookup(A8,'전적확인_시즌27'!$A$2:$S$100,7,0),0) + iferror(vlookup(A8,'전적확인_시즌28'!$A$2:$S$100,7,0),0) + iferror(vlookup(A8,'전적확인_시즌29'!$A$2:$S$100,7,0),0) + iferror(vlookup(A8,'전적확인_시즌30'!$A$2:$S$100,7,0),0)</f>
        <v>36</v>
      </c>
      <c r="X8" s="98">
        <f t="shared" si="7"/>
        <v>46.27</v>
      </c>
      <c r="Y8" s="98">
        <f>iferror(vlookup(A8,'전적확인'!$A$2:$S$61,8,0),0) + iferror(vlookup(A8,'전적확인_베타시즌'!$A$2:$S$100,8,0),0)+iferror(vlookup(A8,'전적확인_시즌1'!$A$2:$S$100,8,0),0)+iferror(vlookup(A8,'전적확인_시즌2'!$A$2:$S$100,8,0),0)+iferror(vlookup(A8,'전적확인_시즌3'!$A$2:$S$100,8,0),0) + iferror(vlookup(A8,'전적확인_시즌4'!$A$2:$S$100,8,0),0) + iferror(vlookup(A8,'전적확인_시즌5'!$A$2:$S$100,8,0),0) + iferror(vlookup(A8,'전적확인_시즌6'!$A$2:$S$100,8,0),0) + iferror(vlookup(A8,'전적확인_시즌7'!$A$2:$S$100,8,0),0) + iferror(vlookup(A8,'전적확인_시즌8'!$A$2:$S$100,8,0),0) + iferror(vlookup(A8,'전적확인_시즌9'!$A$2:$S$100,8,0),0) + iferror(vlookup(A8,'전적확인_시즌10'!$A$2:$S$100,8,0),0) + iferror(vlookup(A8,'전적확인_시즌11'!$A$2:$S$100,8,0),0) + iferror(vlookup(A8,'전적확인_시즌12'!$A$2:$S$100,8,0),0) + iferror(vlookup(A8,'전적확인_시즌13'!$A$2:$S$100,8,0),0) + iferror(vlookup(A8,'전적확인_시즌14'!$A$2:$S$100,8,0),0) + iferror(vlookup(A8,'전적확인_시즌15'!$A$2:$S$100,8,0),0) + iferror(vlookup(A8,'전적확인_시즌16'!$A$2:$S$100,8,0),0) + iferror(vlookup(A8,'전적확인_시즌17'!$A$2:$S$100,8,0),0) + iferror(vlookup(A8,'전적확인_시즌17'!$A$2:$S$100,8,0),0) + iferror(vlookup(A8,'전적확인_시즌18'!$A$2:$S$100,8,0),0) + iferror(vlookup(A8,'전적확인_시즌19'!$A$2:$S$100,8,0),0) + iferror(vlookup(A8,'전적확인_시즌20'!$A$2:$S$100,8,0),0) + iferror(vlookup(A8,'전적확인_시즌21'!$A$2:$S$100,8,0),0) + iferror(vlookup(A8,'전적확인_시즌22'!$A$2:$S$100,8,0),0) + iferror(vlookup(A8,'전적확인_시즌23'!$A$2:$S$100,8,0),0) + iferror(vlookup(A8,'전적확인_시즌24'!$A$2:$S$100,8,0),0) + iferror(vlookup(A8,'전적확인_시즌25'!$A$2:$S$100,8,0),0) + iferror(vlookup(A8,'전적확인_시즌26'!$A$2:$S$100,8,0),0) + iferror(vlookup(A8,'전적확인_시즌27'!$A$2:$S$100,8,0),0) + iferror(vlookup(A8,'전적확인_시즌28'!$A$2:$S$100,8,0),0) + iferror(vlookup(A8,'전적확인_시즌29'!$A$2:$S$100,8,0),0) + iferror(vlookup(A8,'전적확인_시즌30'!$A$2:$S$100,8,0),0)</f>
        <v>40</v>
      </c>
      <c r="Z8" s="98">
        <f>iferror(vlookup(A8,'전적확인'!$A$2:$S$61,9,0),0) + iferror(vlookup(A8,'전적확인_베타시즌'!$A$2:$S$100,9,0),0)+iferror(vlookup(A8,'전적확인_시즌1'!$A$2:$S$100,9,0),0)+iferror(vlookup(A8,'전적확인_시즌2'!$A$2:$S$100,9,0),0)+iferror(vlookup(A8,'전적확인_시즌3'!$A$2:$S$100,9,0),0) + iferror(vlookup(A8,'전적확인_시즌4'!$A$2:$S$100,9,0),0) + iferror(vlookup(A8,'전적확인_시즌5'!$A$2:$S$100,9,0),0) + iferror(vlookup(A8,'전적확인_시즌6'!$A$2:$S$100,9,0),0) + iferror(vlookup(A8,'전적확인_시즌7'!$A$2:$S$100,9,0),0) + iferror(vlookup(A8,'전적확인_시즌8'!$A$2:$S$100,9,0),0) + iferror(vlookup(A8,'전적확인_시즌9'!$A$2:$S$100,9,0),0) + iferror(vlookup(A8,'전적확인_시즌10'!$A$2:$S$100,9,0),0) + iferror(vlookup(A8,'전적확인_시즌11'!$A$2:$S$100,9,0),0) + iferror(vlookup(A8,'전적확인_시즌12'!$A$2:$S$100,9,0),0) + iferror(vlookup(A8,'전적확인_시즌13'!$A$2:$S$100,9,0),0) + iferror(vlookup(A8,'전적확인_시즌14'!$A$2:$S$100,9,0),0) + iferror(vlookup(A8,'전적확인_시즌15'!$A$2:$S$100,9,0),0) + iferror(vlookup(A8,'전적확인_시즌16'!$A$2:$S$100,9,0),0) + iferror(vlookup(A8,'전적확인_시즌17'!$A$2:$S$100,9,0),0) + iferror(vlookup(A8,'전적확인_시즌17'!$A$2:$S$100,9,0),0) + iferror(vlookup(A8,'전적확인_시즌18'!$A$2:$S$100,9,0),0) + iferror(vlookup(A8,'전적확인_시즌19'!$A$2:$S$100,9,0),0) + iferror(vlookup(A8,'전적확인_시즌20'!$A$2:$S$100,9,0),0) + iferror(vlookup(A8,'전적확인_시즌21'!$A$2:$S$100,9,0),0) + iferror(vlookup(A8,'전적확인_시즌22'!$A$2:$S$100,9,0),0) + iferror(vlookup(A8,'전적확인_시즌23'!$A$2:$S$100,9,0),0) + iferror(vlookup(A8,'전적확인_시즌24'!$A$2:$S$100,9,0),0) + iferror(vlookup(A8,'전적확인_시즌25'!$A$2:$S$100,9,0),0) + iferror(vlookup(A8,'전적확인_시즌26'!$A$2:$S$100,9,0),0) + iferror(vlookup(A8,'전적확인_시즌27'!$A$2:$S$100,9,0),0) + iferror(vlookup(A8,'전적확인_시즌28'!$A$2:$S$100,9,0),0) + iferror(vlookup(A8,'전적확인_시즌29'!$A$2:$S$100,9,0),0) + iferror(vlookup(A8,'전적확인_시즌30'!$A$2:$S$100,9,0),0)</f>
        <v>36</v>
      </c>
      <c r="AA8" s="98">
        <f t="shared" si="8"/>
        <v>52.63</v>
      </c>
      <c r="AB8" s="2"/>
      <c r="AC8" s="2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>
      <c r="A9" s="95" t="s">
        <v>9679</v>
      </c>
      <c r="B9" s="95" t="s">
        <v>9667</v>
      </c>
      <c r="C9" s="95" t="s">
        <v>9667</v>
      </c>
      <c r="D9" s="95" t="s">
        <v>9667</v>
      </c>
      <c r="E9" s="95" t="s">
        <v>9667</v>
      </c>
      <c r="F9" s="3"/>
      <c r="G9" s="3"/>
      <c r="H9" s="98">
        <f t="shared" si="1"/>
        <v>146</v>
      </c>
      <c r="I9" s="98">
        <f>iferror(vlookup(A9,'전적확인'!$A$2:$S$61,10,0),0) + iferror(vlookup(A9,'전적확인_베타시즌'!$A$2:$S$100,10,0),0)+iferror(vlookup(A9,'전적확인_시즌1'!$A$2:$S$100,10,0),0)+iferror(vlookup(A9,'전적확인_시즌2'!$A$2:$S$100,10,0),0)+iferror(vlookup(A9,'전적확인_시즌3'!$A$2:$S$100,10,0),0) + iferror(vlookup(A9,'전적확인_시즌4'!$A$2:$S$100,10,0),0) + iferror(vlookup(A9,'전적확인_시즌5'!$A$2:$S$100,10,0),0) + iferror(vlookup(A9,'전적확인_시즌6'!$A$2:$S$100,10,0),0) + iferror(vlookup(A9,'전적확인_시즌7'!$A$2:$S$100,10,0),0) + iferror(vlookup(A9,'전적확인_시즌8'!$A$2:$S$100,10,0),0) + iferror(vlookup(A9,'전적확인_시즌9'!$A$2:$S$100,10,0),0) + iferror(vlookup(A9,'전적확인_시즌10'!$A$2:$S$100,10,0),0) + iferror(vlookup(A9,'전적확인_시즌11'!$A$2:$S$100,10,0),0) + iferror(vlookup(A9,'전적확인_시즌12'!$A$2:$S$100,10,0),0) + iferror(vlookup(A9,'전적확인_시즌13'!$A$2:$S$100,10,0),0) + iferror(vlookup(A9,'전적확인_시즌14'!$A$2:$S$100,10,0),0) + iferror(vlookup(A9,'전적확인_시즌15'!$A$2:$S$100,10,0),0) + iferror(vlookup(A9,'전적확인_시즌16'!$A$2:$S$100,10,0),0) + iferror(vlookup(A9,'전적확인_시즌17'!$A$2:$S$100,10,0),0) + iferror(vlookup(A9,'전적확인_시즌17'!$A$2:$S$100,10,0),0) + iferror(vlookup(A9,'전적확인_시즌18'!$A$2:$S$100,10,0),0) + iferror(vlookup(A9,'전적확인_시즌19'!$A$2:$S$100,10,0),0) + iferror(vlookup(A9,'전적확인_시즌20'!$A$2:$S$100,10,0),0) + iferror(vlookup(A9,'전적확인_시즌21'!$A$2:$S$100,10,0),0) + iferror(vlookup(A9,'전적확인_시즌22'!$A$2:$S$100,10,0),0) + iferror(vlookup(A9,'전적확인_시즌23'!$A$2:$S$100,10,0),0) + iferror(vlookup(A9,'전적확인_시즌24'!$A$2:$S$100,10,0),0) + iferror(vlookup(A9,'전적확인_시즌25'!$A$2:$S$100,10,0),0) + iferror(vlookup(A9,'전적확인_시즌26'!$A$2:$S$100,10,0),0) + iferror(vlookup(A9,'전적확인_시즌27'!$A$2:$S$100,10,0),0) + iferror(vlookup(A9,'전적확인_시즌28'!$A$2:$S$100,10,0),0) + iferror(vlookup(A9,'전적확인_시즌29'!$A$2:$S$100,10,0),0) + iferror(vlookup(A9,'전적확인_시즌30'!$A$2:$S$100,10,0),0)</f>
        <v>78</v>
      </c>
      <c r="J9" s="98">
        <f>iferror(vlookup(A9,'전적확인'!$A$2:$S$61,11,0),0) + iferror(vlookup(A9,'전적확인_베타시즌'!$A$2:$S$100,11,0),0)+iferror(vlookup(A9,'전적확인_시즌1'!$A$2:$S$100,11,0),0)+iferror(vlookup(A9,'전적확인_시즌2'!$A$2:$S$100,11,0),0)+iferror(vlookup(A9,'전적확인_시즌3'!$A$2:$S$100,11,0),0) + iferror(vlookup(A9,'전적확인_시즌4'!$A$2:$S$100,11,0),0) + iferror(vlookup(A9,'전적확인_시즌5'!$A$2:$S$100,11,0),0) + iferror(vlookup(A9,'전적확인_시즌6'!$A$2:$S$100,11,0),0) + iferror(vlookup(A9,'전적확인_시즌7'!$A$2:$S$100,11,0),0) + iferror(vlookup(A9,'전적확인_시즌8'!$A$2:$S$100,11,0),0) + iferror(vlookup(A9,'전적확인_시즌9'!$A$2:$S$100,11,0),0) + iferror(vlookup(A9,'전적확인_시즌10'!$A$2:$S$100,11,0),0) + iferror(vlookup(A9,'전적확인_시즌11'!$A$2:$S$100,11,0),0) + iferror(vlookup(A9,'전적확인_시즌12'!$A$2:$S$100,11,0),0) + iferror(vlookup(A9,'전적확인_시즌13'!$A$2:$S$100,11,0),0) + iferror(vlookup(A9,'전적확인_시즌14'!$A$2:$S$100,11,0),0) + iferror(vlookup(A9,'전적확인_시즌15'!$A$2:$S$100,11,0),0) + iferror(vlookup(A9,'전적확인_시즌16'!$A$2:$S$100,11,0),0) + iferror(vlookup(A9,'전적확인_시즌17'!$A$2:$S$100,11,0),0) + iferror(vlookup(A9,'전적확인_시즌17'!$A$2:$S$100,11,0),0) + iferror(vlookup(A9,'전적확인_시즌18'!$A$2:$S$100,11,0),0) + iferror(vlookup(A9,'전적확인_시즌19'!$A$2:$S$100,11,0),0) + iferror(vlookup(A9,'전적확인_시즌20'!$A$2:$S$100,11,0),0) + iferror(vlookup(A9,'전적확인_시즌21'!$A$2:$S$100,11,0),0) + iferror(vlookup(A9,'전적확인_시즌22'!$A$2:$S$100,11,0),0) + iferror(vlookup(A9,'전적확인_시즌23'!$A$2:$S$100,11,0),0) + iferror(vlookup(A9,'전적확인_시즌24'!$A$2:$S$100,11,0),0) + iferror(vlookup(A9,'전적확인_시즌25'!$A$2:$S$100,11,0),0) + iferror(vlookup(A9,'전적확인_시즌26'!$A$2:$S$100,11,0),0) + iferror(vlookup(A9,'전적확인_시즌27'!$A$2:$S$100,11,0),0) + iferror(vlookup(A9,'전적확인_시즌28'!$A$2:$S$100,11,0),0) + iferror(vlookup(A9,'전적확인_시즌29'!$A$2:$S$100,11,0),0) + iferror(vlookup(A9,'전적확인_시즌30'!$A$2:$S$100,11,0),0)</f>
        <v>68</v>
      </c>
      <c r="K9" s="98">
        <f t="shared" si="2"/>
        <v>53.42</v>
      </c>
      <c r="L9" s="95">
        <f t="array" ref="L9">iferror(vlookup(A9,INDIRECT('시즌목록'!$H$2 &amp; "!$A$2:$S$100"),10,0),0)</f>
        <v>0</v>
      </c>
      <c r="M9" s="95">
        <f t="array" ref="M9">iferror(vlookup(A9,INDIRECT('시즌목록'!$H$2 &amp; "!$A$2:$S$100"),11,0),0)</f>
        <v>0</v>
      </c>
      <c r="N9" s="98">
        <f t="shared" si="3"/>
        <v>0</v>
      </c>
      <c r="O9" s="95" t="str">
        <f t="shared" si="4"/>
        <v>아이언</v>
      </c>
      <c r="P9" s="98">
        <f>iferror(vlookup(A9,'전적확인'!$A$2:$S$61,2,0),0)+ iferror(vlookup(A9,'전적확인_베타시즌'!$A$2:$S$100,2,0),0)+iferror(vlookup(A9,'전적확인_시즌1'!$A$2:$S$100,2,0),0)+iferror(vlookup(A9,'전적확인_시즌2'!$A$2:$S$100,2,0),0)+iferror(vlookup(A9,'전적확인_시즌3'!$A$2:$S$100,2,0),0) + iferror(vlookup(A9,'전적확인_시즌4'!$A$2:$S$100,2,0),0) + iferror(vlookup(A9,'전적확인_시즌5'!$A$2:$S$100,2,0),0) + iferror(vlookup(A9,'전적확인_시즌6'!$A$2:$S$100,2,0),0) + iferror(vlookup(A9,'전적확인_시즌7'!$A$2:$S$100,2,0),0) + iferror(vlookup(A9,'전적확인_시즌8'!$A$2:$S$100,2,0),0) + iferror(vlookup(A9,'전적확인_시즌9'!$A$2:$S$100,2,0),0) + iferror(vlookup(A9,'전적확인_시즌10'!$A$2:$S$100,2,0),0) + iferror(vlookup(A9,'전적확인_시즌11'!$A$2:$S$100,2,0),0) + iferror(vlookup(A9,'전적확인_시즌12'!$A$2:$S$100,2,0),0) + iferror(vlookup(A9,'전적확인_시즌13'!$A$2:$S$100,2,0),0) + iferror(vlookup(A9,'전적확인_시즌14'!$A$2:$S$100,2,0),0) + iferror(vlookup(A9,'전적확인_시즌15'!$A$2:$S$100,2,0),0) + iferror(vlookup(A9,'전적확인_시즌16'!$A$2:$S$100,2,0),0) + iferror(vlookup(A9,'전적확인_시즌17'!$A$2:$S$100,2,0),0) + iferror(vlookup(A9,'전적확인_시즌17'!$A$2:$S$100,2,0),0) + iferror(vlookup(A9,'전적확인_시즌18'!$A$2:$S$100,2,0),0) + iferror(vlookup(A9,'전적확인_시즌19'!$A$2:$S$100,2,0),0) + iferror(vlookup(A9,'전적확인_시즌20'!$A$2:$S$100,2,0),0) + iferror(vlookup(A9,'전적확인_시즌21'!$A$2:$S$100,2,0),0) + iferror(vlookup(A9,'전적확인_시즌22'!$A$2:$S$100,2,0),0) + iferror(vlookup(A9,'전적확인_시즌23'!$A$2:$S$100,2,0),0) + iferror(vlookup(A9,'전적확인_시즌24'!$A$2:$S$100,2,0),0) + iferror(vlookup(A9,'전적확인_시즌25'!$A$2:$S$100,2,0),0) + iferror(vlookup(A9,'전적확인_시즌26'!$A$2:$S$100,2,0),0) + iferror(vlookup(A9,'전적확인_시즌27'!$A$2:$S$100,2,0),0) + iferror(vlookup(A9,'전적확인_시즌28'!$A$2:$S$100,2,0),0) + iferror(vlookup(A9,'전적확인_시즌29'!$A$2:$S$100,2,0),0) + iferror(vlookup(A9,'전적확인_시즌30'!$A$2:$S$100,2,0),0)</f>
        <v>0</v>
      </c>
      <c r="Q9" s="98">
        <f>iferror(vlookup(A9,'전적확인'!$A$2:$S$61,3,0),0)+ iferror(vlookup(A9,'전적확인_베타시즌'!$A$2:$S$100,3,0),0)+iferror(vlookup(A9,'전적확인_시즌1'!$A$2:$S$100,3,0),0)+iferror(vlookup(A9,'전적확인_시즌2'!$A$2:$S$100,3,0),0)+iferror(vlookup(A9,'전적확인_시즌3'!$A$2:$S$100,3,0),0) + iferror(vlookup(A9,'전적확인_시즌4'!$A$2:$S$100,3,0),0) + iferror(vlookup(A9,'전적확인_시즌5'!$A$2:$S$100,3,0),0) + iferror(vlookup(A9,'전적확인_시즌6'!$A$2:$S$100,3,0),0) + iferror(vlookup(A9,'전적확인_시즌7'!$A$2:$S$100,3,0),0) + iferror(vlookup(A9,'전적확인_시즌8'!$A$2:$S$100,3,0),0) + iferror(vlookup(A9,'전적확인_시즌9'!$A$2:$S$100,3,0),0) + iferror(vlookup(A9,'전적확인_시즌10'!$A$2:$S$100,3,0),0) + iferror(vlookup(A9,'전적확인_시즌11'!$A$2:$S$100,3,0),0) + iferror(vlookup(A9,'전적확인_시즌12'!$A$2:$S$100,3,0),0) + iferror(vlookup(A9,'전적확인_시즌13'!$A$2:$S$100,3,0),0) + iferror(vlookup(A9,'전적확인_시즌14'!$A$2:$S$100,3,0),0) + iferror(vlookup(A9,'전적확인_시즌15'!$A$2:$S$100,3,0),0) + iferror(vlookup(A9,'전적확인_시즌16'!$A$2:$S$100,3,0),0) + iferror(vlookup(A9,'전적확인_시즌17'!$A$2:$S$100,3,0),0) + iferror(vlookup(A9,'전적확인_시즌17'!$A$2:$S$100,3,0),0) + iferror(vlookup(A9,'전적확인_시즌18'!$A$2:$S$100,3,0),0) + iferror(vlookup(A9,'전적확인_시즌19'!$A$2:$S$100,3,0),0) + iferror(vlookup(A9,'전적확인_시즌20'!$A$2:$S$100,3,0),0) + iferror(vlookup(A9,'전적확인_시즌21'!$A$2:$S$100,3,0),0) + iferror(vlookup(A9,'전적확인_시즌22'!$A$2:$S$100,3,0),0) + iferror(vlookup(A9,'전적확인_시즌23'!$A$2:$S$100,3,0),0) + iferror(vlookup(A9,'전적확인_시즌24'!$A$2:$S$100,3,0),0) + iferror(vlookup(A9,'전적확인_시즌25'!$A$2:$S$100,3,0),0) + iferror(vlookup(A9,'전적확인_시즌26'!$A$2:$S$100,3,0),0) + iferror(vlookup(A9,'전적확인_시즌27'!$A$2:$S$100,3,0),0) + iferror(vlookup(A9,'전적확인_시즌28'!$A$2:$S$100,3,0),0) + iferror(vlookup(A9,'전적확인_시즌29'!$A$2:$S$100,3,0),0) + iferror(vlookup(A9,'전적확인_시즌30'!$A$2:$S$100,3,0),0)</f>
        <v>0</v>
      </c>
      <c r="R9" s="98">
        <f t="shared" si="5"/>
        <v>0</v>
      </c>
      <c r="S9" s="98">
        <f>iferror(vlookup(A9,'전적확인'!$A$2:$S$61,4,0),0) + iferror(vlookup(A9,'전적확인_베타시즌'!$A$2:$S$100,4,0),0)+iferror(vlookup(A9,'전적확인_시즌1'!$A$2:$S$100,4,0),0)+iferror(vlookup(A9,'전적확인_시즌2'!$A$2:$S$100,4,0),0)+iferror(vlookup(A9,'전적확인_시즌3'!$A$2:$S$100,4,0),0) + iferror(vlookup(A9,'전적확인_시즌4'!$A$2:$S$100,4,0),0) + iferror(vlookup(A9,'전적확인_시즌5'!$A$2:$S$100,4,0),0) + iferror(vlookup(A9,'전적확인_시즌6'!$A$2:$S$100,4,0),0) + iferror(vlookup(A9,'전적확인_시즌7'!$A$2:$S$100,4,0),0) + iferror(vlookup(A9,'전적확인_시즌8'!$A$2:$S$100,4,0),0) + iferror(vlookup(A9,'전적확인_시즌9'!$A$2:$S$100,4,0),0) + iferror(vlookup(A9,'전적확인_시즌10'!$A$2:$S$100,4,0),0) + iferror(vlookup(A9,'전적확인_시즌11'!$A$2:$S$100,4,0),0) + iferror(vlookup(A9,'전적확인_시즌12'!$A$2:$S$100,4,0),0) + iferror(vlookup(A9,'전적확인_시즌13'!$A$2:$S$100,4,0),0) + iferror(vlookup(A9,'전적확인_시즌14'!$A$2:$S$100,4,0),0) + iferror(vlookup(A9,'전적확인_시즌15'!$A$2:$S$100,4,0),0) + iferror(vlookup(A9,'전적확인_시즌16'!$A$2:$S$100,4,0),0) + iferror(vlookup(A9,'전적확인_시즌17'!$A$2:$S$100,4,0),0) + iferror(vlookup(A9,'전적확인_시즌17'!$A$2:$S$100,4,0),0) + iferror(vlookup(A9,'전적확인_시즌18'!$A$2:$S$100,4,0),0) + iferror(vlookup(A9,'전적확인_시즌19'!$A$2:$S$100,4,0),0) + iferror(vlookup(A9,'전적확인_시즌20'!$A$2:$S$100,4,0),0) + iferror(vlookup(A9,'전적확인_시즌21'!$A$2:$S$100,4,0),0) + iferror(vlookup(A9,'전적확인_시즌22'!$A$2:$S$100,4,0),0) + iferror(vlookup(A9,'전적확인_시즌23'!$A$2:$S$100,4,0),0) + iferror(vlookup(A9,'전적확인_시즌24'!$A$2:$S$100,4,0),0) + iferror(vlookup(A9,'전적확인_시즌25'!$A$2:$S$100,4,0),0) + iferror(vlookup(A9,'전적확인_시즌26'!$A$2:$S$100,4,0),0) + iferror(vlookup(A9,'전적확인_시즌27'!$A$2:$S$100,4,0),0) + iferror(vlookup(A9,'전적확인_시즌28'!$A$2:$S$100,4,0),0) + iferror(vlookup(A9,'전적확인_시즌29'!$A$2:$S$100,4,0),0) + iferror(vlookup(A9,'전적확인_시즌30'!$A$2:$S$100,4,0),0)</f>
        <v>19</v>
      </c>
      <c r="T9" s="98">
        <f>iferror(vlookup(A9,'전적확인'!$A$2:$S$61,5,0),0) + iferror(vlookup(A9,'전적확인_베타시즌'!$A$2:$S$100,5,0),0)+iferror(vlookup(A9,'전적확인_시즌1'!$A$2:$S$100,5,0),0)+iferror(vlookup(A9,'전적확인_시즌2'!$A$2:$S$100,5,0),0)+iferror(vlookup(A9,'전적확인_시즌3'!$A$2:$S$100,5,0),0) + iferror(vlookup(A9,'전적확인_시즌4'!$A$2:$S$100,5,0),0) + iferror(vlookup(A9,'전적확인_시즌5'!$A$2:$S$100,5,0),0) + iferror(vlookup(A9,'전적확인_시즌6'!$A$2:$S$100,5,0),0) + iferror(vlookup(A9,'전적확인_시즌7'!$A$2:$S$100,5,0),0) + iferror(vlookup(A9,'전적확인_시즌8'!$A$2:$S$100,5,0),0) + iferror(vlookup(A9,'전적확인_시즌9'!$A$2:$S$100,5,0),0) + iferror(vlookup(A9,'전적확인_시즌10'!$A$2:$S$100,5,0),0) + iferror(vlookup(A9,'전적확인_시즌11'!$A$2:$S$100,5,0),0) + iferror(vlookup(A9,'전적확인_시즌12'!$A$2:$S$100,5,0),0) + iferror(vlookup(A9,'전적확인_시즌13'!$A$2:$S$100,5,0),0) + iferror(vlookup(A9,'전적확인_시즌14'!$A$2:$S$100,5,0),0) + iferror(vlookup(A9,'전적확인_시즌15'!$A$2:$S$100,5,0),0) + iferror(vlookup(A9,'전적확인_시즌16'!$A$2:$S$100,5,0),0) + iferror(vlookup(A9,'전적확인_시즌17'!$A$2:$S$100,5,0),0) + iferror(vlookup(A9,'전적확인_시즌17'!$A$2:$S$100,5,0),0) + iferror(vlookup(A9,'전적확인_시즌18'!$A$2:$S$100,5,0),0) + iferror(vlookup(A9,'전적확인_시즌19'!$A$2:$S$100,5,0),0) + iferror(vlookup(A9,'전적확인_시즌20'!$A$2:$S$100,5,0),0) + iferror(vlookup(A9,'전적확인_시즌21'!$A$2:$S$100,5,0),0) + iferror(vlookup(A9,'전적확인_시즌22'!$A$2:$S$100,5,0),0) + iferror(vlookup(A9,'전적확인_시즌23'!$A$2:$S$100,5,0),0) + iferror(vlookup(A9,'전적확인_시즌24'!$A$2:$S$100,5,0),0) + iferror(vlookup(A9,'전적확인_시즌25'!$A$2:$S$100,5,0),0) + iferror(vlookup(A9,'전적확인_시즌26'!$A$2:$S$100,5,0),0) + iferror(vlookup(A9,'전적확인_시즌27'!$A$2:$S$100,5,0),0) + iferror(vlookup(A9,'전적확인_시즌28'!$A$2:$S$100,5,0),0) + iferror(vlookup(A9,'전적확인_시즌29'!$A$2:$S$100,5,0),0) + iferror(vlookup(A9,'전적확인_시즌30'!$A$2:$S$100,5,0),0)</f>
        <v>27</v>
      </c>
      <c r="U9" s="98">
        <f t="shared" si="6"/>
        <v>41.3</v>
      </c>
      <c r="V9" s="98">
        <f>iferror(vlookup(A9,'전적확인'!$A$2:$S$61,6,0),0)+ iferror(vlookup(A9,'전적확인_베타시즌'!$A$2:$S$100,6,0),0)+iferror(vlookup(A9,'전적확인_시즌1'!$A$2:$S$100,6,0),0)+iferror(vlookup(A9,'전적확인_시즌2'!$A$2:$S$100,6,0),0)+iferror(vlookup(A9,'전적확인_시즌3'!$A$2:$S$100,6,0),0) + iferror(vlookup(A9,'전적확인_시즌4'!$A$2:$S$100,6,0),0) + iferror(vlookup(A9,'전적확인_시즌5'!$A$2:$S$100,6,0),0) + iferror(vlookup(A9,'전적확인_시즌6'!$A$2:$S$100,6,0),0) + iferror(vlookup(A9,'전적확인_시즌7'!$A$2:$S$100,6,0),0) + iferror(vlookup(A9,'전적확인_시즌8'!$A$2:$S$100,6,0),0) + iferror(vlookup(A9,'전적확인_시즌9'!$A$2:$S$100,6,0),0) + iferror(vlookup(A9,'전적확인_시즌10'!$A$2:$S$100,6,0),0) + iferror(vlookup(A9,'전적확인_시즌11'!$A$2:$S$100,6,0),0) + iferror(vlookup(A9,'전적확인_시즌12'!$A$2:$S$100,6,0),0) + iferror(vlookup(A9,'전적확인_시즌13'!$A$2:$S$100,6,0),0) + iferror(vlookup(A9,'전적확인_시즌14'!$A$2:$S$100,6,0),0) + iferror(vlookup(A9,'전적확인_시즌15'!$A$2:$S$100,6,0),0) + iferror(vlookup(A9,'전적확인_시즌16'!$A$2:$S$100,6,0),0) + iferror(vlookup(A9,'전적확인_시즌17'!$A$2:$S$100,6,0),0) + iferror(vlookup(A9,'전적확인_시즌17'!$A$2:$S$100,6,0),0) + iferror(vlookup(A9,'전적확인_시즌18'!$A$2:$S$100,6,0),0) + iferror(vlookup(A9,'전적확인_시즌19'!$A$2:$S$100,6,0),0) + iferror(vlookup(A9,'전적확인_시즌20'!$A$2:$S$100,6,0),0) + iferror(vlookup(A9,'전적확인_시즌21'!$A$2:$S$100,6,0),0) + iferror(vlookup(A9,'전적확인_시즌22'!$A$2:$S$100,6,0),0) + iferror(vlookup(A9,'전적확인_시즌23'!$A$2:$S$100,6,0),0) + iferror(vlookup(A9,'전적확인_시즌24'!$A$2:$S$100,6,0),0) + iferror(vlookup(A9,'전적확인_시즌25'!$A$2:$S$100,6,0),0) + iferror(vlookup(A9,'전적확인_시즌26'!$A$2:$S$100,6,0),0) + iferror(vlookup(A9,'전적확인_시즌27'!$A$2:$S$100,6,0),0) + iferror(vlookup(A9,'전적확인_시즌28'!$A$2:$S$100,6,0),0) + iferror(vlookup(A9,'전적확인_시즌29'!$A$2:$S$100,6,0),0) + iferror(vlookup(A9,'전적확인_시즌30'!$A$2:$S$100,6,0),0)</f>
        <v>23</v>
      </c>
      <c r="W9" s="98">
        <f> iferror(vlookup(A9,'전적확인'!$A$2:$S$61,7,0),0)+ iferror(vlookup(A9,'전적확인_베타시즌'!$A$2:$S$100,7,0),0)+iferror(vlookup(A9,'전적확인_시즌1'!$A$2:$S$100,7,0),0)+iferror(vlookup(A9,'전적확인_시즌2'!$A$2:$S$100,7,0),0)+iferror(vlookup(A9,'전적확인_시즌3'!$A$2:$S$100,7,0),0) + iferror(vlookup(A9,'전적확인_시즌4'!$A$2:$S$100,7,0),0) + iferror(vlookup(A9,'전적확인_시즌5'!$A$2:$S$100,7,0),0) + iferror(vlookup(A9,'전적확인_시즌6'!$A$2:$S$100,7,0),0) + iferror(vlookup(A9,'전적확인_시즌7'!$A$2:$S$100,7,0),0) + iferror(vlookup(A9,'전적확인_시즌8'!$A$2:$S$100,7,0),0) + iferror(vlookup(A9,'전적확인_시즌9'!$A$2:$S$100,7,0),0) + iferror(vlookup(A9,'전적확인_시즌10'!$A$2:$S$100,7,0),0) + iferror(vlookup(A9,'전적확인_시즌11'!$A$2:$S$100,7,0),0) + iferror(vlookup(A9,'전적확인_시즌12'!$A$2:$S$100,7,0),0) + iferror(vlookup(A9,'전적확인_시즌13'!$A$2:$S$100,7,0),0) + iferror(vlookup(A9,'전적확인_시즌14'!$A$2:$S$100,7,0),0) + iferror(vlookup(A9,'전적확인_시즌15'!$A$2:$S$100,7,0),0) + iferror(vlookup(A9,'전적확인_시즌16'!$A$2:$S$100,7,0),0) + iferror(vlookup(A9,'전적확인_시즌17'!$A$2:$S$100,7,0),0) + iferror(vlookup(A9,'전적확인_시즌17'!$A$2:$S$100,7,0),0) + iferror(vlookup(A9,'전적확인_시즌18'!$A$2:$S$100,7,0),0) + iferror(vlookup(A9,'전적확인_시즌19'!$A$2:$S$100,7,0),0) + iferror(vlookup(A9,'전적확인_시즌20'!$A$2:$S$100,7,0),0) + iferror(vlookup(A9,'전적확인_시즌21'!$A$2:$S$100,7,0),0) + iferror(vlookup(A9,'전적확인_시즌22'!$A$2:$S$100,7,0),0) + iferror(vlookup(A9,'전적확인_시즌23'!$A$2:$S$100,7,0),0) + iferror(vlookup(A9,'전적확인_시즌24'!$A$2:$S$100,7,0),0) + iferror(vlookup(A9,'전적확인_시즌25'!$A$2:$S$100,7,0),0) + iferror(vlookup(A9,'전적확인_시즌26'!$A$2:$S$100,7,0),0) + iferror(vlookup(A9,'전적확인_시즌27'!$A$2:$S$100,7,0),0) + iferror(vlookup(A9,'전적확인_시즌28'!$A$2:$S$100,7,0),0) + iferror(vlookup(A9,'전적확인_시즌29'!$A$2:$S$100,7,0),0) + iferror(vlookup(A9,'전적확인_시즌30'!$A$2:$S$100,7,0),0)</f>
        <v>23</v>
      </c>
      <c r="X9" s="98">
        <f t="shared" si="7"/>
        <v>50</v>
      </c>
      <c r="Y9" s="98">
        <f>iferror(vlookup(A9,'전적확인'!$A$2:$S$61,8,0),0) + iferror(vlookup(A9,'전적확인_베타시즌'!$A$2:$S$100,8,0),0)+iferror(vlookup(A9,'전적확인_시즌1'!$A$2:$S$100,8,0),0)+iferror(vlookup(A9,'전적확인_시즌2'!$A$2:$S$100,8,0),0)+iferror(vlookup(A9,'전적확인_시즌3'!$A$2:$S$100,8,0),0) + iferror(vlookup(A9,'전적확인_시즌4'!$A$2:$S$100,8,0),0) + iferror(vlookup(A9,'전적확인_시즌5'!$A$2:$S$100,8,0),0) + iferror(vlookup(A9,'전적확인_시즌6'!$A$2:$S$100,8,0),0) + iferror(vlookup(A9,'전적확인_시즌7'!$A$2:$S$100,8,0),0) + iferror(vlookup(A9,'전적확인_시즌8'!$A$2:$S$100,8,0),0) + iferror(vlookup(A9,'전적확인_시즌9'!$A$2:$S$100,8,0),0) + iferror(vlookup(A9,'전적확인_시즌10'!$A$2:$S$100,8,0),0) + iferror(vlookup(A9,'전적확인_시즌11'!$A$2:$S$100,8,0),0) + iferror(vlookup(A9,'전적확인_시즌12'!$A$2:$S$100,8,0),0) + iferror(vlookup(A9,'전적확인_시즌13'!$A$2:$S$100,8,0),0) + iferror(vlookup(A9,'전적확인_시즌14'!$A$2:$S$100,8,0),0) + iferror(vlookup(A9,'전적확인_시즌15'!$A$2:$S$100,8,0),0) + iferror(vlookup(A9,'전적확인_시즌16'!$A$2:$S$100,8,0),0) + iferror(vlookup(A9,'전적확인_시즌17'!$A$2:$S$100,8,0),0) + iferror(vlookup(A9,'전적확인_시즌17'!$A$2:$S$100,8,0),0) + iferror(vlookup(A9,'전적확인_시즌18'!$A$2:$S$100,8,0),0) + iferror(vlookup(A9,'전적확인_시즌19'!$A$2:$S$100,8,0),0) + iferror(vlookup(A9,'전적확인_시즌20'!$A$2:$S$100,8,0),0) + iferror(vlookup(A9,'전적확인_시즌21'!$A$2:$S$100,8,0),0) + iferror(vlookup(A9,'전적확인_시즌22'!$A$2:$S$100,8,0),0) + iferror(vlookup(A9,'전적확인_시즌23'!$A$2:$S$100,8,0),0) + iferror(vlookup(A9,'전적확인_시즌24'!$A$2:$S$100,8,0),0) + iferror(vlookup(A9,'전적확인_시즌25'!$A$2:$S$100,8,0),0) + iferror(vlookup(A9,'전적확인_시즌26'!$A$2:$S$100,8,0),0) + iferror(vlookup(A9,'전적확인_시즌27'!$A$2:$S$100,8,0),0) + iferror(vlookup(A9,'전적확인_시즌28'!$A$2:$S$100,8,0),0) + iferror(vlookup(A9,'전적확인_시즌29'!$A$2:$S$100,8,0),0) + iferror(vlookup(A9,'전적확인_시즌30'!$A$2:$S$100,8,0),0)</f>
        <v>36</v>
      </c>
      <c r="Z9" s="98">
        <f>iferror(vlookup(A9,'전적확인'!$A$2:$S$61,9,0),0) + iferror(vlookup(A9,'전적확인_베타시즌'!$A$2:$S$100,9,0),0)+iferror(vlookup(A9,'전적확인_시즌1'!$A$2:$S$100,9,0),0)+iferror(vlookup(A9,'전적확인_시즌2'!$A$2:$S$100,9,0),0)+iferror(vlookup(A9,'전적확인_시즌3'!$A$2:$S$100,9,0),0) + iferror(vlookup(A9,'전적확인_시즌4'!$A$2:$S$100,9,0),0) + iferror(vlookup(A9,'전적확인_시즌5'!$A$2:$S$100,9,0),0) + iferror(vlookup(A9,'전적확인_시즌6'!$A$2:$S$100,9,0),0) + iferror(vlookup(A9,'전적확인_시즌7'!$A$2:$S$100,9,0),0) + iferror(vlookup(A9,'전적확인_시즌8'!$A$2:$S$100,9,0),0) + iferror(vlookup(A9,'전적확인_시즌9'!$A$2:$S$100,9,0),0) + iferror(vlookup(A9,'전적확인_시즌10'!$A$2:$S$100,9,0),0) + iferror(vlookup(A9,'전적확인_시즌11'!$A$2:$S$100,9,0),0) + iferror(vlookup(A9,'전적확인_시즌12'!$A$2:$S$100,9,0),0) + iferror(vlookup(A9,'전적확인_시즌13'!$A$2:$S$100,9,0),0) + iferror(vlookup(A9,'전적확인_시즌14'!$A$2:$S$100,9,0),0) + iferror(vlookup(A9,'전적확인_시즌15'!$A$2:$S$100,9,0),0) + iferror(vlookup(A9,'전적확인_시즌16'!$A$2:$S$100,9,0),0) + iferror(vlookup(A9,'전적확인_시즌17'!$A$2:$S$100,9,0),0) + iferror(vlookup(A9,'전적확인_시즌17'!$A$2:$S$100,9,0),0) + iferror(vlookup(A9,'전적확인_시즌18'!$A$2:$S$100,9,0),0) + iferror(vlookup(A9,'전적확인_시즌19'!$A$2:$S$100,9,0),0) + iferror(vlookup(A9,'전적확인_시즌20'!$A$2:$S$100,9,0),0) + iferror(vlookup(A9,'전적확인_시즌21'!$A$2:$S$100,9,0),0) + iferror(vlookup(A9,'전적확인_시즌22'!$A$2:$S$100,9,0),0) + iferror(vlookup(A9,'전적확인_시즌23'!$A$2:$S$100,9,0),0) + iferror(vlookup(A9,'전적확인_시즌24'!$A$2:$S$100,9,0),0) + iferror(vlookup(A9,'전적확인_시즌25'!$A$2:$S$100,9,0),0) + iferror(vlookup(A9,'전적확인_시즌26'!$A$2:$S$100,9,0),0) + iferror(vlookup(A9,'전적확인_시즌27'!$A$2:$S$100,9,0),0) + iferror(vlookup(A9,'전적확인_시즌28'!$A$2:$S$100,9,0),0) + iferror(vlookup(A9,'전적확인_시즌29'!$A$2:$S$100,9,0),0) + iferror(vlookup(A9,'전적확인_시즌30'!$A$2:$S$100,9,0),0)</f>
        <v>18</v>
      </c>
      <c r="AA9" s="98">
        <f t="shared" si="8"/>
        <v>66.67</v>
      </c>
      <c r="AB9" s="2"/>
      <c r="AC9" s="2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>
      <c r="A10" s="95" t="s">
        <v>43</v>
      </c>
      <c r="B10" s="95" t="s">
        <v>9667</v>
      </c>
      <c r="C10" s="95" t="s">
        <v>9667</v>
      </c>
      <c r="D10" s="96" t="s">
        <v>9667</v>
      </c>
      <c r="E10" s="96" t="s">
        <v>9667</v>
      </c>
      <c r="F10" s="3"/>
      <c r="G10" s="3"/>
      <c r="H10" s="98">
        <f t="shared" si="1"/>
        <v>178</v>
      </c>
      <c r="I10" s="98">
        <f>iferror(vlookup(A10,'전적확인'!$A$2:$S$61,10,0),0) + iferror(vlookup(A10,'전적확인_베타시즌'!$A$2:$S$100,10,0),0)+iferror(vlookup(A10,'전적확인_시즌1'!$A$2:$S$100,10,0),0)+iferror(vlookup(A10,'전적확인_시즌2'!$A$2:$S$100,10,0),0)+iferror(vlookup(A10,'전적확인_시즌3'!$A$2:$S$100,10,0),0) + iferror(vlookup(A10,'전적확인_시즌4'!$A$2:$S$100,10,0),0) + iferror(vlookup(A10,'전적확인_시즌5'!$A$2:$S$100,10,0),0) + iferror(vlookup(A10,'전적확인_시즌6'!$A$2:$S$100,10,0),0) + iferror(vlookup(A10,'전적확인_시즌7'!$A$2:$S$100,10,0),0) + iferror(vlookup(A10,'전적확인_시즌8'!$A$2:$S$100,10,0),0) + iferror(vlookup(A10,'전적확인_시즌9'!$A$2:$S$100,10,0),0) + iferror(vlookup(A10,'전적확인_시즌10'!$A$2:$S$100,10,0),0) + iferror(vlookup(A10,'전적확인_시즌11'!$A$2:$S$100,10,0),0) + iferror(vlookup(A10,'전적확인_시즌12'!$A$2:$S$100,10,0),0) + iferror(vlookup(A10,'전적확인_시즌13'!$A$2:$S$100,10,0),0) + iferror(vlookup(A10,'전적확인_시즌14'!$A$2:$S$100,10,0),0) + iferror(vlookup(A10,'전적확인_시즌15'!$A$2:$S$100,10,0),0) + iferror(vlookup(A10,'전적확인_시즌16'!$A$2:$S$100,10,0),0) + iferror(vlookup(A10,'전적확인_시즌17'!$A$2:$S$100,10,0),0) + iferror(vlookup(A10,'전적확인_시즌17'!$A$2:$S$100,10,0),0) + iferror(vlookup(A10,'전적확인_시즌18'!$A$2:$S$100,10,0),0) + iferror(vlookup(A10,'전적확인_시즌19'!$A$2:$S$100,10,0),0) + iferror(vlookup(A10,'전적확인_시즌20'!$A$2:$S$100,10,0),0) + iferror(vlookup(A10,'전적확인_시즌21'!$A$2:$S$100,10,0),0) + iferror(vlookup(A10,'전적확인_시즌22'!$A$2:$S$100,10,0),0) + iferror(vlookup(A10,'전적확인_시즌23'!$A$2:$S$100,10,0),0) + iferror(vlookup(A10,'전적확인_시즌24'!$A$2:$S$100,10,0),0) + iferror(vlookup(A10,'전적확인_시즌25'!$A$2:$S$100,10,0),0) + iferror(vlookup(A10,'전적확인_시즌26'!$A$2:$S$100,10,0),0) + iferror(vlookup(A10,'전적확인_시즌27'!$A$2:$S$100,10,0),0) + iferror(vlookup(A10,'전적확인_시즌28'!$A$2:$S$100,10,0),0) + iferror(vlookup(A10,'전적확인_시즌29'!$A$2:$S$100,10,0),0) + iferror(vlookup(A10,'전적확인_시즌30'!$A$2:$S$100,10,0),0)</f>
        <v>95</v>
      </c>
      <c r="J10" s="98">
        <f>iferror(vlookup(A10,'전적확인'!$A$2:$S$61,11,0),0) + iferror(vlookup(A10,'전적확인_베타시즌'!$A$2:$S$100,11,0),0)+iferror(vlookup(A10,'전적확인_시즌1'!$A$2:$S$100,11,0),0)+iferror(vlookup(A10,'전적확인_시즌2'!$A$2:$S$100,11,0),0)+iferror(vlookup(A10,'전적확인_시즌3'!$A$2:$S$100,11,0),0) + iferror(vlookup(A10,'전적확인_시즌4'!$A$2:$S$100,11,0),0) + iferror(vlookup(A10,'전적확인_시즌5'!$A$2:$S$100,11,0),0) + iferror(vlookup(A10,'전적확인_시즌6'!$A$2:$S$100,11,0),0) + iferror(vlookup(A10,'전적확인_시즌7'!$A$2:$S$100,11,0),0) + iferror(vlookup(A10,'전적확인_시즌8'!$A$2:$S$100,11,0),0) + iferror(vlookup(A10,'전적확인_시즌9'!$A$2:$S$100,11,0),0) + iferror(vlookup(A10,'전적확인_시즌10'!$A$2:$S$100,11,0),0) + iferror(vlookup(A10,'전적확인_시즌11'!$A$2:$S$100,11,0),0) + iferror(vlookup(A10,'전적확인_시즌12'!$A$2:$S$100,11,0),0) + iferror(vlookup(A10,'전적확인_시즌13'!$A$2:$S$100,11,0),0) + iferror(vlookup(A10,'전적확인_시즌14'!$A$2:$S$100,11,0),0) + iferror(vlookup(A10,'전적확인_시즌15'!$A$2:$S$100,11,0),0) + iferror(vlookup(A10,'전적확인_시즌16'!$A$2:$S$100,11,0),0) + iferror(vlookup(A10,'전적확인_시즌17'!$A$2:$S$100,11,0),0) + iferror(vlookup(A10,'전적확인_시즌17'!$A$2:$S$100,11,0),0) + iferror(vlookup(A10,'전적확인_시즌18'!$A$2:$S$100,11,0),0) + iferror(vlookup(A10,'전적확인_시즌19'!$A$2:$S$100,11,0),0) + iferror(vlookup(A10,'전적확인_시즌20'!$A$2:$S$100,11,0),0) + iferror(vlookup(A10,'전적확인_시즌21'!$A$2:$S$100,11,0),0) + iferror(vlookup(A10,'전적확인_시즌22'!$A$2:$S$100,11,0),0) + iferror(vlookup(A10,'전적확인_시즌23'!$A$2:$S$100,11,0),0) + iferror(vlookup(A10,'전적확인_시즌24'!$A$2:$S$100,11,0),0) + iferror(vlookup(A10,'전적확인_시즌25'!$A$2:$S$100,11,0),0) + iferror(vlookup(A10,'전적확인_시즌26'!$A$2:$S$100,11,0),0) + iferror(vlookup(A10,'전적확인_시즌27'!$A$2:$S$100,11,0),0) + iferror(vlookup(A10,'전적확인_시즌28'!$A$2:$S$100,11,0),0) + iferror(vlookup(A10,'전적확인_시즌29'!$A$2:$S$100,11,0),0) + iferror(vlookup(A10,'전적확인_시즌30'!$A$2:$S$100,11,0),0)</f>
        <v>83</v>
      </c>
      <c r="K10" s="98">
        <f t="shared" si="2"/>
        <v>53.37</v>
      </c>
      <c r="L10" s="95">
        <f t="array" ref="L10">iferror(vlookup(A10,INDIRECT('시즌목록'!$H$2 &amp; "!$A$2:$S$100"),10,0),0)</f>
        <v>9</v>
      </c>
      <c r="M10" s="95">
        <f t="array" ref="M10">iferror(vlookup(A10,INDIRECT('시즌목록'!$H$2 &amp; "!$A$2:$S$100"),11,0),0)</f>
        <v>3</v>
      </c>
      <c r="N10" s="98">
        <f t="shared" si="3"/>
        <v>75</v>
      </c>
      <c r="O10" s="95" t="str">
        <f t="shared" si="4"/>
        <v>아이언</v>
      </c>
      <c r="P10" s="98">
        <f>iferror(vlookup(A10,'전적확인'!$A$2:$S$61,2,0),0)+ iferror(vlookup(A10,'전적확인_베타시즌'!$A$2:$S$100,2,0),0)+iferror(vlookup(A10,'전적확인_시즌1'!$A$2:$S$100,2,0),0)+iferror(vlookup(A10,'전적확인_시즌2'!$A$2:$S$100,2,0),0)+iferror(vlookup(A10,'전적확인_시즌3'!$A$2:$S$100,2,0),0) + iferror(vlookup(A10,'전적확인_시즌4'!$A$2:$S$100,2,0),0) + iferror(vlookup(A10,'전적확인_시즌5'!$A$2:$S$100,2,0),0) + iferror(vlookup(A10,'전적확인_시즌6'!$A$2:$S$100,2,0),0) + iferror(vlookup(A10,'전적확인_시즌7'!$A$2:$S$100,2,0),0) + iferror(vlookup(A10,'전적확인_시즌8'!$A$2:$S$100,2,0),0) + iferror(vlookup(A10,'전적확인_시즌9'!$A$2:$S$100,2,0),0) + iferror(vlookup(A10,'전적확인_시즌10'!$A$2:$S$100,2,0),0) + iferror(vlookup(A10,'전적확인_시즌11'!$A$2:$S$100,2,0),0) + iferror(vlookup(A10,'전적확인_시즌12'!$A$2:$S$100,2,0),0) + iferror(vlookup(A10,'전적확인_시즌13'!$A$2:$S$100,2,0),0) + iferror(vlookup(A10,'전적확인_시즌14'!$A$2:$S$100,2,0),0) + iferror(vlookup(A10,'전적확인_시즌15'!$A$2:$S$100,2,0),0) + iferror(vlookup(A10,'전적확인_시즌16'!$A$2:$S$100,2,0),0) + iferror(vlookup(A10,'전적확인_시즌17'!$A$2:$S$100,2,0),0) + iferror(vlookup(A10,'전적확인_시즌17'!$A$2:$S$100,2,0),0) + iferror(vlookup(A10,'전적확인_시즌18'!$A$2:$S$100,2,0),0) + iferror(vlookup(A10,'전적확인_시즌19'!$A$2:$S$100,2,0),0) + iferror(vlookup(A10,'전적확인_시즌20'!$A$2:$S$100,2,0),0) + iferror(vlookup(A10,'전적확인_시즌21'!$A$2:$S$100,2,0),0) + iferror(vlookup(A10,'전적확인_시즌22'!$A$2:$S$100,2,0),0) + iferror(vlookup(A10,'전적확인_시즌23'!$A$2:$S$100,2,0),0) + iferror(vlookup(A10,'전적확인_시즌24'!$A$2:$S$100,2,0),0) + iferror(vlookup(A10,'전적확인_시즌25'!$A$2:$S$100,2,0),0) + iferror(vlookup(A10,'전적확인_시즌26'!$A$2:$S$100,2,0),0) + iferror(vlookup(A10,'전적확인_시즌27'!$A$2:$S$100,2,0),0) + iferror(vlookup(A10,'전적확인_시즌28'!$A$2:$S$100,2,0),0) + iferror(vlookup(A10,'전적확인_시즌29'!$A$2:$S$100,2,0),0) + iferror(vlookup(A10,'전적확인_시즌30'!$A$2:$S$100,2,0),0)</f>
        <v>35</v>
      </c>
      <c r="Q10" s="98">
        <f>iferror(vlookup(A10,'전적확인'!$A$2:$S$61,3,0),0)+ iferror(vlookup(A10,'전적확인_베타시즌'!$A$2:$S$100,3,0),0)+iferror(vlookup(A10,'전적확인_시즌1'!$A$2:$S$100,3,0),0)+iferror(vlookup(A10,'전적확인_시즌2'!$A$2:$S$100,3,0),0)+iferror(vlookup(A10,'전적확인_시즌3'!$A$2:$S$100,3,0),0) + iferror(vlookup(A10,'전적확인_시즌4'!$A$2:$S$100,3,0),0) + iferror(vlookup(A10,'전적확인_시즌5'!$A$2:$S$100,3,0),0) + iferror(vlookup(A10,'전적확인_시즌6'!$A$2:$S$100,3,0),0) + iferror(vlookup(A10,'전적확인_시즌7'!$A$2:$S$100,3,0),0) + iferror(vlookup(A10,'전적확인_시즌8'!$A$2:$S$100,3,0),0) + iferror(vlookup(A10,'전적확인_시즌9'!$A$2:$S$100,3,0),0) + iferror(vlookup(A10,'전적확인_시즌10'!$A$2:$S$100,3,0),0) + iferror(vlookup(A10,'전적확인_시즌11'!$A$2:$S$100,3,0),0) + iferror(vlookup(A10,'전적확인_시즌12'!$A$2:$S$100,3,0),0) + iferror(vlookup(A10,'전적확인_시즌13'!$A$2:$S$100,3,0),0) + iferror(vlookup(A10,'전적확인_시즌14'!$A$2:$S$100,3,0),0) + iferror(vlookup(A10,'전적확인_시즌15'!$A$2:$S$100,3,0),0) + iferror(vlookup(A10,'전적확인_시즌16'!$A$2:$S$100,3,0),0) + iferror(vlookup(A10,'전적확인_시즌17'!$A$2:$S$100,3,0),0) + iferror(vlookup(A10,'전적확인_시즌17'!$A$2:$S$100,3,0),0) + iferror(vlookup(A10,'전적확인_시즌18'!$A$2:$S$100,3,0),0) + iferror(vlookup(A10,'전적확인_시즌19'!$A$2:$S$100,3,0),0) + iferror(vlookup(A10,'전적확인_시즌20'!$A$2:$S$100,3,0),0) + iferror(vlookup(A10,'전적확인_시즌21'!$A$2:$S$100,3,0),0) + iferror(vlookup(A10,'전적확인_시즌22'!$A$2:$S$100,3,0),0) + iferror(vlookup(A10,'전적확인_시즌23'!$A$2:$S$100,3,0),0) + iferror(vlookup(A10,'전적확인_시즌24'!$A$2:$S$100,3,0),0) + iferror(vlookup(A10,'전적확인_시즌25'!$A$2:$S$100,3,0),0) + iferror(vlookup(A10,'전적확인_시즌26'!$A$2:$S$100,3,0),0) + iferror(vlookup(A10,'전적확인_시즌27'!$A$2:$S$100,3,0),0) + iferror(vlookup(A10,'전적확인_시즌28'!$A$2:$S$100,3,0),0) + iferror(vlookup(A10,'전적확인_시즌29'!$A$2:$S$100,3,0),0) + iferror(vlookup(A10,'전적확인_시즌30'!$A$2:$S$100,3,0),0)</f>
        <v>26</v>
      </c>
      <c r="R10" s="98">
        <f t="shared" si="5"/>
        <v>57.38</v>
      </c>
      <c r="S10" s="98">
        <f>iferror(vlookup(A10,'전적확인'!$A$2:$S$61,4,0),0) + iferror(vlookup(A10,'전적확인_베타시즌'!$A$2:$S$100,4,0),0)+iferror(vlookup(A10,'전적확인_시즌1'!$A$2:$S$100,4,0),0)+iferror(vlookup(A10,'전적확인_시즌2'!$A$2:$S$100,4,0),0)+iferror(vlookup(A10,'전적확인_시즌3'!$A$2:$S$100,4,0),0) + iferror(vlookup(A10,'전적확인_시즌4'!$A$2:$S$100,4,0),0) + iferror(vlookup(A10,'전적확인_시즌5'!$A$2:$S$100,4,0),0) + iferror(vlookup(A10,'전적확인_시즌6'!$A$2:$S$100,4,0),0) + iferror(vlookup(A10,'전적확인_시즌7'!$A$2:$S$100,4,0),0) + iferror(vlookup(A10,'전적확인_시즌8'!$A$2:$S$100,4,0),0) + iferror(vlookup(A10,'전적확인_시즌9'!$A$2:$S$100,4,0),0) + iferror(vlookup(A10,'전적확인_시즌10'!$A$2:$S$100,4,0),0) + iferror(vlookup(A10,'전적확인_시즌11'!$A$2:$S$100,4,0),0) + iferror(vlookup(A10,'전적확인_시즌12'!$A$2:$S$100,4,0),0) + iferror(vlookup(A10,'전적확인_시즌13'!$A$2:$S$100,4,0),0) + iferror(vlookup(A10,'전적확인_시즌14'!$A$2:$S$100,4,0),0) + iferror(vlookup(A10,'전적확인_시즌15'!$A$2:$S$100,4,0),0) + iferror(vlookup(A10,'전적확인_시즌16'!$A$2:$S$100,4,0),0) + iferror(vlookup(A10,'전적확인_시즌17'!$A$2:$S$100,4,0),0) + iferror(vlookup(A10,'전적확인_시즌17'!$A$2:$S$100,4,0),0) + iferror(vlookup(A10,'전적확인_시즌18'!$A$2:$S$100,4,0),0) + iferror(vlookup(A10,'전적확인_시즌19'!$A$2:$S$100,4,0),0) + iferror(vlookup(A10,'전적확인_시즌20'!$A$2:$S$100,4,0),0) + iferror(vlookup(A10,'전적확인_시즌21'!$A$2:$S$100,4,0),0) + iferror(vlookup(A10,'전적확인_시즌22'!$A$2:$S$100,4,0),0) + iferror(vlookup(A10,'전적확인_시즌23'!$A$2:$S$100,4,0),0) + iferror(vlookup(A10,'전적확인_시즌24'!$A$2:$S$100,4,0),0) + iferror(vlookup(A10,'전적확인_시즌25'!$A$2:$S$100,4,0),0) + iferror(vlookup(A10,'전적확인_시즌26'!$A$2:$S$100,4,0),0) + iferror(vlookup(A10,'전적확인_시즌27'!$A$2:$S$100,4,0),0) + iferror(vlookup(A10,'전적확인_시즌28'!$A$2:$S$100,4,0),0) + iferror(vlookup(A10,'전적확인_시즌29'!$A$2:$S$100,4,0),0) + iferror(vlookup(A10,'전적확인_시즌30'!$A$2:$S$100,4,0),0)</f>
        <v>1</v>
      </c>
      <c r="T10" s="98">
        <f>iferror(vlookup(A10,'전적확인'!$A$2:$S$61,5,0),0) + iferror(vlookup(A10,'전적확인_베타시즌'!$A$2:$S$100,5,0),0)+iferror(vlookup(A10,'전적확인_시즌1'!$A$2:$S$100,5,0),0)+iferror(vlookup(A10,'전적확인_시즌2'!$A$2:$S$100,5,0),0)+iferror(vlookup(A10,'전적확인_시즌3'!$A$2:$S$100,5,0),0) + iferror(vlookup(A10,'전적확인_시즌4'!$A$2:$S$100,5,0),0) + iferror(vlookup(A10,'전적확인_시즌5'!$A$2:$S$100,5,0),0) + iferror(vlookup(A10,'전적확인_시즌6'!$A$2:$S$100,5,0),0) + iferror(vlookup(A10,'전적확인_시즌7'!$A$2:$S$100,5,0),0) + iferror(vlookup(A10,'전적확인_시즌8'!$A$2:$S$100,5,0),0) + iferror(vlookup(A10,'전적확인_시즌9'!$A$2:$S$100,5,0),0) + iferror(vlookup(A10,'전적확인_시즌10'!$A$2:$S$100,5,0),0) + iferror(vlookup(A10,'전적확인_시즌11'!$A$2:$S$100,5,0),0) + iferror(vlookup(A10,'전적확인_시즌12'!$A$2:$S$100,5,0),0) + iferror(vlookup(A10,'전적확인_시즌13'!$A$2:$S$100,5,0),0) + iferror(vlookup(A10,'전적확인_시즌14'!$A$2:$S$100,5,0),0) + iferror(vlookup(A10,'전적확인_시즌15'!$A$2:$S$100,5,0),0) + iferror(vlookup(A10,'전적확인_시즌16'!$A$2:$S$100,5,0),0) + iferror(vlookup(A10,'전적확인_시즌17'!$A$2:$S$100,5,0),0) + iferror(vlookup(A10,'전적확인_시즌17'!$A$2:$S$100,5,0),0) + iferror(vlookup(A10,'전적확인_시즌18'!$A$2:$S$100,5,0),0) + iferror(vlookup(A10,'전적확인_시즌19'!$A$2:$S$100,5,0),0) + iferror(vlookup(A10,'전적확인_시즌20'!$A$2:$S$100,5,0),0) + iferror(vlookup(A10,'전적확인_시즌21'!$A$2:$S$100,5,0),0) + iferror(vlookup(A10,'전적확인_시즌22'!$A$2:$S$100,5,0),0) + iferror(vlookup(A10,'전적확인_시즌23'!$A$2:$S$100,5,0),0) + iferror(vlookup(A10,'전적확인_시즌24'!$A$2:$S$100,5,0),0) + iferror(vlookup(A10,'전적확인_시즌25'!$A$2:$S$100,5,0),0) + iferror(vlookup(A10,'전적확인_시즌26'!$A$2:$S$100,5,0),0) + iferror(vlookup(A10,'전적확인_시즌27'!$A$2:$S$100,5,0),0) + iferror(vlookup(A10,'전적확인_시즌28'!$A$2:$S$100,5,0),0) + iferror(vlookup(A10,'전적확인_시즌29'!$A$2:$S$100,5,0),0) + iferror(vlookup(A10,'전적확인_시즌30'!$A$2:$S$100,5,0),0)</f>
        <v>1</v>
      </c>
      <c r="U10" s="98">
        <f t="shared" si="6"/>
        <v>50</v>
      </c>
      <c r="V10" s="98">
        <f>iferror(vlookup(A10,'전적확인'!$A$2:$S$61,6,0),0)+ iferror(vlookup(A10,'전적확인_베타시즌'!$A$2:$S$100,6,0),0)+iferror(vlookup(A10,'전적확인_시즌1'!$A$2:$S$100,6,0),0)+iferror(vlookup(A10,'전적확인_시즌2'!$A$2:$S$100,6,0),0)+iferror(vlookup(A10,'전적확인_시즌3'!$A$2:$S$100,6,0),0) + iferror(vlookup(A10,'전적확인_시즌4'!$A$2:$S$100,6,0),0) + iferror(vlookup(A10,'전적확인_시즌5'!$A$2:$S$100,6,0),0) + iferror(vlookup(A10,'전적확인_시즌6'!$A$2:$S$100,6,0),0) + iferror(vlookup(A10,'전적확인_시즌7'!$A$2:$S$100,6,0),0) + iferror(vlookup(A10,'전적확인_시즌8'!$A$2:$S$100,6,0),0) + iferror(vlookup(A10,'전적확인_시즌9'!$A$2:$S$100,6,0),0) + iferror(vlookup(A10,'전적확인_시즌10'!$A$2:$S$100,6,0),0) + iferror(vlookup(A10,'전적확인_시즌11'!$A$2:$S$100,6,0),0) + iferror(vlookup(A10,'전적확인_시즌12'!$A$2:$S$100,6,0),0) + iferror(vlookup(A10,'전적확인_시즌13'!$A$2:$S$100,6,0),0) + iferror(vlookup(A10,'전적확인_시즌14'!$A$2:$S$100,6,0),0) + iferror(vlookup(A10,'전적확인_시즌15'!$A$2:$S$100,6,0),0) + iferror(vlookup(A10,'전적확인_시즌16'!$A$2:$S$100,6,0),0) + iferror(vlookup(A10,'전적확인_시즌17'!$A$2:$S$100,6,0),0) + iferror(vlookup(A10,'전적확인_시즌17'!$A$2:$S$100,6,0),0) + iferror(vlookup(A10,'전적확인_시즌18'!$A$2:$S$100,6,0),0) + iferror(vlookup(A10,'전적확인_시즌19'!$A$2:$S$100,6,0),0) + iferror(vlookup(A10,'전적확인_시즌20'!$A$2:$S$100,6,0),0) + iferror(vlookup(A10,'전적확인_시즌21'!$A$2:$S$100,6,0),0) + iferror(vlookup(A10,'전적확인_시즌22'!$A$2:$S$100,6,0),0) + iferror(vlookup(A10,'전적확인_시즌23'!$A$2:$S$100,6,0),0) + iferror(vlookup(A10,'전적확인_시즌24'!$A$2:$S$100,6,0),0) + iferror(vlookup(A10,'전적확인_시즌25'!$A$2:$S$100,6,0),0) + iferror(vlookup(A10,'전적확인_시즌26'!$A$2:$S$100,6,0),0) + iferror(vlookup(A10,'전적확인_시즌27'!$A$2:$S$100,6,0),0) + iferror(vlookup(A10,'전적확인_시즌28'!$A$2:$S$100,6,0),0) + iferror(vlookup(A10,'전적확인_시즌29'!$A$2:$S$100,6,0),0) + iferror(vlookup(A10,'전적확인_시즌30'!$A$2:$S$100,6,0),0)</f>
        <v>21</v>
      </c>
      <c r="W10" s="98">
        <f> iferror(vlookup(A10,'전적확인'!$A$2:$S$61,7,0),0)+ iferror(vlookup(A10,'전적확인_베타시즌'!$A$2:$S$100,7,0),0)+iferror(vlookup(A10,'전적확인_시즌1'!$A$2:$S$100,7,0),0)+iferror(vlookup(A10,'전적확인_시즌2'!$A$2:$S$100,7,0),0)+iferror(vlookup(A10,'전적확인_시즌3'!$A$2:$S$100,7,0),0) + iferror(vlookup(A10,'전적확인_시즌4'!$A$2:$S$100,7,0),0) + iferror(vlookup(A10,'전적확인_시즌5'!$A$2:$S$100,7,0),0) + iferror(vlookup(A10,'전적확인_시즌6'!$A$2:$S$100,7,0),0) + iferror(vlookup(A10,'전적확인_시즌7'!$A$2:$S$100,7,0),0) + iferror(vlookup(A10,'전적확인_시즌8'!$A$2:$S$100,7,0),0) + iferror(vlookup(A10,'전적확인_시즌9'!$A$2:$S$100,7,0),0) + iferror(vlookup(A10,'전적확인_시즌10'!$A$2:$S$100,7,0),0) + iferror(vlookup(A10,'전적확인_시즌11'!$A$2:$S$100,7,0),0) + iferror(vlookup(A10,'전적확인_시즌12'!$A$2:$S$100,7,0),0) + iferror(vlookup(A10,'전적확인_시즌13'!$A$2:$S$100,7,0),0) + iferror(vlookup(A10,'전적확인_시즌14'!$A$2:$S$100,7,0),0) + iferror(vlookup(A10,'전적확인_시즌15'!$A$2:$S$100,7,0),0) + iferror(vlookup(A10,'전적확인_시즌16'!$A$2:$S$100,7,0),0) + iferror(vlookup(A10,'전적확인_시즌17'!$A$2:$S$100,7,0),0) + iferror(vlookup(A10,'전적확인_시즌17'!$A$2:$S$100,7,0),0) + iferror(vlookup(A10,'전적확인_시즌18'!$A$2:$S$100,7,0),0) + iferror(vlookup(A10,'전적확인_시즌19'!$A$2:$S$100,7,0),0) + iferror(vlookup(A10,'전적확인_시즌20'!$A$2:$S$100,7,0),0) + iferror(vlookup(A10,'전적확인_시즌21'!$A$2:$S$100,7,0),0) + iferror(vlookup(A10,'전적확인_시즌22'!$A$2:$S$100,7,0),0) + iferror(vlookup(A10,'전적확인_시즌23'!$A$2:$S$100,7,0),0) + iferror(vlookup(A10,'전적확인_시즌24'!$A$2:$S$100,7,0),0) + iferror(vlookup(A10,'전적확인_시즌25'!$A$2:$S$100,7,0),0) + iferror(vlookup(A10,'전적확인_시즌26'!$A$2:$S$100,7,0),0) + iferror(vlookup(A10,'전적확인_시즌27'!$A$2:$S$100,7,0),0) + iferror(vlookup(A10,'전적확인_시즌28'!$A$2:$S$100,7,0),0) + iferror(vlookup(A10,'전적확인_시즌29'!$A$2:$S$100,7,0),0) + iferror(vlookup(A10,'전적확인_시즌30'!$A$2:$S$100,7,0),0)</f>
        <v>27</v>
      </c>
      <c r="X10" s="98">
        <f t="shared" si="7"/>
        <v>43.75</v>
      </c>
      <c r="Y10" s="98">
        <f>iferror(vlookup(A10,'전적확인'!$A$2:$S$61,8,0),0) + iferror(vlookup(A10,'전적확인_베타시즌'!$A$2:$S$100,8,0),0)+iferror(vlookup(A10,'전적확인_시즌1'!$A$2:$S$100,8,0),0)+iferror(vlookup(A10,'전적확인_시즌2'!$A$2:$S$100,8,0),0)+iferror(vlookup(A10,'전적확인_시즌3'!$A$2:$S$100,8,0),0) + iferror(vlookup(A10,'전적확인_시즌4'!$A$2:$S$100,8,0),0) + iferror(vlookup(A10,'전적확인_시즌5'!$A$2:$S$100,8,0),0) + iferror(vlookup(A10,'전적확인_시즌6'!$A$2:$S$100,8,0),0) + iferror(vlookup(A10,'전적확인_시즌7'!$A$2:$S$100,8,0),0) + iferror(vlookup(A10,'전적확인_시즌8'!$A$2:$S$100,8,0),0) + iferror(vlookup(A10,'전적확인_시즌9'!$A$2:$S$100,8,0),0) + iferror(vlookup(A10,'전적확인_시즌10'!$A$2:$S$100,8,0),0) + iferror(vlookup(A10,'전적확인_시즌11'!$A$2:$S$100,8,0),0) + iferror(vlookup(A10,'전적확인_시즌12'!$A$2:$S$100,8,0),0) + iferror(vlookup(A10,'전적확인_시즌13'!$A$2:$S$100,8,0),0) + iferror(vlookup(A10,'전적확인_시즌14'!$A$2:$S$100,8,0),0) + iferror(vlookup(A10,'전적확인_시즌15'!$A$2:$S$100,8,0),0) + iferror(vlookup(A10,'전적확인_시즌16'!$A$2:$S$100,8,0),0) + iferror(vlookup(A10,'전적확인_시즌17'!$A$2:$S$100,8,0),0) + iferror(vlookup(A10,'전적확인_시즌17'!$A$2:$S$100,8,0),0) + iferror(vlookup(A10,'전적확인_시즌18'!$A$2:$S$100,8,0),0) + iferror(vlookup(A10,'전적확인_시즌19'!$A$2:$S$100,8,0),0) + iferror(vlookup(A10,'전적확인_시즌20'!$A$2:$S$100,8,0),0) + iferror(vlookup(A10,'전적확인_시즌21'!$A$2:$S$100,8,0),0) + iferror(vlookup(A10,'전적확인_시즌22'!$A$2:$S$100,8,0),0) + iferror(vlookup(A10,'전적확인_시즌23'!$A$2:$S$100,8,0),0) + iferror(vlookup(A10,'전적확인_시즌24'!$A$2:$S$100,8,0),0) + iferror(vlookup(A10,'전적확인_시즌25'!$A$2:$S$100,8,0),0) + iferror(vlookup(A10,'전적확인_시즌26'!$A$2:$S$100,8,0),0) + iferror(vlookup(A10,'전적확인_시즌27'!$A$2:$S$100,8,0),0) + iferror(vlookup(A10,'전적확인_시즌28'!$A$2:$S$100,8,0),0) + iferror(vlookup(A10,'전적확인_시즌29'!$A$2:$S$100,8,0),0) + iferror(vlookup(A10,'전적확인_시즌30'!$A$2:$S$100,8,0),0)</f>
        <v>38</v>
      </c>
      <c r="Z10" s="98">
        <f>iferror(vlookup(A10,'전적확인'!$A$2:$S$61,9,0),0) + iferror(vlookup(A10,'전적확인_베타시즌'!$A$2:$S$100,9,0),0)+iferror(vlookup(A10,'전적확인_시즌1'!$A$2:$S$100,9,0),0)+iferror(vlookup(A10,'전적확인_시즌2'!$A$2:$S$100,9,0),0)+iferror(vlookup(A10,'전적확인_시즌3'!$A$2:$S$100,9,0),0) + iferror(vlookup(A10,'전적확인_시즌4'!$A$2:$S$100,9,0),0) + iferror(vlookup(A10,'전적확인_시즌5'!$A$2:$S$100,9,0),0) + iferror(vlookup(A10,'전적확인_시즌6'!$A$2:$S$100,9,0),0) + iferror(vlookup(A10,'전적확인_시즌7'!$A$2:$S$100,9,0),0) + iferror(vlookup(A10,'전적확인_시즌8'!$A$2:$S$100,9,0),0) + iferror(vlookup(A10,'전적확인_시즌9'!$A$2:$S$100,9,0),0) + iferror(vlookup(A10,'전적확인_시즌10'!$A$2:$S$100,9,0),0) + iferror(vlookup(A10,'전적확인_시즌11'!$A$2:$S$100,9,0),0) + iferror(vlookup(A10,'전적확인_시즌12'!$A$2:$S$100,9,0),0) + iferror(vlookup(A10,'전적확인_시즌13'!$A$2:$S$100,9,0),0) + iferror(vlookup(A10,'전적확인_시즌14'!$A$2:$S$100,9,0),0) + iferror(vlookup(A10,'전적확인_시즌15'!$A$2:$S$100,9,0),0) + iferror(vlookup(A10,'전적확인_시즌16'!$A$2:$S$100,9,0),0) + iferror(vlookup(A10,'전적확인_시즌17'!$A$2:$S$100,9,0),0) + iferror(vlookup(A10,'전적확인_시즌17'!$A$2:$S$100,9,0),0) + iferror(vlookup(A10,'전적확인_시즌18'!$A$2:$S$100,9,0),0) + iferror(vlookup(A10,'전적확인_시즌19'!$A$2:$S$100,9,0),0) + iferror(vlookup(A10,'전적확인_시즌20'!$A$2:$S$100,9,0),0) + iferror(vlookup(A10,'전적확인_시즌21'!$A$2:$S$100,9,0),0) + iferror(vlookup(A10,'전적확인_시즌22'!$A$2:$S$100,9,0),0) + iferror(vlookup(A10,'전적확인_시즌23'!$A$2:$S$100,9,0),0) + iferror(vlookup(A10,'전적확인_시즌24'!$A$2:$S$100,9,0),0) + iferror(vlookup(A10,'전적확인_시즌25'!$A$2:$S$100,9,0),0) + iferror(vlookup(A10,'전적확인_시즌26'!$A$2:$S$100,9,0),0) + iferror(vlookup(A10,'전적확인_시즌27'!$A$2:$S$100,9,0),0) + iferror(vlookup(A10,'전적확인_시즌28'!$A$2:$S$100,9,0),0) + iferror(vlookup(A10,'전적확인_시즌29'!$A$2:$S$100,9,0),0) + iferror(vlookup(A10,'전적확인_시즌30'!$A$2:$S$100,9,0),0)</f>
        <v>29</v>
      </c>
      <c r="AA10" s="98">
        <f t="shared" si="8"/>
        <v>56.72</v>
      </c>
      <c r="AB10" s="2"/>
      <c r="AC10" s="2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>
      <c r="A11" s="95" t="s">
        <v>53</v>
      </c>
      <c r="B11" s="95" t="s">
        <v>9680</v>
      </c>
      <c r="C11" s="95" t="s">
        <v>9681</v>
      </c>
      <c r="D11" s="96" t="s">
        <v>9682</v>
      </c>
      <c r="E11" s="96" t="s">
        <v>9683</v>
      </c>
      <c r="F11" s="1" t="s">
        <v>47</v>
      </c>
      <c r="G11" s="1" t="s">
        <v>9684</v>
      </c>
      <c r="H11" s="98">
        <f t="shared" si="1"/>
        <v>553</v>
      </c>
      <c r="I11" s="98">
        <f>iferror(vlookup(A11,'전적확인'!$A$2:$S$61,10,0),0) + iferror(vlookup(A11,'전적확인_베타시즌'!$A$2:$S$100,10,0),0)+iferror(vlookup(A11,'전적확인_시즌1'!$A$2:$S$100,10,0),0)+iferror(vlookup(A11,'전적확인_시즌2'!$A$2:$S$100,10,0),0)+iferror(vlookup(A11,'전적확인_시즌3'!$A$2:$S$100,10,0),0) + iferror(vlookup(A11,'전적확인_시즌4'!$A$2:$S$100,10,0),0) + iferror(vlookup(A11,'전적확인_시즌5'!$A$2:$S$100,10,0),0) + iferror(vlookup(A11,'전적확인_시즌6'!$A$2:$S$100,10,0),0) + iferror(vlookup(A11,'전적확인_시즌7'!$A$2:$S$100,10,0),0) + iferror(vlookup(A11,'전적확인_시즌8'!$A$2:$S$100,10,0),0) + iferror(vlookup(A11,'전적확인_시즌9'!$A$2:$S$100,10,0),0) + iferror(vlookup(A11,'전적확인_시즌10'!$A$2:$S$100,10,0),0) + iferror(vlookup(A11,'전적확인_시즌11'!$A$2:$S$100,10,0),0) + iferror(vlookup(A11,'전적확인_시즌12'!$A$2:$S$100,10,0),0) + iferror(vlookup(A11,'전적확인_시즌13'!$A$2:$S$100,10,0),0) + iferror(vlookup(A11,'전적확인_시즌14'!$A$2:$S$100,10,0),0) + iferror(vlookup(A11,'전적확인_시즌15'!$A$2:$S$100,10,0),0) + iferror(vlookup(A11,'전적확인_시즌16'!$A$2:$S$100,10,0),0) + iferror(vlookup(A11,'전적확인_시즌17'!$A$2:$S$100,10,0),0) + iferror(vlookup(A11,'전적확인_시즌17'!$A$2:$S$100,10,0),0) + iferror(vlookup(A11,'전적확인_시즌18'!$A$2:$S$100,10,0),0) + iferror(vlookup(A11,'전적확인_시즌19'!$A$2:$S$100,10,0),0) + iferror(vlookup(A11,'전적확인_시즌20'!$A$2:$S$100,10,0),0) + iferror(vlookup(A11,'전적확인_시즌21'!$A$2:$S$100,10,0),0) + iferror(vlookup(A11,'전적확인_시즌22'!$A$2:$S$100,10,0),0) + iferror(vlookup(A11,'전적확인_시즌23'!$A$2:$S$100,10,0),0) + iferror(vlookup(A11,'전적확인_시즌24'!$A$2:$S$100,10,0),0) + iferror(vlookup(A11,'전적확인_시즌25'!$A$2:$S$100,10,0),0) + iferror(vlookup(A11,'전적확인_시즌26'!$A$2:$S$100,10,0),0) + iferror(vlookup(A11,'전적확인_시즌27'!$A$2:$S$100,10,0),0) + iferror(vlookup(A11,'전적확인_시즌28'!$A$2:$S$100,10,0),0) + iferror(vlookup(A11,'전적확인_시즌29'!$A$2:$S$100,10,0),0) + iferror(vlookup(A11,'전적확인_시즌30'!$A$2:$S$100,10,0),0)</f>
        <v>294</v>
      </c>
      <c r="J11" s="98">
        <f>iferror(vlookup(A11,'전적확인'!$A$2:$S$61,11,0),0) + iferror(vlookup(A11,'전적확인_베타시즌'!$A$2:$S$100,11,0),0)+iferror(vlookup(A11,'전적확인_시즌1'!$A$2:$S$100,11,0),0)+iferror(vlookup(A11,'전적확인_시즌2'!$A$2:$S$100,11,0),0)+iferror(vlookup(A11,'전적확인_시즌3'!$A$2:$S$100,11,0),0) + iferror(vlookup(A11,'전적확인_시즌4'!$A$2:$S$100,11,0),0) + iferror(vlookup(A11,'전적확인_시즌5'!$A$2:$S$100,11,0),0) + iferror(vlookup(A11,'전적확인_시즌6'!$A$2:$S$100,11,0),0) + iferror(vlookup(A11,'전적확인_시즌7'!$A$2:$S$100,11,0),0) + iferror(vlookup(A11,'전적확인_시즌8'!$A$2:$S$100,11,0),0) + iferror(vlookup(A11,'전적확인_시즌9'!$A$2:$S$100,11,0),0) + iferror(vlookup(A11,'전적확인_시즌10'!$A$2:$S$100,11,0),0) + iferror(vlookup(A11,'전적확인_시즌11'!$A$2:$S$100,11,0),0) + iferror(vlookup(A11,'전적확인_시즌12'!$A$2:$S$100,11,0),0) + iferror(vlookup(A11,'전적확인_시즌13'!$A$2:$S$100,11,0),0) + iferror(vlookup(A11,'전적확인_시즌14'!$A$2:$S$100,11,0),0) + iferror(vlookup(A11,'전적확인_시즌15'!$A$2:$S$100,11,0),0) + iferror(vlookup(A11,'전적확인_시즌16'!$A$2:$S$100,11,0),0) + iferror(vlookup(A11,'전적확인_시즌17'!$A$2:$S$100,11,0),0) + iferror(vlookup(A11,'전적확인_시즌17'!$A$2:$S$100,11,0),0) + iferror(vlookup(A11,'전적확인_시즌18'!$A$2:$S$100,11,0),0) + iferror(vlookup(A11,'전적확인_시즌19'!$A$2:$S$100,11,0),0) + iferror(vlookup(A11,'전적확인_시즌20'!$A$2:$S$100,11,0),0) + iferror(vlookup(A11,'전적확인_시즌21'!$A$2:$S$100,11,0),0) + iferror(vlookup(A11,'전적확인_시즌22'!$A$2:$S$100,11,0),0) + iferror(vlookup(A11,'전적확인_시즌23'!$A$2:$S$100,11,0),0) + iferror(vlookup(A11,'전적확인_시즌24'!$A$2:$S$100,11,0),0) + iferror(vlookup(A11,'전적확인_시즌25'!$A$2:$S$100,11,0),0) + iferror(vlookup(A11,'전적확인_시즌26'!$A$2:$S$100,11,0),0) + iferror(vlookup(A11,'전적확인_시즌27'!$A$2:$S$100,11,0),0) + iferror(vlookup(A11,'전적확인_시즌28'!$A$2:$S$100,11,0),0) + iferror(vlookup(A11,'전적확인_시즌29'!$A$2:$S$100,11,0),0) + iferror(vlookup(A11,'전적확인_시즌30'!$A$2:$S$100,11,0),0)</f>
        <v>259</v>
      </c>
      <c r="K11" s="98">
        <f t="shared" si="2"/>
        <v>53.16</v>
      </c>
      <c r="L11" s="95">
        <f t="array" ref="L11">iferror(vlookup(A11,INDIRECT('시즌목록'!$H$2 &amp; "!$A$2:$S$100"),10,0),0)</f>
        <v>6</v>
      </c>
      <c r="M11" s="95">
        <f t="array" ref="M11">iferror(vlookup(A11,INDIRECT('시즌목록'!$H$2 &amp; "!$A$2:$S$100"),11,0),0)</f>
        <v>11</v>
      </c>
      <c r="N11" s="98">
        <f t="shared" si="3"/>
        <v>35.29</v>
      </c>
      <c r="O11" s="95" t="str">
        <f t="shared" si="4"/>
        <v>아이언</v>
      </c>
      <c r="P11" s="98">
        <f>iferror(vlookup(A11,'전적확인'!$A$2:$S$61,2,0),0)+ iferror(vlookup(A11,'전적확인_베타시즌'!$A$2:$S$100,2,0),0)+iferror(vlookup(A11,'전적확인_시즌1'!$A$2:$S$100,2,0),0)+iferror(vlookup(A11,'전적확인_시즌2'!$A$2:$S$100,2,0),0)+iferror(vlookup(A11,'전적확인_시즌3'!$A$2:$S$100,2,0),0) + iferror(vlookup(A11,'전적확인_시즌4'!$A$2:$S$100,2,0),0) + iferror(vlookup(A11,'전적확인_시즌5'!$A$2:$S$100,2,0),0) + iferror(vlookup(A11,'전적확인_시즌6'!$A$2:$S$100,2,0),0) + iferror(vlookup(A11,'전적확인_시즌7'!$A$2:$S$100,2,0),0) + iferror(vlookup(A11,'전적확인_시즌8'!$A$2:$S$100,2,0),0) + iferror(vlookup(A11,'전적확인_시즌9'!$A$2:$S$100,2,0),0) + iferror(vlookup(A11,'전적확인_시즌10'!$A$2:$S$100,2,0),0) + iferror(vlookup(A11,'전적확인_시즌11'!$A$2:$S$100,2,0),0) + iferror(vlookup(A11,'전적확인_시즌12'!$A$2:$S$100,2,0),0) + iferror(vlookup(A11,'전적확인_시즌13'!$A$2:$S$100,2,0),0) + iferror(vlookup(A11,'전적확인_시즌14'!$A$2:$S$100,2,0),0) + iferror(vlookup(A11,'전적확인_시즌15'!$A$2:$S$100,2,0),0) + iferror(vlookup(A11,'전적확인_시즌16'!$A$2:$S$100,2,0),0) + iferror(vlookup(A11,'전적확인_시즌17'!$A$2:$S$100,2,0),0) + iferror(vlookup(A11,'전적확인_시즌17'!$A$2:$S$100,2,0),0) + iferror(vlookup(A11,'전적확인_시즌18'!$A$2:$S$100,2,0),0) + iferror(vlookup(A11,'전적확인_시즌19'!$A$2:$S$100,2,0),0) + iferror(vlookup(A11,'전적확인_시즌20'!$A$2:$S$100,2,0),0) + iferror(vlookup(A11,'전적확인_시즌21'!$A$2:$S$100,2,0),0) + iferror(vlookup(A11,'전적확인_시즌22'!$A$2:$S$100,2,0),0) + iferror(vlookup(A11,'전적확인_시즌23'!$A$2:$S$100,2,0),0) + iferror(vlookup(A11,'전적확인_시즌24'!$A$2:$S$100,2,0),0) + iferror(vlookup(A11,'전적확인_시즌25'!$A$2:$S$100,2,0),0) + iferror(vlookup(A11,'전적확인_시즌26'!$A$2:$S$100,2,0),0) + iferror(vlookup(A11,'전적확인_시즌27'!$A$2:$S$100,2,0),0) + iferror(vlookup(A11,'전적확인_시즌28'!$A$2:$S$100,2,0),0) + iferror(vlookup(A11,'전적확인_시즌29'!$A$2:$S$100,2,0),0) + iferror(vlookup(A11,'전적확인_시즌30'!$A$2:$S$100,2,0),0)</f>
        <v>79</v>
      </c>
      <c r="Q11" s="98">
        <f>iferror(vlookup(A11,'전적확인'!$A$2:$S$61,3,0),0)+ iferror(vlookup(A11,'전적확인_베타시즌'!$A$2:$S$100,3,0),0)+iferror(vlookup(A11,'전적확인_시즌1'!$A$2:$S$100,3,0),0)+iferror(vlookup(A11,'전적확인_시즌2'!$A$2:$S$100,3,0),0)+iferror(vlookup(A11,'전적확인_시즌3'!$A$2:$S$100,3,0),0) + iferror(vlookup(A11,'전적확인_시즌4'!$A$2:$S$100,3,0),0) + iferror(vlookup(A11,'전적확인_시즌5'!$A$2:$S$100,3,0),0) + iferror(vlookup(A11,'전적확인_시즌6'!$A$2:$S$100,3,0),0) + iferror(vlookup(A11,'전적확인_시즌7'!$A$2:$S$100,3,0),0) + iferror(vlookup(A11,'전적확인_시즌8'!$A$2:$S$100,3,0),0) + iferror(vlookup(A11,'전적확인_시즌9'!$A$2:$S$100,3,0),0) + iferror(vlookup(A11,'전적확인_시즌10'!$A$2:$S$100,3,0),0) + iferror(vlookup(A11,'전적확인_시즌11'!$A$2:$S$100,3,0),0) + iferror(vlookup(A11,'전적확인_시즌12'!$A$2:$S$100,3,0),0) + iferror(vlookup(A11,'전적확인_시즌13'!$A$2:$S$100,3,0),0) + iferror(vlookup(A11,'전적확인_시즌14'!$A$2:$S$100,3,0),0) + iferror(vlookup(A11,'전적확인_시즌15'!$A$2:$S$100,3,0),0) + iferror(vlookup(A11,'전적확인_시즌16'!$A$2:$S$100,3,0),0) + iferror(vlookup(A11,'전적확인_시즌17'!$A$2:$S$100,3,0),0) + iferror(vlookup(A11,'전적확인_시즌17'!$A$2:$S$100,3,0),0) + iferror(vlookup(A11,'전적확인_시즌18'!$A$2:$S$100,3,0),0) + iferror(vlookup(A11,'전적확인_시즌19'!$A$2:$S$100,3,0),0) + iferror(vlookup(A11,'전적확인_시즌20'!$A$2:$S$100,3,0),0) + iferror(vlookup(A11,'전적확인_시즌21'!$A$2:$S$100,3,0),0) + iferror(vlookup(A11,'전적확인_시즌22'!$A$2:$S$100,3,0),0) + iferror(vlookup(A11,'전적확인_시즌23'!$A$2:$S$100,3,0),0) + iferror(vlookup(A11,'전적확인_시즌24'!$A$2:$S$100,3,0),0) + iferror(vlookup(A11,'전적확인_시즌25'!$A$2:$S$100,3,0),0) + iferror(vlookup(A11,'전적확인_시즌26'!$A$2:$S$100,3,0),0) + iferror(vlookup(A11,'전적확인_시즌27'!$A$2:$S$100,3,0),0) + iferror(vlookup(A11,'전적확인_시즌28'!$A$2:$S$100,3,0),0) + iferror(vlookup(A11,'전적확인_시즌29'!$A$2:$S$100,3,0),0) + iferror(vlookup(A11,'전적확인_시즌30'!$A$2:$S$100,3,0),0)</f>
        <v>67</v>
      </c>
      <c r="R11" s="98">
        <f t="shared" si="5"/>
        <v>54.11</v>
      </c>
      <c r="S11" s="98">
        <f>iferror(vlookup(A11,'전적확인'!$A$2:$S$61,4,0),0) + iferror(vlookup(A11,'전적확인_베타시즌'!$A$2:$S$100,4,0),0)+iferror(vlookup(A11,'전적확인_시즌1'!$A$2:$S$100,4,0),0)+iferror(vlookup(A11,'전적확인_시즌2'!$A$2:$S$100,4,0),0)+iferror(vlookup(A11,'전적확인_시즌3'!$A$2:$S$100,4,0),0) + iferror(vlookup(A11,'전적확인_시즌4'!$A$2:$S$100,4,0),0) + iferror(vlookup(A11,'전적확인_시즌5'!$A$2:$S$100,4,0),0) + iferror(vlookup(A11,'전적확인_시즌6'!$A$2:$S$100,4,0),0) + iferror(vlookup(A11,'전적확인_시즌7'!$A$2:$S$100,4,0),0) + iferror(vlookup(A11,'전적확인_시즌8'!$A$2:$S$100,4,0),0) + iferror(vlookup(A11,'전적확인_시즌9'!$A$2:$S$100,4,0),0) + iferror(vlookup(A11,'전적확인_시즌10'!$A$2:$S$100,4,0),0) + iferror(vlookup(A11,'전적확인_시즌11'!$A$2:$S$100,4,0),0) + iferror(vlookup(A11,'전적확인_시즌12'!$A$2:$S$100,4,0),0) + iferror(vlookup(A11,'전적확인_시즌13'!$A$2:$S$100,4,0),0) + iferror(vlookup(A11,'전적확인_시즌14'!$A$2:$S$100,4,0),0) + iferror(vlookup(A11,'전적확인_시즌15'!$A$2:$S$100,4,0),0) + iferror(vlookup(A11,'전적확인_시즌16'!$A$2:$S$100,4,0),0) + iferror(vlookup(A11,'전적확인_시즌17'!$A$2:$S$100,4,0),0) + iferror(vlookup(A11,'전적확인_시즌17'!$A$2:$S$100,4,0),0) + iferror(vlookup(A11,'전적확인_시즌18'!$A$2:$S$100,4,0),0) + iferror(vlookup(A11,'전적확인_시즌19'!$A$2:$S$100,4,0),0) + iferror(vlookup(A11,'전적확인_시즌20'!$A$2:$S$100,4,0),0) + iferror(vlookup(A11,'전적확인_시즌21'!$A$2:$S$100,4,0),0) + iferror(vlookup(A11,'전적확인_시즌22'!$A$2:$S$100,4,0),0) + iferror(vlookup(A11,'전적확인_시즌23'!$A$2:$S$100,4,0),0) + iferror(vlookup(A11,'전적확인_시즌24'!$A$2:$S$100,4,0),0) + iferror(vlookup(A11,'전적확인_시즌25'!$A$2:$S$100,4,0),0) + iferror(vlookup(A11,'전적확인_시즌26'!$A$2:$S$100,4,0),0) + iferror(vlookup(A11,'전적확인_시즌27'!$A$2:$S$100,4,0),0) + iferror(vlookup(A11,'전적확인_시즌28'!$A$2:$S$100,4,0),0) + iferror(vlookup(A11,'전적확인_시즌29'!$A$2:$S$100,4,0),0) + iferror(vlookup(A11,'전적확인_시즌30'!$A$2:$S$100,4,0),0)</f>
        <v>77</v>
      </c>
      <c r="T11" s="98">
        <f>iferror(vlookup(A11,'전적확인'!$A$2:$S$61,5,0),0) + iferror(vlookup(A11,'전적확인_베타시즌'!$A$2:$S$100,5,0),0)+iferror(vlookup(A11,'전적확인_시즌1'!$A$2:$S$100,5,0),0)+iferror(vlookup(A11,'전적확인_시즌2'!$A$2:$S$100,5,0),0)+iferror(vlookup(A11,'전적확인_시즌3'!$A$2:$S$100,5,0),0) + iferror(vlookup(A11,'전적확인_시즌4'!$A$2:$S$100,5,0),0) + iferror(vlookup(A11,'전적확인_시즌5'!$A$2:$S$100,5,0),0) + iferror(vlookup(A11,'전적확인_시즌6'!$A$2:$S$100,5,0),0) + iferror(vlookup(A11,'전적확인_시즌7'!$A$2:$S$100,5,0),0) + iferror(vlookup(A11,'전적확인_시즌8'!$A$2:$S$100,5,0),0) + iferror(vlookup(A11,'전적확인_시즌9'!$A$2:$S$100,5,0),0) + iferror(vlookup(A11,'전적확인_시즌10'!$A$2:$S$100,5,0),0) + iferror(vlookup(A11,'전적확인_시즌11'!$A$2:$S$100,5,0),0) + iferror(vlookup(A11,'전적확인_시즌12'!$A$2:$S$100,5,0),0) + iferror(vlookup(A11,'전적확인_시즌13'!$A$2:$S$100,5,0),0) + iferror(vlookup(A11,'전적확인_시즌14'!$A$2:$S$100,5,0),0) + iferror(vlookup(A11,'전적확인_시즌15'!$A$2:$S$100,5,0),0) + iferror(vlookup(A11,'전적확인_시즌16'!$A$2:$S$100,5,0),0) + iferror(vlookup(A11,'전적확인_시즌17'!$A$2:$S$100,5,0),0) + iferror(vlookup(A11,'전적확인_시즌17'!$A$2:$S$100,5,0),0) + iferror(vlookup(A11,'전적확인_시즌18'!$A$2:$S$100,5,0),0) + iferror(vlookup(A11,'전적확인_시즌19'!$A$2:$S$100,5,0),0) + iferror(vlookup(A11,'전적확인_시즌20'!$A$2:$S$100,5,0),0) + iferror(vlookup(A11,'전적확인_시즌21'!$A$2:$S$100,5,0),0) + iferror(vlookup(A11,'전적확인_시즌22'!$A$2:$S$100,5,0),0) + iferror(vlookup(A11,'전적확인_시즌23'!$A$2:$S$100,5,0),0) + iferror(vlookup(A11,'전적확인_시즌24'!$A$2:$S$100,5,0),0) + iferror(vlookup(A11,'전적확인_시즌25'!$A$2:$S$100,5,0),0) + iferror(vlookup(A11,'전적확인_시즌26'!$A$2:$S$100,5,0),0) + iferror(vlookup(A11,'전적확인_시즌27'!$A$2:$S$100,5,0),0) + iferror(vlookup(A11,'전적확인_시즌28'!$A$2:$S$100,5,0),0) + iferror(vlookup(A11,'전적확인_시즌29'!$A$2:$S$100,5,0),0) + iferror(vlookup(A11,'전적확인_시즌30'!$A$2:$S$100,5,0),0)</f>
        <v>70</v>
      </c>
      <c r="U11" s="98">
        <f t="shared" si="6"/>
        <v>52.38</v>
      </c>
      <c r="V11" s="98">
        <f>iferror(vlookup(A11,'전적확인'!$A$2:$S$61,6,0),0)+ iferror(vlookup(A11,'전적확인_베타시즌'!$A$2:$S$100,6,0),0)+iferror(vlookup(A11,'전적확인_시즌1'!$A$2:$S$100,6,0),0)+iferror(vlookup(A11,'전적확인_시즌2'!$A$2:$S$100,6,0),0)+iferror(vlookup(A11,'전적확인_시즌3'!$A$2:$S$100,6,0),0) + iferror(vlookup(A11,'전적확인_시즌4'!$A$2:$S$100,6,0),0) + iferror(vlookup(A11,'전적확인_시즌5'!$A$2:$S$100,6,0),0) + iferror(vlookup(A11,'전적확인_시즌6'!$A$2:$S$100,6,0),0) + iferror(vlookup(A11,'전적확인_시즌7'!$A$2:$S$100,6,0),0) + iferror(vlookup(A11,'전적확인_시즌8'!$A$2:$S$100,6,0),0) + iferror(vlookup(A11,'전적확인_시즌9'!$A$2:$S$100,6,0),0) + iferror(vlookup(A11,'전적확인_시즌10'!$A$2:$S$100,6,0),0) + iferror(vlookup(A11,'전적확인_시즌11'!$A$2:$S$100,6,0),0) + iferror(vlookup(A11,'전적확인_시즌12'!$A$2:$S$100,6,0),0) + iferror(vlookup(A11,'전적확인_시즌13'!$A$2:$S$100,6,0),0) + iferror(vlookup(A11,'전적확인_시즌14'!$A$2:$S$100,6,0),0) + iferror(vlookup(A11,'전적확인_시즌15'!$A$2:$S$100,6,0),0) + iferror(vlookup(A11,'전적확인_시즌16'!$A$2:$S$100,6,0),0) + iferror(vlookup(A11,'전적확인_시즌17'!$A$2:$S$100,6,0),0) + iferror(vlookup(A11,'전적확인_시즌17'!$A$2:$S$100,6,0),0) + iferror(vlookup(A11,'전적확인_시즌18'!$A$2:$S$100,6,0),0) + iferror(vlookup(A11,'전적확인_시즌19'!$A$2:$S$100,6,0),0) + iferror(vlookup(A11,'전적확인_시즌20'!$A$2:$S$100,6,0),0) + iferror(vlookup(A11,'전적확인_시즌21'!$A$2:$S$100,6,0),0) + iferror(vlookup(A11,'전적확인_시즌22'!$A$2:$S$100,6,0),0) + iferror(vlookup(A11,'전적확인_시즌23'!$A$2:$S$100,6,0),0) + iferror(vlookup(A11,'전적확인_시즌24'!$A$2:$S$100,6,0),0) + iferror(vlookup(A11,'전적확인_시즌25'!$A$2:$S$100,6,0),0) + iferror(vlookup(A11,'전적확인_시즌26'!$A$2:$S$100,6,0),0) + iferror(vlookup(A11,'전적확인_시즌27'!$A$2:$S$100,6,0),0) + iferror(vlookup(A11,'전적확인_시즌28'!$A$2:$S$100,6,0),0) + iferror(vlookup(A11,'전적확인_시즌29'!$A$2:$S$100,6,0),0) + iferror(vlookup(A11,'전적확인_시즌30'!$A$2:$S$100,6,0),0)</f>
        <v>39</v>
      </c>
      <c r="W11" s="98">
        <f> iferror(vlookup(A11,'전적확인'!$A$2:$S$61,7,0),0)+ iferror(vlookup(A11,'전적확인_베타시즌'!$A$2:$S$100,7,0),0)+iferror(vlookup(A11,'전적확인_시즌1'!$A$2:$S$100,7,0),0)+iferror(vlookup(A11,'전적확인_시즌2'!$A$2:$S$100,7,0),0)+iferror(vlookup(A11,'전적확인_시즌3'!$A$2:$S$100,7,0),0) + iferror(vlookup(A11,'전적확인_시즌4'!$A$2:$S$100,7,0),0) + iferror(vlookup(A11,'전적확인_시즌5'!$A$2:$S$100,7,0),0) + iferror(vlookup(A11,'전적확인_시즌6'!$A$2:$S$100,7,0),0) + iferror(vlookup(A11,'전적확인_시즌7'!$A$2:$S$100,7,0),0) + iferror(vlookup(A11,'전적확인_시즌8'!$A$2:$S$100,7,0),0) + iferror(vlookup(A11,'전적확인_시즌9'!$A$2:$S$100,7,0),0) + iferror(vlookup(A11,'전적확인_시즌10'!$A$2:$S$100,7,0),0) + iferror(vlookup(A11,'전적확인_시즌11'!$A$2:$S$100,7,0),0) + iferror(vlookup(A11,'전적확인_시즌12'!$A$2:$S$100,7,0),0) + iferror(vlookup(A11,'전적확인_시즌13'!$A$2:$S$100,7,0),0) + iferror(vlookup(A11,'전적확인_시즌14'!$A$2:$S$100,7,0),0) + iferror(vlookup(A11,'전적확인_시즌15'!$A$2:$S$100,7,0),0) + iferror(vlookup(A11,'전적확인_시즌16'!$A$2:$S$100,7,0),0) + iferror(vlookup(A11,'전적확인_시즌17'!$A$2:$S$100,7,0),0) + iferror(vlookup(A11,'전적확인_시즌17'!$A$2:$S$100,7,0),0) + iferror(vlookup(A11,'전적확인_시즌18'!$A$2:$S$100,7,0),0) + iferror(vlookup(A11,'전적확인_시즌19'!$A$2:$S$100,7,0),0) + iferror(vlookup(A11,'전적확인_시즌20'!$A$2:$S$100,7,0),0) + iferror(vlookup(A11,'전적확인_시즌21'!$A$2:$S$100,7,0),0) + iferror(vlookup(A11,'전적확인_시즌22'!$A$2:$S$100,7,0),0) + iferror(vlookup(A11,'전적확인_시즌23'!$A$2:$S$100,7,0),0) + iferror(vlookup(A11,'전적확인_시즌24'!$A$2:$S$100,7,0),0) + iferror(vlookup(A11,'전적확인_시즌25'!$A$2:$S$100,7,0),0) + iferror(vlookup(A11,'전적확인_시즌26'!$A$2:$S$100,7,0),0) + iferror(vlookup(A11,'전적확인_시즌27'!$A$2:$S$100,7,0),0) + iferror(vlookup(A11,'전적확인_시즌28'!$A$2:$S$100,7,0),0) + iferror(vlookup(A11,'전적확인_시즌29'!$A$2:$S$100,7,0),0) + iferror(vlookup(A11,'전적확인_시즌30'!$A$2:$S$100,7,0),0)</f>
        <v>51</v>
      </c>
      <c r="X11" s="98">
        <f t="shared" si="7"/>
        <v>43.33</v>
      </c>
      <c r="Y11" s="98">
        <f>iferror(vlookup(A11,'전적확인'!$A$2:$S$61,8,0),0) + iferror(vlookup(A11,'전적확인_베타시즌'!$A$2:$S$100,8,0),0)+iferror(vlookup(A11,'전적확인_시즌1'!$A$2:$S$100,8,0),0)+iferror(vlookup(A11,'전적확인_시즌2'!$A$2:$S$100,8,0),0)+iferror(vlookup(A11,'전적확인_시즌3'!$A$2:$S$100,8,0),0) + iferror(vlookup(A11,'전적확인_시즌4'!$A$2:$S$100,8,0),0) + iferror(vlookup(A11,'전적확인_시즌5'!$A$2:$S$100,8,0),0) + iferror(vlookup(A11,'전적확인_시즌6'!$A$2:$S$100,8,0),0) + iferror(vlookup(A11,'전적확인_시즌7'!$A$2:$S$100,8,0),0) + iferror(vlookup(A11,'전적확인_시즌8'!$A$2:$S$100,8,0),0) + iferror(vlookup(A11,'전적확인_시즌9'!$A$2:$S$100,8,0),0) + iferror(vlookup(A11,'전적확인_시즌10'!$A$2:$S$100,8,0),0) + iferror(vlookup(A11,'전적확인_시즌11'!$A$2:$S$100,8,0),0) + iferror(vlookup(A11,'전적확인_시즌12'!$A$2:$S$100,8,0),0) + iferror(vlookup(A11,'전적확인_시즌13'!$A$2:$S$100,8,0),0) + iferror(vlookup(A11,'전적확인_시즌14'!$A$2:$S$100,8,0),0) + iferror(vlookup(A11,'전적확인_시즌15'!$A$2:$S$100,8,0),0) + iferror(vlookup(A11,'전적확인_시즌16'!$A$2:$S$100,8,0),0) + iferror(vlookup(A11,'전적확인_시즌17'!$A$2:$S$100,8,0),0) + iferror(vlookup(A11,'전적확인_시즌17'!$A$2:$S$100,8,0),0) + iferror(vlookup(A11,'전적확인_시즌18'!$A$2:$S$100,8,0),0) + iferror(vlookup(A11,'전적확인_시즌19'!$A$2:$S$100,8,0),0) + iferror(vlookup(A11,'전적확인_시즌20'!$A$2:$S$100,8,0),0) + iferror(vlookup(A11,'전적확인_시즌21'!$A$2:$S$100,8,0),0) + iferror(vlookup(A11,'전적확인_시즌22'!$A$2:$S$100,8,0),0) + iferror(vlookup(A11,'전적확인_시즌23'!$A$2:$S$100,8,0),0) + iferror(vlookup(A11,'전적확인_시즌24'!$A$2:$S$100,8,0),0) + iferror(vlookup(A11,'전적확인_시즌25'!$A$2:$S$100,8,0),0) + iferror(vlookup(A11,'전적확인_시즌26'!$A$2:$S$100,8,0),0) + iferror(vlookup(A11,'전적확인_시즌27'!$A$2:$S$100,8,0),0) + iferror(vlookup(A11,'전적확인_시즌28'!$A$2:$S$100,8,0),0) + iferror(vlookup(A11,'전적확인_시즌29'!$A$2:$S$100,8,0),0) + iferror(vlookup(A11,'전적확인_시즌30'!$A$2:$S$100,8,0),0)</f>
        <v>99</v>
      </c>
      <c r="Z11" s="98">
        <f>iferror(vlookup(A11,'전적확인'!$A$2:$S$61,9,0),0) + iferror(vlookup(A11,'전적확인_베타시즌'!$A$2:$S$100,9,0),0)+iferror(vlookup(A11,'전적확인_시즌1'!$A$2:$S$100,9,0),0)+iferror(vlookup(A11,'전적확인_시즌2'!$A$2:$S$100,9,0),0)+iferror(vlookup(A11,'전적확인_시즌3'!$A$2:$S$100,9,0),0) + iferror(vlookup(A11,'전적확인_시즌4'!$A$2:$S$100,9,0),0) + iferror(vlookup(A11,'전적확인_시즌5'!$A$2:$S$100,9,0),0) + iferror(vlookup(A11,'전적확인_시즌6'!$A$2:$S$100,9,0),0) + iferror(vlookup(A11,'전적확인_시즌7'!$A$2:$S$100,9,0),0) + iferror(vlookup(A11,'전적확인_시즌8'!$A$2:$S$100,9,0),0) + iferror(vlookup(A11,'전적확인_시즌9'!$A$2:$S$100,9,0),0) + iferror(vlookup(A11,'전적확인_시즌10'!$A$2:$S$100,9,0),0) + iferror(vlookup(A11,'전적확인_시즌11'!$A$2:$S$100,9,0),0) + iferror(vlookup(A11,'전적확인_시즌12'!$A$2:$S$100,9,0),0) + iferror(vlookup(A11,'전적확인_시즌13'!$A$2:$S$100,9,0),0) + iferror(vlookup(A11,'전적확인_시즌14'!$A$2:$S$100,9,0),0) + iferror(vlookup(A11,'전적확인_시즌15'!$A$2:$S$100,9,0),0) + iferror(vlookup(A11,'전적확인_시즌16'!$A$2:$S$100,9,0),0) + iferror(vlookup(A11,'전적확인_시즌17'!$A$2:$S$100,9,0),0) + iferror(vlookup(A11,'전적확인_시즌17'!$A$2:$S$100,9,0),0) + iferror(vlookup(A11,'전적확인_시즌18'!$A$2:$S$100,9,0),0) + iferror(vlookup(A11,'전적확인_시즌19'!$A$2:$S$100,9,0),0) + iferror(vlookup(A11,'전적확인_시즌20'!$A$2:$S$100,9,0),0) + iferror(vlookup(A11,'전적확인_시즌21'!$A$2:$S$100,9,0),0) + iferror(vlookup(A11,'전적확인_시즌22'!$A$2:$S$100,9,0),0) + iferror(vlookup(A11,'전적확인_시즌23'!$A$2:$S$100,9,0),0) + iferror(vlookup(A11,'전적확인_시즌24'!$A$2:$S$100,9,0),0) + iferror(vlookup(A11,'전적확인_시즌25'!$A$2:$S$100,9,0),0) + iferror(vlookup(A11,'전적확인_시즌26'!$A$2:$S$100,9,0),0) + iferror(vlookup(A11,'전적확인_시즌27'!$A$2:$S$100,9,0),0) + iferror(vlookup(A11,'전적확인_시즌28'!$A$2:$S$100,9,0),0) + iferror(vlookup(A11,'전적확인_시즌29'!$A$2:$S$100,9,0),0) + iferror(vlookup(A11,'전적확인_시즌30'!$A$2:$S$100,9,0),0)</f>
        <v>71</v>
      </c>
      <c r="AA11" s="98">
        <f t="shared" si="8"/>
        <v>58.24</v>
      </c>
      <c r="AB11" s="2"/>
      <c r="AC11" s="2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>
      <c r="A12" s="95" t="s">
        <v>30</v>
      </c>
      <c r="B12" s="95" t="s">
        <v>9685</v>
      </c>
      <c r="C12" s="96" t="s">
        <v>9686</v>
      </c>
      <c r="D12" s="96" t="s">
        <v>9687</v>
      </c>
      <c r="E12" s="95" t="s">
        <v>30</v>
      </c>
      <c r="F12" s="95" t="s">
        <v>47</v>
      </c>
      <c r="G12" s="95" t="s">
        <v>9688</v>
      </c>
      <c r="H12" s="98">
        <f t="shared" si="1"/>
        <v>1698</v>
      </c>
      <c r="I12" s="98">
        <f>iferror(vlookup(A12,'전적확인'!$A$2:$S$61,10,0),0) + iferror(vlookup(A12,'전적확인_베타시즌'!$A$2:$S$100,10,0),0)+iferror(vlookup(A12,'전적확인_시즌1'!$A$2:$S$100,10,0),0)+iferror(vlookup(A12,'전적확인_시즌2'!$A$2:$S$100,10,0),0)+iferror(vlookup(A12,'전적확인_시즌3'!$A$2:$S$100,10,0),0) + iferror(vlookup(A12,'전적확인_시즌4'!$A$2:$S$100,10,0),0) + iferror(vlookup(A12,'전적확인_시즌5'!$A$2:$S$100,10,0),0) + iferror(vlookup(A12,'전적확인_시즌6'!$A$2:$S$100,10,0),0) + iferror(vlookup(A12,'전적확인_시즌7'!$A$2:$S$100,10,0),0) + iferror(vlookup(A12,'전적확인_시즌8'!$A$2:$S$100,10,0),0) + iferror(vlookup(A12,'전적확인_시즌9'!$A$2:$S$100,10,0),0) + iferror(vlookup(A12,'전적확인_시즌10'!$A$2:$S$100,10,0),0) + iferror(vlookup(A12,'전적확인_시즌11'!$A$2:$S$100,10,0),0) + iferror(vlookup(A12,'전적확인_시즌12'!$A$2:$S$100,10,0),0) + iferror(vlookup(A12,'전적확인_시즌13'!$A$2:$S$100,10,0),0) + iferror(vlookup(A12,'전적확인_시즌14'!$A$2:$S$100,10,0),0) + iferror(vlookup(A12,'전적확인_시즌15'!$A$2:$S$100,10,0),0) + iferror(vlookup(A12,'전적확인_시즌16'!$A$2:$S$100,10,0),0) + iferror(vlookup(A12,'전적확인_시즌17'!$A$2:$S$100,10,0),0) + iferror(vlookup(A12,'전적확인_시즌17'!$A$2:$S$100,10,0),0) + iferror(vlookup(A12,'전적확인_시즌18'!$A$2:$S$100,10,0),0) + iferror(vlookup(A12,'전적확인_시즌19'!$A$2:$S$100,10,0),0) + iferror(vlookup(A12,'전적확인_시즌20'!$A$2:$S$100,10,0),0) + iferror(vlookup(A12,'전적확인_시즌21'!$A$2:$S$100,10,0),0) + iferror(vlookup(A12,'전적확인_시즌22'!$A$2:$S$100,10,0),0) + iferror(vlookup(A12,'전적확인_시즌23'!$A$2:$S$100,10,0),0) + iferror(vlookup(A12,'전적확인_시즌24'!$A$2:$S$100,10,0),0) + iferror(vlookup(A12,'전적확인_시즌25'!$A$2:$S$100,10,0),0) + iferror(vlookup(A12,'전적확인_시즌26'!$A$2:$S$100,10,0),0) + iferror(vlookup(A12,'전적확인_시즌27'!$A$2:$S$100,10,0),0) + iferror(vlookup(A12,'전적확인_시즌28'!$A$2:$S$100,10,0),0) + iferror(vlookup(A12,'전적확인_시즌29'!$A$2:$S$100,10,0),0) + iferror(vlookup(A12,'전적확인_시즌30'!$A$2:$S$100,10,0),0)</f>
        <v>893</v>
      </c>
      <c r="J12" s="98">
        <f>iferror(vlookup(A12,'전적확인'!$A$2:$S$61,11,0),0) + iferror(vlookup(A12,'전적확인_베타시즌'!$A$2:$S$100,11,0),0)+iferror(vlookup(A12,'전적확인_시즌1'!$A$2:$S$100,11,0),0)+iferror(vlookup(A12,'전적확인_시즌2'!$A$2:$S$100,11,0),0)+iferror(vlookup(A12,'전적확인_시즌3'!$A$2:$S$100,11,0),0) + iferror(vlookup(A12,'전적확인_시즌4'!$A$2:$S$100,11,0),0) + iferror(vlookup(A12,'전적확인_시즌5'!$A$2:$S$100,11,0),0) + iferror(vlookup(A12,'전적확인_시즌6'!$A$2:$S$100,11,0),0) + iferror(vlookup(A12,'전적확인_시즌7'!$A$2:$S$100,11,0),0) + iferror(vlookup(A12,'전적확인_시즌8'!$A$2:$S$100,11,0),0) + iferror(vlookup(A12,'전적확인_시즌9'!$A$2:$S$100,11,0),0) + iferror(vlookup(A12,'전적확인_시즌10'!$A$2:$S$100,11,0),0) + iferror(vlookup(A12,'전적확인_시즌11'!$A$2:$S$100,11,0),0) + iferror(vlookup(A12,'전적확인_시즌12'!$A$2:$S$100,11,0),0) + iferror(vlookup(A12,'전적확인_시즌13'!$A$2:$S$100,11,0),0) + iferror(vlookup(A12,'전적확인_시즌14'!$A$2:$S$100,11,0),0) + iferror(vlookup(A12,'전적확인_시즌15'!$A$2:$S$100,11,0),0) + iferror(vlookup(A12,'전적확인_시즌16'!$A$2:$S$100,11,0),0) + iferror(vlookup(A12,'전적확인_시즌17'!$A$2:$S$100,11,0),0) + iferror(vlookup(A12,'전적확인_시즌17'!$A$2:$S$100,11,0),0) + iferror(vlookup(A12,'전적확인_시즌18'!$A$2:$S$100,11,0),0) + iferror(vlookup(A12,'전적확인_시즌19'!$A$2:$S$100,11,0),0) + iferror(vlookup(A12,'전적확인_시즌20'!$A$2:$S$100,11,0),0) + iferror(vlookup(A12,'전적확인_시즌21'!$A$2:$S$100,11,0),0) + iferror(vlookup(A12,'전적확인_시즌22'!$A$2:$S$100,11,0),0) + iferror(vlookup(A12,'전적확인_시즌23'!$A$2:$S$100,11,0),0) + iferror(vlookup(A12,'전적확인_시즌24'!$A$2:$S$100,11,0),0) + iferror(vlookup(A12,'전적확인_시즌25'!$A$2:$S$100,11,0),0) + iferror(vlookup(A12,'전적확인_시즌26'!$A$2:$S$100,11,0),0) + iferror(vlookup(A12,'전적확인_시즌27'!$A$2:$S$100,11,0),0) + iferror(vlookup(A12,'전적확인_시즌28'!$A$2:$S$100,11,0),0) + iferror(vlookup(A12,'전적확인_시즌29'!$A$2:$S$100,11,0),0) + iferror(vlookup(A12,'전적확인_시즌30'!$A$2:$S$100,11,0),0)</f>
        <v>805</v>
      </c>
      <c r="K12" s="98">
        <f t="shared" si="2"/>
        <v>52.59</v>
      </c>
      <c r="L12" s="95">
        <f t="array" ref="L12">iferror(vlookup(A12,INDIRECT('시즌목록'!$H$2 &amp; "!$A$2:$S$100"),10,0),0)</f>
        <v>69</v>
      </c>
      <c r="M12" s="95">
        <f t="array" ref="M12">iferror(vlookup(A12,INDIRECT('시즌목록'!$H$2 &amp; "!$A$2:$S$100"),11,0),0)</f>
        <v>94</v>
      </c>
      <c r="N12" s="98">
        <f t="shared" si="3"/>
        <v>42.33</v>
      </c>
      <c r="O12" s="95" t="str">
        <f t="shared" si="4"/>
        <v>골드</v>
      </c>
      <c r="P12" s="98">
        <f>iferror(vlookup(A12,'전적확인'!$A$2:$S$61,2,0),0)+ iferror(vlookup(A12,'전적확인_베타시즌'!$A$2:$S$100,2,0),0)+iferror(vlookup(A12,'전적확인_시즌1'!$A$2:$S$100,2,0),0)+iferror(vlookup(A12,'전적확인_시즌2'!$A$2:$S$100,2,0),0)+iferror(vlookup(A12,'전적확인_시즌3'!$A$2:$S$100,2,0),0) + iferror(vlookup(A12,'전적확인_시즌4'!$A$2:$S$100,2,0),0) + iferror(vlookup(A12,'전적확인_시즌5'!$A$2:$S$100,2,0),0) + iferror(vlookup(A12,'전적확인_시즌6'!$A$2:$S$100,2,0),0) + iferror(vlookup(A12,'전적확인_시즌7'!$A$2:$S$100,2,0),0) + iferror(vlookup(A12,'전적확인_시즌8'!$A$2:$S$100,2,0),0) + iferror(vlookup(A12,'전적확인_시즌9'!$A$2:$S$100,2,0),0) + iferror(vlookup(A12,'전적확인_시즌10'!$A$2:$S$100,2,0),0) + iferror(vlookup(A12,'전적확인_시즌11'!$A$2:$S$100,2,0),0) + iferror(vlookup(A12,'전적확인_시즌12'!$A$2:$S$100,2,0),0) + iferror(vlookup(A12,'전적확인_시즌13'!$A$2:$S$100,2,0),0) + iferror(vlookup(A12,'전적확인_시즌14'!$A$2:$S$100,2,0),0) + iferror(vlookup(A12,'전적확인_시즌15'!$A$2:$S$100,2,0),0) + iferror(vlookup(A12,'전적확인_시즌16'!$A$2:$S$100,2,0),0) + iferror(vlookup(A12,'전적확인_시즌17'!$A$2:$S$100,2,0),0) + iferror(vlookup(A12,'전적확인_시즌17'!$A$2:$S$100,2,0),0) + iferror(vlookup(A12,'전적확인_시즌18'!$A$2:$S$100,2,0),0) + iferror(vlookup(A12,'전적확인_시즌19'!$A$2:$S$100,2,0),0) + iferror(vlookup(A12,'전적확인_시즌20'!$A$2:$S$100,2,0),0) + iferror(vlookup(A12,'전적확인_시즌21'!$A$2:$S$100,2,0),0) + iferror(vlookup(A12,'전적확인_시즌22'!$A$2:$S$100,2,0),0) + iferror(vlookup(A12,'전적확인_시즌23'!$A$2:$S$100,2,0),0) + iferror(vlookup(A12,'전적확인_시즌24'!$A$2:$S$100,2,0),0) + iferror(vlookup(A12,'전적확인_시즌25'!$A$2:$S$100,2,0),0) + iferror(vlookup(A12,'전적확인_시즌26'!$A$2:$S$100,2,0),0) + iferror(vlookup(A12,'전적확인_시즌27'!$A$2:$S$100,2,0),0) + iferror(vlookup(A12,'전적확인_시즌28'!$A$2:$S$100,2,0),0) + iferror(vlookup(A12,'전적확인_시즌29'!$A$2:$S$100,2,0),0) + iferror(vlookup(A12,'전적확인_시즌30'!$A$2:$S$100,2,0),0)</f>
        <v>247</v>
      </c>
      <c r="Q12" s="98">
        <f>iferror(vlookup(A12,'전적확인'!$A$2:$S$61,3,0),0)+ iferror(vlookup(A12,'전적확인_베타시즌'!$A$2:$S$100,3,0),0)+iferror(vlookup(A12,'전적확인_시즌1'!$A$2:$S$100,3,0),0)+iferror(vlookup(A12,'전적확인_시즌2'!$A$2:$S$100,3,0),0)+iferror(vlookup(A12,'전적확인_시즌3'!$A$2:$S$100,3,0),0) + iferror(vlookup(A12,'전적확인_시즌4'!$A$2:$S$100,3,0),0) + iferror(vlookup(A12,'전적확인_시즌5'!$A$2:$S$100,3,0),0) + iferror(vlookup(A12,'전적확인_시즌6'!$A$2:$S$100,3,0),0) + iferror(vlookup(A12,'전적확인_시즌7'!$A$2:$S$100,3,0),0) + iferror(vlookup(A12,'전적확인_시즌8'!$A$2:$S$100,3,0),0) + iferror(vlookup(A12,'전적확인_시즌9'!$A$2:$S$100,3,0),0) + iferror(vlookup(A12,'전적확인_시즌10'!$A$2:$S$100,3,0),0) + iferror(vlookup(A12,'전적확인_시즌11'!$A$2:$S$100,3,0),0) + iferror(vlookup(A12,'전적확인_시즌12'!$A$2:$S$100,3,0),0) + iferror(vlookup(A12,'전적확인_시즌13'!$A$2:$S$100,3,0),0) + iferror(vlookup(A12,'전적확인_시즌14'!$A$2:$S$100,3,0),0) + iferror(vlookup(A12,'전적확인_시즌15'!$A$2:$S$100,3,0),0) + iferror(vlookup(A12,'전적확인_시즌16'!$A$2:$S$100,3,0),0) + iferror(vlookup(A12,'전적확인_시즌17'!$A$2:$S$100,3,0),0) + iferror(vlookup(A12,'전적확인_시즌17'!$A$2:$S$100,3,0),0) + iferror(vlookup(A12,'전적확인_시즌18'!$A$2:$S$100,3,0),0) + iferror(vlookup(A12,'전적확인_시즌19'!$A$2:$S$100,3,0),0) + iferror(vlookup(A12,'전적확인_시즌20'!$A$2:$S$100,3,0),0) + iferror(vlookup(A12,'전적확인_시즌21'!$A$2:$S$100,3,0),0) + iferror(vlookup(A12,'전적확인_시즌22'!$A$2:$S$100,3,0),0) + iferror(vlookup(A12,'전적확인_시즌23'!$A$2:$S$100,3,0),0) + iferror(vlookup(A12,'전적확인_시즌24'!$A$2:$S$100,3,0),0) + iferror(vlookup(A12,'전적확인_시즌25'!$A$2:$S$100,3,0),0) + iferror(vlookup(A12,'전적확인_시즌26'!$A$2:$S$100,3,0),0) + iferror(vlookup(A12,'전적확인_시즌27'!$A$2:$S$100,3,0),0) + iferror(vlookup(A12,'전적확인_시즌28'!$A$2:$S$100,3,0),0) + iferror(vlookup(A12,'전적확인_시즌29'!$A$2:$S$100,3,0),0) + iferror(vlookup(A12,'전적확인_시즌30'!$A$2:$S$100,3,0),0)</f>
        <v>179</v>
      </c>
      <c r="R12" s="98">
        <f t="shared" si="5"/>
        <v>57.98</v>
      </c>
      <c r="S12" s="98">
        <f>iferror(vlookup(A12,'전적확인'!$A$2:$S$61,4,0),0) + iferror(vlookup(A12,'전적확인_베타시즌'!$A$2:$S$100,4,0),0)+iferror(vlookup(A12,'전적확인_시즌1'!$A$2:$S$100,4,0),0)+iferror(vlookup(A12,'전적확인_시즌2'!$A$2:$S$100,4,0),0)+iferror(vlookup(A12,'전적확인_시즌3'!$A$2:$S$100,4,0),0) + iferror(vlookup(A12,'전적확인_시즌4'!$A$2:$S$100,4,0),0) + iferror(vlookup(A12,'전적확인_시즌5'!$A$2:$S$100,4,0),0) + iferror(vlookup(A12,'전적확인_시즌6'!$A$2:$S$100,4,0),0) + iferror(vlookup(A12,'전적확인_시즌7'!$A$2:$S$100,4,0),0) + iferror(vlookup(A12,'전적확인_시즌8'!$A$2:$S$100,4,0),0) + iferror(vlookup(A12,'전적확인_시즌9'!$A$2:$S$100,4,0),0) + iferror(vlookup(A12,'전적확인_시즌10'!$A$2:$S$100,4,0),0) + iferror(vlookup(A12,'전적확인_시즌11'!$A$2:$S$100,4,0),0) + iferror(vlookup(A12,'전적확인_시즌12'!$A$2:$S$100,4,0),0) + iferror(vlookup(A12,'전적확인_시즌13'!$A$2:$S$100,4,0),0) + iferror(vlookup(A12,'전적확인_시즌14'!$A$2:$S$100,4,0),0) + iferror(vlookup(A12,'전적확인_시즌15'!$A$2:$S$100,4,0),0) + iferror(vlookup(A12,'전적확인_시즌16'!$A$2:$S$100,4,0),0) + iferror(vlookup(A12,'전적확인_시즌17'!$A$2:$S$100,4,0),0) + iferror(vlookup(A12,'전적확인_시즌17'!$A$2:$S$100,4,0),0) + iferror(vlookup(A12,'전적확인_시즌18'!$A$2:$S$100,4,0),0) + iferror(vlookup(A12,'전적확인_시즌19'!$A$2:$S$100,4,0),0) + iferror(vlookup(A12,'전적확인_시즌20'!$A$2:$S$100,4,0),0) + iferror(vlookup(A12,'전적확인_시즌21'!$A$2:$S$100,4,0),0) + iferror(vlookup(A12,'전적확인_시즌22'!$A$2:$S$100,4,0),0) + iferror(vlookup(A12,'전적확인_시즌23'!$A$2:$S$100,4,0),0) + iferror(vlookup(A12,'전적확인_시즌24'!$A$2:$S$100,4,0),0) + iferror(vlookup(A12,'전적확인_시즌25'!$A$2:$S$100,4,0),0) + iferror(vlookup(A12,'전적확인_시즌26'!$A$2:$S$100,4,0),0) + iferror(vlookup(A12,'전적확인_시즌27'!$A$2:$S$100,4,0),0) + iferror(vlookup(A12,'전적확인_시즌28'!$A$2:$S$100,4,0),0) + iferror(vlookup(A12,'전적확인_시즌29'!$A$2:$S$100,4,0),0) + iferror(vlookup(A12,'전적확인_시즌30'!$A$2:$S$100,4,0),0)</f>
        <v>215</v>
      </c>
      <c r="T12" s="98">
        <f>iferror(vlookup(A12,'전적확인'!$A$2:$S$61,5,0),0) + iferror(vlookup(A12,'전적확인_베타시즌'!$A$2:$S$100,5,0),0)+iferror(vlookup(A12,'전적확인_시즌1'!$A$2:$S$100,5,0),0)+iferror(vlookup(A12,'전적확인_시즌2'!$A$2:$S$100,5,0),0)+iferror(vlookup(A12,'전적확인_시즌3'!$A$2:$S$100,5,0),0) + iferror(vlookup(A12,'전적확인_시즌4'!$A$2:$S$100,5,0),0) + iferror(vlookup(A12,'전적확인_시즌5'!$A$2:$S$100,5,0),0) + iferror(vlookup(A12,'전적확인_시즌6'!$A$2:$S$100,5,0),0) + iferror(vlookup(A12,'전적확인_시즌7'!$A$2:$S$100,5,0),0) + iferror(vlookup(A12,'전적확인_시즌8'!$A$2:$S$100,5,0),0) + iferror(vlookup(A12,'전적확인_시즌9'!$A$2:$S$100,5,0),0) + iferror(vlookup(A12,'전적확인_시즌10'!$A$2:$S$100,5,0),0) + iferror(vlookup(A12,'전적확인_시즌11'!$A$2:$S$100,5,0),0) + iferror(vlookup(A12,'전적확인_시즌12'!$A$2:$S$100,5,0),0) + iferror(vlookup(A12,'전적확인_시즌13'!$A$2:$S$100,5,0),0) + iferror(vlookup(A12,'전적확인_시즌14'!$A$2:$S$100,5,0),0) + iferror(vlookup(A12,'전적확인_시즌15'!$A$2:$S$100,5,0),0) + iferror(vlookup(A12,'전적확인_시즌16'!$A$2:$S$100,5,0),0) + iferror(vlookup(A12,'전적확인_시즌17'!$A$2:$S$100,5,0),0) + iferror(vlookup(A12,'전적확인_시즌17'!$A$2:$S$100,5,0),0) + iferror(vlookup(A12,'전적확인_시즌18'!$A$2:$S$100,5,0),0) + iferror(vlookup(A12,'전적확인_시즌19'!$A$2:$S$100,5,0),0) + iferror(vlookup(A12,'전적확인_시즌20'!$A$2:$S$100,5,0),0) + iferror(vlookup(A12,'전적확인_시즌21'!$A$2:$S$100,5,0),0) + iferror(vlookup(A12,'전적확인_시즌22'!$A$2:$S$100,5,0),0) + iferror(vlookup(A12,'전적확인_시즌23'!$A$2:$S$100,5,0),0) + iferror(vlookup(A12,'전적확인_시즌24'!$A$2:$S$100,5,0),0) + iferror(vlookup(A12,'전적확인_시즌25'!$A$2:$S$100,5,0),0) + iferror(vlookup(A12,'전적확인_시즌26'!$A$2:$S$100,5,0),0) + iferror(vlookup(A12,'전적확인_시즌27'!$A$2:$S$100,5,0),0) + iferror(vlookup(A12,'전적확인_시즌28'!$A$2:$S$100,5,0),0) + iferror(vlookup(A12,'전적확인_시즌29'!$A$2:$S$100,5,0),0) + iferror(vlookup(A12,'전적확인_시즌30'!$A$2:$S$100,5,0),0)</f>
        <v>188</v>
      </c>
      <c r="U12" s="98">
        <f t="shared" si="6"/>
        <v>53.35</v>
      </c>
      <c r="V12" s="98">
        <f>iferror(vlookup(A12,'전적확인'!$A$2:$S$61,6,0),0)+ iferror(vlookup(A12,'전적확인_베타시즌'!$A$2:$S$100,6,0),0)+iferror(vlookup(A12,'전적확인_시즌1'!$A$2:$S$100,6,0),0)+iferror(vlookup(A12,'전적확인_시즌2'!$A$2:$S$100,6,0),0)+iferror(vlookup(A12,'전적확인_시즌3'!$A$2:$S$100,6,0),0) + iferror(vlookup(A12,'전적확인_시즌4'!$A$2:$S$100,6,0),0) + iferror(vlookup(A12,'전적확인_시즌5'!$A$2:$S$100,6,0),0) + iferror(vlookup(A12,'전적확인_시즌6'!$A$2:$S$100,6,0),0) + iferror(vlookup(A12,'전적확인_시즌7'!$A$2:$S$100,6,0),0) + iferror(vlookup(A12,'전적확인_시즌8'!$A$2:$S$100,6,0),0) + iferror(vlookup(A12,'전적확인_시즌9'!$A$2:$S$100,6,0),0) + iferror(vlookup(A12,'전적확인_시즌10'!$A$2:$S$100,6,0),0) + iferror(vlookup(A12,'전적확인_시즌11'!$A$2:$S$100,6,0),0) + iferror(vlookup(A12,'전적확인_시즌12'!$A$2:$S$100,6,0),0) + iferror(vlookup(A12,'전적확인_시즌13'!$A$2:$S$100,6,0),0) + iferror(vlookup(A12,'전적확인_시즌14'!$A$2:$S$100,6,0),0) + iferror(vlookup(A12,'전적확인_시즌15'!$A$2:$S$100,6,0),0) + iferror(vlookup(A12,'전적확인_시즌16'!$A$2:$S$100,6,0),0) + iferror(vlookup(A12,'전적확인_시즌17'!$A$2:$S$100,6,0),0) + iferror(vlookup(A12,'전적확인_시즌17'!$A$2:$S$100,6,0),0) + iferror(vlookup(A12,'전적확인_시즌18'!$A$2:$S$100,6,0),0) + iferror(vlookup(A12,'전적확인_시즌19'!$A$2:$S$100,6,0),0) + iferror(vlookup(A12,'전적확인_시즌20'!$A$2:$S$100,6,0),0) + iferror(vlookup(A12,'전적확인_시즌21'!$A$2:$S$100,6,0),0) + iferror(vlookup(A12,'전적확인_시즌22'!$A$2:$S$100,6,0),0) + iferror(vlookup(A12,'전적확인_시즌23'!$A$2:$S$100,6,0),0) + iferror(vlookup(A12,'전적확인_시즌24'!$A$2:$S$100,6,0),0) + iferror(vlookup(A12,'전적확인_시즌25'!$A$2:$S$100,6,0),0) + iferror(vlookup(A12,'전적확인_시즌26'!$A$2:$S$100,6,0),0) + iferror(vlookup(A12,'전적확인_시즌27'!$A$2:$S$100,6,0),0) + iferror(vlookup(A12,'전적확인_시즌28'!$A$2:$S$100,6,0),0) + iferror(vlookup(A12,'전적확인_시즌29'!$A$2:$S$100,6,0),0) + iferror(vlookup(A12,'전적확인_시즌30'!$A$2:$S$100,6,0),0)</f>
        <v>202</v>
      </c>
      <c r="W12" s="98">
        <f> iferror(vlookup(A12,'전적확인'!$A$2:$S$61,7,0),0)+ iferror(vlookup(A12,'전적확인_베타시즌'!$A$2:$S$100,7,0),0)+iferror(vlookup(A12,'전적확인_시즌1'!$A$2:$S$100,7,0),0)+iferror(vlookup(A12,'전적확인_시즌2'!$A$2:$S$100,7,0),0)+iferror(vlookup(A12,'전적확인_시즌3'!$A$2:$S$100,7,0),0) + iferror(vlookup(A12,'전적확인_시즌4'!$A$2:$S$100,7,0),0) + iferror(vlookup(A12,'전적확인_시즌5'!$A$2:$S$100,7,0),0) + iferror(vlookup(A12,'전적확인_시즌6'!$A$2:$S$100,7,0),0) + iferror(vlookup(A12,'전적확인_시즌7'!$A$2:$S$100,7,0),0) + iferror(vlookup(A12,'전적확인_시즌8'!$A$2:$S$100,7,0),0) + iferror(vlookup(A12,'전적확인_시즌9'!$A$2:$S$100,7,0),0) + iferror(vlookup(A12,'전적확인_시즌10'!$A$2:$S$100,7,0),0) + iferror(vlookup(A12,'전적확인_시즌11'!$A$2:$S$100,7,0),0) + iferror(vlookup(A12,'전적확인_시즌12'!$A$2:$S$100,7,0),0) + iferror(vlookup(A12,'전적확인_시즌13'!$A$2:$S$100,7,0),0) + iferror(vlookup(A12,'전적확인_시즌14'!$A$2:$S$100,7,0),0) + iferror(vlookup(A12,'전적확인_시즌15'!$A$2:$S$100,7,0),0) + iferror(vlookup(A12,'전적확인_시즌16'!$A$2:$S$100,7,0),0) + iferror(vlookup(A12,'전적확인_시즌17'!$A$2:$S$100,7,0),0) + iferror(vlookup(A12,'전적확인_시즌17'!$A$2:$S$100,7,0),0) + iferror(vlookup(A12,'전적확인_시즌18'!$A$2:$S$100,7,0),0) + iferror(vlookup(A12,'전적확인_시즌19'!$A$2:$S$100,7,0),0) + iferror(vlookup(A12,'전적확인_시즌20'!$A$2:$S$100,7,0),0) + iferror(vlookup(A12,'전적확인_시즌21'!$A$2:$S$100,7,0),0) + iferror(vlookup(A12,'전적확인_시즌22'!$A$2:$S$100,7,0),0) + iferror(vlookup(A12,'전적확인_시즌23'!$A$2:$S$100,7,0),0) + iferror(vlookup(A12,'전적확인_시즌24'!$A$2:$S$100,7,0),0) + iferror(vlookup(A12,'전적확인_시즌25'!$A$2:$S$100,7,0),0) + iferror(vlookup(A12,'전적확인_시즌26'!$A$2:$S$100,7,0),0) + iferror(vlookup(A12,'전적확인_시즌27'!$A$2:$S$100,7,0),0) + iferror(vlookup(A12,'전적확인_시즌28'!$A$2:$S$100,7,0),0) + iferror(vlookup(A12,'전적확인_시즌29'!$A$2:$S$100,7,0),0) + iferror(vlookup(A12,'전적확인_시즌30'!$A$2:$S$100,7,0),0)</f>
        <v>199</v>
      </c>
      <c r="X12" s="98">
        <f t="shared" si="7"/>
        <v>50.37</v>
      </c>
      <c r="Y12" s="98">
        <f>iferror(vlookup(A12,'전적확인'!$A$2:$S$61,8,0),0) + iferror(vlookup(A12,'전적확인_베타시즌'!$A$2:$S$100,8,0),0)+iferror(vlookup(A12,'전적확인_시즌1'!$A$2:$S$100,8,0),0)+iferror(vlookup(A12,'전적확인_시즌2'!$A$2:$S$100,8,0),0)+iferror(vlookup(A12,'전적확인_시즌3'!$A$2:$S$100,8,0),0) + iferror(vlookup(A12,'전적확인_시즌4'!$A$2:$S$100,8,0),0) + iferror(vlookup(A12,'전적확인_시즌5'!$A$2:$S$100,8,0),0) + iferror(vlookup(A12,'전적확인_시즌6'!$A$2:$S$100,8,0),0) + iferror(vlookup(A12,'전적확인_시즌7'!$A$2:$S$100,8,0),0) + iferror(vlookup(A12,'전적확인_시즌8'!$A$2:$S$100,8,0),0) + iferror(vlookup(A12,'전적확인_시즌9'!$A$2:$S$100,8,0),0) + iferror(vlookup(A12,'전적확인_시즌10'!$A$2:$S$100,8,0),0) + iferror(vlookup(A12,'전적확인_시즌11'!$A$2:$S$100,8,0),0) + iferror(vlookup(A12,'전적확인_시즌12'!$A$2:$S$100,8,0),0) + iferror(vlookup(A12,'전적확인_시즌13'!$A$2:$S$100,8,0),0) + iferror(vlookup(A12,'전적확인_시즌14'!$A$2:$S$100,8,0),0) + iferror(vlookup(A12,'전적확인_시즌15'!$A$2:$S$100,8,0),0) + iferror(vlookup(A12,'전적확인_시즌16'!$A$2:$S$100,8,0),0) + iferror(vlookup(A12,'전적확인_시즌17'!$A$2:$S$100,8,0),0) + iferror(vlookup(A12,'전적확인_시즌17'!$A$2:$S$100,8,0),0) + iferror(vlookup(A12,'전적확인_시즌18'!$A$2:$S$100,8,0),0) + iferror(vlookup(A12,'전적확인_시즌19'!$A$2:$S$100,8,0),0) + iferror(vlookup(A12,'전적확인_시즌20'!$A$2:$S$100,8,0),0) + iferror(vlookup(A12,'전적확인_시즌21'!$A$2:$S$100,8,0),0) + iferror(vlookup(A12,'전적확인_시즌22'!$A$2:$S$100,8,0),0) + iferror(vlookup(A12,'전적확인_시즌23'!$A$2:$S$100,8,0),0) + iferror(vlookup(A12,'전적확인_시즌24'!$A$2:$S$100,8,0),0) + iferror(vlookup(A12,'전적확인_시즌25'!$A$2:$S$100,8,0),0) + iferror(vlookup(A12,'전적확인_시즌26'!$A$2:$S$100,8,0),0) + iferror(vlookup(A12,'전적확인_시즌27'!$A$2:$S$100,8,0),0) + iferror(vlookup(A12,'전적확인_시즌28'!$A$2:$S$100,8,0),0) + iferror(vlookup(A12,'전적확인_시즌29'!$A$2:$S$100,8,0),0) + iferror(vlookup(A12,'전적확인_시즌30'!$A$2:$S$100,8,0),0)</f>
        <v>229</v>
      </c>
      <c r="Z12" s="98">
        <f>iferror(vlookup(A12,'전적확인'!$A$2:$S$61,9,0),0) + iferror(vlookup(A12,'전적확인_베타시즌'!$A$2:$S$100,9,0),0)+iferror(vlookup(A12,'전적확인_시즌1'!$A$2:$S$100,9,0),0)+iferror(vlookup(A12,'전적확인_시즌2'!$A$2:$S$100,9,0),0)+iferror(vlookup(A12,'전적확인_시즌3'!$A$2:$S$100,9,0),0) + iferror(vlookup(A12,'전적확인_시즌4'!$A$2:$S$100,9,0),0) + iferror(vlookup(A12,'전적확인_시즌5'!$A$2:$S$100,9,0),0) + iferror(vlookup(A12,'전적확인_시즌6'!$A$2:$S$100,9,0),0) + iferror(vlookup(A12,'전적확인_시즌7'!$A$2:$S$100,9,0),0) + iferror(vlookup(A12,'전적확인_시즌8'!$A$2:$S$100,9,0),0) + iferror(vlookup(A12,'전적확인_시즌9'!$A$2:$S$100,9,0),0) + iferror(vlookup(A12,'전적확인_시즌10'!$A$2:$S$100,9,0),0) + iferror(vlookup(A12,'전적확인_시즌11'!$A$2:$S$100,9,0),0) + iferror(vlookup(A12,'전적확인_시즌12'!$A$2:$S$100,9,0),0) + iferror(vlookup(A12,'전적확인_시즌13'!$A$2:$S$100,9,0),0) + iferror(vlookup(A12,'전적확인_시즌14'!$A$2:$S$100,9,0),0) + iferror(vlookup(A12,'전적확인_시즌15'!$A$2:$S$100,9,0),0) + iferror(vlookup(A12,'전적확인_시즌16'!$A$2:$S$100,9,0),0) + iferror(vlookup(A12,'전적확인_시즌17'!$A$2:$S$100,9,0),0) + iferror(vlookup(A12,'전적확인_시즌17'!$A$2:$S$100,9,0),0) + iferror(vlookup(A12,'전적확인_시즌18'!$A$2:$S$100,9,0),0) + iferror(vlookup(A12,'전적확인_시즌19'!$A$2:$S$100,9,0),0) + iferror(vlookup(A12,'전적확인_시즌20'!$A$2:$S$100,9,0),0) + iferror(vlookup(A12,'전적확인_시즌21'!$A$2:$S$100,9,0),0) + iferror(vlookup(A12,'전적확인_시즌22'!$A$2:$S$100,9,0),0) + iferror(vlookup(A12,'전적확인_시즌23'!$A$2:$S$100,9,0),0) + iferror(vlookup(A12,'전적확인_시즌24'!$A$2:$S$100,9,0),0) + iferror(vlookup(A12,'전적확인_시즌25'!$A$2:$S$100,9,0),0) + iferror(vlookup(A12,'전적확인_시즌26'!$A$2:$S$100,9,0),0) + iferror(vlookup(A12,'전적확인_시즌27'!$A$2:$S$100,9,0),0) + iferror(vlookup(A12,'전적확인_시즌28'!$A$2:$S$100,9,0),0) + iferror(vlookup(A12,'전적확인_시즌29'!$A$2:$S$100,9,0),0) + iferror(vlookup(A12,'전적확인_시즌30'!$A$2:$S$100,9,0),0)</f>
        <v>239</v>
      </c>
      <c r="AA12" s="98">
        <f t="shared" si="8"/>
        <v>48.93</v>
      </c>
      <c r="AB12" s="2"/>
      <c r="AC12" s="2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>
      <c r="A13" s="95" t="s">
        <v>33</v>
      </c>
      <c r="B13" s="95" t="s">
        <v>9667</v>
      </c>
      <c r="C13" s="95" t="s">
        <v>9667</v>
      </c>
      <c r="D13" s="95" t="s">
        <v>9667</v>
      </c>
      <c r="E13" s="95" t="s">
        <v>9667</v>
      </c>
      <c r="F13" s="95"/>
      <c r="G13" s="95"/>
      <c r="H13" s="98">
        <f t="shared" si="1"/>
        <v>141</v>
      </c>
      <c r="I13" s="98">
        <f>iferror(vlookup(A13,'전적확인'!$A$2:$S$61,10,0),0) + iferror(vlookup(A13,'전적확인_베타시즌'!$A$2:$S$100,10,0),0)+iferror(vlookup(A13,'전적확인_시즌1'!$A$2:$S$100,10,0),0)+iferror(vlookup(A13,'전적확인_시즌2'!$A$2:$S$100,10,0),0)+iferror(vlookup(A13,'전적확인_시즌3'!$A$2:$S$100,10,0),0) + iferror(vlookup(A13,'전적확인_시즌4'!$A$2:$S$100,10,0),0) + iferror(vlookup(A13,'전적확인_시즌5'!$A$2:$S$100,10,0),0) + iferror(vlookup(A13,'전적확인_시즌6'!$A$2:$S$100,10,0),0) + iferror(vlookup(A13,'전적확인_시즌7'!$A$2:$S$100,10,0),0) + iferror(vlookup(A13,'전적확인_시즌8'!$A$2:$S$100,10,0),0) + iferror(vlookup(A13,'전적확인_시즌9'!$A$2:$S$100,10,0),0) + iferror(vlookup(A13,'전적확인_시즌10'!$A$2:$S$100,10,0),0) + iferror(vlookup(A13,'전적확인_시즌11'!$A$2:$S$100,10,0),0) + iferror(vlookup(A13,'전적확인_시즌12'!$A$2:$S$100,10,0),0) + iferror(vlookup(A13,'전적확인_시즌13'!$A$2:$S$100,10,0),0) + iferror(vlookup(A13,'전적확인_시즌14'!$A$2:$S$100,10,0),0) + iferror(vlookup(A13,'전적확인_시즌15'!$A$2:$S$100,10,0),0) + iferror(vlookup(A13,'전적확인_시즌16'!$A$2:$S$100,10,0),0) + iferror(vlookup(A13,'전적확인_시즌17'!$A$2:$S$100,10,0),0) + iferror(vlookup(A13,'전적확인_시즌17'!$A$2:$S$100,10,0),0) + iferror(vlookup(A13,'전적확인_시즌18'!$A$2:$S$100,10,0),0) + iferror(vlookup(A13,'전적확인_시즌19'!$A$2:$S$100,10,0),0) + iferror(vlookup(A13,'전적확인_시즌20'!$A$2:$S$100,10,0),0) + iferror(vlookup(A13,'전적확인_시즌21'!$A$2:$S$100,10,0),0) + iferror(vlookup(A13,'전적확인_시즌22'!$A$2:$S$100,10,0),0) + iferror(vlookup(A13,'전적확인_시즌23'!$A$2:$S$100,10,0),0) + iferror(vlookup(A13,'전적확인_시즌24'!$A$2:$S$100,10,0),0) + iferror(vlookup(A13,'전적확인_시즌25'!$A$2:$S$100,10,0),0) + iferror(vlookup(A13,'전적확인_시즌26'!$A$2:$S$100,10,0),0) + iferror(vlookup(A13,'전적확인_시즌27'!$A$2:$S$100,10,0),0) + iferror(vlookup(A13,'전적확인_시즌28'!$A$2:$S$100,10,0),0) + iferror(vlookup(A13,'전적확인_시즌29'!$A$2:$S$100,10,0),0) + iferror(vlookup(A13,'전적확인_시즌30'!$A$2:$S$100,10,0),0)</f>
        <v>74</v>
      </c>
      <c r="J13" s="98">
        <f>iferror(vlookup(A13,'전적확인'!$A$2:$S$61,11,0),0) + iferror(vlookup(A13,'전적확인_베타시즌'!$A$2:$S$100,11,0),0)+iferror(vlookup(A13,'전적확인_시즌1'!$A$2:$S$100,11,0),0)+iferror(vlookup(A13,'전적확인_시즌2'!$A$2:$S$100,11,0),0)+iferror(vlookup(A13,'전적확인_시즌3'!$A$2:$S$100,11,0),0) + iferror(vlookup(A13,'전적확인_시즌4'!$A$2:$S$100,11,0),0) + iferror(vlookup(A13,'전적확인_시즌5'!$A$2:$S$100,11,0),0) + iferror(vlookup(A13,'전적확인_시즌6'!$A$2:$S$100,11,0),0) + iferror(vlookup(A13,'전적확인_시즌7'!$A$2:$S$100,11,0),0) + iferror(vlookup(A13,'전적확인_시즌8'!$A$2:$S$100,11,0),0) + iferror(vlookup(A13,'전적확인_시즌9'!$A$2:$S$100,11,0),0) + iferror(vlookup(A13,'전적확인_시즌10'!$A$2:$S$100,11,0),0) + iferror(vlookup(A13,'전적확인_시즌11'!$A$2:$S$100,11,0),0) + iferror(vlookup(A13,'전적확인_시즌12'!$A$2:$S$100,11,0),0) + iferror(vlookup(A13,'전적확인_시즌13'!$A$2:$S$100,11,0),0) + iferror(vlookup(A13,'전적확인_시즌14'!$A$2:$S$100,11,0),0) + iferror(vlookup(A13,'전적확인_시즌15'!$A$2:$S$100,11,0),0) + iferror(vlookup(A13,'전적확인_시즌16'!$A$2:$S$100,11,0),0) + iferror(vlookup(A13,'전적확인_시즌17'!$A$2:$S$100,11,0),0) + iferror(vlookup(A13,'전적확인_시즌17'!$A$2:$S$100,11,0),0) + iferror(vlookup(A13,'전적확인_시즌18'!$A$2:$S$100,11,0),0) + iferror(vlookup(A13,'전적확인_시즌19'!$A$2:$S$100,11,0),0) + iferror(vlookup(A13,'전적확인_시즌20'!$A$2:$S$100,11,0),0) + iferror(vlookup(A13,'전적확인_시즌21'!$A$2:$S$100,11,0),0) + iferror(vlookup(A13,'전적확인_시즌22'!$A$2:$S$100,11,0),0) + iferror(vlookup(A13,'전적확인_시즌23'!$A$2:$S$100,11,0),0) + iferror(vlookup(A13,'전적확인_시즌24'!$A$2:$S$100,11,0),0) + iferror(vlookup(A13,'전적확인_시즌25'!$A$2:$S$100,11,0),0) + iferror(vlookup(A13,'전적확인_시즌26'!$A$2:$S$100,11,0),0) + iferror(vlookup(A13,'전적확인_시즌27'!$A$2:$S$100,11,0),0) + iferror(vlookup(A13,'전적확인_시즌28'!$A$2:$S$100,11,0),0) + iferror(vlookup(A13,'전적확인_시즌29'!$A$2:$S$100,11,0),0) + iferror(vlookup(A13,'전적확인_시즌30'!$A$2:$S$100,11,0),0)</f>
        <v>67</v>
      </c>
      <c r="K13" s="98">
        <f t="shared" si="2"/>
        <v>52.48</v>
      </c>
      <c r="L13" s="95">
        <f t="array" ref="L13">iferror(vlookup(A13,INDIRECT('시즌목록'!$H$2 &amp; "!$A$2:$S$100"),10,0),0)</f>
        <v>59</v>
      </c>
      <c r="M13" s="95">
        <f t="array" ref="M13">iferror(vlookup(A13,INDIRECT('시즌목록'!$H$2 &amp; "!$A$2:$S$100"),11,0),0)</f>
        <v>49</v>
      </c>
      <c r="N13" s="98">
        <f t="shared" si="3"/>
        <v>54.63</v>
      </c>
      <c r="O13" s="95" t="str">
        <f t="shared" si="4"/>
        <v>플래티넘</v>
      </c>
      <c r="P13" s="98">
        <f>iferror(vlookup(A13,'전적확인'!$A$2:$S$61,2,0),0)+ iferror(vlookup(A13,'전적확인_베타시즌'!$A$2:$S$100,2,0),0)+iferror(vlookup(A13,'전적확인_시즌1'!$A$2:$S$100,2,0),0)+iferror(vlookup(A13,'전적확인_시즌2'!$A$2:$S$100,2,0),0)+iferror(vlookup(A13,'전적확인_시즌3'!$A$2:$S$100,2,0),0) + iferror(vlookup(A13,'전적확인_시즌4'!$A$2:$S$100,2,0),0) + iferror(vlookup(A13,'전적확인_시즌5'!$A$2:$S$100,2,0),0) + iferror(vlookup(A13,'전적확인_시즌6'!$A$2:$S$100,2,0),0) + iferror(vlookup(A13,'전적확인_시즌7'!$A$2:$S$100,2,0),0) + iferror(vlookup(A13,'전적확인_시즌8'!$A$2:$S$100,2,0),0) + iferror(vlookup(A13,'전적확인_시즌9'!$A$2:$S$100,2,0),0) + iferror(vlookup(A13,'전적확인_시즌10'!$A$2:$S$100,2,0),0) + iferror(vlookup(A13,'전적확인_시즌11'!$A$2:$S$100,2,0),0) + iferror(vlookup(A13,'전적확인_시즌12'!$A$2:$S$100,2,0),0) + iferror(vlookup(A13,'전적확인_시즌13'!$A$2:$S$100,2,0),0) + iferror(vlookup(A13,'전적확인_시즌14'!$A$2:$S$100,2,0),0) + iferror(vlookup(A13,'전적확인_시즌15'!$A$2:$S$100,2,0),0) + iferror(vlookup(A13,'전적확인_시즌16'!$A$2:$S$100,2,0),0) + iferror(vlookup(A13,'전적확인_시즌17'!$A$2:$S$100,2,0),0) + iferror(vlookup(A13,'전적확인_시즌17'!$A$2:$S$100,2,0),0) + iferror(vlookup(A13,'전적확인_시즌18'!$A$2:$S$100,2,0),0) + iferror(vlookup(A13,'전적확인_시즌19'!$A$2:$S$100,2,0),0) + iferror(vlookup(A13,'전적확인_시즌20'!$A$2:$S$100,2,0),0) + iferror(vlookup(A13,'전적확인_시즌21'!$A$2:$S$100,2,0),0) + iferror(vlookup(A13,'전적확인_시즌22'!$A$2:$S$100,2,0),0) + iferror(vlookup(A13,'전적확인_시즌23'!$A$2:$S$100,2,0),0) + iferror(vlookup(A13,'전적확인_시즌24'!$A$2:$S$100,2,0),0) + iferror(vlookup(A13,'전적확인_시즌25'!$A$2:$S$100,2,0),0) + iferror(vlookup(A13,'전적확인_시즌26'!$A$2:$S$100,2,0),0) + iferror(vlookup(A13,'전적확인_시즌27'!$A$2:$S$100,2,0),0) + iferror(vlookup(A13,'전적확인_시즌28'!$A$2:$S$100,2,0),0) + iferror(vlookup(A13,'전적확인_시즌29'!$A$2:$S$100,2,0),0) + iferror(vlookup(A13,'전적확인_시즌30'!$A$2:$S$100,2,0),0)</f>
        <v>23</v>
      </c>
      <c r="Q13" s="98">
        <f>iferror(vlookup(A13,'전적확인'!$A$2:$S$61,3,0),0)+ iferror(vlookup(A13,'전적확인_베타시즌'!$A$2:$S$100,3,0),0)+iferror(vlookup(A13,'전적확인_시즌1'!$A$2:$S$100,3,0),0)+iferror(vlookup(A13,'전적확인_시즌2'!$A$2:$S$100,3,0),0)+iferror(vlookup(A13,'전적확인_시즌3'!$A$2:$S$100,3,0),0) + iferror(vlookup(A13,'전적확인_시즌4'!$A$2:$S$100,3,0),0) + iferror(vlookup(A13,'전적확인_시즌5'!$A$2:$S$100,3,0),0) + iferror(vlookup(A13,'전적확인_시즌6'!$A$2:$S$100,3,0),0) + iferror(vlookup(A13,'전적확인_시즌7'!$A$2:$S$100,3,0),0) + iferror(vlookup(A13,'전적확인_시즌8'!$A$2:$S$100,3,0),0) + iferror(vlookup(A13,'전적확인_시즌9'!$A$2:$S$100,3,0),0) + iferror(vlookup(A13,'전적확인_시즌10'!$A$2:$S$100,3,0),0) + iferror(vlookup(A13,'전적확인_시즌11'!$A$2:$S$100,3,0),0) + iferror(vlookup(A13,'전적확인_시즌12'!$A$2:$S$100,3,0),0) + iferror(vlookup(A13,'전적확인_시즌13'!$A$2:$S$100,3,0),0) + iferror(vlookup(A13,'전적확인_시즌14'!$A$2:$S$100,3,0),0) + iferror(vlookup(A13,'전적확인_시즌15'!$A$2:$S$100,3,0),0) + iferror(vlookup(A13,'전적확인_시즌16'!$A$2:$S$100,3,0),0) + iferror(vlookup(A13,'전적확인_시즌17'!$A$2:$S$100,3,0),0) + iferror(vlookup(A13,'전적확인_시즌17'!$A$2:$S$100,3,0),0) + iferror(vlookup(A13,'전적확인_시즌18'!$A$2:$S$100,3,0),0) + iferror(vlookup(A13,'전적확인_시즌19'!$A$2:$S$100,3,0),0) + iferror(vlookup(A13,'전적확인_시즌20'!$A$2:$S$100,3,0),0) + iferror(vlookup(A13,'전적확인_시즌21'!$A$2:$S$100,3,0),0) + iferror(vlookup(A13,'전적확인_시즌22'!$A$2:$S$100,3,0),0) + iferror(vlookup(A13,'전적확인_시즌23'!$A$2:$S$100,3,0),0) + iferror(vlookup(A13,'전적확인_시즌24'!$A$2:$S$100,3,0),0) + iferror(vlookup(A13,'전적확인_시즌25'!$A$2:$S$100,3,0),0) + iferror(vlookup(A13,'전적확인_시즌26'!$A$2:$S$100,3,0),0) + iferror(vlookup(A13,'전적확인_시즌27'!$A$2:$S$100,3,0),0) + iferror(vlookup(A13,'전적확인_시즌28'!$A$2:$S$100,3,0),0) + iferror(vlookup(A13,'전적확인_시즌29'!$A$2:$S$100,3,0),0) + iferror(vlookup(A13,'전적확인_시즌30'!$A$2:$S$100,3,0),0)</f>
        <v>23</v>
      </c>
      <c r="R13" s="98">
        <f t="shared" si="5"/>
        <v>50</v>
      </c>
      <c r="S13" s="98">
        <f>iferror(vlookup(A13,'전적확인'!$A$2:$S$61,4,0),0) + iferror(vlookup(A13,'전적확인_베타시즌'!$A$2:$S$100,4,0),0)+iferror(vlookup(A13,'전적확인_시즌1'!$A$2:$S$100,4,0),0)+iferror(vlookup(A13,'전적확인_시즌2'!$A$2:$S$100,4,0),0)+iferror(vlookup(A13,'전적확인_시즌3'!$A$2:$S$100,4,0),0) + iferror(vlookup(A13,'전적확인_시즌4'!$A$2:$S$100,4,0),0) + iferror(vlookup(A13,'전적확인_시즌5'!$A$2:$S$100,4,0),0) + iferror(vlookup(A13,'전적확인_시즌6'!$A$2:$S$100,4,0),0) + iferror(vlookup(A13,'전적확인_시즌7'!$A$2:$S$100,4,0),0) + iferror(vlookup(A13,'전적확인_시즌8'!$A$2:$S$100,4,0),0) + iferror(vlookup(A13,'전적확인_시즌9'!$A$2:$S$100,4,0),0) + iferror(vlookup(A13,'전적확인_시즌10'!$A$2:$S$100,4,0),0) + iferror(vlookup(A13,'전적확인_시즌11'!$A$2:$S$100,4,0),0) + iferror(vlookup(A13,'전적확인_시즌12'!$A$2:$S$100,4,0),0) + iferror(vlookup(A13,'전적확인_시즌13'!$A$2:$S$100,4,0),0) + iferror(vlookup(A13,'전적확인_시즌14'!$A$2:$S$100,4,0),0) + iferror(vlookup(A13,'전적확인_시즌15'!$A$2:$S$100,4,0),0) + iferror(vlookup(A13,'전적확인_시즌16'!$A$2:$S$100,4,0),0) + iferror(vlookup(A13,'전적확인_시즌17'!$A$2:$S$100,4,0),0) + iferror(vlookup(A13,'전적확인_시즌17'!$A$2:$S$100,4,0),0) + iferror(vlookup(A13,'전적확인_시즌18'!$A$2:$S$100,4,0),0) + iferror(vlookup(A13,'전적확인_시즌19'!$A$2:$S$100,4,0),0) + iferror(vlookup(A13,'전적확인_시즌20'!$A$2:$S$100,4,0),0) + iferror(vlookup(A13,'전적확인_시즌21'!$A$2:$S$100,4,0),0) + iferror(vlookup(A13,'전적확인_시즌22'!$A$2:$S$100,4,0),0) + iferror(vlookup(A13,'전적확인_시즌23'!$A$2:$S$100,4,0),0) + iferror(vlookup(A13,'전적확인_시즌24'!$A$2:$S$100,4,0),0) + iferror(vlookup(A13,'전적확인_시즌25'!$A$2:$S$100,4,0),0) + iferror(vlookup(A13,'전적확인_시즌26'!$A$2:$S$100,4,0),0) + iferror(vlookup(A13,'전적확인_시즌27'!$A$2:$S$100,4,0),0) + iferror(vlookup(A13,'전적확인_시즌28'!$A$2:$S$100,4,0),0) + iferror(vlookup(A13,'전적확인_시즌29'!$A$2:$S$100,4,0),0) + iferror(vlookup(A13,'전적확인_시즌30'!$A$2:$S$100,4,0),0)</f>
        <v>0</v>
      </c>
      <c r="T13" s="98">
        <f>iferror(vlookup(A13,'전적확인'!$A$2:$S$61,5,0),0) + iferror(vlookup(A13,'전적확인_베타시즌'!$A$2:$S$100,5,0),0)+iferror(vlookup(A13,'전적확인_시즌1'!$A$2:$S$100,5,0),0)+iferror(vlookup(A13,'전적확인_시즌2'!$A$2:$S$100,5,0),0)+iferror(vlookup(A13,'전적확인_시즌3'!$A$2:$S$100,5,0),0) + iferror(vlookup(A13,'전적확인_시즌4'!$A$2:$S$100,5,0),0) + iferror(vlookup(A13,'전적확인_시즌5'!$A$2:$S$100,5,0),0) + iferror(vlookup(A13,'전적확인_시즌6'!$A$2:$S$100,5,0),0) + iferror(vlookup(A13,'전적확인_시즌7'!$A$2:$S$100,5,0),0) + iferror(vlookup(A13,'전적확인_시즌8'!$A$2:$S$100,5,0),0) + iferror(vlookup(A13,'전적확인_시즌9'!$A$2:$S$100,5,0),0) + iferror(vlookup(A13,'전적확인_시즌10'!$A$2:$S$100,5,0),0) + iferror(vlookup(A13,'전적확인_시즌11'!$A$2:$S$100,5,0),0) + iferror(vlookup(A13,'전적확인_시즌12'!$A$2:$S$100,5,0),0) + iferror(vlookup(A13,'전적확인_시즌13'!$A$2:$S$100,5,0),0) + iferror(vlookup(A13,'전적확인_시즌14'!$A$2:$S$100,5,0),0) + iferror(vlookup(A13,'전적확인_시즌15'!$A$2:$S$100,5,0),0) + iferror(vlookup(A13,'전적확인_시즌16'!$A$2:$S$100,5,0),0) + iferror(vlookup(A13,'전적확인_시즌17'!$A$2:$S$100,5,0),0) + iferror(vlookup(A13,'전적확인_시즌17'!$A$2:$S$100,5,0),0) + iferror(vlookup(A13,'전적확인_시즌18'!$A$2:$S$100,5,0),0) + iferror(vlookup(A13,'전적확인_시즌19'!$A$2:$S$100,5,0),0) + iferror(vlookup(A13,'전적확인_시즌20'!$A$2:$S$100,5,0),0) + iferror(vlookup(A13,'전적확인_시즌21'!$A$2:$S$100,5,0),0) + iferror(vlookup(A13,'전적확인_시즌22'!$A$2:$S$100,5,0),0) + iferror(vlookup(A13,'전적확인_시즌23'!$A$2:$S$100,5,0),0) + iferror(vlookup(A13,'전적확인_시즌24'!$A$2:$S$100,5,0),0) + iferror(vlookup(A13,'전적확인_시즌25'!$A$2:$S$100,5,0),0) + iferror(vlookup(A13,'전적확인_시즌26'!$A$2:$S$100,5,0),0) + iferror(vlookup(A13,'전적확인_시즌27'!$A$2:$S$100,5,0),0) + iferror(vlookup(A13,'전적확인_시즌28'!$A$2:$S$100,5,0),0) + iferror(vlookup(A13,'전적확인_시즌29'!$A$2:$S$100,5,0),0) + iferror(vlookup(A13,'전적확인_시즌30'!$A$2:$S$100,5,0),0)</f>
        <v>0</v>
      </c>
      <c r="U13" s="98">
        <f t="shared" si="6"/>
        <v>0</v>
      </c>
      <c r="V13" s="98">
        <f>iferror(vlookup(A13,'전적확인'!$A$2:$S$61,6,0),0)+ iferror(vlookup(A13,'전적확인_베타시즌'!$A$2:$S$100,6,0),0)+iferror(vlookup(A13,'전적확인_시즌1'!$A$2:$S$100,6,0),0)+iferror(vlookup(A13,'전적확인_시즌2'!$A$2:$S$100,6,0),0)+iferror(vlookup(A13,'전적확인_시즌3'!$A$2:$S$100,6,0),0) + iferror(vlookup(A13,'전적확인_시즌4'!$A$2:$S$100,6,0),0) + iferror(vlookup(A13,'전적확인_시즌5'!$A$2:$S$100,6,0),0) + iferror(vlookup(A13,'전적확인_시즌6'!$A$2:$S$100,6,0),0) + iferror(vlookup(A13,'전적확인_시즌7'!$A$2:$S$100,6,0),0) + iferror(vlookup(A13,'전적확인_시즌8'!$A$2:$S$100,6,0),0) + iferror(vlookup(A13,'전적확인_시즌9'!$A$2:$S$100,6,0),0) + iferror(vlookup(A13,'전적확인_시즌10'!$A$2:$S$100,6,0),0) + iferror(vlookup(A13,'전적확인_시즌11'!$A$2:$S$100,6,0),0) + iferror(vlookup(A13,'전적확인_시즌12'!$A$2:$S$100,6,0),0) + iferror(vlookup(A13,'전적확인_시즌13'!$A$2:$S$100,6,0),0) + iferror(vlookup(A13,'전적확인_시즌14'!$A$2:$S$100,6,0),0) + iferror(vlookup(A13,'전적확인_시즌15'!$A$2:$S$100,6,0),0) + iferror(vlookup(A13,'전적확인_시즌16'!$A$2:$S$100,6,0),0) + iferror(vlookup(A13,'전적확인_시즌17'!$A$2:$S$100,6,0),0) + iferror(vlookup(A13,'전적확인_시즌17'!$A$2:$S$100,6,0),0) + iferror(vlookup(A13,'전적확인_시즌18'!$A$2:$S$100,6,0),0) + iferror(vlookup(A13,'전적확인_시즌19'!$A$2:$S$100,6,0),0) + iferror(vlookup(A13,'전적확인_시즌20'!$A$2:$S$100,6,0),0) + iferror(vlookup(A13,'전적확인_시즌21'!$A$2:$S$100,6,0),0) + iferror(vlookup(A13,'전적확인_시즌22'!$A$2:$S$100,6,0),0) + iferror(vlookup(A13,'전적확인_시즌23'!$A$2:$S$100,6,0),0) + iferror(vlookup(A13,'전적확인_시즌24'!$A$2:$S$100,6,0),0) + iferror(vlookup(A13,'전적확인_시즌25'!$A$2:$S$100,6,0),0) + iferror(vlookup(A13,'전적확인_시즌26'!$A$2:$S$100,6,0),0) + iferror(vlookup(A13,'전적확인_시즌27'!$A$2:$S$100,6,0),0) + iferror(vlookup(A13,'전적확인_시즌28'!$A$2:$S$100,6,0),0) + iferror(vlookup(A13,'전적확인_시즌29'!$A$2:$S$100,6,0),0) + iferror(vlookup(A13,'전적확인_시즌30'!$A$2:$S$100,6,0),0)</f>
        <v>23</v>
      </c>
      <c r="W13" s="98">
        <f> iferror(vlookup(A13,'전적확인'!$A$2:$S$61,7,0),0)+ iferror(vlookup(A13,'전적확인_베타시즌'!$A$2:$S$100,7,0),0)+iferror(vlookup(A13,'전적확인_시즌1'!$A$2:$S$100,7,0),0)+iferror(vlookup(A13,'전적확인_시즌2'!$A$2:$S$100,7,0),0)+iferror(vlookup(A13,'전적확인_시즌3'!$A$2:$S$100,7,0),0) + iferror(vlookup(A13,'전적확인_시즌4'!$A$2:$S$100,7,0),0) + iferror(vlookup(A13,'전적확인_시즌5'!$A$2:$S$100,7,0),0) + iferror(vlookup(A13,'전적확인_시즌6'!$A$2:$S$100,7,0),0) + iferror(vlookup(A13,'전적확인_시즌7'!$A$2:$S$100,7,0),0) + iferror(vlookup(A13,'전적확인_시즌8'!$A$2:$S$100,7,0),0) + iferror(vlookup(A13,'전적확인_시즌9'!$A$2:$S$100,7,0),0) + iferror(vlookup(A13,'전적확인_시즌10'!$A$2:$S$100,7,0),0) + iferror(vlookup(A13,'전적확인_시즌11'!$A$2:$S$100,7,0),0) + iferror(vlookup(A13,'전적확인_시즌12'!$A$2:$S$100,7,0),0) + iferror(vlookup(A13,'전적확인_시즌13'!$A$2:$S$100,7,0),0) + iferror(vlookup(A13,'전적확인_시즌14'!$A$2:$S$100,7,0),0) + iferror(vlookup(A13,'전적확인_시즌15'!$A$2:$S$100,7,0),0) + iferror(vlookup(A13,'전적확인_시즌16'!$A$2:$S$100,7,0),0) + iferror(vlookup(A13,'전적확인_시즌17'!$A$2:$S$100,7,0),0) + iferror(vlookup(A13,'전적확인_시즌17'!$A$2:$S$100,7,0),0) + iferror(vlookup(A13,'전적확인_시즌18'!$A$2:$S$100,7,0),0) + iferror(vlookup(A13,'전적확인_시즌19'!$A$2:$S$100,7,0),0) + iferror(vlookup(A13,'전적확인_시즌20'!$A$2:$S$100,7,0),0) + iferror(vlookup(A13,'전적확인_시즌21'!$A$2:$S$100,7,0),0) + iferror(vlookup(A13,'전적확인_시즌22'!$A$2:$S$100,7,0),0) + iferror(vlookup(A13,'전적확인_시즌23'!$A$2:$S$100,7,0),0) + iferror(vlookup(A13,'전적확인_시즌24'!$A$2:$S$100,7,0),0) + iferror(vlookup(A13,'전적확인_시즌25'!$A$2:$S$100,7,0),0) + iferror(vlookup(A13,'전적확인_시즌26'!$A$2:$S$100,7,0),0) + iferror(vlookup(A13,'전적확인_시즌27'!$A$2:$S$100,7,0),0) + iferror(vlookup(A13,'전적확인_시즌28'!$A$2:$S$100,7,0),0) + iferror(vlookup(A13,'전적확인_시즌29'!$A$2:$S$100,7,0),0) + iferror(vlookup(A13,'전적확인_시즌30'!$A$2:$S$100,7,0),0)</f>
        <v>20</v>
      </c>
      <c r="X13" s="98">
        <f t="shared" si="7"/>
        <v>53.49</v>
      </c>
      <c r="Y13" s="98">
        <f>iferror(vlookup(A13,'전적확인'!$A$2:$S$61,8,0),0) + iferror(vlookup(A13,'전적확인_베타시즌'!$A$2:$S$100,8,0),0)+iferror(vlookup(A13,'전적확인_시즌1'!$A$2:$S$100,8,0),0)+iferror(vlookup(A13,'전적확인_시즌2'!$A$2:$S$100,8,0),0)+iferror(vlookup(A13,'전적확인_시즌3'!$A$2:$S$100,8,0),0) + iferror(vlookup(A13,'전적확인_시즌4'!$A$2:$S$100,8,0),0) + iferror(vlookup(A13,'전적확인_시즌5'!$A$2:$S$100,8,0),0) + iferror(vlookup(A13,'전적확인_시즌6'!$A$2:$S$100,8,0),0) + iferror(vlookup(A13,'전적확인_시즌7'!$A$2:$S$100,8,0),0) + iferror(vlookup(A13,'전적확인_시즌8'!$A$2:$S$100,8,0),0) + iferror(vlookup(A13,'전적확인_시즌9'!$A$2:$S$100,8,0),0) + iferror(vlookup(A13,'전적확인_시즌10'!$A$2:$S$100,8,0),0) + iferror(vlookup(A13,'전적확인_시즌11'!$A$2:$S$100,8,0),0) + iferror(vlookup(A13,'전적확인_시즌12'!$A$2:$S$100,8,0),0) + iferror(vlookup(A13,'전적확인_시즌13'!$A$2:$S$100,8,0),0) + iferror(vlookup(A13,'전적확인_시즌14'!$A$2:$S$100,8,0),0) + iferror(vlookup(A13,'전적확인_시즌15'!$A$2:$S$100,8,0),0) + iferror(vlookup(A13,'전적확인_시즌16'!$A$2:$S$100,8,0),0) + iferror(vlookup(A13,'전적확인_시즌17'!$A$2:$S$100,8,0),0) + iferror(vlookup(A13,'전적확인_시즌17'!$A$2:$S$100,8,0),0) + iferror(vlookup(A13,'전적확인_시즌18'!$A$2:$S$100,8,0),0) + iferror(vlookup(A13,'전적확인_시즌19'!$A$2:$S$100,8,0),0) + iferror(vlookup(A13,'전적확인_시즌20'!$A$2:$S$100,8,0),0) + iferror(vlookup(A13,'전적확인_시즌21'!$A$2:$S$100,8,0),0) + iferror(vlookup(A13,'전적확인_시즌22'!$A$2:$S$100,8,0),0) + iferror(vlookup(A13,'전적확인_시즌23'!$A$2:$S$100,8,0),0) + iferror(vlookup(A13,'전적확인_시즌24'!$A$2:$S$100,8,0),0) + iferror(vlookup(A13,'전적확인_시즌25'!$A$2:$S$100,8,0),0) + iferror(vlookup(A13,'전적확인_시즌26'!$A$2:$S$100,8,0),0) + iferror(vlookup(A13,'전적확인_시즌27'!$A$2:$S$100,8,0),0) + iferror(vlookup(A13,'전적확인_시즌28'!$A$2:$S$100,8,0),0) + iferror(vlookup(A13,'전적확인_시즌29'!$A$2:$S$100,8,0),0) + iferror(vlookup(A13,'전적확인_시즌30'!$A$2:$S$100,8,0),0)</f>
        <v>28</v>
      </c>
      <c r="Z13" s="98">
        <f>iferror(vlookup(A13,'전적확인'!$A$2:$S$61,9,0),0) + iferror(vlookup(A13,'전적확인_베타시즌'!$A$2:$S$100,9,0),0)+iferror(vlookup(A13,'전적확인_시즌1'!$A$2:$S$100,9,0),0)+iferror(vlookup(A13,'전적확인_시즌2'!$A$2:$S$100,9,0),0)+iferror(vlookup(A13,'전적확인_시즌3'!$A$2:$S$100,9,0),0) + iferror(vlookup(A13,'전적확인_시즌4'!$A$2:$S$100,9,0),0) + iferror(vlookup(A13,'전적확인_시즌5'!$A$2:$S$100,9,0),0) + iferror(vlookup(A13,'전적확인_시즌6'!$A$2:$S$100,9,0),0) + iferror(vlookup(A13,'전적확인_시즌7'!$A$2:$S$100,9,0),0) + iferror(vlookup(A13,'전적확인_시즌8'!$A$2:$S$100,9,0),0) + iferror(vlookup(A13,'전적확인_시즌9'!$A$2:$S$100,9,0),0) + iferror(vlookup(A13,'전적확인_시즌10'!$A$2:$S$100,9,0),0) + iferror(vlookup(A13,'전적확인_시즌11'!$A$2:$S$100,9,0),0) + iferror(vlookup(A13,'전적확인_시즌12'!$A$2:$S$100,9,0),0) + iferror(vlookup(A13,'전적확인_시즌13'!$A$2:$S$100,9,0),0) + iferror(vlookup(A13,'전적확인_시즌14'!$A$2:$S$100,9,0),0) + iferror(vlookup(A13,'전적확인_시즌15'!$A$2:$S$100,9,0),0) + iferror(vlookup(A13,'전적확인_시즌16'!$A$2:$S$100,9,0),0) + iferror(vlookup(A13,'전적확인_시즌17'!$A$2:$S$100,9,0),0) + iferror(vlookup(A13,'전적확인_시즌17'!$A$2:$S$100,9,0),0) + iferror(vlookup(A13,'전적확인_시즌18'!$A$2:$S$100,9,0),0) + iferror(vlookup(A13,'전적확인_시즌19'!$A$2:$S$100,9,0),0) + iferror(vlookup(A13,'전적확인_시즌20'!$A$2:$S$100,9,0),0) + iferror(vlookup(A13,'전적확인_시즌21'!$A$2:$S$100,9,0),0) + iferror(vlookup(A13,'전적확인_시즌22'!$A$2:$S$100,9,0),0) + iferror(vlookup(A13,'전적확인_시즌23'!$A$2:$S$100,9,0),0) + iferror(vlookup(A13,'전적확인_시즌24'!$A$2:$S$100,9,0),0) + iferror(vlookup(A13,'전적확인_시즌25'!$A$2:$S$100,9,0),0) + iferror(vlookup(A13,'전적확인_시즌26'!$A$2:$S$100,9,0),0) + iferror(vlookup(A13,'전적확인_시즌27'!$A$2:$S$100,9,0),0) + iferror(vlookup(A13,'전적확인_시즌28'!$A$2:$S$100,9,0),0) + iferror(vlookup(A13,'전적확인_시즌29'!$A$2:$S$100,9,0),0) + iferror(vlookup(A13,'전적확인_시즌30'!$A$2:$S$100,9,0),0)</f>
        <v>24</v>
      </c>
      <c r="AA13" s="98">
        <f t="shared" si="8"/>
        <v>53.85</v>
      </c>
      <c r="AB13" s="2"/>
      <c r="AC13" s="2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>
      <c r="A14" s="95" t="s">
        <v>29</v>
      </c>
      <c r="B14" s="95" t="s">
        <v>9667</v>
      </c>
      <c r="C14" s="95" t="s">
        <v>9667</v>
      </c>
      <c r="D14" s="95" t="s">
        <v>9667</v>
      </c>
      <c r="E14" s="95" t="s">
        <v>9667</v>
      </c>
      <c r="F14" s="95" t="s">
        <v>47</v>
      </c>
      <c r="G14" s="95" t="s">
        <v>9689</v>
      </c>
      <c r="H14" s="98">
        <f t="shared" si="1"/>
        <v>439</v>
      </c>
      <c r="I14" s="98">
        <f>iferror(vlookup(A14,'전적확인'!$A$2:$S$61,10,0),0) + iferror(vlookup(A14,'전적확인_베타시즌'!$A$2:$S$100,10,0),0)+iferror(vlookup(A14,'전적확인_시즌1'!$A$2:$S$100,10,0),0)+iferror(vlookup(A14,'전적확인_시즌2'!$A$2:$S$100,10,0),0)+iferror(vlookup(A14,'전적확인_시즌3'!$A$2:$S$100,10,0),0) + iferror(vlookup(A14,'전적확인_시즌4'!$A$2:$S$100,10,0),0) + iferror(vlookup(A14,'전적확인_시즌5'!$A$2:$S$100,10,0),0) + iferror(vlookup(A14,'전적확인_시즌6'!$A$2:$S$100,10,0),0) + iferror(vlookup(A14,'전적확인_시즌7'!$A$2:$S$100,10,0),0) + iferror(vlookup(A14,'전적확인_시즌8'!$A$2:$S$100,10,0),0) + iferror(vlookup(A14,'전적확인_시즌9'!$A$2:$S$100,10,0),0) + iferror(vlookup(A14,'전적확인_시즌10'!$A$2:$S$100,10,0),0) + iferror(vlookup(A14,'전적확인_시즌11'!$A$2:$S$100,10,0),0) + iferror(vlookup(A14,'전적확인_시즌12'!$A$2:$S$100,10,0),0) + iferror(vlookup(A14,'전적확인_시즌13'!$A$2:$S$100,10,0),0) + iferror(vlookup(A14,'전적확인_시즌14'!$A$2:$S$100,10,0),0) + iferror(vlookup(A14,'전적확인_시즌15'!$A$2:$S$100,10,0),0) + iferror(vlookup(A14,'전적확인_시즌16'!$A$2:$S$100,10,0),0) + iferror(vlookup(A14,'전적확인_시즌17'!$A$2:$S$100,10,0),0) + iferror(vlookup(A14,'전적확인_시즌17'!$A$2:$S$100,10,0),0) + iferror(vlookup(A14,'전적확인_시즌18'!$A$2:$S$100,10,0),0) + iferror(vlookup(A14,'전적확인_시즌19'!$A$2:$S$100,10,0),0) + iferror(vlookup(A14,'전적확인_시즌20'!$A$2:$S$100,10,0),0) + iferror(vlookup(A14,'전적확인_시즌21'!$A$2:$S$100,10,0),0) + iferror(vlookup(A14,'전적확인_시즌22'!$A$2:$S$100,10,0),0) + iferror(vlookup(A14,'전적확인_시즌23'!$A$2:$S$100,10,0),0) + iferror(vlookup(A14,'전적확인_시즌24'!$A$2:$S$100,10,0),0) + iferror(vlookup(A14,'전적확인_시즌25'!$A$2:$S$100,10,0),0) + iferror(vlookup(A14,'전적확인_시즌26'!$A$2:$S$100,10,0),0) + iferror(vlookup(A14,'전적확인_시즌27'!$A$2:$S$100,10,0),0) + iferror(vlookup(A14,'전적확인_시즌28'!$A$2:$S$100,10,0),0) + iferror(vlookup(A14,'전적확인_시즌29'!$A$2:$S$100,10,0),0) + iferror(vlookup(A14,'전적확인_시즌30'!$A$2:$S$100,10,0),0)</f>
        <v>230</v>
      </c>
      <c r="J14" s="98">
        <f>iferror(vlookup(A14,'전적확인'!$A$2:$S$61,11,0),0) + iferror(vlookup(A14,'전적확인_베타시즌'!$A$2:$S$100,11,0),0)+iferror(vlookup(A14,'전적확인_시즌1'!$A$2:$S$100,11,0),0)+iferror(vlookup(A14,'전적확인_시즌2'!$A$2:$S$100,11,0),0)+iferror(vlookup(A14,'전적확인_시즌3'!$A$2:$S$100,11,0),0) + iferror(vlookup(A14,'전적확인_시즌4'!$A$2:$S$100,11,0),0) + iferror(vlookup(A14,'전적확인_시즌5'!$A$2:$S$100,11,0),0) + iferror(vlookup(A14,'전적확인_시즌6'!$A$2:$S$100,11,0),0) + iferror(vlookup(A14,'전적확인_시즌7'!$A$2:$S$100,11,0),0) + iferror(vlookup(A14,'전적확인_시즌8'!$A$2:$S$100,11,0),0) + iferror(vlookup(A14,'전적확인_시즌9'!$A$2:$S$100,11,0),0) + iferror(vlookup(A14,'전적확인_시즌10'!$A$2:$S$100,11,0),0) + iferror(vlookup(A14,'전적확인_시즌11'!$A$2:$S$100,11,0),0) + iferror(vlookup(A14,'전적확인_시즌12'!$A$2:$S$100,11,0),0) + iferror(vlookup(A14,'전적확인_시즌13'!$A$2:$S$100,11,0),0) + iferror(vlookup(A14,'전적확인_시즌14'!$A$2:$S$100,11,0),0) + iferror(vlookup(A14,'전적확인_시즌15'!$A$2:$S$100,11,0),0) + iferror(vlookup(A14,'전적확인_시즌16'!$A$2:$S$100,11,0),0) + iferror(vlookup(A14,'전적확인_시즌17'!$A$2:$S$100,11,0),0) + iferror(vlookup(A14,'전적확인_시즌17'!$A$2:$S$100,11,0),0) + iferror(vlookup(A14,'전적확인_시즌18'!$A$2:$S$100,11,0),0) + iferror(vlookup(A14,'전적확인_시즌19'!$A$2:$S$100,11,0),0) + iferror(vlookup(A14,'전적확인_시즌20'!$A$2:$S$100,11,0),0) + iferror(vlookup(A14,'전적확인_시즌21'!$A$2:$S$100,11,0),0) + iferror(vlookup(A14,'전적확인_시즌22'!$A$2:$S$100,11,0),0) + iferror(vlookup(A14,'전적확인_시즌23'!$A$2:$S$100,11,0),0) + iferror(vlookup(A14,'전적확인_시즌24'!$A$2:$S$100,11,0),0) + iferror(vlookup(A14,'전적확인_시즌25'!$A$2:$S$100,11,0),0) + iferror(vlookup(A14,'전적확인_시즌26'!$A$2:$S$100,11,0),0) + iferror(vlookup(A14,'전적확인_시즌27'!$A$2:$S$100,11,0),0) + iferror(vlookup(A14,'전적확인_시즌28'!$A$2:$S$100,11,0),0) + iferror(vlookup(A14,'전적확인_시즌29'!$A$2:$S$100,11,0),0) + iferror(vlookup(A14,'전적확인_시즌30'!$A$2:$S$100,11,0),0)</f>
        <v>209</v>
      </c>
      <c r="K14" s="98">
        <f t="shared" si="2"/>
        <v>52.39</v>
      </c>
      <c r="L14" s="95">
        <f t="array" ref="L14">iferror(vlookup(A14,INDIRECT('시즌목록'!$H$2 &amp; "!$A$2:$S$100"),10,0),0)</f>
        <v>20</v>
      </c>
      <c r="M14" s="95">
        <f t="array" ref="M14">iferror(vlookup(A14,INDIRECT('시즌목록'!$H$2 &amp; "!$A$2:$S$100"),11,0),0)</f>
        <v>17</v>
      </c>
      <c r="N14" s="98">
        <f t="shared" si="3"/>
        <v>54.05</v>
      </c>
      <c r="O14" s="95" t="str">
        <f t="shared" si="4"/>
        <v>아이언</v>
      </c>
      <c r="P14" s="98">
        <f>iferror(vlookup(A14,'전적확인'!$A$2:$S$61,2,0),0)+ iferror(vlookup(A14,'전적확인_베타시즌'!$A$2:$S$100,2,0),0)+iferror(vlookup(A14,'전적확인_시즌1'!$A$2:$S$100,2,0),0)+iferror(vlookup(A14,'전적확인_시즌2'!$A$2:$S$100,2,0),0)+iferror(vlookup(A14,'전적확인_시즌3'!$A$2:$S$100,2,0),0) + iferror(vlookup(A14,'전적확인_시즌4'!$A$2:$S$100,2,0),0) + iferror(vlookup(A14,'전적확인_시즌5'!$A$2:$S$100,2,0),0) + iferror(vlookup(A14,'전적확인_시즌6'!$A$2:$S$100,2,0),0) + iferror(vlookup(A14,'전적확인_시즌7'!$A$2:$S$100,2,0),0) + iferror(vlookup(A14,'전적확인_시즌8'!$A$2:$S$100,2,0),0) + iferror(vlookup(A14,'전적확인_시즌9'!$A$2:$S$100,2,0),0) + iferror(vlookup(A14,'전적확인_시즌10'!$A$2:$S$100,2,0),0) + iferror(vlookup(A14,'전적확인_시즌11'!$A$2:$S$100,2,0),0) + iferror(vlookup(A14,'전적확인_시즌12'!$A$2:$S$100,2,0),0) + iferror(vlookup(A14,'전적확인_시즌13'!$A$2:$S$100,2,0),0) + iferror(vlookup(A14,'전적확인_시즌14'!$A$2:$S$100,2,0),0) + iferror(vlookup(A14,'전적확인_시즌15'!$A$2:$S$100,2,0),0) + iferror(vlookup(A14,'전적확인_시즌16'!$A$2:$S$100,2,0),0) + iferror(vlookup(A14,'전적확인_시즌17'!$A$2:$S$100,2,0),0) + iferror(vlookup(A14,'전적확인_시즌17'!$A$2:$S$100,2,0),0) + iferror(vlookup(A14,'전적확인_시즌18'!$A$2:$S$100,2,0),0) + iferror(vlookup(A14,'전적확인_시즌19'!$A$2:$S$100,2,0),0) + iferror(vlookup(A14,'전적확인_시즌20'!$A$2:$S$100,2,0),0) + iferror(vlookup(A14,'전적확인_시즌21'!$A$2:$S$100,2,0),0) + iferror(vlookup(A14,'전적확인_시즌22'!$A$2:$S$100,2,0),0) + iferror(vlookup(A14,'전적확인_시즌23'!$A$2:$S$100,2,0),0) + iferror(vlookup(A14,'전적확인_시즌24'!$A$2:$S$100,2,0),0) + iferror(vlookup(A14,'전적확인_시즌25'!$A$2:$S$100,2,0),0) + iferror(vlookup(A14,'전적확인_시즌26'!$A$2:$S$100,2,0),0) + iferror(vlookup(A14,'전적확인_시즌27'!$A$2:$S$100,2,0),0) + iferror(vlookup(A14,'전적확인_시즌28'!$A$2:$S$100,2,0),0) + iferror(vlookup(A14,'전적확인_시즌29'!$A$2:$S$100,2,0),0) + iferror(vlookup(A14,'전적확인_시즌30'!$A$2:$S$100,2,0),0)</f>
        <v>49</v>
      </c>
      <c r="Q14" s="98">
        <f>iferror(vlookup(A14,'전적확인'!$A$2:$S$61,3,0),0)+ iferror(vlookup(A14,'전적확인_베타시즌'!$A$2:$S$100,3,0),0)+iferror(vlookup(A14,'전적확인_시즌1'!$A$2:$S$100,3,0),0)+iferror(vlookup(A14,'전적확인_시즌2'!$A$2:$S$100,3,0),0)+iferror(vlookup(A14,'전적확인_시즌3'!$A$2:$S$100,3,0),0) + iferror(vlookup(A14,'전적확인_시즌4'!$A$2:$S$100,3,0),0) + iferror(vlookup(A14,'전적확인_시즌5'!$A$2:$S$100,3,0),0) + iferror(vlookup(A14,'전적확인_시즌6'!$A$2:$S$100,3,0),0) + iferror(vlookup(A14,'전적확인_시즌7'!$A$2:$S$100,3,0),0) + iferror(vlookup(A14,'전적확인_시즌8'!$A$2:$S$100,3,0),0) + iferror(vlookup(A14,'전적확인_시즌9'!$A$2:$S$100,3,0),0) + iferror(vlookup(A14,'전적확인_시즌10'!$A$2:$S$100,3,0),0) + iferror(vlookup(A14,'전적확인_시즌11'!$A$2:$S$100,3,0),0) + iferror(vlookup(A14,'전적확인_시즌12'!$A$2:$S$100,3,0),0) + iferror(vlookup(A14,'전적확인_시즌13'!$A$2:$S$100,3,0),0) + iferror(vlookup(A14,'전적확인_시즌14'!$A$2:$S$100,3,0),0) + iferror(vlookup(A14,'전적확인_시즌15'!$A$2:$S$100,3,0),0) + iferror(vlookup(A14,'전적확인_시즌16'!$A$2:$S$100,3,0),0) + iferror(vlookup(A14,'전적확인_시즌17'!$A$2:$S$100,3,0),0) + iferror(vlookup(A14,'전적확인_시즌17'!$A$2:$S$100,3,0),0) + iferror(vlookup(A14,'전적확인_시즌18'!$A$2:$S$100,3,0),0) + iferror(vlookup(A14,'전적확인_시즌19'!$A$2:$S$100,3,0),0) + iferror(vlookup(A14,'전적확인_시즌20'!$A$2:$S$100,3,0),0) + iferror(vlookup(A14,'전적확인_시즌21'!$A$2:$S$100,3,0),0) + iferror(vlookup(A14,'전적확인_시즌22'!$A$2:$S$100,3,0),0) + iferror(vlookup(A14,'전적확인_시즌23'!$A$2:$S$100,3,0),0) + iferror(vlookup(A14,'전적확인_시즌24'!$A$2:$S$100,3,0),0) + iferror(vlookup(A14,'전적확인_시즌25'!$A$2:$S$100,3,0),0) + iferror(vlookup(A14,'전적확인_시즌26'!$A$2:$S$100,3,0),0) + iferror(vlookup(A14,'전적확인_시즌27'!$A$2:$S$100,3,0),0) + iferror(vlookup(A14,'전적확인_시즌28'!$A$2:$S$100,3,0),0) + iferror(vlookup(A14,'전적확인_시즌29'!$A$2:$S$100,3,0),0) + iferror(vlookup(A14,'전적확인_시즌30'!$A$2:$S$100,3,0),0)</f>
        <v>49</v>
      </c>
      <c r="R14" s="98">
        <f t="shared" si="5"/>
        <v>50</v>
      </c>
      <c r="S14" s="98">
        <f>iferror(vlookup(A14,'전적확인'!$A$2:$S$61,4,0),0) + iferror(vlookup(A14,'전적확인_베타시즌'!$A$2:$S$100,4,0),0)+iferror(vlookup(A14,'전적확인_시즌1'!$A$2:$S$100,4,0),0)+iferror(vlookup(A14,'전적확인_시즌2'!$A$2:$S$100,4,0),0)+iferror(vlookup(A14,'전적확인_시즌3'!$A$2:$S$100,4,0),0) + iferror(vlookup(A14,'전적확인_시즌4'!$A$2:$S$100,4,0),0) + iferror(vlookup(A14,'전적확인_시즌5'!$A$2:$S$100,4,0),0) + iferror(vlookup(A14,'전적확인_시즌6'!$A$2:$S$100,4,0),0) + iferror(vlookup(A14,'전적확인_시즌7'!$A$2:$S$100,4,0),0) + iferror(vlookup(A14,'전적확인_시즌8'!$A$2:$S$100,4,0),0) + iferror(vlookup(A14,'전적확인_시즌9'!$A$2:$S$100,4,0),0) + iferror(vlookup(A14,'전적확인_시즌10'!$A$2:$S$100,4,0),0) + iferror(vlookup(A14,'전적확인_시즌11'!$A$2:$S$100,4,0),0) + iferror(vlookup(A14,'전적확인_시즌12'!$A$2:$S$100,4,0),0) + iferror(vlookup(A14,'전적확인_시즌13'!$A$2:$S$100,4,0),0) + iferror(vlookup(A14,'전적확인_시즌14'!$A$2:$S$100,4,0),0) + iferror(vlookup(A14,'전적확인_시즌15'!$A$2:$S$100,4,0),0) + iferror(vlookup(A14,'전적확인_시즌16'!$A$2:$S$100,4,0),0) + iferror(vlookup(A14,'전적확인_시즌17'!$A$2:$S$100,4,0),0) + iferror(vlookup(A14,'전적확인_시즌17'!$A$2:$S$100,4,0),0) + iferror(vlookup(A14,'전적확인_시즌18'!$A$2:$S$100,4,0),0) + iferror(vlookup(A14,'전적확인_시즌19'!$A$2:$S$100,4,0),0) + iferror(vlookup(A14,'전적확인_시즌20'!$A$2:$S$100,4,0),0) + iferror(vlookup(A14,'전적확인_시즌21'!$A$2:$S$100,4,0),0) + iferror(vlookup(A14,'전적확인_시즌22'!$A$2:$S$100,4,0),0) + iferror(vlookup(A14,'전적확인_시즌23'!$A$2:$S$100,4,0),0) + iferror(vlookup(A14,'전적확인_시즌24'!$A$2:$S$100,4,0),0) + iferror(vlookup(A14,'전적확인_시즌25'!$A$2:$S$100,4,0),0) + iferror(vlookup(A14,'전적확인_시즌26'!$A$2:$S$100,4,0),0) + iferror(vlookup(A14,'전적확인_시즌27'!$A$2:$S$100,4,0),0) + iferror(vlookup(A14,'전적확인_시즌28'!$A$2:$S$100,4,0),0) + iferror(vlookup(A14,'전적확인_시즌29'!$A$2:$S$100,4,0),0) + iferror(vlookup(A14,'전적확인_시즌30'!$A$2:$S$100,4,0),0)</f>
        <v>66</v>
      </c>
      <c r="T14" s="98">
        <f>iferror(vlookup(A14,'전적확인'!$A$2:$S$61,5,0),0) + iferror(vlookup(A14,'전적확인_베타시즌'!$A$2:$S$100,5,0),0)+iferror(vlookup(A14,'전적확인_시즌1'!$A$2:$S$100,5,0),0)+iferror(vlookup(A14,'전적확인_시즌2'!$A$2:$S$100,5,0),0)+iferror(vlookup(A14,'전적확인_시즌3'!$A$2:$S$100,5,0),0) + iferror(vlookup(A14,'전적확인_시즌4'!$A$2:$S$100,5,0),0) + iferror(vlookup(A14,'전적확인_시즌5'!$A$2:$S$100,5,0),0) + iferror(vlookup(A14,'전적확인_시즌6'!$A$2:$S$100,5,0),0) + iferror(vlookup(A14,'전적확인_시즌7'!$A$2:$S$100,5,0),0) + iferror(vlookup(A14,'전적확인_시즌8'!$A$2:$S$100,5,0),0) + iferror(vlookup(A14,'전적확인_시즌9'!$A$2:$S$100,5,0),0) + iferror(vlookup(A14,'전적확인_시즌10'!$A$2:$S$100,5,0),0) + iferror(vlookup(A14,'전적확인_시즌11'!$A$2:$S$100,5,0),0) + iferror(vlookup(A14,'전적확인_시즌12'!$A$2:$S$100,5,0),0) + iferror(vlookup(A14,'전적확인_시즌13'!$A$2:$S$100,5,0),0) + iferror(vlookup(A14,'전적확인_시즌14'!$A$2:$S$100,5,0),0) + iferror(vlookup(A14,'전적확인_시즌15'!$A$2:$S$100,5,0),0) + iferror(vlookup(A14,'전적확인_시즌16'!$A$2:$S$100,5,0),0) + iferror(vlookup(A14,'전적확인_시즌17'!$A$2:$S$100,5,0),0) + iferror(vlookup(A14,'전적확인_시즌17'!$A$2:$S$100,5,0),0) + iferror(vlookup(A14,'전적확인_시즌18'!$A$2:$S$100,5,0),0) + iferror(vlookup(A14,'전적확인_시즌19'!$A$2:$S$100,5,0),0) + iferror(vlookup(A14,'전적확인_시즌20'!$A$2:$S$100,5,0),0) + iferror(vlookup(A14,'전적확인_시즌21'!$A$2:$S$100,5,0),0) + iferror(vlookup(A14,'전적확인_시즌22'!$A$2:$S$100,5,0),0) + iferror(vlookup(A14,'전적확인_시즌23'!$A$2:$S$100,5,0),0) + iferror(vlookup(A14,'전적확인_시즌24'!$A$2:$S$100,5,0),0) + iferror(vlookup(A14,'전적확인_시즌25'!$A$2:$S$100,5,0),0) + iferror(vlookup(A14,'전적확인_시즌26'!$A$2:$S$100,5,0),0) + iferror(vlookup(A14,'전적확인_시즌27'!$A$2:$S$100,5,0),0) + iferror(vlookup(A14,'전적확인_시즌28'!$A$2:$S$100,5,0),0) + iferror(vlookup(A14,'전적확인_시즌29'!$A$2:$S$100,5,0),0) + iferror(vlookup(A14,'전적확인_시즌30'!$A$2:$S$100,5,0),0)</f>
        <v>68</v>
      </c>
      <c r="U14" s="98">
        <f t="shared" si="6"/>
        <v>49.25</v>
      </c>
      <c r="V14" s="98">
        <f>iferror(vlookup(A14,'전적확인'!$A$2:$S$61,6,0),0)+ iferror(vlookup(A14,'전적확인_베타시즌'!$A$2:$S$100,6,0),0)+iferror(vlookup(A14,'전적확인_시즌1'!$A$2:$S$100,6,0),0)+iferror(vlookup(A14,'전적확인_시즌2'!$A$2:$S$100,6,0),0)+iferror(vlookup(A14,'전적확인_시즌3'!$A$2:$S$100,6,0),0) + iferror(vlookup(A14,'전적확인_시즌4'!$A$2:$S$100,6,0),0) + iferror(vlookup(A14,'전적확인_시즌5'!$A$2:$S$100,6,0),0) + iferror(vlookup(A14,'전적확인_시즌6'!$A$2:$S$100,6,0),0) + iferror(vlookup(A14,'전적확인_시즌7'!$A$2:$S$100,6,0),0) + iferror(vlookup(A14,'전적확인_시즌8'!$A$2:$S$100,6,0),0) + iferror(vlookup(A14,'전적확인_시즌9'!$A$2:$S$100,6,0),0) + iferror(vlookup(A14,'전적확인_시즌10'!$A$2:$S$100,6,0),0) + iferror(vlookup(A14,'전적확인_시즌11'!$A$2:$S$100,6,0),0) + iferror(vlookup(A14,'전적확인_시즌12'!$A$2:$S$100,6,0),0) + iferror(vlookup(A14,'전적확인_시즌13'!$A$2:$S$100,6,0),0) + iferror(vlookup(A14,'전적확인_시즌14'!$A$2:$S$100,6,0),0) + iferror(vlookup(A14,'전적확인_시즌15'!$A$2:$S$100,6,0),0) + iferror(vlookup(A14,'전적확인_시즌16'!$A$2:$S$100,6,0),0) + iferror(vlookup(A14,'전적확인_시즌17'!$A$2:$S$100,6,0),0) + iferror(vlookup(A14,'전적확인_시즌17'!$A$2:$S$100,6,0),0) + iferror(vlookup(A14,'전적확인_시즌18'!$A$2:$S$100,6,0),0) + iferror(vlookup(A14,'전적확인_시즌19'!$A$2:$S$100,6,0),0) + iferror(vlookup(A14,'전적확인_시즌20'!$A$2:$S$100,6,0),0) + iferror(vlookup(A14,'전적확인_시즌21'!$A$2:$S$100,6,0),0) + iferror(vlookup(A14,'전적확인_시즌22'!$A$2:$S$100,6,0),0) + iferror(vlookup(A14,'전적확인_시즌23'!$A$2:$S$100,6,0),0) + iferror(vlookup(A14,'전적확인_시즌24'!$A$2:$S$100,6,0),0) + iferror(vlookup(A14,'전적확인_시즌25'!$A$2:$S$100,6,0),0) + iferror(vlookup(A14,'전적확인_시즌26'!$A$2:$S$100,6,0),0) + iferror(vlookup(A14,'전적확인_시즌27'!$A$2:$S$100,6,0),0) + iferror(vlookup(A14,'전적확인_시즌28'!$A$2:$S$100,6,0),0) + iferror(vlookup(A14,'전적확인_시즌29'!$A$2:$S$100,6,0),0) + iferror(vlookup(A14,'전적확인_시즌30'!$A$2:$S$100,6,0),0)</f>
        <v>56</v>
      </c>
      <c r="W14" s="98">
        <f> iferror(vlookup(A14,'전적확인'!$A$2:$S$61,7,0),0)+ iferror(vlookup(A14,'전적확인_베타시즌'!$A$2:$S$100,7,0),0)+iferror(vlookup(A14,'전적확인_시즌1'!$A$2:$S$100,7,0),0)+iferror(vlookup(A14,'전적확인_시즌2'!$A$2:$S$100,7,0),0)+iferror(vlookup(A14,'전적확인_시즌3'!$A$2:$S$100,7,0),0) + iferror(vlookup(A14,'전적확인_시즌4'!$A$2:$S$100,7,0),0) + iferror(vlookup(A14,'전적확인_시즌5'!$A$2:$S$100,7,0),0) + iferror(vlookup(A14,'전적확인_시즌6'!$A$2:$S$100,7,0),0) + iferror(vlookup(A14,'전적확인_시즌7'!$A$2:$S$100,7,0),0) + iferror(vlookup(A14,'전적확인_시즌8'!$A$2:$S$100,7,0),0) + iferror(vlookup(A14,'전적확인_시즌9'!$A$2:$S$100,7,0),0) + iferror(vlookup(A14,'전적확인_시즌10'!$A$2:$S$100,7,0),0) + iferror(vlookup(A14,'전적확인_시즌11'!$A$2:$S$100,7,0),0) + iferror(vlookup(A14,'전적확인_시즌12'!$A$2:$S$100,7,0),0) + iferror(vlookup(A14,'전적확인_시즌13'!$A$2:$S$100,7,0),0) + iferror(vlookup(A14,'전적확인_시즌14'!$A$2:$S$100,7,0),0) + iferror(vlookup(A14,'전적확인_시즌15'!$A$2:$S$100,7,0),0) + iferror(vlookup(A14,'전적확인_시즌16'!$A$2:$S$100,7,0),0) + iferror(vlookup(A14,'전적확인_시즌17'!$A$2:$S$100,7,0),0) + iferror(vlookup(A14,'전적확인_시즌17'!$A$2:$S$100,7,0),0) + iferror(vlookup(A14,'전적확인_시즌18'!$A$2:$S$100,7,0),0) + iferror(vlookup(A14,'전적확인_시즌19'!$A$2:$S$100,7,0),0) + iferror(vlookup(A14,'전적확인_시즌20'!$A$2:$S$100,7,0),0) + iferror(vlookup(A14,'전적확인_시즌21'!$A$2:$S$100,7,0),0) + iferror(vlookup(A14,'전적확인_시즌22'!$A$2:$S$100,7,0),0) + iferror(vlookup(A14,'전적확인_시즌23'!$A$2:$S$100,7,0),0) + iferror(vlookup(A14,'전적확인_시즌24'!$A$2:$S$100,7,0),0) + iferror(vlookup(A14,'전적확인_시즌25'!$A$2:$S$100,7,0),0) + iferror(vlookup(A14,'전적확인_시즌26'!$A$2:$S$100,7,0),0) + iferror(vlookup(A14,'전적확인_시즌27'!$A$2:$S$100,7,0),0) + iferror(vlookup(A14,'전적확인_시즌28'!$A$2:$S$100,7,0),0) + iferror(vlookup(A14,'전적확인_시즌29'!$A$2:$S$100,7,0),0) + iferror(vlookup(A14,'전적확인_시즌30'!$A$2:$S$100,7,0),0)</f>
        <v>35</v>
      </c>
      <c r="X14" s="98">
        <f t="shared" si="7"/>
        <v>61.54</v>
      </c>
      <c r="Y14" s="98">
        <f>iferror(vlookup(A14,'전적확인'!$A$2:$S$61,8,0),0) + iferror(vlookup(A14,'전적확인_베타시즌'!$A$2:$S$100,8,0),0)+iferror(vlookup(A14,'전적확인_시즌1'!$A$2:$S$100,8,0),0)+iferror(vlookup(A14,'전적확인_시즌2'!$A$2:$S$100,8,0),0)+iferror(vlookup(A14,'전적확인_시즌3'!$A$2:$S$100,8,0),0) + iferror(vlookup(A14,'전적확인_시즌4'!$A$2:$S$100,8,0),0) + iferror(vlookup(A14,'전적확인_시즌5'!$A$2:$S$100,8,0),0) + iferror(vlookup(A14,'전적확인_시즌6'!$A$2:$S$100,8,0),0) + iferror(vlookup(A14,'전적확인_시즌7'!$A$2:$S$100,8,0),0) + iferror(vlookup(A14,'전적확인_시즌8'!$A$2:$S$100,8,0),0) + iferror(vlookup(A14,'전적확인_시즌9'!$A$2:$S$100,8,0),0) + iferror(vlookup(A14,'전적확인_시즌10'!$A$2:$S$100,8,0),0) + iferror(vlookup(A14,'전적확인_시즌11'!$A$2:$S$100,8,0),0) + iferror(vlookup(A14,'전적확인_시즌12'!$A$2:$S$100,8,0),0) + iferror(vlookup(A14,'전적확인_시즌13'!$A$2:$S$100,8,0),0) + iferror(vlookup(A14,'전적확인_시즌14'!$A$2:$S$100,8,0),0) + iferror(vlookup(A14,'전적확인_시즌15'!$A$2:$S$100,8,0),0) + iferror(vlookup(A14,'전적확인_시즌16'!$A$2:$S$100,8,0),0) + iferror(vlookup(A14,'전적확인_시즌17'!$A$2:$S$100,8,0),0) + iferror(vlookup(A14,'전적확인_시즌17'!$A$2:$S$100,8,0),0) + iferror(vlookup(A14,'전적확인_시즌18'!$A$2:$S$100,8,0),0) + iferror(vlookup(A14,'전적확인_시즌19'!$A$2:$S$100,8,0),0) + iferror(vlookup(A14,'전적확인_시즌20'!$A$2:$S$100,8,0),0) + iferror(vlookup(A14,'전적확인_시즌21'!$A$2:$S$100,8,0),0) + iferror(vlookup(A14,'전적확인_시즌22'!$A$2:$S$100,8,0),0) + iferror(vlookup(A14,'전적확인_시즌23'!$A$2:$S$100,8,0),0) + iferror(vlookup(A14,'전적확인_시즌24'!$A$2:$S$100,8,0),0) + iferror(vlookup(A14,'전적확인_시즌25'!$A$2:$S$100,8,0),0) + iferror(vlookup(A14,'전적확인_시즌26'!$A$2:$S$100,8,0),0) + iferror(vlookup(A14,'전적확인_시즌27'!$A$2:$S$100,8,0),0) + iferror(vlookup(A14,'전적확인_시즌28'!$A$2:$S$100,8,0),0) + iferror(vlookup(A14,'전적확인_시즌29'!$A$2:$S$100,8,0),0) + iferror(vlookup(A14,'전적확인_시즌30'!$A$2:$S$100,8,0),0)</f>
        <v>59</v>
      </c>
      <c r="Z14" s="98">
        <f>iferror(vlookup(A14,'전적확인'!$A$2:$S$61,9,0),0) + iferror(vlookup(A14,'전적확인_베타시즌'!$A$2:$S$100,9,0),0)+iferror(vlookup(A14,'전적확인_시즌1'!$A$2:$S$100,9,0),0)+iferror(vlookup(A14,'전적확인_시즌2'!$A$2:$S$100,9,0),0)+iferror(vlookup(A14,'전적확인_시즌3'!$A$2:$S$100,9,0),0) + iferror(vlookup(A14,'전적확인_시즌4'!$A$2:$S$100,9,0),0) + iferror(vlookup(A14,'전적확인_시즌5'!$A$2:$S$100,9,0),0) + iferror(vlookup(A14,'전적확인_시즌6'!$A$2:$S$100,9,0),0) + iferror(vlookup(A14,'전적확인_시즌7'!$A$2:$S$100,9,0),0) + iferror(vlookup(A14,'전적확인_시즌8'!$A$2:$S$100,9,0),0) + iferror(vlookup(A14,'전적확인_시즌9'!$A$2:$S$100,9,0),0) + iferror(vlookup(A14,'전적확인_시즌10'!$A$2:$S$100,9,0),0) + iferror(vlookup(A14,'전적확인_시즌11'!$A$2:$S$100,9,0),0) + iferror(vlookup(A14,'전적확인_시즌12'!$A$2:$S$100,9,0),0) + iferror(vlookup(A14,'전적확인_시즌13'!$A$2:$S$100,9,0),0) + iferror(vlookup(A14,'전적확인_시즌14'!$A$2:$S$100,9,0),0) + iferror(vlookup(A14,'전적확인_시즌15'!$A$2:$S$100,9,0),0) + iferror(vlookup(A14,'전적확인_시즌16'!$A$2:$S$100,9,0),0) + iferror(vlookup(A14,'전적확인_시즌17'!$A$2:$S$100,9,0),0) + iferror(vlookup(A14,'전적확인_시즌17'!$A$2:$S$100,9,0),0) + iferror(vlookup(A14,'전적확인_시즌18'!$A$2:$S$100,9,0),0) + iferror(vlookup(A14,'전적확인_시즌19'!$A$2:$S$100,9,0),0) + iferror(vlookup(A14,'전적확인_시즌20'!$A$2:$S$100,9,0),0) + iferror(vlookup(A14,'전적확인_시즌21'!$A$2:$S$100,9,0),0) + iferror(vlookup(A14,'전적확인_시즌22'!$A$2:$S$100,9,0),0) + iferror(vlookup(A14,'전적확인_시즌23'!$A$2:$S$100,9,0),0) + iferror(vlookup(A14,'전적확인_시즌24'!$A$2:$S$100,9,0),0) + iferror(vlookup(A14,'전적확인_시즌25'!$A$2:$S$100,9,0),0) + iferror(vlookup(A14,'전적확인_시즌26'!$A$2:$S$100,9,0),0) + iferror(vlookup(A14,'전적확인_시즌27'!$A$2:$S$100,9,0),0) + iferror(vlookup(A14,'전적확인_시즌28'!$A$2:$S$100,9,0),0) + iferror(vlookup(A14,'전적확인_시즌29'!$A$2:$S$100,9,0),0) + iferror(vlookup(A14,'전적확인_시즌30'!$A$2:$S$100,9,0),0)</f>
        <v>57</v>
      </c>
      <c r="AA14" s="98">
        <f t="shared" si="8"/>
        <v>50.86</v>
      </c>
      <c r="AB14" s="2"/>
      <c r="AC14" s="2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>
      <c r="A15" s="95" t="s">
        <v>26</v>
      </c>
      <c r="B15" s="95" t="s">
        <v>9690</v>
      </c>
      <c r="C15" s="95" t="s">
        <v>9691</v>
      </c>
      <c r="D15" s="95" t="s">
        <v>9692</v>
      </c>
      <c r="E15" s="95" t="s">
        <v>26</v>
      </c>
      <c r="F15" s="95" t="s">
        <v>47</v>
      </c>
      <c r="G15" s="95" t="s">
        <v>9693</v>
      </c>
      <c r="H15" s="98">
        <f t="shared" si="1"/>
        <v>1428</v>
      </c>
      <c r="I15" s="98">
        <f>iferror(vlookup(A15,'전적확인'!$A$2:$S$61,10,0),0) + iferror(vlookup(A15,'전적확인_베타시즌'!$A$2:$S$100,10,0),0)+iferror(vlookup(A15,'전적확인_시즌1'!$A$2:$S$100,10,0),0)+iferror(vlookup(A15,'전적확인_시즌2'!$A$2:$S$100,10,0),0)+iferror(vlookup(A15,'전적확인_시즌3'!$A$2:$S$100,10,0),0) + iferror(vlookup(A15,'전적확인_시즌4'!$A$2:$S$100,10,0),0) + iferror(vlookup(A15,'전적확인_시즌5'!$A$2:$S$100,10,0),0) + iferror(vlookup(A15,'전적확인_시즌6'!$A$2:$S$100,10,0),0) + iferror(vlookup(A15,'전적확인_시즌7'!$A$2:$S$100,10,0),0) + iferror(vlookup(A15,'전적확인_시즌8'!$A$2:$S$100,10,0),0) + iferror(vlookup(A15,'전적확인_시즌9'!$A$2:$S$100,10,0),0) + iferror(vlookup(A15,'전적확인_시즌10'!$A$2:$S$100,10,0),0) + iferror(vlookup(A15,'전적확인_시즌11'!$A$2:$S$100,10,0),0) + iferror(vlookup(A15,'전적확인_시즌12'!$A$2:$S$100,10,0),0) + iferror(vlookup(A15,'전적확인_시즌13'!$A$2:$S$100,10,0),0) + iferror(vlookup(A15,'전적확인_시즌14'!$A$2:$S$100,10,0),0) + iferror(vlookup(A15,'전적확인_시즌15'!$A$2:$S$100,10,0),0) + iferror(vlookup(A15,'전적확인_시즌16'!$A$2:$S$100,10,0),0) + iferror(vlookup(A15,'전적확인_시즌17'!$A$2:$S$100,10,0),0) + iferror(vlookup(A15,'전적확인_시즌17'!$A$2:$S$100,10,0),0) + iferror(vlookup(A15,'전적확인_시즌18'!$A$2:$S$100,10,0),0) + iferror(vlookup(A15,'전적확인_시즌19'!$A$2:$S$100,10,0),0) + iferror(vlookup(A15,'전적확인_시즌20'!$A$2:$S$100,10,0),0) + iferror(vlookup(A15,'전적확인_시즌21'!$A$2:$S$100,10,0),0) + iferror(vlookup(A15,'전적확인_시즌22'!$A$2:$S$100,10,0),0) + iferror(vlookup(A15,'전적확인_시즌23'!$A$2:$S$100,10,0),0) + iferror(vlookup(A15,'전적확인_시즌24'!$A$2:$S$100,10,0),0) + iferror(vlookup(A15,'전적확인_시즌25'!$A$2:$S$100,10,0),0) + iferror(vlookup(A15,'전적확인_시즌26'!$A$2:$S$100,10,0),0) + iferror(vlookup(A15,'전적확인_시즌27'!$A$2:$S$100,10,0),0) + iferror(vlookup(A15,'전적확인_시즌28'!$A$2:$S$100,10,0),0) + iferror(vlookup(A15,'전적확인_시즌29'!$A$2:$S$100,10,0),0) + iferror(vlookup(A15,'전적확인_시즌30'!$A$2:$S$100,10,0),0)</f>
        <v>743</v>
      </c>
      <c r="J15" s="98">
        <f>iferror(vlookup(A15,'전적확인'!$A$2:$S$61,11,0),0) + iferror(vlookup(A15,'전적확인_베타시즌'!$A$2:$S$100,11,0),0)+iferror(vlookup(A15,'전적확인_시즌1'!$A$2:$S$100,11,0),0)+iferror(vlookup(A15,'전적확인_시즌2'!$A$2:$S$100,11,0),0)+iferror(vlookup(A15,'전적확인_시즌3'!$A$2:$S$100,11,0),0) + iferror(vlookup(A15,'전적확인_시즌4'!$A$2:$S$100,11,0),0) + iferror(vlookup(A15,'전적확인_시즌5'!$A$2:$S$100,11,0),0) + iferror(vlookup(A15,'전적확인_시즌6'!$A$2:$S$100,11,0),0) + iferror(vlookup(A15,'전적확인_시즌7'!$A$2:$S$100,11,0),0) + iferror(vlookup(A15,'전적확인_시즌8'!$A$2:$S$100,11,0),0) + iferror(vlookup(A15,'전적확인_시즌9'!$A$2:$S$100,11,0),0) + iferror(vlookup(A15,'전적확인_시즌10'!$A$2:$S$100,11,0),0) + iferror(vlookup(A15,'전적확인_시즌11'!$A$2:$S$100,11,0),0) + iferror(vlookup(A15,'전적확인_시즌12'!$A$2:$S$100,11,0),0) + iferror(vlookup(A15,'전적확인_시즌13'!$A$2:$S$100,11,0),0) + iferror(vlookup(A15,'전적확인_시즌14'!$A$2:$S$100,11,0),0) + iferror(vlookup(A15,'전적확인_시즌15'!$A$2:$S$100,11,0),0) + iferror(vlookup(A15,'전적확인_시즌16'!$A$2:$S$100,11,0),0) + iferror(vlookup(A15,'전적확인_시즌17'!$A$2:$S$100,11,0),0) + iferror(vlookup(A15,'전적확인_시즌17'!$A$2:$S$100,11,0),0) + iferror(vlookup(A15,'전적확인_시즌18'!$A$2:$S$100,11,0),0) + iferror(vlookup(A15,'전적확인_시즌19'!$A$2:$S$100,11,0),0) + iferror(vlookup(A15,'전적확인_시즌20'!$A$2:$S$100,11,0),0) + iferror(vlookup(A15,'전적확인_시즌21'!$A$2:$S$100,11,0),0) + iferror(vlookup(A15,'전적확인_시즌22'!$A$2:$S$100,11,0),0) + iferror(vlookup(A15,'전적확인_시즌23'!$A$2:$S$100,11,0),0) + iferror(vlookup(A15,'전적확인_시즌24'!$A$2:$S$100,11,0),0) + iferror(vlookup(A15,'전적확인_시즌25'!$A$2:$S$100,11,0),0) + iferror(vlookup(A15,'전적확인_시즌26'!$A$2:$S$100,11,0),0) + iferror(vlookup(A15,'전적확인_시즌27'!$A$2:$S$100,11,0),0) + iferror(vlookup(A15,'전적확인_시즌28'!$A$2:$S$100,11,0),0) + iferror(vlookup(A15,'전적확인_시즌29'!$A$2:$S$100,11,0),0) + iferror(vlookup(A15,'전적확인_시즌30'!$A$2:$S$100,11,0),0)</f>
        <v>685</v>
      </c>
      <c r="K15" s="98">
        <f t="shared" si="2"/>
        <v>52.03</v>
      </c>
      <c r="L15" s="95">
        <f t="array" ref="L15">iferror(vlookup(A15,INDIRECT('시즌목록'!$H$2 &amp; "!$A$2:$S$100"),10,0),0)</f>
        <v>91</v>
      </c>
      <c r="M15" s="95">
        <f t="array" ref="M15">iferror(vlookup(A15,INDIRECT('시즌목록'!$H$2 &amp; "!$A$2:$S$100"),11,0),0)</f>
        <v>69</v>
      </c>
      <c r="N15" s="98">
        <f t="shared" si="3"/>
        <v>56.88</v>
      </c>
      <c r="O15" s="95" t="str">
        <f t="shared" si="4"/>
        <v>다이아</v>
      </c>
      <c r="P15" s="98">
        <f>iferror(vlookup(A15,'전적확인'!$A$2:$S$61,2,0),0)+ iferror(vlookup(A15,'전적확인_베타시즌'!$A$2:$S$100,2,0),0)+iferror(vlookup(A15,'전적확인_시즌1'!$A$2:$S$100,2,0),0)+iferror(vlookup(A15,'전적확인_시즌2'!$A$2:$S$100,2,0),0)+iferror(vlookup(A15,'전적확인_시즌3'!$A$2:$S$100,2,0),0) + iferror(vlookup(A15,'전적확인_시즌4'!$A$2:$S$100,2,0),0) + iferror(vlookup(A15,'전적확인_시즌5'!$A$2:$S$100,2,0),0) + iferror(vlookup(A15,'전적확인_시즌6'!$A$2:$S$100,2,0),0) + iferror(vlookup(A15,'전적확인_시즌7'!$A$2:$S$100,2,0),0) + iferror(vlookup(A15,'전적확인_시즌8'!$A$2:$S$100,2,0),0) + iferror(vlookup(A15,'전적확인_시즌9'!$A$2:$S$100,2,0),0) + iferror(vlookup(A15,'전적확인_시즌10'!$A$2:$S$100,2,0),0) + iferror(vlookup(A15,'전적확인_시즌11'!$A$2:$S$100,2,0),0) + iferror(vlookup(A15,'전적확인_시즌12'!$A$2:$S$100,2,0),0) + iferror(vlookup(A15,'전적확인_시즌13'!$A$2:$S$100,2,0),0) + iferror(vlookup(A15,'전적확인_시즌14'!$A$2:$S$100,2,0),0) + iferror(vlookup(A15,'전적확인_시즌15'!$A$2:$S$100,2,0),0) + iferror(vlookup(A15,'전적확인_시즌16'!$A$2:$S$100,2,0),0) + iferror(vlookup(A15,'전적확인_시즌17'!$A$2:$S$100,2,0),0) + iferror(vlookup(A15,'전적확인_시즌17'!$A$2:$S$100,2,0),0) + iferror(vlookup(A15,'전적확인_시즌18'!$A$2:$S$100,2,0),0) + iferror(vlookup(A15,'전적확인_시즌19'!$A$2:$S$100,2,0),0) + iferror(vlookup(A15,'전적확인_시즌20'!$A$2:$S$100,2,0),0) + iferror(vlookup(A15,'전적확인_시즌21'!$A$2:$S$100,2,0),0) + iferror(vlookup(A15,'전적확인_시즌22'!$A$2:$S$100,2,0),0) + iferror(vlookup(A15,'전적확인_시즌23'!$A$2:$S$100,2,0),0) + iferror(vlookup(A15,'전적확인_시즌24'!$A$2:$S$100,2,0),0) + iferror(vlookup(A15,'전적확인_시즌25'!$A$2:$S$100,2,0),0) + iferror(vlookup(A15,'전적확인_시즌26'!$A$2:$S$100,2,0),0) + iferror(vlookup(A15,'전적확인_시즌27'!$A$2:$S$100,2,0),0) + iferror(vlookup(A15,'전적확인_시즌28'!$A$2:$S$100,2,0),0) + iferror(vlookup(A15,'전적확인_시즌29'!$A$2:$S$100,2,0),0) + iferror(vlookup(A15,'전적확인_시즌30'!$A$2:$S$100,2,0),0)</f>
        <v>171</v>
      </c>
      <c r="Q15" s="98">
        <f>iferror(vlookup(A15,'전적확인'!$A$2:$S$61,3,0),0)+ iferror(vlookup(A15,'전적확인_베타시즌'!$A$2:$S$100,3,0),0)+iferror(vlookup(A15,'전적확인_시즌1'!$A$2:$S$100,3,0),0)+iferror(vlookup(A15,'전적확인_시즌2'!$A$2:$S$100,3,0),0)+iferror(vlookup(A15,'전적확인_시즌3'!$A$2:$S$100,3,0),0) + iferror(vlookup(A15,'전적확인_시즌4'!$A$2:$S$100,3,0),0) + iferror(vlookup(A15,'전적확인_시즌5'!$A$2:$S$100,3,0),0) + iferror(vlookup(A15,'전적확인_시즌6'!$A$2:$S$100,3,0),0) + iferror(vlookup(A15,'전적확인_시즌7'!$A$2:$S$100,3,0),0) + iferror(vlookup(A15,'전적확인_시즌8'!$A$2:$S$100,3,0),0) + iferror(vlookup(A15,'전적확인_시즌9'!$A$2:$S$100,3,0),0) + iferror(vlookup(A15,'전적확인_시즌10'!$A$2:$S$100,3,0),0) + iferror(vlookup(A15,'전적확인_시즌11'!$A$2:$S$100,3,0),0) + iferror(vlookup(A15,'전적확인_시즌12'!$A$2:$S$100,3,0),0) + iferror(vlookup(A15,'전적확인_시즌13'!$A$2:$S$100,3,0),0) + iferror(vlookup(A15,'전적확인_시즌14'!$A$2:$S$100,3,0),0) + iferror(vlookup(A15,'전적확인_시즌15'!$A$2:$S$100,3,0),0) + iferror(vlookup(A15,'전적확인_시즌16'!$A$2:$S$100,3,0),0) + iferror(vlookup(A15,'전적확인_시즌17'!$A$2:$S$100,3,0),0) + iferror(vlookup(A15,'전적확인_시즌17'!$A$2:$S$100,3,0),0) + iferror(vlookup(A15,'전적확인_시즌18'!$A$2:$S$100,3,0),0) + iferror(vlookup(A15,'전적확인_시즌19'!$A$2:$S$100,3,0),0) + iferror(vlookup(A15,'전적확인_시즌20'!$A$2:$S$100,3,0),0) + iferror(vlookup(A15,'전적확인_시즌21'!$A$2:$S$100,3,0),0) + iferror(vlookup(A15,'전적확인_시즌22'!$A$2:$S$100,3,0),0) + iferror(vlookup(A15,'전적확인_시즌23'!$A$2:$S$100,3,0),0) + iferror(vlookup(A15,'전적확인_시즌24'!$A$2:$S$100,3,0),0) + iferror(vlookup(A15,'전적확인_시즌25'!$A$2:$S$100,3,0),0) + iferror(vlookup(A15,'전적확인_시즌26'!$A$2:$S$100,3,0),0) + iferror(vlookup(A15,'전적확인_시즌27'!$A$2:$S$100,3,0),0) + iferror(vlookup(A15,'전적확인_시즌28'!$A$2:$S$100,3,0),0) + iferror(vlookup(A15,'전적확인_시즌29'!$A$2:$S$100,3,0),0) + iferror(vlookup(A15,'전적확인_시즌30'!$A$2:$S$100,3,0),0)</f>
        <v>167</v>
      </c>
      <c r="R15" s="98">
        <f t="shared" si="5"/>
        <v>50.59</v>
      </c>
      <c r="S15" s="98">
        <f>iferror(vlookup(A15,'전적확인'!$A$2:$S$61,4,0),0) + iferror(vlookup(A15,'전적확인_베타시즌'!$A$2:$S$100,4,0),0)+iferror(vlookup(A15,'전적확인_시즌1'!$A$2:$S$100,4,0),0)+iferror(vlookup(A15,'전적확인_시즌2'!$A$2:$S$100,4,0),0)+iferror(vlookup(A15,'전적확인_시즌3'!$A$2:$S$100,4,0),0) + iferror(vlookup(A15,'전적확인_시즌4'!$A$2:$S$100,4,0),0) + iferror(vlookup(A15,'전적확인_시즌5'!$A$2:$S$100,4,0),0) + iferror(vlookup(A15,'전적확인_시즌6'!$A$2:$S$100,4,0),0) + iferror(vlookup(A15,'전적확인_시즌7'!$A$2:$S$100,4,0),0) + iferror(vlookup(A15,'전적확인_시즌8'!$A$2:$S$100,4,0),0) + iferror(vlookup(A15,'전적확인_시즌9'!$A$2:$S$100,4,0),0) + iferror(vlookup(A15,'전적확인_시즌10'!$A$2:$S$100,4,0),0) + iferror(vlookup(A15,'전적확인_시즌11'!$A$2:$S$100,4,0),0) + iferror(vlookup(A15,'전적확인_시즌12'!$A$2:$S$100,4,0),0) + iferror(vlookup(A15,'전적확인_시즌13'!$A$2:$S$100,4,0),0) + iferror(vlookup(A15,'전적확인_시즌14'!$A$2:$S$100,4,0),0) + iferror(vlookup(A15,'전적확인_시즌15'!$A$2:$S$100,4,0),0) + iferror(vlookup(A15,'전적확인_시즌16'!$A$2:$S$100,4,0),0) + iferror(vlookup(A15,'전적확인_시즌17'!$A$2:$S$100,4,0),0) + iferror(vlookup(A15,'전적확인_시즌17'!$A$2:$S$100,4,0),0) + iferror(vlookup(A15,'전적확인_시즌18'!$A$2:$S$100,4,0),0) + iferror(vlookup(A15,'전적확인_시즌19'!$A$2:$S$100,4,0),0) + iferror(vlookup(A15,'전적확인_시즌20'!$A$2:$S$100,4,0),0) + iferror(vlookup(A15,'전적확인_시즌21'!$A$2:$S$100,4,0),0) + iferror(vlookup(A15,'전적확인_시즌22'!$A$2:$S$100,4,0),0) + iferror(vlookup(A15,'전적확인_시즌23'!$A$2:$S$100,4,0),0) + iferror(vlookup(A15,'전적확인_시즌24'!$A$2:$S$100,4,0),0) + iferror(vlookup(A15,'전적확인_시즌25'!$A$2:$S$100,4,0),0) + iferror(vlookup(A15,'전적확인_시즌26'!$A$2:$S$100,4,0),0) + iferror(vlookup(A15,'전적확인_시즌27'!$A$2:$S$100,4,0),0) + iferror(vlookup(A15,'전적확인_시즌28'!$A$2:$S$100,4,0),0) + iferror(vlookup(A15,'전적확인_시즌29'!$A$2:$S$100,4,0),0) + iferror(vlookup(A15,'전적확인_시즌30'!$A$2:$S$100,4,0),0)</f>
        <v>232</v>
      </c>
      <c r="T15" s="98">
        <f>iferror(vlookup(A15,'전적확인'!$A$2:$S$61,5,0),0) + iferror(vlookup(A15,'전적확인_베타시즌'!$A$2:$S$100,5,0),0)+iferror(vlookup(A15,'전적확인_시즌1'!$A$2:$S$100,5,0),0)+iferror(vlookup(A15,'전적확인_시즌2'!$A$2:$S$100,5,0),0)+iferror(vlookup(A15,'전적확인_시즌3'!$A$2:$S$100,5,0),0) + iferror(vlookup(A15,'전적확인_시즌4'!$A$2:$S$100,5,0),0) + iferror(vlookup(A15,'전적확인_시즌5'!$A$2:$S$100,5,0),0) + iferror(vlookup(A15,'전적확인_시즌6'!$A$2:$S$100,5,0),0) + iferror(vlookup(A15,'전적확인_시즌7'!$A$2:$S$100,5,0),0) + iferror(vlookup(A15,'전적확인_시즌8'!$A$2:$S$100,5,0),0) + iferror(vlookup(A15,'전적확인_시즌9'!$A$2:$S$100,5,0),0) + iferror(vlookup(A15,'전적확인_시즌10'!$A$2:$S$100,5,0),0) + iferror(vlookup(A15,'전적확인_시즌11'!$A$2:$S$100,5,0),0) + iferror(vlookup(A15,'전적확인_시즌12'!$A$2:$S$100,5,0),0) + iferror(vlookup(A15,'전적확인_시즌13'!$A$2:$S$100,5,0),0) + iferror(vlookup(A15,'전적확인_시즌14'!$A$2:$S$100,5,0),0) + iferror(vlookup(A15,'전적확인_시즌15'!$A$2:$S$100,5,0),0) + iferror(vlookup(A15,'전적확인_시즌16'!$A$2:$S$100,5,0),0) + iferror(vlookup(A15,'전적확인_시즌17'!$A$2:$S$100,5,0),0) + iferror(vlookup(A15,'전적확인_시즌17'!$A$2:$S$100,5,0),0) + iferror(vlookup(A15,'전적확인_시즌18'!$A$2:$S$100,5,0),0) + iferror(vlookup(A15,'전적확인_시즌19'!$A$2:$S$100,5,0),0) + iferror(vlookup(A15,'전적확인_시즌20'!$A$2:$S$100,5,0),0) + iferror(vlookup(A15,'전적확인_시즌21'!$A$2:$S$100,5,0),0) + iferror(vlookup(A15,'전적확인_시즌22'!$A$2:$S$100,5,0),0) + iferror(vlookup(A15,'전적확인_시즌23'!$A$2:$S$100,5,0),0) + iferror(vlookup(A15,'전적확인_시즌24'!$A$2:$S$100,5,0),0) + iferror(vlookup(A15,'전적확인_시즌25'!$A$2:$S$100,5,0),0) + iferror(vlookup(A15,'전적확인_시즌26'!$A$2:$S$100,5,0),0) + iferror(vlookup(A15,'전적확인_시즌27'!$A$2:$S$100,5,0),0) + iferror(vlookup(A15,'전적확인_시즌28'!$A$2:$S$100,5,0),0) + iferror(vlookup(A15,'전적확인_시즌29'!$A$2:$S$100,5,0),0) + iferror(vlookup(A15,'전적확인_시즌30'!$A$2:$S$100,5,0),0)</f>
        <v>199</v>
      </c>
      <c r="U15" s="98">
        <f t="shared" si="6"/>
        <v>53.83</v>
      </c>
      <c r="V15" s="98">
        <f>iferror(vlookup(A15,'전적확인'!$A$2:$S$61,6,0),0)+ iferror(vlookup(A15,'전적확인_베타시즌'!$A$2:$S$100,6,0),0)+iferror(vlookup(A15,'전적확인_시즌1'!$A$2:$S$100,6,0),0)+iferror(vlookup(A15,'전적확인_시즌2'!$A$2:$S$100,6,0),0)+iferror(vlookup(A15,'전적확인_시즌3'!$A$2:$S$100,6,0),0) + iferror(vlookup(A15,'전적확인_시즌4'!$A$2:$S$100,6,0),0) + iferror(vlookup(A15,'전적확인_시즌5'!$A$2:$S$100,6,0),0) + iferror(vlookup(A15,'전적확인_시즌6'!$A$2:$S$100,6,0),0) + iferror(vlookup(A15,'전적확인_시즌7'!$A$2:$S$100,6,0),0) + iferror(vlookup(A15,'전적확인_시즌8'!$A$2:$S$100,6,0),0) + iferror(vlookup(A15,'전적확인_시즌9'!$A$2:$S$100,6,0),0) + iferror(vlookup(A15,'전적확인_시즌10'!$A$2:$S$100,6,0),0) + iferror(vlookup(A15,'전적확인_시즌11'!$A$2:$S$100,6,0),0) + iferror(vlookup(A15,'전적확인_시즌12'!$A$2:$S$100,6,0),0) + iferror(vlookup(A15,'전적확인_시즌13'!$A$2:$S$100,6,0),0) + iferror(vlookup(A15,'전적확인_시즌14'!$A$2:$S$100,6,0),0) + iferror(vlookup(A15,'전적확인_시즌15'!$A$2:$S$100,6,0),0) + iferror(vlookup(A15,'전적확인_시즌16'!$A$2:$S$100,6,0),0) + iferror(vlookup(A15,'전적확인_시즌17'!$A$2:$S$100,6,0),0) + iferror(vlookup(A15,'전적확인_시즌17'!$A$2:$S$100,6,0),0) + iferror(vlookup(A15,'전적확인_시즌18'!$A$2:$S$100,6,0),0) + iferror(vlookup(A15,'전적확인_시즌19'!$A$2:$S$100,6,0),0) + iferror(vlookup(A15,'전적확인_시즌20'!$A$2:$S$100,6,0),0) + iferror(vlookup(A15,'전적확인_시즌21'!$A$2:$S$100,6,0),0) + iferror(vlookup(A15,'전적확인_시즌22'!$A$2:$S$100,6,0),0) + iferror(vlookup(A15,'전적확인_시즌23'!$A$2:$S$100,6,0),0) + iferror(vlookup(A15,'전적확인_시즌24'!$A$2:$S$100,6,0),0) + iferror(vlookup(A15,'전적확인_시즌25'!$A$2:$S$100,6,0),0) + iferror(vlookup(A15,'전적확인_시즌26'!$A$2:$S$100,6,0),0) + iferror(vlookup(A15,'전적확인_시즌27'!$A$2:$S$100,6,0),0) + iferror(vlookup(A15,'전적확인_시즌28'!$A$2:$S$100,6,0),0) + iferror(vlookup(A15,'전적확인_시즌29'!$A$2:$S$100,6,0),0) + iferror(vlookup(A15,'전적확인_시즌30'!$A$2:$S$100,6,0),0)</f>
        <v>96</v>
      </c>
      <c r="W15" s="98">
        <f> iferror(vlookup(A15,'전적확인'!$A$2:$S$61,7,0),0)+ iferror(vlookup(A15,'전적확인_베타시즌'!$A$2:$S$100,7,0),0)+iferror(vlookup(A15,'전적확인_시즌1'!$A$2:$S$100,7,0),0)+iferror(vlookup(A15,'전적확인_시즌2'!$A$2:$S$100,7,0),0)+iferror(vlookup(A15,'전적확인_시즌3'!$A$2:$S$100,7,0),0) + iferror(vlookup(A15,'전적확인_시즌4'!$A$2:$S$100,7,0),0) + iferror(vlookup(A15,'전적확인_시즌5'!$A$2:$S$100,7,0),0) + iferror(vlookup(A15,'전적확인_시즌6'!$A$2:$S$100,7,0),0) + iferror(vlookup(A15,'전적확인_시즌7'!$A$2:$S$100,7,0),0) + iferror(vlookup(A15,'전적확인_시즌8'!$A$2:$S$100,7,0),0) + iferror(vlookup(A15,'전적확인_시즌9'!$A$2:$S$100,7,0),0) + iferror(vlookup(A15,'전적확인_시즌10'!$A$2:$S$100,7,0),0) + iferror(vlookup(A15,'전적확인_시즌11'!$A$2:$S$100,7,0),0) + iferror(vlookup(A15,'전적확인_시즌12'!$A$2:$S$100,7,0),0) + iferror(vlookup(A15,'전적확인_시즌13'!$A$2:$S$100,7,0),0) + iferror(vlookup(A15,'전적확인_시즌14'!$A$2:$S$100,7,0),0) + iferror(vlookup(A15,'전적확인_시즌15'!$A$2:$S$100,7,0),0) + iferror(vlookup(A15,'전적확인_시즌16'!$A$2:$S$100,7,0),0) + iferror(vlookup(A15,'전적확인_시즌17'!$A$2:$S$100,7,0),0) + iferror(vlookup(A15,'전적확인_시즌17'!$A$2:$S$100,7,0),0) + iferror(vlookup(A15,'전적확인_시즌18'!$A$2:$S$100,7,0),0) + iferror(vlookup(A15,'전적확인_시즌19'!$A$2:$S$100,7,0),0) + iferror(vlookup(A15,'전적확인_시즌20'!$A$2:$S$100,7,0),0) + iferror(vlookup(A15,'전적확인_시즌21'!$A$2:$S$100,7,0),0) + iferror(vlookup(A15,'전적확인_시즌22'!$A$2:$S$100,7,0),0) + iferror(vlookup(A15,'전적확인_시즌23'!$A$2:$S$100,7,0),0) + iferror(vlookup(A15,'전적확인_시즌24'!$A$2:$S$100,7,0),0) + iferror(vlookup(A15,'전적확인_시즌25'!$A$2:$S$100,7,0),0) + iferror(vlookup(A15,'전적확인_시즌26'!$A$2:$S$100,7,0),0) + iferror(vlookup(A15,'전적확인_시즌27'!$A$2:$S$100,7,0),0) + iferror(vlookup(A15,'전적확인_시즌28'!$A$2:$S$100,7,0),0) + iferror(vlookup(A15,'전적확인_시즌29'!$A$2:$S$100,7,0),0) + iferror(vlookup(A15,'전적확인_시즌30'!$A$2:$S$100,7,0),0)</f>
        <v>98</v>
      </c>
      <c r="X15" s="98">
        <f t="shared" si="7"/>
        <v>49.48</v>
      </c>
      <c r="Y15" s="98">
        <f>iferror(vlookup(A15,'전적확인'!$A$2:$S$61,8,0),0) + iferror(vlookup(A15,'전적확인_베타시즌'!$A$2:$S$100,8,0),0)+iferror(vlookup(A15,'전적확인_시즌1'!$A$2:$S$100,8,0),0)+iferror(vlookup(A15,'전적확인_시즌2'!$A$2:$S$100,8,0),0)+iferror(vlookup(A15,'전적확인_시즌3'!$A$2:$S$100,8,0),0) + iferror(vlookup(A15,'전적확인_시즌4'!$A$2:$S$100,8,0),0) + iferror(vlookup(A15,'전적확인_시즌5'!$A$2:$S$100,8,0),0) + iferror(vlookup(A15,'전적확인_시즌6'!$A$2:$S$100,8,0),0) + iferror(vlookup(A15,'전적확인_시즌7'!$A$2:$S$100,8,0),0) + iferror(vlookup(A15,'전적확인_시즌8'!$A$2:$S$100,8,0),0) + iferror(vlookup(A15,'전적확인_시즌9'!$A$2:$S$100,8,0),0) + iferror(vlookup(A15,'전적확인_시즌10'!$A$2:$S$100,8,0),0) + iferror(vlookup(A15,'전적확인_시즌11'!$A$2:$S$100,8,0),0) + iferror(vlookup(A15,'전적확인_시즌12'!$A$2:$S$100,8,0),0) + iferror(vlookup(A15,'전적확인_시즌13'!$A$2:$S$100,8,0),0) + iferror(vlookup(A15,'전적확인_시즌14'!$A$2:$S$100,8,0),0) + iferror(vlookup(A15,'전적확인_시즌15'!$A$2:$S$100,8,0),0) + iferror(vlookup(A15,'전적확인_시즌16'!$A$2:$S$100,8,0),0) + iferror(vlookup(A15,'전적확인_시즌17'!$A$2:$S$100,8,0),0) + iferror(vlookup(A15,'전적확인_시즌17'!$A$2:$S$100,8,0),0) + iferror(vlookup(A15,'전적확인_시즌18'!$A$2:$S$100,8,0),0) + iferror(vlookup(A15,'전적확인_시즌19'!$A$2:$S$100,8,0),0) + iferror(vlookup(A15,'전적확인_시즌20'!$A$2:$S$100,8,0),0) + iferror(vlookup(A15,'전적확인_시즌21'!$A$2:$S$100,8,0),0) + iferror(vlookup(A15,'전적확인_시즌22'!$A$2:$S$100,8,0),0) + iferror(vlookup(A15,'전적확인_시즌23'!$A$2:$S$100,8,0),0) + iferror(vlookup(A15,'전적확인_시즌24'!$A$2:$S$100,8,0),0) + iferror(vlookup(A15,'전적확인_시즌25'!$A$2:$S$100,8,0),0) + iferror(vlookup(A15,'전적확인_시즌26'!$A$2:$S$100,8,0),0) + iferror(vlookup(A15,'전적확인_시즌27'!$A$2:$S$100,8,0),0) + iferror(vlookup(A15,'전적확인_시즌28'!$A$2:$S$100,8,0),0) + iferror(vlookup(A15,'전적확인_시즌29'!$A$2:$S$100,8,0),0) + iferror(vlookup(A15,'전적확인_시즌30'!$A$2:$S$100,8,0),0)</f>
        <v>244</v>
      </c>
      <c r="Z15" s="98">
        <f>iferror(vlookup(A15,'전적확인'!$A$2:$S$61,9,0),0) + iferror(vlookup(A15,'전적확인_베타시즌'!$A$2:$S$100,9,0),0)+iferror(vlookup(A15,'전적확인_시즌1'!$A$2:$S$100,9,0),0)+iferror(vlookup(A15,'전적확인_시즌2'!$A$2:$S$100,9,0),0)+iferror(vlookup(A15,'전적확인_시즌3'!$A$2:$S$100,9,0),0) + iferror(vlookup(A15,'전적확인_시즌4'!$A$2:$S$100,9,0),0) + iferror(vlookup(A15,'전적확인_시즌5'!$A$2:$S$100,9,0),0) + iferror(vlookup(A15,'전적확인_시즌6'!$A$2:$S$100,9,0),0) + iferror(vlookup(A15,'전적확인_시즌7'!$A$2:$S$100,9,0),0) + iferror(vlookup(A15,'전적확인_시즌8'!$A$2:$S$100,9,0),0) + iferror(vlookup(A15,'전적확인_시즌9'!$A$2:$S$100,9,0),0) + iferror(vlookup(A15,'전적확인_시즌10'!$A$2:$S$100,9,0),0) + iferror(vlookup(A15,'전적확인_시즌11'!$A$2:$S$100,9,0),0) + iferror(vlookup(A15,'전적확인_시즌12'!$A$2:$S$100,9,0),0) + iferror(vlookup(A15,'전적확인_시즌13'!$A$2:$S$100,9,0),0) + iferror(vlookup(A15,'전적확인_시즌14'!$A$2:$S$100,9,0),0) + iferror(vlookup(A15,'전적확인_시즌15'!$A$2:$S$100,9,0),0) + iferror(vlookup(A15,'전적확인_시즌16'!$A$2:$S$100,9,0),0) + iferror(vlookup(A15,'전적확인_시즌17'!$A$2:$S$100,9,0),0) + iferror(vlookup(A15,'전적확인_시즌17'!$A$2:$S$100,9,0),0) + iferror(vlookup(A15,'전적확인_시즌18'!$A$2:$S$100,9,0),0) + iferror(vlookup(A15,'전적확인_시즌19'!$A$2:$S$100,9,0),0) + iferror(vlookup(A15,'전적확인_시즌20'!$A$2:$S$100,9,0),0) + iferror(vlookup(A15,'전적확인_시즌21'!$A$2:$S$100,9,0),0) + iferror(vlookup(A15,'전적확인_시즌22'!$A$2:$S$100,9,0),0) + iferror(vlookup(A15,'전적확인_시즌23'!$A$2:$S$100,9,0),0) + iferror(vlookup(A15,'전적확인_시즌24'!$A$2:$S$100,9,0),0) + iferror(vlookup(A15,'전적확인_시즌25'!$A$2:$S$100,9,0),0) + iferror(vlookup(A15,'전적확인_시즌26'!$A$2:$S$100,9,0),0) + iferror(vlookup(A15,'전적확인_시즌27'!$A$2:$S$100,9,0),0) + iferror(vlookup(A15,'전적확인_시즌28'!$A$2:$S$100,9,0),0) + iferror(vlookup(A15,'전적확인_시즌29'!$A$2:$S$100,9,0),0) + iferror(vlookup(A15,'전적확인_시즌30'!$A$2:$S$100,9,0),0)</f>
        <v>221</v>
      </c>
      <c r="AA15" s="98">
        <f t="shared" si="8"/>
        <v>52.47</v>
      </c>
      <c r="AB15" s="2"/>
      <c r="AC15" s="2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>
      <c r="A16" s="95" t="s">
        <v>9694</v>
      </c>
      <c r="B16" s="95" t="s">
        <v>9695</v>
      </c>
      <c r="C16" s="95" t="s">
        <v>9667</v>
      </c>
      <c r="D16" s="95" t="s">
        <v>9696</v>
      </c>
      <c r="E16" s="95" t="s">
        <v>9697</v>
      </c>
      <c r="F16" s="3"/>
      <c r="G16" s="3"/>
      <c r="H16" s="98">
        <f t="shared" si="1"/>
        <v>143</v>
      </c>
      <c r="I16" s="98">
        <f>iferror(vlookup(A16,'전적확인'!$A$2:$S$61,10,0),0) + iferror(vlookup(A16,'전적확인_베타시즌'!$A$2:$S$100,10,0),0)+iferror(vlookup(A16,'전적확인_시즌1'!$A$2:$S$100,10,0),0)+iferror(vlookup(A16,'전적확인_시즌2'!$A$2:$S$100,10,0),0)+iferror(vlookup(A16,'전적확인_시즌3'!$A$2:$S$100,10,0),0) + iferror(vlookup(A16,'전적확인_시즌4'!$A$2:$S$100,10,0),0) + iferror(vlookup(A16,'전적확인_시즌5'!$A$2:$S$100,10,0),0) + iferror(vlookup(A16,'전적확인_시즌6'!$A$2:$S$100,10,0),0) + iferror(vlookup(A16,'전적확인_시즌7'!$A$2:$S$100,10,0),0) + iferror(vlookup(A16,'전적확인_시즌8'!$A$2:$S$100,10,0),0) + iferror(vlookup(A16,'전적확인_시즌9'!$A$2:$S$100,10,0),0) + iferror(vlookup(A16,'전적확인_시즌10'!$A$2:$S$100,10,0),0) + iferror(vlookup(A16,'전적확인_시즌11'!$A$2:$S$100,10,0),0) + iferror(vlookup(A16,'전적확인_시즌12'!$A$2:$S$100,10,0),0) + iferror(vlookup(A16,'전적확인_시즌13'!$A$2:$S$100,10,0),0) + iferror(vlookup(A16,'전적확인_시즌14'!$A$2:$S$100,10,0),0) + iferror(vlookup(A16,'전적확인_시즌15'!$A$2:$S$100,10,0),0) + iferror(vlookup(A16,'전적확인_시즌16'!$A$2:$S$100,10,0),0) + iferror(vlookup(A16,'전적확인_시즌17'!$A$2:$S$100,10,0),0) + iferror(vlookup(A16,'전적확인_시즌17'!$A$2:$S$100,10,0),0) + iferror(vlookup(A16,'전적확인_시즌18'!$A$2:$S$100,10,0),0) + iferror(vlookup(A16,'전적확인_시즌19'!$A$2:$S$100,10,0),0) + iferror(vlookup(A16,'전적확인_시즌20'!$A$2:$S$100,10,0),0) + iferror(vlookup(A16,'전적확인_시즌21'!$A$2:$S$100,10,0),0) + iferror(vlookup(A16,'전적확인_시즌22'!$A$2:$S$100,10,0),0) + iferror(vlookup(A16,'전적확인_시즌23'!$A$2:$S$100,10,0),0) + iferror(vlookup(A16,'전적확인_시즌24'!$A$2:$S$100,10,0),0) + iferror(vlookup(A16,'전적확인_시즌25'!$A$2:$S$100,10,0),0) + iferror(vlookup(A16,'전적확인_시즌26'!$A$2:$S$100,10,0),0) + iferror(vlookup(A16,'전적확인_시즌27'!$A$2:$S$100,10,0),0) + iferror(vlookup(A16,'전적확인_시즌28'!$A$2:$S$100,10,0),0) + iferror(vlookup(A16,'전적확인_시즌29'!$A$2:$S$100,10,0),0) + iferror(vlookup(A16,'전적확인_시즌30'!$A$2:$S$100,10,0),0)</f>
        <v>74</v>
      </c>
      <c r="J16" s="98">
        <f>iferror(vlookup(A16,'전적확인'!$A$2:$S$61,11,0),0) + iferror(vlookup(A16,'전적확인_베타시즌'!$A$2:$S$100,11,0),0)+iferror(vlookup(A16,'전적확인_시즌1'!$A$2:$S$100,11,0),0)+iferror(vlookup(A16,'전적확인_시즌2'!$A$2:$S$100,11,0),0)+iferror(vlookup(A16,'전적확인_시즌3'!$A$2:$S$100,11,0),0) + iferror(vlookup(A16,'전적확인_시즌4'!$A$2:$S$100,11,0),0) + iferror(vlookup(A16,'전적확인_시즌5'!$A$2:$S$100,11,0),0) + iferror(vlookup(A16,'전적확인_시즌6'!$A$2:$S$100,11,0),0) + iferror(vlookup(A16,'전적확인_시즌7'!$A$2:$S$100,11,0),0) + iferror(vlookup(A16,'전적확인_시즌8'!$A$2:$S$100,11,0),0) + iferror(vlookup(A16,'전적확인_시즌9'!$A$2:$S$100,11,0),0) + iferror(vlookup(A16,'전적확인_시즌10'!$A$2:$S$100,11,0),0) + iferror(vlookup(A16,'전적확인_시즌11'!$A$2:$S$100,11,0),0) + iferror(vlookup(A16,'전적확인_시즌12'!$A$2:$S$100,11,0),0) + iferror(vlookup(A16,'전적확인_시즌13'!$A$2:$S$100,11,0),0) + iferror(vlookup(A16,'전적확인_시즌14'!$A$2:$S$100,11,0),0) + iferror(vlookup(A16,'전적확인_시즌15'!$A$2:$S$100,11,0),0) + iferror(vlookup(A16,'전적확인_시즌16'!$A$2:$S$100,11,0),0) + iferror(vlookup(A16,'전적확인_시즌17'!$A$2:$S$100,11,0),0) + iferror(vlookup(A16,'전적확인_시즌17'!$A$2:$S$100,11,0),0) + iferror(vlookup(A16,'전적확인_시즌18'!$A$2:$S$100,11,0),0) + iferror(vlookup(A16,'전적확인_시즌19'!$A$2:$S$100,11,0),0) + iferror(vlookup(A16,'전적확인_시즌20'!$A$2:$S$100,11,0),0) + iferror(vlookup(A16,'전적확인_시즌21'!$A$2:$S$100,11,0),0) + iferror(vlookup(A16,'전적확인_시즌22'!$A$2:$S$100,11,0),0) + iferror(vlookup(A16,'전적확인_시즌23'!$A$2:$S$100,11,0),0) + iferror(vlookup(A16,'전적확인_시즌24'!$A$2:$S$100,11,0),0) + iferror(vlookup(A16,'전적확인_시즌25'!$A$2:$S$100,11,0),0) + iferror(vlookup(A16,'전적확인_시즌26'!$A$2:$S$100,11,0),0) + iferror(vlookup(A16,'전적확인_시즌27'!$A$2:$S$100,11,0),0) + iferror(vlookup(A16,'전적확인_시즌28'!$A$2:$S$100,11,0),0) + iferror(vlookup(A16,'전적확인_시즌29'!$A$2:$S$100,11,0),0) + iferror(vlookup(A16,'전적확인_시즌30'!$A$2:$S$100,11,0),0)</f>
        <v>69</v>
      </c>
      <c r="K16" s="98">
        <f t="shared" si="2"/>
        <v>51.75</v>
      </c>
      <c r="L16" s="95">
        <f t="array" ref="L16">iferror(vlookup(A16,INDIRECT('시즌목록'!$H$2 &amp; "!$A$2:$S$100"),10,0),0)</f>
        <v>0</v>
      </c>
      <c r="M16" s="95">
        <f t="array" ref="M16">iferror(vlookup(A16,INDIRECT('시즌목록'!$H$2 &amp; "!$A$2:$S$100"),11,0),0)</f>
        <v>0</v>
      </c>
      <c r="N16" s="98">
        <f t="shared" si="3"/>
        <v>0</v>
      </c>
      <c r="O16" s="95" t="str">
        <f t="shared" si="4"/>
        <v>아이언</v>
      </c>
      <c r="P16" s="98">
        <f>iferror(vlookup(A16,'전적확인'!$A$2:$S$61,2,0),0)+ iferror(vlookup(A16,'전적확인_베타시즌'!$A$2:$S$100,2,0),0)+iferror(vlookup(A16,'전적확인_시즌1'!$A$2:$S$100,2,0),0)+iferror(vlookup(A16,'전적확인_시즌2'!$A$2:$S$100,2,0),0)+iferror(vlookup(A16,'전적확인_시즌3'!$A$2:$S$100,2,0),0) + iferror(vlookup(A16,'전적확인_시즌4'!$A$2:$S$100,2,0),0) + iferror(vlookup(A16,'전적확인_시즌5'!$A$2:$S$100,2,0),0) + iferror(vlookup(A16,'전적확인_시즌6'!$A$2:$S$100,2,0),0) + iferror(vlookup(A16,'전적확인_시즌7'!$A$2:$S$100,2,0),0) + iferror(vlookup(A16,'전적확인_시즌8'!$A$2:$S$100,2,0),0) + iferror(vlookup(A16,'전적확인_시즌9'!$A$2:$S$100,2,0),0) + iferror(vlookup(A16,'전적확인_시즌10'!$A$2:$S$100,2,0),0) + iferror(vlookup(A16,'전적확인_시즌11'!$A$2:$S$100,2,0),0) + iferror(vlookup(A16,'전적확인_시즌12'!$A$2:$S$100,2,0),0) + iferror(vlookup(A16,'전적확인_시즌13'!$A$2:$S$100,2,0),0) + iferror(vlookup(A16,'전적확인_시즌14'!$A$2:$S$100,2,0),0) + iferror(vlookup(A16,'전적확인_시즌15'!$A$2:$S$100,2,0),0) + iferror(vlookup(A16,'전적확인_시즌16'!$A$2:$S$100,2,0),0) + iferror(vlookup(A16,'전적확인_시즌17'!$A$2:$S$100,2,0),0) + iferror(vlookup(A16,'전적확인_시즌17'!$A$2:$S$100,2,0),0) + iferror(vlookup(A16,'전적확인_시즌18'!$A$2:$S$100,2,0),0) + iferror(vlookup(A16,'전적확인_시즌19'!$A$2:$S$100,2,0),0) + iferror(vlookup(A16,'전적확인_시즌20'!$A$2:$S$100,2,0),0) + iferror(vlookup(A16,'전적확인_시즌21'!$A$2:$S$100,2,0),0) + iferror(vlookup(A16,'전적확인_시즌22'!$A$2:$S$100,2,0),0) + iferror(vlookup(A16,'전적확인_시즌23'!$A$2:$S$100,2,0),0) + iferror(vlookup(A16,'전적확인_시즌24'!$A$2:$S$100,2,0),0) + iferror(vlookup(A16,'전적확인_시즌25'!$A$2:$S$100,2,0),0) + iferror(vlookup(A16,'전적확인_시즌26'!$A$2:$S$100,2,0),0) + iferror(vlookup(A16,'전적확인_시즌27'!$A$2:$S$100,2,0),0) + iferror(vlookup(A16,'전적확인_시즌28'!$A$2:$S$100,2,0),0) + iferror(vlookup(A16,'전적확인_시즌29'!$A$2:$S$100,2,0),0) + iferror(vlookup(A16,'전적확인_시즌30'!$A$2:$S$100,2,0),0)</f>
        <v>24</v>
      </c>
      <c r="Q16" s="98">
        <f>iferror(vlookup(A16,'전적확인'!$A$2:$S$61,3,0),0)+ iferror(vlookup(A16,'전적확인_베타시즌'!$A$2:$S$100,3,0),0)+iferror(vlookup(A16,'전적확인_시즌1'!$A$2:$S$100,3,0),0)+iferror(vlookup(A16,'전적확인_시즌2'!$A$2:$S$100,3,0),0)+iferror(vlookup(A16,'전적확인_시즌3'!$A$2:$S$100,3,0),0) + iferror(vlookup(A16,'전적확인_시즌4'!$A$2:$S$100,3,0),0) + iferror(vlookup(A16,'전적확인_시즌5'!$A$2:$S$100,3,0),0) + iferror(vlookup(A16,'전적확인_시즌6'!$A$2:$S$100,3,0),0) + iferror(vlookup(A16,'전적확인_시즌7'!$A$2:$S$100,3,0),0) + iferror(vlookup(A16,'전적확인_시즌8'!$A$2:$S$100,3,0),0) + iferror(vlookup(A16,'전적확인_시즌9'!$A$2:$S$100,3,0),0) + iferror(vlookup(A16,'전적확인_시즌10'!$A$2:$S$100,3,0),0) + iferror(vlookup(A16,'전적확인_시즌11'!$A$2:$S$100,3,0),0) + iferror(vlookup(A16,'전적확인_시즌12'!$A$2:$S$100,3,0),0) + iferror(vlookup(A16,'전적확인_시즌13'!$A$2:$S$100,3,0),0) + iferror(vlookup(A16,'전적확인_시즌14'!$A$2:$S$100,3,0),0) + iferror(vlookup(A16,'전적확인_시즌15'!$A$2:$S$100,3,0),0) + iferror(vlookup(A16,'전적확인_시즌16'!$A$2:$S$100,3,0),0) + iferror(vlookup(A16,'전적확인_시즌17'!$A$2:$S$100,3,0),0) + iferror(vlookup(A16,'전적확인_시즌17'!$A$2:$S$100,3,0),0) + iferror(vlookup(A16,'전적확인_시즌18'!$A$2:$S$100,3,0),0) + iferror(vlookup(A16,'전적확인_시즌19'!$A$2:$S$100,3,0),0) + iferror(vlookup(A16,'전적확인_시즌20'!$A$2:$S$100,3,0),0) + iferror(vlookup(A16,'전적확인_시즌21'!$A$2:$S$100,3,0),0) + iferror(vlookup(A16,'전적확인_시즌22'!$A$2:$S$100,3,0),0) + iferror(vlookup(A16,'전적확인_시즌23'!$A$2:$S$100,3,0),0) + iferror(vlookup(A16,'전적확인_시즌24'!$A$2:$S$100,3,0),0) + iferror(vlookup(A16,'전적확인_시즌25'!$A$2:$S$100,3,0),0) + iferror(vlookup(A16,'전적확인_시즌26'!$A$2:$S$100,3,0),0) + iferror(vlookup(A16,'전적확인_시즌27'!$A$2:$S$100,3,0),0) + iferror(vlookup(A16,'전적확인_시즌28'!$A$2:$S$100,3,0),0) + iferror(vlookup(A16,'전적확인_시즌29'!$A$2:$S$100,3,0),0) + iferror(vlookup(A16,'전적확인_시즌30'!$A$2:$S$100,3,0),0)</f>
        <v>21</v>
      </c>
      <c r="R16" s="98">
        <f t="shared" si="5"/>
        <v>53.33</v>
      </c>
      <c r="S16" s="98">
        <f>iferror(vlookup(A16,'전적확인'!$A$2:$S$61,4,0),0) + iferror(vlookup(A16,'전적확인_베타시즌'!$A$2:$S$100,4,0),0)+iferror(vlookup(A16,'전적확인_시즌1'!$A$2:$S$100,4,0),0)+iferror(vlookup(A16,'전적확인_시즌2'!$A$2:$S$100,4,0),0)+iferror(vlookup(A16,'전적확인_시즌3'!$A$2:$S$100,4,0),0) + iferror(vlookup(A16,'전적확인_시즌4'!$A$2:$S$100,4,0),0) + iferror(vlookup(A16,'전적확인_시즌5'!$A$2:$S$100,4,0),0) + iferror(vlookup(A16,'전적확인_시즌6'!$A$2:$S$100,4,0),0) + iferror(vlookup(A16,'전적확인_시즌7'!$A$2:$S$100,4,0),0) + iferror(vlookup(A16,'전적확인_시즌8'!$A$2:$S$100,4,0),0) + iferror(vlookup(A16,'전적확인_시즌9'!$A$2:$S$100,4,0),0) + iferror(vlookup(A16,'전적확인_시즌10'!$A$2:$S$100,4,0),0) + iferror(vlookup(A16,'전적확인_시즌11'!$A$2:$S$100,4,0),0) + iferror(vlookup(A16,'전적확인_시즌12'!$A$2:$S$100,4,0),0) + iferror(vlookup(A16,'전적확인_시즌13'!$A$2:$S$100,4,0),0) + iferror(vlookup(A16,'전적확인_시즌14'!$A$2:$S$100,4,0),0) + iferror(vlookup(A16,'전적확인_시즌15'!$A$2:$S$100,4,0),0) + iferror(vlookup(A16,'전적확인_시즌16'!$A$2:$S$100,4,0),0) + iferror(vlookup(A16,'전적확인_시즌17'!$A$2:$S$100,4,0),0) + iferror(vlookup(A16,'전적확인_시즌17'!$A$2:$S$100,4,0),0) + iferror(vlookup(A16,'전적확인_시즌18'!$A$2:$S$100,4,0),0) + iferror(vlookup(A16,'전적확인_시즌19'!$A$2:$S$100,4,0),0) + iferror(vlookup(A16,'전적확인_시즌20'!$A$2:$S$100,4,0),0) + iferror(vlookup(A16,'전적확인_시즌21'!$A$2:$S$100,4,0),0) + iferror(vlookup(A16,'전적확인_시즌22'!$A$2:$S$100,4,0),0) + iferror(vlookup(A16,'전적확인_시즌23'!$A$2:$S$100,4,0),0) + iferror(vlookup(A16,'전적확인_시즌24'!$A$2:$S$100,4,0),0) + iferror(vlookup(A16,'전적확인_시즌25'!$A$2:$S$100,4,0),0) + iferror(vlookup(A16,'전적확인_시즌26'!$A$2:$S$100,4,0),0) + iferror(vlookup(A16,'전적확인_시즌27'!$A$2:$S$100,4,0),0) + iferror(vlookup(A16,'전적확인_시즌28'!$A$2:$S$100,4,0),0) + iferror(vlookup(A16,'전적확인_시즌29'!$A$2:$S$100,4,0),0) + iferror(vlookup(A16,'전적확인_시즌30'!$A$2:$S$100,4,0),0)</f>
        <v>5</v>
      </c>
      <c r="T16" s="98">
        <f>iferror(vlookup(A16,'전적확인'!$A$2:$S$61,5,0),0) + iferror(vlookup(A16,'전적확인_베타시즌'!$A$2:$S$100,5,0),0)+iferror(vlookup(A16,'전적확인_시즌1'!$A$2:$S$100,5,0),0)+iferror(vlookup(A16,'전적확인_시즌2'!$A$2:$S$100,5,0),0)+iferror(vlookup(A16,'전적확인_시즌3'!$A$2:$S$100,5,0),0) + iferror(vlookup(A16,'전적확인_시즌4'!$A$2:$S$100,5,0),0) + iferror(vlookup(A16,'전적확인_시즌5'!$A$2:$S$100,5,0),0) + iferror(vlookup(A16,'전적확인_시즌6'!$A$2:$S$100,5,0),0) + iferror(vlookup(A16,'전적확인_시즌7'!$A$2:$S$100,5,0),0) + iferror(vlookup(A16,'전적확인_시즌8'!$A$2:$S$100,5,0),0) + iferror(vlookup(A16,'전적확인_시즌9'!$A$2:$S$100,5,0),0) + iferror(vlookup(A16,'전적확인_시즌10'!$A$2:$S$100,5,0),0) + iferror(vlookup(A16,'전적확인_시즌11'!$A$2:$S$100,5,0),0) + iferror(vlookup(A16,'전적확인_시즌12'!$A$2:$S$100,5,0),0) + iferror(vlookup(A16,'전적확인_시즌13'!$A$2:$S$100,5,0),0) + iferror(vlookup(A16,'전적확인_시즌14'!$A$2:$S$100,5,0),0) + iferror(vlookup(A16,'전적확인_시즌15'!$A$2:$S$100,5,0),0) + iferror(vlookup(A16,'전적확인_시즌16'!$A$2:$S$100,5,0),0) + iferror(vlookup(A16,'전적확인_시즌17'!$A$2:$S$100,5,0),0) + iferror(vlookup(A16,'전적확인_시즌17'!$A$2:$S$100,5,0),0) + iferror(vlookup(A16,'전적확인_시즌18'!$A$2:$S$100,5,0),0) + iferror(vlookup(A16,'전적확인_시즌19'!$A$2:$S$100,5,0),0) + iferror(vlookup(A16,'전적확인_시즌20'!$A$2:$S$100,5,0),0) + iferror(vlookup(A16,'전적확인_시즌21'!$A$2:$S$100,5,0),0) + iferror(vlookup(A16,'전적확인_시즌22'!$A$2:$S$100,5,0),0) + iferror(vlookup(A16,'전적확인_시즌23'!$A$2:$S$100,5,0),0) + iferror(vlookup(A16,'전적확인_시즌24'!$A$2:$S$100,5,0),0) + iferror(vlookup(A16,'전적확인_시즌25'!$A$2:$S$100,5,0),0) + iferror(vlookup(A16,'전적확인_시즌26'!$A$2:$S$100,5,0),0) + iferror(vlookup(A16,'전적확인_시즌27'!$A$2:$S$100,5,0),0) + iferror(vlookup(A16,'전적확인_시즌28'!$A$2:$S$100,5,0),0) + iferror(vlookup(A16,'전적확인_시즌29'!$A$2:$S$100,5,0),0) + iferror(vlookup(A16,'전적확인_시즌30'!$A$2:$S$100,5,0),0)</f>
        <v>9</v>
      </c>
      <c r="U16" s="98">
        <f t="shared" si="6"/>
        <v>35.71</v>
      </c>
      <c r="V16" s="98">
        <f>iferror(vlookup(A16,'전적확인'!$A$2:$S$61,6,0),0)+ iferror(vlookup(A16,'전적확인_베타시즌'!$A$2:$S$100,6,0),0)+iferror(vlookup(A16,'전적확인_시즌1'!$A$2:$S$100,6,0),0)+iferror(vlookup(A16,'전적확인_시즌2'!$A$2:$S$100,6,0),0)+iferror(vlookup(A16,'전적확인_시즌3'!$A$2:$S$100,6,0),0) + iferror(vlookup(A16,'전적확인_시즌4'!$A$2:$S$100,6,0),0) + iferror(vlookup(A16,'전적확인_시즌5'!$A$2:$S$100,6,0),0) + iferror(vlookup(A16,'전적확인_시즌6'!$A$2:$S$100,6,0),0) + iferror(vlookup(A16,'전적확인_시즌7'!$A$2:$S$100,6,0),0) + iferror(vlookup(A16,'전적확인_시즌8'!$A$2:$S$100,6,0),0) + iferror(vlookup(A16,'전적확인_시즌9'!$A$2:$S$100,6,0),0) + iferror(vlookup(A16,'전적확인_시즌10'!$A$2:$S$100,6,0),0) + iferror(vlookup(A16,'전적확인_시즌11'!$A$2:$S$100,6,0),0) + iferror(vlookup(A16,'전적확인_시즌12'!$A$2:$S$100,6,0),0) + iferror(vlookup(A16,'전적확인_시즌13'!$A$2:$S$100,6,0),0) + iferror(vlookup(A16,'전적확인_시즌14'!$A$2:$S$100,6,0),0) + iferror(vlookup(A16,'전적확인_시즌15'!$A$2:$S$100,6,0),0) + iferror(vlookup(A16,'전적확인_시즌16'!$A$2:$S$100,6,0),0) + iferror(vlookup(A16,'전적확인_시즌17'!$A$2:$S$100,6,0),0) + iferror(vlookup(A16,'전적확인_시즌17'!$A$2:$S$100,6,0),0) + iferror(vlookup(A16,'전적확인_시즌18'!$A$2:$S$100,6,0),0) + iferror(vlookup(A16,'전적확인_시즌19'!$A$2:$S$100,6,0),0) + iferror(vlookup(A16,'전적확인_시즌20'!$A$2:$S$100,6,0),0) + iferror(vlookup(A16,'전적확인_시즌21'!$A$2:$S$100,6,0),0) + iferror(vlookup(A16,'전적확인_시즌22'!$A$2:$S$100,6,0),0) + iferror(vlookup(A16,'전적확인_시즌23'!$A$2:$S$100,6,0),0) + iferror(vlookup(A16,'전적확인_시즌24'!$A$2:$S$100,6,0),0) + iferror(vlookup(A16,'전적확인_시즌25'!$A$2:$S$100,6,0),0) + iferror(vlookup(A16,'전적확인_시즌26'!$A$2:$S$100,6,0),0) + iferror(vlookup(A16,'전적확인_시즌27'!$A$2:$S$100,6,0),0) + iferror(vlookup(A16,'전적확인_시즌28'!$A$2:$S$100,6,0),0) + iferror(vlookup(A16,'전적확인_시즌29'!$A$2:$S$100,6,0),0) + iferror(vlookup(A16,'전적확인_시즌30'!$A$2:$S$100,6,0),0)</f>
        <v>15</v>
      </c>
      <c r="W16" s="98">
        <f> iferror(vlookup(A16,'전적확인'!$A$2:$S$61,7,0),0)+ iferror(vlookup(A16,'전적확인_베타시즌'!$A$2:$S$100,7,0),0)+iferror(vlookup(A16,'전적확인_시즌1'!$A$2:$S$100,7,0),0)+iferror(vlookup(A16,'전적확인_시즌2'!$A$2:$S$100,7,0),0)+iferror(vlookup(A16,'전적확인_시즌3'!$A$2:$S$100,7,0),0) + iferror(vlookup(A16,'전적확인_시즌4'!$A$2:$S$100,7,0),0) + iferror(vlookup(A16,'전적확인_시즌5'!$A$2:$S$100,7,0),0) + iferror(vlookup(A16,'전적확인_시즌6'!$A$2:$S$100,7,0),0) + iferror(vlookup(A16,'전적확인_시즌7'!$A$2:$S$100,7,0),0) + iferror(vlookup(A16,'전적확인_시즌8'!$A$2:$S$100,7,0),0) + iferror(vlookup(A16,'전적확인_시즌9'!$A$2:$S$100,7,0),0) + iferror(vlookup(A16,'전적확인_시즌10'!$A$2:$S$100,7,0),0) + iferror(vlookup(A16,'전적확인_시즌11'!$A$2:$S$100,7,0),0) + iferror(vlookup(A16,'전적확인_시즌12'!$A$2:$S$100,7,0),0) + iferror(vlookup(A16,'전적확인_시즌13'!$A$2:$S$100,7,0),0) + iferror(vlookup(A16,'전적확인_시즌14'!$A$2:$S$100,7,0),0) + iferror(vlookup(A16,'전적확인_시즌15'!$A$2:$S$100,7,0),0) + iferror(vlookup(A16,'전적확인_시즌16'!$A$2:$S$100,7,0),0) + iferror(vlookup(A16,'전적확인_시즌17'!$A$2:$S$100,7,0),0) + iferror(vlookup(A16,'전적확인_시즌17'!$A$2:$S$100,7,0),0) + iferror(vlookup(A16,'전적확인_시즌18'!$A$2:$S$100,7,0),0) + iferror(vlookup(A16,'전적확인_시즌19'!$A$2:$S$100,7,0),0) + iferror(vlookup(A16,'전적확인_시즌20'!$A$2:$S$100,7,0),0) + iferror(vlookup(A16,'전적확인_시즌21'!$A$2:$S$100,7,0),0) + iferror(vlookup(A16,'전적확인_시즌22'!$A$2:$S$100,7,0),0) + iferror(vlookup(A16,'전적확인_시즌23'!$A$2:$S$100,7,0),0) + iferror(vlookup(A16,'전적확인_시즌24'!$A$2:$S$100,7,0),0) + iferror(vlookup(A16,'전적확인_시즌25'!$A$2:$S$100,7,0),0) + iferror(vlookup(A16,'전적확인_시즌26'!$A$2:$S$100,7,0),0) + iferror(vlookup(A16,'전적확인_시즌27'!$A$2:$S$100,7,0),0) + iferror(vlookup(A16,'전적확인_시즌28'!$A$2:$S$100,7,0),0) + iferror(vlookup(A16,'전적확인_시즌29'!$A$2:$S$100,7,0),0) + iferror(vlookup(A16,'전적확인_시즌30'!$A$2:$S$100,7,0),0)</f>
        <v>20</v>
      </c>
      <c r="X16" s="98">
        <f t="shared" si="7"/>
        <v>42.86</v>
      </c>
      <c r="Y16" s="98">
        <f>iferror(vlookup(A16,'전적확인'!$A$2:$S$61,8,0),0) + iferror(vlookup(A16,'전적확인_베타시즌'!$A$2:$S$100,8,0),0)+iferror(vlookup(A16,'전적확인_시즌1'!$A$2:$S$100,8,0),0)+iferror(vlookup(A16,'전적확인_시즌2'!$A$2:$S$100,8,0),0)+iferror(vlookup(A16,'전적확인_시즌3'!$A$2:$S$100,8,0),0) + iferror(vlookup(A16,'전적확인_시즌4'!$A$2:$S$100,8,0),0) + iferror(vlookup(A16,'전적확인_시즌5'!$A$2:$S$100,8,0),0) + iferror(vlookup(A16,'전적확인_시즌6'!$A$2:$S$100,8,0),0) + iferror(vlookup(A16,'전적확인_시즌7'!$A$2:$S$100,8,0),0) + iferror(vlookup(A16,'전적확인_시즌8'!$A$2:$S$100,8,0),0) + iferror(vlookup(A16,'전적확인_시즌9'!$A$2:$S$100,8,0),0) + iferror(vlookup(A16,'전적확인_시즌10'!$A$2:$S$100,8,0),0) + iferror(vlookup(A16,'전적확인_시즌11'!$A$2:$S$100,8,0),0) + iferror(vlookup(A16,'전적확인_시즌12'!$A$2:$S$100,8,0),0) + iferror(vlookup(A16,'전적확인_시즌13'!$A$2:$S$100,8,0),0) + iferror(vlookup(A16,'전적확인_시즌14'!$A$2:$S$100,8,0),0) + iferror(vlookup(A16,'전적확인_시즌15'!$A$2:$S$100,8,0),0) + iferror(vlookup(A16,'전적확인_시즌16'!$A$2:$S$100,8,0),0) + iferror(vlookup(A16,'전적확인_시즌17'!$A$2:$S$100,8,0),0) + iferror(vlookup(A16,'전적확인_시즌17'!$A$2:$S$100,8,0),0) + iferror(vlookup(A16,'전적확인_시즌18'!$A$2:$S$100,8,0),0) + iferror(vlookup(A16,'전적확인_시즌19'!$A$2:$S$100,8,0),0) + iferror(vlookup(A16,'전적확인_시즌20'!$A$2:$S$100,8,0),0) + iferror(vlookup(A16,'전적확인_시즌21'!$A$2:$S$100,8,0),0) + iferror(vlookup(A16,'전적확인_시즌22'!$A$2:$S$100,8,0),0) + iferror(vlookup(A16,'전적확인_시즌23'!$A$2:$S$100,8,0),0) + iferror(vlookup(A16,'전적확인_시즌24'!$A$2:$S$100,8,0),0) + iferror(vlookup(A16,'전적확인_시즌25'!$A$2:$S$100,8,0),0) + iferror(vlookup(A16,'전적확인_시즌26'!$A$2:$S$100,8,0),0) + iferror(vlookup(A16,'전적확인_시즌27'!$A$2:$S$100,8,0),0) + iferror(vlookup(A16,'전적확인_시즌28'!$A$2:$S$100,8,0),0) + iferror(vlookup(A16,'전적확인_시즌29'!$A$2:$S$100,8,0),0) + iferror(vlookup(A16,'전적확인_시즌30'!$A$2:$S$100,8,0),0)</f>
        <v>30</v>
      </c>
      <c r="Z16" s="98">
        <f>iferror(vlookup(A16,'전적확인'!$A$2:$S$61,9,0),0) + iferror(vlookup(A16,'전적확인_베타시즌'!$A$2:$S$100,9,0),0)+iferror(vlookup(A16,'전적확인_시즌1'!$A$2:$S$100,9,0),0)+iferror(vlookup(A16,'전적확인_시즌2'!$A$2:$S$100,9,0),0)+iferror(vlookup(A16,'전적확인_시즌3'!$A$2:$S$100,9,0),0) + iferror(vlookup(A16,'전적확인_시즌4'!$A$2:$S$100,9,0),0) + iferror(vlookup(A16,'전적확인_시즌5'!$A$2:$S$100,9,0),0) + iferror(vlookup(A16,'전적확인_시즌6'!$A$2:$S$100,9,0),0) + iferror(vlookup(A16,'전적확인_시즌7'!$A$2:$S$100,9,0),0) + iferror(vlookup(A16,'전적확인_시즌8'!$A$2:$S$100,9,0),0) + iferror(vlookup(A16,'전적확인_시즌9'!$A$2:$S$100,9,0),0) + iferror(vlookup(A16,'전적확인_시즌10'!$A$2:$S$100,9,0),0) + iferror(vlookup(A16,'전적확인_시즌11'!$A$2:$S$100,9,0),0) + iferror(vlookup(A16,'전적확인_시즌12'!$A$2:$S$100,9,0),0) + iferror(vlookup(A16,'전적확인_시즌13'!$A$2:$S$100,9,0),0) + iferror(vlookup(A16,'전적확인_시즌14'!$A$2:$S$100,9,0),0) + iferror(vlookup(A16,'전적확인_시즌15'!$A$2:$S$100,9,0),0) + iferror(vlookup(A16,'전적확인_시즌16'!$A$2:$S$100,9,0),0) + iferror(vlookup(A16,'전적확인_시즌17'!$A$2:$S$100,9,0),0) + iferror(vlookup(A16,'전적확인_시즌17'!$A$2:$S$100,9,0),0) + iferror(vlookup(A16,'전적확인_시즌18'!$A$2:$S$100,9,0),0) + iferror(vlookup(A16,'전적확인_시즌19'!$A$2:$S$100,9,0),0) + iferror(vlookup(A16,'전적확인_시즌20'!$A$2:$S$100,9,0),0) + iferror(vlookup(A16,'전적확인_시즌21'!$A$2:$S$100,9,0),0) + iferror(vlookup(A16,'전적확인_시즌22'!$A$2:$S$100,9,0),0) + iferror(vlookup(A16,'전적확인_시즌23'!$A$2:$S$100,9,0),0) + iferror(vlookup(A16,'전적확인_시즌24'!$A$2:$S$100,9,0),0) + iferror(vlookup(A16,'전적확인_시즌25'!$A$2:$S$100,9,0),0) + iferror(vlookup(A16,'전적확인_시즌26'!$A$2:$S$100,9,0),0) + iferror(vlookup(A16,'전적확인_시즌27'!$A$2:$S$100,9,0),0) + iferror(vlookup(A16,'전적확인_시즌28'!$A$2:$S$100,9,0),0) + iferror(vlookup(A16,'전적확인_시즌29'!$A$2:$S$100,9,0),0) + iferror(vlookup(A16,'전적확인_시즌30'!$A$2:$S$100,9,0),0)</f>
        <v>19</v>
      </c>
      <c r="AA16" s="98">
        <f t="shared" si="8"/>
        <v>61.22</v>
      </c>
      <c r="AB16" s="2"/>
      <c r="AC16" s="2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>
      <c r="A17" s="95" t="s">
        <v>42</v>
      </c>
      <c r="B17" s="95" t="s">
        <v>9698</v>
      </c>
      <c r="C17" s="95" t="s">
        <v>9667</v>
      </c>
      <c r="D17" s="95" t="s">
        <v>9667</v>
      </c>
      <c r="E17" s="95" t="s">
        <v>9667</v>
      </c>
      <c r="F17" s="95" t="s">
        <v>47</v>
      </c>
      <c r="G17" s="95" t="s">
        <v>9699</v>
      </c>
      <c r="H17" s="98">
        <f t="shared" si="1"/>
        <v>913</v>
      </c>
      <c r="I17" s="98">
        <f>iferror(vlookup(A17,'전적확인'!$A$2:$S$61,10,0),0) + iferror(vlookup(A17,'전적확인_베타시즌'!$A$2:$S$100,10,0),0)+iferror(vlookup(A17,'전적확인_시즌1'!$A$2:$S$100,10,0),0)+iferror(vlookup(A17,'전적확인_시즌2'!$A$2:$S$100,10,0),0)+iferror(vlookup(A17,'전적확인_시즌3'!$A$2:$S$100,10,0),0) + iferror(vlookup(A17,'전적확인_시즌4'!$A$2:$S$100,10,0),0) + iferror(vlookup(A17,'전적확인_시즌5'!$A$2:$S$100,10,0),0) + iferror(vlookup(A17,'전적확인_시즌6'!$A$2:$S$100,10,0),0) + iferror(vlookup(A17,'전적확인_시즌7'!$A$2:$S$100,10,0),0) + iferror(vlookup(A17,'전적확인_시즌8'!$A$2:$S$100,10,0),0) + iferror(vlookup(A17,'전적확인_시즌9'!$A$2:$S$100,10,0),0) + iferror(vlookup(A17,'전적확인_시즌10'!$A$2:$S$100,10,0),0) + iferror(vlookup(A17,'전적확인_시즌11'!$A$2:$S$100,10,0),0) + iferror(vlookup(A17,'전적확인_시즌12'!$A$2:$S$100,10,0),0) + iferror(vlookup(A17,'전적확인_시즌13'!$A$2:$S$100,10,0),0) + iferror(vlookup(A17,'전적확인_시즌14'!$A$2:$S$100,10,0),0) + iferror(vlookup(A17,'전적확인_시즌15'!$A$2:$S$100,10,0),0) + iferror(vlookup(A17,'전적확인_시즌16'!$A$2:$S$100,10,0),0) + iferror(vlookup(A17,'전적확인_시즌17'!$A$2:$S$100,10,0),0) + iferror(vlookup(A17,'전적확인_시즌17'!$A$2:$S$100,10,0),0) + iferror(vlookup(A17,'전적확인_시즌18'!$A$2:$S$100,10,0),0) + iferror(vlookup(A17,'전적확인_시즌19'!$A$2:$S$100,10,0),0) + iferror(vlookup(A17,'전적확인_시즌20'!$A$2:$S$100,10,0),0) + iferror(vlookup(A17,'전적확인_시즌21'!$A$2:$S$100,10,0),0) + iferror(vlookup(A17,'전적확인_시즌22'!$A$2:$S$100,10,0),0) + iferror(vlookup(A17,'전적확인_시즌23'!$A$2:$S$100,10,0),0) + iferror(vlookup(A17,'전적확인_시즌24'!$A$2:$S$100,10,0),0) + iferror(vlookup(A17,'전적확인_시즌25'!$A$2:$S$100,10,0),0) + iferror(vlookup(A17,'전적확인_시즌26'!$A$2:$S$100,10,0),0) + iferror(vlookup(A17,'전적확인_시즌27'!$A$2:$S$100,10,0),0) + iferror(vlookup(A17,'전적확인_시즌28'!$A$2:$S$100,10,0),0) + iferror(vlookup(A17,'전적확인_시즌29'!$A$2:$S$100,10,0),0) + iferror(vlookup(A17,'전적확인_시즌30'!$A$2:$S$100,10,0),0)</f>
        <v>471</v>
      </c>
      <c r="J17" s="98">
        <f>iferror(vlookup(A17,'전적확인'!$A$2:$S$61,11,0),0) + iferror(vlookup(A17,'전적확인_베타시즌'!$A$2:$S$100,11,0),0)+iferror(vlookup(A17,'전적확인_시즌1'!$A$2:$S$100,11,0),0)+iferror(vlookup(A17,'전적확인_시즌2'!$A$2:$S$100,11,0),0)+iferror(vlookup(A17,'전적확인_시즌3'!$A$2:$S$100,11,0),0) + iferror(vlookup(A17,'전적확인_시즌4'!$A$2:$S$100,11,0),0) + iferror(vlookup(A17,'전적확인_시즌5'!$A$2:$S$100,11,0),0) + iferror(vlookup(A17,'전적확인_시즌6'!$A$2:$S$100,11,0),0) + iferror(vlookup(A17,'전적확인_시즌7'!$A$2:$S$100,11,0),0) + iferror(vlookup(A17,'전적확인_시즌8'!$A$2:$S$100,11,0),0) + iferror(vlookup(A17,'전적확인_시즌9'!$A$2:$S$100,11,0),0) + iferror(vlookup(A17,'전적확인_시즌10'!$A$2:$S$100,11,0),0) + iferror(vlookup(A17,'전적확인_시즌11'!$A$2:$S$100,11,0),0) + iferror(vlookup(A17,'전적확인_시즌12'!$A$2:$S$100,11,0),0) + iferror(vlookup(A17,'전적확인_시즌13'!$A$2:$S$100,11,0),0) + iferror(vlookup(A17,'전적확인_시즌14'!$A$2:$S$100,11,0),0) + iferror(vlookup(A17,'전적확인_시즌15'!$A$2:$S$100,11,0),0) + iferror(vlookup(A17,'전적확인_시즌16'!$A$2:$S$100,11,0),0) + iferror(vlookup(A17,'전적확인_시즌17'!$A$2:$S$100,11,0),0) + iferror(vlookup(A17,'전적확인_시즌17'!$A$2:$S$100,11,0),0) + iferror(vlookup(A17,'전적확인_시즌18'!$A$2:$S$100,11,0),0) + iferror(vlookup(A17,'전적확인_시즌19'!$A$2:$S$100,11,0),0) + iferror(vlookup(A17,'전적확인_시즌20'!$A$2:$S$100,11,0),0) + iferror(vlookup(A17,'전적확인_시즌21'!$A$2:$S$100,11,0),0) + iferror(vlookup(A17,'전적확인_시즌22'!$A$2:$S$100,11,0),0) + iferror(vlookup(A17,'전적확인_시즌23'!$A$2:$S$100,11,0),0) + iferror(vlookup(A17,'전적확인_시즌24'!$A$2:$S$100,11,0),0) + iferror(vlookup(A17,'전적확인_시즌25'!$A$2:$S$100,11,0),0) + iferror(vlookup(A17,'전적확인_시즌26'!$A$2:$S$100,11,0),0) + iferror(vlookup(A17,'전적확인_시즌27'!$A$2:$S$100,11,0),0) + iferror(vlookup(A17,'전적확인_시즌28'!$A$2:$S$100,11,0),0) + iferror(vlookup(A17,'전적확인_시즌29'!$A$2:$S$100,11,0),0) + iferror(vlookup(A17,'전적확인_시즌30'!$A$2:$S$100,11,0),0)</f>
        <v>442</v>
      </c>
      <c r="K17" s="98">
        <f t="shared" si="2"/>
        <v>51.59</v>
      </c>
      <c r="L17" s="95">
        <f t="array" ref="L17">iferror(vlookup(A17,INDIRECT('시즌목록'!$H$2 &amp; "!$A$2:$S$100"),10,0),0)</f>
        <v>59</v>
      </c>
      <c r="M17" s="95">
        <f t="array" ref="M17">iferror(vlookup(A17,INDIRECT('시즌목록'!$H$2 &amp; "!$A$2:$S$100"),11,0),0)</f>
        <v>48</v>
      </c>
      <c r="N17" s="98">
        <f t="shared" si="3"/>
        <v>55.14</v>
      </c>
      <c r="O17" s="95" t="str">
        <f t="shared" si="4"/>
        <v>다이아</v>
      </c>
      <c r="P17" s="98">
        <f>iferror(vlookup(A17,'전적확인'!$A$2:$S$61,2,0),0)+ iferror(vlookup(A17,'전적확인_베타시즌'!$A$2:$S$100,2,0),0)+iferror(vlookup(A17,'전적확인_시즌1'!$A$2:$S$100,2,0),0)+iferror(vlookup(A17,'전적확인_시즌2'!$A$2:$S$100,2,0),0)+iferror(vlookup(A17,'전적확인_시즌3'!$A$2:$S$100,2,0),0) + iferror(vlookup(A17,'전적확인_시즌4'!$A$2:$S$100,2,0),0) + iferror(vlookup(A17,'전적확인_시즌5'!$A$2:$S$100,2,0),0) + iferror(vlookup(A17,'전적확인_시즌6'!$A$2:$S$100,2,0),0) + iferror(vlookup(A17,'전적확인_시즌7'!$A$2:$S$100,2,0),0) + iferror(vlookup(A17,'전적확인_시즌8'!$A$2:$S$100,2,0),0) + iferror(vlookup(A17,'전적확인_시즌9'!$A$2:$S$100,2,0),0) + iferror(vlookup(A17,'전적확인_시즌10'!$A$2:$S$100,2,0),0) + iferror(vlookup(A17,'전적확인_시즌11'!$A$2:$S$100,2,0),0) + iferror(vlookup(A17,'전적확인_시즌12'!$A$2:$S$100,2,0),0) + iferror(vlookup(A17,'전적확인_시즌13'!$A$2:$S$100,2,0),0) + iferror(vlookup(A17,'전적확인_시즌14'!$A$2:$S$100,2,0),0) + iferror(vlookup(A17,'전적확인_시즌15'!$A$2:$S$100,2,0),0) + iferror(vlookup(A17,'전적확인_시즌16'!$A$2:$S$100,2,0),0) + iferror(vlookup(A17,'전적확인_시즌17'!$A$2:$S$100,2,0),0) + iferror(vlookup(A17,'전적확인_시즌17'!$A$2:$S$100,2,0),0) + iferror(vlookup(A17,'전적확인_시즌18'!$A$2:$S$100,2,0),0) + iferror(vlookup(A17,'전적확인_시즌19'!$A$2:$S$100,2,0),0) + iferror(vlookup(A17,'전적확인_시즌20'!$A$2:$S$100,2,0),0) + iferror(vlookup(A17,'전적확인_시즌21'!$A$2:$S$100,2,0),0) + iferror(vlookup(A17,'전적확인_시즌22'!$A$2:$S$100,2,0),0) + iferror(vlookup(A17,'전적확인_시즌23'!$A$2:$S$100,2,0),0) + iferror(vlookup(A17,'전적확인_시즌24'!$A$2:$S$100,2,0),0) + iferror(vlookup(A17,'전적확인_시즌25'!$A$2:$S$100,2,0),0) + iferror(vlookup(A17,'전적확인_시즌26'!$A$2:$S$100,2,0),0) + iferror(vlookup(A17,'전적확인_시즌27'!$A$2:$S$100,2,0),0) + iferror(vlookup(A17,'전적확인_시즌28'!$A$2:$S$100,2,0),0) + iferror(vlookup(A17,'전적확인_시즌29'!$A$2:$S$100,2,0),0) + iferror(vlookup(A17,'전적확인_시즌30'!$A$2:$S$100,2,0),0)</f>
        <v>145</v>
      </c>
      <c r="Q17" s="98">
        <f>iferror(vlookup(A17,'전적확인'!$A$2:$S$61,3,0),0)+ iferror(vlookup(A17,'전적확인_베타시즌'!$A$2:$S$100,3,0),0)+iferror(vlookup(A17,'전적확인_시즌1'!$A$2:$S$100,3,0),0)+iferror(vlookup(A17,'전적확인_시즌2'!$A$2:$S$100,3,0),0)+iferror(vlookup(A17,'전적확인_시즌3'!$A$2:$S$100,3,0),0) + iferror(vlookup(A17,'전적확인_시즌4'!$A$2:$S$100,3,0),0) + iferror(vlookup(A17,'전적확인_시즌5'!$A$2:$S$100,3,0),0) + iferror(vlookup(A17,'전적확인_시즌6'!$A$2:$S$100,3,0),0) + iferror(vlookup(A17,'전적확인_시즌7'!$A$2:$S$100,3,0),0) + iferror(vlookup(A17,'전적확인_시즌8'!$A$2:$S$100,3,0),0) + iferror(vlookup(A17,'전적확인_시즌9'!$A$2:$S$100,3,0),0) + iferror(vlookup(A17,'전적확인_시즌10'!$A$2:$S$100,3,0),0) + iferror(vlookup(A17,'전적확인_시즌11'!$A$2:$S$100,3,0),0) + iferror(vlookup(A17,'전적확인_시즌12'!$A$2:$S$100,3,0),0) + iferror(vlookup(A17,'전적확인_시즌13'!$A$2:$S$100,3,0),0) + iferror(vlookup(A17,'전적확인_시즌14'!$A$2:$S$100,3,0),0) + iferror(vlookup(A17,'전적확인_시즌15'!$A$2:$S$100,3,0),0) + iferror(vlookup(A17,'전적확인_시즌16'!$A$2:$S$100,3,0),0) + iferror(vlookup(A17,'전적확인_시즌17'!$A$2:$S$100,3,0),0) + iferror(vlookup(A17,'전적확인_시즌17'!$A$2:$S$100,3,0),0) + iferror(vlookup(A17,'전적확인_시즌18'!$A$2:$S$100,3,0),0) + iferror(vlookup(A17,'전적확인_시즌19'!$A$2:$S$100,3,0),0) + iferror(vlookup(A17,'전적확인_시즌20'!$A$2:$S$100,3,0),0) + iferror(vlookup(A17,'전적확인_시즌21'!$A$2:$S$100,3,0),0) + iferror(vlookup(A17,'전적확인_시즌22'!$A$2:$S$100,3,0),0) + iferror(vlookup(A17,'전적확인_시즌23'!$A$2:$S$100,3,0),0) + iferror(vlookup(A17,'전적확인_시즌24'!$A$2:$S$100,3,0),0) + iferror(vlookup(A17,'전적확인_시즌25'!$A$2:$S$100,3,0),0) + iferror(vlookup(A17,'전적확인_시즌26'!$A$2:$S$100,3,0),0) + iferror(vlookup(A17,'전적확인_시즌27'!$A$2:$S$100,3,0),0) + iferror(vlookup(A17,'전적확인_시즌28'!$A$2:$S$100,3,0),0) + iferror(vlookup(A17,'전적확인_시즌29'!$A$2:$S$100,3,0),0) + iferror(vlookup(A17,'전적확인_시즌30'!$A$2:$S$100,3,0),0)</f>
        <v>97</v>
      </c>
      <c r="R17" s="98">
        <f t="shared" si="5"/>
        <v>59.92</v>
      </c>
      <c r="S17" s="98">
        <f>iferror(vlookup(A17,'전적확인'!$A$2:$S$61,4,0),0) + iferror(vlookup(A17,'전적확인_베타시즌'!$A$2:$S$100,4,0),0)+iferror(vlookup(A17,'전적확인_시즌1'!$A$2:$S$100,4,0),0)+iferror(vlookup(A17,'전적확인_시즌2'!$A$2:$S$100,4,0),0)+iferror(vlookup(A17,'전적확인_시즌3'!$A$2:$S$100,4,0),0) + iferror(vlookup(A17,'전적확인_시즌4'!$A$2:$S$100,4,0),0) + iferror(vlookup(A17,'전적확인_시즌5'!$A$2:$S$100,4,0),0) + iferror(vlookup(A17,'전적확인_시즌6'!$A$2:$S$100,4,0),0) + iferror(vlookup(A17,'전적확인_시즌7'!$A$2:$S$100,4,0),0) + iferror(vlookup(A17,'전적확인_시즌8'!$A$2:$S$100,4,0),0) + iferror(vlookup(A17,'전적확인_시즌9'!$A$2:$S$100,4,0),0) + iferror(vlookup(A17,'전적확인_시즌10'!$A$2:$S$100,4,0),0) + iferror(vlookup(A17,'전적확인_시즌11'!$A$2:$S$100,4,0),0) + iferror(vlookup(A17,'전적확인_시즌12'!$A$2:$S$100,4,0),0) + iferror(vlookup(A17,'전적확인_시즌13'!$A$2:$S$100,4,0),0) + iferror(vlookup(A17,'전적확인_시즌14'!$A$2:$S$100,4,0),0) + iferror(vlookup(A17,'전적확인_시즌15'!$A$2:$S$100,4,0),0) + iferror(vlookup(A17,'전적확인_시즌16'!$A$2:$S$100,4,0),0) + iferror(vlookup(A17,'전적확인_시즌17'!$A$2:$S$100,4,0),0) + iferror(vlookup(A17,'전적확인_시즌17'!$A$2:$S$100,4,0),0) + iferror(vlookup(A17,'전적확인_시즌18'!$A$2:$S$100,4,0),0) + iferror(vlookup(A17,'전적확인_시즌19'!$A$2:$S$100,4,0),0) + iferror(vlookup(A17,'전적확인_시즌20'!$A$2:$S$100,4,0),0) + iferror(vlookup(A17,'전적확인_시즌21'!$A$2:$S$100,4,0),0) + iferror(vlookup(A17,'전적확인_시즌22'!$A$2:$S$100,4,0),0) + iferror(vlookup(A17,'전적확인_시즌23'!$A$2:$S$100,4,0),0) + iferror(vlookup(A17,'전적확인_시즌24'!$A$2:$S$100,4,0),0) + iferror(vlookup(A17,'전적확인_시즌25'!$A$2:$S$100,4,0),0) + iferror(vlookup(A17,'전적확인_시즌26'!$A$2:$S$100,4,0),0) + iferror(vlookup(A17,'전적확인_시즌27'!$A$2:$S$100,4,0),0) + iferror(vlookup(A17,'전적확인_시즌28'!$A$2:$S$100,4,0),0) + iferror(vlookup(A17,'전적확인_시즌29'!$A$2:$S$100,4,0),0) + iferror(vlookup(A17,'전적확인_시즌30'!$A$2:$S$100,4,0),0)</f>
        <v>140</v>
      </c>
      <c r="T17" s="98">
        <f>iferror(vlookup(A17,'전적확인'!$A$2:$S$61,5,0),0) + iferror(vlookup(A17,'전적확인_베타시즌'!$A$2:$S$100,5,0),0)+iferror(vlookup(A17,'전적확인_시즌1'!$A$2:$S$100,5,0),0)+iferror(vlookup(A17,'전적확인_시즌2'!$A$2:$S$100,5,0),0)+iferror(vlookup(A17,'전적확인_시즌3'!$A$2:$S$100,5,0),0) + iferror(vlookup(A17,'전적확인_시즌4'!$A$2:$S$100,5,0),0) + iferror(vlookup(A17,'전적확인_시즌5'!$A$2:$S$100,5,0),0) + iferror(vlookup(A17,'전적확인_시즌6'!$A$2:$S$100,5,0),0) + iferror(vlookup(A17,'전적확인_시즌7'!$A$2:$S$100,5,0),0) + iferror(vlookup(A17,'전적확인_시즌8'!$A$2:$S$100,5,0),0) + iferror(vlookup(A17,'전적확인_시즌9'!$A$2:$S$100,5,0),0) + iferror(vlookup(A17,'전적확인_시즌10'!$A$2:$S$100,5,0),0) + iferror(vlookup(A17,'전적확인_시즌11'!$A$2:$S$100,5,0),0) + iferror(vlookup(A17,'전적확인_시즌12'!$A$2:$S$100,5,0),0) + iferror(vlookup(A17,'전적확인_시즌13'!$A$2:$S$100,5,0),0) + iferror(vlookup(A17,'전적확인_시즌14'!$A$2:$S$100,5,0),0) + iferror(vlookup(A17,'전적확인_시즌15'!$A$2:$S$100,5,0),0) + iferror(vlookup(A17,'전적확인_시즌16'!$A$2:$S$100,5,0),0) + iferror(vlookup(A17,'전적확인_시즌17'!$A$2:$S$100,5,0),0) + iferror(vlookup(A17,'전적확인_시즌17'!$A$2:$S$100,5,0),0) + iferror(vlookup(A17,'전적확인_시즌18'!$A$2:$S$100,5,0),0) + iferror(vlookup(A17,'전적확인_시즌19'!$A$2:$S$100,5,0),0) + iferror(vlookup(A17,'전적확인_시즌20'!$A$2:$S$100,5,0),0) + iferror(vlookup(A17,'전적확인_시즌21'!$A$2:$S$100,5,0),0) + iferror(vlookup(A17,'전적확인_시즌22'!$A$2:$S$100,5,0),0) + iferror(vlookup(A17,'전적확인_시즌23'!$A$2:$S$100,5,0),0) + iferror(vlookup(A17,'전적확인_시즌24'!$A$2:$S$100,5,0),0) + iferror(vlookup(A17,'전적확인_시즌25'!$A$2:$S$100,5,0),0) + iferror(vlookup(A17,'전적확인_시즌26'!$A$2:$S$100,5,0),0) + iferror(vlookup(A17,'전적확인_시즌27'!$A$2:$S$100,5,0),0) + iferror(vlookup(A17,'전적확인_시즌28'!$A$2:$S$100,5,0),0) + iferror(vlookup(A17,'전적확인_시즌29'!$A$2:$S$100,5,0),0) + iferror(vlookup(A17,'전적확인_시즌30'!$A$2:$S$100,5,0),0)</f>
        <v>172</v>
      </c>
      <c r="U17" s="98">
        <f t="shared" si="6"/>
        <v>44.87</v>
      </c>
      <c r="V17" s="98">
        <f>iferror(vlookup(A17,'전적확인'!$A$2:$S$61,6,0),0)+ iferror(vlookup(A17,'전적확인_베타시즌'!$A$2:$S$100,6,0),0)+iferror(vlookup(A17,'전적확인_시즌1'!$A$2:$S$100,6,0),0)+iferror(vlookup(A17,'전적확인_시즌2'!$A$2:$S$100,6,0),0)+iferror(vlookup(A17,'전적확인_시즌3'!$A$2:$S$100,6,0),0) + iferror(vlookup(A17,'전적확인_시즌4'!$A$2:$S$100,6,0),0) + iferror(vlookup(A17,'전적확인_시즌5'!$A$2:$S$100,6,0),0) + iferror(vlookup(A17,'전적확인_시즌6'!$A$2:$S$100,6,0),0) + iferror(vlookup(A17,'전적확인_시즌7'!$A$2:$S$100,6,0),0) + iferror(vlookup(A17,'전적확인_시즌8'!$A$2:$S$100,6,0),0) + iferror(vlookup(A17,'전적확인_시즌9'!$A$2:$S$100,6,0),0) + iferror(vlookup(A17,'전적확인_시즌10'!$A$2:$S$100,6,0),0) + iferror(vlookup(A17,'전적확인_시즌11'!$A$2:$S$100,6,0),0) + iferror(vlookup(A17,'전적확인_시즌12'!$A$2:$S$100,6,0),0) + iferror(vlookup(A17,'전적확인_시즌13'!$A$2:$S$100,6,0),0) + iferror(vlookup(A17,'전적확인_시즌14'!$A$2:$S$100,6,0),0) + iferror(vlookup(A17,'전적확인_시즌15'!$A$2:$S$100,6,0),0) + iferror(vlookup(A17,'전적확인_시즌16'!$A$2:$S$100,6,0),0) + iferror(vlookup(A17,'전적확인_시즌17'!$A$2:$S$100,6,0),0) + iferror(vlookup(A17,'전적확인_시즌17'!$A$2:$S$100,6,0),0) + iferror(vlookup(A17,'전적확인_시즌18'!$A$2:$S$100,6,0),0) + iferror(vlookup(A17,'전적확인_시즌19'!$A$2:$S$100,6,0),0) + iferror(vlookup(A17,'전적확인_시즌20'!$A$2:$S$100,6,0),0) + iferror(vlookup(A17,'전적확인_시즌21'!$A$2:$S$100,6,0),0) + iferror(vlookup(A17,'전적확인_시즌22'!$A$2:$S$100,6,0),0) + iferror(vlookup(A17,'전적확인_시즌23'!$A$2:$S$100,6,0),0) + iferror(vlookup(A17,'전적확인_시즌24'!$A$2:$S$100,6,0),0) + iferror(vlookup(A17,'전적확인_시즌25'!$A$2:$S$100,6,0),0) + iferror(vlookup(A17,'전적확인_시즌26'!$A$2:$S$100,6,0),0) + iferror(vlookup(A17,'전적확인_시즌27'!$A$2:$S$100,6,0),0) + iferror(vlookup(A17,'전적확인_시즌28'!$A$2:$S$100,6,0),0) + iferror(vlookup(A17,'전적확인_시즌29'!$A$2:$S$100,6,0),0) + iferror(vlookup(A17,'전적확인_시즌30'!$A$2:$S$100,6,0),0)</f>
        <v>125</v>
      </c>
      <c r="W17" s="98">
        <f> iferror(vlookup(A17,'전적확인'!$A$2:$S$61,7,0),0)+ iferror(vlookup(A17,'전적확인_베타시즌'!$A$2:$S$100,7,0),0)+iferror(vlookup(A17,'전적확인_시즌1'!$A$2:$S$100,7,0),0)+iferror(vlookup(A17,'전적확인_시즌2'!$A$2:$S$100,7,0),0)+iferror(vlookup(A17,'전적확인_시즌3'!$A$2:$S$100,7,0),0) + iferror(vlookup(A17,'전적확인_시즌4'!$A$2:$S$100,7,0),0) + iferror(vlookup(A17,'전적확인_시즌5'!$A$2:$S$100,7,0),0) + iferror(vlookup(A17,'전적확인_시즌6'!$A$2:$S$100,7,0),0) + iferror(vlookup(A17,'전적확인_시즌7'!$A$2:$S$100,7,0),0) + iferror(vlookup(A17,'전적확인_시즌8'!$A$2:$S$100,7,0),0) + iferror(vlookup(A17,'전적확인_시즌9'!$A$2:$S$100,7,0),0) + iferror(vlookup(A17,'전적확인_시즌10'!$A$2:$S$100,7,0),0) + iferror(vlookup(A17,'전적확인_시즌11'!$A$2:$S$100,7,0),0) + iferror(vlookup(A17,'전적확인_시즌12'!$A$2:$S$100,7,0),0) + iferror(vlookup(A17,'전적확인_시즌13'!$A$2:$S$100,7,0),0) + iferror(vlookup(A17,'전적확인_시즌14'!$A$2:$S$100,7,0),0) + iferror(vlookup(A17,'전적확인_시즌15'!$A$2:$S$100,7,0),0) + iferror(vlookup(A17,'전적확인_시즌16'!$A$2:$S$100,7,0),0) + iferror(vlookup(A17,'전적확인_시즌17'!$A$2:$S$100,7,0),0) + iferror(vlookup(A17,'전적확인_시즌17'!$A$2:$S$100,7,0),0) + iferror(vlookup(A17,'전적확인_시즌18'!$A$2:$S$100,7,0),0) + iferror(vlookup(A17,'전적확인_시즌19'!$A$2:$S$100,7,0),0) + iferror(vlookup(A17,'전적확인_시즌20'!$A$2:$S$100,7,0),0) + iferror(vlookup(A17,'전적확인_시즌21'!$A$2:$S$100,7,0),0) + iferror(vlookup(A17,'전적확인_시즌22'!$A$2:$S$100,7,0),0) + iferror(vlookup(A17,'전적확인_시즌23'!$A$2:$S$100,7,0),0) + iferror(vlookup(A17,'전적확인_시즌24'!$A$2:$S$100,7,0),0) + iferror(vlookup(A17,'전적확인_시즌25'!$A$2:$S$100,7,0),0) + iferror(vlookup(A17,'전적확인_시즌26'!$A$2:$S$100,7,0),0) + iferror(vlookup(A17,'전적확인_시즌27'!$A$2:$S$100,7,0),0) + iferror(vlookup(A17,'전적확인_시즌28'!$A$2:$S$100,7,0),0) + iferror(vlookup(A17,'전적확인_시즌29'!$A$2:$S$100,7,0),0) + iferror(vlookup(A17,'전적확인_시즌30'!$A$2:$S$100,7,0),0)</f>
        <v>98</v>
      </c>
      <c r="X17" s="98">
        <f t="shared" si="7"/>
        <v>56.05</v>
      </c>
      <c r="Y17" s="98">
        <f>iferror(vlookup(A17,'전적확인'!$A$2:$S$61,8,0),0) + iferror(vlookup(A17,'전적확인_베타시즌'!$A$2:$S$100,8,0),0)+iferror(vlookup(A17,'전적확인_시즌1'!$A$2:$S$100,8,0),0)+iferror(vlookup(A17,'전적확인_시즌2'!$A$2:$S$100,8,0),0)+iferror(vlookup(A17,'전적확인_시즌3'!$A$2:$S$100,8,0),0) + iferror(vlookup(A17,'전적확인_시즌4'!$A$2:$S$100,8,0),0) + iferror(vlookup(A17,'전적확인_시즌5'!$A$2:$S$100,8,0),0) + iferror(vlookup(A17,'전적확인_시즌6'!$A$2:$S$100,8,0),0) + iferror(vlookup(A17,'전적확인_시즌7'!$A$2:$S$100,8,0),0) + iferror(vlookup(A17,'전적확인_시즌8'!$A$2:$S$100,8,0),0) + iferror(vlookup(A17,'전적확인_시즌9'!$A$2:$S$100,8,0),0) + iferror(vlookup(A17,'전적확인_시즌10'!$A$2:$S$100,8,0),0) + iferror(vlookup(A17,'전적확인_시즌11'!$A$2:$S$100,8,0),0) + iferror(vlookup(A17,'전적확인_시즌12'!$A$2:$S$100,8,0),0) + iferror(vlookup(A17,'전적확인_시즌13'!$A$2:$S$100,8,0),0) + iferror(vlookup(A17,'전적확인_시즌14'!$A$2:$S$100,8,0),0) + iferror(vlookup(A17,'전적확인_시즌15'!$A$2:$S$100,8,0),0) + iferror(vlookup(A17,'전적확인_시즌16'!$A$2:$S$100,8,0),0) + iferror(vlookup(A17,'전적확인_시즌17'!$A$2:$S$100,8,0),0) + iferror(vlookup(A17,'전적확인_시즌17'!$A$2:$S$100,8,0),0) + iferror(vlookup(A17,'전적확인_시즌18'!$A$2:$S$100,8,0),0) + iferror(vlookup(A17,'전적확인_시즌19'!$A$2:$S$100,8,0),0) + iferror(vlookup(A17,'전적확인_시즌20'!$A$2:$S$100,8,0),0) + iferror(vlookup(A17,'전적확인_시즌21'!$A$2:$S$100,8,0),0) + iferror(vlookup(A17,'전적확인_시즌22'!$A$2:$S$100,8,0),0) + iferror(vlookup(A17,'전적확인_시즌23'!$A$2:$S$100,8,0),0) + iferror(vlookup(A17,'전적확인_시즌24'!$A$2:$S$100,8,0),0) + iferror(vlookup(A17,'전적확인_시즌25'!$A$2:$S$100,8,0),0) + iferror(vlookup(A17,'전적확인_시즌26'!$A$2:$S$100,8,0),0) + iferror(vlookup(A17,'전적확인_시즌27'!$A$2:$S$100,8,0),0) + iferror(vlookup(A17,'전적확인_시즌28'!$A$2:$S$100,8,0),0) + iferror(vlookup(A17,'전적확인_시즌29'!$A$2:$S$100,8,0),0) + iferror(vlookup(A17,'전적확인_시즌30'!$A$2:$S$100,8,0),0)</f>
        <v>61</v>
      </c>
      <c r="Z17" s="98">
        <f>iferror(vlookup(A17,'전적확인'!$A$2:$S$61,9,0),0) + iferror(vlookup(A17,'전적확인_베타시즌'!$A$2:$S$100,9,0),0)+iferror(vlookup(A17,'전적확인_시즌1'!$A$2:$S$100,9,0),0)+iferror(vlookup(A17,'전적확인_시즌2'!$A$2:$S$100,9,0),0)+iferror(vlookup(A17,'전적확인_시즌3'!$A$2:$S$100,9,0),0) + iferror(vlookup(A17,'전적확인_시즌4'!$A$2:$S$100,9,0),0) + iferror(vlookup(A17,'전적확인_시즌5'!$A$2:$S$100,9,0),0) + iferror(vlookup(A17,'전적확인_시즌6'!$A$2:$S$100,9,0),0) + iferror(vlookup(A17,'전적확인_시즌7'!$A$2:$S$100,9,0),0) + iferror(vlookup(A17,'전적확인_시즌8'!$A$2:$S$100,9,0),0) + iferror(vlookup(A17,'전적확인_시즌9'!$A$2:$S$100,9,0),0) + iferror(vlookup(A17,'전적확인_시즌10'!$A$2:$S$100,9,0),0) + iferror(vlookup(A17,'전적확인_시즌11'!$A$2:$S$100,9,0),0) + iferror(vlookup(A17,'전적확인_시즌12'!$A$2:$S$100,9,0),0) + iferror(vlookup(A17,'전적확인_시즌13'!$A$2:$S$100,9,0),0) + iferror(vlookup(A17,'전적확인_시즌14'!$A$2:$S$100,9,0),0) + iferror(vlookup(A17,'전적확인_시즌15'!$A$2:$S$100,9,0),0) + iferror(vlookup(A17,'전적확인_시즌16'!$A$2:$S$100,9,0),0) + iferror(vlookup(A17,'전적확인_시즌17'!$A$2:$S$100,9,0),0) + iferror(vlookup(A17,'전적확인_시즌17'!$A$2:$S$100,9,0),0) + iferror(vlookup(A17,'전적확인_시즌18'!$A$2:$S$100,9,0),0) + iferror(vlookup(A17,'전적확인_시즌19'!$A$2:$S$100,9,0),0) + iferror(vlookup(A17,'전적확인_시즌20'!$A$2:$S$100,9,0),0) + iferror(vlookup(A17,'전적확인_시즌21'!$A$2:$S$100,9,0),0) + iferror(vlookup(A17,'전적확인_시즌22'!$A$2:$S$100,9,0),0) + iferror(vlookup(A17,'전적확인_시즌23'!$A$2:$S$100,9,0),0) + iferror(vlookup(A17,'전적확인_시즌24'!$A$2:$S$100,9,0),0) + iferror(vlookup(A17,'전적확인_시즌25'!$A$2:$S$100,9,0),0) + iferror(vlookup(A17,'전적확인_시즌26'!$A$2:$S$100,9,0),0) + iferror(vlookup(A17,'전적확인_시즌27'!$A$2:$S$100,9,0),0) + iferror(vlookup(A17,'전적확인_시즌28'!$A$2:$S$100,9,0),0) + iferror(vlookup(A17,'전적확인_시즌29'!$A$2:$S$100,9,0),0) + iferror(vlookup(A17,'전적확인_시즌30'!$A$2:$S$100,9,0),0)</f>
        <v>75</v>
      </c>
      <c r="AA17" s="98">
        <f t="shared" si="8"/>
        <v>44.85</v>
      </c>
      <c r="AB17" s="2"/>
      <c r="AC17" s="2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>
      <c r="A18" s="95" t="s">
        <v>36</v>
      </c>
      <c r="B18" s="95" t="s">
        <v>9700</v>
      </c>
      <c r="C18" s="95" t="s">
        <v>9701</v>
      </c>
      <c r="D18" s="95" t="s">
        <v>9702</v>
      </c>
      <c r="E18" s="95" t="s">
        <v>9703</v>
      </c>
      <c r="F18" s="3"/>
      <c r="G18" s="95" t="s">
        <v>9704</v>
      </c>
      <c r="H18" s="98">
        <f t="shared" si="1"/>
        <v>1163</v>
      </c>
      <c r="I18" s="98">
        <f>iferror(vlookup(A18,'전적확인'!$A$2:$S$61,10,0),0) + iferror(vlookup(A18,'전적확인_베타시즌'!$A$2:$S$100,10,0),0)+iferror(vlookup(A18,'전적확인_시즌1'!$A$2:$S$100,10,0),0)+iferror(vlookup(A18,'전적확인_시즌2'!$A$2:$S$100,10,0),0)+iferror(vlookup(A18,'전적확인_시즌3'!$A$2:$S$100,10,0),0) + iferror(vlookup(A18,'전적확인_시즌4'!$A$2:$S$100,10,0),0) + iferror(vlookup(A18,'전적확인_시즌5'!$A$2:$S$100,10,0),0) + iferror(vlookup(A18,'전적확인_시즌6'!$A$2:$S$100,10,0),0) + iferror(vlookup(A18,'전적확인_시즌7'!$A$2:$S$100,10,0),0) + iferror(vlookup(A18,'전적확인_시즌8'!$A$2:$S$100,10,0),0) + iferror(vlookup(A18,'전적확인_시즌9'!$A$2:$S$100,10,0),0) + iferror(vlookup(A18,'전적확인_시즌10'!$A$2:$S$100,10,0),0) + iferror(vlookup(A18,'전적확인_시즌11'!$A$2:$S$100,10,0),0) + iferror(vlookup(A18,'전적확인_시즌12'!$A$2:$S$100,10,0),0) + iferror(vlookup(A18,'전적확인_시즌13'!$A$2:$S$100,10,0),0) + iferror(vlookup(A18,'전적확인_시즌14'!$A$2:$S$100,10,0),0) + iferror(vlookup(A18,'전적확인_시즌15'!$A$2:$S$100,10,0),0) + iferror(vlookup(A18,'전적확인_시즌16'!$A$2:$S$100,10,0),0) + iferror(vlookup(A18,'전적확인_시즌17'!$A$2:$S$100,10,0),0) + iferror(vlookup(A18,'전적확인_시즌17'!$A$2:$S$100,10,0),0) + iferror(vlookup(A18,'전적확인_시즌18'!$A$2:$S$100,10,0),0) + iferror(vlookup(A18,'전적확인_시즌19'!$A$2:$S$100,10,0),0) + iferror(vlookup(A18,'전적확인_시즌20'!$A$2:$S$100,10,0),0) + iferror(vlookup(A18,'전적확인_시즌21'!$A$2:$S$100,10,0),0) + iferror(vlookup(A18,'전적확인_시즌22'!$A$2:$S$100,10,0),0) + iferror(vlookup(A18,'전적확인_시즌23'!$A$2:$S$100,10,0),0) + iferror(vlookup(A18,'전적확인_시즌24'!$A$2:$S$100,10,0),0) + iferror(vlookup(A18,'전적확인_시즌25'!$A$2:$S$100,10,0),0) + iferror(vlookup(A18,'전적확인_시즌26'!$A$2:$S$100,10,0),0) + iferror(vlookup(A18,'전적확인_시즌27'!$A$2:$S$100,10,0),0) + iferror(vlookup(A18,'전적확인_시즌28'!$A$2:$S$100,10,0),0) + iferror(vlookup(A18,'전적확인_시즌29'!$A$2:$S$100,10,0),0) + iferror(vlookup(A18,'전적확인_시즌30'!$A$2:$S$100,10,0),0)</f>
        <v>587</v>
      </c>
      <c r="J18" s="98">
        <f>iferror(vlookup(A18,'전적확인'!$A$2:$S$61,11,0),0) + iferror(vlookup(A18,'전적확인_베타시즌'!$A$2:$S$100,11,0),0)+iferror(vlookup(A18,'전적확인_시즌1'!$A$2:$S$100,11,0),0)+iferror(vlookup(A18,'전적확인_시즌2'!$A$2:$S$100,11,0),0)+iferror(vlookup(A18,'전적확인_시즌3'!$A$2:$S$100,11,0),0) + iferror(vlookup(A18,'전적확인_시즌4'!$A$2:$S$100,11,0),0) + iferror(vlookup(A18,'전적확인_시즌5'!$A$2:$S$100,11,0),0) + iferror(vlookup(A18,'전적확인_시즌6'!$A$2:$S$100,11,0),0) + iferror(vlookup(A18,'전적확인_시즌7'!$A$2:$S$100,11,0),0) + iferror(vlookup(A18,'전적확인_시즌8'!$A$2:$S$100,11,0),0) + iferror(vlookup(A18,'전적확인_시즌9'!$A$2:$S$100,11,0),0) + iferror(vlookup(A18,'전적확인_시즌10'!$A$2:$S$100,11,0),0) + iferror(vlookup(A18,'전적확인_시즌11'!$A$2:$S$100,11,0),0) + iferror(vlookup(A18,'전적확인_시즌12'!$A$2:$S$100,11,0),0) + iferror(vlookup(A18,'전적확인_시즌13'!$A$2:$S$100,11,0),0) + iferror(vlookup(A18,'전적확인_시즌14'!$A$2:$S$100,11,0),0) + iferror(vlookup(A18,'전적확인_시즌15'!$A$2:$S$100,11,0),0) + iferror(vlookup(A18,'전적확인_시즌16'!$A$2:$S$100,11,0),0) + iferror(vlookup(A18,'전적확인_시즌17'!$A$2:$S$100,11,0),0) + iferror(vlookup(A18,'전적확인_시즌17'!$A$2:$S$100,11,0),0) + iferror(vlookup(A18,'전적확인_시즌18'!$A$2:$S$100,11,0),0) + iferror(vlookup(A18,'전적확인_시즌19'!$A$2:$S$100,11,0),0) + iferror(vlookup(A18,'전적확인_시즌20'!$A$2:$S$100,11,0),0) + iferror(vlookup(A18,'전적확인_시즌21'!$A$2:$S$100,11,0),0) + iferror(vlookup(A18,'전적확인_시즌22'!$A$2:$S$100,11,0),0) + iferror(vlookup(A18,'전적확인_시즌23'!$A$2:$S$100,11,0),0) + iferror(vlookup(A18,'전적확인_시즌24'!$A$2:$S$100,11,0),0) + iferror(vlookup(A18,'전적확인_시즌25'!$A$2:$S$100,11,0),0) + iferror(vlookup(A18,'전적확인_시즌26'!$A$2:$S$100,11,0),0) + iferror(vlookup(A18,'전적확인_시즌27'!$A$2:$S$100,11,0),0) + iferror(vlookup(A18,'전적확인_시즌28'!$A$2:$S$100,11,0),0) + iferror(vlookup(A18,'전적확인_시즌29'!$A$2:$S$100,11,0),0) + iferror(vlookup(A18,'전적확인_시즌30'!$A$2:$S$100,11,0),0)</f>
        <v>576</v>
      </c>
      <c r="K18" s="98">
        <f t="shared" si="2"/>
        <v>50.47</v>
      </c>
      <c r="L18" s="95">
        <f t="array" ref="L18">iferror(vlookup(A18,INDIRECT('시즌목록'!$H$2 &amp; "!$A$2:$S$100"),10,0),0)</f>
        <v>46</v>
      </c>
      <c r="M18" s="95">
        <f t="array" ref="M18">iferror(vlookup(A18,INDIRECT('시즌목록'!$H$2 &amp; "!$A$2:$S$100"),11,0),0)</f>
        <v>56</v>
      </c>
      <c r="N18" s="98">
        <f t="shared" si="3"/>
        <v>45.1</v>
      </c>
      <c r="O18" s="95" t="str">
        <f t="shared" si="4"/>
        <v>골드</v>
      </c>
      <c r="P18" s="98">
        <f>iferror(vlookup(A18,'전적확인'!$A$2:$S$61,2,0),0)+ iferror(vlookup(A18,'전적확인_베타시즌'!$A$2:$S$100,2,0),0)+iferror(vlookup(A18,'전적확인_시즌1'!$A$2:$S$100,2,0),0)+iferror(vlookup(A18,'전적확인_시즌2'!$A$2:$S$100,2,0),0)+iferror(vlookup(A18,'전적확인_시즌3'!$A$2:$S$100,2,0),0) + iferror(vlookup(A18,'전적확인_시즌4'!$A$2:$S$100,2,0),0) + iferror(vlookup(A18,'전적확인_시즌5'!$A$2:$S$100,2,0),0) + iferror(vlookup(A18,'전적확인_시즌6'!$A$2:$S$100,2,0),0) + iferror(vlookup(A18,'전적확인_시즌7'!$A$2:$S$100,2,0),0) + iferror(vlookup(A18,'전적확인_시즌8'!$A$2:$S$100,2,0),0) + iferror(vlookup(A18,'전적확인_시즌9'!$A$2:$S$100,2,0),0) + iferror(vlookup(A18,'전적확인_시즌10'!$A$2:$S$100,2,0),0) + iferror(vlookup(A18,'전적확인_시즌11'!$A$2:$S$100,2,0),0) + iferror(vlookup(A18,'전적확인_시즌12'!$A$2:$S$100,2,0),0) + iferror(vlookup(A18,'전적확인_시즌13'!$A$2:$S$100,2,0),0) + iferror(vlookup(A18,'전적확인_시즌14'!$A$2:$S$100,2,0),0) + iferror(vlookup(A18,'전적확인_시즌15'!$A$2:$S$100,2,0),0) + iferror(vlookup(A18,'전적확인_시즌16'!$A$2:$S$100,2,0),0) + iferror(vlookup(A18,'전적확인_시즌17'!$A$2:$S$100,2,0),0) + iferror(vlookup(A18,'전적확인_시즌17'!$A$2:$S$100,2,0),0) + iferror(vlookup(A18,'전적확인_시즌18'!$A$2:$S$100,2,0),0) + iferror(vlookup(A18,'전적확인_시즌19'!$A$2:$S$100,2,0),0) + iferror(vlookup(A18,'전적확인_시즌20'!$A$2:$S$100,2,0),0) + iferror(vlookup(A18,'전적확인_시즌21'!$A$2:$S$100,2,0),0) + iferror(vlookup(A18,'전적확인_시즌22'!$A$2:$S$100,2,0),0) + iferror(vlookup(A18,'전적확인_시즌23'!$A$2:$S$100,2,0),0) + iferror(vlookup(A18,'전적확인_시즌24'!$A$2:$S$100,2,0),0) + iferror(vlookup(A18,'전적확인_시즌25'!$A$2:$S$100,2,0),0) + iferror(vlookup(A18,'전적확인_시즌26'!$A$2:$S$100,2,0),0) + iferror(vlookup(A18,'전적확인_시즌27'!$A$2:$S$100,2,0),0) + iferror(vlookup(A18,'전적확인_시즌28'!$A$2:$S$100,2,0),0) + iferror(vlookup(A18,'전적확인_시즌29'!$A$2:$S$100,2,0),0) + iferror(vlookup(A18,'전적확인_시즌30'!$A$2:$S$100,2,0),0)</f>
        <v>149</v>
      </c>
      <c r="Q18" s="98">
        <f>iferror(vlookup(A18,'전적확인'!$A$2:$S$61,3,0),0)+ iferror(vlookup(A18,'전적확인_베타시즌'!$A$2:$S$100,3,0),0)+iferror(vlookup(A18,'전적확인_시즌1'!$A$2:$S$100,3,0),0)+iferror(vlookup(A18,'전적확인_시즌2'!$A$2:$S$100,3,0),0)+iferror(vlookup(A18,'전적확인_시즌3'!$A$2:$S$100,3,0),0) + iferror(vlookup(A18,'전적확인_시즌4'!$A$2:$S$100,3,0),0) + iferror(vlookup(A18,'전적확인_시즌5'!$A$2:$S$100,3,0),0) + iferror(vlookup(A18,'전적확인_시즌6'!$A$2:$S$100,3,0),0) + iferror(vlookup(A18,'전적확인_시즌7'!$A$2:$S$100,3,0),0) + iferror(vlookup(A18,'전적확인_시즌8'!$A$2:$S$100,3,0),0) + iferror(vlookup(A18,'전적확인_시즌9'!$A$2:$S$100,3,0),0) + iferror(vlookup(A18,'전적확인_시즌10'!$A$2:$S$100,3,0),0) + iferror(vlookup(A18,'전적확인_시즌11'!$A$2:$S$100,3,0),0) + iferror(vlookup(A18,'전적확인_시즌12'!$A$2:$S$100,3,0),0) + iferror(vlookup(A18,'전적확인_시즌13'!$A$2:$S$100,3,0),0) + iferror(vlookup(A18,'전적확인_시즌14'!$A$2:$S$100,3,0),0) + iferror(vlookup(A18,'전적확인_시즌15'!$A$2:$S$100,3,0),0) + iferror(vlookup(A18,'전적확인_시즌16'!$A$2:$S$100,3,0),0) + iferror(vlookup(A18,'전적확인_시즌17'!$A$2:$S$100,3,0),0) + iferror(vlookup(A18,'전적확인_시즌17'!$A$2:$S$100,3,0),0) + iferror(vlookup(A18,'전적확인_시즌18'!$A$2:$S$100,3,0),0) + iferror(vlookup(A18,'전적확인_시즌19'!$A$2:$S$100,3,0),0) + iferror(vlookup(A18,'전적확인_시즌20'!$A$2:$S$100,3,0),0) + iferror(vlookup(A18,'전적확인_시즌21'!$A$2:$S$100,3,0),0) + iferror(vlookup(A18,'전적확인_시즌22'!$A$2:$S$100,3,0),0) + iferror(vlookup(A18,'전적확인_시즌23'!$A$2:$S$100,3,0),0) + iferror(vlookup(A18,'전적확인_시즌24'!$A$2:$S$100,3,0),0) + iferror(vlookup(A18,'전적확인_시즌25'!$A$2:$S$100,3,0),0) + iferror(vlookup(A18,'전적확인_시즌26'!$A$2:$S$100,3,0),0) + iferror(vlookup(A18,'전적확인_시즌27'!$A$2:$S$100,3,0),0) + iferror(vlookup(A18,'전적확인_시즌28'!$A$2:$S$100,3,0),0) + iferror(vlookup(A18,'전적확인_시즌29'!$A$2:$S$100,3,0),0) + iferror(vlookup(A18,'전적확인_시즌30'!$A$2:$S$100,3,0),0)</f>
        <v>169</v>
      </c>
      <c r="R18" s="98">
        <f t="shared" si="5"/>
        <v>46.86</v>
      </c>
      <c r="S18" s="98">
        <f>iferror(vlookup(A18,'전적확인'!$A$2:$S$61,4,0),0) + iferror(vlookup(A18,'전적확인_베타시즌'!$A$2:$S$100,4,0),0)+iferror(vlookup(A18,'전적확인_시즌1'!$A$2:$S$100,4,0),0)+iferror(vlookup(A18,'전적확인_시즌2'!$A$2:$S$100,4,0),0)+iferror(vlookup(A18,'전적확인_시즌3'!$A$2:$S$100,4,0),0) + iferror(vlookup(A18,'전적확인_시즌4'!$A$2:$S$100,4,0),0) + iferror(vlookup(A18,'전적확인_시즌5'!$A$2:$S$100,4,0),0) + iferror(vlookup(A18,'전적확인_시즌6'!$A$2:$S$100,4,0),0) + iferror(vlookup(A18,'전적확인_시즌7'!$A$2:$S$100,4,0),0) + iferror(vlookup(A18,'전적확인_시즌8'!$A$2:$S$100,4,0),0) + iferror(vlookup(A18,'전적확인_시즌9'!$A$2:$S$100,4,0),0) + iferror(vlookup(A18,'전적확인_시즌10'!$A$2:$S$100,4,0),0) + iferror(vlookup(A18,'전적확인_시즌11'!$A$2:$S$100,4,0),0) + iferror(vlookup(A18,'전적확인_시즌12'!$A$2:$S$100,4,0),0) + iferror(vlookup(A18,'전적확인_시즌13'!$A$2:$S$100,4,0),0) + iferror(vlookup(A18,'전적확인_시즌14'!$A$2:$S$100,4,0),0) + iferror(vlookup(A18,'전적확인_시즌15'!$A$2:$S$100,4,0),0) + iferror(vlookup(A18,'전적확인_시즌16'!$A$2:$S$100,4,0),0) + iferror(vlookup(A18,'전적확인_시즌17'!$A$2:$S$100,4,0),0) + iferror(vlookup(A18,'전적확인_시즌17'!$A$2:$S$100,4,0),0) + iferror(vlookup(A18,'전적확인_시즌18'!$A$2:$S$100,4,0),0) + iferror(vlookup(A18,'전적확인_시즌19'!$A$2:$S$100,4,0),0) + iferror(vlookup(A18,'전적확인_시즌20'!$A$2:$S$100,4,0),0) + iferror(vlookup(A18,'전적확인_시즌21'!$A$2:$S$100,4,0),0) + iferror(vlookup(A18,'전적확인_시즌22'!$A$2:$S$100,4,0),0) + iferror(vlookup(A18,'전적확인_시즌23'!$A$2:$S$100,4,0),0) + iferror(vlookup(A18,'전적확인_시즌24'!$A$2:$S$100,4,0),0) + iferror(vlookup(A18,'전적확인_시즌25'!$A$2:$S$100,4,0),0) + iferror(vlookup(A18,'전적확인_시즌26'!$A$2:$S$100,4,0),0) + iferror(vlookup(A18,'전적확인_시즌27'!$A$2:$S$100,4,0),0) + iferror(vlookup(A18,'전적확인_시즌28'!$A$2:$S$100,4,0),0) + iferror(vlookup(A18,'전적확인_시즌29'!$A$2:$S$100,4,0),0) + iferror(vlookup(A18,'전적확인_시즌30'!$A$2:$S$100,4,0),0)</f>
        <v>46</v>
      </c>
      <c r="T18" s="98">
        <f>iferror(vlookup(A18,'전적확인'!$A$2:$S$61,5,0),0) + iferror(vlookup(A18,'전적확인_베타시즌'!$A$2:$S$100,5,0),0)+iferror(vlookup(A18,'전적확인_시즌1'!$A$2:$S$100,5,0),0)+iferror(vlookup(A18,'전적확인_시즌2'!$A$2:$S$100,5,0),0)+iferror(vlookup(A18,'전적확인_시즌3'!$A$2:$S$100,5,0),0) + iferror(vlookup(A18,'전적확인_시즌4'!$A$2:$S$100,5,0),0) + iferror(vlookup(A18,'전적확인_시즌5'!$A$2:$S$100,5,0),0) + iferror(vlookup(A18,'전적확인_시즌6'!$A$2:$S$100,5,0),0) + iferror(vlookup(A18,'전적확인_시즌7'!$A$2:$S$100,5,0),0) + iferror(vlookup(A18,'전적확인_시즌8'!$A$2:$S$100,5,0),0) + iferror(vlookup(A18,'전적확인_시즌9'!$A$2:$S$100,5,0),0) + iferror(vlookup(A18,'전적확인_시즌10'!$A$2:$S$100,5,0),0) + iferror(vlookup(A18,'전적확인_시즌11'!$A$2:$S$100,5,0),0) + iferror(vlookup(A18,'전적확인_시즌12'!$A$2:$S$100,5,0),0) + iferror(vlookup(A18,'전적확인_시즌13'!$A$2:$S$100,5,0),0) + iferror(vlookup(A18,'전적확인_시즌14'!$A$2:$S$100,5,0),0) + iferror(vlookup(A18,'전적확인_시즌15'!$A$2:$S$100,5,0),0) + iferror(vlookup(A18,'전적확인_시즌16'!$A$2:$S$100,5,0),0) + iferror(vlookup(A18,'전적확인_시즌17'!$A$2:$S$100,5,0),0) + iferror(vlookup(A18,'전적확인_시즌17'!$A$2:$S$100,5,0),0) + iferror(vlookup(A18,'전적확인_시즌18'!$A$2:$S$100,5,0),0) + iferror(vlookup(A18,'전적확인_시즌19'!$A$2:$S$100,5,0),0) + iferror(vlookup(A18,'전적확인_시즌20'!$A$2:$S$100,5,0),0) + iferror(vlookup(A18,'전적확인_시즌21'!$A$2:$S$100,5,0),0) + iferror(vlookup(A18,'전적확인_시즌22'!$A$2:$S$100,5,0),0) + iferror(vlookup(A18,'전적확인_시즌23'!$A$2:$S$100,5,0),0) + iferror(vlookup(A18,'전적확인_시즌24'!$A$2:$S$100,5,0),0) + iferror(vlookup(A18,'전적확인_시즌25'!$A$2:$S$100,5,0),0) + iferror(vlookup(A18,'전적확인_시즌26'!$A$2:$S$100,5,0),0) + iferror(vlookup(A18,'전적확인_시즌27'!$A$2:$S$100,5,0),0) + iferror(vlookup(A18,'전적확인_시즌28'!$A$2:$S$100,5,0),0) + iferror(vlookup(A18,'전적확인_시즌29'!$A$2:$S$100,5,0),0) + iferror(vlookup(A18,'전적확인_시즌30'!$A$2:$S$100,5,0),0)</f>
        <v>57</v>
      </c>
      <c r="U18" s="98">
        <f t="shared" si="6"/>
        <v>44.66</v>
      </c>
      <c r="V18" s="98">
        <f>iferror(vlookup(A18,'전적확인'!$A$2:$S$61,6,0),0)+ iferror(vlookup(A18,'전적확인_베타시즌'!$A$2:$S$100,6,0),0)+iferror(vlookup(A18,'전적확인_시즌1'!$A$2:$S$100,6,0),0)+iferror(vlookup(A18,'전적확인_시즌2'!$A$2:$S$100,6,0),0)+iferror(vlookup(A18,'전적확인_시즌3'!$A$2:$S$100,6,0),0) + iferror(vlookup(A18,'전적확인_시즌4'!$A$2:$S$100,6,0),0) + iferror(vlookup(A18,'전적확인_시즌5'!$A$2:$S$100,6,0),0) + iferror(vlookup(A18,'전적확인_시즌6'!$A$2:$S$100,6,0),0) + iferror(vlookup(A18,'전적확인_시즌7'!$A$2:$S$100,6,0),0) + iferror(vlookup(A18,'전적확인_시즌8'!$A$2:$S$100,6,0),0) + iferror(vlookup(A18,'전적확인_시즌9'!$A$2:$S$100,6,0),0) + iferror(vlookup(A18,'전적확인_시즌10'!$A$2:$S$100,6,0),0) + iferror(vlookup(A18,'전적확인_시즌11'!$A$2:$S$100,6,0),0) + iferror(vlookup(A18,'전적확인_시즌12'!$A$2:$S$100,6,0),0) + iferror(vlookup(A18,'전적확인_시즌13'!$A$2:$S$100,6,0),0) + iferror(vlookup(A18,'전적확인_시즌14'!$A$2:$S$100,6,0),0) + iferror(vlookup(A18,'전적확인_시즌15'!$A$2:$S$100,6,0),0) + iferror(vlookup(A18,'전적확인_시즌16'!$A$2:$S$100,6,0),0) + iferror(vlookup(A18,'전적확인_시즌17'!$A$2:$S$100,6,0),0) + iferror(vlookup(A18,'전적확인_시즌17'!$A$2:$S$100,6,0),0) + iferror(vlookup(A18,'전적확인_시즌18'!$A$2:$S$100,6,0),0) + iferror(vlookup(A18,'전적확인_시즌19'!$A$2:$S$100,6,0),0) + iferror(vlookup(A18,'전적확인_시즌20'!$A$2:$S$100,6,0),0) + iferror(vlookup(A18,'전적확인_시즌21'!$A$2:$S$100,6,0),0) + iferror(vlookup(A18,'전적확인_시즌22'!$A$2:$S$100,6,0),0) + iferror(vlookup(A18,'전적확인_시즌23'!$A$2:$S$100,6,0),0) + iferror(vlookup(A18,'전적확인_시즌24'!$A$2:$S$100,6,0),0) + iferror(vlookup(A18,'전적확인_시즌25'!$A$2:$S$100,6,0),0) + iferror(vlookup(A18,'전적확인_시즌26'!$A$2:$S$100,6,0),0) + iferror(vlookup(A18,'전적확인_시즌27'!$A$2:$S$100,6,0),0) + iferror(vlookup(A18,'전적확인_시즌28'!$A$2:$S$100,6,0),0) + iferror(vlookup(A18,'전적확인_시즌29'!$A$2:$S$100,6,0),0) + iferror(vlookup(A18,'전적확인_시즌30'!$A$2:$S$100,6,0),0)</f>
        <v>151</v>
      </c>
      <c r="W18" s="98">
        <f> iferror(vlookup(A18,'전적확인'!$A$2:$S$61,7,0),0)+ iferror(vlookup(A18,'전적확인_베타시즌'!$A$2:$S$100,7,0),0)+iferror(vlookup(A18,'전적확인_시즌1'!$A$2:$S$100,7,0),0)+iferror(vlookup(A18,'전적확인_시즌2'!$A$2:$S$100,7,0),0)+iferror(vlookup(A18,'전적확인_시즌3'!$A$2:$S$100,7,0),0) + iferror(vlookup(A18,'전적확인_시즌4'!$A$2:$S$100,7,0),0) + iferror(vlookup(A18,'전적확인_시즌5'!$A$2:$S$100,7,0),0) + iferror(vlookup(A18,'전적확인_시즌6'!$A$2:$S$100,7,0),0) + iferror(vlookup(A18,'전적확인_시즌7'!$A$2:$S$100,7,0),0) + iferror(vlookup(A18,'전적확인_시즌8'!$A$2:$S$100,7,0),0) + iferror(vlookup(A18,'전적확인_시즌9'!$A$2:$S$100,7,0),0) + iferror(vlookup(A18,'전적확인_시즌10'!$A$2:$S$100,7,0),0) + iferror(vlookup(A18,'전적확인_시즌11'!$A$2:$S$100,7,0),0) + iferror(vlookup(A18,'전적확인_시즌12'!$A$2:$S$100,7,0),0) + iferror(vlookup(A18,'전적확인_시즌13'!$A$2:$S$100,7,0),0) + iferror(vlookup(A18,'전적확인_시즌14'!$A$2:$S$100,7,0),0) + iferror(vlookup(A18,'전적확인_시즌15'!$A$2:$S$100,7,0),0) + iferror(vlookup(A18,'전적확인_시즌16'!$A$2:$S$100,7,0),0) + iferror(vlookup(A18,'전적확인_시즌17'!$A$2:$S$100,7,0),0) + iferror(vlookup(A18,'전적확인_시즌17'!$A$2:$S$100,7,0),0) + iferror(vlookup(A18,'전적확인_시즌18'!$A$2:$S$100,7,0),0) + iferror(vlookup(A18,'전적확인_시즌19'!$A$2:$S$100,7,0),0) + iferror(vlookup(A18,'전적확인_시즌20'!$A$2:$S$100,7,0),0) + iferror(vlookup(A18,'전적확인_시즌21'!$A$2:$S$100,7,0),0) + iferror(vlookup(A18,'전적확인_시즌22'!$A$2:$S$100,7,0),0) + iferror(vlookup(A18,'전적확인_시즌23'!$A$2:$S$100,7,0),0) + iferror(vlookup(A18,'전적확인_시즌24'!$A$2:$S$100,7,0),0) + iferror(vlookup(A18,'전적확인_시즌25'!$A$2:$S$100,7,0),0) + iferror(vlookup(A18,'전적확인_시즌26'!$A$2:$S$100,7,0),0) + iferror(vlookup(A18,'전적확인_시즌27'!$A$2:$S$100,7,0),0) + iferror(vlookup(A18,'전적확인_시즌28'!$A$2:$S$100,7,0),0) + iferror(vlookup(A18,'전적확인_시즌29'!$A$2:$S$100,7,0),0) + iferror(vlookup(A18,'전적확인_시즌30'!$A$2:$S$100,7,0),0)</f>
        <v>146</v>
      </c>
      <c r="X18" s="98">
        <f t="shared" si="7"/>
        <v>50.84</v>
      </c>
      <c r="Y18" s="98">
        <f>iferror(vlookup(A18,'전적확인'!$A$2:$S$61,8,0),0) + iferror(vlookup(A18,'전적확인_베타시즌'!$A$2:$S$100,8,0),0)+iferror(vlookup(A18,'전적확인_시즌1'!$A$2:$S$100,8,0),0)+iferror(vlookup(A18,'전적확인_시즌2'!$A$2:$S$100,8,0),0)+iferror(vlookup(A18,'전적확인_시즌3'!$A$2:$S$100,8,0),0) + iferror(vlookup(A18,'전적확인_시즌4'!$A$2:$S$100,8,0),0) + iferror(vlookup(A18,'전적확인_시즌5'!$A$2:$S$100,8,0),0) + iferror(vlookup(A18,'전적확인_시즌6'!$A$2:$S$100,8,0),0) + iferror(vlookup(A18,'전적확인_시즌7'!$A$2:$S$100,8,0),0) + iferror(vlookup(A18,'전적확인_시즌8'!$A$2:$S$100,8,0),0) + iferror(vlookup(A18,'전적확인_시즌9'!$A$2:$S$100,8,0),0) + iferror(vlookup(A18,'전적확인_시즌10'!$A$2:$S$100,8,0),0) + iferror(vlookup(A18,'전적확인_시즌11'!$A$2:$S$100,8,0),0) + iferror(vlookup(A18,'전적확인_시즌12'!$A$2:$S$100,8,0),0) + iferror(vlookup(A18,'전적확인_시즌13'!$A$2:$S$100,8,0),0) + iferror(vlookup(A18,'전적확인_시즌14'!$A$2:$S$100,8,0),0) + iferror(vlookup(A18,'전적확인_시즌15'!$A$2:$S$100,8,0),0) + iferror(vlookup(A18,'전적확인_시즌16'!$A$2:$S$100,8,0),0) + iferror(vlookup(A18,'전적확인_시즌17'!$A$2:$S$100,8,0),0) + iferror(vlookup(A18,'전적확인_시즌17'!$A$2:$S$100,8,0),0) + iferror(vlookup(A18,'전적확인_시즌18'!$A$2:$S$100,8,0),0) + iferror(vlookup(A18,'전적확인_시즌19'!$A$2:$S$100,8,0),0) + iferror(vlookup(A18,'전적확인_시즌20'!$A$2:$S$100,8,0),0) + iferror(vlookup(A18,'전적확인_시즌21'!$A$2:$S$100,8,0),0) + iferror(vlookup(A18,'전적확인_시즌22'!$A$2:$S$100,8,0),0) + iferror(vlookup(A18,'전적확인_시즌23'!$A$2:$S$100,8,0),0) + iferror(vlookup(A18,'전적확인_시즌24'!$A$2:$S$100,8,0),0) + iferror(vlookup(A18,'전적확인_시즌25'!$A$2:$S$100,8,0),0) + iferror(vlookup(A18,'전적확인_시즌26'!$A$2:$S$100,8,0),0) + iferror(vlookup(A18,'전적확인_시즌27'!$A$2:$S$100,8,0),0) + iferror(vlookup(A18,'전적확인_시즌28'!$A$2:$S$100,8,0),0) + iferror(vlookup(A18,'전적확인_시즌29'!$A$2:$S$100,8,0),0) + iferror(vlookup(A18,'전적확인_시즌30'!$A$2:$S$100,8,0),0)</f>
        <v>241</v>
      </c>
      <c r="Z18" s="98">
        <f>iferror(vlookup(A18,'전적확인'!$A$2:$S$61,9,0),0) + iferror(vlookup(A18,'전적확인_베타시즌'!$A$2:$S$100,9,0),0)+iferror(vlookup(A18,'전적확인_시즌1'!$A$2:$S$100,9,0),0)+iferror(vlookup(A18,'전적확인_시즌2'!$A$2:$S$100,9,0),0)+iferror(vlookup(A18,'전적확인_시즌3'!$A$2:$S$100,9,0),0) + iferror(vlookup(A18,'전적확인_시즌4'!$A$2:$S$100,9,0),0) + iferror(vlookup(A18,'전적확인_시즌5'!$A$2:$S$100,9,0),0) + iferror(vlookup(A18,'전적확인_시즌6'!$A$2:$S$100,9,0),0) + iferror(vlookup(A18,'전적확인_시즌7'!$A$2:$S$100,9,0),0) + iferror(vlookup(A18,'전적확인_시즌8'!$A$2:$S$100,9,0),0) + iferror(vlookup(A18,'전적확인_시즌9'!$A$2:$S$100,9,0),0) + iferror(vlookup(A18,'전적확인_시즌10'!$A$2:$S$100,9,0),0) + iferror(vlookup(A18,'전적확인_시즌11'!$A$2:$S$100,9,0),0) + iferror(vlookup(A18,'전적확인_시즌12'!$A$2:$S$100,9,0),0) + iferror(vlookup(A18,'전적확인_시즌13'!$A$2:$S$100,9,0),0) + iferror(vlookup(A18,'전적확인_시즌14'!$A$2:$S$100,9,0),0) + iferror(vlookup(A18,'전적확인_시즌15'!$A$2:$S$100,9,0),0) + iferror(vlookup(A18,'전적확인_시즌16'!$A$2:$S$100,9,0),0) + iferror(vlookup(A18,'전적확인_시즌17'!$A$2:$S$100,9,0),0) + iferror(vlookup(A18,'전적확인_시즌17'!$A$2:$S$100,9,0),0) + iferror(vlookup(A18,'전적확인_시즌18'!$A$2:$S$100,9,0),0) + iferror(vlookup(A18,'전적확인_시즌19'!$A$2:$S$100,9,0),0) + iferror(vlookup(A18,'전적확인_시즌20'!$A$2:$S$100,9,0),0) + iferror(vlookup(A18,'전적확인_시즌21'!$A$2:$S$100,9,0),0) + iferror(vlookup(A18,'전적확인_시즌22'!$A$2:$S$100,9,0),0) + iferror(vlookup(A18,'전적확인_시즌23'!$A$2:$S$100,9,0),0) + iferror(vlookup(A18,'전적확인_시즌24'!$A$2:$S$100,9,0),0) + iferror(vlookup(A18,'전적확인_시즌25'!$A$2:$S$100,9,0),0) + iferror(vlookup(A18,'전적확인_시즌26'!$A$2:$S$100,9,0),0) + iferror(vlookup(A18,'전적확인_시즌27'!$A$2:$S$100,9,0),0) + iferror(vlookup(A18,'전적확인_시즌28'!$A$2:$S$100,9,0),0) + iferror(vlookup(A18,'전적확인_시즌29'!$A$2:$S$100,9,0),0) + iferror(vlookup(A18,'전적확인_시즌30'!$A$2:$S$100,9,0),0)</f>
        <v>204</v>
      </c>
      <c r="AA18" s="98">
        <f t="shared" si="8"/>
        <v>54.16</v>
      </c>
      <c r="AB18" s="2"/>
      <c r="AC18" s="2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>
      <c r="A19" s="95" t="s">
        <v>39</v>
      </c>
      <c r="B19" s="95" t="s">
        <v>9667</v>
      </c>
      <c r="C19" s="96" t="s">
        <v>9667</v>
      </c>
      <c r="D19" s="96" t="s">
        <v>9667</v>
      </c>
      <c r="E19" s="96" t="s">
        <v>9667</v>
      </c>
      <c r="F19" s="3"/>
      <c r="G19" s="3"/>
      <c r="H19" s="98">
        <f t="shared" si="1"/>
        <v>246</v>
      </c>
      <c r="I19" s="98">
        <f>iferror(vlookup(A19,'전적확인'!$A$2:$S$61,10,0),0) + iferror(vlookup(A19,'전적확인_베타시즌'!$A$2:$S$100,10,0),0)+iferror(vlookup(A19,'전적확인_시즌1'!$A$2:$S$100,10,0),0)+iferror(vlookup(A19,'전적확인_시즌2'!$A$2:$S$100,10,0),0)+iferror(vlookup(A19,'전적확인_시즌3'!$A$2:$S$100,10,0),0) + iferror(vlookup(A19,'전적확인_시즌4'!$A$2:$S$100,10,0),0) + iferror(vlookup(A19,'전적확인_시즌5'!$A$2:$S$100,10,0),0) + iferror(vlookup(A19,'전적확인_시즌6'!$A$2:$S$100,10,0),0) + iferror(vlookup(A19,'전적확인_시즌7'!$A$2:$S$100,10,0),0) + iferror(vlookup(A19,'전적확인_시즌8'!$A$2:$S$100,10,0),0) + iferror(vlookup(A19,'전적확인_시즌9'!$A$2:$S$100,10,0),0) + iferror(vlookup(A19,'전적확인_시즌10'!$A$2:$S$100,10,0),0) + iferror(vlookup(A19,'전적확인_시즌11'!$A$2:$S$100,10,0),0) + iferror(vlookup(A19,'전적확인_시즌12'!$A$2:$S$100,10,0),0) + iferror(vlookup(A19,'전적확인_시즌13'!$A$2:$S$100,10,0),0) + iferror(vlookup(A19,'전적확인_시즌14'!$A$2:$S$100,10,0),0) + iferror(vlookup(A19,'전적확인_시즌15'!$A$2:$S$100,10,0),0) + iferror(vlookup(A19,'전적확인_시즌16'!$A$2:$S$100,10,0),0) + iferror(vlookup(A19,'전적확인_시즌17'!$A$2:$S$100,10,0),0) + iferror(vlookup(A19,'전적확인_시즌17'!$A$2:$S$100,10,0),0) + iferror(vlookup(A19,'전적확인_시즌18'!$A$2:$S$100,10,0),0) + iferror(vlookup(A19,'전적확인_시즌19'!$A$2:$S$100,10,0),0) + iferror(vlookup(A19,'전적확인_시즌20'!$A$2:$S$100,10,0),0) + iferror(vlookup(A19,'전적확인_시즌21'!$A$2:$S$100,10,0),0) + iferror(vlookup(A19,'전적확인_시즌22'!$A$2:$S$100,10,0),0) + iferror(vlookup(A19,'전적확인_시즌23'!$A$2:$S$100,10,0),0) + iferror(vlookup(A19,'전적확인_시즌24'!$A$2:$S$100,10,0),0) + iferror(vlookup(A19,'전적확인_시즌25'!$A$2:$S$100,10,0),0) + iferror(vlookup(A19,'전적확인_시즌26'!$A$2:$S$100,10,0),0) + iferror(vlookup(A19,'전적확인_시즌27'!$A$2:$S$100,10,0),0) + iferror(vlookup(A19,'전적확인_시즌28'!$A$2:$S$100,10,0),0) + iferror(vlookup(A19,'전적확인_시즌29'!$A$2:$S$100,10,0),0) + iferror(vlookup(A19,'전적확인_시즌30'!$A$2:$S$100,10,0),0)</f>
        <v>122</v>
      </c>
      <c r="J19" s="98">
        <f>iferror(vlookup(A19,'전적확인'!$A$2:$S$61,11,0),0) + iferror(vlookup(A19,'전적확인_베타시즌'!$A$2:$S$100,11,0),0)+iferror(vlookup(A19,'전적확인_시즌1'!$A$2:$S$100,11,0),0)+iferror(vlookup(A19,'전적확인_시즌2'!$A$2:$S$100,11,0),0)+iferror(vlookup(A19,'전적확인_시즌3'!$A$2:$S$100,11,0),0) + iferror(vlookup(A19,'전적확인_시즌4'!$A$2:$S$100,11,0),0) + iferror(vlookup(A19,'전적확인_시즌5'!$A$2:$S$100,11,0),0) + iferror(vlookup(A19,'전적확인_시즌6'!$A$2:$S$100,11,0),0) + iferror(vlookup(A19,'전적확인_시즌7'!$A$2:$S$100,11,0),0) + iferror(vlookup(A19,'전적확인_시즌8'!$A$2:$S$100,11,0),0) + iferror(vlookup(A19,'전적확인_시즌9'!$A$2:$S$100,11,0),0) + iferror(vlookup(A19,'전적확인_시즌10'!$A$2:$S$100,11,0),0) + iferror(vlookup(A19,'전적확인_시즌11'!$A$2:$S$100,11,0),0) + iferror(vlookup(A19,'전적확인_시즌12'!$A$2:$S$100,11,0),0) + iferror(vlookup(A19,'전적확인_시즌13'!$A$2:$S$100,11,0),0) + iferror(vlookup(A19,'전적확인_시즌14'!$A$2:$S$100,11,0),0) + iferror(vlookup(A19,'전적확인_시즌15'!$A$2:$S$100,11,0),0) + iferror(vlookup(A19,'전적확인_시즌16'!$A$2:$S$100,11,0),0) + iferror(vlookup(A19,'전적확인_시즌17'!$A$2:$S$100,11,0),0) + iferror(vlookup(A19,'전적확인_시즌17'!$A$2:$S$100,11,0),0) + iferror(vlookup(A19,'전적확인_시즌18'!$A$2:$S$100,11,0),0) + iferror(vlookup(A19,'전적확인_시즌19'!$A$2:$S$100,11,0),0) + iferror(vlookup(A19,'전적확인_시즌20'!$A$2:$S$100,11,0),0) + iferror(vlookup(A19,'전적확인_시즌21'!$A$2:$S$100,11,0),0) + iferror(vlookup(A19,'전적확인_시즌22'!$A$2:$S$100,11,0),0) + iferror(vlookup(A19,'전적확인_시즌23'!$A$2:$S$100,11,0),0) + iferror(vlookup(A19,'전적확인_시즌24'!$A$2:$S$100,11,0),0) + iferror(vlookup(A19,'전적확인_시즌25'!$A$2:$S$100,11,0),0) + iferror(vlookup(A19,'전적확인_시즌26'!$A$2:$S$100,11,0),0) + iferror(vlookup(A19,'전적확인_시즌27'!$A$2:$S$100,11,0),0) + iferror(vlookup(A19,'전적확인_시즌28'!$A$2:$S$100,11,0),0) + iferror(vlookup(A19,'전적확인_시즌29'!$A$2:$S$100,11,0),0) + iferror(vlookup(A19,'전적확인_시즌30'!$A$2:$S$100,11,0),0)</f>
        <v>124</v>
      </c>
      <c r="K19" s="98">
        <f t="shared" si="2"/>
        <v>49.59</v>
      </c>
      <c r="L19" s="95">
        <f t="array" ref="L19">iferror(vlookup(A19,INDIRECT('시즌목록'!$H$2 &amp; "!$A$2:$S$100"),10,0),0)</f>
        <v>51</v>
      </c>
      <c r="M19" s="95">
        <f t="array" ref="M19">iferror(vlookup(A19,INDIRECT('시즌목록'!$H$2 &amp; "!$A$2:$S$100"),11,0),0)</f>
        <v>36</v>
      </c>
      <c r="N19" s="98">
        <f t="shared" si="3"/>
        <v>58.62</v>
      </c>
      <c r="O19" s="95" t="str">
        <f t="shared" si="4"/>
        <v>다이아</v>
      </c>
      <c r="P19" s="98">
        <f>iferror(vlookup(A19,'전적확인'!$A$2:$S$61,2,0),0)+ iferror(vlookup(A19,'전적확인_베타시즌'!$A$2:$S$100,2,0),0)+iferror(vlookup(A19,'전적확인_시즌1'!$A$2:$S$100,2,0),0)+iferror(vlookup(A19,'전적확인_시즌2'!$A$2:$S$100,2,0),0)+iferror(vlookup(A19,'전적확인_시즌3'!$A$2:$S$100,2,0),0) + iferror(vlookup(A19,'전적확인_시즌4'!$A$2:$S$100,2,0),0) + iferror(vlookup(A19,'전적확인_시즌5'!$A$2:$S$100,2,0),0) + iferror(vlookup(A19,'전적확인_시즌6'!$A$2:$S$100,2,0),0) + iferror(vlookup(A19,'전적확인_시즌7'!$A$2:$S$100,2,0),0) + iferror(vlookup(A19,'전적확인_시즌8'!$A$2:$S$100,2,0),0) + iferror(vlookup(A19,'전적확인_시즌9'!$A$2:$S$100,2,0),0) + iferror(vlookup(A19,'전적확인_시즌10'!$A$2:$S$100,2,0),0) + iferror(vlookup(A19,'전적확인_시즌11'!$A$2:$S$100,2,0),0) + iferror(vlookup(A19,'전적확인_시즌12'!$A$2:$S$100,2,0),0) + iferror(vlookup(A19,'전적확인_시즌13'!$A$2:$S$100,2,0),0) + iferror(vlookup(A19,'전적확인_시즌14'!$A$2:$S$100,2,0),0) + iferror(vlookup(A19,'전적확인_시즌15'!$A$2:$S$100,2,0),0) + iferror(vlookup(A19,'전적확인_시즌16'!$A$2:$S$100,2,0),0) + iferror(vlookup(A19,'전적확인_시즌17'!$A$2:$S$100,2,0),0) + iferror(vlookup(A19,'전적확인_시즌17'!$A$2:$S$100,2,0),0) + iferror(vlookup(A19,'전적확인_시즌18'!$A$2:$S$100,2,0),0) + iferror(vlookup(A19,'전적확인_시즌19'!$A$2:$S$100,2,0),0) + iferror(vlookup(A19,'전적확인_시즌20'!$A$2:$S$100,2,0),0) + iferror(vlookup(A19,'전적확인_시즌21'!$A$2:$S$100,2,0),0) + iferror(vlookup(A19,'전적확인_시즌22'!$A$2:$S$100,2,0),0) + iferror(vlookup(A19,'전적확인_시즌23'!$A$2:$S$100,2,0),0) + iferror(vlookup(A19,'전적확인_시즌24'!$A$2:$S$100,2,0),0) + iferror(vlookup(A19,'전적확인_시즌25'!$A$2:$S$100,2,0),0) + iferror(vlookup(A19,'전적확인_시즌26'!$A$2:$S$100,2,0),0) + iferror(vlookup(A19,'전적확인_시즌27'!$A$2:$S$100,2,0),0) + iferror(vlookup(A19,'전적확인_시즌28'!$A$2:$S$100,2,0),0) + iferror(vlookup(A19,'전적확인_시즌29'!$A$2:$S$100,2,0),0) + iferror(vlookup(A19,'전적확인_시즌30'!$A$2:$S$100,2,0),0)</f>
        <v>37</v>
      </c>
      <c r="Q19" s="98">
        <f>iferror(vlookup(A19,'전적확인'!$A$2:$S$61,3,0),0)+ iferror(vlookup(A19,'전적확인_베타시즌'!$A$2:$S$100,3,0),0)+iferror(vlookup(A19,'전적확인_시즌1'!$A$2:$S$100,3,0),0)+iferror(vlookup(A19,'전적확인_시즌2'!$A$2:$S$100,3,0),0)+iferror(vlookup(A19,'전적확인_시즌3'!$A$2:$S$100,3,0),0) + iferror(vlookup(A19,'전적확인_시즌4'!$A$2:$S$100,3,0),0) + iferror(vlookup(A19,'전적확인_시즌5'!$A$2:$S$100,3,0),0) + iferror(vlookup(A19,'전적확인_시즌6'!$A$2:$S$100,3,0),0) + iferror(vlookup(A19,'전적확인_시즌7'!$A$2:$S$100,3,0),0) + iferror(vlookup(A19,'전적확인_시즌8'!$A$2:$S$100,3,0),0) + iferror(vlookup(A19,'전적확인_시즌9'!$A$2:$S$100,3,0),0) + iferror(vlookup(A19,'전적확인_시즌10'!$A$2:$S$100,3,0),0) + iferror(vlookup(A19,'전적확인_시즌11'!$A$2:$S$100,3,0),0) + iferror(vlookup(A19,'전적확인_시즌12'!$A$2:$S$100,3,0),0) + iferror(vlookup(A19,'전적확인_시즌13'!$A$2:$S$100,3,0),0) + iferror(vlookup(A19,'전적확인_시즌14'!$A$2:$S$100,3,0),0) + iferror(vlookup(A19,'전적확인_시즌15'!$A$2:$S$100,3,0),0) + iferror(vlookup(A19,'전적확인_시즌16'!$A$2:$S$100,3,0),0) + iferror(vlookup(A19,'전적확인_시즌17'!$A$2:$S$100,3,0),0) + iferror(vlookup(A19,'전적확인_시즌17'!$A$2:$S$100,3,0),0) + iferror(vlookup(A19,'전적확인_시즌18'!$A$2:$S$100,3,0),0) + iferror(vlookup(A19,'전적확인_시즌19'!$A$2:$S$100,3,0),0) + iferror(vlookup(A19,'전적확인_시즌20'!$A$2:$S$100,3,0),0) + iferror(vlookup(A19,'전적확인_시즌21'!$A$2:$S$100,3,0),0) + iferror(vlookup(A19,'전적확인_시즌22'!$A$2:$S$100,3,0),0) + iferror(vlookup(A19,'전적확인_시즌23'!$A$2:$S$100,3,0),0) + iferror(vlookup(A19,'전적확인_시즌24'!$A$2:$S$100,3,0),0) + iferror(vlookup(A19,'전적확인_시즌25'!$A$2:$S$100,3,0),0) + iferror(vlookup(A19,'전적확인_시즌26'!$A$2:$S$100,3,0),0) + iferror(vlookup(A19,'전적확인_시즌27'!$A$2:$S$100,3,0),0) + iferror(vlookup(A19,'전적확인_시즌28'!$A$2:$S$100,3,0),0) + iferror(vlookup(A19,'전적확인_시즌29'!$A$2:$S$100,3,0),0) + iferror(vlookup(A19,'전적확인_시즌30'!$A$2:$S$100,3,0),0)</f>
        <v>40</v>
      </c>
      <c r="R19" s="98">
        <f t="shared" si="5"/>
        <v>48.05</v>
      </c>
      <c r="S19" s="98">
        <f>iferror(vlookup(A19,'전적확인'!$A$2:$S$61,4,0),0) + iferror(vlookup(A19,'전적확인_베타시즌'!$A$2:$S$100,4,0),0)+iferror(vlookup(A19,'전적확인_시즌1'!$A$2:$S$100,4,0),0)+iferror(vlookup(A19,'전적확인_시즌2'!$A$2:$S$100,4,0),0)+iferror(vlookup(A19,'전적확인_시즌3'!$A$2:$S$100,4,0),0) + iferror(vlookup(A19,'전적확인_시즌4'!$A$2:$S$100,4,0),0) + iferror(vlookup(A19,'전적확인_시즌5'!$A$2:$S$100,4,0),0) + iferror(vlookup(A19,'전적확인_시즌6'!$A$2:$S$100,4,0),0) + iferror(vlookup(A19,'전적확인_시즌7'!$A$2:$S$100,4,0),0) + iferror(vlookup(A19,'전적확인_시즌8'!$A$2:$S$100,4,0),0) + iferror(vlookup(A19,'전적확인_시즌9'!$A$2:$S$100,4,0),0) + iferror(vlookup(A19,'전적확인_시즌10'!$A$2:$S$100,4,0),0) + iferror(vlookup(A19,'전적확인_시즌11'!$A$2:$S$100,4,0),0) + iferror(vlookup(A19,'전적확인_시즌12'!$A$2:$S$100,4,0),0) + iferror(vlookup(A19,'전적확인_시즌13'!$A$2:$S$100,4,0),0) + iferror(vlookup(A19,'전적확인_시즌14'!$A$2:$S$100,4,0),0) + iferror(vlookup(A19,'전적확인_시즌15'!$A$2:$S$100,4,0),0) + iferror(vlookup(A19,'전적확인_시즌16'!$A$2:$S$100,4,0),0) + iferror(vlookup(A19,'전적확인_시즌17'!$A$2:$S$100,4,0),0) + iferror(vlookup(A19,'전적확인_시즌17'!$A$2:$S$100,4,0),0) + iferror(vlookup(A19,'전적확인_시즌18'!$A$2:$S$100,4,0),0) + iferror(vlookup(A19,'전적확인_시즌19'!$A$2:$S$100,4,0),0) + iferror(vlookup(A19,'전적확인_시즌20'!$A$2:$S$100,4,0),0) + iferror(vlookup(A19,'전적확인_시즌21'!$A$2:$S$100,4,0),0) + iferror(vlookup(A19,'전적확인_시즌22'!$A$2:$S$100,4,0),0) + iferror(vlookup(A19,'전적확인_시즌23'!$A$2:$S$100,4,0),0) + iferror(vlookup(A19,'전적확인_시즌24'!$A$2:$S$100,4,0),0) + iferror(vlookup(A19,'전적확인_시즌25'!$A$2:$S$100,4,0),0) + iferror(vlookup(A19,'전적확인_시즌26'!$A$2:$S$100,4,0),0) + iferror(vlookup(A19,'전적확인_시즌27'!$A$2:$S$100,4,0),0) + iferror(vlookup(A19,'전적확인_시즌28'!$A$2:$S$100,4,0),0) + iferror(vlookup(A19,'전적확인_시즌29'!$A$2:$S$100,4,0),0) + iferror(vlookup(A19,'전적확인_시즌30'!$A$2:$S$100,4,0),0)</f>
        <v>26</v>
      </c>
      <c r="T19" s="98">
        <f>iferror(vlookup(A19,'전적확인'!$A$2:$S$61,5,0),0) + iferror(vlookup(A19,'전적확인_베타시즌'!$A$2:$S$100,5,0),0)+iferror(vlookup(A19,'전적확인_시즌1'!$A$2:$S$100,5,0),0)+iferror(vlookup(A19,'전적확인_시즌2'!$A$2:$S$100,5,0),0)+iferror(vlookup(A19,'전적확인_시즌3'!$A$2:$S$100,5,0),0) + iferror(vlookup(A19,'전적확인_시즌4'!$A$2:$S$100,5,0),0) + iferror(vlookup(A19,'전적확인_시즌5'!$A$2:$S$100,5,0),0) + iferror(vlookup(A19,'전적확인_시즌6'!$A$2:$S$100,5,0),0) + iferror(vlookup(A19,'전적확인_시즌7'!$A$2:$S$100,5,0),0) + iferror(vlookup(A19,'전적확인_시즌8'!$A$2:$S$100,5,0),0) + iferror(vlookup(A19,'전적확인_시즌9'!$A$2:$S$100,5,0),0) + iferror(vlookup(A19,'전적확인_시즌10'!$A$2:$S$100,5,0),0) + iferror(vlookup(A19,'전적확인_시즌11'!$A$2:$S$100,5,0),0) + iferror(vlookup(A19,'전적확인_시즌12'!$A$2:$S$100,5,0),0) + iferror(vlookup(A19,'전적확인_시즌13'!$A$2:$S$100,5,0),0) + iferror(vlookup(A19,'전적확인_시즌14'!$A$2:$S$100,5,0),0) + iferror(vlookup(A19,'전적확인_시즌15'!$A$2:$S$100,5,0),0) + iferror(vlookup(A19,'전적확인_시즌16'!$A$2:$S$100,5,0),0) + iferror(vlookup(A19,'전적확인_시즌17'!$A$2:$S$100,5,0),0) + iferror(vlookup(A19,'전적확인_시즌17'!$A$2:$S$100,5,0),0) + iferror(vlookup(A19,'전적확인_시즌18'!$A$2:$S$100,5,0),0) + iferror(vlookup(A19,'전적확인_시즌19'!$A$2:$S$100,5,0),0) + iferror(vlookup(A19,'전적확인_시즌20'!$A$2:$S$100,5,0),0) + iferror(vlookup(A19,'전적확인_시즌21'!$A$2:$S$100,5,0),0) + iferror(vlookup(A19,'전적확인_시즌22'!$A$2:$S$100,5,0),0) + iferror(vlookup(A19,'전적확인_시즌23'!$A$2:$S$100,5,0),0) + iferror(vlookup(A19,'전적확인_시즌24'!$A$2:$S$100,5,0),0) + iferror(vlookup(A19,'전적확인_시즌25'!$A$2:$S$100,5,0),0) + iferror(vlookup(A19,'전적확인_시즌26'!$A$2:$S$100,5,0),0) + iferror(vlookup(A19,'전적확인_시즌27'!$A$2:$S$100,5,0),0) + iferror(vlookup(A19,'전적확인_시즌28'!$A$2:$S$100,5,0),0) + iferror(vlookup(A19,'전적확인_시즌29'!$A$2:$S$100,5,0),0) + iferror(vlookup(A19,'전적확인_시즌30'!$A$2:$S$100,5,0),0)</f>
        <v>25</v>
      </c>
      <c r="U19" s="98">
        <f t="shared" si="6"/>
        <v>50.98</v>
      </c>
      <c r="V19" s="98">
        <f>iferror(vlookup(A19,'전적확인'!$A$2:$S$61,6,0),0)+ iferror(vlookup(A19,'전적확인_베타시즌'!$A$2:$S$100,6,0),0)+iferror(vlookup(A19,'전적확인_시즌1'!$A$2:$S$100,6,0),0)+iferror(vlookup(A19,'전적확인_시즌2'!$A$2:$S$100,6,0),0)+iferror(vlookup(A19,'전적확인_시즌3'!$A$2:$S$100,6,0),0) + iferror(vlookup(A19,'전적확인_시즌4'!$A$2:$S$100,6,0),0) + iferror(vlookup(A19,'전적확인_시즌5'!$A$2:$S$100,6,0),0) + iferror(vlookup(A19,'전적확인_시즌6'!$A$2:$S$100,6,0),0) + iferror(vlookup(A19,'전적확인_시즌7'!$A$2:$S$100,6,0),0) + iferror(vlookup(A19,'전적확인_시즌8'!$A$2:$S$100,6,0),0) + iferror(vlookup(A19,'전적확인_시즌9'!$A$2:$S$100,6,0),0) + iferror(vlookup(A19,'전적확인_시즌10'!$A$2:$S$100,6,0),0) + iferror(vlookup(A19,'전적확인_시즌11'!$A$2:$S$100,6,0),0) + iferror(vlookup(A19,'전적확인_시즌12'!$A$2:$S$100,6,0),0) + iferror(vlookup(A19,'전적확인_시즌13'!$A$2:$S$100,6,0),0) + iferror(vlookup(A19,'전적확인_시즌14'!$A$2:$S$100,6,0),0) + iferror(vlookup(A19,'전적확인_시즌15'!$A$2:$S$100,6,0),0) + iferror(vlookup(A19,'전적확인_시즌16'!$A$2:$S$100,6,0),0) + iferror(vlookup(A19,'전적확인_시즌17'!$A$2:$S$100,6,0),0) + iferror(vlookup(A19,'전적확인_시즌17'!$A$2:$S$100,6,0),0) + iferror(vlookup(A19,'전적확인_시즌18'!$A$2:$S$100,6,0),0) + iferror(vlookup(A19,'전적확인_시즌19'!$A$2:$S$100,6,0),0) + iferror(vlookup(A19,'전적확인_시즌20'!$A$2:$S$100,6,0),0) + iferror(vlookup(A19,'전적확인_시즌21'!$A$2:$S$100,6,0),0) + iferror(vlookup(A19,'전적확인_시즌22'!$A$2:$S$100,6,0),0) + iferror(vlookup(A19,'전적확인_시즌23'!$A$2:$S$100,6,0),0) + iferror(vlookup(A19,'전적확인_시즌24'!$A$2:$S$100,6,0),0) + iferror(vlookup(A19,'전적확인_시즌25'!$A$2:$S$100,6,0),0) + iferror(vlookup(A19,'전적확인_시즌26'!$A$2:$S$100,6,0),0) + iferror(vlookup(A19,'전적확인_시즌27'!$A$2:$S$100,6,0),0) + iferror(vlookup(A19,'전적확인_시즌28'!$A$2:$S$100,6,0),0) + iferror(vlookup(A19,'전적확인_시즌29'!$A$2:$S$100,6,0),0) + iferror(vlookup(A19,'전적확인_시즌30'!$A$2:$S$100,6,0),0)</f>
        <v>20</v>
      </c>
      <c r="W19" s="98">
        <f> iferror(vlookup(A19,'전적확인'!$A$2:$S$61,7,0),0)+ iferror(vlookup(A19,'전적확인_베타시즌'!$A$2:$S$100,7,0),0)+iferror(vlookup(A19,'전적확인_시즌1'!$A$2:$S$100,7,0),0)+iferror(vlookup(A19,'전적확인_시즌2'!$A$2:$S$100,7,0),0)+iferror(vlookup(A19,'전적확인_시즌3'!$A$2:$S$100,7,0),0) + iferror(vlookup(A19,'전적확인_시즌4'!$A$2:$S$100,7,0),0) + iferror(vlookup(A19,'전적확인_시즌5'!$A$2:$S$100,7,0),0) + iferror(vlookup(A19,'전적확인_시즌6'!$A$2:$S$100,7,0),0) + iferror(vlookup(A19,'전적확인_시즌7'!$A$2:$S$100,7,0),0) + iferror(vlookup(A19,'전적확인_시즌8'!$A$2:$S$100,7,0),0) + iferror(vlookup(A19,'전적확인_시즌9'!$A$2:$S$100,7,0),0) + iferror(vlookup(A19,'전적확인_시즌10'!$A$2:$S$100,7,0),0) + iferror(vlookup(A19,'전적확인_시즌11'!$A$2:$S$100,7,0),0) + iferror(vlookup(A19,'전적확인_시즌12'!$A$2:$S$100,7,0),0) + iferror(vlookup(A19,'전적확인_시즌13'!$A$2:$S$100,7,0),0) + iferror(vlookup(A19,'전적확인_시즌14'!$A$2:$S$100,7,0),0) + iferror(vlookup(A19,'전적확인_시즌15'!$A$2:$S$100,7,0),0) + iferror(vlookup(A19,'전적확인_시즌16'!$A$2:$S$100,7,0),0) + iferror(vlookup(A19,'전적확인_시즌17'!$A$2:$S$100,7,0),0) + iferror(vlookup(A19,'전적확인_시즌17'!$A$2:$S$100,7,0),0) + iferror(vlookup(A19,'전적확인_시즌18'!$A$2:$S$100,7,0),0) + iferror(vlookup(A19,'전적확인_시즌19'!$A$2:$S$100,7,0),0) + iferror(vlookup(A19,'전적확인_시즌20'!$A$2:$S$100,7,0),0) + iferror(vlookup(A19,'전적확인_시즌21'!$A$2:$S$100,7,0),0) + iferror(vlookup(A19,'전적확인_시즌22'!$A$2:$S$100,7,0),0) + iferror(vlookup(A19,'전적확인_시즌23'!$A$2:$S$100,7,0),0) + iferror(vlookup(A19,'전적확인_시즌24'!$A$2:$S$100,7,0),0) + iferror(vlookup(A19,'전적확인_시즌25'!$A$2:$S$100,7,0),0) + iferror(vlookup(A19,'전적확인_시즌26'!$A$2:$S$100,7,0),0) + iferror(vlookup(A19,'전적확인_시즌27'!$A$2:$S$100,7,0),0) + iferror(vlookup(A19,'전적확인_시즌28'!$A$2:$S$100,7,0),0) + iferror(vlookup(A19,'전적확인_시즌29'!$A$2:$S$100,7,0),0) + iferror(vlookup(A19,'전적확인_시즌30'!$A$2:$S$100,7,0),0)</f>
        <v>26</v>
      </c>
      <c r="X19" s="98">
        <f t="shared" si="7"/>
        <v>43.48</v>
      </c>
      <c r="Y19" s="98">
        <f>iferror(vlookup(A19,'전적확인'!$A$2:$S$61,8,0),0) + iferror(vlookup(A19,'전적확인_베타시즌'!$A$2:$S$100,8,0),0)+iferror(vlookup(A19,'전적확인_시즌1'!$A$2:$S$100,8,0),0)+iferror(vlookup(A19,'전적확인_시즌2'!$A$2:$S$100,8,0),0)+iferror(vlookup(A19,'전적확인_시즌3'!$A$2:$S$100,8,0),0) + iferror(vlookup(A19,'전적확인_시즌4'!$A$2:$S$100,8,0),0) + iferror(vlookup(A19,'전적확인_시즌5'!$A$2:$S$100,8,0),0) + iferror(vlookup(A19,'전적확인_시즌6'!$A$2:$S$100,8,0),0) + iferror(vlookup(A19,'전적확인_시즌7'!$A$2:$S$100,8,0),0) + iferror(vlookup(A19,'전적확인_시즌8'!$A$2:$S$100,8,0),0) + iferror(vlookup(A19,'전적확인_시즌9'!$A$2:$S$100,8,0),0) + iferror(vlookup(A19,'전적확인_시즌10'!$A$2:$S$100,8,0),0) + iferror(vlookup(A19,'전적확인_시즌11'!$A$2:$S$100,8,0),0) + iferror(vlookup(A19,'전적확인_시즌12'!$A$2:$S$100,8,0),0) + iferror(vlookup(A19,'전적확인_시즌13'!$A$2:$S$100,8,0),0) + iferror(vlookup(A19,'전적확인_시즌14'!$A$2:$S$100,8,0),0) + iferror(vlookup(A19,'전적확인_시즌15'!$A$2:$S$100,8,0),0) + iferror(vlookup(A19,'전적확인_시즌16'!$A$2:$S$100,8,0),0) + iferror(vlookup(A19,'전적확인_시즌17'!$A$2:$S$100,8,0),0) + iferror(vlookup(A19,'전적확인_시즌17'!$A$2:$S$100,8,0),0) + iferror(vlookup(A19,'전적확인_시즌18'!$A$2:$S$100,8,0),0) + iferror(vlookup(A19,'전적확인_시즌19'!$A$2:$S$100,8,0),0) + iferror(vlookup(A19,'전적확인_시즌20'!$A$2:$S$100,8,0),0) + iferror(vlookup(A19,'전적확인_시즌21'!$A$2:$S$100,8,0),0) + iferror(vlookup(A19,'전적확인_시즌22'!$A$2:$S$100,8,0),0) + iferror(vlookup(A19,'전적확인_시즌23'!$A$2:$S$100,8,0),0) + iferror(vlookup(A19,'전적확인_시즌24'!$A$2:$S$100,8,0),0) + iferror(vlookup(A19,'전적확인_시즌25'!$A$2:$S$100,8,0),0) + iferror(vlookup(A19,'전적확인_시즌26'!$A$2:$S$100,8,0),0) + iferror(vlookup(A19,'전적확인_시즌27'!$A$2:$S$100,8,0),0) + iferror(vlookup(A19,'전적확인_시즌28'!$A$2:$S$100,8,0),0) + iferror(vlookup(A19,'전적확인_시즌29'!$A$2:$S$100,8,0),0) + iferror(vlookup(A19,'전적확인_시즌30'!$A$2:$S$100,8,0),0)</f>
        <v>39</v>
      </c>
      <c r="Z19" s="98">
        <f>iferror(vlookup(A19,'전적확인'!$A$2:$S$61,9,0),0) + iferror(vlookup(A19,'전적확인_베타시즌'!$A$2:$S$100,9,0),0)+iferror(vlookup(A19,'전적확인_시즌1'!$A$2:$S$100,9,0),0)+iferror(vlookup(A19,'전적확인_시즌2'!$A$2:$S$100,9,0),0)+iferror(vlookup(A19,'전적확인_시즌3'!$A$2:$S$100,9,0),0) + iferror(vlookup(A19,'전적확인_시즌4'!$A$2:$S$100,9,0),0) + iferror(vlookup(A19,'전적확인_시즌5'!$A$2:$S$100,9,0),0) + iferror(vlookup(A19,'전적확인_시즌6'!$A$2:$S$100,9,0),0) + iferror(vlookup(A19,'전적확인_시즌7'!$A$2:$S$100,9,0),0) + iferror(vlookup(A19,'전적확인_시즌8'!$A$2:$S$100,9,0),0) + iferror(vlookup(A19,'전적확인_시즌9'!$A$2:$S$100,9,0),0) + iferror(vlookup(A19,'전적확인_시즌10'!$A$2:$S$100,9,0),0) + iferror(vlookup(A19,'전적확인_시즌11'!$A$2:$S$100,9,0),0) + iferror(vlookup(A19,'전적확인_시즌12'!$A$2:$S$100,9,0),0) + iferror(vlookup(A19,'전적확인_시즌13'!$A$2:$S$100,9,0),0) + iferror(vlookup(A19,'전적확인_시즌14'!$A$2:$S$100,9,0),0) + iferror(vlookup(A19,'전적확인_시즌15'!$A$2:$S$100,9,0),0) + iferror(vlookup(A19,'전적확인_시즌16'!$A$2:$S$100,9,0),0) + iferror(vlookup(A19,'전적확인_시즌17'!$A$2:$S$100,9,0),0) + iferror(vlookup(A19,'전적확인_시즌17'!$A$2:$S$100,9,0),0) + iferror(vlookup(A19,'전적확인_시즌18'!$A$2:$S$100,9,0),0) + iferror(vlookup(A19,'전적확인_시즌19'!$A$2:$S$100,9,0),0) + iferror(vlookup(A19,'전적확인_시즌20'!$A$2:$S$100,9,0),0) + iferror(vlookup(A19,'전적확인_시즌21'!$A$2:$S$100,9,0),0) + iferror(vlookup(A19,'전적확인_시즌22'!$A$2:$S$100,9,0),0) + iferror(vlookup(A19,'전적확인_시즌23'!$A$2:$S$100,9,0),0) + iferror(vlookup(A19,'전적확인_시즌24'!$A$2:$S$100,9,0),0) + iferror(vlookup(A19,'전적확인_시즌25'!$A$2:$S$100,9,0),0) + iferror(vlookup(A19,'전적확인_시즌26'!$A$2:$S$100,9,0),0) + iferror(vlookup(A19,'전적확인_시즌27'!$A$2:$S$100,9,0),0) + iferror(vlookup(A19,'전적확인_시즌28'!$A$2:$S$100,9,0),0) + iferror(vlookup(A19,'전적확인_시즌29'!$A$2:$S$100,9,0),0) + iferror(vlookup(A19,'전적확인_시즌30'!$A$2:$S$100,9,0),0)</f>
        <v>33</v>
      </c>
      <c r="AA19" s="98">
        <f t="shared" si="8"/>
        <v>54.17</v>
      </c>
      <c r="AB19" s="3"/>
      <c r="AC19" s="2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>
      <c r="A20" s="95" t="s">
        <v>56</v>
      </c>
      <c r="B20" s="95" t="s">
        <v>9667</v>
      </c>
      <c r="C20" s="95" t="s">
        <v>9667</v>
      </c>
      <c r="D20" s="95" t="s">
        <v>9667</v>
      </c>
      <c r="E20" s="95" t="s">
        <v>9667</v>
      </c>
      <c r="F20" s="3"/>
      <c r="G20" s="3"/>
      <c r="H20" s="98">
        <f t="shared" si="1"/>
        <v>288</v>
      </c>
      <c r="I20" s="98">
        <f>iferror(vlookup(A20,'전적확인'!$A$2:$S$61,10,0),0) + iferror(vlookup(A20,'전적확인_베타시즌'!$A$2:$S$100,10,0),0)+iferror(vlookup(A20,'전적확인_시즌1'!$A$2:$S$100,10,0),0)+iferror(vlookup(A20,'전적확인_시즌2'!$A$2:$S$100,10,0),0)+iferror(vlookup(A20,'전적확인_시즌3'!$A$2:$S$100,10,0),0) + iferror(vlookup(A20,'전적확인_시즌4'!$A$2:$S$100,10,0),0) + iferror(vlookup(A20,'전적확인_시즌5'!$A$2:$S$100,10,0),0) + iferror(vlookup(A20,'전적확인_시즌6'!$A$2:$S$100,10,0),0) + iferror(vlookup(A20,'전적확인_시즌7'!$A$2:$S$100,10,0),0) + iferror(vlookup(A20,'전적확인_시즌8'!$A$2:$S$100,10,0),0) + iferror(vlookup(A20,'전적확인_시즌9'!$A$2:$S$100,10,0),0) + iferror(vlookup(A20,'전적확인_시즌10'!$A$2:$S$100,10,0),0) + iferror(vlookup(A20,'전적확인_시즌11'!$A$2:$S$100,10,0),0) + iferror(vlookup(A20,'전적확인_시즌12'!$A$2:$S$100,10,0),0) + iferror(vlookup(A20,'전적확인_시즌13'!$A$2:$S$100,10,0),0) + iferror(vlookup(A20,'전적확인_시즌14'!$A$2:$S$100,10,0),0) + iferror(vlookup(A20,'전적확인_시즌15'!$A$2:$S$100,10,0),0) + iferror(vlookup(A20,'전적확인_시즌16'!$A$2:$S$100,10,0),0) + iferror(vlookup(A20,'전적확인_시즌17'!$A$2:$S$100,10,0),0) + iferror(vlookup(A20,'전적확인_시즌17'!$A$2:$S$100,10,0),0) + iferror(vlookup(A20,'전적확인_시즌18'!$A$2:$S$100,10,0),0) + iferror(vlookup(A20,'전적확인_시즌19'!$A$2:$S$100,10,0),0) + iferror(vlookup(A20,'전적확인_시즌20'!$A$2:$S$100,10,0),0) + iferror(vlookup(A20,'전적확인_시즌21'!$A$2:$S$100,10,0),0) + iferror(vlookup(A20,'전적확인_시즌22'!$A$2:$S$100,10,0),0) + iferror(vlookup(A20,'전적확인_시즌23'!$A$2:$S$100,10,0),0) + iferror(vlookup(A20,'전적확인_시즌24'!$A$2:$S$100,10,0),0) + iferror(vlookup(A20,'전적확인_시즌25'!$A$2:$S$100,10,0),0) + iferror(vlookup(A20,'전적확인_시즌26'!$A$2:$S$100,10,0),0) + iferror(vlookup(A20,'전적확인_시즌27'!$A$2:$S$100,10,0),0) + iferror(vlookup(A20,'전적확인_시즌28'!$A$2:$S$100,10,0),0) + iferror(vlookup(A20,'전적확인_시즌29'!$A$2:$S$100,10,0),0) + iferror(vlookup(A20,'전적확인_시즌30'!$A$2:$S$100,10,0),0)</f>
        <v>131</v>
      </c>
      <c r="J20" s="98">
        <f>iferror(vlookup(A20,'전적확인'!$A$2:$S$61,11,0),0) + iferror(vlookup(A20,'전적확인_베타시즌'!$A$2:$S$100,11,0),0)+iferror(vlookup(A20,'전적확인_시즌1'!$A$2:$S$100,11,0),0)+iferror(vlookup(A20,'전적확인_시즌2'!$A$2:$S$100,11,0),0)+iferror(vlookup(A20,'전적확인_시즌3'!$A$2:$S$100,11,0),0) + iferror(vlookup(A20,'전적확인_시즌4'!$A$2:$S$100,11,0),0) + iferror(vlookup(A20,'전적확인_시즌5'!$A$2:$S$100,11,0),0) + iferror(vlookup(A20,'전적확인_시즌6'!$A$2:$S$100,11,0),0) + iferror(vlookup(A20,'전적확인_시즌7'!$A$2:$S$100,11,0),0) + iferror(vlookup(A20,'전적확인_시즌8'!$A$2:$S$100,11,0),0) + iferror(vlookup(A20,'전적확인_시즌9'!$A$2:$S$100,11,0),0) + iferror(vlookup(A20,'전적확인_시즌10'!$A$2:$S$100,11,0),0) + iferror(vlookup(A20,'전적확인_시즌11'!$A$2:$S$100,11,0),0) + iferror(vlookup(A20,'전적확인_시즌12'!$A$2:$S$100,11,0),0) + iferror(vlookup(A20,'전적확인_시즌13'!$A$2:$S$100,11,0),0) + iferror(vlookup(A20,'전적확인_시즌14'!$A$2:$S$100,11,0),0) + iferror(vlookup(A20,'전적확인_시즌15'!$A$2:$S$100,11,0),0) + iferror(vlookup(A20,'전적확인_시즌16'!$A$2:$S$100,11,0),0) + iferror(vlookup(A20,'전적확인_시즌17'!$A$2:$S$100,11,0),0) + iferror(vlookup(A20,'전적확인_시즌17'!$A$2:$S$100,11,0),0) + iferror(vlookup(A20,'전적확인_시즌18'!$A$2:$S$100,11,0),0) + iferror(vlookup(A20,'전적확인_시즌19'!$A$2:$S$100,11,0),0) + iferror(vlookup(A20,'전적확인_시즌20'!$A$2:$S$100,11,0),0) + iferror(vlookup(A20,'전적확인_시즌21'!$A$2:$S$100,11,0),0) + iferror(vlookup(A20,'전적확인_시즌22'!$A$2:$S$100,11,0),0) + iferror(vlookup(A20,'전적확인_시즌23'!$A$2:$S$100,11,0),0) + iferror(vlookup(A20,'전적확인_시즌24'!$A$2:$S$100,11,0),0) + iferror(vlookup(A20,'전적확인_시즌25'!$A$2:$S$100,11,0),0) + iferror(vlookup(A20,'전적확인_시즌26'!$A$2:$S$100,11,0),0) + iferror(vlookup(A20,'전적확인_시즌27'!$A$2:$S$100,11,0),0) + iferror(vlookup(A20,'전적확인_시즌28'!$A$2:$S$100,11,0),0) + iferror(vlookup(A20,'전적확인_시즌29'!$A$2:$S$100,11,0),0) + iferror(vlookup(A20,'전적확인_시즌30'!$A$2:$S$100,11,0),0)</f>
        <v>157</v>
      </c>
      <c r="K20" s="98">
        <f t="shared" si="2"/>
        <v>45.49</v>
      </c>
      <c r="L20" s="95">
        <f t="array" ref="L20">iferror(vlookup(A20,INDIRECT('시즌목록'!$H$2 &amp; "!$A$2:$S$100"),10,0),0)</f>
        <v>3</v>
      </c>
      <c r="M20" s="95">
        <f t="array" ref="M20">iferror(vlookup(A20,INDIRECT('시즌목록'!$H$2 &amp; "!$A$2:$S$100"),11,0),0)</f>
        <v>4</v>
      </c>
      <c r="N20" s="98">
        <f t="shared" si="3"/>
        <v>42.86</v>
      </c>
      <c r="O20" s="95" t="str">
        <f t="shared" si="4"/>
        <v>아이언</v>
      </c>
      <c r="P20" s="98">
        <f>iferror(vlookup(A20,'전적확인'!$A$2:$S$61,2,0),0)+ iferror(vlookup(A20,'전적확인_베타시즌'!$A$2:$S$100,2,0),0)+iferror(vlookup(A20,'전적확인_시즌1'!$A$2:$S$100,2,0),0)+iferror(vlookup(A20,'전적확인_시즌2'!$A$2:$S$100,2,0),0)+iferror(vlookup(A20,'전적확인_시즌3'!$A$2:$S$100,2,0),0) + iferror(vlookup(A20,'전적확인_시즌4'!$A$2:$S$100,2,0),0) + iferror(vlookup(A20,'전적확인_시즌5'!$A$2:$S$100,2,0),0) + iferror(vlookup(A20,'전적확인_시즌6'!$A$2:$S$100,2,0),0) + iferror(vlookup(A20,'전적확인_시즌7'!$A$2:$S$100,2,0),0) + iferror(vlookup(A20,'전적확인_시즌8'!$A$2:$S$100,2,0),0) + iferror(vlookup(A20,'전적확인_시즌9'!$A$2:$S$100,2,0),0) + iferror(vlookup(A20,'전적확인_시즌10'!$A$2:$S$100,2,0),0) + iferror(vlookup(A20,'전적확인_시즌11'!$A$2:$S$100,2,0),0) + iferror(vlookup(A20,'전적확인_시즌12'!$A$2:$S$100,2,0),0) + iferror(vlookup(A20,'전적확인_시즌13'!$A$2:$S$100,2,0),0) + iferror(vlookup(A20,'전적확인_시즌14'!$A$2:$S$100,2,0),0) + iferror(vlookup(A20,'전적확인_시즌15'!$A$2:$S$100,2,0),0) + iferror(vlookup(A20,'전적확인_시즌16'!$A$2:$S$100,2,0),0) + iferror(vlookup(A20,'전적확인_시즌17'!$A$2:$S$100,2,0),0) + iferror(vlookup(A20,'전적확인_시즌17'!$A$2:$S$100,2,0),0) + iferror(vlookup(A20,'전적확인_시즌18'!$A$2:$S$100,2,0),0) + iferror(vlookup(A20,'전적확인_시즌19'!$A$2:$S$100,2,0),0) + iferror(vlookup(A20,'전적확인_시즌20'!$A$2:$S$100,2,0),0) + iferror(vlookup(A20,'전적확인_시즌21'!$A$2:$S$100,2,0),0) + iferror(vlookup(A20,'전적확인_시즌22'!$A$2:$S$100,2,0),0) + iferror(vlookup(A20,'전적확인_시즌23'!$A$2:$S$100,2,0),0) + iferror(vlookup(A20,'전적확인_시즌24'!$A$2:$S$100,2,0),0) + iferror(vlookup(A20,'전적확인_시즌25'!$A$2:$S$100,2,0),0) + iferror(vlookup(A20,'전적확인_시즌26'!$A$2:$S$100,2,0),0) + iferror(vlookup(A20,'전적확인_시즌27'!$A$2:$S$100,2,0),0) + iferror(vlookup(A20,'전적확인_시즌28'!$A$2:$S$100,2,0),0) + iferror(vlookup(A20,'전적확인_시즌29'!$A$2:$S$100,2,0),0) + iferror(vlookup(A20,'전적확인_시즌30'!$A$2:$S$100,2,0),0)</f>
        <v>22</v>
      </c>
      <c r="Q20" s="98">
        <f>iferror(vlookup(A20,'전적확인'!$A$2:$S$61,3,0),0)+ iferror(vlookup(A20,'전적확인_베타시즌'!$A$2:$S$100,3,0),0)+iferror(vlookup(A20,'전적확인_시즌1'!$A$2:$S$100,3,0),0)+iferror(vlookup(A20,'전적확인_시즌2'!$A$2:$S$100,3,0),0)+iferror(vlookup(A20,'전적확인_시즌3'!$A$2:$S$100,3,0),0) + iferror(vlookup(A20,'전적확인_시즌4'!$A$2:$S$100,3,0),0) + iferror(vlookup(A20,'전적확인_시즌5'!$A$2:$S$100,3,0),0) + iferror(vlookup(A20,'전적확인_시즌6'!$A$2:$S$100,3,0),0) + iferror(vlookup(A20,'전적확인_시즌7'!$A$2:$S$100,3,0),0) + iferror(vlookup(A20,'전적확인_시즌8'!$A$2:$S$100,3,0),0) + iferror(vlookup(A20,'전적확인_시즌9'!$A$2:$S$100,3,0),0) + iferror(vlookup(A20,'전적확인_시즌10'!$A$2:$S$100,3,0),0) + iferror(vlookup(A20,'전적확인_시즌11'!$A$2:$S$100,3,0),0) + iferror(vlookup(A20,'전적확인_시즌12'!$A$2:$S$100,3,0),0) + iferror(vlookup(A20,'전적확인_시즌13'!$A$2:$S$100,3,0),0) + iferror(vlookup(A20,'전적확인_시즌14'!$A$2:$S$100,3,0),0) + iferror(vlookup(A20,'전적확인_시즌15'!$A$2:$S$100,3,0),0) + iferror(vlookup(A20,'전적확인_시즌16'!$A$2:$S$100,3,0),0) + iferror(vlookup(A20,'전적확인_시즌17'!$A$2:$S$100,3,0),0) + iferror(vlookup(A20,'전적확인_시즌17'!$A$2:$S$100,3,0),0) + iferror(vlookup(A20,'전적확인_시즌18'!$A$2:$S$100,3,0),0) + iferror(vlookup(A20,'전적확인_시즌19'!$A$2:$S$100,3,0),0) + iferror(vlookup(A20,'전적확인_시즌20'!$A$2:$S$100,3,0),0) + iferror(vlookup(A20,'전적확인_시즌21'!$A$2:$S$100,3,0),0) + iferror(vlookup(A20,'전적확인_시즌22'!$A$2:$S$100,3,0),0) + iferror(vlookup(A20,'전적확인_시즌23'!$A$2:$S$100,3,0),0) + iferror(vlookup(A20,'전적확인_시즌24'!$A$2:$S$100,3,0),0) + iferror(vlookup(A20,'전적확인_시즌25'!$A$2:$S$100,3,0),0) + iferror(vlookup(A20,'전적확인_시즌26'!$A$2:$S$100,3,0),0) + iferror(vlookup(A20,'전적확인_시즌27'!$A$2:$S$100,3,0),0) + iferror(vlookup(A20,'전적확인_시즌28'!$A$2:$S$100,3,0),0) + iferror(vlookup(A20,'전적확인_시즌29'!$A$2:$S$100,3,0),0) + iferror(vlookup(A20,'전적확인_시즌30'!$A$2:$S$100,3,0),0)</f>
        <v>28</v>
      </c>
      <c r="R20" s="98">
        <f t="shared" si="5"/>
        <v>44</v>
      </c>
      <c r="S20" s="98">
        <f>iferror(vlookup(A20,'전적확인'!$A$2:$S$61,4,0),0) + iferror(vlookup(A20,'전적확인_베타시즌'!$A$2:$S$100,4,0),0)+iferror(vlookup(A20,'전적확인_시즌1'!$A$2:$S$100,4,0),0)+iferror(vlookup(A20,'전적확인_시즌2'!$A$2:$S$100,4,0),0)+iferror(vlookup(A20,'전적확인_시즌3'!$A$2:$S$100,4,0),0) + iferror(vlookup(A20,'전적확인_시즌4'!$A$2:$S$100,4,0),0) + iferror(vlookup(A20,'전적확인_시즌5'!$A$2:$S$100,4,0),0) + iferror(vlookup(A20,'전적확인_시즌6'!$A$2:$S$100,4,0),0) + iferror(vlookup(A20,'전적확인_시즌7'!$A$2:$S$100,4,0),0) + iferror(vlookup(A20,'전적확인_시즌8'!$A$2:$S$100,4,0),0) + iferror(vlookup(A20,'전적확인_시즌9'!$A$2:$S$100,4,0),0) + iferror(vlookup(A20,'전적확인_시즌10'!$A$2:$S$100,4,0),0) + iferror(vlookup(A20,'전적확인_시즌11'!$A$2:$S$100,4,0),0) + iferror(vlookup(A20,'전적확인_시즌12'!$A$2:$S$100,4,0),0) + iferror(vlookup(A20,'전적확인_시즌13'!$A$2:$S$100,4,0),0) + iferror(vlookup(A20,'전적확인_시즌14'!$A$2:$S$100,4,0),0) + iferror(vlookup(A20,'전적확인_시즌15'!$A$2:$S$100,4,0),0) + iferror(vlookup(A20,'전적확인_시즌16'!$A$2:$S$100,4,0),0) + iferror(vlookup(A20,'전적확인_시즌17'!$A$2:$S$100,4,0),0) + iferror(vlookup(A20,'전적확인_시즌17'!$A$2:$S$100,4,0),0) + iferror(vlookup(A20,'전적확인_시즌18'!$A$2:$S$100,4,0),0) + iferror(vlookup(A20,'전적확인_시즌19'!$A$2:$S$100,4,0),0) + iferror(vlookup(A20,'전적확인_시즌20'!$A$2:$S$100,4,0),0) + iferror(vlookup(A20,'전적확인_시즌21'!$A$2:$S$100,4,0),0) + iferror(vlookup(A20,'전적확인_시즌22'!$A$2:$S$100,4,0),0) + iferror(vlookup(A20,'전적확인_시즌23'!$A$2:$S$100,4,0),0) + iferror(vlookup(A20,'전적확인_시즌24'!$A$2:$S$100,4,0),0) + iferror(vlookup(A20,'전적확인_시즌25'!$A$2:$S$100,4,0),0) + iferror(vlookup(A20,'전적확인_시즌26'!$A$2:$S$100,4,0),0) + iferror(vlookup(A20,'전적확인_시즌27'!$A$2:$S$100,4,0),0) + iferror(vlookup(A20,'전적확인_시즌28'!$A$2:$S$100,4,0),0) + iferror(vlookup(A20,'전적확인_시즌29'!$A$2:$S$100,4,0),0) + iferror(vlookup(A20,'전적확인_시즌30'!$A$2:$S$100,4,0),0)</f>
        <v>47</v>
      </c>
      <c r="T20" s="98">
        <f>iferror(vlookup(A20,'전적확인'!$A$2:$S$61,5,0),0) + iferror(vlookup(A20,'전적확인_베타시즌'!$A$2:$S$100,5,0),0)+iferror(vlookup(A20,'전적확인_시즌1'!$A$2:$S$100,5,0),0)+iferror(vlookup(A20,'전적확인_시즌2'!$A$2:$S$100,5,0),0)+iferror(vlookup(A20,'전적확인_시즌3'!$A$2:$S$100,5,0),0) + iferror(vlookup(A20,'전적확인_시즌4'!$A$2:$S$100,5,0),0) + iferror(vlookup(A20,'전적확인_시즌5'!$A$2:$S$100,5,0),0) + iferror(vlookup(A20,'전적확인_시즌6'!$A$2:$S$100,5,0),0) + iferror(vlookup(A20,'전적확인_시즌7'!$A$2:$S$100,5,0),0) + iferror(vlookup(A20,'전적확인_시즌8'!$A$2:$S$100,5,0),0) + iferror(vlookup(A20,'전적확인_시즌9'!$A$2:$S$100,5,0),0) + iferror(vlookup(A20,'전적확인_시즌10'!$A$2:$S$100,5,0),0) + iferror(vlookup(A20,'전적확인_시즌11'!$A$2:$S$100,5,0),0) + iferror(vlookup(A20,'전적확인_시즌12'!$A$2:$S$100,5,0),0) + iferror(vlookup(A20,'전적확인_시즌13'!$A$2:$S$100,5,0),0) + iferror(vlookup(A20,'전적확인_시즌14'!$A$2:$S$100,5,0),0) + iferror(vlookup(A20,'전적확인_시즌15'!$A$2:$S$100,5,0),0) + iferror(vlookup(A20,'전적확인_시즌16'!$A$2:$S$100,5,0),0) + iferror(vlookup(A20,'전적확인_시즌17'!$A$2:$S$100,5,0),0) + iferror(vlookup(A20,'전적확인_시즌17'!$A$2:$S$100,5,0),0) + iferror(vlookup(A20,'전적확인_시즌18'!$A$2:$S$100,5,0),0) + iferror(vlookup(A20,'전적확인_시즌19'!$A$2:$S$100,5,0),0) + iferror(vlookup(A20,'전적확인_시즌20'!$A$2:$S$100,5,0),0) + iferror(vlookup(A20,'전적확인_시즌21'!$A$2:$S$100,5,0),0) + iferror(vlookup(A20,'전적확인_시즌22'!$A$2:$S$100,5,0),0) + iferror(vlookup(A20,'전적확인_시즌23'!$A$2:$S$100,5,0),0) + iferror(vlookup(A20,'전적확인_시즌24'!$A$2:$S$100,5,0),0) + iferror(vlookup(A20,'전적확인_시즌25'!$A$2:$S$100,5,0),0) + iferror(vlookup(A20,'전적확인_시즌26'!$A$2:$S$100,5,0),0) + iferror(vlookup(A20,'전적확인_시즌27'!$A$2:$S$100,5,0),0) + iferror(vlookup(A20,'전적확인_시즌28'!$A$2:$S$100,5,0),0) + iferror(vlookup(A20,'전적확인_시즌29'!$A$2:$S$100,5,0),0) + iferror(vlookup(A20,'전적확인_시즌30'!$A$2:$S$100,5,0),0)</f>
        <v>44</v>
      </c>
      <c r="U20" s="98">
        <f t="shared" si="6"/>
        <v>51.65</v>
      </c>
      <c r="V20" s="98">
        <f>iferror(vlookup(A20,'전적확인'!$A$2:$S$61,6,0),0)+ iferror(vlookup(A20,'전적확인_베타시즌'!$A$2:$S$100,6,0),0)+iferror(vlookup(A20,'전적확인_시즌1'!$A$2:$S$100,6,0),0)+iferror(vlookup(A20,'전적확인_시즌2'!$A$2:$S$100,6,0),0)+iferror(vlookup(A20,'전적확인_시즌3'!$A$2:$S$100,6,0),0) + iferror(vlookup(A20,'전적확인_시즌4'!$A$2:$S$100,6,0),0) + iferror(vlookup(A20,'전적확인_시즌5'!$A$2:$S$100,6,0),0) + iferror(vlookup(A20,'전적확인_시즌6'!$A$2:$S$100,6,0),0) + iferror(vlookup(A20,'전적확인_시즌7'!$A$2:$S$100,6,0),0) + iferror(vlookup(A20,'전적확인_시즌8'!$A$2:$S$100,6,0),0) + iferror(vlookup(A20,'전적확인_시즌9'!$A$2:$S$100,6,0),0) + iferror(vlookup(A20,'전적확인_시즌10'!$A$2:$S$100,6,0),0) + iferror(vlookup(A20,'전적확인_시즌11'!$A$2:$S$100,6,0),0) + iferror(vlookup(A20,'전적확인_시즌12'!$A$2:$S$100,6,0),0) + iferror(vlookup(A20,'전적확인_시즌13'!$A$2:$S$100,6,0),0) + iferror(vlookup(A20,'전적확인_시즌14'!$A$2:$S$100,6,0),0) + iferror(vlookup(A20,'전적확인_시즌15'!$A$2:$S$100,6,0),0) + iferror(vlookup(A20,'전적확인_시즌16'!$A$2:$S$100,6,0),0) + iferror(vlookup(A20,'전적확인_시즌17'!$A$2:$S$100,6,0),0) + iferror(vlookup(A20,'전적확인_시즌17'!$A$2:$S$100,6,0),0) + iferror(vlookup(A20,'전적확인_시즌18'!$A$2:$S$100,6,0),0) + iferror(vlookup(A20,'전적확인_시즌19'!$A$2:$S$100,6,0),0) + iferror(vlookup(A20,'전적확인_시즌20'!$A$2:$S$100,6,0),0) + iferror(vlookup(A20,'전적확인_시즌21'!$A$2:$S$100,6,0),0) + iferror(vlookup(A20,'전적확인_시즌22'!$A$2:$S$100,6,0),0) + iferror(vlookup(A20,'전적확인_시즌23'!$A$2:$S$100,6,0),0) + iferror(vlookup(A20,'전적확인_시즌24'!$A$2:$S$100,6,0),0) + iferror(vlookup(A20,'전적확인_시즌25'!$A$2:$S$100,6,0),0) + iferror(vlookup(A20,'전적확인_시즌26'!$A$2:$S$100,6,0),0) + iferror(vlookup(A20,'전적확인_시즌27'!$A$2:$S$100,6,0),0) + iferror(vlookup(A20,'전적확인_시즌28'!$A$2:$S$100,6,0),0) + iferror(vlookup(A20,'전적확인_시즌29'!$A$2:$S$100,6,0),0) + iferror(vlookup(A20,'전적확인_시즌30'!$A$2:$S$100,6,0),0)</f>
        <v>35</v>
      </c>
      <c r="W20" s="98">
        <f> iferror(vlookup(A20,'전적확인'!$A$2:$S$61,7,0),0)+ iferror(vlookup(A20,'전적확인_베타시즌'!$A$2:$S$100,7,0),0)+iferror(vlookup(A20,'전적확인_시즌1'!$A$2:$S$100,7,0),0)+iferror(vlookup(A20,'전적확인_시즌2'!$A$2:$S$100,7,0),0)+iferror(vlookup(A20,'전적확인_시즌3'!$A$2:$S$100,7,0),0) + iferror(vlookup(A20,'전적확인_시즌4'!$A$2:$S$100,7,0),0) + iferror(vlookup(A20,'전적확인_시즌5'!$A$2:$S$100,7,0),0) + iferror(vlookup(A20,'전적확인_시즌6'!$A$2:$S$100,7,0),0) + iferror(vlookup(A20,'전적확인_시즌7'!$A$2:$S$100,7,0),0) + iferror(vlookup(A20,'전적확인_시즌8'!$A$2:$S$100,7,0),0) + iferror(vlookup(A20,'전적확인_시즌9'!$A$2:$S$100,7,0),0) + iferror(vlookup(A20,'전적확인_시즌10'!$A$2:$S$100,7,0),0) + iferror(vlookup(A20,'전적확인_시즌11'!$A$2:$S$100,7,0),0) + iferror(vlookup(A20,'전적확인_시즌12'!$A$2:$S$100,7,0),0) + iferror(vlookup(A20,'전적확인_시즌13'!$A$2:$S$100,7,0),0) + iferror(vlookup(A20,'전적확인_시즌14'!$A$2:$S$100,7,0),0) + iferror(vlookup(A20,'전적확인_시즌15'!$A$2:$S$100,7,0),0) + iferror(vlookup(A20,'전적확인_시즌16'!$A$2:$S$100,7,0),0) + iferror(vlookup(A20,'전적확인_시즌17'!$A$2:$S$100,7,0),0) + iferror(vlookup(A20,'전적확인_시즌17'!$A$2:$S$100,7,0),0) + iferror(vlookup(A20,'전적확인_시즌18'!$A$2:$S$100,7,0),0) + iferror(vlookup(A20,'전적확인_시즌19'!$A$2:$S$100,7,0),0) + iferror(vlookup(A20,'전적확인_시즌20'!$A$2:$S$100,7,0),0) + iferror(vlookup(A20,'전적확인_시즌21'!$A$2:$S$100,7,0),0) + iferror(vlookup(A20,'전적확인_시즌22'!$A$2:$S$100,7,0),0) + iferror(vlookup(A20,'전적확인_시즌23'!$A$2:$S$100,7,0),0) + iferror(vlookup(A20,'전적확인_시즌24'!$A$2:$S$100,7,0),0) + iferror(vlookup(A20,'전적확인_시즌25'!$A$2:$S$100,7,0),0) + iferror(vlookup(A20,'전적확인_시즌26'!$A$2:$S$100,7,0),0) + iferror(vlookup(A20,'전적확인_시즌27'!$A$2:$S$100,7,0),0) + iferror(vlookup(A20,'전적확인_시즌28'!$A$2:$S$100,7,0),0) + iferror(vlookup(A20,'전적확인_시즌29'!$A$2:$S$100,7,0),0) + iferror(vlookup(A20,'전적확인_시즌30'!$A$2:$S$100,7,0),0)</f>
        <v>42</v>
      </c>
      <c r="X20" s="98">
        <f t="shared" si="7"/>
        <v>45.45</v>
      </c>
      <c r="Y20" s="98">
        <f>iferror(vlookup(A20,'전적확인'!$A$2:$S$61,8,0),0) + iferror(vlookup(A20,'전적확인_베타시즌'!$A$2:$S$100,8,0),0)+iferror(vlookup(A20,'전적확인_시즌1'!$A$2:$S$100,8,0),0)+iferror(vlookup(A20,'전적확인_시즌2'!$A$2:$S$100,8,0),0)+iferror(vlookup(A20,'전적확인_시즌3'!$A$2:$S$100,8,0),0) + iferror(vlookup(A20,'전적확인_시즌4'!$A$2:$S$100,8,0),0) + iferror(vlookup(A20,'전적확인_시즌5'!$A$2:$S$100,8,0),0) + iferror(vlookup(A20,'전적확인_시즌6'!$A$2:$S$100,8,0),0) + iferror(vlookup(A20,'전적확인_시즌7'!$A$2:$S$100,8,0),0) + iferror(vlookup(A20,'전적확인_시즌8'!$A$2:$S$100,8,0),0) + iferror(vlookup(A20,'전적확인_시즌9'!$A$2:$S$100,8,0),0) + iferror(vlookup(A20,'전적확인_시즌10'!$A$2:$S$100,8,0),0) + iferror(vlookup(A20,'전적확인_시즌11'!$A$2:$S$100,8,0),0) + iferror(vlookup(A20,'전적확인_시즌12'!$A$2:$S$100,8,0),0) + iferror(vlookup(A20,'전적확인_시즌13'!$A$2:$S$100,8,0),0) + iferror(vlookup(A20,'전적확인_시즌14'!$A$2:$S$100,8,0),0) + iferror(vlookup(A20,'전적확인_시즌15'!$A$2:$S$100,8,0),0) + iferror(vlookup(A20,'전적확인_시즌16'!$A$2:$S$100,8,0),0) + iferror(vlookup(A20,'전적확인_시즌17'!$A$2:$S$100,8,0),0) + iferror(vlookup(A20,'전적확인_시즌17'!$A$2:$S$100,8,0),0) + iferror(vlookup(A20,'전적확인_시즌18'!$A$2:$S$100,8,0),0) + iferror(vlookup(A20,'전적확인_시즌19'!$A$2:$S$100,8,0),0) + iferror(vlookup(A20,'전적확인_시즌20'!$A$2:$S$100,8,0),0) + iferror(vlookup(A20,'전적확인_시즌21'!$A$2:$S$100,8,0),0) + iferror(vlookup(A20,'전적확인_시즌22'!$A$2:$S$100,8,0),0) + iferror(vlookup(A20,'전적확인_시즌23'!$A$2:$S$100,8,0),0) + iferror(vlookup(A20,'전적확인_시즌24'!$A$2:$S$100,8,0),0) + iferror(vlookup(A20,'전적확인_시즌25'!$A$2:$S$100,8,0),0) + iferror(vlookup(A20,'전적확인_시즌26'!$A$2:$S$100,8,0),0) + iferror(vlookup(A20,'전적확인_시즌27'!$A$2:$S$100,8,0),0) + iferror(vlookup(A20,'전적확인_시즌28'!$A$2:$S$100,8,0),0) + iferror(vlookup(A20,'전적확인_시즌29'!$A$2:$S$100,8,0),0) + iferror(vlookup(A20,'전적확인_시즌30'!$A$2:$S$100,8,0),0)</f>
        <v>27</v>
      </c>
      <c r="Z20" s="98">
        <f>iferror(vlookup(A20,'전적확인'!$A$2:$S$61,9,0),0) + iferror(vlookup(A20,'전적확인_베타시즌'!$A$2:$S$100,9,0),0)+iferror(vlookup(A20,'전적확인_시즌1'!$A$2:$S$100,9,0),0)+iferror(vlookup(A20,'전적확인_시즌2'!$A$2:$S$100,9,0),0)+iferror(vlookup(A20,'전적확인_시즌3'!$A$2:$S$100,9,0),0) + iferror(vlookup(A20,'전적확인_시즌4'!$A$2:$S$100,9,0),0) + iferror(vlookup(A20,'전적확인_시즌5'!$A$2:$S$100,9,0),0) + iferror(vlookup(A20,'전적확인_시즌6'!$A$2:$S$100,9,0),0) + iferror(vlookup(A20,'전적확인_시즌7'!$A$2:$S$100,9,0),0) + iferror(vlookup(A20,'전적확인_시즌8'!$A$2:$S$100,9,0),0) + iferror(vlookup(A20,'전적확인_시즌9'!$A$2:$S$100,9,0),0) + iferror(vlookup(A20,'전적확인_시즌10'!$A$2:$S$100,9,0),0) + iferror(vlookup(A20,'전적확인_시즌11'!$A$2:$S$100,9,0),0) + iferror(vlookup(A20,'전적확인_시즌12'!$A$2:$S$100,9,0),0) + iferror(vlookup(A20,'전적확인_시즌13'!$A$2:$S$100,9,0),0) + iferror(vlookup(A20,'전적확인_시즌14'!$A$2:$S$100,9,0),0) + iferror(vlookup(A20,'전적확인_시즌15'!$A$2:$S$100,9,0),0) + iferror(vlookup(A20,'전적확인_시즌16'!$A$2:$S$100,9,0),0) + iferror(vlookup(A20,'전적확인_시즌17'!$A$2:$S$100,9,0),0) + iferror(vlookup(A20,'전적확인_시즌17'!$A$2:$S$100,9,0),0) + iferror(vlookup(A20,'전적확인_시즌18'!$A$2:$S$100,9,0),0) + iferror(vlookup(A20,'전적확인_시즌19'!$A$2:$S$100,9,0),0) + iferror(vlookup(A20,'전적확인_시즌20'!$A$2:$S$100,9,0),0) + iferror(vlookup(A20,'전적확인_시즌21'!$A$2:$S$100,9,0),0) + iferror(vlookup(A20,'전적확인_시즌22'!$A$2:$S$100,9,0),0) + iferror(vlookup(A20,'전적확인_시즌23'!$A$2:$S$100,9,0),0) + iferror(vlookup(A20,'전적확인_시즌24'!$A$2:$S$100,9,0),0) + iferror(vlookup(A20,'전적확인_시즌25'!$A$2:$S$100,9,0),0) + iferror(vlookup(A20,'전적확인_시즌26'!$A$2:$S$100,9,0),0) + iferror(vlookup(A20,'전적확인_시즌27'!$A$2:$S$100,9,0),0) + iferror(vlookup(A20,'전적확인_시즌28'!$A$2:$S$100,9,0),0) + iferror(vlookup(A20,'전적확인_시즌29'!$A$2:$S$100,9,0),0) + iferror(vlookup(A20,'전적확인_시즌30'!$A$2:$S$100,9,0),0)</f>
        <v>43</v>
      </c>
      <c r="AA20" s="98">
        <f t="shared" si="8"/>
        <v>38.57</v>
      </c>
      <c r="AB20" s="2"/>
      <c r="AC20" s="2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>
      <c r="A21" s="95" t="s">
        <v>9705</v>
      </c>
      <c r="B21" s="95" t="s">
        <v>9667</v>
      </c>
      <c r="C21" s="95" t="s">
        <v>9667</v>
      </c>
      <c r="D21" s="95" t="s">
        <v>9667</v>
      </c>
      <c r="E21" s="95" t="s">
        <v>9667</v>
      </c>
      <c r="F21" s="3"/>
      <c r="G21" s="3"/>
      <c r="H21" s="98">
        <f t="shared" si="1"/>
        <v>186</v>
      </c>
      <c r="I21" s="98">
        <f>iferror(vlookup(A21,'전적확인'!$A$2:$S$61,10,0),0) + iferror(vlookup(A21,'전적확인_베타시즌'!$A$2:$S$100,10,0),0)+iferror(vlookup(A21,'전적확인_시즌1'!$A$2:$S$100,10,0),0)+iferror(vlookup(A21,'전적확인_시즌2'!$A$2:$S$100,10,0),0)+iferror(vlookup(A21,'전적확인_시즌3'!$A$2:$S$100,10,0),0) + iferror(vlookup(A21,'전적확인_시즌4'!$A$2:$S$100,10,0),0) + iferror(vlookup(A21,'전적확인_시즌5'!$A$2:$S$100,10,0),0) + iferror(vlookup(A21,'전적확인_시즌6'!$A$2:$S$100,10,0),0) + iferror(vlookup(A21,'전적확인_시즌7'!$A$2:$S$100,10,0),0) + iferror(vlookup(A21,'전적확인_시즌8'!$A$2:$S$100,10,0),0) + iferror(vlookup(A21,'전적확인_시즌9'!$A$2:$S$100,10,0),0) + iferror(vlookup(A21,'전적확인_시즌10'!$A$2:$S$100,10,0),0) + iferror(vlookup(A21,'전적확인_시즌11'!$A$2:$S$100,10,0),0) + iferror(vlookup(A21,'전적확인_시즌12'!$A$2:$S$100,10,0),0) + iferror(vlookup(A21,'전적확인_시즌13'!$A$2:$S$100,10,0),0) + iferror(vlookup(A21,'전적확인_시즌14'!$A$2:$S$100,10,0),0) + iferror(vlookup(A21,'전적확인_시즌15'!$A$2:$S$100,10,0),0) + iferror(vlookup(A21,'전적확인_시즌16'!$A$2:$S$100,10,0),0) + iferror(vlookup(A21,'전적확인_시즌17'!$A$2:$S$100,10,0),0) + iferror(vlookup(A21,'전적확인_시즌17'!$A$2:$S$100,10,0),0) + iferror(vlookup(A21,'전적확인_시즌18'!$A$2:$S$100,10,0),0) + iferror(vlookup(A21,'전적확인_시즌19'!$A$2:$S$100,10,0),0) + iferror(vlookup(A21,'전적확인_시즌20'!$A$2:$S$100,10,0),0) + iferror(vlookup(A21,'전적확인_시즌21'!$A$2:$S$100,10,0),0) + iferror(vlookup(A21,'전적확인_시즌22'!$A$2:$S$100,10,0),0) + iferror(vlookup(A21,'전적확인_시즌23'!$A$2:$S$100,10,0),0) + iferror(vlookup(A21,'전적확인_시즌24'!$A$2:$S$100,10,0),0) + iferror(vlookup(A21,'전적확인_시즌25'!$A$2:$S$100,10,0),0) + iferror(vlookup(A21,'전적확인_시즌26'!$A$2:$S$100,10,0),0) + iferror(vlookup(A21,'전적확인_시즌27'!$A$2:$S$100,10,0),0) + iferror(vlookup(A21,'전적확인_시즌28'!$A$2:$S$100,10,0),0) + iferror(vlookup(A21,'전적확인_시즌29'!$A$2:$S$100,10,0),0) + iferror(vlookup(A21,'전적확인_시즌30'!$A$2:$S$100,10,0),0)</f>
        <v>83</v>
      </c>
      <c r="J21" s="98">
        <f>iferror(vlookup(A21,'전적확인'!$A$2:$S$61,11,0),0) + iferror(vlookup(A21,'전적확인_베타시즌'!$A$2:$S$100,11,0),0)+iferror(vlookup(A21,'전적확인_시즌1'!$A$2:$S$100,11,0),0)+iferror(vlookup(A21,'전적확인_시즌2'!$A$2:$S$100,11,0),0)+iferror(vlookup(A21,'전적확인_시즌3'!$A$2:$S$100,11,0),0) + iferror(vlookup(A21,'전적확인_시즌4'!$A$2:$S$100,11,0),0) + iferror(vlookup(A21,'전적확인_시즌5'!$A$2:$S$100,11,0),0) + iferror(vlookup(A21,'전적확인_시즌6'!$A$2:$S$100,11,0),0) + iferror(vlookup(A21,'전적확인_시즌7'!$A$2:$S$100,11,0),0) + iferror(vlookup(A21,'전적확인_시즌8'!$A$2:$S$100,11,0),0) + iferror(vlookup(A21,'전적확인_시즌9'!$A$2:$S$100,11,0),0) + iferror(vlookup(A21,'전적확인_시즌10'!$A$2:$S$100,11,0),0) + iferror(vlookup(A21,'전적확인_시즌11'!$A$2:$S$100,11,0),0) + iferror(vlookup(A21,'전적확인_시즌12'!$A$2:$S$100,11,0),0) + iferror(vlookup(A21,'전적확인_시즌13'!$A$2:$S$100,11,0),0) + iferror(vlookup(A21,'전적확인_시즌14'!$A$2:$S$100,11,0),0) + iferror(vlookup(A21,'전적확인_시즌15'!$A$2:$S$100,11,0),0) + iferror(vlookup(A21,'전적확인_시즌16'!$A$2:$S$100,11,0),0) + iferror(vlookup(A21,'전적확인_시즌17'!$A$2:$S$100,11,0),0) + iferror(vlookup(A21,'전적확인_시즌17'!$A$2:$S$100,11,0),0) + iferror(vlookup(A21,'전적확인_시즌18'!$A$2:$S$100,11,0),0) + iferror(vlookup(A21,'전적확인_시즌19'!$A$2:$S$100,11,0),0) + iferror(vlookup(A21,'전적확인_시즌20'!$A$2:$S$100,11,0),0) + iferror(vlookup(A21,'전적확인_시즌21'!$A$2:$S$100,11,0),0) + iferror(vlookup(A21,'전적확인_시즌22'!$A$2:$S$100,11,0),0) + iferror(vlookup(A21,'전적확인_시즌23'!$A$2:$S$100,11,0),0) + iferror(vlookup(A21,'전적확인_시즌24'!$A$2:$S$100,11,0),0) + iferror(vlookup(A21,'전적확인_시즌25'!$A$2:$S$100,11,0),0) + iferror(vlookup(A21,'전적확인_시즌26'!$A$2:$S$100,11,0),0) + iferror(vlookup(A21,'전적확인_시즌27'!$A$2:$S$100,11,0),0) + iferror(vlookup(A21,'전적확인_시즌28'!$A$2:$S$100,11,0),0) + iferror(vlookup(A21,'전적확인_시즌29'!$A$2:$S$100,11,0),0) + iferror(vlookup(A21,'전적확인_시즌30'!$A$2:$S$100,11,0),0)</f>
        <v>103</v>
      </c>
      <c r="K21" s="98">
        <f t="shared" si="2"/>
        <v>44.62</v>
      </c>
      <c r="L21" s="95">
        <f t="array" ref="L21">iferror(vlookup(A21,INDIRECT('시즌목록'!$H$2 &amp; "!$A$2:$S$100"),10,0),0)</f>
        <v>0</v>
      </c>
      <c r="M21" s="95">
        <f t="array" ref="M21">iferror(vlookup(A21,INDIRECT('시즌목록'!$H$2 &amp; "!$A$2:$S$100"),11,0),0)</f>
        <v>0</v>
      </c>
      <c r="N21" s="98">
        <f t="shared" si="3"/>
        <v>0</v>
      </c>
      <c r="O21" s="95" t="str">
        <f t="shared" si="4"/>
        <v>아이언</v>
      </c>
      <c r="P21" s="98">
        <f>iferror(vlookup(A21,'전적확인'!$A$2:$S$61,2,0),0)+ iferror(vlookup(A21,'전적확인_베타시즌'!$A$2:$S$100,2,0),0)+iferror(vlookup(A21,'전적확인_시즌1'!$A$2:$S$100,2,0),0)+iferror(vlookup(A21,'전적확인_시즌2'!$A$2:$S$100,2,0),0)+iferror(vlookup(A21,'전적확인_시즌3'!$A$2:$S$100,2,0),0) + iferror(vlookup(A21,'전적확인_시즌4'!$A$2:$S$100,2,0),0) + iferror(vlookup(A21,'전적확인_시즌5'!$A$2:$S$100,2,0),0) + iferror(vlookup(A21,'전적확인_시즌6'!$A$2:$S$100,2,0),0) + iferror(vlookup(A21,'전적확인_시즌7'!$A$2:$S$100,2,0),0) + iferror(vlookup(A21,'전적확인_시즌8'!$A$2:$S$100,2,0),0) + iferror(vlookup(A21,'전적확인_시즌9'!$A$2:$S$100,2,0),0) + iferror(vlookup(A21,'전적확인_시즌10'!$A$2:$S$100,2,0),0) + iferror(vlookup(A21,'전적확인_시즌11'!$A$2:$S$100,2,0),0) + iferror(vlookup(A21,'전적확인_시즌12'!$A$2:$S$100,2,0),0) + iferror(vlookup(A21,'전적확인_시즌13'!$A$2:$S$100,2,0),0) + iferror(vlookup(A21,'전적확인_시즌14'!$A$2:$S$100,2,0),0) + iferror(vlookup(A21,'전적확인_시즌15'!$A$2:$S$100,2,0),0) + iferror(vlookup(A21,'전적확인_시즌16'!$A$2:$S$100,2,0),0) + iferror(vlookup(A21,'전적확인_시즌17'!$A$2:$S$100,2,0),0) + iferror(vlookup(A21,'전적확인_시즌17'!$A$2:$S$100,2,0),0) + iferror(vlookup(A21,'전적확인_시즌18'!$A$2:$S$100,2,0),0) + iferror(vlookup(A21,'전적확인_시즌19'!$A$2:$S$100,2,0),0) + iferror(vlookup(A21,'전적확인_시즌20'!$A$2:$S$100,2,0),0) + iferror(vlookup(A21,'전적확인_시즌21'!$A$2:$S$100,2,0),0) + iferror(vlookup(A21,'전적확인_시즌22'!$A$2:$S$100,2,0),0) + iferror(vlookup(A21,'전적확인_시즌23'!$A$2:$S$100,2,0),0) + iferror(vlookup(A21,'전적확인_시즌24'!$A$2:$S$100,2,0),0) + iferror(vlookup(A21,'전적확인_시즌25'!$A$2:$S$100,2,0),0) + iferror(vlookup(A21,'전적확인_시즌26'!$A$2:$S$100,2,0),0) + iferror(vlookup(A21,'전적확인_시즌27'!$A$2:$S$100,2,0),0) + iferror(vlookup(A21,'전적확인_시즌28'!$A$2:$S$100,2,0),0) + iferror(vlookup(A21,'전적확인_시즌29'!$A$2:$S$100,2,0),0) + iferror(vlookup(A21,'전적확인_시즌30'!$A$2:$S$100,2,0),0)</f>
        <v>0</v>
      </c>
      <c r="Q21" s="98">
        <f>iferror(vlookup(A21,'전적확인'!$A$2:$S$61,3,0),0)+ iferror(vlookup(A21,'전적확인_베타시즌'!$A$2:$S$100,3,0),0)+iferror(vlookup(A21,'전적확인_시즌1'!$A$2:$S$100,3,0),0)+iferror(vlookup(A21,'전적확인_시즌2'!$A$2:$S$100,3,0),0)+iferror(vlookup(A21,'전적확인_시즌3'!$A$2:$S$100,3,0),0) + iferror(vlookup(A21,'전적확인_시즌4'!$A$2:$S$100,3,0),0) + iferror(vlookup(A21,'전적확인_시즌5'!$A$2:$S$100,3,0),0) + iferror(vlookup(A21,'전적확인_시즌6'!$A$2:$S$100,3,0),0) + iferror(vlookup(A21,'전적확인_시즌7'!$A$2:$S$100,3,0),0) + iferror(vlookup(A21,'전적확인_시즌8'!$A$2:$S$100,3,0),0) + iferror(vlookup(A21,'전적확인_시즌9'!$A$2:$S$100,3,0),0) + iferror(vlookup(A21,'전적확인_시즌10'!$A$2:$S$100,3,0),0) + iferror(vlookup(A21,'전적확인_시즌11'!$A$2:$S$100,3,0),0) + iferror(vlookup(A21,'전적확인_시즌12'!$A$2:$S$100,3,0),0) + iferror(vlookup(A21,'전적확인_시즌13'!$A$2:$S$100,3,0),0) + iferror(vlookup(A21,'전적확인_시즌14'!$A$2:$S$100,3,0),0) + iferror(vlookup(A21,'전적확인_시즌15'!$A$2:$S$100,3,0),0) + iferror(vlookup(A21,'전적확인_시즌16'!$A$2:$S$100,3,0),0) + iferror(vlookup(A21,'전적확인_시즌17'!$A$2:$S$100,3,0),0) + iferror(vlookup(A21,'전적확인_시즌17'!$A$2:$S$100,3,0),0) + iferror(vlookup(A21,'전적확인_시즌18'!$A$2:$S$100,3,0),0) + iferror(vlookup(A21,'전적확인_시즌19'!$A$2:$S$100,3,0),0) + iferror(vlookup(A21,'전적확인_시즌20'!$A$2:$S$100,3,0),0) + iferror(vlookup(A21,'전적확인_시즌21'!$A$2:$S$100,3,0),0) + iferror(vlookup(A21,'전적확인_시즌22'!$A$2:$S$100,3,0),0) + iferror(vlookup(A21,'전적확인_시즌23'!$A$2:$S$100,3,0),0) + iferror(vlookup(A21,'전적확인_시즌24'!$A$2:$S$100,3,0),0) + iferror(vlookup(A21,'전적확인_시즌25'!$A$2:$S$100,3,0),0) + iferror(vlookup(A21,'전적확인_시즌26'!$A$2:$S$100,3,0),0) + iferror(vlookup(A21,'전적확인_시즌27'!$A$2:$S$100,3,0),0) + iferror(vlookup(A21,'전적확인_시즌28'!$A$2:$S$100,3,0),0) + iferror(vlookup(A21,'전적확인_시즌29'!$A$2:$S$100,3,0),0) + iferror(vlookup(A21,'전적확인_시즌30'!$A$2:$S$100,3,0),0)</f>
        <v>0</v>
      </c>
      <c r="R21" s="98">
        <f t="shared" si="5"/>
        <v>0</v>
      </c>
      <c r="S21" s="98">
        <f>iferror(vlookup(A21,'전적확인'!$A$2:$S$61,4,0),0) + iferror(vlookup(A21,'전적확인_베타시즌'!$A$2:$S$100,4,0),0)+iferror(vlookup(A21,'전적확인_시즌1'!$A$2:$S$100,4,0),0)+iferror(vlookup(A21,'전적확인_시즌2'!$A$2:$S$100,4,0),0)+iferror(vlookup(A21,'전적확인_시즌3'!$A$2:$S$100,4,0),0) + iferror(vlookup(A21,'전적확인_시즌4'!$A$2:$S$100,4,0),0) + iferror(vlookup(A21,'전적확인_시즌5'!$A$2:$S$100,4,0),0) + iferror(vlookup(A21,'전적확인_시즌6'!$A$2:$S$100,4,0),0) + iferror(vlookup(A21,'전적확인_시즌7'!$A$2:$S$100,4,0),0) + iferror(vlookup(A21,'전적확인_시즌8'!$A$2:$S$100,4,0),0) + iferror(vlookup(A21,'전적확인_시즌9'!$A$2:$S$100,4,0),0) + iferror(vlookup(A21,'전적확인_시즌10'!$A$2:$S$100,4,0),0) + iferror(vlookup(A21,'전적확인_시즌11'!$A$2:$S$100,4,0),0) + iferror(vlookup(A21,'전적확인_시즌12'!$A$2:$S$100,4,0),0) + iferror(vlookup(A21,'전적확인_시즌13'!$A$2:$S$100,4,0),0) + iferror(vlookup(A21,'전적확인_시즌14'!$A$2:$S$100,4,0),0) + iferror(vlookup(A21,'전적확인_시즌15'!$A$2:$S$100,4,0),0) + iferror(vlookup(A21,'전적확인_시즌16'!$A$2:$S$100,4,0),0) + iferror(vlookup(A21,'전적확인_시즌17'!$A$2:$S$100,4,0),0) + iferror(vlookup(A21,'전적확인_시즌17'!$A$2:$S$100,4,0),0) + iferror(vlookup(A21,'전적확인_시즌18'!$A$2:$S$100,4,0),0) + iferror(vlookup(A21,'전적확인_시즌19'!$A$2:$S$100,4,0),0) + iferror(vlookup(A21,'전적확인_시즌20'!$A$2:$S$100,4,0),0) + iferror(vlookup(A21,'전적확인_시즌21'!$A$2:$S$100,4,0),0) + iferror(vlookup(A21,'전적확인_시즌22'!$A$2:$S$100,4,0),0) + iferror(vlookup(A21,'전적확인_시즌23'!$A$2:$S$100,4,0),0) + iferror(vlookup(A21,'전적확인_시즌24'!$A$2:$S$100,4,0),0) + iferror(vlookup(A21,'전적확인_시즌25'!$A$2:$S$100,4,0),0) + iferror(vlookup(A21,'전적확인_시즌26'!$A$2:$S$100,4,0),0) + iferror(vlookup(A21,'전적확인_시즌27'!$A$2:$S$100,4,0),0) + iferror(vlookup(A21,'전적확인_시즌28'!$A$2:$S$100,4,0),0) + iferror(vlookup(A21,'전적확인_시즌29'!$A$2:$S$100,4,0),0) + iferror(vlookup(A21,'전적확인_시즌30'!$A$2:$S$100,4,0),0)</f>
        <v>22</v>
      </c>
      <c r="T21" s="98">
        <f>iferror(vlookup(A21,'전적확인'!$A$2:$S$61,5,0),0) + iferror(vlookup(A21,'전적확인_베타시즌'!$A$2:$S$100,5,0),0)+iferror(vlookup(A21,'전적확인_시즌1'!$A$2:$S$100,5,0),0)+iferror(vlookup(A21,'전적확인_시즌2'!$A$2:$S$100,5,0),0)+iferror(vlookup(A21,'전적확인_시즌3'!$A$2:$S$100,5,0),0) + iferror(vlookup(A21,'전적확인_시즌4'!$A$2:$S$100,5,0),0) + iferror(vlookup(A21,'전적확인_시즌5'!$A$2:$S$100,5,0),0) + iferror(vlookup(A21,'전적확인_시즌6'!$A$2:$S$100,5,0),0) + iferror(vlookup(A21,'전적확인_시즌7'!$A$2:$S$100,5,0),0) + iferror(vlookup(A21,'전적확인_시즌8'!$A$2:$S$100,5,0),0) + iferror(vlookup(A21,'전적확인_시즌9'!$A$2:$S$100,5,0),0) + iferror(vlookup(A21,'전적확인_시즌10'!$A$2:$S$100,5,0),0) + iferror(vlookup(A21,'전적확인_시즌11'!$A$2:$S$100,5,0),0) + iferror(vlookup(A21,'전적확인_시즌12'!$A$2:$S$100,5,0),0) + iferror(vlookup(A21,'전적확인_시즌13'!$A$2:$S$100,5,0),0) + iferror(vlookup(A21,'전적확인_시즌14'!$A$2:$S$100,5,0),0) + iferror(vlookup(A21,'전적확인_시즌15'!$A$2:$S$100,5,0),0) + iferror(vlookup(A21,'전적확인_시즌16'!$A$2:$S$100,5,0),0) + iferror(vlookup(A21,'전적확인_시즌17'!$A$2:$S$100,5,0),0) + iferror(vlookup(A21,'전적확인_시즌17'!$A$2:$S$100,5,0),0) + iferror(vlookup(A21,'전적확인_시즌18'!$A$2:$S$100,5,0),0) + iferror(vlookup(A21,'전적확인_시즌19'!$A$2:$S$100,5,0),0) + iferror(vlookup(A21,'전적확인_시즌20'!$A$2:$S$100,5,0),0) + iferror(vlookup(A21,'전적확인_시즌21'!$A$2:$S$100,5,0),0) + iferror(vlookup(A21,'전적확인_시즌22'!$A$2:$S$100,5,0),0) + iferror(vlookup(A21,'전적확인_시즌23'!$A$2:$S$100,5,0),0) + iferror(vlookup(A21,'전적확인_시즌24'!$A$2:$S$100,5,0),0) + iferror(vlookup(A21,'전적확인_시즌25'!$A$2:$S$100,5,0),0) + iferror(vlookup(A21,'전적확인_시즌26'!$A$2:$S$100,5,0),0) + iferror(vlookup(A21,'전적확인_시즌27'!$A$2:$S$100,5,0),0) + iferror(vlookup(A21,'전적확인_시즌28'!$A$2:$S$100,5,0),0) + iferror(vlookup(A21,'전적확인_시즌29'!$A$2:$S$100,5,0),0) + iferror(vlookup(A21,'전적확인_시즌30'!$A$2:$S$100,5,0),0)</f>
        <v>29</v>
      </c>
      <c r="U21" s="98">
        <f t="shared" si="6"/>
        <v>43.14</v>
      </c>
      <c r="V21" s="98">
        <f>iferror(vlookup(A21,'전적확인'!$A$2:$S$61,6,0),0)+ iferror(vlookup(A21,'전적확인_베타시즌'!$A$2:$S$100,6,0),0)+iferror(vlookup(A21,'전적확인_시즌1'!$A$2:$S$100,6,0),0)+iferror(vlookup(A21,'전적확인_시즌2'!$A$2:$S$100,6,0),0)+iferror(vlookup(A21,'전적확인_시즌3'!$A$2:$S$100,6,0),0) + iferror(vlookup(A21,'전적확인_시즌4'!$A$2:$S$100,6,0),0) + iferror(vlookup(A21,'전적확인_시즌5'!$A$2:$S$100,6,0),0) + iferror(vlookup(A21,'전적확인_시즌6'!$A$2:$S$100,6,0),0) + iferror(vlookup(A21,'전적확인_시즌7'!$A$2:$S$100,6,0),0) + iferror(vlookup(A21,'전적확인_시즌8'!$A$2:$S$100,6,0),0) + iferror(vlookup(A21,'전적확인_시즌9'!$A$2:$S$100,6,0),0) + iferror(vlookup(A21,'전적확인_시즌10'!$A$2:$S$100,6,0),0) + iferror(vlookup(A21,'전적확인_시즌11'!$A$2:$S$100,6,0),0) + iferror(vlookup(A21,'전적확인_시즌12'!$A$2:$S$100,6,0),0) + iferror(vlookup(A21,'전적확인_시즌13'!$A$2:$S$100,6,0),0) + iferror(vlookup(A21,'전적확인_시즌14'!$A$2:$S$100,6,0),0) + iferror(vlookup(A21,'전적확인_시즌15'!$A$2:$S$100,6,0),0) + iferror(vlookup(A21,'전적확인_시즌16'!$A$2:$S$100,6,0),0) + iferror(vlookup(A21,'전적확인_시즌17'!$A$2:$S$100,6,0),0) + iferror(vlookup(A21,'전적확인_시즌17'!$A$2:$S$100,6,0),0) + iferror(vlookup(A21,'전적확인_시즌18'!$A$2:$S$100,6,0),0) + iferror(vlookup(A21,'전적확인_시즌19'!$A$2:$S$100,6,0),0) + iferror(vlookup(A21,'전적확인_시즌20'!$A$2:$S$100,6,0),0) + iferror(vlookup(A21,'전적확인_시즌21'!$A$2:$S$100,6,0),0) + iferror(vlookup(A21,'전적확인_시즌22'!$A$2:$S$100,6,0),0) + iferror(vlookup(A21,'전적확인_시즌23'!$A$2:$S$100,6,0),0) + iferror(vlookup(A21,'전적확인_시즌24'!$A$2:$S$100,6,0),0) + iferror(vlookup(A21,'전적확인_시즌25'!$A$2:$S$100,6,0),0) + iferror(vlookup(A21,'전적확인_시즌26'!$A$2:$S$100,6,0),0) + iferror(vlookup(A21,'전적확인_시즌27'!$A$2:$S$100,6,0),0) + iferror(vlookup(A21,'전적확인_시즌28'!$A$2:$S$100,6,0),0) + iferror(vlookup(A21,'전적확인_시즌29'!$A$2:$S$100,6,0),0) + iferror(vlookup(A21,'전적확인_시즌30'!$A$2:$S$100,6,0),0)</f>
        <v>27</v>
      </c>
      <c r="W21" s="98">
        <f> iferror(vlookup(A21,'전적확인'!$A$2:$S$61,7,0),0)+ iferror(vlookup(A21,'전적확인_베타시즌'!$A$2:$S$100,7,0),0)+iferror(vlookup(A21,'전적확인_시즌1'!$A$2:$S$100,7,0),0)+iferror(vlookup(A21,'전적확인_시즌2'!$A$2:$S$100,7,0),0)+iferror(vlookup(A21,'전적확인_시즌3'!$A$2:$S$100,7,0),0) + iferror(vlookup(A21,'전적확인_시즌4'!$A$2:$S$100,7,0),0) + iferror(vlookup(A21,'전적확인_시즌5'!$A$2:$S$100,7,0),0) + iferror(vlookup(A21,'전적확인_시즌6'!$A$2:$S$100,7,0),0) + iferror(vlookup(A21,'전적확인_시즌7'!$A$2:$S$100,7,0),0) + iferror(vlookup(A21,'전적확인_시즌8'!$A$2:$S$100,7,0),0) + iferror(vlookup(A21,'전적확인_시즌9'!$A$2:$S$100,7,0),0) + iferror(vlookup(A21,'전적확인_시즌10'!$A$2:$S$100,7,0),0) + iferror(vlookup(A21,'전적확인_시즌11'!$A$2:$S$100,7,0),0) + iferror(vlookup(A21,'전적확인_시즌12'!$A$2:$S$100,7,0),0) + iferror(vlookup(A21,'전적확인_시즌13'!$A$2:$S$100,7,0),0) + iferror(vlookup(A21,'전적확인_시즌14'!$A$2:$S$100,7,0),0) + iferror(vlookup(A21,'전적확인_시즌15'!$A$2:$S$100,7,0),0) + iferror(vlookup(A21,'전적확인_시즌16'!$A$2:$S$100,7,0),0) + iferror(vlookup(A21,'전적확인_시즌17'!$A$2:$S$100,7,0),0) + iferror(vlookup(A21,'전적확인_시즌17'!$A$2:$S$100,7,0),0) + iferror(vlookup(A21,'전적확인_시즌18'!$A$2:$S$100,7,0),0) + iferror(vlookup(A21,'전적확인_시즌19'!$A$2:$S$100,7,0),0) + iferror(vlookup(A21,'전적확인_시즌20'!$A$2:$S$100,7,0),0) + iferror(vlookup(A21,'전적확인_시즌21'!$A$2:$S$100,7,0),0) + iferror(vlookup(A21,'전적확인_시즌22'!$A$2:$S$100,7,0),0) + iferror(vlookup(A21,'전적확인_시즌23'!$A$2:$S$100,7,0),0) + iferror(vlookup(A21,'전적확인_시즌24'!$A$2:$S$100,7,0),0) + iferror(vlookup(A21,'전적확인_시즌25'!$A$2:$S$100,7,0),0) + iferror(vlookup(A21,'전적확인_시즌26'!$A$2:$S$100,7,0),0) + iferror(vlookup(A21,'전적확인_시즌27'!$A$2:$S$100,7,0),0) + iferror(vlookup(A21,'전적확인_시즌28'!$A$2:$S$100,7,0),0) + iferror(vlookup(A21,'전적확인_시즌29'!$A$2:$S$100,7,0),0) + iferror(vlookup(A21,'전적확인_시즌30'!$A$2:$S$100,7,0),0)</f>
        <v>31</v>
      </c>
      <c r="X21" s="98">
        <f t="shared" si="7"/>
        <v>46.55</v>
      </c>
      <c r="Y21" s="98">
        <f>iferror(vlookup(A21,'전적확인'!$A$2:$S$61,8,0),0) + iferror(vlookup(A21,'전적확인_베타시즌'!$A$2:$S$100,8,0),0)+iferror(vlookup(A21,'전적확인_시즌1'!$A$2:$S$100,8,0),0)+iferror(vlookup(A21,'전적확인_시즌2'!$A$2:$S$100,8,0),0)+iferror(vlookup(A21,'전적확인_시즌3'!$A$2:$S$100,8,0),0) + iferror(vlookup(A21,'전적확인_시즌4'!$A$2:$S$100,8,0),0) + iferror(vlookup(A21,'전적확인_시즌5'!$A$2:$S$100,8,0),0) + iferror(vlookup(A21,'전적확인_시즌6'!$A$2:$S$100,8,0),0) + iferror(vlookup(A21,'전적확인_시즌7'!$A$2:$S$100,8,0),0) + iferror(vlookup(A21,'전적확인_시즌8'!$A$2:$S$100,8,0),0) + iferror(vlookup(A21,'전적확인_시즌9'!$A$2:$S$100,8,0),0) + iferror(vlookup(A21,'전적확인_시즌10'!$A$2:$S$100,8,0),0) + iferror(vlookup(A21,'전적확인_시즌11'!$A$2:$S$100,8,0),0) + iferror(vlookup(A21,'전적확인_시즌12'!$A$2:$S$100,8,0),0) + iferror(vlookup(A21,'전적확인_시즌13'!$A$2:$S$100,8,0),0) + iferror(vlookup(A21,'전적확인_시즌14'!$A$2:$S$100,8,0),0) + iferror(vlookup(A21,'전적확인_시즌15'!$A$2:$S$100,8,0),0) + iferror(vlookup(A21,'전적확인_시즌16'!$A$2:$S$100,8,0),0) + iferror(vlookup(A21,'전적확인_시즌17'!$A$2:$S$100,8,0),0) + iferror(vlookup(A21,'전적확인_시즌17'!$A$2:$S$100,8,0),0) + iferror(vlookup(A21,'전적확인_시즌18'!$A$2:$S$100,8,0),0) + iferror(vlookup(A21,'전적확인_시즌19'!$A$2:$S$100,8,0),0) + iferror(vlookup(A21,'전적확인_시즌20'!$A$2:$S$100,8,0),0) + iferror(vlookup(A21,'전적확인_시즌21'!$A$2:$S$100,8,0),0) + iferror(vlookup(A21,'전적확인_시즌22'!$A$2:$S$100,8,0),0) + iferror(vlookup(A21,'전적확인_시즌23'!$A$2:$S$100,8,0),0) + iferror(vlookup(A21,'전적확인_시즌24'!$A$2:$S$100,8,0),0) + iferror(vlookup(A21,'전적확인_시즌25'!$A$2:$S$100,8,0),0) + iferror(vlookup(A21,'전적확인_시즌26'!$A$2:$S$100,8,0),0) + iferror(vlookup(A21,'전적확인_시즌27'!$A$2:$S$100,8,0),0) + iferror(vlookup(A21,'전적확인_시즌28'!$A$2:$S$100,8,0),0) + iferror(vlookup(A21,'전적확인_시즌29'!$A$2:$S$100,8,0),0) + iferror(vlookup(A21,'전적확인_시즌30'!$A$2:$S$100,8,0),0)</f>
        <v>34</v>
      </c>
      <c r="Z21" s="98">
        <f>iferror(vlookup(A21,'전적확인'!$A$2:$S$61,9,0),0) + iferror(vlookup(A21,'전적확인_베타시즌'!$A$2:$S$100,9,0),0)+iferror(vlookup(A21,'전적확인_시즌1'!$A$2:$S$100,9,0),0)+iferror(vlookup(A21,'전적확인_시즌2'!$A$2:$S$100,9,0),0)+iferror(vlookup(A21,'전적확인_시즌3'!$A$2:$S$100,9,0),0) + iferror(vlookup(A21,'전적확인_시즌4'!$A$2:$S$100,9,0),0) + iferror(vlookup(A21,'전적확인_시즌5'!$A$2:$S$100,9,0),0) + iferror(vlookup(A21,'전적확인_시즌6'!$A$2:$S$100,9,0),0) + iferror(vlookup(A21,'전적확인_시즌7'!$A$2:$S$100,9,0),0) + iferror(vlookup(A21,'전적확인_시즌8'!$A$2:$S$100,9,0),0) + iferror(vlookup(A21,'전적확인_시즌9'!$A$2:$S$100,9,0),0) + iferror(vlookup(A21,'전적확인_시즌10'!$A$2:$S$100,9,0),0) + iferror(vlookup(A21,'전적확인_시즌11'!$A$2:$S$100,9,0),0) + iferror(vlookup(A21,'전적확인_시즌12'!$A$2:$S$100,9,0),0) + iferror(vlookup(A21,'전적확인_시즌13'!$A$2:$S$100,9,0),0) + iferror(vlookup(A21,'전적확인_시즌14'!$A$2:$S$100,9,0),0) + iferror(vlookup(A21,'전적확인_시즌15'!$A$2:$S$100,9,0),0) + iferror(vlookup(A21,'전적확인_시즌16'!$A$2:$S$100,9,0),0) + iferror(vlookup(A21,'전적확인_시즌17'!$A$2:$S$100,9,0),0) + iferror(vlookup(A21,'전적확인_시즌17'!$A$2:$S$100,9,0),0) + iferror(vlookup(A21,'전적확인_시즌18'!$A$2:$S$100,9,0),0) + iferror(vlookup(A21,'전적확인_시즌19'!$A$2:$S$100,9,0),0) + iferror(vlookup(A21,'전적확인_시즌20'!$A$2:$S$100,9,0),0) + iferror(vlookup(A21,'전적확인_시즌21'!$A$2:$S$100,9,0),0) + iferror(vlookup(A21,'전적확인_시즌22'!$A$2:$S$100,9,0),0) + iferror(vlookup(A21,'전적확인_시즌23'!$A$2:$S$100,9,0),0) + iferror(vlookup(A21,'전적확인_시즌24'!$A$2:$S$100,9,0),0) + iferror(vlookup(A21,'전적확인_시즌25'!$A$2:$S$100,9,0),0) + iferror(vlookup(A21,'전적확인_시즌26'!$A$2:$S$100,9,0),0) + iferror(vlookup(A21,'전적확인_시즌27'!$A$2:$S$100,9,0),0) + iferror(vlookup(A21,'전적확인_시즌28'!$A$2:$S$100,9,0),0) + iferror(vlookup(A21,'전적확인_시즌29'!$A$2:$S$100,9,0),0) + iferror(vlookup(A21,'전적확인_시즌30'!$A$2:$S$100,9,0),0)</f>
        <v>43</v>
      </c>
      <c r="AA21" s="98">
        <f t="shared" si="8"/>
        <v>44.16</v>
      </c>
      <c r="AB21" s="2"/>
      <c r="AC21" s="2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>
      <c r="A22" s="95" t="s">
        <v>9706</v>
      </c>
      <c r="B22" s="95" t="s">
        <v>9707</v>
      </c>
      <c r="C22" s="96" t="s">
        <v>9708</v>
      </c>
      <c r="D22" s="96" t="s">
        <v>9709</v>
      </c>
      <c r="E22" s="96" t="s">
        <v>9710</v>
      </c>
      <c r="F22" s="95" t="s">
        <v>47</v>
      </c>
      <c r="G22" s="95" t="s">
        <v>9689</v>
      </c>
      <c r="H22" s="98">
        <f t="shared" si="1"/>
        <v>146</v>
      </c>
      <c r="I22" s="98">
        <f>iferror(vlookup(A22,'전적확인'!$A$2:$S$61,10,0),0) + iferror(vlookup(A22,'전적확인_베타시즌'!$A$2:$S$100,10,0),0)+iferror(vlookup(A22,'전적확인_시즌1'!$A$2:$S$100,10,0),0)+iferror(vlookup(A22,'전적확인_시즌2'!$A$2:$S$100,10,0),0)+iferror(vlookup(A22,'전적확인_시즌3'!$A$2:$S$100,10,0),0) + iferror(vlookup(A22,'전적확인_시즌4'!$A$2:$S$100,10,0),0) + iferror(vlookup(A22,'전적확인_시즌5'!$A$2:$S$100,10,0),0) + iferror(vlookup(A22,'전적확인_시즌6'!$A$2:$S$100,10,0),0) + iferror(vlookup(A22,'전적확인_시즌7'!$A$2:$S$100,10,0),0) + iferror(vlookup(A22,'전적확인_시즌8'!$A$2:$S$100,10,0),0) + iferror(vlookup(A22,'전적확인_시즌9'!$A$2:$S$100,10,0),0) + iferror(vlookup(A22,'전적확인_시즌10'!$A$2:$S$100,10,0),0) + iferror(vlookup(A22,'전적확인_시즌11'!$A$2:$S$100,10,0),0) + iferror(vlookup(A22,'전적확인_시즌12'!$A$2:$S$100,10,0),0) + iferror(vlookup(A22,'전적확인_시즌13'!$A$2:$S$100,10,0),0) + iferror(vlookup(A22,'전적확인_시즌14'!$A$2:$S$100,10,0),0) + iferror(vlookup(A22,'전적확인_시즌15'!$A$2:$S$100,10,0),0) + iferror(vlookup(A22,'전적확인_시즌16'!$A$2:$S$100,10,0),0) + iferror(vlookup(A22,'전적확인_시즌17'!$A$2:$S$100,10,0),0) + iferror(vlookup(A22,'전적확인_시즌17'!$A$2:$S$100,10,0),0) + iferror(vlookup(A22,'전적확인_시즌18'!$A$2:$S$100,10,0),0) + iferror(vlookup(A22,'전적확인_시즌19'!$A$2:$S$100,10,0),0) + iferror(vlookup(A22,'전적확인_시즌20'!$A$2:$S$100,10,0),0) + iferror(vlookup(A22,'전적확인_시즌21'!$A$2:$S$100,10,0),0) + iferror(vlookup(A22,'전적확인_시즌22'!$A$2:$S$100,10,0),0) + iferror(vlookup(A22,'전적확인_시즌23'!$A$2:$S$100,10,0),0) + iferror(vlookup(A22,'전적확인_시즌24'!$A$2:$S$100,10,0),0) + iferror(vlookup(A22,'전적확인_시즌25'!$A$2:$S$100,10,0),0) + iferror(vlookup(A22,'전적확인_시즌26'!$A$2:$S$100,10,0),0) + iferror(vlookup(A22,'전적확인_시즌27'!$A$2:$S$100,10,0),0) + iferror(vlookup(A22,'전적확인_시즌28'!$A$2:$S$100,10,0),0) + iferror(vlookup(A22,'전적확인_시즌29'!$A$2:$S$100,10,0),0) + iferror(vlookup(A22,'전적확인_시즌30'!$A$2:$S$100,10,0),0)</f>
        <v>65</v>
      </c>
      <c r="J22" s="98">
        <f>iferror(vlookup(A22,'전적확인'!$A$2:$S$61,11,0),0) + iferror(vlookup(A22,'전적확인_베타시즌'!$A$2:$S$100,11,0),0)+iferror(vlookup(A22,'전적확인_시즌1'!$A$2:$S$100,11,0),0)+iferror(vlookup(A22,'전적확인_시즌2'!$A$2:$S$100,11,0),0)+iferror(vlookup(A22,'전적확인_시즌3'!$A$2:$S$100,11,0),0) + iferror(vlookup(A22,'전적확인_시즌4'!$A$2:$S$100,11,0),0) + iferror(vlookup(A22,'전적확인_시즌5'!$A$2:$S$100,11,0),0) + iferror(vlookup(A22,'전적확인_시즌6'!$A$2:$S$100,11,0),0) + iferror(vlookup(A22,'전적확인_시즌7'!$A$2:$S$100,11,0),0) + iferror(vlookup(A22,'전적확인_시즌8'!$A$2:$S$100,11,0),0) + iferror(vlookup(A22,'전적확인_시즌9'!$A$2:$S$100,11,0),0) + iferror(vlookup(A22,'전적확인_시즌10'!$A$2:$S$100,11,0),0) + iferror(vlookup(A22,'전적확인_시즌11'!$A$2:$S$100,11,0),0) + iferror(vlookup(A22,'전적확인_시즌12'!$A$2:$S$100,11,0),0) + iferror(vlookup(A22,'전적확인_시즌13'!$A$2:$S$100,11,0),0) + iferror(vlookup(A22,'전적확인_시즌14'!$A$2:$S$100,11,0),0) + iferror(vlookup(A22,'전적확인_시즌15'!$A$2:$S$100,11,0),0) + iferror(vlookup(A22,'전적확인_시즌16'!$A$2:$S$100,11,0),0) + iferror(vlookup(A22,'전적확인_시즌17'!$A$2:$S$100,11,0),0) + iferror(vlookup(A22,'전적확인_시즌17'!$A$2:$S$100,11,0),0) + iferror(vlookup(A22,'전적확인_시즌18'!$A$2:$S$100,11,0),0) + iferror(vlookup(A22,'전적확인_시즌19'!$A$2:$S$100,11,0),0) + iferror(vlookup(A22,'전적확인_시즌20'!$A$2:$S$100,11,0),0) + iferror(vlookup(A22,'전적확인_시즌21'!$A$2:$S$100,11,0),0) + iferror(vlookup(A22,'전적확인_시즌22'!$A$2:$S$100,11,0),0) + iferror(vlookup(A22,'전적확인_시즌23'!$A$2:$S$100,11,0),0) + iferror(vlookup(A22,'전적확인_시즌24'!$A$2:$S$100,11,0),0) + iferror(vlookup(A22,'전적확인_시즌25'!$A$2:$S$100,11,0),0) + iferror(vlookup(A22,'전적확인_시즌26'!$A$2:$S$100,11,0),0) + iferror(vlookup(A22,'전적확인_시즌27'!$A$2:$S$100,11,0),0) + iferror(vlookup(A22,'전적확인_시즌28'!$A$2:$S$100,11,0),0) + iferror(vlookup(A22,'전적확인_시즌29'!$A$2:$S$100,11,0),0) + iferror(vlookup(A22,'전적확인_시즌30'!$A$2:$S$100,11,0),0)</f>
        <v>81</v>
      </c>
      <c r="K22" s="98">
        <f t="shared" si="2"/>
        <v>44.52</v>
      </c>
      <c r="L22" s="95">
        <f t="array" ref="L22">iferror(vlookup(A22,INDIRECT('시즌목록'!$H$2 &amp; "!$A$2:$S$100"),10,0),0)</f>
        <v>0</v>
      </c>
      <c r="M22" s="95">
        <f t="array" ref="M22">iferror(vlookup(A22,INDIRECT('시즌목록'!$H$2 &amp; "!$A$2:$S$100"),11,0),0)</f>
        <v>0</v>
      </c>
      <c r="N22" s="98">
        <f t="shared" si="3"/>
        <v>0</v>
      </c>
      <c r="O22" s="95" t="str">
        <f t="shared" si="4"/>
        <v>아이언</v>
      </c>
      <c r="P22" s="98">
        <f>iferror(vlookup(A22,'전적확인'!$A$2:$S$61,2,0),0)+ iferror(vlookup(A22,'전적확인_베타시즌'!$A$2:$S$100,2,0),0)+iferror(vlookup(A22,'전적확인_시즌1'!$A$2:$S$100,2,0),0)+iferror(vlookup(A22,'전적확인_시즌2'!$A$2:$S$100,2,0),0)+iferror(vlookup(A22,'전적확인_시즌3'!$A$2:$S$100,2,0),0) + iferror(vlookup(A22,'전적확인_시즌4'!$A$2:$S$100,2,0),0) + iferror(vlookup(A22,'전적확인_시즌5'!$A$2:$S$100,2,0),0) + iferror(vlookup(A22,'전적확인_시즌6'!$A$2:$S$100,2,0),0) + iferror(vlookup(A22,'전적확인_시즌7'!$A$2:$S$100,2,0),0) + iferror(vlookup(A22,'전적확인_시즌8'!$A$2:$S$100,2,0),0) + iferror(vlookup(A22,'전적확인_시즌9'!$A$2:$S$100,2,0),0) + iferror(vlookup(A22,'전적확인_시즌10'!$A$2:$S$100,2,0),0) + iferror(vlookup(A22,'전적확인_시즌11'!$A$2:$S$100,2,0),0) + iferror(vlookup(A22,'전적확인_시즌12'!$A$2:$S$100,2,0),0) + iferror(vlookup(A22,'전적확인_시즌13'!$A$2:$S$100,2,0),0) + iferror(vlookup(A22,'전적확인_시즌14'!$A$2:$S$100,2,0),0) + iferror(vlookup(A22,'전적확인_시즌15'!$A$2:$S$100,2,0),0) + iferror(vlookup(A22,'전적확인_시즌16'!$A$2:$S$100,2,0),0) + iferror(vlookup(A22,'전적확인_시즌17'!$A$2:$S$100,2,0),0) + iferror(vlookup(A22,'전적확인_시즌17'!$A$2:$S$100,2,0),0) + iferror(vlookup(A22,'전적확인_시즌18'!$A$2:$S$100,2,0),0) + iferror(vlookup(A22,'전적확인_시즌19'!$A$2:$S$100,2,0),0) + iferror(vlookup(A22,'전적확인_시즌20'!$A$2:$S$100,2,0),0) + iferror(vlookup(A22,'전적확인_시즌21'!$A$2:$S$100,2,0),0) + iferror(vlookup(A22,'전적확인_시즌22'!$A$2:$S$100,2,0),0) + iferror(vlookup(A22,'전적확인_시즌23'!$A$2:$S$100,2,0),0) + iferror(vlookup(A22,'전적확인_시즌24'!$A$2:$S$100,2,0),0) + iferror(vlookup(A22,'전적확인_시즌25'!$A$2:$S$100,2,0),0) + iferror(vlookup(A22,'전적확인_시즌26'!$A$2:$S$100,2,0),0) + iferror(vlookup(A22,'전적확인_시즌27'!$A$2:$S$100,2,0),0) + iferror(vlookup(A22,'전적확인_시즌28'!$A$2:$S$100,2,0),0) + iferror(vlookup(A22,'전적확인_시즌29'!$A$2:$S$100,2,0),0) + iferror(vlookup(A22,'전적확인_시즌30'!$A$2:$S$100,2,0),0)</f>
        <v>21</v>
      </c>
      <c r="Q22" s="98">
        <f>iferror(vlookup(A22,'전적확인'!$A$2:$S$61,3,0),0)+ iferror(vlookup(A22,'전적확인_베타시즌'!$A$2:$S$100,3,0),0)+iferror(vlookup(A22,'전적확인_시즌1'!$A$2:$S$100,3,0),0)+iferror(vlookup(A22,'전적확인_시즌2'!$A$2:$S$100,3,0),0)+iferror(vlookup(A22,'전적확인_시즌3'!$A$2:$S$100,3,0),0) + iferror(vlookup(A22,'전적확인_시즌4'!$A$2:$S$100,3,0),0) + iferror(vlookup(A22,'전적확인_시즌5'!$A$2:$S$100,3,0),0) + iferror(vlookup(A22,'전적확인_시즌6'!$A$2:$S$100,3,0),0) + iferror(vlookup(A22,'전적확인_시즌7'!$A$2:$S$100,3,0),0) + iferror(vlookup(A22,'전적확인_시즌8'!$A$2:$S$100,3,0),0) + iferror(vlookup(A22,'전적확인_시즌9'!$A$2:$S$100,3,0),0) + iferror(vlookup(A22,'전적확인_시즌10'!$A$2:$S$100,3,0),0) + iferror(vlookup(A22,'전적확인_시즌11'!$A$2:$S$100,3,0),0) + iferror(vlookup(A22,'전적확인_시즌12'!$A$2:$S$100,3,0),0) + iferror(vlookup(A22,'전적확인_시즌13'!$A$2:$S$100,3,0),0) + iferror(vlookup(A22,'전적확인_시즌14'!$A$2:$S$100,3,0),0) + iferror(vlookup(A22,'전적확인_시즌15'!$A$2:$S$100,3,0),0) + iferror(vlookup(A22,'전적확인_시즌16'!$A$2:$S$100,3,0),0) + iferror(vlookup(A22,'전적확인_시즌17'!$A$2:$S$100,3,0),0) + iferror(vlookup(A22,'전적확인_시즌17'!$A$2:$S$100,3,0),0) + iferror(vlookup(A22,'전적확인_시즌18'!$A$2:$S$100,3,0),0) + iferror(vlookup(A22,'전적확인_시즌19'!$A$2:$S$100,3,0),0) + iferror(vlookup(A22,'전적확인_시즌20'!$A$2:$S$100,3,0),0) + iferror(vlookup(A22,'전적확인_시즌21'!$A$2:$S$100,3,0),0) + iferror(vlookup(A22,'전적확인_시즌22'!$A$2:$S$100,3,0),0) + iferror(vlookup(A22,'전적확인_시즌23'!$A$2:$S$100,3,0),0) + iferror(vlookup(A22,'전적확인_시즌24'!$A$2:$S$100,3,0),0) + iferror(vlookup(A22,'전적확인_시즌25'!$A$2:$S$100,3,0),0) + iferror(vlookup(A22,'전적확인_시즌26'!$A$2:$S$100,3,0),0) + iferror(vlookup(A22,'전적확인_시즌27'!$A$2:$S$100,3,0),0) + iferror(vlookup(A22,'전적확인_시즌28'!$A$2:$S$100,3,0),0) + iferror(vlookup(A22,'전적확인_시즌29'!$A$2:$S$100,3,0),0) + iferror(vlookup(A22,'전적확인_시즌30'!$A$2:$S$100,3,0),0)</f>
        <v>21</v>
      </c>
      <c r="R22" s="98">
        <f t="shared" si="5"/>
        <v>50</v>
      </c>
      <c r="S22" s="98">
        <f>iferror(vlookup(A22,'전적확인'!$A$2:$S$61,4,0),0) + iferror(vlookup(A22,'전적확인_베타시즌'!$A$2:$S$100,4,0),0)+iferror(vlookup(A22,'전적확인_시즌1'!$A$2:$S$100,4,0),0)+iferror(vlookup(A22,'전적확인_시즌2'!$A$2:$S$100,4,0),0)+iferror(vlookup(A22,'전적확인_시즌3'!$A$2:$S$100,4,0),0) + iferror(vlookup(A22,'전적확인_시즌4'!$A$2:$S$100,4,0),0) + iferror(vlookup(A22,'전적확인_시즌5'!$A$2:$S$100,4,0),0) + iferror(vlookup(A22,'전적확인_시즌6'!$A$2:$S$100,4,0),0) + iferror(vlookup(A22,'전적확인_시즌7'!$A$2:$S$100,4,0),0) + iferror(vlookup(A22,'전적확인_시즌8'!$A$2:$S$100,4,0),0) + iferror(vlookup(A22,'전적확인_시즌9'!$A$2:$S$100,4,0),0) + iferror(vlookup(A22,'전적확인_시즌10'!$A$2:$S$100,4,0),0) + iferror(vlookup(A22,'전적확인_시즌11'!$A$2:$S$100,4,0),0) + iferror(vlookup(A22,'전적확인_시즌12'!$A$2:$S$100,4,0),0) + iferror(vlookup(A22,'전적확인_시즌13'!$A$2:$S$100,4,0),0) + iferror(vlookup(A22,'전적확인_시즌14'!$A$2:$S$100,4,0),0) + iferror(vlookup(A22,'전적확인_시즌15'!$A$2:$S$100,4,0),0) + iferror(vlookup(A22,'전적확인_시즌16'!$A$2:$S$100,4,0),0) + iferror(vlookup(A22,'전적확인_시즌17'!$A$2:$S$100,4,0),0) + iferror(vlookup(A22,'전적확인_시즌17'!$A$2:$S$100,4,0),0) + iferror(vlookup(A22,'전적확인_시즌18'!$A$2:$S$100,4,0),0) + iferror(vlookup(A22,'전적확인_시즌19'!$A$2:$S$100,4,0),0) + iferror(vlookup(A22,'전적확인_시즌20'!$A$2:$S$100,4,0),0) + iferror(vlookup(A22,'전적확인_시즌21'!$A$2:$S$100,4,0),0) + iferror(vlookup(A22,'전적확인_시즌22'!$A$2:$S$100,4,0),0) + iferror(vlookup(A22,'전적확인_시즌23'!$A$2:$S$100,4,0),0) + iferror(vlookup(A22,'전적확인_시즌24'!$A$2:$S$100,4,0),0) + iferror(vlookup(A22,'전적확인_시즌25'!$A$2:$S$100,4,0),0) + iferror(vlookup(A22,'전적확인_시즌26'!$A$2:$S$100,4,0),0) + iferror(vlookup(A22,'전적확인_시즌27'!$A$2:$S$100,4,0),0) + iferror(vlookup(A22,'전적확인_시즌28'!$A$2:$S$100,4,0),0) + iferror(vlookup(A22,'전적확인_시즌29'!$A$2:$S$100,4,0),0) + iferror(vlookup(A22,'전적확인_시즌30'!$A$2:$S$100,4,0),0)</f>
        <v>15</v>
      </c>
      <c r="T22" s="98">
        <f>iferror(vlookup(A22,'전적확인'!$A$2:$S$61,5,0),0) + iferror(vlookup(A22,'전적확인_베타시즌'!$A$2:$S$100,5,0),0)+iferror(vlookup(A22,'전적확인_시즌1'!$A$2:$S$100,5,0),0)+iferror(vlookup(A22,'전적확인_시즌2'!$A$2:$S$100,5,0),0)+iferror(vlookup(A22,'전적확인_시즌3'!$A$2:$S$100,5,0),0) + iferror(vlookup(A22,'전적확인_시즌4'!$A$2:$S$100,5,0),0) + iferror(vlookup(A22,'전적확인_시즌5'!$A$2:$S$100,5,0),0) + iferror(vlookup(A22,'전적확인_시즌6'!$A$2:$S$100,5,0),0) + iferror(vlookup(A22,'전적확인_시즌7'!$A$2:$S$100,5,0),0) + iferror(vlookup(A22,'전적확인_시즌8'!$A$2:$S$100,5,0),0) + iferror(vlookup(A22,'전적확인_시즌9'!$A$2:$S$100,5,0),0) + iferror(vlookup(A22,'전적확인_시즌10'!$A$2:$S$100,5,0),0) + iferror(vlookup(A22,'전적확인_시즌11'!$A$2:$S$100,5,0),0) + iferror(vlookup(A22,'전적확인_시즌12'!$A$2:$S$100,5,0),0) + iferror(vlookup(A22,'전적확인_시즌13'!$A$2:$S$100,5,0),0) + iferror(vlookup(A22,'전적확인_시즌14'!$A$2:$S$100,5,0),0) + iferror(vlookup(A22,'전적확인_시즌15'!$A$2:$S$100,5,0),0) + iferror(vlookup(A22,'전적확인_시즌16'!$A$2:$S$100,5,0),0) + iferror(vlookup(A22,'전적확인_시즌17'!$A$2:$S$100,5,0),0) + iferror(vlookup(A22,'전적확인_시즌17'!$A$2:$S$100,5,0),0) + iferror(vlookup(A22,'전적확인_시즌18'!$A$2:$S$100,5,0),0) + iferror(vlookup(A22,'전적확인_시즌19'!$A$2:$S$100,5,0),0) + iferror(vlookup(A22,'전적확인_시즌20'!$A$2:$S$100,5,0),0) + iferror(vlookup(A22,'전적확인_시즌21'!$A$2:$S$100,5,0),0) + iferror(vlookup(A22,'전적확인_시즌22'!$A$2:$S$100,5,0),0) + iferror(vlookup(A22,'전적확인_시즌23'!$A$2:$S$100,5,0),0) + iferror(vlookup(A22,'전적확인_시즌24'!$A$2:$S$100,5,0),0) + iferror(vlookup(A22,'전적확인_시즌25'!$A$2:$S$100,5,0),0) + iferror(vlookup(A22,'전적확인_시즌26'!$A$2:$S$100,5,0),0) + iferror(vlookup(A22,'전적확인_시즌27'!$A$2:$S$100,5,0),0) + iferror(vlookup(A22,'전적확인_시즌28'!$A$2:$S$100,5,0),0) + iferror(vlookup(A22,'전적확인_시즌29'!$A$2:$S$100,5,0),0) + iferror(vlookup(A22,'전적확인_시즌30'!$A$2:$S$100,5,0),0)</f>
        <v>17</v>
      </c>
      <c r="U22" s="98">
        <f t="shared" si="6"/>
        <v>46.88</v>
      </c>
      <c r="V22" s="98">
        <f>iferror(vlookup(A22,'전적확인'!$A$2:$S$61,6,0),0)+ iferror(vlookup(A22,'전적확인_베타시즌'!$A$2:$S$100,6,0),0)+iferror(vlookup(A22,'전적확인_시즌1'!$A$2:$S$100,6,0),0)+iferror(vlookup(A22,'전적확인_시즌2'!$A$2:$S$100,6,0),0)+iferror(vlookup(A22,'전적확인_시즌3'!$A$2:$S$100,6,0),0) + iferror(vlookup(A22,'전적확인_시즌4'!$A$2:$S$100,6,0),0) + iferror(vlookup(A22,'전적확인_시즌5'!$A$2:$S$100,6,0),0) + iferror(vlookup(A22,'전적확인_시즌6'!$A$2:$S$100,6,0),0) + iferror(vlookup(A22,'전적확인_시즌7'!$A$2:$S$100,6,0),0) + iferror(vlookup(A22,'전적확인_시즌8'!$A$2:$S$100,6,0),0) + iferror(vlookup(A22,'전적확인_시즌9'!$A$2:$S$100,6,0),0) + iferror(vlookup(A22,'전적확인_시즌10'!$A$2:$S$100,6,0),0) + iferror(vlookup(A22,'전적확인_시즌11'!$A$2:$S$100,6,0),0) + iferror(vlookup(A22,'전적확인_시즌12'!$A$2:$S$100,6,0),0) + iferror(vlookup(A22,'전적확인_시즌13'!$A$2:$S$100,6,0),0) + iferror(vlookup(A22,'전적확인_시즌14'!$A$2:$S$100,6,0),0) + iferror(vlookup(A22,'전적확인_시즌15'!$A$2:$S$100,6,0),0) + iferror(vlookup(A22,'전적확인_시즌16'!$A$2:$S$100,6,0),0) + iferror(vlookup(A22,'전적확인_시즌17'!$A$2:$S$100,6,0),0) + iferror(vlookup(A22,'전적확인_시즌17'!$A$2:$S$100,6,0),0) + iferror(vlookup(A22,'전적확인_시즌18'!$A$2:$S$100,6,0),0) + iferror(vlookup(A22,'전적확인_시즌19'!$A$2:$S$100,6,0),0) + iferror(vlookup(A22,'전적확인_시즌20'!$A$2:$S$100,6,0),0) + iferror(vlookup(A22,'전적확인_시즌21'!$A$2:$S$100,6,0),0) + iferror(vlookup(A22,'전적확인_시즌22'!$A$2:$S$100,6,0),0) + iferror(vlookup(A22,'전적확인_시즌23'!$A$2:$S$100,6,0),0) + iferror(vlookup(A22,'전적확인_시즌24'!$A$2:$S$100,6,0),0) + iferror(vlookup(A22,'전적확인_시즌25'!$A$2:$S$100,6,0),0) + iferror(vlookup(A22,'전적확인_시즌26'!$A$2:$S$100,6,0),0) + iferror(vlookup(A22,'전적확인_시즌27'!$A$2:$S$100,6,0),0) + iferror(vlookup(A22,'전적확인_시즌28'!$A$2:$S$100,6,0),0) + iferror(vlookup(A22,'전적확인_시즌29'!$A$2:$S$100,6,0),0) + iferror(vlookup(A22,'전적확인_시즌30'!$A$2:$S$100,6,0),0)</f>
        <v>10</v>
      </c>
      <c r="W22" s="98">
        <f> iferror(vlookup(A22,'전적확인'!$A$2:$S$61,7,0),0)+ iferror(vlookup(A22,'전적확인_베타시즌'!$A$2:$S$100,7,0),0)+iferror(vlookup(A22,'전적확인_시즌1'!$A$2:$S$100,7,0),0)+iferror(vlookup(A22,'전적확인_시즌2'!$A$2:$S$100,7,0),0)+iferror(vlookup(A22,'전적확인_시즌3'!$A$2:$S$100,7,0),0) + iferror(vlookup(A22,'전적확인_시즌4'!$A$2:$S$100,7,0),0) + iferror(vlookup(A22,'전적확인_시즌5'!$A$2:$S$100,7,0),0) + iferror(vlookup(A22,'전적확인_시즌6'!$A$2:$S$100,7,0),0) + iferror(vlookup(A22,'전적확인_시즌7'!$A$2:$S$100,7,0),0) + iferror(vlookup(A22,'전적확인_시즌8'!$A$2:$S$100,7,0),0) + iferror(vlookup(A22,'전적확인_시즌9'!$A$2:$S$100,7,0),0) + iferror(vlookup(A22,'전적확인_시즌10'!$A$2:$S$100,7,0),0) + iferror(vlookup(A22,'전적확인_시즌11'!$A$2:$S$100,7,0),0) + iferror(vlookup(A22,'전적확인_시즌12'!$A$2:$S$100,7,0),0) + iferror(vlookup(A22,'전적확인_시즌13'!$A$2:$S$100,7,0),0) + iferror(vlookup(A22,'전적확인_시즌14'!$A$2:$S$100,7,0),0) + iferror(vlookup(A22,'전적확인_시즌15'!$A$2:$S$100,7,0),0) + iferror(vlookup(A22,'전적확인_시즌16'!$A$2:$S$100,7,0),0) + iferror(vlookup(A22,'전적확인_시즌17'!$A$2:$S$100,7,0),0) + iferror(vlookup(A22,'전적확인_시즌17'!$A$2:$S$100,7,0),0) + iferror(vlookup(A22,'전적확인_시즌18'!$A$2:$S$100,7,0),0) + iferror(vlookup(A22,'전적확인_시즌19'!$A$2:$S$100,7,0),0) + iferror(vlookup(A22,'전적확인_시즌20'!$A$2:$S$100,7,0),0) + iferror(vlookup(A22,'전적확인_시즌21'!$A$2:$S$100,7,0),0) + iferror(vlookup(A22,'전적확인_시즌22'!$A$2:$S$100,7,0),0) + iferror(vlookup(A22,'전적확인_시즌23'!$A$2:$S$100,7,0),0) + iferror(vlookup(A22,'전적확인_시즌24'!$A$2:$S$100,7,0),0) + iferror(vlookup(A22,'전적확인_시즌25'!$A$2:$S$100,7,0),0) + iferror(vlookup(A22,'전적확인_시즌26'!$A$2:$S$100,7,0),0) + iferror(vlookup(A22,'전적확인_시즌27'!$A$2:$S$100,7,0),0) + iferror(vlookup(A22,'전적확인_시즌28'!$A$2:$S$100,7,0),0) + iferror(vlookup(A22,'전적확인_시즌29'!$A$2:$S$100,7,0),0) + iferror(vlookup(A22,'전적확인_시즌30'!$A$2:$S$100,7,0),0)</f>
        <v>21</v>
      </c>
      <c r="X22" s="98">
        <f t="shared" si="7"/>
        <v>32.26</v>
      </c>
      <c r="Y22" s="98">
        <f>iferror(vlookup(A22,'전적확인'!$A$2:$S$61,8,0),0) + iferror(vlookup(A22,'전적확인_베타시즌'!$A$2:$S$100,8,0),0)+iferror(vlookup(A22,'전적확인_시즌1'!$A$2:$S$100,8,0),0)+iferror(vlookup(A22,'전적확인_시즌2'!$A$2:$S$100,8,0),0)+iferror(vlookup(A22,'전적확인_시즌3'!$A$2:$S$100,8,0),0) + iferror(vlookup(A22,'전적확인_시즌4'!$A$2:$S$100,8,0),0) + iferror(vlookup(A22,'전적확인_시즌5'!$A$2:$S$100,8,0),0) + iferror(vlookup(A22,'전적확인_시즌6'!$A$2:$S$100,8,0),0) + iferror(vlookup(A22,'전적확인_시즌7'!$A$2:$S$100,8,0),0) + iferror(vlookup(A22,'전적확인_시즌8'!$A$2:$S$100,8,0),0) + iferror(vlookup(A22,'전적확인_시즌9'!$A$2:$S$100,8,0),0) + iferror(vlookup(A22,'전적확인_시즌10'!$A$2:$S$100,8,0),0) + iferror(vlookup(A22,'전적확인_시즌11'!$A$2:$S$100,8,0),0) + iferror(vlookup(A22,'전적확인_시즌12'!$A$2:$S$100,8,0),0) + iferror(vlookup(A22,'전적확인_시즌13'!$A$2:$S$100,8,0),0) + iferror(vlookup(A22,'전적확인_시즌14'!$A$2:$S$100,8,0),0) + iferror(vlookup(A22,'전적확인_시즌15'!$A$2:$S$100,8,0),0) + iferror(vlookup(A22,'전적확인_시즌16'!$A$2:$S$100,8,0),0) + iferror(vlookup(A22,'전적확인_시즌17'!$A$2:$S$100,8,0),0) + iferror(vlookup(A22,'전적확인_시즌17'!$A$2:$S$100,8,0),0) + iferror(vlookup(A22,'전적확인_시즌18'!$A$2:$S$100,8,0),0) + iferror(vlookup(A22,'전적확인_시즌19'!$A$2:$S$100,8,0),0) + iferror(vlookup(A22,'전적확인_시즌20'!$A$2:$S$100,8,0),0) + iferror(vlookup(A22,'전적확인_시즌21'!$A$2:$S$100,8,0),0) + iferror(vlookup(A22,'전적확인_시즌22'!$A$2:$S$100,8,0),0) + iferror(vlookup(A22,'전적확인_시즌23'!$A$2:$S$100,8,0),0) + iferror(vlookup(A22,'전적확인_시즌24'!$A$2:$S$100,8,0),0) + iferror(vlookup(A22,'전적확인_시즌25'!$A$2:$S$100,8,0),0) + iferror(vlookup(A22,'전적확인_시즌26'!$A$2:$S$100,8,0),0) + iferror(vlookup(A22,'전적확인_시즌27'!$A$2:$S$100,8,0),0) + iferror(vlookup(A22,'전적확인_시즌28'!$A$2:$S$100,8,0),0) + iferror(vlookup(A22,'전적확인_시즌29'!$A$2:$S$100,8,0),0) + iferror(vlookup(A22,'전적확인_시즌30'!$A$2:$S$100,8,0),0)</f>
        <v>19</v>
      </c>
      <c r="Z22" s="98">
        <f>iferror(vlookup(A22,'전적확인'!$A$2:$S$61,9,0),0) + iferror(vlookup(A22,'전적확인_베타시즌'!$A$2:$S$100,9,0),0)+iferror(vlookup(A22,'전적확인_시즌1'!$A$2:$S$100,9,0),0)+iferror(vlookup(A22,'전적확인_시즌2'!$A$2:$S$100,9,0),0)+iferror(vlookup(A22,'전적확인_시즌3'!$A$2:$S$100,9,0),0) + iferror(vlookup(A22,'전적확인_시즌4'!$A$2:$S$100,9,0),0) + iferror(vlookup(A22,'전적확인_시즌5'!$A$2:$S$100,9,0),0) + iferror(vlookup(A22,'전적확인_시즌6'!$A$2:$S$100,9,0),0) + iferror(vlookup(A22,'전적확인_시즌7'!$A$2:$S$100,9,0),0) + iferror(vlookup(A22,'전적확인_시즌8'!$A$2:$S$100,9,0),0) + iferror(vlookup(A22,'전적확인_시즌9'!$A$2:$S$100,9,0),0) + iferror(vlookup(A22,'전적확인_시즌10'!$A$2:$S$100,9,0),0) + iferror(vlookup(A22,'전적확인_시즌11'!$A$2:$S$100,9,0),0) + iferror(vlookup(A22,'전적확인_시즌12'!$A$2:$S$100,9,0),0) + iferror(vlookup(A22,'전적확인_시즌13'!$A$2:$S$100,9,0),0) + iferror(vlookup(A22,'전적확인_시즌14'!$A$2:$S$100,9,0),0) + iferror(vlookup(A22,'전적확인_시즌15'!$A$2:$S$100,9,0),0) + iferror(vlookup(A22,'전적확인_시즌16'!$A$2:$S$100,9,0),0) + iferror(vlookup(A22,'전적확인_시즌17'!$A$2:$S$100,9,0),0) + iferror(vlookup(A22,'전적확인_시즌17'!$A$2:$S$100,9,0),0) + iferror(vlookup(A22,'전적확인_시즌18'!$A$2:$S$100,9,0),0) + iferror(vlookup(A22,'전적확인_시즌19'!$A$2:$S$100,9,0),0) + iferror(vlookup(A22,'전적확인_시즌20'!$A$2:$S$100,9,0),0) + iferror(vlookup(A22,'전적확인_시즌21'!$A$2:$S$100,9,0),0) + iferror(vlookup(A22,'전적확인_시즌22'!$A$2:$S$100,9,0),0) + iferror(vlookup(A22,'전적확인_시즌23'!$A$2:$S$100,9,0),0) + iferror(vlookup(A22,'전적확인_시즌24'!$A$2:$S$100,9,0),0) + iferror(vlookup(A22,'전적확인_시즌25'!$A$2:$S$100,9,0),0) + iferror(vlookup(A22,'전적확인_시즌26'!$A$2:$S$100,9,0),0) + iferror(vlookup(A22,'전적확인_시즌27'!$A$2:$S$100,9,0),0) + iferror(vlookup(A22,'전적확인_시즌28'!$A$2:$S$100,9,0),0) + iferror(vlookup(A22,'전적확인_시즌29'!$A$2:$S$100,9,0),0) + iferror(vlookup(A22,'전적확인_시즌30'!$A$2:$S$100,9,0),0)</f>
        <v>22</v>
      </c>
      <c r="AA22" s="98">
        <f t="shared" si="8"/>
        <v>46.34</v>
      </c>
      <c r="AB22" s="2"/>
      <c r="AC22" s="2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>
      <c r="A23" s="95" t="s">
        <v>9711</v>
      </c>
      <c r="B23" s="95" t="s">
        <v>9712</v>
      </c>
      <c r="C23" s="95" t="s">
        <v>9713</v>
      </c>
      <c r="D23" s="95" t="s">
        <v>9667</v>
      </c>
      <c r="E23" s="95" t="s">
        <v>9714</v>
      </c>
      <c r="F23" s="3"/>
      <c r="G23" s="3"/>
      <c r="H23" s="98">
        <f t="shared" si="1"/>
        <v>378</v>
      </c>
      <c r="I23" s="98">
        <f>iferror(vlookup(A23,'전적확인'!$A$2:$S$61,10,0),0) + iferror(vlookup(A23,'전적확인_베타시즌'!$A$2:$S$100,10,0),0)+iferror(vlookup(A23,'전적확인_시즌1'!$A$2:$S$100,10,0),0)+iferror(vlookup(A23,'전적확인_시즌2'!$A$2:$S$100,10,0),0)+iferror(vlookup(A23,'전적확인_시즌3'!$A$2:$S$100,10,0),0) + iferror(vlookup(A23,'전적확인_시즌4'!$A$2:$S$100,10,0),0) + iferror(vlookup(A23,'전적확인_시즌5'!$A$2:$S$100,10,0),0) + iferror(vlookup(A23,'전적확인_시즌6'!$A$2:$S$100,10,0),0) + iferror(vlookup(A23,'전적확인_시즌7'!$A$2:$S$100,10,0),0) + iferror(vlookup(A23,'전적확인_시즌8'!$A$2:$S$100,10,0),0) + iferror(vlookup(A23,'전적확인_시즌9'!$A$2:$S$100,10,0),0) + iferror(vlookup(A23,'전적확인_시즌10'!$A$2:$S$100,10,0),0) + iferror(vlookup(A23,'전적확인_시즌11'!$A$2:$S$100,10,0),0) + iferror(vlookup(A23,'전적확인_시즌12'!$A$2:$S$100,10,0),0) + iferror(vlookup(A23,'전적확인_시즌13'!$A$2:$S$100,10,0),0) + iferror(vlookup(A23,'전적확인_시즌14'!$A$2:$S$100,10,0),0) + iferror(vlookup(A23,'전적확인_시즌15'!$A$2:$S$100,10,0),0) + iferror(vlookup(A23,'전적확인_시즌16'!$A$2:$S$100,10,0),0) + iferror(vlookup(A23,'전적확인_시즌17'!$A$2:$S$100,10,0),0) + iferror(vlookup(A23,'전적확인_시즌17'!$A$2:$S$100,10,0),0) + iferror(vlookup(A23,'전적확인_시즌18'!$A$2:$S$100,10,0),0) + iferror(vlookup(A23,'전적확인_시즌19'!$A$2:$S$100,10,0),0) + iferror(vlookup(A23,'전적확인_시즌20'!$A$2:$S$100,10,0),0) + iferror(vlookup(A23,'전적확인_시즌21'!$A$2:$S$100,10,0),0) + iferror(vlookup(A23,'전적확인_시즌22'!$A$2:$S$100,10,0),0) + iferror(vlookup(A23,'전적확인_시즌23'!$A$2:$S$100,10,0),0) + iferror(vlookup(A23,'전적확인_시즌24'!$A$2:$S$100,10,0),0) + iferror(vlookup(A23,'전적확인_시즌25'!$A$2:$S$100,10,0),0) + iferror(vlookup(A23,'전적확인_시즌26'!$A$2:$S$100,10,0),0) + iferror(vlookup(A23,'전적확인_시즌27'!$A$2:$S$100,10,0),0) + iferror(vlookup(A23,'전적확인_시즌28'!$A$2:$S$100,10,0),0) + iferror(vlookup(A23,'전적확인_시즌29'!$A$2:$S$100,10,0),0) + iferror(vlookup(A23,'전적확인_시즌30'!$A$2:$S$100,10,0),0)</f>
        <v>166</v>
      </c>
      <c r="J23" s="98">
        <f>iferror(vlookup(A23,'전적확인'!$A$2:$S$61,11,0),0) + iferror(vlookup(A23,'전적확인_베타시즌'!$A$2:$S$100,11,0),0)+iferror(vlookup(A23,'전적확인_시즌1'!$A$2:$S$100,11,0),0)+iferror(vlookup(A23,'전적확인_시즌2'!$A$2:$S$100,11,0),0)+iferror(vlookup(A23,'전적확인_시즌3'!$A$2:$S$100,11,0),0) + iferror(vlookup(A23,'전적확인_시즌4'!$A$2:$S$100,11,0),0) + iferror(vlookup(A23,'전적확인_시즌5'!$A$2:$S$100,11,0),0) + iferror(vlookup(A23,'전적확인_시즌6'!$A$2:$S$100,11,0),0) + iferror(vlookup(A23,'전적확인_시즌7'!$A$2:$S$100,11,0),0) + iferror(vlookup(A23,'전적확인_시즌8'!$A$2:$S$100,11,0),0) + iferror(vlookup(A23,'전적확인_시즌9'!$A$2:$S$100,11,0),0) + iferror(vlookup(A23,'전적확인_시즌10'!$A$2:$S$100,11,0),0) + iferror(vlookup(A23,'전적확인_시즌11'!$A$2:$S$100,11,0),0) + iferror(vlookup(A23,'전적확인_시즌12'!$A$2:$S$100,11,0),0) + iferror(vlookup(A23,'전적확인_시즌13'!$A$2:$S$100,11,0),0) + iferror(vlookup(A23,'전적확인_시즌14'!$A$2:$S$100,11,0),0) + iferror(vlookup(A23,'전적확인_시즌15'!$A$2:$S$100,11,0),0) + iferror(vlookup(A23,'전적확인_시즌16'!$A$2:$S$100,11,0),0) + iferror(vlookup(A23,'전적확인_시즌17'!$A$2:$S$100,11,0),0) + iferror(vlookup(A23,'전적확인_시즌17'!$A$2:$S$100,11,0),0) + iferror(vlookup(A23,'전적확인_시즌18'!$A$2:$S$100,11,0),0) + iferror(vlookup(A23,'전적확인_시즌19'!$A$2:$S$100,11,0),0) + iferror(vlookup(A23,'전적확인_시즌20'!$A$2:$S$100,11,0),0) + iferror(vlookup(A23,'전적확인_시즌21'!$A$2:$S$100,11,0),0) + iferror(vlookup(A23,'전적확인_시즌22'!$A$2:$S$100,11,0),0) + iferror(vlookup(A23,'전적확인_시즌23'!$A$2:$S$100,11,0),0) + iferror(vlookup(A23,'전적확인_시즌24'!$A$2:$S$100,11,0),0) + iferror(vlookup(A23,'전적확인_시즌25'!$A$2:$S$100,11,0),0) + iferror(vlookup(A23,'전적확인_시즌26'!$A$2:$S$100,11,0),0) + iferror(vlookup(A23,'전적확인_시즌27'!$A$2:$S$100,11,0),0) + iferror(vlookup(A23,'전적확인_시즌28'!$A$2:$S$100,11,0),0) + iferror(vlookup(A23,'전적확인_시즌29'!$A$2:$S$100,11,0),0) + iferror(vlookup(A23,'전적확인_시즌30'!$A$2:$S$100,11,0),0)</f>
        <v>212</v>
      </c>
      <c r="K23" s="98">
        <f t="shared" si="2"/>
        <v>43.92</v>
      </c>
      <c r="L23" s="95">
        <f t="array" ref="L23">iferror(vlookup(A23,INDIRECT('시즌목록'!$H$2 &amp; "!$A$2:$S$100"),10,0),0)</f>
        <v>0</v>
      </c>
      <c r="M23" s="95">
        <f t="array" ref="M23">iferror(vlookup(A23,INDIRECT('시즌목록'!$H$2 &amp; "!$A$2:$S$100"),11,0),0)</f>
        <v>0</v>
      </c>
      <c r="N23" s="98">
        <f t="shared" si="3"/>
        <v>0</v>
      </c>
      <c r="O23" s="95" t="str">
        <f t="shared" si="4"/>
        <v>아이언</v>
      </c>
      <c r="P23" s="98">
        <f>iferror(vlookup(A23,'전적확인'!$A$2:$S$61,2,0),0)+ iferror(vlookup(A23,'전적확인_베타시즌'!$A$2:$S$100,2,0),0)+iferror(vlookup(A23,'전적확인_시즌1'!$A$2:$S$100,2,0),0)+iferror(vlookup(A23,'전적확인_시즌2'!$A$2:$S$100,2,0),0)+iferror(vlookup(A23,'전적확인_시즌3'!$A$2:$S$100,2,0),0) + iferror(vlookup(A23,'전적확인_시즌4'!$A$2:$S$100,2,0),0) + iferror(vlookup(A23,'전적확인_시즌5'!$A$2:$S$100,2,0),0) + iferror(vlookup(A23,'전적확인_시즌6'!$A$2:$S$100,2,0),0) + iferror(vlookup(A23,'전적확인_시즌7'!$A$2:$S$100,2,0),0) + iferror(vlookup(A23,'전적확인_시즌8'!$A$2:$S$100,2,0),0) + iferror(vlookup(A23,'전적확인_시즌9'!$A$2:$S$100,2,0),0) + iferror(vlookup(A23,'전적확인_시즌10'!$A$2:$S$100,2,0),0) + iferror(vlookup(A23,'전적확인_시즌11'!$A$2:$S$100,2,0),0) + iferror(vlookup(A23,'전적확인_시즌12'!$A$2:$S$100,2,0),0) + iferror(vlookup(A23,'전적확인_시즌13'!$A$2:$S$100,2,0),0) + iferror(vlookup(A23,'전적확인_시즌14'!$A$2:$S$100,2,0),0) + iferror(vlookup(A23,'전적확인_시즌15'!$A$2:$S$100,2,0),0) + iferror(vlookup(A23,'전적확인_시즌16'!$A$2:$S$100,2,0),0) + iferror(vlookup(A23,'전적확인_시즌17'!$A$2:$S$100,2,0),0) + iferror(vlookup(A23,'전적확인_시즌17'!$A$2:$S$100,2,0),0) + iferror(vlookup(A23,'전적확인_시즌18'!$A$2:$S$100,2,0),0) + iferror(vlookup(A23,'전적확인_시즌19'!$A$2:$S$100,2,0),0) + iferror(vlookup(A23,'전적확인_시즌20'!$A$2:$S$100,2,0),0) + iferror(vlookup(A23,'전적확인_시즌21'!$A$2:$S$100,2,0),0) + iferror(vlookup(A23,'전적확인_시즌22'!$A$2:$S$100,2,0),0) + iferror(vlookup(A23,'전적확인_시즌23'!$A$2:$S$100,2,0),0) + iferror(vlookup(A23,'전적확인_시즌24'!$A$2:$S$100,2,0),0) + iferror(vlookup(A23,'전적확인_시즌25'!$A$2:$S$100,2,0),0) + iferror(vlookup(A23,'전적확인_시즌26'!$A$2:$S$100,2,0),0) + iferror(vlookup(A23,'전적확인_시즌27'!$A$2:$S$100,2,0),0) + iferror(vlookup(A23,'전적확인_시즌28'!$A$2:$S$100,2,0),0) + iferror(vlookup(A23,'전적확인_시즌29'!$A$2:$S$100,2,0),0) + iferror(vlookup(A23,'전적확인_시즌30'!$A$2:$S$100,2,0),0)</f>
        <v>27</v>
      </c>
      <c r="Q23" s="98">
        <f>iferror(vlookup(A23,'전적확인'!$A$2:$S$61,3,0),0)+ iferror(vlookup(A23,'전적확인_베타시즌'!$A$2:$S$100,3,0),0)+iferror(vlookup(A23,'전적확인_시즌1'!$A$2:$S$100,3,0),0)+iferror(vlookup(A23,'전적확인_시즌2'!$A$2:$S$100,3,0),0)+iferror(vlookup(A23,'전적확인_시즌3'!$A$2:$S$100,3,0),0) + iferror(vlookup(A23,'전적확인_시즌4'!$A$2:$S$100,3,0),0) + iferror(vlookup(A23,'전적확인_시즌5'!$A$2:$S$100,3,0),0) + iferror(vlookup(A23,'전적확인_시즌6'!$A$2:$S$100,3,0),0) + iferror(vlookup(A23,'전적확인_시즌7'!$A$2:$S$100,3,0),0) + iferror(vlookup(A23,'전적확인_시즌8'!$A$2:$S$100,3,0),0) + iferror(vlookup(A23,'전적확인_시즌9'!$A$2:$S$100,3,0),0) + iferror(vlookup(A23,'전적확인_시즌10'!$A$2:$S$100,3,0),0) + iferror(vlookup(A23,'전적확인_시즌11'!$A$2:$S$100,3,0),0) + iferror(vlookup(A23,'전적확인_시즌12'!$A$2:$S$100,3,0),0) + iferror(vlookup(A23,'전적확인_시즌13'!$A$2:$S$100,3,0),0) + iferror(vlookup(A23,'전적확인_시즌14'!$A$2:$S$100,3,0),0) + iferror(vlookup(A23,'전적확인_시즌15'!$A$2:$S$100,3,0),0) + iferror(vlookup(A23,'전적확인_시즌16'!$A$2:$S$100,3,0),0) + iferror(vlookup(A23,'전적확인_시즌17'!$A$2:$S$100,3,0),0) + iferror(vlookup(A23,'전적확인_시즌17'!$A$2:$S$100,3,0),0) + iferror(vlookup(A23,'전적확인_시즌18'!$A$2:$S$100,3,0),0) + iferror(vlookup(A23,'전적확인_시즌19'!$A$2:$S$100,3,0),0) + iferror(vlookup(A23,'전적확인_시즌20'!$A$2:$S$100,3,0),0) + iferror(vlookup(A23,'전적확인_시즌21'!$A$2:$S$100,3,0),0) + iferror(vlookup(A23,'전적확인_시즌22'!$A$2:$S$100,3,0),0) + iferror(vlookup(A23,'전적확인_시즌23'!$A$2:$S$100,3,0),0) + iferror(vlookup(A23,'전적확인_시즌24'!$A$2:$S$100,3,0),0) + iferror(vlookup(A23,'전적확인_시즌25'!$A$2:$S$100,3,0),0) + iferror(vlookup(A23,'전적확인_시즌26'!$A$2:$S$100,3,0),0) + iferror(vlookup(A23,'전적확인_시즌27'!$A$2:$S$100,3,0),0) + iferror(vlookup(A23,'전적확인_시즌28'!$A$2:$S$100,3,0),0) + iferror(vlookup(A23,'전적확인_시즌29'!$A$2:$S$100,3,0),0) + iferror(vlookup(A23,'전적확인_시즌30'!$A$2:$S$100,3,0),0)</f>
        <v>47</v>
      </c>
      <c r="R23" s="98">
        <f t="shared" si="5"/>
        <v>36.49</v>
      </c>
      <c r="S23" s="98">
        <f>iferror(vlookup(A23,'전적확인'!$A$2:$S$61,4,0),0) + iferror(vlookup(A23,'전적확인_베타시즌'!$A$2:$S$100,4,0),0)+iferror(vlookup(A23,'전적확인_시즌1'!$A$2:$S$100,4,0),0)+iferror(vlookup(A23,'전적확인_시즌2'!$A$2:$S$100,4,0),0)+iferror(vlookup(A23,'전적확인_시즌3'!$A$2:$S$100,4,0),0) + iferror(vlookup(A23,'전적확인_시즌4'!$A$2:$S$100,4,0),0) + iferror(vlookup(A23,'전적확인_시즌5'!$A$2:$S$100,4,0),0) + iferror(vlookup(A23,'전적확인_시즌6'!$A$2:$S$100,4,0),0) + iferror(vlookup(A23,'전적확인_시즌7'!$A$2:$S$100,4,0),0) + iferror(vlookup(A23,'전적확인_시즌8'!$A$2:$S$100,4,0),0) + iferror(vlookup(A23,'전적확인_시즌9'!$A$2:$S$100,4,0),0) + iferror(vlookup(A23,'전적확인_시즌10'!$A$2:$S$100,4,0),0) + iferror(vlookup(A23,'전적확인_시즌11'!$A$2:$S$100,4,0),0) + iferror(vlookup(A23,'전적확인_시즌12'!$A$2:$S$100,4,0),0) + iferror(vlookup(A23,'전적확인_시즌13'!$A$2:$S$100,4,0),0) + iferror(vlookup(A23,'전적확인_시즌14'!$A$2:$S$100,4,0),0) + iferror(vlookup(A23,'전적확인_시즌15'!$A$2:$S$100,4,0),0) + iferror(vlookup(A23,'전적확인_시즌16'!$A$2:$S$100,4,0),0) + iferror(vlookup(A23,'전적확인_시즌17'!$A$2:$S$100,4,0),0) + iferror(vlookup(A23,'전적확인_시즌17'!$A$2:$S$100,4,0),0) + iferror(vlookup(A23,'전적확인_시즌18'!$A$2:$S$100,4,0),0) + iferror(vlookup(A23,'전적확인_시즌19'!$A$2:$S$100,4,0),0) + iferror(vlookup(A23,'전적확인_시즌20'!$A$2:$S$100,4,0),0) + iferror(vlookup(A23,'전적확인_시즌21'!$A$2:$S$100,4,0),0) + iferror(vlookup(A23,'전적확인_시즌22'!$A$2:$S$100,4,0),0) + iferror(vlookup(A23,'전적확인_시즌23'!$A$2:$S$100,4,0),0) + iferror(vlookup(A23,'전적확인_시즌24'!$A$2:$S$100,4,0),0) + iferror(vlookup(A23,'전적확인_시즌25'!$A$2:$S$100,4,0),0) + iferror(vlookup(A23,'전적확인_시즌26'!$A$2:$S$100,4,0),0) + iferror(vlookup(A23,'전적확인_시즌27'!$A$2:$S$100,4,0),0) + iferror(vlookup(A23,'전적확인_시즌28'!$A$2:$S$100,4,0),0) + iferror(vlookup(A23,'전적확인_시즌29'!$A$2:$S$100,4,0),0) + iferror(vlookup(A23,'전적확인_시즌30'!$A$2:$S$100,4,0),0)</f>
        <v>51</v>
      </c>
      <c r="T23" s="98">
        <f>iferror(vlookup(A23,'전적확인'!$A$2:$S$61,5,0),0) + iferror(vlookup(A23,'전적확인_베타시즌'!$A$2:$S$100,5,0),0)+iferror(vlookup(A23,'전적확인_시즌1'!$A$2:$S$100,5,0),0)+iferror(vlookup(A23,'전적확인_시즌2'!$A$2:$S$100,5,0),0)+iferror(vlookup(A23,'전적확인_시즌3'!$A$2:$S$100,5,0),0) + iferror(vlookup(A23,'전적확인_시즌4'!$A$2:$S$100,5,0),0) + iferror(vlookup(A23,'전적확인_시즌5'!$A$2:$S$100,5,0),0) + iferror(vlookup(A23,'전적확인_시즌6'!$A$2:$S$100,5,0),0) + iferror(vlookup(A23,'전적확인_시즌7'!$A$2:$S$100,5,0),0) + iferror(vlookup(A23,'전적확인_시즌8'!$A$2:$S$100,5,0),0) + iferror(vlookup(A23,'전적확인_시즌9'!$A$2:$S$100,5,0),0) + iferror(vlookup(A23,'전적확인_시즌10'!$A$2:$S$100,5,0),0) + iferror(vlookup(A23,'전적확인_시즌11'!$A$2:$S$100,5,0),0) + iferror(vlookup(A23,'전적확인_시즌12'!$A$2:$S$100,5,0),0) + iferror(vlookup(A23,'전적확인_시즌13'!$A$2:$S$100,5,0),0) + iferror(vlookup(A23,'전적확인_시즌14'!$A$2:$S$100,5,0),0) + iferror(vlookup(A23,'전적확인_시즌15'!$A$2:$S$100,5,0),0) + iferror(vlookup(A23,'전적확인_시즌16'!$A$2:$S$100,5,0),0) + iferror(vlookup(A23,'전적확인_시즌17'!$A$2:$S$100,5,0),0) + iferror(vlookup(A23,'전적확인_시즌17'!$A$2:$S$100,5,0),0) + iferror(vlookup(A23,'전적확인_시즌18'!$A$2:$S$100,5,0),0) + iferror(vlookup(A23,'전적확인_시즌19'!$A$2:$S$100,5,0),0) + iferror(vlookup(A23,'전적확인_시즌20'!$A$2:$S$100,5,0),0) + iferror(vlookup(A23,'전적확인_시즌21'!$A$2:$S$100,5,0),0) + iferror(vlookup(A23,'전적확인_시즌22'!$A$2:$S$100,5,0),0) + iferror(vlookup(A23,'전적확인_시즌23'!$A$2:$S$100,5,0),0) + iferror(vlookup(A23,'전적확인_시즌24'!$A$2:$S$100,5,0),0) + iferror(vlookup(A23,'전적확인_시즌25'!$A$2:$S$100,5,0),0) + iferror(vlookup(A23,'전적확인_시즌26'!$A$2:$S$100,5,0),0) + iferror(vlookup(A23,'전적확인_시즌27'!$A$2:$S$100,5,0),0) + iferror(vlookup(A23,'전적확인_시즌28'!$A$2:$S$100,5,0),0) + iferror(vlookup(A23,'전적확인_시즌29'!$A$2:$S$100,5,0),0) + iferror(vlookup(A23,'전적확인_시즌30'!$A$2:$S$100,5,0),0)</f>
        <v>62</v>
      </c>
      <c r="U23" s="98">
        <f t="shared" si="6"/>
        <v>45.13</v>
      </c>
      <c r="V23" s="98">
        <f>iferror(vlookup(A23,'전적확인'!$A$2:$S$61,6,0),0)+ iferror(vlookup(A23,'전적확인_베타시즌'!$A$2:$S$100,6,0),0)+iferror(vlookup(A23,'전적확인_시즌1'!$A$2:$S$100,6,0),0)+iferror(vlookup(A23,'전적확인_시즌2'!$A$2:$S$100,6,0),0)+iferror(vlookup(A23,'전적확인_시즌3'!$A$2:$S$100,6,0),0) + iferror(vlookup(A23,'전적확인_시즌4'!$A$2:$S$100,6,0),0) + iferror(vlookup(A23,'전적확인_시즌5'!$A$2:$S$100,6,0),0) + iferror(vlookup(A23,'전적확인_시즌6'!$A$2:$S$100,6,0),0) + iferror(vlookup(A23,'전적확인_시즌7'!$A$2:$S$100,6,0),0) + iferror(vlookup(A23,'전적확인_시즌8'!$A$2:$S$100,6,0),0) + iferror(vlookup(A23,'전적확인_시즌9'!$A$2:$S$100,6,0),0) + iferror(vlookup(A23,'전적확인_시즌10'!$A$2:$S$100,6,0),0) + iferror(vlookup(A23,'전적확인_시즌11'!$A$2:$S$100,6,0),0) + iferror(vlookup(A23,'전적확인_시즌12'!$A$2:$S$100,6,0),0) + iferror(vlookup(A23,'전적확인_시즌13'!$A$2:$S$100,6,0),0) + iferror(vlookup(A23,'전적확인_시즌14'!$A$2:$S$100,6,0),0) + iferror(vlookup(A23,'전적확인_시즌15'!$A$2:$S$100,6,0),0) + iferror(vlookup(A23,'전적확인_시즌16'!$A$2:$S$100,6,0),0) + iferror(vlookup(A23,'전적확인_시즌17'!$A$2:$S$100,6,0),0) + iferror(vlookup(A23,'전적확인_시즌17'!$A$2:$S$100,6,0),0) + iferror(vlookup(A23,'전적확인_시즌18'!$A$2:$S$100,6,0),0) + iferror(vlookup(A23,'전적확인_시즌19'!$A$2:$S$100,6,0),0) + iferror(vlookup(A23,'전적확인_시즌20'!$A$2:$S$100,6,0),0) + iferror(vlookup(A23,'전적확인_시즌21'!$A$2:$S$100,6,0),0) + iferror(vlookup(A23,'전적확인_시즌22'!$A$2:$S$100,6,0),0) + iferror(vlookup(A23,'전적확인_시즌23'!$A$2:$S$100,6,0),0) + iferror(vlookup(A23,'전적확인_시즌24'!$A$2:$S$100,6,0),0) + iferror(vlookup(A23,'전적확인_시즌25'!$A$2:$S$100,6,0),0) + iferror(vlookup(A23,'전적확인_시즌26'!$A$2:$S$100,6,0),0) + iferror(vlookup(A23,'전적확인_시즌27'!$A$2:$S$100,6,0),0) + iferror(vlookup(A23,'전적확인_시즌28'!$A$2:$S$100,6,0),0) + iferror(vlookup(A23,'전적확인_시즌29'!$A$2:$S$100,6,0),0) + iferror(vlookup(A23,'전적확인_시즌30'!$A$2:$S$100,6,0),0)</f>
        <v>48</v>
      </c>
      <c r="W23" s="98">
        <f> iferror(vlookup(A23,'전적확인'!$A$2:$S$61,7,0),0)+ iferror(vlookup(A23,'전적확인_베타시즌'!$A$2:$S$100,7,0),0)+iferror(vlookup(A23,'전적확인_시즌1'!$A$2:$S$100,7,0),0)+iferror(vlookup(A23,'전적확인_시즌2'!$A$2:$S$100,7,0),0)+iferror(vlookup(A23,'전적확인_시즌3'!$A$2:$S$100,7,0),0) + iferror(vlookup(A23,'전적확인_시즌4'!$A$2:$S$100,7,0),0) + iferror(vlookup(A23,'전적확인_시즌5'!$A$2:$S$100,7,0),0) + iferror(vlookup(A23,'전적확인_시즌6'!$A$2:$S$100,7,0),0) + iferror(vlookup(A23,'전적확인_시즌7'!$A$2:$S$100,7,0),0) + iferror(vlookup(A23,'전적확인_시즌8'!$A$2:$S$100,7,0),0) + iferror(vlookup(A23,'전적확인_시즌9'!$A$2:$S$100,7,0),0) + iferror(vlookup(A23,'전적확인_시즌10'!$A$2:$S$100,7,0),0) + iferror(vlookup(A23,'전적확인_시즌11'!$A$2:$S$100,7,0),0) + iferror(vlookup(A23,'전적확인_시즌12'!$A$2:$S$100,7,0),0) + iferror(vlookup(A23,'전적확인_시즌13'!$A$2:$S$100,7,0),0) + iferror(vlookup(A23,'전적확인_시즌14'!$A$2:$S$100,7,0),0) + iferror(vlookup(A23,'전적확인_시즌15'!$A$2:$S$100,7,0),0) + iferror(vlookup(A23,'전적확인_시즌16'!$A$2:$S$100,7,0),0) + iferror(vlookup(A23,'전적확인_시즌17'!$A$2:$S$100,7,0),0) + iferror(vlookup(A23,'전적확인_시즌17'!$A$2:$S$100,7,0),0) + iferror(vlookup(A23,'전적확인_시즌18'!$A$2:$S$100,7,0),0) + iferror(vlookup(A23,'전적확인_시즌19'!$A$2:$S$100,7,0),0) + iferror(vlookup(A23,'전적확인_시즌20'!$A$2:$S$100,7,0),0) + iferror(vlookup(A23,'전적확인_시즌21'!$A$2:$S$100,7,0),0) + iferror(vlookup(A23,'전적확인_시즌22'!$A$2:$S$100,7,0),0) + iferror(vlookup(A23,'전적확인_시즌23'!$A$2:$S$100,7,0),0) + iferror(vlookup(A23,'전적확인_시즌24'!$A$2:$S$100,7,0),0) + iferror(vlookup(A23,'전적확인_시즌25'!$A$2:$S$100,7,0),0) + iferror(vlookup(A23,'전적확인_시즌26'!$A$2:$S$100,7,0),0) + iferror(vlookup(A23,'전적확인_시즌27'!$A$2:$S$100,7,0),0) + iferror(vlookup(A23,'전적확인_시즌28'!$A$2:$S$100,7,0),0) + iferror(vlookup(A23,'전적확인_시즌29'!$A$2:$S$100,7,0),0) + iferror(vlookup(A23,'전적확인_시즌30'!$A$2:$S$100,7,0),0)</f>
        <v>50</v>
      </c>
      <c r="X23" s="98">
        <f t="shared" si="7"/>
        <v>48.98</v>
      </c>
      <c r="Y23" s="98">
        <f>iferror(vlookup(A23,'전적확인'!$A$2:$S$61,8,0),0) + iferror(vlookup(A23,'전적확인_베타시즌'!$A$2:$S$100,8,0),0)+iferror(vlookup(A23,'전적확인_시즌1'!$A$2:$S$100,8,0),0)+iferror(vlookup(A23,'전적확인_시즌2'!$A$2:$S$100,8,0),0)+iferror(vlookup(A23,'전적확인_시즌3'!$A$2:$S$100,8,0),0) + iferror(vlookup(A23,'전적확인_시즌4'!$A$2:$S$100,8,0),0) + iferror(vlookup(A23,'전적확인_시즌5'!$A$2:$S$100,8,0),0) + iferror(vlookup(A23,'전적확인_시즌6'!$A$2:$S$100,8,0),0) + iferror(vlookup(A23,'전적확인_시즌7'!$A$2:$S$100,8,0),0) + iferror(vlookup(A23,'전적확인_시즌8'!$A$2:$S$100,8,0),0) + iferror(vlookup(A23,'전적확인_시즌9'!$A$2:$S$100,8,0),0) + iferror(vlookup(A23,'전적확인_시즌10'!$A$2:$S$100,8,0),0) + iferror(vlookup(A23,'전적확인_시즌11'!$A$2:$S$100,8,0),0) + iferror(vlookup(A23,'전적확인_시즌12'!$A$2:$S$100,8,0),0) + iferror(vlookup(A23,'전적확인_시즌13'!$A$2:$S$100,8,0),0) + iferror(vlookup(A23,'전적확인_시즌14'!$A$2:$S$100,8,0),0) + iferror(vlookup(A23,'전적확인_시즌15'!$A$2:$S$100,8,0),0) + iferror(vlookup(A23,'전적확인_시즌16'!$A$2:$S$100,8,0),0) + iferror(vlookup(A23,'전적확인_시즌17'!$A$2:$S$100,8,0),0) + iferror(vlookup(A23,'전적확인_시즌17'!$A$2:$S$100,8,0),0) + iferror(vlookup(A23,'전적확인_시즌18'!$A$2:$S$100,8,0),0) + iferror(vlookup(A23,'전적확인_시즌19'!$A$2:$S$100,8,0),0) + iferror(vlookup(A23,'전적확인_시즌20'!$A$2:$S$100,8,0),0) + iferror(vlookup(A23,'전적확인_시즌21'!$A$2:$S$100,8,0),0) + iferror(vlookup(A23,'전적확인_시즌22'!$A$2:$S$100,8,0),0) + iferror(vlookup(A23,'전적확인_시즌23'!$A$2:$S$100,8,0),0) + iferror(vlookup(A23,'전적확인_시즌24'!$A$2:$S$100,8,0),0) + iferror(vlookup(A23,'전적확인_시즌25'!$A$2:$S$100,8,0),0) + iferror(vlookup(A23,'전적확인_시즌26'!$A$2:$S$100,8,0),0) + iferror(vlookup(A23,'전적확인_시즌27'!$A$2:$S$100,8,0),0) + iferror(vlookup(A23,'전적확인_시즌28'!$A$2:$S$100,8,0),0) + iferror(vlookup(A23,'전적확인_시즌29'!$A$2:$S$100,8,0),0) + iferror(vlookup(A23,'전적확인_시즌30'!$A$2:$S$100,8,0),0)</f>
        <v>40</v>
      </c>
      <c r="Z23" s="98">
        <f>iferror(vlookup(A23,'전적확인'!$A$2:$S$61,9,0),0) + iferror(vlookup(A23,'전적확인_베타시즌'!$A$2:$S$100,9,0),0)+iferror(vlookup(A23,'전적확인_시즌1'!$A$2:$S$100,9,0),0)+iferror(vlookup(A23,'전적확인_시즌2'!$A$2:$S$100,9,0),0)+iferror(vlookup(A23,'전적확인_시즌3'!$A$2:$S$100,9,0),0) + iferror(vlookup(A23,'전적확인_시즌4'!$A$2:$S$100,9,0),0) + iferror(vlookup(A23,'전적확인_시즌5'!$A$2:$S$100,9,0),0) + iferror(vlookup(A23,'전적확인_시즌6'!$A$2:$S$100,9,0),0) + iferror(vlookup(A23,'전적확인_시즌7'!$A$2:$S$100,9,0),0) + iferror(vlookup(A23,'전적확인_시즌8'!$A$2:$S$100,9,0),0) + iferror(vlookup(A23,'전적확인_시즌9'!$A$2:$S$100,9,0),0) + iferror(vlookup(A23,'전적확인_시즌10'!$A$2:$S$100,9,0),0) + iferror(vlookup(A23,'전적확인_시즌11'!$A$2:$S$100,9,0),0) + iferror(vlookup(A23,'전적확인_시즌12'!$A$2:$S$100,9,0),0) + iferror(vlookup(A23,'전적확인_시즌13'!$A$2:$S$100,9,0),0) + iferror(vlookup(A23,'전적확인_시즌14'!$A$2:$S$100,9,0),0) + iferror(vlookup(A23,'전적확인_시즌15'!$A$2:$S$100,9,0),0) + iferror(vlookup(A23,'전적확인_시즌16'!$A$2:$S$100,9,0),0) + iferror(vlookup(A23,'전적확인_시즌17'!$A$2:$S$100,9,0),0) + iferror(vlookup(A23,'전적확인_시즌17'!$A$2:$S$100,9,0),0) + iferror(vlookup(A23,'전적확인_시즌18'!$A$2:$S$100,9,0),0) + iferror(vlookup(A23,'전적확인_시즌19'!$A$2:$S$100,9,0),0) + iferror(vlookup(A23,'전적확인_시즌20'!$A$2:$S$100,9,0),0) + iferror(vlookup(A23,'전적확인_시즌21'!$A$2:$S$100,9,0),0) + iferror(vlookup(A23,'전적확인_시즌22'!$A$2:$S$100,9,0),0) + iferror(vlookup(A23,'전적확인_시즌23'!$A$2:$S$100,9,0),0) + iferror(vlookup(A23,'전적확인_시즌24'!$A$2:$S$100,9,0),0) + iferror(vlookup(A23,'전적확인_시즌25'!$A$2:$S$100,9,0),0) + iferror(vlookup(A23,'전적확인_시즌26'!$A$2:$S$100,9,0),0) + iferror(vlookup(A23,'전적확인_시즌27'!$A$2:$S$100,9,0),0) + iferror(vlookup(A23,'전적확인_시즌28'!$A$2:$S$100,9,0),0) + iferror(vlookup(A23,'전적확인_시즌29'!$A$2:$S$100,9,0),0) + iferror(vlookup(A23,'전적확인_시즌30'!$A$2:$S$100,9,0),0)</f>
        <v>53</v>
      </c>
      <c r="AA23" s="98">
        <f t="shared" si="8"/>
        <v>43.01</v>
      </c>
      <c r="AB23" s="2"/>
      <c r="AC23" s="2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>
      <c r="A24" s="95" t="s">
        <v>50</v>
      </c>
      <c r="B24" s="95" t="s">
        <v>9667</v>
      </c>
      <c r="C24" s="95" t="s">
        <v>9667</v>
      </c>
      <c r="D24" s="95" t="s">
        <v>9667</v>
      </c>
      <c r="E24" s="95" t="s">
        <v>9667</v>
      </c>
      <c r="F24" s="3"/>
      <c r="G24" s="3"/>
      <c r="H24" s="98">
        <f t="shared" si="1"/>
        <v>117</v>
      </c>
      <c r="I24" s="98">
        <f>iferror(vlookup(A24,'전적확인'!$A$2:$S$61,10,0),0) + iferror(vlookup(A24,'전적확인_베타시즌'!$A$2:$S$100,10,0),0)+iferror(vlookup(A24,'전적확인_시즌1'!$A$2:$S$100,10,0),0)+iferror(vlookup(A24,'전적확인_시즌2'!$A$2:$S$100,10,0),0)+iferror(vlookup(A24,'전적확인_시즌3'!$A$2:$S$100,10,0),0) + iferror(vlookup(A24,'전적확인_시즌4'!$A$2:$S$100,10,0),0) + iferror(vlookup(A24,'전적확인_시즌5'!$A$2:$S$100,10,0),0) + iferror(vlookup(A24,'전적확인_시즌6'!$A$2:$S$100,10,0),0) + iferror(vlookup(A24,'전적확인_시즌7'!$A$2:$S$100,10,0),0) + iferror(vlookup(A24,'전적확인_시즌8'!$A$2:$S$100,10,0),0) + iferror(vlookup(A24,'전적확인_시즌9'!$A$2:$S$100,10,0),0) + iferror(vlookup(A24,'전적확인_시즌10'!$A$2:$S$100,10,0),0) + iferror(vlookup(A24,'전적확인_시즌11'!$A$2:$S$100,10,0),0) + iferror(vlookup(A24,'전적확인_시즌12'!$A$2:$S$100,10,0),0) + iferror(vlookup(A24,'전적확인_시즌13'!$A$2:$S$100,10,0),0) + iferror(vlookup(A24,'전적확인_시즌14'!$A$2:$S$100,10,0),0) + iferror(vlookup(A24,'전적확인_시즌15'!$A$2:$S$100,10,0),0) + iferror(vlookup(A24,'전적확인_시즌16'!$A$2:$S$100,10,0),0) + iferror(vlookup(A24,'전적확인_시즌17'!$A$2:$S$100,10,0),0) + iferror(vlookup(A24,'전적확인_시즌17'!$A$2:$S$100,10,0),0) + iferror(vlookup(A24,'전적확인_시즌18'!$A$2:$S$100,10,0),0) + iferror(vlookup(A24,'전적확인_시즌19'!$A$2:$S$100,10,0),0) + iferror(vlookup(A24,'전적확인_시즌20'!$A$2:$S$100,10,0),0) + iferror(vlookup(A24,'전적확인_시즌21'!$A$2:$S$100,10,0),0) + iferror(vlookup(A24,'전적확인_시즌22'!$A$2:$S$100,10,0),0) + iferror(vlookup(A24,'전적확인_시즌23'!$A$2:$S$100,10,0),0) + iferror(vlookup(A24,'전적확인_시즌24'!$A$2:$S$100,10,0),0) + iferror(vlookup(A24,'전적확인_시즌25'!$A$2:$S$100,10,0),0) + iferror(vlookup(A24,'전적확인_시즌26'!$A$2:$S$100,10,0),0) + iferror(vlookup(A24,'전적확인_시즌27'!$A$2:$S$100,10,0),0) + iferror(vlookup(A24,'전적확인_시즌28'!$A$2:$S$100,10,0),0) + iferror(vlookup(A24,'전적확인_시즌29'!$A$2:$S$100,10,0),0) + iferror(vlookup(A24,'전적확인_시즌30'!$A$2:$S$100,10,0),0)</f>
        <v>50</v>
      </c>
      <c r="J24" s="98">
        <f>iferror(vlookup(A24,'전적확인'!$A$2:$S$61,11,0),0) + iferror(vlookup(A24,'전적확인_베타시즌'!$A$2:$S$100,11,0),0)+iferror(vlookup(A24,'전적확인_시즌1'!$A$2:$S$100,11,0),0)+iferror(vlookup(A24,'전적확인_시즌2'!$A$2:$S$100,11,0),0)+iferror(vlookup(A24,'전적확인_시즌3'!$A$2:$S$100,11,0),0) + iferror(vlookup(A24,'전적확인_시즌4'!$A$2:$S$100,11,0),0) + iferror(vlookup(A24,'전적확인_시즌5'!$A$2:$S$100,11,0),0) + iferror(vlookup(A24,'전적확인_시즌6'!$A$2:$S$100,11,0),0) + iferror(vlookup(A24,'전적확인_시즌7'!$A$2:$S$100,11,0),0) + iferror(vlookup(A24,'전적확인_시즌8'!$A$2:$S$100,11,0),0) + iferror(vlookup(A24,'전적확인_시즌9'!$A$2:$S$100,11,0),0) + iferror(vlookup(A24,'전적확인_시즌10'!$A$2:$S$100,11,0),0) + iferror(vlookup(A24,'전적확인_시즌11'!$A$2:$S$100,11,0),0) + iferror(vlookup(A24,'전적확인_시즌12'!$A$2:$S$100,11,0),0) + iferror(vlookup(A24,'전적확인_시즌13'!$A$2:$S$100,11,0),0) + iferror(vlookup(A24,'전적확인_시즌14'!$A$2:$S$100,11,0),0) + iferror(vlookup(A24,'전적확인_시즌15'!$A$2:$S$100,11,0),0) + iferror(vlookup(A24,'전적확인_시즌16'!$A$2:$S$100,11,0),0) + iferror(vlookup(A24,'전적확인_시즌17'!$A$2:$S$100,11,0),0) + iferror(vlookup(A24,'전적확인_시즌17'!$A$2:$S$100,11,0),0) + iferror(vlookup(A24,'전적확인_시즌18'!$A$2:$S$100,11,0),0) + iferror(vlookup(A24,'전적확인_시즌19'!$A$2:$S$100,11,0),0) + iferror(vlookup(A24,'전적확인_시즌20'!$A$2:$S$100,11,0),0) + iferror(vlookup(A24,'전적확인_시즌21'!$A$2:$S$100,11,0),0) + iferror(vlookup(A24,'전적확인_시즌22'!$A$2:$S$100,11,0),0) + iferror(vlookup(A24,'전적확인_시즌23'!$A$2:$S$100,11,0),0) + iferror(vlookup(A24,'전적확인_시즌24'!$A$2:$S$100,11,0),0) + iferror(vlookup(A24,'전적확인_시즌25'!$A$2:$S$100,11,0),0) + iferror(vlookup(A24,'전적확인_시즌26'!$A$2:$S$100,11,0),0) + iferror(vlookup(A24,'전적확인_시즌27'!$A$2:$S$100,11,0),0) + iferror(vlookup(A24,'전적확인_시즌28'!$A$2:$S$100,11,0),0) + iferror(vlookup(A24,'전적확인_시즌29'!$A$2:$S$100,11,0),0) + iferror(vlookup(A24,'전적확인_시즌30'!$A$2:$S$100,11,0),0)</f>
        <v>67</v>
      </c>
      <c r="K24" s="98">
        <f t="shared" si="2"/>
        <v>42.74</v>
      </c>
      <c r="L24" s="95">
        <f t="array" ref="L24">iferror(vlookup(A24,INDIRECT('시즌목록'!$H$2 &amp; "!$A$2:$S$100"),10,0),0)</f>
        <v>14</v>
      </c>
      <c r="M24" s="95">
        <f t="array" ref="M24">iferror(vlookup(A24,INDIRECT('시즌목록'!$H$2 &amp; "!$A$2:$S$100"),11,0),0)</f>
        <v>18</v>
      </c>
      <c r="N24" s="98">
        <f t="shared" si="3"/>
        <v>43.75</v>
      </c>
      <c r="O24" s="95" t="str">
        <f t="shared" si="4"/>
        <v>아이언</v>
      </c>
      <c r="P24" s="98">
        <f>iferror(vlookup(A24,'전적확인'!$A$2:$S$61,2,0),0)+ iferror(vlookup(A24,'전적확인_베타시즌'!$A$2:$S$100,2,0),0)+iferror(vlookup(A24,'전적확인_시즌1'!$A$2:$S$100,2,0),0)+iferror(vlookup(A24,'전적확인_시즌2'!$A$2:$S$100,2,0),0)+iferror(vlookup(A24,'전적확인_시즌3'!$A$2:$S$100,2,0),0) + iferror(vlookup(A24,'전적확인_시즌4'!$A$2:$S$100,2,0),0) + iferror(vlookup(A24,'전적확인_시즌5'!$A$2:$S$100,2,0),0) + iferror(vlookup(A24,'전적확인_시즌6'!$A$2:$S$100,2,0),0) + iferror(vlookup(A24,'전적확인_시즌7'!$A$2:$S$100,2,0),0) + iferror(vlookup(A24,'전적확인_시즌8'!$A$2:$S$100,2,0),0) + iferror(vlookup(A24,'전적확인_시즌9'!$A$2:$S$100,2,0),0) + iferror(vlookup(A24,'전적확인_시즌10'!$A$2:$S$100,2,0),0) + iferror(vlookup(A24,'전적확인_시즌11'!$A$2:$S$100,2,0),0) + iferror(vlookup(A24,'전적확인_시즌12'!$A$2:$S$100,2,0),0) + iferror(vlookup(A24,'전적확인_시즌13'!$A$2:$S$100,2,0),0) + iferror(vlookup(A24,'전적확인_시즌14'!$A$2:$S$100,2,0),0) + iferror(vlookup(A24,'전적확인_시즌15'!$A$2:$S$100,2,0),0) + iferror(vlookup(A24,'전적확인_시즌16'!$A$2:$S$100,2,0),0) + iferror(vlookup(A24,'전적확인_시즌17'!$A$2:$S$100,2,0),0) + iferror(vlookup(A24,'전적확인_시즌17'!$A$2:$S$100,2,0),0) + iferror(vlookup(A24,'전적확인_시즌18'!$A$2:$S$100,2,0),0) + iferror(vlookup(A24,'전적확인_시즌19'!$A$2:$S$100,2,0),0) + iferror(vlookup(A24,'전적확인_시즌20'!$A$2:$S$100,2,0),0) + iferror(vlookup(A24,'전적확인_시즌21'!$A$2:$S$100,2,0),0) + iferror(vlookup(A24,'전적확인_시즌22'!$A$2:$S$100,2,0),0) + iferror(vlookup(A24,'전적확인_시즌23'!$A$2:$S$100,2,0),0) + iferror(vlookup(A24,'전적확인_시즌24'!$A$2:$S$100,2,0),0) + iferror(vlookup(A24,'전적확인_시즌25'!$A$2:$S$100,2,0),0) + iferror(vlookup(A24,'전적확인_시즌26'!$A$2:$S$100,2,0),0) + iferror(vlookup(A24,'전적확인_시즌27'!$A$2:$S$100,2,0),0) + iferror(vlookup(A24,'전적확인_시즌28'!$A$2:$S$100,2,0),0) + iferror(vlookup(A24,'전적확인_시즌29'!$A$2:$S$100,2,0),0) + iferror(vlookup(A24,'전적확인_시즌30'!$A$2:$S$100,2,0),0)</f>
        <v>8</v>
      </c>
      <c r="Q24" s="98">
        <f>iferror(vlookup(A24,'전적확인'!$A$2:$S$61,3,0),0)+ iferror(vlookup(A24,'전적확인_베타시즌'!$A$2:$S$100,3,0),0)+iferror(vlookup(A24,'전적확인_시즌1'!$A$2:$S$100,3,0),0)+iferror(vlookup(A24,'전적확인_시즌2'!$A$2:$S$100,3,0),0)+iferror(vlookup(A24,'전적확인_시즌3'!$A$2:$S$100,3,0),0) + iferror(vlookup(A24,'전적확인_시즌4'!$A$2:$S$100,3,0),0) + iferror(vlookup(A24,'전적확인_시즌5'!$A$2:$S$100,3,0),0) + iferror(vlookup(A24,'전적확인_시즌6'!$A$2:$S$100,3,0),0) + iferror(vlookup(A24,'전적확인_시즌7'!$A$2:$S$100,3,0),0) + iferror(vlookup(A24,'전적확인_시즌8'!$A$2:$S$100,3,0),0) + iferror(vlookup(A24,'전적확인_시즌9'!$A$2:$S$100,3,0),0) + iferror(vlookup(A24,'전적확인_시즌10'!$A$2:$S$100,3,0),0) + iferror(vlookup(A24,'전적확인_시즌11'!$A$2:$S$100,3,0),0) + iferror(vlookup(A24,'전적확인_시즌12'!$A$2:$S$100,3,0),0) + iferror(vlookup(A24,'전적확인_시즌13'!$A$2:$S$100,3,0),0) + iferror(vlookup(A24,'전적확인_시즌14'!$A$2:$S$100,3,0),0) + iferror(vlookup(A24,'전적확인_시즌15'!$A$2:$S$100,3,0),0) + iferror(vlookup(A24,'전적확인_시즌16'!$A$2:$S$100,3,0),0) + iferror(vlookup(A24,'전적확인_시즌17'!$A$2:$S$100,3,0),0) + iferror(vlookup(A24,'전적확인_시즌17'!$A$2:$S$100,3,0),0) + iferror(vlookup(A24,'전적확인_시즌18'!$A$2:$S$100,3,0),0) + iferror(vlookup(A24,'전적확인_시즌19'!$A$2:$S$100,3,0),0) + iferror(vlookup(A24,'전적확인_시즌20'!$A$2:$S$100,3,0),0) + iferror(vlookup(A24,'전적확인_시즌21'!$A$2:$S$100,3,0),0) + iferror(vlookup(A24,'전적확인_시즌22'!$A$2:$S$100,3,0),0) + iferror(vlookup(A24,'전적확인_시즌23'!$A$2:$S$100,3,0),0) + iferror(vlookup(A24,'전적확인_시즌24'!$A$2:$S$100,3,0),0) + iferror(vlookup(A24,'전적확인_시즌25'!$A$2:$S$100,3,0),0) + iferror(vlookup(A24,'전적확인_시즌26'!$A$2:$S$100,3,0),0) + iferror(vlookup(A24,'전적확인_시즌27'!$A$2:$S$100,3,0),0) + iferror(vlookup(A24,'전적확인_시즌28'!$A$2:$S$100,3,0),0) + iferror(vlookup(A24,'전적확인_시즌29'!$A$2:$S$100,3,0),0) + iferror(vlookup(A24,'전적확인_시즌30'!$A$2:$S$100,3,0),0)</f>
        <v>30</v>
      </c>
      <c r="R24" s="98">
        <f t="shared" si="5"/>
        <v>21.05</v>
      </c>
      <c r="S24" s="98">
        <f>iferror(vlookup(A24,'전적확인'!$A$2:$S$61,4,0),0) + iferror(vlookup(A24,'전적확인_베타시즌'!$A$2:$S$100,4,0),0)+iferror(vlookup(A24,'전적확인_시즌1'!$A$2:$S$100,4,0),0)+iferror(vlookup(A24,'전적확인_시즌2'!$A$2:$S$100,4,0),0)+iferror(vlookup(A24,'전적확인_시즌3'!$A$2:$S$100,4,0),0) + iferror(vlookup(A24,'전적확인_시즌4'!$A$2:$S$100,4,0),0) + iferror(vlookup(A24,'전적확인_시즌5'!$A$2:$S$100,4,0),0) + iferror(vlookup(A24,'전적확인_시즌6'!$A$2:$S$100,4,0),0) + iferror(vlookup(A24,'전적확인_시즌7'!$A$2:$S$100,4,0),0) + iferror(vlookup(A24,'전적확인_시즌8'!$A$2:$S$100,4,0),0) + iferror(vlookup(A24,'전적확인_시즌9'!$A$2:$S$100,4,0),0) + iferror(vlookup(A24,'전적확인_시즌10'!$A$2:$S$100,4,0),0) + iferror(vlookup(A24,'전적확인_시즌11'!$A$2:$S$100,4,0),0) + iferror(vlookup(A24,'전적확인_시즌12'!$A$2:$S$100,4,0),0) + iferror(vlookup(A24,'전적확인_시즌13'!$A$2:$S$100,4,0),0) + iferror(vlookup(A24,'전적확인_시즌14'!$A$2:$S$100,4,0),0) + iferror(vlookup(A24,'전적확인_시즌15'!$A$2:$S$100,4,0),0) + iferror(vlookup(A24,'전적확인_시즌16'!$A$2:$S$100,4,0),0) + iferror(vlookup(A24,'전적확인_시즌17'!$A$2:$S$100,4,0),0) + iferror(vlookup(A24,'전적확인_시즌17'!$A$2:$S$100,4,0),0) + iferror(vlookup(A24,'전적확인_시즌18'!$A$2:$S$100,4,0),0) + iferror(vlookup(A24,'전적확인_시즌19'!$A$2:$S$100,4,0),0) + iferror(vlookup(A24,'전적확인_시즌20'!$A$2:$S$100,4,0),0) + iferror(vlookup(A24,'전적확인_시즌21'!$A$2:$S$100,4,0),0) + iferror(vlookup(A24,'전적확인_시즌22'!$A$2:$S$100,4,0),0) + iferror(vlookup(A24,'전적확인_시즌23'!$A$2:$S$100,4,0),0) + iferror(vlookup(A24,'전적확인_시즌24'!$A$2:$S$100,4,0),0) + iferror(vlookup(A24,'전적확인_시즌25'!$A$2:$S$100,4,0),0) + iferror(vlookup(A24,'전적확인_시즌26'!$A$2:$S$100,4,0),0) + iferror(vlookup(A24,'전적확인_시즌27'!$A$2:$S$100,4,0),0) + iferror(vlookup(A24,'전적확인_시즌28'!$A$2:$S$100,4,0),0) + iferror(vlookup(A24,'전적확인_시즌29'!$A$2:$S$100,4,0),0) + iferror(vlookup(A24,'전적확인_시즌30'!$A$2:$S$100,4,0),0)</f>
        <v>25</v>
      </c>
      <c r="T24" s="98">
        <f>iferror(vlookup(A24,'전적확인'!$A$2:$S$61,5,0),0) + iferror(vlookup(A24,'전적확인_베타시즌'!$A$2:$S$100,5,0),0)+iferror(vlookup(A24,'전적확인_시즌1'!$A$2:$S$100,5,0),0)+iferror(vlookup(A24,'전적확인_시즌2'!$A$2:$S$100,5,0),0)+iferror(vlookup(A24,'전적확인_시즌3'!$A$2:$S$100,5,0),0) + iferror(vlookup(A24,'전적확인_시즌4'!$A$2:$S$100,5,0),0) + iferror(vlookup(A24,'전적확인_시즌5'!$A$2:$S$100,5,0),0) + iferror(vlookup(A24,'전적확인_시즌6'!$A$2:$S$100,5,0),0) + iferror(vlookup(A24,'전적확인_시즌7'!$A$2:$S$100,5,0),0) + iferror(vlookup(A24,'전적확인_시즌8'!$A$2:$S$100,5,0),0) + iferror(vlookup(A24,'전적확인_시즌9'!$A$2:$S$100,5,0),0) + iferror(vlookup(A24,'전적확인_시즌10'!$A$2:$S$100,5,0),0) + iferror(vlookup(A24,'전적확인_시즌11'!$A$2:$S$100,5,0),0) + iferror(vlookup(A24,'전적확인_시즌12'!$A$2:$S$100,5,0),0) + iferror(vlookup(A24,'전적확인_시즌13'!$A$2:$S$100,5,0),0) + iferror(vlookup(A24,'전적확인_시즌14'!$A$2:$S$100,5,0),0) + iferror(vlookup(A24,'전적확인_시즌15'!$A$2:$S$100,5,0),0) + iferror(vlookup(A24,'전적확인_시즌16'!$A$2:$S$100,5,0),0) + iferror(vlookup(A24,'전적확인_시즌17'!$A$2:$S$100,5,0),0) + iferror(vlookup(A24,'전적확인_시즌17'!$A$2:$S$100,5,0),0) + iferror(vlookup(A24,'전적확인_시즌18'!$A$2:$S$100,5,0),0) + iferror(vlookup(A24,'전적확인_시즌19'!$A$2:$S$100,5,0),0) + iferror(vlookup(A24,'전적확인_시즌20'!$A$2:$S$100,5,0),0) + iferror(vlookup(A24,'전적확인_시즌21'!$A$2:$S$100,5,0),0) + iferror(vlookup(A24,'전적확인_시즌22'!$A$2:$S$100,5,0),0) + iferror(vlookup(A24,'전적확인_시즌23'!$A$2:$S$100,5,0),0) + iferror(vlookup(A24,'전적확인_시즌24'!$A$2:$S$100,5,0),0) + iferror(vlookup(A24,'전적확인_시즌25'!$A$2:$S$100,5,0),0) + iferror(vlookup(A24,'전적확인_시즌26'!$A$2:$S$100,5,0),0) + iferror(vlookup(A24,'전적확인_시즌27'!$A$2:$S$100,5,0),0) + iferror(vlookup(A24,'전적확인_시즌28'!$A$2:$S$100,5,0),0) + iferror(vlookup(A24,'전적확인_시즌29'!$A$2:$S$100,5,0),0) + iferror(vlookup(A24,'전적확인_시즌30'!$A$2:$S$100,5,0),0)</f>
        <v>20</v>
      </c>
      <c r="U24" s="98">
        <f t="shared" si="6"/>
        <v>55.56</v>
      </c>
      <c r="V24" s="98">
        <f>iferror(vlookup(A24,'전적확인'!$A$2:$S$61,6,0),0)+ iferror(vlookup(A24,'전적확인_베타시즌'!$A$2:$S$100,6,0),0)+iferror(vlookup(A24,'전적확인_시즌1'!$A$2:$S$100,6,0),0)+iferror(vlookup(A24,'전적확인_시즌2'!$A$2:$S$100,6,0),0)+iferror(vlookup(A24,'전적확인_시즌3'!$A$2:$S$100,6,0),0) + iferror(vlookup(A24,'전적확인_시즌4'!$A$2:$S$100,6,0),0) + iferror(vlookup(A24,'전적확인_시즌5'!$A$2:$S$100,6,0),0) + iferror(vlookup(A24,'전적확인_시즌6'!$A$2:$S$100,6,0),0) + iferror(vlookup(A24,'전적확인_시즌7'!$A$2:$S$100,6,0),0) + iferror(vlookup(A24,'전적확인_시즌8'!$A$2:$S$100,6,0),0) + iferror(vlookup(A24,'전적확인_시즌9'!$A$2:$S$100,6,0),0) + iferror(vlookup(A24,'전적확인_시즌10'!$A$2:$S$100,6,0),0) + iferror(vlookup(A24,'전적확인_시즌11'!$A$2:$S$100,6,0),0) + iferror(vlookup(A24,'전적확인_시즌12'!$A$2:$S$100,6,0),0) + iferror(vlookup(A24,'전적확인_시즌13'!$A$2:$S$100,6,0),0) + iferror(vlookup(A24,'전적확인_시즌14'!$A$2:$S$100,6,0),0) + iferror(vlookup(A24,'전적확인_시즌15'!$A$2:$S$100,6,0),0) + iferror(vlookup(A24,'전적확인_시즌16'!$A$2:$S$100,6,0),0) + iferror(vlookup(A24,'전적확인_시즌17'!$A$2:$S$100,6,0),0) + iferror(vlookup(A24,'전적확인_시즌17'!$A$2:$S$100,6,0),0) + iferror(vlookup(A24,'전적확인_시즌18'!$A$2:$S$100,6,0),0) + iferror(vlookup(A24,'전적확인_시즌19'!$A$2:$S$100,6,0),0) + iferror(vlookup(A24,'전적확인_시즌20'!$A$2:$S$100,6,0),0) + iferror(vlookup(A24,'전적확인_시즌21'!$A$2:$S$100,6,0),0) + iferror(vlookup(A24,'전적확인_시즌22'!$A$2:$S$100,6,0),0) + iferror(vlookup(A24,'전적확인_시즌23'!$A$2:$S$100,6,0),0) + iferror(vlookup(A24,'전적확인_시즌24'!$A$2:$S$100,6,0),0) + iferror(vlookup(A24,'전적확인_시즌25'!$A$2:$S$100,6,0),0) + iferror(vlookup(A24,'전적확인_시즌26'!$A$2:$S$100,6,0),0) + iferror(vlookup(A24,'전적확인_시즌27'!$A$2:$S$100,6,0),0) + iferror(vlookup(A24,'전적확인_시즌28'!$A$2:$S$100,6,0),0) + iferror(vlookup(A24,'전적확인_시즌29'!$A$2:$S$100,6,0),0) + iferror(vlookup(A24,'전적확인_시즌30'!$A$2:$S$100,6,0),0)</f>
        <v>17</v>
      </c>
      <c r="W24" s="98">
        <f> iferror(vlookup(A24,'전적확인'!$A$2:$S$61,7,0),0)+ iferror(vlookup(A24,'전적확인_베타시즌'!$A$2:$S$100,7,0),0)+iferror(vlookup(A24,'전적확인_시즌1'!$A$2:$S$100,7,0),0)+iferror(vlookup(A24,'전적확인_시즌2'!$A$2:$S$100,7,0),0)+iferror(vlookup(A24,'전적확인_시즌3'!$A$2:$S$100,7,0),0) + iferror(vlookup(A24,'전적확인_시즌4'!$A$2:$S$100,7,0),0) + iferror(vlookup(A24,'전적확인_시즌5'!$A$2:$S$100,7,0),0) + iferror(vlookup(A24,'전적확인_시즌6'!$A$2:$S$100,7,0),0) + iferror(vlookup(A24,'전적확인_시즌7'!$A$2:$S$100,7,0),0) + iferror(vlookup(A24,'전적확인_시즌8'!$A$2:$S$100,7,0),0) + iferror(vlookup(A24,'전적확인_시즌9'!$A$2:$S$100,7,0),0) + iferror(vlookup(A24,'전적확인_시즌10'!$A$2:$S$100,7,0),0) + iferror(vlookup(A24,'전적확인_시즌11'!$A$2:$S$100,7,0),0) + iferror(vlookup(A24,'전적확인_시즌12'!$A$2:$S$100,7,0),0) + iferror(vlookup(A24,'전적확인_시즌13'!$A$2:$S$100,7,0),0) + iferror(vlookup(A24,'전적확인_시즌14'!$A$2:$S$100,7,0),0) + iferror(vlookup(A24,'전적확인_시즌15'!$A$2:$S$100,7,0),0) + iferror(vlookup(A24,'전적확인_시즌16'!$A$2:$S$100,7,0),0) + iferror(vlookup(A24,'전적확인_시즌17'!$A$2:$S$100,7,0),0) + iferror(vlookup(A24,'전적확인_시즌17'!$A$2:$S$100,7,0),0) + iferror(vlookup(A24,'전적확인_시즌18'!$A$2:$S$100,7,0),0) + iferror(vlookup(A24,'전적확인_시즌19'!$A$2:$S$100,7,0),0) + iferror(vlookup(A24,'전적확인_시즌20'!$A$2:$S$100,7,0),0) + iferror(vlookup(A24,'전적확인_시즌21'!$A$2:$S$100,7,0),0) + iferror(vlookup(A24,'전적확인_시즌22'!$A$2:$S$100,7,0),0) + iferror(vlookup(A24,'전적확인_시즌23'!$A$2:$S$100,7,0),0) + iferror(vlookup(A24,'전적확인_시즌24'!$A$2:$S$100,7,0),0) + iferror(vlookup(A24,'전적확인_시즌25'!$A$2:$S$100,7,0),0) + iferror(vlookup(A24,'전적확인_시즌26'!$A$2:$S$100,7,0),0) + iferror(vlookup(A24,'전적확인_시즌27'!$A$2:$S$100,7,0),0) + iferror(vlookup(A24,'전적확인_시즌28'!$A$2:$S$100,7,0),0) + iferror(vlookup(A24,'전적확인_시즌29'!$A$2:$S$100,7,0),0) + iferror(vlookup(A24,'전적확인_시즌30'!$A$2:$S$100,7,0),0)</f>
        <v>17</v>
      </c>
      <c r="X24" s="98">
        <f t="shared" si="7"/>
        <v>50</v>
      </c>
      <c r="Y24" s="98">
        <f>iferror(vlookup(A24,'전적확인'!$A$2:$S$61,8,0),0) + iferror(vlookup(A24,'전적확인_베타시즌'!$A$2:$S$100,8,0),0)+iferror(vlookup(A24,'전적확인_시즌1'!$A$2:$S$100,8,0),0)+iferror(vlookup(A24,'전적확인_시즌2'!$A$2:$S$100,8,0),0)+iferror(vlookup(A24,'전적확인_시즌3'!$A$2:$S$100,8,0),0) + iferror(vlookup(A24,'전적확인_시즌4'!$A$2:$S$100,8,0),0) + iferror(vlookup(A24,'전적확인_시즌5'!$A$2:$S$100,8,0),0) + iferror(vlookup(A24,'전적확인_시즌6'!$A$2:$S$100,8,0),0) + iferror(vlookup(A24,'전적확인_시즌7'!$A$2:$S$100,8,0),0) + iferror(vlookup(A24,'전적확인_시즌8'!$A$2:$S$100,8,0),0) + iferror(vlookup(A24,'전적확인_시즌9'!$A$2:$S$100,8,0),0) + iferror(vlookup(A24,'전적확인_시즌10'!$A$2:$S$100,8,0),0) + iferror(vlookup(A24,'전적확인_시즌11'!$A$2:$S$100,8,0),0) + iferror(vlookup(A24,'전적확인_시즌12'!$A$2:$S$100,8,0),0) + iferror(vlookup(A24,'전적확인_시즌13'!$A$2:$S$100,8,0),0) + iferror(vlookup(A24,'전적확인_시즌14'!$A$2:$S$100,8,0),0) + iferror(vlookup(A24,'전적확인_시즌15'!$A$2:$S$100,8,0),0) + iferror(vlookup(A24,'전적확인_시즌16'!$A$2:$S$100,8,0),0) + iferror(vlookup(A24,'전적확인_시즌17'!$A$2:$S$100,8,0),0) + iferror(vlookup(A24,'전적확인_시즌17'!$A$2:$S$100,8,0),0) + iferror(vlookup(A24,'전적확인_시즌18'!$A$2:$S$100,8,0),0) + iferror(vlookup(A24,'전적확인_시즌19'!$A$2:$S$100,8,0),0) + iferror(vlookup(A24,'전적확인_시즌20'!$A$2:$S$100,8,0),0) + iferror(vlookup(A24,'전적확인_시즌21'!$A$2:$S$100,8,0),0) + iferror(vlookup(A24,'전적확인_시즌22'!$A$2:$S$100,8,0),0) + iferror(vlookup(A24,'전적확인_시즌23'!$A$2:$S$100,8,0),0) + iferror(vlookup(A24,'전적확인_시즌24'!$A$2:$S$100,8,0),0) + iferror(vlookup(A24,'전적확인_시즌25'!$A$2:$S$100,8,0),0) + iferror(vlookup(A24,'전적확인_시즌26'!$A$2:$S$100,8,0),0) + iferror(vlookup(A24,'전적확인_시즌27'!$A$2:$S$100,8,0),0) + iferror(vlookup(A24,'전적확인_시즌28'!$A$2:$S$100,8,0),0) + iferror(vlookup(A24,'전적확인_시즌29'!$A$2:$S$100,8,0),0) + iferror(vlookup(A24,'전적확인_시즌30'!$A$2:$S$100,8,0),0)</f>
        <v>0</v>
      </c>
      <c r="Z24" s="98">
        <f>iferror(vlookup(A24,'전적확인'!$A$2:$S$61,9,0),0) + iferror(vlookup(A24,'전적확인_베타시즌'!$A$2:$S$100,9,0),0)+iferror(vlookup(A24,'전적확인_시즌1'!$A$2:$S$100,9,0),0)+iferror(vlookup(A24,'전적확인_시즌2'!$A$2:$S$100,9,0),0)+iferror(vlookup(A24,'전적확인_시즌3'!$A$2:$S$100,9,0),0) + iferror(vlookup(A24,'전적확인_시즌4'!$A$2:$S$100,9,0),0) + iferror(vlookup(A24,'전적확인_시즌5'!$A$2:$S$100,9,0),0) + iferror(vlookup(A24,'전적확인_시즌6'!$A$2:$S$100,9,0),0) + iferror(vlookup(A24,'전적확인_시즌7'!$A$2:$S$100,9,0),0) + iferror(vlookup(A24,'전적확인_시즌8'!$A$2:$S$100,9,0),0) + iferror(vlookup(A24,'전적확인_시즌9'!$A$2:$S$100,9,0),0) + iferror(vlookup(A24,'전적확인_시즌10'!$A$2:$S$100,9,0),0) + iferror(vlookup(A24,'전적확인_시즌11'!$A$2:$S$100,9,0),0) + iferror(vlookup(A24,'전적확인_시즌12'!$A$2:$S$100,9,0),0) + iferror(vlookup(A24,'전적확인_시즌13'!$A$2:$S$100,9,0),0) + iferror(vlookup(A24,'전적확인_시즌14'!$A$2:$S$100,9,0),0) + iferror(vlookup(A24,'전적확인_시즌15'!$A$2:$S$100,9,0),0) + iferror(vlookup(A24,'전적확인_시즌16'!$A$2:$S$100,9,0),0) + iferror(vlookup(A24,'전적확인_시즌17'!$A$2:$S$100,9,0),0) + iferror(vlookup(A24,'전적확인_시즌17'!$A$2:$S$100,9,0),0) + iferror(vlookup(A24,'전적확인_시즌18'!$A$2:$S$100,9,0),0) + iferror(vlookup(A24,'전적확인_시즌19'!$A$2:$S$100,9,0),0) + iferror(vlookup(A24,'전적확인_시즌20'!$A$2:$S$100,9,0),0) + iferror(vlookup(A24,'전적확인_시즌21'!$A$2:$S$100,9,0),0) + iferror(vlookup(A24,'전적확인_시즌22'!$A$2:$S$100,9,0),0) + iferror(vlookup(A24,'전적확인_시즌23'!$A$2:$S$100,9,0),0) + iferror(vlookup(A24,'전적확인_시즌24'!$A$2:$S$100,9,0),0) + iferror(vlookup(A24,'전적확인_시즌25'!$A$2:$S$100,9,0),0) + iferror(vlookup(A24,'전적확인_시즌26'!$A$2:$S$100,9,0),0) + iferror(vlookup(A24,'전적확인_시즌27'!$A$2:$S$100,9,0),0) + iferror(vlookup(A24,'전적확인_시즌28'!$A$2:$S$100,9,0),0) + iferror(vlookup(A24,'전적확인_시즌29'!$A$2:$S$100,9,0),0) + iferror(vlookup(A24,'전적확인_시즌30'!$A$2:$S$100,9,0),0)</f>
        <v>0</v>
      </c>
      <c r="AA24" s="98">
        <f t="shared" si="8"/>
        <v>0</v>
      </c>
      <c r="AB24" s="2"/>
      <c r="AC24" s="2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>
      <c r="A25" s="95" t="s">
        <v>51</v>
      </c>
      <c r="B25" s="95" t="s">
        <v>9667</v>
      </c>
      <c r="C25" s="95" t="s">
        <v>9667</v>
      </c>
      <c r="D25" s="95" t="s">
        <v>9667</v>
      </c>
      <c r="E25" s="95" t="s">
        <v>9667</v>
      </c>
      <c r="F25" s="3"/>
      <c r="G25" s="3"/>
      <c r="H25" s="98">
        <f t="shared" si="1"/>
        <v>121</v>
      </c>
      <c r="I25" s="98">
        <f>iferror(vlookup(A25,'전적확인'!$A$2:$S$61,10,0),0) + iferror(vlookup(A25,'전적확인_베타시즌'!$A$2:$S$100,10,0),0)+iferror(vlookup(A25,'전적확인_시즌1'!$A$2:$S$100,10,0),0)+iferror(vlookup(A25,'전적확인_시즌2'!$A$2:$S$100,10,0),0)+iferror(vlookup(A25,'전적확인_시즌3'!$A$2:$S$100,10,0),0) + iferror(vlookup(A25,'전적확인_시즌4'!$A$2:$S$100,10,0),0) + iferror(vlookup(A25,'전적확인_시즌5'!$A$2:$S$100,10,0),0) + iferror(vlookup(A25,'전적확인_시즌6'!$A$2:$S$100,10,0),0) + iferror(vlookup(A25,'전적확인_시즌7'!$A$2:$S$100,10,0),0) + iferror(vlookup(A25,'전적확인_시즌8'!$A$2:$S$100,10,0),0) + iferror(vlookup(A25,'전적확인_시즌9'!$A$2:$S$100,10,0),0) + iferror(vlookup(A25,'전적확인_시즌10'!$A$2:$S$100,10,0),0) + iferror(vlookup(A25,'전적확인_시즌11'!$A$2:$S$100,10,0),0) + iferror(vlookup(A25,'전적확인_시즌12'!$A$2:$S$100,10,0),0) + iferror(vlookup(A25,'전적확인_시즌13'!$A$2:$S$100,10,0),0) + iferror(vlookup(A25,'전적확인_시즌14'!$A$2:$S$100,10,0),0) + iferror(vlookup(A25,'전적확인_시즌15'!$A$2:$S$100,10,0),0) + iferror(vlookup(A25,'전적확인_시즌16'!$A$2:$S$100,10,0),0) + iferror(vlookup(A25,'전적확인_시즌17'!$A$2:$S$100,10,0),0) + iferror(vlookup(A25,'전적확인_시즌17'!$A$2:$S$100,10,0),0) + iferror(vlookup(A25,'전적확인_시즌18'!$A$2:$S$100,10,0),0) + iferror(vlookup(A25,'전적확인_시즌19'!$A$2:$S$100,10,0),0) + iferror(vlookup(A25,'전적확인_시즌20'!$A$2:$S$100,10,0),0) + iferror(vlookup(A25,'전적확인_시즌21'!$A$2:$S$100,10,0),0) + iferror(vlookup(A25,'전적확인_시즌22'!$A$2:$S$100,10,0),0) + iferror(vlookup(A25,'전적확인_시즌23'!$A$2:$S$100,10,0),0) + iferror(vlookup(A25,'전적확인_시즌24'!$A$2:$S$100,10,0),0) + iferror(vlookup(A25,'전적확인_시즌25'!$A$2:$S$100,10,0),0) + iferror(vlookup(A25,'전적확인_시즌26'!$A$2:$S$100,10,0),0) + iferror(vlookup(A25,'전적확인_시즌27'!$A$2:$S$100,10,0),0) + iferror(vlookup(A25,'전적확인_시즌28'!$A$2:$S$100,10,0),0) + iferror(vlookup(A25,'전적확인_시즌29'!$A$2:$S$100,10,0),0) + iferror(vlookup(A25,'전적확인_시즌30'!$A$2:$S$100,10,0),0)</f>
        <v>51</v>
      </c>
      <c r="J25" s="98">
        <f>iferror(vlookup(A25,'전적확인'!$A$2:$S$61,11,0),0) + iferror(vlookup(A25,'전적확인_베타시즌'!$A$2:$S$100,11,0),0)+iferror(vlookup(A25,'전적확인_시즌1'!$A$2:$S$100,11,0),0)+iferror(vlookup(A25,'전적확인_시즌2'!$A$2:$S$100,11,0),0)+iferror(vlookup(A25,'전적확인_시즌3'!$A$2:$S$100,11,0),0) + iferror(vlookup(A25,'전적확인_시즌4'!$A$2:$S$100,11,0),0) + iferror(vlookup(A25,'전적확인_시즌5'!$A$2:$S$100,11,0),0) + iferror(vlookup(A25,'전적확인_시즌6'!$A$2:$S$100,11,0),0) + iferror(vlookup(A25,'전적확인_시즌7'!$A$2:$S$100,11,0),0) + iferror(vlookup(A25,'전적확인_시즌8'!$A$2:$S$100,11,0),0) + iferror(vlookup(A25,'전적확인_시즌9'!$A$2:$S$100,11,0),0) + iferror(vlookup(A25,'전적확인_시즌10'!$A$2:$S$100,11,0),0) + iferror(vlookup(A25,'전적확인_시즌11'!$A$2:$S$100,11,0),0) + iferror(vlookup(A25,'전적확인_시즌12'!$A$2:$S$100,11,0),0) + iferror(vlookup(A25,'전적확인_시즌13'!$A$2:$S$100,11,0),0) + iferror(vlookup(A25,'전적확인_시즌14'!$A$2:$S$100,11,0),0) + iferror(vlookup(A25,'전적확인_시즌15'!$A$2:$S$100,11,0),0) + iferror(vlookup(A25,'전적확인_시즌16'!$A$2:$S$100,11,0),0) + iferror(vlookup(A25,'전적확인_시즌17'!$A$2:$S$100,11,0),0) + iferror(vlookup(A25,'전적확인_시즌17'!$A$2:$S$100,11,0),0) + iferror(vlookup(A25,'전적확인_시즌18'!$A$2:$S$100,11,0),0) + iferror(vlookup(A25,'전적확인_시즌19'!$A$2:$S$100,11,0),0) + iferror(vlookup(A25,'전적확인_시즌20'!$A$2:$S$100,11,0),0) + iferror(vlookup(A25,'전적확인_시즌21'!$A$2:$S$100,11,0),0) + iferror(vlookup(A25,'전적확인_시즌22'!$A$2:$S$100,11,0),0) + iferror(vlookup(A25,'전적확인_시즌23'!$A$2:$S$100,11,0),0) + iferror(vlookup(A25,'전적확인_시즌24'!$A$2:$S$100,11,0),0) + iferror(vlookup(A25,'전적확인_시즌25'!$A$2:$S$100,11,0),0) + iferror(vlookup(A25,'전적확인_시즌26'!$A$2:$S$100,11,0),0) + iferror(vlookup(A25,'전적확인_시즌27'!$A$2:$S$100,11,0),0) + iferror(vlookup(A25,'전적확인_시즌28'!$A$2:$S$100,11,0),0) + iferror(vlookup(A25,'전적확인_시즌29'!$A$2:$S$100,11,0),0) + iferror(vlookup(A25,'전적확인_시즌30'!$A$2:$S$100,11,0),0)</f>
        <v>70</v>
      </c>
      <c r="K25" s="98">
        <f t="shared" si="2"/>
        <v>42.15</v>
      </c>
      <c r="L25" s="95">
        <f t="array" ref="L25">iferror(vlookup(A25,INDIRECT('시즌목록'!$H$2 &amp; "!$A$2:$S$100"),10,0),0)</f>
        <v>30</v>
      </c>
      <c r="M25" s="95">
        <f t="array" ref="M25">iferror(vlookup(A25,INDIRECT('시즌목록'!$H$2 &amp; "!$A$2:$S$100"),11,0),0)</f>
        <v>44</v>
      </c>
      <c r="N25" s="98">
        <f t="shared" si="3"/>
        <v>40.54</v>
      </c>
      <c r="O25" s="95" t="str">
        <f t="shared" si="4"/>
        <v>골드</v>
      </c>
      <c r="P25" s="98">
        <f>iferror(vlookup(A25,'전적확인'!$A$2:$S$61,2,0),0)+ iferror(vlookup(A25,'전적확인_베타시즌'!$A$2:$S$100,2,0),0)+iferror(vlookup(A25,'전적확인_시즌1'!$A$2:$S$100,2,0),0)+iferror(vlookup(A25,'전적확인_시즌2'!$A$2:$S$100,2,0),0)+iferror(vlookup(A25,'전적확인_시즌3'!$A$2:$S$100,2,0),0) + iferror(vlookup(A25,'전적확인_시즌4'!$A$2:$S$100,2,0),0) + iferror(vlookup(A25,'전적확인_시즌5'!$A$2:$S$100,2,0),0) + iferror(vlookup(A25,'전적확인_시즌6'!$A$2:$S$100,2,0),0) + iferror(vlookup(A25,'전적확인_시즌7'!$A$2:$S$100,2,0),0) + iferror(vlookup(A25,'전적확인_시즌8'!$A$2:$S$100,2,0),0) + iferror(vlookup(A25,'전적확인_시즌9'!$A$2:$S$100,2,0),0) + iferror(vlookup(A25,'전적확인_시즌10'!$A$2:$S$100,2,0),0) + iferror(vlookup(A25,'전적확인_시즌11'!$A$2:$S$100,2,0),0) + iferror(vlookup(A25,'전적확인_시즌12'!$A$2:$S$100,2,0),0) + iferror(vlookup(A25,'전적확인_시즌13'!$A$2:$S$100,2,0),0) + iferror(vlookup(A25,'전적확인_시즌14'!$A$2:$S$100,2,0),0) + iferror(vlookup(A25,'전적확인_시즌15'!$A$2:$S$100,2,0),0) + iferror(vlookup(A25,'전적확인_시즌16'!$A$2:$S$100,2,0),0) + iferror(vlookup(A25,'전적확인_시즌17'!$A$2:$S$100,2,0),0) + iferror(vlookup(A25,'전적확인_시즌17'!$A$2:$S$100,2,0),0) + iferror(vlookup(A25,'전적확인_시즌18'!$A$2:$S$100,2,0),0) + iferror(vlookup(A25,'전적확인_시즌19'!$A$2:$S$100,2,0),0) + iferror(vlookup(A25,'전적확인_시즌20'!$A$2:$S$100,2,0),0) + iferror(vlookup(A25,'전적확인_시즌21'!$A$2:$S$100,2,0),0) + iferror(vlookup(A25,'전적확인_시즌22'!$A$2:$S$100,2,0),0) + iferror(vlookup(A25,'전적확인_시즌23'!$A$2:$S$100,2,0),0) + iferror(vlookup(A25,'전적확인_시즌24'!$A$2:$S$100,2,0),0) + iferror(vlookup(A25,'전적확인_시즌25'!$A$2:$S$100,2,0),0) + iferror(vlookup(A25,'전적확인_시즌26'!$A$2:$S$100,2,0),0) + iferror(vlookup(A25,'전적확인_시즌27'!$A$2:$S$100,2,0),0) + iferror(vlookup(A25,'전적확인_시즌28'!$A$2:$S$100,2,0),0) + iferror(vlookup(A25,'전적확인_시즌29'!$A$2:$S$100,2,0),0) + iferror(vlookup(A25,'전적확인_시즌30'!$A$2:$S$100,2,0),0)</f>
        <v>13</v>
      </c>
      <c r="Q25" s="98">
        <f>iferror(vlookup(A25,'전적확인'!$A$2:$S$61,3,0),0)+ iferror(vlookup(A25,'전적확인_베타시즌'!$A$2:$S$100,3,0),0)+iferror(vlookup(A25,'전적확인_시즌1'!$A$2:$S$100,3,0),0)+iferror(vlookup(A25,'전적확인_시즌2'!$A$2:$S$100,3,0),0)+iferror(vlookup(A25,'전적확인_시즌3'!$A$2:$S$100,3,0),0) + iferror(vlookup(A25,'전적확인_시즌4'!$A$2:$S$100,3,0),0) + iferror(vlookup(A25,'전적확인_시즌5'!$A$2:$S$100,3,0),0) + iferror(vlookup(A25,'전적확인_시즌6'!$A$2:$S$100,3,0),0) + iferror(vlookup(A25,'전적확인_시즌7'!$A$2:$S$100,3,0),0) + iferror(vlookup(A25,'전적확인_시즌8'!$A$2:$S$100,3,0),0) + iferror(vlookup(A25,'전적확인_시즌9'!$A$2:$S$100,3,0),0) + iferror(vlookup(A25,'전적확인_시즌10'!$A$2:$S$100,3,0),0) + iferror(vlookup(A25,'전적확인_시즌11'!$A$2:$S$100,3,0),0) + iferror(vlookup(A25,'전적확인_시즌12'!$A$2:$S$100,3,0),0) + iferror(vlookup(A25,'전적확인_시즌13'!$A$2:$S$100,3,0),0) + iferror(vlookup(A25,'전적확인_시즌14'!$A$2:$S$100,3,0),0) + iferror(vlookup(A25,'전적확인_시즌15'!$A$2:$S$100,3,0),0) + iferror(vlookup(A25,'전적확인_시즌16'!$A$2:$S$100,3,0),0) + iferror(vlookup(A25,'전적확인_시즌17'!$A$2:$S$100,3,0),0) + iferror(vlookup(A25,'전적확인_시즌17'!$A$2:$S$100,3,0),0) + iferror(vlookup(A25,'전적확인_시즌18'!$A$2:$S$100,3,0),0) + iferror(vlookup(A25,'전적확인_시즌19'!$A$2:$S$100,3,0),0) + iferror(vlookup(A25,'전적확인_시즌20'!$A$2:$S$100,3,0),0) + iferror(vlookup(A25,'전적확인_시즌21'!$A$2:$S$100,3,0),0) + iferror(vlookup(A25,'전적확인_시즌22'!$A$2:$S$100,3,0),0) + iferror(vlookup(A25,'전적확인_시즌23'!$A$2:$S$100,3,0),0) + iferror(vlookup(A25,'전적확인_시즌24'!$A$2:$S$100,3,0),0) + iferror(vlookup(A25,'전적확인_시즌25'!$A$2:$S$100,3,0),0) + iferror(vlookup(A25,'전적확인_시즌26'!$A$2:$S$100,3,0),0) + iferror(vlookup(A25,'전적확인_시즌27'!$A$2:$S$100,3,0),0) + iferror(vlookup(A25,'전적확인_시즌28'!$A$2:$S$100,3,0),0) + iferror(vlookup(A25,'전적확인_시즌29'!$A$2:$S$100,3,0),0) + iferror(vlookup(A25,'전적확인_시즌30'!$A$2:$S$100,3,0),0)</f>
        <v>25</v>
      </c>
      <c r="R25" s="98">
        <v>34.21</v>
      </c>
      <c r="S25" s="98">
        <v>19.0</v>
      </c>
      <c r="T25" s="98">
        <v>26.0</v>
      </c>
      <c r="U25" s="98">
        <v>42.22</v>
      </c>
      <c r="V25" s="98">
        <v>19.0</v>
      </c>
      <c r="W25" s="98">
        <v>19.0</v>
      </c>
      <c r="X25" s="98">
        <v>50.0</v>
      </c>
      <c r="Y25" s="98">
        <v>0.0</v>
      </c>
      <c r="Z25" s="98">
        <v>0.0</v>
      </c>
      <c r="AA25" s="98">
        <v>0.0</v>
      </c>
      <c r="AB25" s="2"/>
      <c r="AC25" s="2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>
      <c r="A26" s="95" t="s">
        <v>9715</v>
      </c>
      <c r="B26" s="95" t="s">
        <v>9716</v>
      </c>
      <c r="C26" s="95" t="s">
        <v>9717</v>
      </c>
      <c r="D26" s="95" t="s">
        <v>9718</v>
      </c>
      <c r="E26" s="95" t="s">
        <v>9719</v>
      </c>
      <c r="F26" s="1" t="s">
        <v>47</v>
      </c>
      <c r="G26" s="3"/>
      <c r="H26" s="98">
        <v>105.0</v>
      </c>
      <c r="I26" s="98">
        <v>44.0</v>
      </c>
      <c r="J26" s="98">
        <v>61.0</v>
      </c>
      <c r="K26" s="98">
        <v>41.9</v>
      </c>
      <c r="L26" s="95">
        <v>0.0</v>
      </c>
      <c r="M26" s="95">
        <v>0.0</v>
      </c>
      <c r="N26" s="98">
        <v>0.0</v>
      </c>
      <c r="O26" s="95" t="s">
        <v>9720</v>
      </c>
      <c r="P26" s="98">
        <v>9.0</v>
      </c>
      <c r="Q26" s="98">
        <v>13.0</v>
      </c>
      <c r="R26" s="98">
        <v>40.91</v>
      </c>
      <c r="S26" s="98">
        <v>12.0</v>
      </c>
      <c r="T26" s="98">
        <v>16.0</v>
      </c>
      <c r="U26" s="98">
        <v>42.86</v>
      </c>
      <c r="V26" s="98">
        <v>12.0</v>
      </c>
      <c r="W26" s="98">
        <v>18.0</v>
      </c>
      <c r="X26" s="98">
        <v>40.0</v>
      </c>
      <c r="Y26" s="98">
        <v>11.0</v>
      </c>
      <c r="Z26" s="98">
        <v>14.0</v>
      </c>
      <c r="AA26" s="98">
        <v>44.0</v>
      </c>
      <c r="AB26" s="2"/>
      <c r="AC26" s="2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>
      <c r="A27" s="95" t="s">
        <v>45</v>
      </c>
      <c r="B27" s="95" t="s">
        <v>9667</v>
      </c>
      <c r="C27" s="95" t="s">
        <v>9667</v>
      </c>
      <c r="D27" s="95" t="s">
        <v>9667</v>
      </c>
      <c r="E27" s="95" t="s">
        <v>9667</v>
      </c>
      <c r="F27" s="3"/>
      <c r="G27" s="3"/>
      <c r="H27" s="98">
        <v>187.0</v>
      </c>
      <c r="I27" s="98">
        <v>78.0</v>
      </c>
      <c r="J27" s="98">
        <v>109.0</v>
      </c>
      <c r="K27" s="98">
        <v>41.71</v>
      </c>
      <c r="L27" s="95">
        <v>25.0</v>
      </c>
      <c r="M27" s="95">
        <v>49.0</v>
      </c>
      <c r="N27" s="98">
        <v>33.78</v>
      </c>
      <c r="O27" s="95" t="s">
        <v>9721</v>
      </c>
      <c r="P27" s="98">
        <v>1.0</v>
      </c>
      <c r="Q27" s="98">
        <v>1.0</v>
      </c>
      <c r="R27" s="98">
        <v>50.0</v>
      </c>
      <c r="S27" s="98">
        <v>22.0</v>
      </c>
      <c r="T27" s="98">
        <v>44.0</v>
      </c>
      <c r="U27" s="98">
        <v>33.33</v>
      </c>
      <c r="V27" s="98">
        <v>26.0</v>
      </c>
      <c r="W27" s="98">
        <v>32.0</v>
      </c>
      <c r="X27" s="98">
        <v>44.83</v>
      </c>
      <c r="Y27" s="98">
        <v>29.0</v>
      </c>
      <c r="Z27" s="98">
        <v>32.0</v>
      </c>
      <c r="AA27" s="98">
        <v>47.54</v>
      </c>
      <c r="AB27" s="2"/>
      <c r="AC27" s="2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>
      <c r="A28" s="95" t="s">
        <v>9722</v>
      </c>
      <c r="B28" s="95" t="s">
        <v>9723</v>
      </c>
      <c r="C28" s="95" t="s">
        <v>9724</v>
      </c>
      <c r="D28" s="95" t="s">
        <v>9725</v>
      </c>
      <c r="E28" s="95" t="s">
        <v>9726</v>
      </c>
      <c r="F28" s="95" t="s">
        <v>47</v>
      </c>
      <c r="G28" s="95" t="s">
        <v>9684</v>
      </c>
      <c r="H28" s="98">
        <v>156.0</v>
      </c>
      <c r="I28" s="98">
        <v>64.0</v>
      </c>
      <c r="J28" s="98">
        <v>92.0</v>
      </c>
      <c r="K28" s="98">
        <v>41.03</v>
      </c>
      <c r="L28" s="95">
        <v>0.0</v>
      </c>
      <c r="M28" s="95">
        <v>0.0</v>
      </c>
      <c r="N28" s="98">
        <v>0.0</v>
      </c>
      <c r="O28" s="95" t="s">
        <v>9720</v>
      </c>
      <c r="P28" s="98">
        <v>13.0</v>
      </c>
      <c r="Q28" s="98">
        <v>28.0</v>
      </c>
      <c r="R28" s="98">
        <v>31.71</v>
      </c>
      <c r="S28" s="98">
        <v>15.0</v>
      </c>
      <c r="T28" s="98">
        <v>20.0</v>
      </c>
      <c r="U28" s="98">
        <v>42.86</v>
      </c>
      <c r="V28" s="98">
        <v>17.0</v>
      </c>
      <c r="W28" s="98">
        <v>16.0</v>
      </c>
      <c r="X28" s="98">
        <v>51.52</v>
      </c>
      <c r="Y28" s="98">
        <v>19.0</v>
      </c>
      <c r="Z28" s="98">
        <v>28.0</v>
      </c>
      <c r="AA28" s="98">
        <v>40.43</v>
      </c>
      <c r="AB28" s="2"/>
      <c r="AC28" s="2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>
      <c r="A29" s="95" t="s">
        <v>60</v>
      </c>
      <c r="B29" s="95" t="s">
        <v>9727</v>
      </c>
      <c r="C29" s="95" t="s">
        <v>9728</v>
      </c>
      <c r="D29" s="95" t="s">
        <v>9729</v>
      </c>
      <c r="E29" s="95" t="s">
        <v>9730</v>
      </c>
      <c r="F29" s="95" t="s">
        <v>47</v>
      </c>
      <c r="G29" s="3"/>
      <c r="H29" s="98">
        <v>675.0</v>
      </c>
      <c r="I29" s="98">
        <v>273.0</v>
      </c>
      <c r="J29" s="98">
        <v>402.0</v>
      </c>
      <c r="K29" s="98">
        <v>40.44</v>
      </c>
      <c r="L29" s="95">
        <v>0.0</v>
      </c>
      <c r="M29" s="95">
        <v>2.0</v>
      </c>
      <c r="N29" s="98">
        <v>0.0</v>
      </c>
      <c r="O29" s="95" t="s">
        <v>9720</v>
      </c>
      <c r="P29" s="98">
        <v>101.0</v>
      </c>
      <c r="Q29" s="98">
        <v>101.0</v>
      </c>
      <c r="R29" s="98">
        <v>50.0</v>
      </c>
      <c r="S29" s="98">
        <v>41.0</v>
      </c>
      <c r="T29" s="98">
        <v>84.0</v>
      </c>
      <c r="U29" s="98">
        <v>32.8</v>
      </c>
      <c r="V29" s="98">
        <v>70.0</v>
      </c>
      <c r="W29" s="98">
        <v>88.0</v>
      </c>
      <c r="X29" s="98">
        <v>44.3</v>
      </c>
      <c r="Y29" s="98">
        <v>61.0</v>
      </c>
      <c r="Z29" s="98">
        <v>129.0</v>
      </c>
      <c r="AA29" s="98">
        <v>32.11</v>
      </c>
      <c r="AB29" s="2"/>
      <c r="AC29" s="2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>
      <c r="A30" s="95" t="s">
        <v>9731</v>
      </c>
      <c r="B30" s="95" t="s">
        <v>9667</v>
      </c>
      <c r="C30" s="95" t="s">
        <v>9732</v>
      </c>
      <c r="D30" s="95" t="s">
        <v>9733</v>
      </c>
      <c r="E30" s="95" t="s">
        <v>9667</v>
      </c>
      <c r="F30" s="3"/>
      <c r="G30" s="95" t="s">
        <v>9684</v>
      </c>
      <c r="H30" s="98">
        <v>183.0</v>
      </c>
      <c r="I30" s="98">
        <v>74.0</v>
      </c>
      <c r="J30" s="98">
        <v>109.0</v>
      </c>
      <c r="K30" s="98">
        <v>40.44</v>
      </c>
      <c r="L30" s="95">
        <v>0.0</v>
      </c>
      <c r="M30" s="95">
        <v>0.0</v>
      </c>
      <c r="N30" s="98">
        <v>0.0</v>
      </c>
      <c r="O30" s="95" t="s">
        <v>9720</v>
      </c>
      <c r="P30" s="98">
        <v>14.0</v>
      </c>
      <c r="Q30" s="98">
        <v>22.0</v>
      </c>
      <c r="R30" s="98">
        <v>38.89</v>
      </c>
      <c r="S30" s="98">
        <v>29.0</v>
      </c>
      <c r="T30" s="98">
        <v>46.0</v>
      </c>
      <c r="U30" s="98">
        <v>38.67</v>
      </c>
      <c r="V30" s="98">
        <v>28.0</v>
      </c>
      <c r="W30" s="98">
        <v>34.0</v>
      </c>
      <c r="X30" s="98">
        <v>45.16</v>
      </c>
      <c r="Y30" s="98">
        <v>3.0</v>
      </c>
      <c r="Z30" s="98">
        <v>7.0</v>
      </c>
      <c r="AA30" s="98">
        <v>30.0</v>
      </c>
      <c r="AB30" s="3"/>
      <c r="AC30" s="2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>
      <c r="A31" s="95" t="s">
        <v>34</v>
      </c>
      <c r="B31" s="95" t="s">
        <v>9734</v>
      </c>
      <c r="C31" s="95" t="s">
        <v>9735</v>
      </c>
      <c r="D31" s="95" t="s">
        <v>34</v>
      </c>
      <c r="E31" s="95" t="s">
        <v>9667</v>
      </c>
      <c r="F31" s="95" t="s">
        <v>47</v>
      </c>
      <c r="G31" s="2"/>
      <c r="H31" s="98">
        <v>1350.0</v>
      </c>
      <c r="I31" s="98">
        <v>500.0</v>
      </c>
      <c r="J31" s="98">
        <v>850.0</v>
      </c>
      <c r="K31" s="98">
        <v>37.04</v>
      </c>
      <c r="L31" s="95">
        <v>31.0</v>
      </c>
      <c r="M31" s="95">
        <v>63.0</v>
      </c>
      <c r="N31" s="98">
        <v>32.98</v>
      </c>
      <c r="O31" s="95" t="s">
        <v>9721</v>
      </c>
      <c r="P31" s="98">
        <v>165.0</v>
      </c>
      <c r="Q31" s="98">
        <v>224.0</v>
      </c>
      <c r="R31" s="98">
        <v>42.42</v>
      </c>
      <c r="S31" s="98">
        <v>122.0</v>
      </c>
      <c r="T31" s="98">
        <v>245.0</v>
      </c>
      <c r="U31" s="98">
        <v>33.24</v>
      </c>
      <c r="V31" s="98">
        <v>141.0</v>
      </c>
      <c r="W31" s="98">
        <v>256.0</v>
      </c>
      <c r="X31" s="98">
        <v>35.52</v>
      </c>
      <c r="Y31" s="98">
        <v>72.0</v>
      </c>
      <c r="Z31" s="98">
        <v>125.0</v>
      </c>
      <c r="AA31" s="98">
        <v>36.55</v>
      </c>
      <c r="AB31" s="2"/>
      <c r="AC31" s="2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>
      <c r="A32" s="95" t="s">
        <v>9736</v>
      </c>
      <c r="B32" s="95" t="s">
        <v>9737</v>
      </c>
      <c r="C32" s="95" t="s">
        <v>9738</v>
      </c>
      <c r="D32" s="95" t="s">
        <v>9739</v>
      </c>
      <c r="E32" s="95" t="s">
        <v>9740</v>
      </c>
      <c r="F32" s="2"/>
      <c r="G32" s="2"/>
      <c r="H32" s="98">
        <v>124.0</v>
      </c>
      <c r="I32" s="98">
        <v>44.0</v>
      </c>
      <c r="J32" s="98">
        <v>80.0</v>
      </c>
      <c r="K32" s="98">
        <v>35.48</v>
      </c>
      <c r="L32" s="95">
        <v>0.0</v>
      </c>
      <c r="M32" s="95">
        <v>0.0</v>
      </c>
      <c r="N32" s="98">
        <v>0.0</v>
      </c>
      <c r="O32" s="95" t="s">
        <v>9720</v>
      </c>
      <c r="P32" s="98">
        <v>14.0</v>
      </c>
      <c r="Q32" s="98">
        <v>27.0</v>
      </c>
      <c r="R32" s="98">
        <v>34.15</v>
      </c>
      <c r="S32" s="98">
        <v>1.0</v>
      </c>
      <c r="T32" s="98">
        <v>1.0</v>
      </c>
      <c r="U32" s="98">
        <v>50.0</v>
      </c>
      <c r="V32" s="98">
        <v>12.0</v>
      </c>
      <c r="W32" s="98">
        <v>17.0</v>
      </c>
      <c r="X32" s="98">
        <v>41.38</v>
      </c>
      <c r="Y32" s="98">
        <v>17.0</v>
      </c>
      <c r="Z32" s="98">
        <v>35.0</v>
      </c>
      <c r="AA32" s="98">
        <v>32.69</v>
      </c>
      <c r="AB32" s="2"/>
      <c r="AC32" s="2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>
      <c r="A33" s="95" t="s">
        <v>44</v>
      </c>
      <c r="B33" s="95" t="s">
        <v>9667</v>
      </c>
      <c r="C33" s="95" t="s">
        <v>9667</v>
      </c>
      <c r="D33" s="95" t="s">
        <v>9667</v>
      </c>
      <c r="E33" s="95" t="s">
        <v>9667</v>
      </c>
      <c r="F33" s="3"/>
      <c r="G33" s="2"/>
      <c r="H33" s="98">
        <v>105.0</v>
      </c>
      <c r="I33" s="98">
        <v>34.0</v>
      </c>
      <c r="J33" s="98">
        <v>71.0</v>
      </c>
      <c r="K33" s="98">
        <v>32.38</v>
      </c>
      <c r="L33" s="95">
        <v>15.0</v>
      </c>
      <c r="M33" s="95">
        <v>34.0</v>
      </c>
      <c r="N33" s="98">
        <v>30.61</v>
      </c>
      <c r="O33" s="95" t="s">
        <v>9720</v>
      </c>
      <c r="P33" s="98">
        <v>10.0</v>
      </c>
      <c r="Q33" s="98">
        <v>16.0</v>
      </c>
      <c r="R33" s="98">
        <v>38.46</v>
      </c>
      <c r="S33" s="98">
        <v>9.0</v>
      </c>
      <c r="T33" s="98">
        <v>21.0</v>
      </c>
      <c r="U33" s="98">
        <v>30.0</v>
      </c>
      <c r="V33" s="98">
        <v>5.0</v>
      </c>
      <c r="W33" s="98">
        <v>16.0</v>
      </c>
      <c r="X33" s="98">
        <v>23.81</v>
      </c>
      <c r="Y33" s="98">
        <v>10.0</v>
      </c>
      <c r="Z33" s="98">
        <v>18.0</v>
      </c>
      <c r="AA33" s="98">
        <v>35.71</v>
      </c>
      <c r="AB33" s="2"/>
      <c r="AC33" s="2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>
      <c r="A34" s="95" t="s">
        <v>9741</v>
      </c>
      <c r="B34" s="3"/>
      <c r="C34" s="3"/>
      <c r="D34" s="3"/>
      <c r="E34" s="3"/>
      <c r="F34" s="2"/>
      <c r="G34" s="2"/>
      <c r="H34" s="98">
        <v>84.0</v>
      </c>
      <c r="I34" s="98">
        <v>43.0</v>
      </c>
      <c r="J34" s="98">
        <v>41.0</v>
      </c>
      <c r="K34" s="98">
        <v>51.19</v>
      </c>
      <c r="L34" s="95">
        <v>0.0</v>
      </c>
      <c r="M34" s="95">
        <v>0.0</v>
      </c>
      <c r="N34" s="98">
        <v>0.0</v>
      </c>
      <c r="O34" s="95" t="s">
        <v>9720</v>
      </c>
      <c r="P34" s="98">
        <v>7.0</v>
      </c>
      <c r="Q34" s="98">
        <v>6.0</v>
      </c>
      <c r="R34" s="98">
        <v>53.85</v>
      </c>
      <c r="S34" s="98">
        <v>14.0</v>
      </c>
      <c r="T34" s="98">
        <v>12.0</v>
      </c>
      <c r="U34" s="98">
        <v>53.85</v>
      </c>
      <c r="V34" s="98">
        <v>9.0</v>
      </c>
      <c r="W34" s="98">
        <v>6.0</v>
      </c>
      <c r="X34" s="98">
        <v>60.0</v>
      </c>
      <c r="Y34" s="98">
        <v>13.0</v>
      </c>
      <c r="Z34" s="98">
        <v>17.0</v>
      </c>
      <c r="AA34" s="98">
        <v>43.33</v>
      </c>
      <c r="AB34" s="2"/>
      <c r="AC34" s="2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>
      <c r="A35" s="95" t="s">
        <v>32</v>
      </c>
      <c r="B35" s="95" t="s">
        <v>9667</v>
      </c>
      <c r="C35" s="95" t="s">
        <v>9667</v>
      </c>
      <c r="D35" s="95" t="s">
        <v>9667</v>
      </c>
      <c r="E35" s="95" t="s">
        <v>9667</v>
      </c>
      <c r="F35" s="2"/>
      <c r="G35" s="2"/>
      <c r="H35" s="98">
        <v>79.0</v>
      </c>
      <c r="I35" s="98">
        <v>38.0</v>
      </c>
      <c r="J35" s="98">
        <v>41.0</v>
      </c>
      <c r="K35" s="98">
        <v>48.1</v>
      </c>
      <c r="L35" s="95">
        <v>13.0</v>
      </c>
      <c r="M35" s="95">
        <v>14.0</v>
      </c>
      <c r="N35" s="98">
        <v>48.15</v>
      </c>
      <c r="O35" s="95" t="s">
        <v>9720</v>
      </c>
      <c r="P35" s="98">
        <v>6.0</v>
      </c>
      <c r="Q35" s="98">
        <v>7.0</v>
      </c>
      <c r="R35" s="98">
        <v>46.15</v>
      </c>
      <c r="S35" s="98">
        <v>10.0</v>
      </c>
      <c r="T35" s="98">
        <v>16.0</v>
      </c>
      <c r="U35" s="98">
        <v>38.46</v>
      </c>
      <c r="V35" s="98">
        <v>13.0</v>
      </c>
      <c r="W35" s="98">
        <v>9.0</v>
      </c>
      <c r="X35" s="98">
        <v>59.09</v>
      </c>
      <c r="Y35" s="98">
        <v>9.0</v>
      </c>
      <c r="Z35" s="98">
        <v>9.0</v>
      </c>
      <c r="AA35" s="98">
        <v>50.0</v>
      </c>
      <c r="AB35" s="2"/>
      <c r="AC35" s="2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>
      <c r="A36" s="95" t="s">
        <v>40</v>
      </c>
      <c r="B36" s="95" t="s">
        <v>9667</v>
      </c>
      <c r="C36" s="95" t="s">
        <v>9667</v>
      </c>
      <c r="D36" s="95" t="s">
        <v>9667</v>
      </c>
      <c r="E36" s="95" t="s">
        <v>9667</v>
      </c>
      <c r="F36" s="2"/>
      <c r="G36" s="2"/>
      <c r="H36" s="98">
        <v>79.0</v>
      </c>
      <c r="I36" s="98">
        <v>35.0</v>
      </c>
      <c r="J36" s="98">
        <v>44.0</v>
      </c>
      <c r="K36" s="98">
        <v>44.3</v>
      </c>
      <c r="L36" s="95">
        <v>0.0</v>
      </c>
      <c r="M36" s="95">
        <v>0.0</v>
      </c>
      <c r="N36" s="98">
        <v>0.0</v>
      </c>
      <c r="O36" s="95" t="s">
        <v>9720</v>
      </c>
      <c r="P36" s="98">
        <v>3.0</v>
      </c>
      <c r="Q36" s="98">
        <v>13.0</v>
      </c>
      <c r="R36" s="98">
        <v>18.75</v>
      </c>
      <c r="S36" s="98">
        <v>0.0</v>
      </c>
      <c r="T36" s="98">
        <v>3.0</v>
      </c>
      <c r="U36" s="98">
        <v>0.0</v>
      </c>
      <c r="V36" s="98">
        <v>12.0</v>
      </c>
      <c r="W36" s="98">
        <v>15.0</v>
      </c>
      <c r="X36" s="98">
        <v>44.44</v>
      </c>
      <c r="Y36" s="98">
        <v>20.0</v>
      </c>
      <c r="Z36" s="98">
        <v>13.0</v>
      </c>
      <c r="AA36" s="98">
        <v>60.61</v>
      </c>
      <c r="AB36" s="2"/>
      <c r="AC36" s="2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>
      <c r="A37" s="95" t="s">
        <v>9742</v>
      </c>
      <c r="B37" s="95" t="s">
        <v>9667</v>
      </c>
      <c r="C37" s="95" t="s">
        <v>9667</v>
      </c>
      <c r="D37" s="95" t="s">
        <v>9667</v>
      </c>
      <c r="E37" s="95" t="s">
        <v>9667</v>
      </c>
      <c r="F37" s="2"/>
      <c r="G37" s="2"/>
      <c r="H37" s="98">
        <v>55.0</v>
      </c>
      <c r="I37" s="98">
        <v>21.0</v>
      </c>
      <c r="J37" s="98">
        <v>34.0</v>
      </c>
      <c r="K37" s="98">
        <v>38.18</v>
      </c>
      <c r="L37" s="95">
        <v>0.0</v>
      </c>
      <c r="M37" s="95">
        <v>0.0</v>
      </c>
      <c r="N37" s="98">
        <v>0.0</v>
      </c>
      <c r="O37" s="95" t="s">
        <v>9720</v>
      </c>
      <c r="P37" s="98">
        <v>1.0</v>
      </c>
      <c r="Q37" s="98">
        <v>13.0</v>
      </c>
      <c r="R37" s="98">
        <v>7.14</v>
      </c>
      <c r="S37" s="98">
        <v>1.0</v>
      </c>
      <c r="T37" s="98">
        <v>1.0</v>
      </c>
      <c r="U37" s="98">
        <v>50.0</v>
      </c>
      <c r="V37" s="98">
        <v>19.0</v>
      </c>
      <c r="W37" s="98">
        <v>20.0</v>
      </c>
      <c r="X37" s="98">
        <v>48.72</v>
      </c>
      <c r="Y37" s="98">
        <v>0.0</v>
      </c>
      <c r="Z37" s="98">
        <v>0.0</v>
      </c>
      <c r="AA37" s="98">
        <v>0.0</v>
      </c>
      <c r="AB37" s="2"/>
      <c r="AC37" s="2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>
      <c r="A38" s="95" t="s">
        <v>58</v>
      </c>
      <c r="B38" s="95" t="s">
        <v>9667</v>
      </c>
      <c r="C38" s="95" t="s">
        <v>9667</v>
      </c>
      <c r="D38" s="95" t="s">
        <v>9667</v>
      </c>
      <c r="E38" s="95" t="s">
        <v>9667</v>
      </c>
      <c r="F38" s="2"/>
      <c r="G38" s="2"/>
      <c r="H38" s="98">
        <v>45.0</v>
      </c>
      <c r="I38" s="98">
        <v>18.0</v>
      </c>
      <c r="J38" s="98">
        <v>27.0</v>
      </c>
      <c r="K38" s="98">
        <v>40.0</v>
      </c>
      <c r="L38" s="95">
        <v>1.0</v>
      </c>
      <c r="M38" s="95">
        <v>6.0</v>
      </c>
      <c r="N38" s="98">
        <v>14.29</v>
      </c>
      <c r="O38" s="95" t="s">
        <v>9720</v>
      </c>
      <c r="P38" s="98">
        <v>5.0</v>
      </c>
      <c r="Q38" s="98">
        <v>9.0</v>
      </c>
      <c r="R38" s="98">
        <v>35.71</v>
      </c>
      <c r="S38" s="98">
        <v>7.0</v>
      </c>
      <c r="T38" s="98">
        <v>10.0</v>
      </c>
      <c r="U38" s="98">
        <v>41.18</v>
      </c>
      <c r="V38" s="98">
        <v>6.0</v>
      </c>
      <c r="W38" s="98">
        <v>8.0</v>
      </c>
      <c r="X38" s="98">
        <v>42.86</v>
      </c>
      <c r="Y38" s="98">
        <v>0.0</v>
      </c>
      <c r="Z38" s="98">
        <v>0.0</v>
      </c>
      <c r="AA38" s="98">
        <v>0.0</v>
      </c>
      <c r="AB38" s="2"/>
      <c r="AC38" s="2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>
      <c r="A39" s="95" t="s">
        <v>54</v>
      </c>
      <c r="B39" s="95" t="s">
        <v>9667</v>
      </c>
      <c r="C39" s="95" t="s">
        <v>9667</v>
      </c>
      <c r="D39" s="95" t="s">
        <v>9667</v>
      </c>
      <c r="E39" s="95" t="s">
        <v>9667</v>
      </c>
      <c r="F39" s="2"/>
      <c r="G39" s="2"/>
      <c r="H39" s="98">
        <v>51.0</v>
      </c>
      <c r="I39" s="98">
        <v>17.0</v>
      </c>
      <c r="J39" s="98">
        <v>34.0</v>
      </c>
      <c r="K39" s="98">
        <v>33.33</v>
      </c>
      <c r="L39" s="95">
        <v>5.0</v>
      </c>
      <c r="M39" s="95">
        <v>14.0</v>
      </c>
      <c r="N39" s="98">
        <v>26.32</v>
      </c>
      <c r="O39" s="95" t="s">
        <v>9720</v>
      </c>
      <c r="P39" s="98">
        <v>5.0</v>
      </c>
      <c r="Q39" s="98">
        <v>8.0</v>
      </c>
      <c r="R39" s="98">
        <v>38.46</v>
      </c>
      <c r="S39" s="98">
        <v>0.0</v>
      </c>
      <c r="T39" s="98">
        <v>1.0</v>
      </c>
      <c r="U39" s="98">
        <v>0.0</v>
      </c>
      <c r="V39" s="98">
        <v>3.0</v>
      </c>
      <c r="W39" s="98">
        <v>8.0</v>
      </c>
      <c r="X39" s="98">
        <v>27.27</v>
      </c>
      <c r="Y39" s="98">
        <v>9.0</v>
      </c>
      <c r="Z39" s="98">
        <v>17.0</v>
      </c>
      <c r="AA39" s="98">
        <v>34.62</v>
      </c>
      <c r="AB39" s="2"/>
      <c r="AC39" s="2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>
      <c r="A40" s="95" t="s">
        <v>9743</v>
      </c>
      <c r="B40" s="95" t="s">
        <v>9667</v>
      </c>
      <c r="C40" s="95" t="s">
        <v>9667</v>
      </c>
      <c r="D40" s="95" t="s">
        <v>9696</v>
      </c>
      <c r="E40" s="95" t="s">
        <v>9744</v>
      </c>
      <c r="F40" s="2"/>
      <c r="G40" s="2"/>
      <c r="H40" s="98">
        <v>47.0</v>
      </c>
      <c r="I40" s="98">
        <v>17.0</v>
      </c>
      <c r="J40" s="98">
        <v>30.0</v>
      </c>
      <c r="K40" s="98">
        <v>36.17</v>
      </c>
      <c r="L40" s="95">
        <v>0.0</v>
      </c>
      <c r="M40" s="95">
        <v>0.0</v>
      </c>
      <c r="N40" s="98">
        <v>0.0</v>
      </c>
      <c r="O40" s="95" t="s">
        <v>9720</v>
      </c>
      <c r="P40" s="98">
        <v>4.0</v>
      </c>
      <c r="Q40" s="98">
        <v>6.0</v>
      </c>
      <c r="R40" s="98">
        <v>40.0</v>
      </c>
      <c r="S40" s="98">
        <v>1.0</v>
      </c>
      <c r="T40" s="98">
        <v>3.0</v>
      </c>
      <c r="U40" s="98">
        <v>25.0</v>
      </c>
      <c r="V40" s="98">
        <v>5.0</v>
      </c>
      <c r="W40" s="98">
        <v>13.0</v>
      </c>
      <c r="X40" s="98">
        <v>27.78</v>
      </c>
      <c r="Y40" s="98">
        <v>7.0</v>
      </c>
      <c r="Z40" s="98">
        <v>8.0</v>
      </c>
      <c r="AA40" s="98">
        <v>46.67</v>
      </c>
      <c r="AB40" s="2"/>
      <c r="AC40" s="2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>
      <c r="A41" s="95" t="s">
        <v>9745</v>
      </c>
      <c r="B41" s="95" t="s">
        <v>9667</v>
      </c>
      <c r="C41" s="95" t="s">
        <v>9667</v>
      </c>
      <c r="D41" s="95" t="s">
        <v>9667</v>
      </c>
      <c r="E41" s="95" t="s">
        <v>9667</v>
      </c>
      <c r="F41" s="2"/>
      <c r="G41" s="2"/>
      <c r="H41" s="98">
        <v>32.0</v>
      </c>
      <c r="I41" s="98">
        <v>16.0</v>
      </c>
      <c r="J41" s="98">
        <v>16.0</v>
      </c>
      <c r="K41" s="98">
        <v>50.0</v>
      </c>
      <c r="L41" s="95">
        <v>0.0</v>
      </c>
      <c r="M41" s="95">
        <v>0.0</v>
      </c>
      <c r="N41" s="98">
        <v>0.0</v>
      </c>
      <c r="O41" s="95" t="s">
        <v>9720</v>
      </c>
      <c r="P41" s="98">
        <v>1.0</v>
      </c>
      <c r="Q41" s="98">
        <v>4.0</v>
      </c>
      <c r="R41" s="98">
        <v>20.0</v>
      </c>
      <c r="S41" s="98">
        <v>3.0</v>
      </c>
      <c r="T41" s="98">
        <v>0.0</v>
      </c>
      <c r="U41" s="98">
        <v>100.0</v>
      </c>
      <c r="V41" s="98">
        <v>1.0</v>
      </c>
      <c r="W41" s="98">
        <v>1.0</v>
      </c>
      <c r="X41" s="98">
        <v>50.0</v>
      </c>
      <c r="Y41" s="98">
        <v>11.0</v>
      </c>
      <c r="Z41" s="98">
        <v>11.0</v>
      </c>
      <c r="AA41" s="98">
        <v>50.0</v>
      </c>
      <c r="AB41" s="2"/>
      <c r="AC41" s="2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>
      <c r="A42" s="95" t="s">
        <v>9746</v>
      </c>
      <c r="B42" s="95" t="s">
        <v>9747</v>
      </c>
      <c r="C42" s="95" t="s">
        <v>9667</v>
      </c>
      <c r="D42" s="95" t="s">
        <v>9748</v>
      </c>
      <c r="E42" s="95" t="s">
        <v>9749</v>
      </c>
      <c r="F42" s="2"/>
      <c r="G42" s="2"/>
      <c r="H42" s="98">
        <v>31.0</v>
      </c>
      <c r="I42" s="98">
        <v>15.0</v>
      </c>
      <c r="J42" s="98">
        <v>16.0</v>
      </c>
      <c r="K42" s="98">
        <v>48.39</v>
      </c>
      <c r="L42" s="95">
        <v>0.0</v>
      </c>
      <c r="M42" s="95">
        <v>0.0</v>
      </c>
      <c r="N42" s="98">
        <v>0.0</v>
      </c>
      <c r="O42" s="95" t="s">
        <v>9720</v>
      </c>
      <c r="P42" s="98">
        <v>7.0</v>
      </c>
      <c r="Q42" s="98">
        <v>7.0</v>
      </c>
      <c r="R42" s="98">
        <v>50.0</v>
      </c>
      <c r="S42" s="98">
        <v>3.0</v>
      </c>
      <c r="T42" s="98">
        <v>2.0</v>
      </c>
      <c r="U42" s="98">
        <v>60.0</v>
      </c>
      <c r="V42" s="98">
        <v>4.0</v>
      </c>
      <c r="W42" s="98">
        <v>5.0</v>
      </c>
      <c r="X42" s="98">
        <v>44.44</v>
      </c>
      <c r="Y42" s="98">
        <v>1.0</v>
      </c>
      <c r="Z42" s="98">
        <v>2.0</v>
      </c>
      <c r="AA42" s="98">
        <v>33.33</v>
      </c>
      <c r="AB42" s="2"/>
      <c r="AC42" s="2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>
      <c r="A43" s="95" t="s">
        <v>9750</v>
      </c>
      <c r="B43" s="95" t="s">
        <v>9667</v>
      </c>
      <c r="C43" s="95" t="s">
        <v>9667</v>
      </c>
      <c r="D43" s="95" t="s">
        <v>9667</v>
      </c>
      <c r="E43" s="95" t="s">
        <v>9667</v>
      </c>
      <c r="F43" s="2"/>
      <c r="G43" s="2"/>
      <c r="H43" s="98">
        <v>33.0</v>
      </c>
      <c r="I43" s="98">
        <v>14.0</v>
      </c>
      <c r="J43" s="98">
        <v>19.0</v>
      </c>
      <c r="K43" s="98">
        <v>42.42</v>
      </c>
      <c r="L43" s="95">
        <v>0.0</v>
      </c>
      <c r="M43" s="95">
        <v>0.0</v>
      </c>
      <c r="N43" s="98">
        <v>0.0</v>
      </c>
      <c r="O43" s="95" t="s">
        <v>9720</v>
      </c>
      <c r="P43" s="98">
        <v>4.0</v>
      </c>
      <c r="Q43" s="98">
        <v>3.0</v>
      </c>
      <c r="R43" s="98">
        <v>57.14</v>
      </c>
      <c r="S43" s="98">
        <v>0.0</v>
      </c>
      <c r="T43" s="98">
        <v>3.0</v>
      </c>
      <c r="U43" s="98">
        <v>0.0</v>
      </c>
      <c r="V43" s="98">
        <v>3.0</v>
      </c>
      <c r="W43" s="98">
        <v>7.0</v>
      </c>
      <c r="X43" s="98">
        <v>30.0</v>
      </c>
      <c r="Y43" s="98">
        <v>7.0</v>
      </c>
      <c r="Z43" s="98">
        <v>6.0</v>
      </c>
      <c r="AA43" s="98">
        <v>53.85</v>
      </c>
      <c r="AB43" s="2"/>
      <c r="AC43" s="2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>
      <c r="A44" s="95" t="s">
        <v>52</v>
      </c>
      <c r="B44" s="95" t="s">
        <v>9667</v>
      </c>
      <c r="C44" s="95" t="s">
        <v>9667</v>
      </c>
      <c r="D44" s="95" t="s">
        <v>9667</v>
      </c>
      <c r="E44" s="95" t="s">
        <v>9667</v>
      </c>
      <c r="F44" s="2"/>
      <c r="G44" s="2"/>
      <c r="H44" s="98">
        <v>35.0</v>
      </c>
      <c r="I44" s="98">
        <v>14.0</v>
      </c>
      <c r="J44" s="98">
        <v>21.0</v>
      </c>
      <c r="K44" s="98">
        <v>40.0</v>
      </c>
      <c r="L44" s="95">
        <v>14.0</v>
      </c>
      <c r="M44" s="95">
        <v>21.0</v>
      </c>
      <c r="N44" s="98">
        <v>40.0</v>
      </c>
      <c r="O44" s="95" t="s">
        <v>9720</v>
      </c>
      <c r="P44" s="98">
        <v>3.0</v>
      </c>
      <c r="Q44" s="98">
        <v>2.0</v>
      </c>
      <c r="R44" s="98">
        <v>60.0</v>
      </c>
      <c r="S44" s="98">
        <v>2.0</v>
      </c>
      <c r="T44" s="98">
        <v>6.0</v>
      </c>
      <c r="U44" s="98">
        <v>25.0</v>
      </c>
      <c r="V44" s="98">
        <v>4.0</v>
      </c>
      <c r="W44" s="98">
        <v>4.0</v>
      </c>
      <c r="X44" s="98">
        <v>50.0</v>
      </c>
      <c r="Y44" s="98">
        <v>5.0</v>
      </c>
      <c r="Z44" s="98">
        <v>9.0</v>
      </c>
      <c r="AA44" s="98">
        <v>35.71</v>
      </c>
      <c r="AB44" s="2"/>
      <c r="AC44" s="2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>
      <c r="A45" s="95" t="s">
        <v>9751</v>
      </c>
      <c r="B45" s="95" t="s">
        <v>9667</v>
      </c>
      <c r="C45" s="95" t="s">
        <v>9752</v>
      </c>
      <c r="D45" s="95" t="s">
        <v>9753</v>
      </c>
      <c r="E45" s="95" t="s">
        <v>9751</v>
      </c>
      <c r="F45" s="2"/>
      <c r="G45" s="2"/>
      <c r="H45" s="98">
        <v>39.0</v>
      </c>
      <c r="I45" s="98">
        <v>13.0</v>
      </c>
      <c r="J45" s="98">
        <v>26.0</v>
      </c>
      <c r="K45" s="98">
        <v>33.33</v>
      </c>
      <c r="L45" s="95">
        <v>0.0</v>
      </c>
      <c r="M45" s="95">
        <v>0.0</v>
      </c>
      <c r="N45" s="98">
        <v>0.0</v>
      </c>
      <c r="O45" s="95" t="s">
        <v>9720</v>
      </c>
      <c r="P45" s="98">
        <v>0.0</v>
      </c>
      <c r="Q45" s="98">
        <v>0.0</v>
      </c>
      <c r="R45" s="98">
        <v>0.0</v>
      </c>
      <c r="S45" s="98">
        <v>4.0</v>
      </c>
      <c r="T45" s="98">
        <v>15.0</v>
      </c>
      <c r="U45" s="98">
        <v>21.05</v>
      </c>
      <c r="V45" s="98">
        <v>2.0</v>
      </c>
      <c r="W45" s="98">
        <v>5.0</v>
      </c>
      <c r="X45" s="98">
        <v>28.57</v>
      </c>
      <c r="Y45" s="98">
        <v>7.0</v>
      </c>
      <c r="Z45" s="98">
        <v>6.0</v>
      </c>
      <c r="AA45" s="98">
        <v>53.85</v>
      </c>
      <c r="AB45" s="2"/>
      <c r="AC45" s="2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>
      <c r="A46" s="95" t="s">
        <v>9754</v>
      </c>
      <c r="B46" s="95" t="s">
        <v>9667</v>
      </c>
      <c r="C46" s="95" t="s">
        <v>9667</v>
      </c>
      <c r="D46" s="95" t="s">
        <v>9755</v>
      </c>
      <c r="E46" s="95" t="s">
        <v>9756</v>
      </c>
      <c r="F46" s="2"/>
      <c r="G46" s="2"/>
      <c r="H46" s="98">
        <v>27.0</v>
      </c>
      <c r="I46" s="98">
        <v>13.0</v>
      </c>
      <c r="J46" s="98">
        <v>14.0</v>
      </c>
      <c r="K46" s="98">
        <v>48.15</v>
      </c>
      <c r="L46" s="95">
        <v>0.0</v>
      </c>
      <c r="M46" s="95">
        <v>0.0</v>
      </c>
      <c r="N46" s="98">
        <v>0.0</v>
      </c>
      <c r="O46" s="95" t="s">
        <v>9720</v>
      </c>
      <c r="P46" s="98">
        <v>6.0</v>
      </c>
      <c r="Q46" s="98">
        <v>5.0</v>
      </c>
      <c r="R46" s="98">
        <v>54.55</v>
      </c>
      <c r="S46" s="98">
        <v>0.0</v>
      </c>
      <c r="T46" s="98">
        <v>2.0</v>
      </c>
      <c r="U46" s="98">
        <v>0.0</v>
      </c>
      <c r="V46" s="98">
        <v>3.0</v>
      </c>
      <c r="W46" s="98">
        <v>4.0</v>
      </c>
      <c r="X46" s="98">
        <v>42.86</v>
      </c>
      <c r="Y46" s="98">
        <v>4.0</v>
      </c>
      <c r="Z46" s="98">
        <v>3.0</v>
      </c>
      <c r="AA46" s="98">
        <v>57.14</v>
      </c>
      <c r="AB46" s="2"/>
      <c r="AC46" s="2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>
      <c r="A47" s="95" t="s">
        <v>48</v>
      </c>
      <c r="B47" s="95" t="s">
        <v>9667</v>
      </c>
      <c r="C47" s="95" t="s">
        <v>9667</v>
      </c>
      <c r="D47" s="95" t="s">
        <v>9667</v>
      </c>
      <c r="E47" s="95" t="s">
        <v>9667</v>
      </c>
      <c r="F47" s="3"/>
      <c r="G47" s="2"/>
      <c r="H47" s="98">
        <v>41.0</v>
      </c>
      <c r="I47" s="98">
        <v>13.0</v>
      </c>
      <c r="J47" s="98">
        <v>28.0</v>
      </c>
      <c r="K47" s="98">
        <v>31.71</v>
      </c>
      <c r="L47" s="95">
        <v>0.0</v>
      </c>
      <c r="M47" s="95">
        <v>0.0</v>
      </c>
      <c r="N47" s="98">
        <v>0.0</v>
      </c>
      <c r="O47" s="95" t="s">
        <v>9720</v>
      </c>
      <c r="P47" s="98">
        <v>6.0</v>
      </c>
      <c r="Q47" s="98">
        <v>14.0</v>
      </c>
      <c r="R47" s="98">
        <v>30.0</v>
      </c>
      <c r="S47" s="98">
        <v>3.0</v>
      </c>
      <c r="T47" s="98">
        <v>5.0</v>
      </c>
      <c r="U47" s="98">
        <v>37.5</v>
      </c>
      <c r="V47" s="98">
        <v>2.0</v>
      </c>
      <c r="W47" s="98">
        <v>8.0</v>
      </c>
      <c r="X47" s="98">
        <v>20.0</v>
      </c>
      <c r="Y47" s="98">
        <v>2.0</v>
      </c>
      <c r="Z47" s="98">
        <v>1.0</v>
      </c>
      <c r="AA47" s="98">
        <v>66.67</v>
      </c>
      <c r="AB47" s="2"/>
      <c r="AC47" s="2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>
      <c r="A48" s="95" t="s">
        <v>38</v>
      </c>
      <c r="B48" s="95" t="s">
        <v>9667</v>
      </c>
      <c r="C48" s="95" t="s">
        <v>9667</v>
      </c>
      <c r="D48" s="95" t="s">
        <v>9667</v>
      </c>
      <c r="E48" s="95" t="s">
        <v>9667</v>
      </c>
      <c r="F48" s="2"/>
      <c r="G48" s="2"/>
      <c r="H48" s="98">
        <v>20.0</v>
      </c>
      <c r="I48" s="98">
        <v>13.0</v>
      </c>
      <c r="J48" s="98">
        <v>7.0</v>
      </c>
      <c r="K48" s="98">
        <v>65.0</v>
      </c>
      <c r="L48" s="95">
        <v>0.0</v>
      </c>
      <c r="M48" s="95">
        <v>0.0</v>
      </c>
      <c r="N48" s="98">
        <v>0.0</v>
      </c>
      <c r="O48" s="95" t="s">
        <v>9720</v>
      </c>
      <c r="P48" s="98">
        <v>2.0</v>
      </c>
      <c r="Q48" s="98">
        <v>0.0</v>
      </c>
      <c r="R48" s="98">
        <v>100.0</v>
      </c>
      <c r="S48" s="98">
        <v>2.0</v>
      </c>
      <c r="T48" s="98">
        <v>3.0</v>
      </c>
      <c r="U48" s="98">
        <v>40.0</v>
      </c>
      <c r="V48" s="98">
        <v>0.0</v>
      </c>
      <c r="W48" s="98">
        <v>0.0</v>
      </c>
      <c r="X48" s="98">
        <v>0.0</v>
      </c>
      <c r="Y48" s="98">
        <v>9.0</v>
      </c>
      <c r="Z48" s="98">
        <v>4.0</v>
      </c>
      <c r="AA48" s="98">
        <v>69.23</v>
      </c>
      <c r="AB48" s="2"/>
      <c r="AC48" s="2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>
      <c r="A49" s="95" t="s">
        <v>37</v>
      </c>
      <c r="B49" s="95" t="s">
        <v>9667</v>
      </c>
      <c r="C49" s="95" t="s">
        <v>9667</v>
      </c>
      <c r="D49" s="95" t="s">
        <v>9667</v>
      </c>
      <c r="E49" s="95" t="s">
        <v>9667</v>
      </c>
      <c r="F49" s="2"/>
      <c r="G49" s="2"/>
      <c r="H49" s="98">
        <v>24.0</v>
      </c>
      <c r="I49" s="98">
        <v>12.0</v>
      </c>
      <c r="J49" s="98">
        <v>12.0</v>
      </c>
      <c r="K49" s="98">
        <v>50.0</v>
      </c>
      <c r="L49" s="95">
        <v>6.0</v>
      </c>
      <c r="M49" s="95">
        <v>7.0</v>
      </c>
      <c r="N49" s="98">
        <v>46.15</v>
      </c>
      <c r="O49" s="95" t="s">
        <v>9720</v>
      </c>
      <c r="P49" s="98">
        <v>6.0</v>
      </c>
      <c r="Q49" s="98">
        <v>1.0</v>
      </c>
      <c r="R49" s="98">
        <v>85.71</v>
      </c>
      <c r="S49" s="98">
        <v>0.0</v>
      </c>
      <c r="T49" s="98">
        <v>4.0</v>
      </c>
      <c r="U49" s="98">
        <v>0.0</v>
      </c>
      <c r="V49" s="98">
        <v>5.0</v>
      </c>
      <c r="W49" s="98">
        <v>3.0</v>
      </c>
      <c r="X49" s="98">
        <v>62.5</v>
      </c>
      <c r="Y49" s="98">
        <v>1.0</v>
      </c>
      <c r="Z49" s="98">
        <v>4.0</v>
      </c>
      <c r="AA49" s="98">
        <v>20.0</v>
      </c>
      <c r="AB49" s="2"/>
      <c r="AC49" s="2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>
      <c r="A50" s="95" t="s">
        <v>9614</v>
      </c>
      <c r="B50" s="95" t="s">
        <v>9667</v>
      </c>
      <c r="C50" s="95" t="s">
        <v>9667</v>
      </c>
      <c r="D50" s="95" t="s">
        <v>9667</v>
      </c>
      <c r="E50" s="95" t="s">
        <v>9667</v>
      </c>
      <c r="F50" s="2"/>
      <c r="G50" s="2"/>
      <c r="H50" s="98">
        <v>31.0</v>
      </c>
      <c r="I50" s="98">
        <v>9.0</v>
      </c>
      <c r="J50" s="98">
        <v>22.0</v>
      </c>
      <c r="K50" s="98">
        <v>29.03</v>
      </c>
      <c r="L50" s="95">
        <v>0.0</v>
      </c>
      <c r="M50" s="95">
        <v>0.0</v>
      </c>
      <c r="N50" s="98">
        <v>0.0</v>
      </c>
      <c r="O50" s="95" t="s">
        <v>9720</v>
      </c>
      <c r="P50" s="98">
        <v>2.0</v>
      </c>
      <c r="Q50" s="98">
        <v>3.0</v>
      </c>
      <c r="R50" s="98">
        <v>40.0</v>
      </c>
      <c r="S50" s="98">
        <v>1.0</v>
      </c>
      <c r="T50" s="98">
        <v>5.0</v>
      </c>
      <c r="U50" s="98">
        <v>16.67</v>
      </c>
      <c r="V50" s="98">
        <v>2.0</v>
      </c>
      <c r="W50" s="98">
        <v>8.0</v>
      </c>
      <c r="X50" s="98">
        <v>20.0</v>
      </c>
      <c r="Y50" s="98">
        <v>4.0</v>
      </c>
      <c r="Z50" s="98">
        <v>6.0</v>
      </c>
      <c r="AA50" s="98">
        <v>40.0</v>
      </c>
      <c r="AB50" s="2"/>
      <c r="AC50" s="2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>
      <c r="A51" s="95" t="s">
        <v>9757</v>
      </c>
      <c r="B51" s="95" t="s">
        <v>9667</v>
      </c>
      <c r="C51" s="95" t="s">
        <v>9667</v>
      </c>
      <c r="D51" s="95" t="s">
        <v>9667</v>
      </c>
      <c r="E51" s="95" t="s">
        <v>9667</v>
      </c>
      <c r="F51" s="2"/>
      <c r="G51" s="2"/>
      <c r="H51" s="98">
        <v>24.0</v>
      </c>
      <c r="I51" s="98">
        <v>6.0</v>
      </c>
      <c r="J51" s="98">
        <v>18.0</v>
      </c>
      <c r="K51" s="98">
        <v>25.0</v>
      </c>
      <c r="L51" s="95">
        <v>0.0</v>
      </c>
      <c r="M51" s="95">
        <v>0.0</v>
      </c>
      <c r="N51" s="98">
        <v>0.0</v>
      </c>
      <c r="O51" s="95" t="s">
        <v>9720</v>
      </c>
      <c r="P51" s="98">
        <v>4.0</v>
      </c>
      <c r="Q51" s="98">
        <v>8.0</v>
      </c>
      <c r="R51" s="98">
        <v>33.33</v>
      </c>
      <c r="S51" s="98">
        <v>0.0</v>
      </c>
      <c r="T51" s="98">
        <v>0.0</v>
      </c>
      <c r="U51" s="98">
        <v>0.0</v>
      </c>
      <c r="V51" s="98">
        <v>0.0</v>
      </c>
      <c r="W51" s="98">
        <v>0.0</v>
      </c>
      <c r="X51" s="98">
        <v>0.0</v>
      </c>
      <c r="Y51" s="98">
        <v>2.0</v>
      </c>
      <c r="Z51" s="98">
        <v>10.0</v>
      </c>
      <c r="AA51" s="98">
        <v>16.67</v>
      </c>
      <c r="AB51" s="2"/>
      <c r="AC51" s="2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>
      <c r="A52" s="95" t="s">
        <v>59</v>
      </c>
      <c r="B52" s="95" t="s">
        <v>9667</v>
      </c>
      <c r="C52" s="95" t="s">
        <v>9667</v>
      </c>
      <c r="D52" s="95" t="s">
        <v>9667</v>
      </c>
      <c r="E52" s="95" t="s">
        <v>9667</v>
      </c>
      <c r="F52" s="2"/>
      <c r="G52" s="2"/>
      <c r="H52" s="98">
        <v>15.0</v>
      </c>
      <c r="I52" s="98">
        <v>6.0</v>
      </c>
      <c r="J52" s="98">
        <v>9.0</v>
      </c>
      <c r="K52" s="98">
        <v>40.0</v>
      </c>
      <c r="L52" s="95">
        <v>0.0</v>
      </c>
      <c r="M52" s="95">
        <v>2.0</v>
      </c>
      <c r="N52" s="98">
        <v>0.0</v>
      </c>
      <c r="O52" s="95" t="s">
        <v>9720</v>
      </c>
      <c r="P52" s="98">
        <v>0.0</v>
      </c>
      <c r="Q52" s="98">
        <v>0.0</v>
      </c>
      <c r="R52" s="98">
        <v>0.0</v>
      </c>
      <c r="S52" s="98">
        <v>3.0</v>
      </c>
      <c r="T52" s="98">
        <v>3.0</v>
      </c>
      <c r="U52" s="98">
        <v>50.0</v>
      </c>
      <c r="V52" s="98">
        <v>3.0</v>
      </c>
      <c r="W52" s="98">
        <v>5.0</v>
      </c>
      <c r="X52" s="98">
        <v>37.5</v>
      </c>
      <c r="Y52" s="98">
        <v>0.0</v>
      </c>
      <c r="Z52" s="98">
        <v>1.0</v>
      </c>
      <c r="AA52" s="98">
        <v>0.0</v>
      </c>
      <c r="AB52" s="2"/>
      <c r="AC52" s="2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>
      <c r="A53" s="95" t="s">
        <v>9758</v>
      </c>
      <c r="B53" s="95" t="s">
        <v>9667</v>
      </c>
      <c r="C53" s="95" t="s">
        <v>9667</v>
      </c>
      <c r="D53" s="95" t="s">
        <v>9667</v>
      </c>
      <c r="E53" s="95" t="s">
        <v>9667</v>
      </c>
      <c r="F53" s="2"/>
      <c r="G53" s="2"/>
      <c r="H53" s="98">
        <v>15.0</v>
      </c>
      <c r="I53" s="98">
        <v>5.0</v>
      </c>
      <c r="J53" s="98">
        <v>10.0</v>
      </c>
      <c r="K53" s="98">
        <v>33.33</v>
      </c>
      <c r="L53" s="95">
        <v>0.0</v>
      </c>
      <c r="M53" s="95">
        <v>0.0</v>
      </c>
      <c r="N53" s="98">
        <v>0.0</v>
      </c>
      <c r="O53" s="95" t="s">
        <v>9720</v>
      </c>
      <c r="P53" s="98">
        <v>1.0</v>
      </c>
      <c r="Q53" s="98">
        <v>6.0</v>
      </c>
      <c r="R53" s="98">
        <v>14.29</v>
      </c>
      <c r="S53" s="98">
        <v>0.0</v>
      </c>
      <c r="T53" s="98">
        <v>0.0</v>
      </c>
      <c r="U53" s="98">
        <v>0.0</v>
      </c>
      <c r="V53" s="98">
        <v>4.0</v>
      </c>
      <c r="W53" s="98">
        <v>4.0</v>
      </c>
      <c r="X53" s="98">
        <v>50.0</v>
      </c>
      <c r="Y53" s="98">
        <v>0.0</v>
      </c>
      <c r="Z53" s="98">
        <v>0.0</v>
      </c>
      <c r="AA53" s="98">
        <v>0.0</v>
      </c>
      <c r="AB53" s="2"/>
      <c r="AC53" s="2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>
      <c r="A54" s="95" t="s">
        <v>55</v>
      </c>
      <c r="B54" s="95" t="s">
        <v>9667</v>
      </c>
      <c r="C54" s="95" t="s">
        <v>9667</v>
      </c>
      <c r="D54" s="95" t="s">
        <v>9667</v>
      </c>
      <c r="E54" s="95" t="s">
        <v>9667</v>
      </c>
      <c r="F54" s="2"/>
      <c r="G54" s="2"/>
      <c r="H54" s="98">
        <v>19.0</v>
      </c>
      <c r="I54" s="98">
        <v>5.0</v>
      </c>
      <c r="J54" s="98">
        <v>14.0</v>
      </c>
      <c r="K54" s="98">
        <v>26.32</v>
      </c>
      <c r="L54" s="95">
        <v>5.0</v>
      </c>
      <c r="M54" s="95">
        <v>14.0</v>
      </c>
      <c r="N54" s="98">
        <v>26.32</v>
      </c>
      <c r="O54" s="95" t="s">
        <v>9720</v>
      </c>
      <c r="P54" s="98">
        <v>1.0</v>
      </c>
      <c r="Q54" s="98">
        <v>5.0</v>
      </c>
      <c r="R54" s="98">
        <v>16.67</v>
      </c>
      <c r="S54" s="98">
        <v>0.0</v>
      </c>
      <c r="T54" s="98">
        <v>0.0</v>
      </c>
      <c r="U54" s="98">
        <v>0.0</v>
      </c>
      <c r="V54" s="98">
        <v>2.0</v>
      </c>
      <c r="W54" s="98">
        <v>6.0</v>
      </c>
      <c r="X54" s="98">
        <v>25.0</v>
      </c>
      <c r="Y54" s="98">
        <v>2.0</v>
      </c>
      <c r="Z54" s="98">
        <v>3.0</v>
      </c>
      <c r="AA54" s="98">
        <v>40.0</v>
      </c>
      <c r="AB54" s="2"/>
      <c r="AC54" s="2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>
      <c r="A55" s="95" t="s">
        <v>9759</v>
      </c>
      <c r="B55" s="95" t="s">
        <v>9667</v>
      </c>
      <c r="C55" s="95" t="s">
        <v>9667</v>
      </c>
      <c r="D55" s="95" t="s">
        <v>9667</v>
      </c>
      <c r="E55" s="95" t="s">
        <v>9667</v>
      </c>
      <c r="F55" s="2"/>
      <c r="G55" s="2"/>
      <c r="H55" s="98">
        <v>15.0</v>
      </c>
      <c r="I55" s="98">
        <v>3.0</v>
      </c>
      <c r="J55" s="98">
        <v>12.0</v>
      </c>
      <c r="K55" s="98">
        <v>20.0</v>
      </c>
      <c r="L55" s="95">
        <v>0.0</v>
      </c>
      <c r="M55" s="95">
        <v>0.0</v>
      </c>
      <c r="N55" s="98">
        <v>0.0</v>
      </c>
      <c r="O55" s="95" t="s">
        <v>9720</v>
      </c>
      <c r="P55" s="98">
        <v>0.0</v>
      </c>
      <c r="Q55" s="98">
        <v>0.0</v>
      </c>
      <c r="R55" s="98">
        <v>0.0</v>
      </c>
      <c r="S55" s="98">
        <v>0.0</v>
      </c>
      <c r="T55" s="98">
        <v>0.0</v>
      </c>
      <c r="U55" s="98">
        <v>0.0</v>
      </c>
      <c r="V55" s="98">
        <v>3.0</v>
      </c>
      <c r="W55" s="98">
        <v>7.0</v>
      </c>
      <c r="X55" s="98">
        <v>30.0</v>
      </c>
      <c r="Y55" s="98">
        <v>0.0</v>
      </c>
      <c r="Z55" s="98">
        <v>5.0</v>
      </c>
      <c r="AA55" s="98">
        <v>0.0</v>
      </c>
      <c r="AB55" s="2"/>
      <c r="AC55" s="2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>
      <c r="A56" s="95" t="s">
        <v>41</v>
      </c>
      <c r="B56" s="95" t="s">
        <v>9667</v>
      </c>
      <c r="C56" s="95" t="s">
        <v>9667</v>
      </c>
      <c r="D56" s="95" t="s">
        <v>9667</v>
      </c>
      <c r="E56" s="95" t="s">
        <v>9667</v>
      </c>
      <c r="F56" s="2"/>
      <c r="G56" s="2"/>
      <c r="H56" s="98">
        <v>8.0</v>
      </c>
      <c r="I56" s="98">
        <v>2.0</v>
      </c>
      <c r="J56" s="98">
        <v>6.0</v>
      </c>
      <c r="K56" s="98">
        <v>25.0</v>
      </c>
      <c r="L56" s="95">
        <v>0.0</v>
      </c>
      <c r="M56" s="95">
        <v>0.0</v>
      </c>
      <c r="N56" s="98">
        <v>0.0</v>
      </c>
      <c r="O56" s="95" t="s">
        <v>9720</v>
      </c>
      <c r="P56" s="98">
        <v>0.0</v>
      </c>
      <c r="Q56" s="98">
        <v>0.0</v>
      </c>
      <c r="R56" s="98">
        <v>0.0</v>
      </c>
      <c r="S56" s="98">
        <v>0.0</v>
      </c>
      <c r="T56" s="98">
        <v>0.0</v>
      </c>
      <c r="U56" s="98">
        <v>0.0</v>
      </c>
      <c r="V56" s="98">
        <v>0.0</v>
      </c>
      <c r="W56" s="98">
        <v>0.0</v>
      </c>
      <c r="X56" s="98">
        <v>0.0</v>
      </c>
      <c r="Y56" s="98">
        <v>2.0</v>
      </c>
      <c r="Z56" s="98">
        <v>6.0</v>
      </c>
      <c r="AA56" s="98">
        <v>25.0</v>
      </c>
      <c r="AB56" s="2"/>
      <c r="AC56" s="2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>
      <c r="A57" s="95" t="s">
        <v>9760</v>
      </c>
      <c r="B57" s="95" t="s">
        <v>9667</v>
      </c>
      <c r="C57" s="95" t="s">
        <v>9667</v>
      </c>
      <c r="D57" s="95" t="s">
        <v>9667</v>
      </c>
      <c r="E57" s="95" t="s">
        <v>9667</v>
      </c>
      <c r="F57" s="2"/>
      <c r="G57" s="2"/>
      <c r="H57" s="98">
        <v>4.0</v>
      </c>
      <c r="I57" s="98">
        <v>2.0</v>
      </c>
      <c r="J57" s="98">
        <v>2.0</v>
      </c>
      <c r="K57" s="98">
        <v>50.0</v>
      </c>
      <c r="L57" s="95">
        <v>0.0</v>
      </c>
      <c r="M57" s="95">
        <v>0.0</v>
      </c>
      <c r="N57" s="98">
        <v>0.0</v>
      </c>
      <c r="O57" s="95" t="s">
        <v>9720</v>
      </c>
      <c r="P57" s="98">
        <v>0.0</v>
      </c>
      <c r="Q57" s="98">
        <v>0.0</v>
      </c>
      <c r="R57" s="98">
        <v>0.0</v>
      </c>
      <c r="S57" s="98">
        <v>0.0</v>
      </c>
      <c r="T57" s="98">
        <v>1.0</v>
      </c>
      <c r="U57" s="98">
        <v>0.0</v>
      </c>
      <c r="V57" s="98">
        <v>2.0</v>
      </c>
      <c r="W57" s="98">
        <v>1.0</v>
      </c>
      <c r="X57" s="98">
        <v>66.67</v>
      </c>
      <c r="Y57" s="98">
        <v>0.0</v>
      </c>
      <c r="Z57" s="98">
        <v>0.0</v>
      </c>
      <c r="AA57" s="98">
        <v>0.0</v>
      </c>
      <c r="AB57" s="2"/>
      <c r="AC57" s="2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>
      <c r="A58" s="95" t="s">
        <v>9761</v>
      </c>
      <c r="B58" s="95" t="s">
        <v>9667</v>
      </c>
      <c r="C58" s="95" t="s">
        <v>9667</v>
      </c>
      <c r="D58" s="95" t="s">
        <v>9667</v>
      </c>
      <c r="E58" s="95" t="s">
        <v>9667</v>
      </c>
      <c r="F58" s="2"/>
      <c r="G58" s="2"/>
      <c r="H58" s="98">
        <v>2.0</v>
      </c>
      <c r="I58" s="98">
        <v>2.0</v>
      </c>
      <c r="J58" s="98">
        <v>0.0</v>
      </c>
      <c r="K58" s="98">
        <v>100.0</v>
      </c>
      <c r="L58" s="95">
        <v>0.0</v>
      </c>
      <c r="M58" s="95">
        <v>0.0</v>
      </c>
      <c r="N58" s="98">
        <v>0.0</v>
      </c>
      <c r="O58" s="95" t="s">
        <v>9720</v>
      </c>
      <c r="P58" s="98">
        <v>0.0</v>
      </c>
      <c r="Q58" s="98">
        <v>0.0</v>
      </c>
      <c r="R58" s="98">
        <v>0.0</v>
      </c>
      <c r="S58" s="98">
        <v>1.0</v>
      </c>
      <c r="T58" s="98">
        <v>0.0</v>
      </c>
      <c r="U58" s="98">
        <v>100.0</v>
      </c>
      <c r="V58" s="98">
        <v>1.0</v>
      </c>
      <c r="W58" s="98">
        <v>0.0</v>
      </c>
      <c r="X58" s="98">
        <v>100.0</v>
      </c>
      <c r="Y58" s="98">
        <v>0.0</v>
      </c>
      <c r="Z58" s="98">
        <v>0.0</v>
      </c>
      <c r="AA58" s="98">
        <v>0.0</v>
      </c>
      <c r="AB58" s="2"/>
      <c r="AC58" s="2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>
      <c r="A59" s="95" t="s">
        <v>57</v>
      </c>
      <c r="B59" s="95" t="s">
        <v>9667</v>
      </c>
      <c r="C59" s="95" t="s">
        <v>9667</v>
      </c>
      <c r="D59" s="95" t="s">
        <v>9667</v>
      </c>
      <c r="E59" s="95" t="s">
        <v>9667</v>
      </c>
      <c r="F59" s="2"/>
      <c r="G59" s="2"/>
      <c r="H59" s="98">
        <v>6.0</v>
      </c>
      <c r="I59" s="98">
        <v>2.0</v>
      </c>
      <c r="J59" s="98">
        <v>4.0</v>
      </c>
      <c r="K59" s="98">
        <v>33.33</v>
      </c>
      <c r="L59" s="95">
        <v>1.0</v>
      </c>
      <c r="M59" s="95">
        <v>3.0</v>
      </c>
      <c r="N59" s="98">
        <v>25.0</v>
      </c>
      <c r="O59" s="95" t="s">
        <v>9720</v>
      </c>
      <c r="P59" s="98">
        <v>0.0</v>
      </c>
      <c r="Q59" s="98">
        <v>1.0</v>
      </c>
      <c r="R59" s="98">
        <v>0.0</v>
      </c>
      <c r="S59" s="98">
        <v>0.0</v>
      </c>
      <c r="T59" s="98">
        <v>2.0</v>
      </c>
      <c r="U59" s="98">
        <v>0.0</v>
      </c>
      <c r="V59" s="98">
        <v>1.0</v>
      </c>
      <c r="W59" s="98">
        <v>1.0</v>
      </c>
      <c r="X59" s="98">
        <v>50.0</v>
      </c>
      <c r="Y59" s="98">
        <v>1.0</v>
      </c>
      <c r="Z59" s="98">
        <v>0.0</v>
      </c>
      <c r="AA59" s="98">
        <v>100.0</v>
      </c>
      <c r="AB59" s="2"/>
      <c r="AC59" s="2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>
      <c r="A60" s="95" t="s">
        <v>9762</v>
      </c>
      <c r="B60" s="95" t="s">
        <v>9667</v>
      </c>
      <c r="C60" s="95" t="s">
        <v>9667</v>
      </c>
      <c r="D60" s="95" t="s">
        <v>9667</v>
      </c>
      <c r="E60" s="95" t="s">
        <v>9667</v>
      </c>
      <c r="F60" s="2"/>
      <c r="G60" s="2"/>
      <c r="H60" s="98">
        <v>4.0</v>
      </c>
      <c r="I60" s="98">
        <v>1.0</v>
      </c>
      <c r="J60" s="98">
        <v>3.0</v>
      </c>
      <c r="K60" s="98">
        <v>25.0</v>
      </c>
      <c r="L60" s="95">
        <v>0.0</v>
      </c>
      <c r="M60" s="95">
        <v>0.0</v>
      </c>
      <c r="N60" s="98">
        <v>0.0</v>
      </c>
      <c r="O60" s="95" t="s">
        <v>9720</v>
      </c>
      <c r="P60" s="98">
        <v>0.0</v>
      </c>
      <c r="Q60" s="98">
        <v>1.0</v>
      </c>
      <c r="R60" s="98">
        <v>0.0</v>
      </c>
      <c r="S60" s="98">
        <v>0.0</v>
      </c>
      <c r="T60" s="98">
        <v>0.0</v>
      </c>
      <c r="U60" s="98">
        <v>0.0</v>
      </c>
      <c r="V60" s="98">
        <v>1.0</v>
      </c>
      <c r="W60" s="98">
        <v>1.0</v>
      </c>
      <c r="X60" s="98">
        <v>50.0</v>
      </c>
      <c r="Y60" s="98">
        <v>0.0</v>
      </c>
      <c r="Z60" s="98">
        <v>1.0</v>
      </c>
      <c r="AA60" s="98">
        <v>0.0</v>
      </c>
      <c r="AB60" s="2"/>
      <c r="AC60" s="2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>
      <c r="A61" s="95" t="s">
        <v>9763</v>
      </c>
      <c r="B61" s="95" t="s">
        <v>9667</v>
      </c>
      <c r="C61" s="95" t="s">
        <v>9667</v>
      </c>
      <c r="D61" s="95" t="s">
        <v>9667</v>
      </c>
      <c r="E61" s="95" t="s">
        <v>9667</v>
      </c>
      <c r="F61" s="2"/>
      <c r="G61" s="2"/>
      <c r="H61" s="98">
        <v>6.0</v>
      </c>
      <c r="I61" s="98">
        <v>1.0</v>
      </c>
      <c r="J61" s="98">
        <v>5.0</v>
      </c>
      <c r="K61" s="98">
        <v>16.67</v>
      </c>
      <c r="L61" s="95">
        <v>0.0</v>
      </c>
      <c r="M61" s="95">
        <v>0.0</v>
      </c>
      <c r="N61" s="98">
        <v>0.0</v>
      </c>
      <c r="O61" s="95" t="s">
        <v>9720</v>
      </c>
      <c r="P61" s="98">
        <v>1.0</v>
      </c>
      <c r="Q61" s="98">
        <v>5.0</v>
      </c>
      <c r="R61" s="98">
        <v>16.67</v>
      </c>
      <c r="S61" s="98">
        <v>0.0</v>
      </c>
      <c r="T61" s="98">
        <v>0.0</v>
      </c>
      <c r="U61" s="98">
        <v>0.0</v>
      </c>
      <c r="V61" s="98">
        <v>0.0</v>
      </c>
      <c r="W61" s="98">
        <v>0.0</v>
      </c>
      <c r="X61" s="98">
        <v>0.0</v>
      </c>
      <c r="Y61" s="98">
        <v>0.0</v>
      </c>
      <c r="Z61" s="98">
        <v>0.0</v>
      </c>
      <c r="AA61" s="98">
        <v>0.0</v>
      </c>
      <c r="AB61" s="2"/>
      <c r="AC61" s="2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>
      <c r="A62" s="95" t="s">
        <v>9764</v>
      </c>
      <c r="B62" s="95" t="s">
        <v>9667</v>
      </c>
      <c r="C62" s="95" t="s">
        <v>9667</v>
      </c>
      <c r="D62" s="95" t="s">
        <v>9667</v>
      </c>
      <c r="E62" s="95" t="s">
        <v>9667</v>
      </c>
      <c r="F62" s="2"/>
      <c r="G62" s="2"/>
      <c r="H62" s="98">
        <v>1.0</v>
      </c>
      <c r="I62" s="98">
        <v>1.0</v>
      </c>
      <c r="J62" s="98">
        <v>0.0</v>
      </c>
      <c r="K62" s="98">
        <v>100.0</v>
      </c>
      <c r="L62" s="95">
        <v>0.0</v>
      </c>
      <c r="M62" s="95">
        <v>0.0</v>
      </c>
      <c r="N62" s="98">
        <v>0.0</v>
      </c>
      <c r="O62" s="95" t="s">
        <v>9720</v>
      </c>
      <c r="P62" s="98">
        <v>0.0</v>
      </c>
      <c r="Q62" s="98">
        <v>0.0</v>
      </c>
      <c r="R62" s="98">
        <v>0.0</v>
      </c>
      <c r="S62" s="98">
        <v>0.0</v>
      </c>
      <c r="T62" s="98">
        <v>0.0</v>
      </c>
      <c r="U62" s="98">
        <v>0.0</v>
      </c>
      <c r="V62" s="98">
        <v>0.0</v>
      </c>
      <c r="W62" s="98">
        <v>0.0</v>
      </c>
      <c r="X62" s="98">
        <v>0.0</v>
      </c>
      <c r="Y62" s="98">
        <v>1.0</v>
      </c>
      <c r="Z62" s="98">
        <v>0.0</v>
      </c>
      <c r="AA62" s="98">
        <v>100.0</v>
      </c>
      <c r="AB62" s="2"/>
      <c r="AC62" s="2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>
      <c r="A63" s="95" t="s">
        <v>9765</v>
      </c>
      <c r="B63" s="95" t="s">
        <v>9667</v>
      </c>
      <c r="C63" s="95" t="s">
        <v>9667</v>
      </c>
      <c r="D63" s="95" t="s">
        <v>9667</v>
      </c>
      <c r="E63" s="95" t="s">
        <v>9667</v>
      </c>
      <c r="F63" s="2"/>
      <c r="G63" s="2"/>
      <c r="H63" s="98">
        <v>2.0</v>
      </c>
      <c r="I63" s="98">
        <v>1.0</v>
      </c>
      <c r="J63" s="98">
        <v>1.0</v>
      </c>
      <c r="K63" s="98">
        <v>50.0</v>
      </c>
      <c r="L63" s="95">
        <v>0.0</v>
      </c>
      <c r="M63" s="95">
        <v>0.0</v>
      </c>
      <c r="N63" s="98">
        <v>0.0</v>
      </c>
      <c r="O63" s="95" t="s">
        <v>9720</v>
      </c>
      <c r="P63" s="98">
        <v>0.0</v>
      </c>
      <c r="Q63" s="98">
        <v>1.0</v>
      </c>
      <c r="R63" s="98">
        <v>0.0</v>
      </c>
      <c r="S63" s="98">
        <v>0.0</v>
      </c>
      <c r="T63" s="98">
        <v>0.0</v>
      </c>
      <c r="U63" s="98">
        <v>0.0</v>
      </c>
      <c r="V63" s="98">
        <v>0.0</v>
      </c>
      <c r="W63" s="98">
        <v>0.0</v>
      </c>
      <c r="X63" s="98">
        <v>0.0</v>
      </c>
      <c r="Y63" s="98">
        <v>1.0</v>
      </c>
      <c r="Z63" s="98">
        <v>0.0</v>
      </c>
      <c r="AA63" s="98">
        <v>100.0</v>
      </c>
      <c r="AB63" s="2"/>
      <c r="AC63" s="2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>
      <c r="A64" s="95" t="s">
        <v>9766</v>
      </c>
      <c r="B64" s="95" t="s">
        <v>9667</v>
      </c>
      <c r="C64" s="95" t="s">
        <v>9667</v>
      </c>
      <c r="D64" s="95" t="s">
        <v>9667</v>
      </c>
      <c r="E64" s="95" t="s">
        <v>9667</v>
      </c>
      <c r="F64" s="2"/>
      <c r="G64" s="2"/>
      <c r="H64" s="98">
        <v>5.0</v>
      </c>
      <c r="I64" s="98">
        <v>1.0</v>
      </c>
      <c r="J64" s="98">
        <v>4.0</v>
      </c>
      <c r="K64" s="98">
        <v>20.0</v>
      </c>
      <c r="L64" s="95">
        <v>0.0</v>
      </c>
      <c r="M64" s="95">
        <v>0.0</v>
      </c>
      <c r="N64" s="98">
        <v>0.0</v>
      </c>
      <c r="O64" s="95" t="s">
        <v>9720</v>
      </c>
      <c r="P64" s="98">
        <v>1.0</v>
      </c>
      <c r="Q64" s="98">
        <v>1.0</v>
      </c>
      <c r="R64" s="98">
        <v>50.0</v>
      </c>
      <c r="S64" s="98">
        <v>0.0</v>
      </c>
      <c r="T64" s="98">
        <v>0.0</v>
      </c>
      <c r="U64" s="98">
        <v>0.0</v>
      </c>
      <c r="V64" s="98">
        <v>0.0</v>
      </c>
      <c r="W64" s="98">
        <v>1.0</v>
      </c>
      <c r="X64" s="98">
        <v>0.0</v>
      </c>
      <c r="Y64" s="98">
        <v>0.0</v>
      </c>
      <c r="Z64" s="98">
        <v>2.0</v>
      </c>
      <c r="AA64" s="98">
        <v>0.0</v>
      </c>
      <c r="AB64" s="2"/>
      <c r="AC64" s="2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>
      <c r="A65" s="95" t="s">
        <v>9767</v>
      </c>
      <c r="B65" s="95" t="s">
        <v>9667</v>
      </c>
      <c r="C65" s="95" t="s">
        <v>9667</v>
      </c>
      <c r="D65" s="95" t="s">
        <v>9667</v>
      </c>
      <c r="E65" s="95" t="s">
        <v>9667</v>
      </c>
      <c r="F65" s="2"/>
      <c r="G65" s="2"/>
      <c r="H65" s="98">
        <v>3.0</v>
      </c>
      <c r="I65" s="98">
        <v>0.0</v>
      </c>
      <c r="J65" s="98">
        <v>3.0</v>
      </c>
      <c r="K65" s="98">
        <v>0.0</v>
      </c>
      <c r="L65" s="95">
        <v>0.0</v>
      </c>
      <c r="M65" s="95">
        <v>0.0</v>
      </c>
      <c r="N65" s="98">
        <v>0.0</v>
      </c>
      <c r="O65" s="95" t="s">
        <v>9720</v>
      </c>
      <c r="P65" s="98">
        <v>0.0</v>
      </c>
      <c r="Q65" s="98">
        <v>0.0</v>
      </c>
      <c r="R65" s="98">
        <v>0.0</v>
      </c>
      <c r="S65" s="98">
        <v>0.0</v>
      </c>
      <c r="T65" s="98">
        <v>0.0</v>
      </c>
      <c r="U65" s="98">
        <v>0.0</v>
      </c>
      <c r="V65" s="98">
        <v>0.0</v>
      </c>
      <c r="W65" s="98">
        <v>2.0</v>
      </c>
      <c r="X65" s="98">
        <v>0.0</v>
      </c>
      <c r="Y65" s="98">
        <v>0.0</v>
      </c>
      <c r="Z65" s="98">
        <v>1.0</v>
      </c>
      <c r="AA65" s="98">
        <v>0.0</v>
      </c>
      <c r="AB65" s="2"/>
      <c r="AC65" s="2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>
      <c r="A66" s="95" t="s">
        <v>9768</v>
      </c>
      <c r="B66" s="95" t="s">
        <v>9667</v>
      </c>
      <c r="C66" s="95" t="s">
        <v>9667</v>
      </c>
      <c r="D66" s="95" t="s">
        <v>9667</v>
      </c>
      <c r="E66" s="95" t="s">
        <v>9667</v>
      </c>
      <c r="F66" s="2"/>
      <c r="G66" s="2"/>
      <c r="H66" s="98">
        <v>0.0</v>
      </c>
      <c r="I66" s="98">
        <v>0.0</v>
      </c>
      <c r="J66" s="98">
        <v>0.0</v>
      </c>
      <c r="K66" s="98">
        <v>0.0</v>
      </c>
      <c r="L66" s="95">
        <v>0.0</v>
      </c>
      <c r="M66" s="95">
        <v>0.0</v>
      </c>
      <c r="N66" s="98">
        <v>0.0</v>
      </c>
      <c r="O66" s="95" t="s">
        <v>9720</v>
      </c>
      <c r="P66" s="98">
        <v>0.0</v>
      </c>
      <c r="Q66" s="98">
        <v>0.0</v>
      </c>
      <c r="R66" s="98">
        <v>0.0</v>
      </c>
      <c r="S66" s="98">
        <v>0.0</v>
      </c>
      <c r="T66" s="98">
        <v>0.0</v>
      </c>
      <c r="U66" s="98">
        <v>0.0</v>
      </c>
      <c r="V66" s="98">
        <v>0.0</v>
      </c>
      <c r="W66" s="98">
        <v>0.0</v>
      </c>
      <c r="X66" s="98">
        <v>0.0</v>
      </c>
      <c r="Y66" s="98">
        <v>0.0</v>
      </c>
      <c r="Z66" s="98">
        <v>0.0</v>
      </c>
      <c r="AA66" s="98">
        <v>0.0</v>
      </c>
      <c r="AB66" s="2"/>
      <c r="AC66" s="2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>
      <c r="A67" s="95" t="s">
        <v>9769</v>
      </c>
      <c r="B67" s="95" t="s">
        <v>9667</v>
      </c>
      <c r="C67" s="95" t="s">
        <v>9667</v>
      </c>
      <c r="D67" s="95" t="s">
        <v>9667</v>
      </c>
      <c r="E67" s="95" t="s">
        <v>9667</v>
      </c>
      <c r="F67" s="2"/>
      <c r="G67" s="2"/>
      <c r="H67" s="98">
        <v>1.0</v>
      </c>
      <c r="I67" s="98">
        <v>0.0</v>
      </c>
      <c r="J67" s="98">
        <v>1.0</v>
      </c>
      <c r="K67" s="98">
        <v>0.0</v>
      </c>
      <c r="L67" s="95">
        <v>0.0</v>
      </c>
      <c r="M67" s="95">
        <v>0.0</v>
      </c>
      <c r="N67" s="98">
        <v>0.0</v>
      </c>
      <c r="O67" s="95" t="s">
        <v>9720</v>
      </c>
      <c r="P67" s="98">
        <v>0.0</v>
      </c>
      <c r="Q67" s="98">
        <v>1.0</v>
      </c>
      <c r="R67" s="98">
        <v>0.0</v>
      </c>
      <c r="S67" s="98">
        <v>0.0</v>
      </c>
      <c r="T67" s="98">
        <v>0.0</v>
      </c>
      <c r="U67" s="98">
        <v>0.0</v>
      </c>
      <c r="V67" s="98">
        <v>0.0</v>
      </c>
      <c r="W67" s="98">
        <v>0.0</v>
      </c>
      <c r="X67" s="98">
        <v>0.0</v>
      </c>
      <c r="Y67" s="98">
        <v>0.0</v>
      </c>
      <c r="Z67" s="98">
        <v>0.0</v>
      </c>
      <c r="AA67" s="98">
        <v>0.0</v>
      </c>
      <c r="AB67" s="2"/>
      <c r="AC67" s="2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>
      <c r="A68" s="95" t="s">
        <v>9770</v>
      </c>
      <c r="B68" s="95" t="s">
        <v>9667</v>
      </c>
      <c r="C68" s="95" t="s">
        <v>9667</v>
      </c>
      <c r="D68" s="95" t="s">
        <v>9667</v>
      </c>
      <c r="E68" s="95" t="s">
        <v>9667</v>
      </c>
      <c r="F68" s="2"/>
      <c r="G68" s="2"/>
      <c r="H68" s="98">
        <v>3.0</v>
      </c>
      <c r="I68" s="98">
        <v>0.0</v>
      </c>
      <c r="J68" s="98">
        <v>3.0</v>
      </c>
      <c r="K68" s="98">
        <v>0.0</v>
      </c>
      <c r="L68" s="95">
        <v>0.0</v>
      </c>
      <c r="M68" s="95">
        <v>0.0</v>
      </c>
      <c r="N68" s="98">
        <v>0.0</v>
      </c>
      <c r="O68" s="95" t="s">
        <v>9720</v>
      </c>
      <c r="P68" s="98">
        <v>0.0</v>
      </c>
      <c r="Q68" s="98">
        <v>3.0</v>
      </c>
      <c r="R68" s="98">
        <v>0.0</v>
      </c>
      <c r="S68" s="98">
        <v>0.0</v>
      </c>
      <c r="T68" s="98">
        <v>0.0</v>
      </c>
      <c r="U68" s="98">
        <v>0.0</v>
      </c>
      <c r="V68" s="98">
        <v>0.0</v>
      </c>
      <c r="W68" s="98">
        <v>0.0</v>
      </c>
      <c r="X68" s="98">
        <v>0.0</v>
      </c>
      <c r="Y68" s="98">
        <v>0.0</v>
      </c>
      <c r="Z68" s="98">
        <v>0.0</v>
      </c>
      <c r="AA68" s="98">
        <v>0.0</v>
      </c>
      <c r="AB68" s="2"/>
      <c r="AC68" s="2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>
      <c r="A69" s="95" t="s">
        <v>9771</v>
      </c>
      <c r="B69" s="95" t="s">
        <v>9667</v>
      </c>
      <c r="C69" s="95" t="s">
        <v>9667</v>
      </c>
      <c r="D69" s="95" t="s">
        <v>9667</v>
      </c>
      <c r="E69" s="95" t="s">
        <v>9667</v>
      </c>
      <c r="F69" s="2"/>
      <c r="G69" s="2"/>
      <c r="H69" s="98">
        <v>4.0</v>
      </c>
      <c r="I69" s="98">
        <v>0.0</v>
      </c>
      <c r="J69" s="98">
        <v>4.0</v>
      </c>
      <c r="K69" s="98">
        <v>0.0</v>
      </c>
      <c r="L69" s="95">
        <v>0.0</v>
      </c>
      <c r="M69" s="95">
        <v>0.0</v>
      </c>
      <c r="N69" s="98">
        <v>0.0</v>
      </c>
      <c r="O69" s="95" t="s">
        <v>9720</v>
      </c>
      <c r="P69" s="98">
        <v>0.0</v>
      </c>
      <c r="Q69" s="98">
        <v>1.0</v>
      </c>
      <c r="R69" s="98">
        <v>0.0</v>
      </c>
      <c r="S69" s="98">
        <v>0.0</v>
      </c>
      <c r="T69" s="98">
        <v>0.0</v>
      </c>
      <c r="U69" s="98">
        <v>0.0</v>
      </c>
      <c r="V69" s="98">
        <v>0.0</v>
      </c>
      <c r="W69" s="98">
        <v>0.0</v>
      </c>
      <c r="X69" s="98">
        <v>0.0</v>
      </c>
      <c r="Y69" s="98">
        <v>0.0</v>
      </c>
      <c r="Z69" s="98">
        <v>3.0</v>
      </c>
      <c r="AA69" s="98">
        <v>0.0</v>
      </c>
      <c r="AB69" s="2"/>
      <c r="AC69" s="2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>
      <c r="A70" s="95" t="s">
        <v>9772</v>
      </c>
      <c r="B70" s="95" t="s">
        <v>9667</v>
      </c>
      <c r="C70" s="95" t="s">
        <v>9667</v>
      </c>
      <c r="D70" s="95" t="s">
        <v>9667</v>
      </c>
      <c r="E70" s="95" t="s">
        <v>9667</v>
      </c>
      <c r="F70" s="2"/>
      <c r="G70" s="2"/>
      <c r="H70" s="98">
        <v>1.0</v>
      </c>
      <c r="I70" s="98">
        <v>0.0</v>
      </c>
      <c r="J70" s="98">
        <v>1.0</v>
      </c>
      <c r="K70" s="98">
        <v>0.0</v>
      </c>
      <c r="L70" s="95">
        <v>0.0</v>
      </c>
      <c r="M70" s="95">
        <v>0.0</v>
      </c>
      <c r="N70" s="98">
        <v>0.0</v>
      </c>
      <c r="O70" s="95" t="s">
        <v>9720</v>
      </c>
      <c r="P70" s="98">
        <v>0.0</v>
      </c>
      <c r="Q70" s="98">
        <v>0.0</v>
      </c>
      <c r="R70" s="98">
        <v>0.0</v>
      </c>
      <c r="S70" s="98">
        <v>0.0</v>
      </c>
      <c r="T70" s="98">
        <v>0.0</v>
      </c>
      <c r="U70" s="98">
        <v>0.0</v>
      </c>
      <c r="V70" s="98">
        <v>0.0</v>
      </c>
      <c r="W70" s="98">
        <v>1.0</v>
      </c>
      <c r="X70" s="98">
        <v>0.0</v>
      </c>
      <c r="Y70" s="98">
        <v>0.0</v>
      </c>
      <c r="Z70" s="98">
        <v>0.0</v>
      </c>
      <c r="AA70" s="98">
        <v>0.0</v>
      </c>
      <c r="AB70" s="3"/>
      <c r="AC70" s="2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>
      <c r="A71" s="95" t="s">
        <v>61</v>
      </c>
      <c r="B71" s="95" t="s">
        <v>9667</v>
      </c>
      <c r="C71" s="95" t="s">
        <v>9667</v>
      </c>
      <c r="D71" s="95" t="s">
        <v>9667</v>
      </c>
      <c r="E71" s="95" t="s">
        <v>9667</v>
      </c>
      <c r="F71" s="2"/>
      <c r="G71" s="2"/>
      <c r="H71" s="98">
        <v>4.0</v>
      </c>
      <c r="I71" s="98">
        <v>0.0</v>
      </c>
      <c r="J71" s="98">
        <v>4.0</v>
      </c>
      <c r="K71" s="98">
        <v>0.0</v>
      </c>
      <c r="L71" s="95">
        <v>0.0</v>
      </c>
      <c r="M71" s="95">
        <v>4.0</v>
      </c>
      <c r="N71" s="98">
        <v>0.0</v>
      </c>
      <c r="O71" s="95" t="s">
        <v>9720</v>
      </c>
      <c r="P71" s="98">
        <v>0.0</v>
      </c>
      <c r="Q71" s="98">
        <v>2.0</v>
      </c>
      <c r="R71" s="98">
        <v>0.0</v>
      </c>
      <c r="S71" s="98">
        <v>0.0</v>
      </c>
      <c r="T71" s="98">
        <v>2.0</v>
      </c>
      <c r="U71" s="98">
        <v>0.0</v>
      </c>
      <c r="V71" s="98">
        <v>0.0</v>
      </c>
      <c r="W71" s="98">
        <v>0.0</v>
      </c>
      <c r="X71" s="98">
        <v>0.0</v>
      </c>
      <c r="Y71" s="98">
        <v>0.0</v>
      </c>
      <c r="Z71" s="98">
        <v>0.0</v>
      </c>
      <c r="AA71" s="98">
        <v>0.0</v>
      </c>
      <c r="AB71" s="3"/>
      <c r="AC71" s="2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>
      <c r="A72" s="5" t="s">
        <v>49</v>
      </c>
      <c r="B72" s="5" t="s">
        <v>9667</v>
      </c>
      <c r="C72" s="5" t="s">
        <v>9667</v>
      </c>
      <c r="D72" s="5" t="s">
        <v>9667</v>
      </c>
      <c r="E72" s="5" t="s">
        <v>9667</v>
      </c>
      <c r="F72" s="4"/>
      <c r="G72" s="4"/>
      <c r="H72" s="98">
        <v>2.0</v>
      </c>
      <c r="I72" s="98">
        <v>0.0</v>
      </c>
      <c r="J72" s="98">
        <v>2.0</v>
      </c>
      <c r="K72" s="98">
        <v>0.0</v>
      </c>
      <c r="L72" s="95">
        <v>0.0</v>
      </c>
      <c r="M72" s="95">
        <v>0.0</v>
      </c>
      <c r="N72" s="98">
        <v>0.0</v>
      </c>
      <c r="O72" s="95" t="s">
        <v>9720</v>
      </c>
      <c r="P72" s="98">
        <v>0.0</v>
      </c>
      <c r="Q72" s="98">
        <v>0.0</v>
      </c>
      <c r="R72" s="98">
        <v>0.0</v>
      </c>
      <c r="S72" s="98">
        <v>0.0</v>
      </c>
      <c r="T72" s="98">
        <v>1.0</v>
      </c>
      <c r="U72" s="98">
        <v>0.0</v>
      </c>
      <c r="V72" s="98">
        <v>0.0</v>
      </c>
      <c r="W72" s="98">
        <v>1.0</v>
      </c>
      <c r="X72" s="98">
        <v>0.0</v>
      </c>
      <c r="Y72" s="98">
        <v>0.0</v>
      </c>
      <c r="Z72" s="98">
        <v>0.0</v>
      </c>
      <c r="AA72" s="98">
        <v>0.0</v>
      </c>
      <c r="AB72" s="3"/>
      <c r="AC72" s="2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16.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4"/>
    </row>
    <row r="2">
      <c r="A2" s="5" t="s">
        <v>31</v>
      </c>
      <c r="B2" s="9">
        <v>11.0</v>
      </c>
      <c r="C2" s="5">
        <v>6.0</v>
      </c>
      <c r="D2" s="9">
        <v>16.0</v>
      </c>
      <c r="E2" s="9">
        <v>7.0</v>
      </c>
      <c r="F2" s="9">
        <v>8.0</v>
      </c>
      <c r="G2" s="9">
        <v>6.0</v>
      </c>
      <c r="H2" s="9">
        <v>10.0</v>
      </c>
      <c r="I2" s="9">
        <v>13.0</v>
      </c>
      <c r="J2" s="5">
        <f t="shared" ref="J2:K2" si="1">B2+D2+F2+H2</f>
        <v>45</v>
      </c>
      <c r="K2" s="4">
        <f t="shared" si="1"/>
        <v>32</v>
      </c>
      <c r="L2" s="10">
        <f t="shared" ref="L2:L32" si="3">ROUND(IFERROR(J2/(J2+K2),0)*100,1)</f>
        <v>58.4</v>
      </c>
      <c r="M2" s="10">
        <f t="shared" ref="M2:M32" si="4">ROUND(IFERROR(B2/(B2+C2),0)*100,1)</f>
        <v>64.7</v>
      </c>
      <c r="N2" s="10">
        <f t="shared" ref="N2:N32" si="5">ROUND(IFERROR(D2/(D2+E2),0)*100,1)</f>
        <v>69.6</v>
      </c>
      <c r="O2" s="10">
        <f t="shared" ref="O2:O32" si="6">ROUND(IFERROR(F2/(F2+G2),0)*100,1)</f>
        <v>57.1</v>
      </c>
      <c r="P2" s="10">
        <f t="shared" ref="P2:P32" si="7">ROUND(IFERROR(H2/(I2+H2),0)*100,1)</f>
        <v>43.5</v>
      </c>
      <c r="Q2" s="11">
        <f t="shared" ref="Q2:Q32" si="8">IF(A2="미등록", "", COUNTIF(A$2:A2,"&lt;&gt;미등록"))</f>
        <v>1</v>
      </c>
      <c r="R2" s="9">
        <v>1620.0</v>
      </c>
      <c r="S2" s="12">
        <v>45926.05763888889</v>
      </c>
      <c r="T2" s="5" t="s">
        <v>25</v>
      </c>
      <c r="U2" s="5">
        <v>11.0</v>
      </c>
      <c r="V2" s="4" t="str">
        <f t="array" ref="V2">IFERROR(INDEX('사용자목록'!O:O, MATCH(A2, '사용자목록'!A:A, 0)),"아이언")</f>
        <v>마스터</v>
      </c>
      <c r="W2" s="5">
        <v>1.0</v>
      </c>
      <c r="X2" s="5" t="str">
        <f t="shared" ref="X2:X32" si="9">if(Q2&lt;W2, "🔼", if(Q2&gt;W2, "🔽", ""))</f>
        <v/>
      </c>
      <c r="Y2" s="4"/>
    </row>
    <row r="3">
      <c r="A3" s="5" t="s">
        <v>27</v>
      </c>
      <c r="B3" s="9">
        <v>23.0</v>
      </c>
      <c r="C3" s="5">
        <v>18.0</v>
      </c>
      <c r="D3" s="9">
        <v>21.0</v>
      </c>
      <c r="E3" s="9">
        <v>20.0</v>
      </c>
      <c r="F3" s="9">
        <v>34.0</v>
      </c>
      <c r="G3" s="9">
        <v>6.0</v>
      </c>
      <c r="H3" s="9">
        <v>0.0</v>
      </c>
      <c r="I3" s="9">
        <v>0.0</v>
      </c>
      <c r="J3" s="5">
        <f t="shared" ref="J3:K3" si="2">B3+D3+F3+H3</f>
        <v>78</v>
      </c>
      <c r="K3" s="4">
        <f t="shared" si="2"/>
        <v>44</v>
      </c>
      <c r="L3" s="10">
        <f t="shared" si="3"/>
        <v>63.9</v>
      </c>
      <c r="M3" s="10">
        <f t="shared" si="4"/>
        <v>56.1</v>
      </c>
      <c r="N3" s="10">
        <f t="shared" si="5"/>
        <v>51.2</v>
      </c>
      <c r="O3" s="10">
        <f t="shared" si="6"/>
        <v>85</v>
      </c>
      <c r="P3" s="10">
        <f t="shared" si="7"/>
        <v>0</v>
      </c>
      <c r="Q3" s="11">
        <f t="shared" si="8"/>
        <v>2</v>
      </c>
      <c r="R3" s="5">
        <v>1609.0</v>
      </c>
      <c r="S3" s="12">
        <v>45926.725</v>
      </c>
      <c r="T3" s="5" t="s">
        <v>25</v>
      </c>
      <c r="U3" s="5">
        <v>0.0</v>
      </c>
      <c r="V3" s="4" t="str">
        <f t="array" ref="V3">IFERROR(INDEX('사용자목록'!O:O, MATCH(A3, '사용자목록'!A:A, 0)),"아이언")</f>
        <v>마스터</v>
      </c>
      <c r="W3" s="5">
        <v>3.0</v>
      </c>
      <c r="X3" s="5" t="str">
        <f t="shared" si="9"/>
        <v>🔼</v>
      </c>
      <c r="Y3" s="4"/>
    </row>
    <row r="4">
      <c r="A4" s="5" t="s">
        <v>26</v>
      </c>
      <c r="B4" s="9">
        <v>18.0</v>
      </c>
      <c r="C4" s="5">
        <v>18.0</v>
      </c>
      <c r="D4" s="9">
        <v>26.0</v>
      </c>
      <c r="E4" s="9">
        <v>13.0</v>
      </c>
      <c r="F4" s="9">
        <v>11.0</v>
      </c>
      <c r="G4" s="9">
        <v>8.0</v>
      </c>
      <c r="H4" s="9">
        <v>25.0</v>
      </c>
      <c r="I4" s="9">
        <v>18.0</v>
      </c>
      <c r="J4" s="5">
        <f t="shared" ref="J4:K4" si="10">B4+D4+F4+H4</f>
        <v>80</v>
      </c>
      <c r="K4" s="4">
        <f t="shared" si="10"/>
        <v>57</v>
      </c>
      <c r="L4" s="10">
        <f t="shared" si="3"/>
        <v>58.4</v>
      </c>
      <c r="M4" s="10">
        <f t="shared" si="4"/>
        <v>50</v>
      </c>
      <c r="N4" s="10">
        <f t="shared" si="5"/>
        <v>66.7</v>
      </c>
      <c r="O4" s="10">
        <f t="shared" si="6"/>
        <v>57.9</v>
      </c>
      <c r="P4" s="10">
        <f t="shared" si="7"/>
        <v>58.1</v>
      </c>
      <c r="Q4" s="11">
        <f t="shared" si="8"/>
        <v>3</v>
      </c>
      <c r="R4" s="5">
        <v>1592.0</v>
      </c>
      <c r="S4" s="12">
        <v>45926.725</v>
      </c>
      <c r="T4" s="5" t="s">
        <v>25</v>
      </c>
      <c r="U4" s="5">
        <v>8.0</v>
      </c>
      <c r="V4" s="4" t="str">
        <f t="array" ref="V4">IFERROR(INDEX('사용자목록'!O:O, MATCH(A4, '사용자목록'!A:A, 0)),"아이언")</f>
        <v>다이아</v>
      </c>
      <c r="W4" s="5">
        <v>2.0</v>
      </c>
      <c r="X4" s="5" t="str">
        <f t="shared" si="9"/>
        <v>🔽</v>
      </c>
      <c r="Y4" s="4"/>
    </row>
    <row r="5">
      <c r="A5" s="5" t="s">
        <v>30</v>
      </c>
      <c r="B5" s="9">
        <v>21.0</v>
      </c>
      <c r="C5" s="5">
        <v>15.0</v>
      </c>
      <c r="D5" s="9">
        <v>21.0</v>
      </c>
      <c r="E5" s="9">
        <v>17.0</v>
      </c>
      <c r="F5" s="9">
        <v>11.0</v>
      </c>
      <c r="G5" s="9">
        <v>11.0</v>
      </c>
      <c r="H5" s="9">
        <v>24.0</v>
      </c>
      <c r="I5" s="9">
        <v>26.0</v>
      </c>
      <c r="J5" s="5">
        <f t="shared" ref="J5:K5" si="11">B5+D5+F5+H5</f>
        <v>77</v>
      </c>
      <c r="K5" s="4">
        <f t="shared" si="11"/>
        <v>69</v>
      </c>
      <c r="L5" s="10">
        <f t="shared" si="3"/>
        <v>52.7</v>
      </c>
      <c r="M5" s="10">
        <f t="shared" si="4"/>
        <v>58.3</v>
      </c>
      <c r="N5" s="10">
        <f t="shared" si="5"/>
        <v>55.3</v>
      </c>
      <c r="O5" s="10">
        <f t="shared" si="6"/>
        <v>50</v>
      </c>
      <c r="P5" s="10">
        <f t="shared" si="7"/>
        <v>48</v>
      </c>
      <c r="Q5" s="11">
        <f t="shared" si="8"/>
        <v>4</v>
      </c>
      <c r="R5" s="9">
        <v>1533.0</v>
      </c>
      <c r="S5" s="12">
        <v>45926.725</v>
      </c>
      <c r="T5" s="5" t="s">
        <v>25</v>
      </c>
      <c r="U5" s="5">
        <v>6.0</v>
      </c>
      <c r="V5" s="4" t="str">
        <f t="array" ref="V5">IFERROR(INDEX('사용자목록'!O:O, MATCH(A5, '사용자목록'!A:A, 0)),"아이언")</f>
        <v>골드</v>
      </c>
      <c r="W5" s="5">
        <v>4.0</v>
      </c>
      <c r="X5" s="5" t="str">
        <f t="shared" si="9"/>
        <v/>
      </c>
      <c r="Y5" s="4"/>
    </row>
    <row r="6">
      <c r="A6" s="5" t="s">
        <v>24</v>
      </c>
      <c r="B6" s="9">
        <v>3.0</v>
      </c>
      <c r="C6" s="5">
        <v>6.0</v>
      </c>
      <c r="D6" s="9">
        <v>10.0</v>
      </c>
      <c r="E6" s="9">
        <v>3.0</v>
      </c>
      <c r="F6" s="9">
        <v>12.0</v>
      </c>
      <c r="G6" s="9">
        <v>2.0</v>
      </c>
      <c r="H6" s="9">
        <v>13.0</v>
      </c>
      <c r="I6" s="9">
        <v>10.0</v>
      </c>
      <c r="J6" s="5">
        <f t="shared" ref="J6:K6" si="12">B6+D6+F6+H6</f>
        <v>38</v>
      </c>
      <c r="K6" s="4">
        <f t="shared" si="12"/>
        <v>21</v>
      </c>
      <c r="L6" s="10">
        <f t="shared" si="3"/>
        <v>64.4</v>
      </c>
      <c r="M6" s="10">
        <f t="shared" si="4"/>
        <v>33.3</v>
      </c>
      <c r="N6" s="10">
        <f t="shared" si="5"/>
        <v>76.9</v>
      </c>
      <c r="O6" s="10">
        <f t="shared" si="6"/>
        <v>85.7</v>
      </c>
      <c r="P6" s="10">
        <f t="shared" si="7"/>
        <v>56.5</v>
      </c>
      <c r="Q6" s="11">
        <f t="shared" si="8"/>
        <v>5</v>
      </c>
      <c r="R6" s="9">
        <v>1512.0</v>
      </c>
      <c r="S6" s="12">
        <v>45921.95694444444</v>
      </c>
      <c r="T6" s="5" t="s">
        <v>25</v>
      </c>
      <c r="U6" s="5">
        <v>14.0</v>
      </c>
      <c r="V6" s="4" t="str">
        <f t="array" ref="V6">IFERROR(INDEX('사용자목록'!O:O, MATCH(A6, '사용자목록'!A:A, 0)),"아이언")</f>
        <v>마스터</v>
      </c>
      <c r="W6" s="5">
        <v>5.0</v>
      </c>
      <c r="X6" s="5" t="str">
        <f t="shared" si="9"/>
        <v/>
      </c>
      <c r="Y6" s="4"/>
    </row>
    <row r="7">
      <c r="A7" s="5" t="s">
        <v>29</v>
      </c>
      <c r="B7" s="9">
        <v>6.0</v>
      </c>
      <c r="C7" s="5">
        <v>2.0</v>
      </c>
      <c r="D7" s="9">
        <v>5.0</v>
      </c>
      <c r="E7" s="9">
        <v>5.0</v>
      </c>
      <c r="F7" s="9">
        <v>5.0</v>
      </c>
      <c r="G7" s="9">
        <v>3.0</v>
      </c>
      <c r="H7" s="9">
        <v>11.0</v>
      </c>
      <c r="I7" s="9">
        <v>6.0</v>
      </c>
      <c r="J7" s="5">
        <f t="shared" ref="J7:K7" si="13">B7+D7+F7+H7</f>
        <v>27</v>
      </c>
      <c r="K7" s="4">
        <f t="shared" si="13"/>
        <v>16</v>
      </c>
      <c r="L7" s="10">
        <f t="shared" si="3"/>
        <v>62.8</v>
      </c>
      <c r="M7" s="10">
        <f t="shared" si="4"/>
        <v>75</v>
      </c>
      <c r="N7" s="10">
        <f t="shared" si="5"/>
        <v>50</v>
      </c>
      <c r="O7" s="10">
        <f t="shared" si="6"/>
        <v>62.5</v>
      </c>
      <c r="P7" s="10">
        <f t="shared" si="7"/>
        <v>64.7</v>
      </c>
      <c r="Q7" s="11">
        <f t="shared" si="8"/>
        <v>6</v>
      </c>
      <c r="R7" s="9">
        <v>1503.0</v>
      </c>
      <c r="S7" s="12">
        <v>45926.725</v>
      </c>
      <c r="T7" s="5" t="s">
        <v>25</v>
      </c>
      <c r="U7" s="5">
        <v>11.0</v>
      </c>
      <c r="V7" s="4" t="str">
        <f t="array" ref="V7">IFERROR(INDEX('사용자목록'!O:O, MATCH(A7, '사용자목록'!A:A, 0)),"아이언")</f>
        <v>아이언</v>
      </c>
      <c r="W7" s="5">
        <v>6.0</v>
      </c>
      <c r="X7" s="5" t="str">
        <f t="shared" si="9"/>
        <v/>
      </c>
      <c r="Y7" s="4"/>
    </row>
    <row r="8">
      <c r="A8" s="5" t="s">
        <v>36</v>
      </c>
      <c r="B8" s="9">
        <v>13.0</v>
      </c>
      <c r="C8" s="5">
        <v>15.0</v>
      </c>
      <c r="D8" s="9">
        <v>0.0</v>
      </c>
      <c r="E8" s="9">
        <v>0.0</v>
      </c>
      <c r="F8" s="5">
        <v>16.0</v>
      </c>
      <c r="G8" s="9">
        <v>12.0</v>
      </c>
      <c r="H8" s="9">
        <v>26.0</v>
      </c>
      <c r="I8" s="9">
        <v>24.0</v>
      </c>
      <c r="J8" s="5">
        <f t="shared" ref="J8:K8" si="14">B8+D8+F8+H8</f>
        <v>55</v>
      </c>
      <c r="K8" s="4">
        <f t="shared" si="14"/>
        <v>51</v>
      </c>
      <c r="L8" s="10">
        <f t="shared" si="3"/>
        <v>51.9</v>
      </c>
      <c r="M8" s="10">
        <f t="shared" si="4"/>
        <v>46.4</v>
      </c>
      <c r="N8" s="10">
        <f t="shared" si="5"/>
        <v>0</v>
      </c>
      <c r="O8" s="10">
        <f t="shared" si="6"/>
        <v>57.1</v>
      </c>
      <c r="P8" s="10">
        <f t="shared" si="7"/>
        <v>52</v>
      </c>
      <c r="Q8" s="11">
        <f t="shared" si="8"/>
        <v>7</v>
      </c>
      <c r="R8" s="9">
        <v>1442.0</v>
      </c>
      <c r="S8" s="12">
        <v>45926.64791666667</v>
      </c>
      <c r="T8" s="5" t="s">
        <v>25</v>
      </c>
      <c r="U8" s="5">
        <v>0.0</v>
      </c>
      <c r="V8" s="4" t="str">
        <f t="array" ref="V8">IFERROR(INDEX('사용자목록'!O:O, MATCH(A8, '사용자목록'!A:A, 0)),"아이언")</f>
        <v>골드</v>
      </c>
      <c r="W8" s="5">
        <v>7.0</v>
      </c>
      <c r="X8" s="5" t="str">
        <f t="shared" si="9"/>
        <v/>
      </c>
      <c r="Y8" s="4"/>
    </row>
    <row r="9">
      <c r="A9" s="5" t="s">
        <v>42</v>
      </c>
      <c r="B9" s="9">
        <v>18.0</v>
      </c>
      <c r="C9" s="5">
        <v>13.0</v>
      </c>
      <c r="D9" s="9">
        <v>15.0</v>
      </c>
      <c r="E9" s="9">
        <v>23.0</v>
      </c>
      <c r="F9" s="9">
        <v>11.0</v>
      </c>
      <c r="G9" s="9">
        <v>17.0</v>
      </c>
      <c r="H9" s="9">
        <v>0.0</v>
      </c>
      <c r="I9" s="9">
        <v>2.0</v>
      </c>
      <c r="J9" s="5">
        <f t="shared" ref="J9:K9" si="15">B9+D9+F9+H9</f>
        <v>44</v>
      </c>
      <c r="K9" s="4">
        <f t="shared" si="15"/>
        <v>55</v>
      </c>
      <c r="L9" s="10">
        <f t="shared" si="3"/>
        <v>44.4</v>
      </c>
      <c r="M9" s="10">
        <f t="shared" si="4"/>
        <v>58.1</v>
      </c>
      <c r="N9" s="10">
        <f t="shared" si="5"/>
        <v>39.5</v>
      </c>
      <c r="O9" s="10">
        <f t="shared" si="6"/>
        <v>39.3</v>
      </c>
      <c r="P9" s="10">
        <f t="shared" si="7"/>
        <v>0</v>
      </c>
      <c r="Q9" s="11">
        <f t="shared" si="8"/>
        <v>8</v>
      </c>
      <c r="R9" s="9">
        <v>1363.0</v>
      </c>
      <c r="S9" s="12">
        <v>45925.01944444444</v>
      </c>
      <c r="T9" s="5" t="s">
        <v>25</v>
      </c>
      <c r="U9" s="5">
        <v>0.0</v>
      </c>
      <c r="V9" s="4" t="str">
        <f t="array" ref="V9">IFERROR(INDEX('사용자목록'!O:O, MATCH(A9, '사용자목록'!A:A, 0)),"아이언")</f>
        <v>다이아</v>
      </c>
      <c r="W9" s="5">
        <v>8.0</v>
      </c>
      <c r="X9" s="5" t="str">
        <f t="shared" si="9"/>
        <v/>
      </c>
      <c r="Y9" s="4"/>
    </row>
    <row r="10">
      <c r="A10" s="5" t="s">
        <v>28</v>
      </c>
      <c r="B10" s="9">
        <v>0.0</v>
      </c>
      <c r="C10" s="5">
        <v>0.0</v>
      </c>
      <c r="D10" s="9">
        <v>5.0</v>
      </c>
      <c r="E10" s="9">
        <v>6.0</v>
      </c>
      <c r="F10" s="9">
        <v>4.0</v>
      </c>
      <c r="G10" s="9">
        <v>8.0</v>
      </c>
      <c r="H10" s="9">
        <v>10.0</v>
      </c>
      <c r="I10" s="9">
        <v>6.0</v>
      </c>
      <c r="J10" s="5">
        <f t="shared" ref="J10:K10" si="16">B10+D10+F10+H10</f>
        <v>19</v>
      </c>
      <c r="K10" s="4">
        <f t="shared" si="16"/>
        <v>20</v>
      </c>
      <c r="L10" s="10">
        <f t="shared" si="3"/>
        <v>48.7</v>
      </c>
      <c r="M10" s="10">
        <f t="shared" si="4"/>
        <v>0</v>
      </c>
      <c r="N10" s="10">
        <f t="shared" si="5"/>
        <v>45.5</v>
      </c>
      <c r="O10" s="10">
        <f t="shared" si="6"/>
        <v>33.3</v>
      </c>
      <c r="P10" s="10">
        <f t="shared" si="7"/>
        <v>62.5</v>
      </c>
      <c r="Q10" s="11">
        <f t="shared" si="8"/>
        <v>9</v>
      </c>
      <c r="R10" s="9">
        <v>1299.0</v>
      </c>
      <c r="S10" s="12">
        <v>45926.02847222222</v>
      </c>
      <c r="T10" s="5" t="s">
        <v>25</v>
      </c>
      <c r="U10" s="5">
        <v>0.0</v>
      </c>
      <c r="V10" s="4" t="str">
        <f t="array" ref="V10">IFERROR(INDEX('사용자목록'!O:O, MATCH(A10, '사용자목록'!A:A, 0)),"아이언")</f>
        <v>마스터</v>
      </c>
      <c r="W10" s="5">
        <v>9.0</v>
      </c>
      <c r="X10" s="5" t="str">
        <f t="shared" si="9"/>
        <v/>
      </c>
      <c r="Y10" s="4"/>
    </row>
    <row r="11">
      <c r="A11" s="5" t="s">
        <v>50</v>
      </c>
      <c r="B11" s="9">
        <v>1.0</v>
      </c>
      <c r="C11" s="5">
        <v>9.0</v>
      </c>
      <c r="D11" s="9">
        <v>11.0</v>
      </c>
      <c r="E11" s="9">
        <v>4.0</v>
      </c>
      <c r="F11" s="9">
        <v>7.0</v>
      </c>
      <c r="G11" s="9">
        <v>5.0</v>
      </c>
      <c r="H11" s="9">
        <v>0.0</v>
      </c>
      <c r="I11" s="9">
        <v>0.0</v>
      </c>
      <c r="J11" s="5">
        <f t="shared" ref="J11:K11" si="17">B11+D11+F11+H11</f>
        <v>19</v>
      </c>
      <c r="K11" s="4">
        <f t="shared" si="17"/>
        <v>18</v>
      </c>
      <c r="L11" s="10">
        <f t="shared" si="3"/>
        <v>51.4</v>
      </c>
      <c r="M11" s="10">
        <f t="shared" si="4"/>
        <v>10</v>
      </c>
      <c r="N11" s="10">
        <f t="shared" si="5"/>
        <v>73.3</v>
      </c>
      <c r="O11" s="10">
        <f t="shared" si="6"/>
        <v>58.3</v>
      </c>
      <c r="P11" s="10">
        <f t="shared" si="7"/>
        <v>0</v>
      </c>
      <c r="Q11" s="11">
        <f t="shared" si="8"/>
        <v>10</v>
      </c>
      <c r="R11" s="9">
        <v>1287.0</v>
      </c>
      <c r="S11" s="12">
        <v>45924.907638888886</v>
      </c>
      <c r="T11" s="5" t="s">
        <v>25</v>
      </c>
      <c r="U11" s="5">
        <v>0.0</v>
      </c>
      <c r="V11" s="4" t="str">
        <f t="array" ref="V11">IFERROR(INDEX('사용자목록'!O:O, MATCH(A11, '사용자목록'!A:A, 0)),"아이언")</f>
        <v>아이언</v>
      </c>
      <c r="W11" s="9">
        <v>10.0</v>
      </c>
      <c r="X11" s="5" t="str">
        <f t="shared" si="9"/>
        <v/>
      </c>
      <c r="Y11" s="4"/>
    </row>
    <row r="12">
      <c r="A12" s="5" t="s">
        <v>58</v>
      </c>
      <c r="B12" s="9">
        <v>5.0</v>
      </c>
      <c r="C12" s="5">
        <v>7.0</v>
      </c>
      <c r="D12" s="9">
        <v>7.0</v>
      </c>
      <c r="E12" s="9">
        <v>7.0</v>
      </c>
      <c r="F12" s="9">
        <v>5.0</v>
      </c>
      <c r="G12" s="9">
        <v>7.0</v>
      </c>
      <c r="H12" s="9">
        <v>0.0</v>
      </c>
      <c r="I12" s="9">
        <v>0.0</v>
      </c>
      <c r="J12" s="5">
        <f t="shared" ref="J12:K12" si="18">B12+D12+F12+H12</f>
        <v>17</v>
      </c>
      <c r="K12" s="4">
        <f t="shared" si="18"/>
        <v>21</v>
      </c>
      <c r="L12" s="10">
        <f t="shared" si="3"/>
        <v>44.7</v>
      </c>
      <c r="M12" s="10">
        <f t="shared" si="4"/>
        <v>41.7</v>
      </c>
      <c r="N12" s="10">
        <f t="shared" si="5"/>
        <v>50</v>
      </c>
      <c r="O12" s="10">
        <f t="shared" si="6"/>
        <v>41.7</v>
      </c>
      <c r="P12" s="10">
        <f t="shared" si="7"/>
        <v>0</v>
      </c>
      <c r="Q12" s="11">
        <f t="shared" si="8"/>
        <v>11</v>
      </c>
      <c r="R12" s="9">
        <v>1261.0</v>
      </c>
      <c r="S12" s="12">
        <v>45926.66736111111</v>
      </c>
      <c r="T12" s="5" t="s">
        <v>25</v>
      </c>
      <c r="U12" s="5">
        <v>0.0</v>
      </c>
      <c r="V12" s="4" t="str">
        <f t="array" ref="V12">IFERROR(INDEX('사용자목록'!O:O, MATCH(A12, '사용자목록'!A:A, 0)),"아이언")</f>
        <v>아이언</v>
      </c>
      <c r="W12" s="5">
        <v>11.0</v>
      </c>
      <c r="X12" s="5" t="str">
        <f t="shared" si="9"/>
        <v/>
      </c>
      <c r="Y12" s="4"/>
    </row>
    <row r="13">
      <c r="A13" s="5" t="s">
        <v>9609</v>
      </c>
      <c r="B13" s="9">
        <v>5.0</v>
      </c>
      <c r="C13" s="5">
        <v>3.0</v>
      </c>
      <c r="D13" s="9">
        <v>0.0</v>
      </c>
      <c r="E13" s="9">
        <v>0.0</v>
      </c>
      <c r="F13" s="9">
        <v>5.0</v>
      </c>
      <c r="G13" s="9">
        <v>4.0</v>
      </c>
      <c r="H13" s="9">
        <v>3.0</v>
      </c>
      <c r="I13" s="9">
        <v>8.0</v>
      </c>
      <c r="J13" s="5">
        <f t="shared" ref="J13:K13" si="19">B13+D13+F13+H13</f>
        <v>13</v>
      </c>
      <c r="K13" s="4">
        <f t="shared" si="19"/>
        <v>15</v>
      </c>
      <c r="L13" s="10">
        <f t="shared" si="3"/>
        <v>46.4</v>
      </c>
      <c r="M13" s="10">
        <f t="shared" si="4"/>
        <v>62.5</v>
      </c>
      <c r="N13" s="10">
        <f t="shared" si="5"/>
        <v>0</v>
      </c>
      <c r="O13" s="10">
        <f t="shared" si="6"/>
        <v>55.6</v>
      </c>
      <c r="P13" s="10">
        <f t="shared" si="7"/>
        <v>27.3</v>
      </c>
      <c r="Q13" s="11">
        <f t="shared" si="8"/>
        <v>12</v>
      </c>
      <c r="R13" s="9">
        <v>1229.0</v>
      </c>
      <c r="S13" s="12">
        <v>45925.06319444445</v>
      </c>
      <c r="T13" s="5" t="s">
        <v>25</v>
      </c>
      <c r="U13" s="5">
        <v>0.0</v>
      </c>
      <c r="V13" s="4" t="str">
        <f t="array" ref="V13">IFERROR(INDEX('사용자목록'!O:O, MATCH(A13, '사용자목록'!A:A, 0)),"아이언")</f>
        <v>아이언</v>
      </c>
      <c r="W13" s="9">
        <v>12.0</v>
      </c>
      <c r="X13" s="5" t="str">
        <f t="shared" si="9"/>
        <v/>
      </c>
      <c r="Y13" s="4"/>
    </row>
    <row r="14">
      <c r="A14" s="5" t="s">
        <v>53</v>
      </c>
      <c r="B14" s="9">
        <v>1.0</v>
      </c>
      <c r="C14" s="5">
        <v>4.0</v>
      </c>
      <c r="D14" s="9">
        <v>7.0</v>
      </c>
      <c r="E14" s="9">
        <v>6.0</v>
      </c>
      <c r="F14" s="9">
        <v>0.0</v>
      </c>
      <c r="G14" s="9">
        <v>0.0</v>
      </c>
      <c r="H14" s="9">
        <v>5.0</v>
      </c>
      <c r="I14" s="9">
        <v>3.0</v>
      </c>
      <c r="J14" s="5">
        <f t="shared" ref="J14:K14" si="20">B14+D14+F14+H14</f>
        <v>13</v>
      </c>
      <c r="K14" s="4">
        <f t="shared" si="20"/>
        <v>13</v>
      </c>
      <c r="L14" s="10">
        <f t="shared" si="3"/>
        <v>50</v>
      </c>
      <c r="M14" s="10">
        <f t="shared" si="4"/>
        <v>20</v>
      </c>
      <c r="N14" s="10">
        <f t="shared" si="5"/>
        <v>53.8</v>
      </c>
      <c r="O14" s="10">
        <f t="shared" si="6"/>
        <v>0</v>
      </c>
      <c r="P14" s="10">
        <f t="shared" si="7"/>
        <v>62.5</v>
      </c>
      <c r="Q14" s="11">
        <f t="shared" si="8"/>
        <v>13</v>
      </c>
      <c r="R14" s="9">
        <v>1224.0</v>
      </c>
      <c r="S14" s="12">
        <v>45926.05763888889</v>
      </c>
      <c r="T14" s="5" t="s">
        <v>25</v>
      </c>
      <c r="U14" s="5">
        <v>0.0</v>
      </c>
      <c r="V14" s="4" t="str">
        <f t="array" ref="V14">IFERROR(INDEX('사용자목록'!O:O, MATCH(A14, '사용자목록'!A:A, 0)),"아이언")</f>
        <v>아이언</v>
      </c>
      <c r="W14" s="9">
        <v>13.0</v>
      </c>
      <c r="X14" s="5" t="str">
        <f t="shared" si="9"/>
        <v/>
      </c>
      <c r="Y14" s="4"/>
    </row>
    <row r="15">
      <c r="A15" s="5" t="s">
        <v>44</v>
      </c>
      <c r="B15" s="9">
        <v>1.0</v>
      </c>
      <c r="C15" s="5">
        <v>1.0</v>
      </c>
      <c r="D15" s="9">
        <v>4.0</v>
      </c>
      <c r="E15" s="9">
        <v>4.0</v>
      </c>
      <c r="F15" s="9">
        <v>2.0</v>
      </c>
      <c r="G15" s="9">
        <v>5.0</v>
      </c>
      <c r="H15" s="9">
        <v>3.0</v>
      </c>
      <c r="I15" s="9">
        <v>5.0</v>
      </c>
      <c r="J15" s="5">
        <f t="shared" ref="J15:K15" si="21">B15+D15+F15+H15</f>
        <v>10</v>
      </c>
      <c r="K15" s="4">
        <f t="shared" si="21"/>
        <v>15</v>
      </c>
      <c r="L15" s="10">
        <f t="shared" si="3"/>
        <v>40</v>
      </c>
      <c r="M15" s="10">
        <f t="shared" si="4"/>
        <v>50</v>
      </c>
      <c r="N15" s="10">
        <f t="shared" si="5"/>
        <v>50</v>
      </c>
      <c r="O15" s="10">
        <f t="shared" si="6"/>
        <v>28.6</v>
      </c>
      <c r="P15" s="10">
        <f t="shared" si="7"/>
        <v>37.5</v>
      </c>
      <c r="Q15" s="11">
        <f t="shared" si="8"/>
        <v>14</v>
      </c>
      <c r="R15" s="9">
        <v>1211.0</v>
      </c>
      <c r="S15" s="12">
        <v>45926.725</v>
      </c>
      <c r="T15" s="5" t="s">
        <v>25</v>
      </c>
      <c r="U15" s="5">
        <v>7.0</v>
      </c>
      <c r="V15" s="4" t="str">
        <f t="array" ref="V15">IFERROR(INDEX('사용자목록'!O:O, MATCH(A15, '사용자목록'!A:A, 0)),"아이언")</f>
        <v>아이언</v>
      </c>
      <c r="W15" s="5">
        <v>14.0</v>
      </c>
      <c r="X15" s="5" t="str">
        <f t="shared" si="9"/>
        <v/>
      </c>
      <c r="Y15" s="4"/>
    </row>
    <row r="16">
      <c r="A16" s="5" t="s">
        <v>54</v>
      </c>
      <c r="B16" s="9">
        <v>4.0</v>
      </c>
      <c r="C16" s="5">
        <v>4.0</v>
      </c>
      <c r="D16" s="9">
        <v>0.0</v>
      </c>
      <c r="E16" s="9">
        <v>1.0</v>
      </c>
      <c r="F16" s="9">
        <v>0.0</v>
      </c>
      <c r="G16" s="9">
        <v>6.0</v>
      </c>
      <c r="H16" s="9">
        <v>8.0</v>
      </c>
      <c r="I16" s="9">
        <v>9.0</v>
      </c>
      <c r="J16" s="5">
        <f t="shared" ref="J16:K16" si="22">B16+D16+F16+H16</f>
        <v>12</v>
      </c>
      <c r="K16" s="4">
        <f t="shared" si="22"/>
        <v>20</v>
      </c>
      <c r="L16" s="10">
        <f t="shared" si="3"/>
        <v>37.5</v>
      </c>
      <c r="M16" s="10">
        <f t="shared" si="4"/>
        <v>50</v>
      </c>
      <c r="N16" s="10">
        <f t="shared" si="5"/>
        <v>0</v>
      </c>
      <c r="O16" s="10">
        <f t="shared" si="6"/>
        <v>0</v>
      </c>
      <c r="P16" s="10">
        <f t="shared" si="7"/>
        <v>47.1</v>
      </c>
      <c r="Q16" s="11">
        <f t="shared" si="8"/>
        <v>15</v>
      </c>
      <c r="R16" s="9">
        <v>1197.0</v>
      </c>
      <c r="S16" s="12">
        <v>45926.725</v>
      </c>
      <c r="T16" s="5" t="s">
        <v>25</v>
      </c>
      <c r="U16" s="5">
        <v>4.0</v>
      </c>
      <c r="V16" s="4" t="str">
        <f t="array" ref="V16">IFERROR(INDEX('사용자목록'!O:O, MATCH(A16, '사용자목록'!A:A, 0)),"아이언")</f>
        <v>아이언</v>
      </c>
      <c r="W16" s="9">
        <v>15.0</v>
      </c>
      <c r="X16" s="5" t="str">
        <f t="shared" si="9"/>
        <v/>
      </c>
      <c r="Y16" s="4"/>
    </row>
    <row r="17">
      <c r="A17" s="5" t="s">
        <v>60</v>
      </c>
      <c r="B17" s="9">
        <v>8.0</v>
      </c>
      <c r="C17" s="5">
        <v>2.0</v>
      </c>
      <c r="D17" s="9">
        <v>0.0</v>
      </c>
      <c r="E17" s="9">
        <v>0.0</v>
      </c>
      <c r="F17" s="9">
        <v>2.0</v>
      </c>
      <c r="G17" s="9">
        <v>7.0</v>
      </c>
      <c r="H17" s="9">
        <v>1.0</v>
      </c>
      <c r="I17" s="9">
        <v>8.0</v>
      </c>
      <c r="J17" s="5">
        <f t="shared" ref="J17:K17" si="23">B17+D17+F17+H17</f>
        <v>11</v>
      </c>
      <c r="K17" s="4">
        <f t="shared" si="23"/>
        <v>17</v>
      </c>
      <c r="L17" s="10">
        <f t="shared" si="3"/>
        <v>39.3</v>
      </c>
      <c r="M17" s="10">
        <f t="shared" si="4"/>
        <v>80</v>
      </c>
      <c r="N17" s="10">
        <f t="shared" si="5"/>
        <v>0</v>
      </c>
      <c r="O17" s="10">
        <f t="shared" si="6"/>
        <v>22.2</v>
      </c>
      <c r="P17" s="10">
        <f t="shared" si="7"/>
        <v>11.1</v>
      </c>
      <c r="Q17" s="11">
        <f t="shared" si="8"/>
        <v>16</v>
      </c>
      <c r="R17" s="9">
        <v>1160.0</v>
      </c>
      <c r="S17" s="12">
        <v>45926.02847222222</v>
      </c>
      <c r="T17" s="5" t="s">
        <v>25</v>
      </c>
      <c r="U17" s="5">
        <v>0.0</v>
      </c>
      <c r="V17" s="4" t="str">
        <f t="array" ref="V17">IFERROR(INDEX('사용자목록'!O:O, MATCH(A17, '사용자목록'!A:A, 0)),"아이언")</f>
        <v>아이언</v>
      </c>
      <c r="W17" s="9">
        <v>16.0</v>
      </c>
      <c r="X17" s="5" t="str">
        <f t="shared" si="9"/>
        <v/>
      </c>
      <c r="Y17" s="4"/>
    </row>
    <row r="18">
      <c r="A18" s="5" t="s">
        <v>9614</v>
      </c>
      <c r="B18" s="9">
        <v>0.0</v>
      </c>
      <c r="C18" s="5">
        <v>2.0</v>
      </c>
      <c r="D18" s="9">
        <v>1.0</v>
      </c>
      <c r="E18" s="9">
        <v>4.0</v>
      </c>
      <c r="F18" s="9">
        <v>2.0</v>
      </c>
      <c r="G18" s="9">
        <v>5.0</v>
      </c>
      <c r="H18" s="9">
        <v>2.0</v>
      </c>
      <c r="I18" s="9">
        <v>4.0</v>
      </c>
      <c r="J18" s="5">
        <f t="shared" ref="J18:K18" si="24">B18+D18+F18+H18</f>
        <v>5</v>
      </c>
      <c r="K18" s="4">
        <f t="shared" si="24"/>
        <v>15</v>
      </c>
      <c r="L18" s="10">
        <f t="shared" si="3"/>
        <v>25</v>
      </c>
      <c r="M18" s="10">
        <f t="shared" si="4"/>
        <v>0</v>
      </c>
      <c r="N18" s="10">
        <f t="shared" si="5"/>
        <v>20</v>
      </c>
      <c r="O18" s="10">
        <f t="shared" si="6"/>
        <v>28.6</v>
      </c>
      <c r="P18" s="10">
        <f t="shared" si="7"/>
        <v>33.3</v>
      </c>
      <c r="Q18" s="11">
        <f t="shared" si="8"/>
        <v>17</v>
      </c>
      <c r="R18" s="9">
        <v>1120.0</v>
      </c>
      <c r="S18" s="12">
        <v>45903.96805555555</v>
      </c>
      <c r="T18" s="5" t="s">
        <v>25</v>
      </c>
      <c r="U18" s="5">
        <v>5.0</v>
      </c>
      <c r="V18" s="4" t="str">
        <f t="array" ref="V18">IFERROR(INDEX('사용자목록'!O:O, MATCH(A18, '사용자목록'!A:A, 0)),"아이언")</f>
        <v>아이언</v>
      </c>
      <c r="W18" s="9">
        <v>17.0</v>
      </c>
      <c r="X18" s="5" t="str">
        <f t="shared" si="9"/>
        <v/>
      </c>
      <c r="Y18" s="4"/>
    </row>
    <row r="19">
      <c r="A19" s="5" t="s">
        <v>34</v>
      </c>
      <c r="B19" s="9">
        <v>8.0</v>
      </c>
      <c r="C19" s="5">
        <v>20.0</v>
      </c>
      <c r="D19" s="9">
        <v>4.0</v>
      </c>
      <c r="E19" s="9">
        <v>15.0</v>
      </c>
      <c r="F19" s="9">
        <v>8.0</v>
      </c>
      <c r="G19" s="9">
        <v>28.0</v>
      </c>
      <c r="H19" s="9">
        <v>0.0</v>
      </c>
      <c r="I19" s="9">
        <v>4.0</v>
      </c>
      <c r="J19" s="5">
        <f t="shared" ref="J19:K19" si="25">B19+D19+F19+H19</f>
        <v>20</v>
      </c>
      <c r="K19" s="4">
        <f t="shared" si="25"/>
        <v>67</v>
      </c>
      <c r="L19" s="10">
        <f t="shared" si="3"/>
        <v>23</v>
      </c>
      <c r="M19" s="10">
        <f t="shared" si="4"/>
        <v>28.6</v>
      </c>
      <c r="N19" s="10">
        <f t="shared" si="5"/>
        <v>21.1</v>
      </c>
      <c r="O19" s="10">
        <f t="shared" si="6"/>
        <v>22.2</v>
      </c>
      <c r="P19" s="10">
        <f t="shared" si="7"/>
        <v>0</v>
      </c>
      <c r="Q19" s="11">
        <f t="shared" si="8"/>
        <v>18</v>
      </c>
      <c r="R19" s="9">
        <v>1018.0</v>
      </c>
      <c r="S19" s="12">
        <v>45926.725</v>
      </c>
      <c r="T19" s="5" t="s">
        <v>25</v>
      </c>
      <c r="U19" s="5">
        <v>0.0</v>
      </c>
      <c r="V19" s="4" t="str">
        <f t="array" ref="V19">IFERROR(INDEX('사용자목록'!O:O, MATCH(A19, '사용자목록'!A:A, 0)),"아이언")</f>
        <v>실버</v>
      </c>
      <c r="W19" s="5">
        <v>18.0</v>
      </c>
      <c r="X19" s="5" t="str">
        <f t="shared" si="9"/>
        <v/>
      </c>
      <c r="Y19" s="4"/>
    </row>
    <row r="20">
      <c r="A20" s="5" t="s">
        <v>9679</v>
      </c>
      <c r="B20" s="9">
        <v>0.0</v>
      </c>
      <c r="C20" s="5">
        <v>0.0</v>
      </c>
      <c r="D20" s="9">
        <v>0.0</v>
      </c>
      <c r="E20" s="9">
        <v>0.0</v>
      </c>
      <c r="F20" s="9">
        <v>3.0</v>
      </c>
      <c r="G20" s="9">
        <v>0.0</v>
      </c>
      <c r="H20" s="9">
        <v>5.0</v>
      </c>
      <c r="I20" s="9">
        <v>2.0</v>
      </c>
      <c r="J20" s="5">
        <f t="shared" ref="J20:K20" si="26">B20+D20+F20+H20</f>
        <v>8</v>
      </c>
      <c r="K20" s="4">
        <f t="shared" si="26"/>
        <v>2</v>
      </c>
      <c r="L20" s="10">
        <f t="shared" si="3"/>
        <v>80</v>
      </c>
      <c r="M20" s="10">
        <f t="shared" si="4"/>
        <v>0</v>
      </c>
      <c r="N20" s="10">
        <f t="shared" si="5"/>
        <v>0</v>
      </c>
      <c r="O20" s="10">
        <f t="shared" si="6"/>
        <v>100</v>
      </c>
      <c r="P20" s="10">
        <f t="shared" si="7"/>
        <v>71.4</v>
      </c>
      <c r="Q20" s="11">
        <f t="shared" si="8"/>
        <v>19</v>
      </c>
      <c r="R20" s="9">
        <v>0.0</v>
      </c>
      <c r="S20" s="12">
        <v>45904.90138888889</v>
      </c>
      <c r="T20" s="5" t="s">
        <v>25</v>
      </c>
      <c r="U20" s="5">
        <v>0.0</v>
      </c>
      <c r="V20" s="4" t="str">
        <f t="array" ref="V20">IFERROR(INDEX('사용자목록'!O:O, MATCH(A20, '사용자목록'!A:A, 0)),"아이언")</f>
        <v>아이언</v>
      </c>
      <c r="W20" s="5">
        <v>19.0</v>
      </c>
      <c r="X20" s="5" t="str">
        <f t="shared" si="9"/>
        <v/>
      </c>
      <c r="Y20" s="4"/>
    </row>
    <row r="21">
      <c r="A21" s="5" t="s">
        <v>51</v>
      </c>
      <c r="B21" s="9">
        <v>2.0</v>
      </c>
      <c r="C21" s="5">
        <v>3.0</v>
      </c>
      <c r="D21" s="9">
        <v>0.0</v>
      </c>
      <c r="E21" s="9">
        <v>6.0</v>
      </c>
      <c r="F21" s="9">
        <v>5.0</v>
      </c>
      <c r="G21" s="9">
        <v>3.0</v>
      </c>
      <c r="H21" s="9">
        <v>0.0</v>
      </c>
      <c r="I21" s="9">
        <v>0.0</v>
      </c>
      <c r="J21" s="5">
        <f t="shared" ref="J21:K21" si="27">B21+D21+F21+H21</f>
        <v>7</v>
      </c>
      <c r="K21" s="4">
        <f t="shared" si="27"/>
        <v>12</v>
      </c>
      <c r="L21" s="10">
        <f t="shared" si="3"/>
        <v>36.8</v>
      </c>
      <c r="M21" s="10">
        <f t="shared" si="4"/>
        <v>40</v>
      </c>
      <c r="N21" s="10">
        <f t="shared" si="5"/>
        <v>0</v>
      </c>
      <c r="O21" s="10">
        <f t="shared" si="6"/>
        <v>62.5</v>
      </c>
      <c r="P21" s="10">
        <f t="shared" si="7"/>
        <v>0</v>
      </c>
      <c r="Q21" s="11">
        <f t="shared" si="8"/>
        <v>20</v>
      </c>
      <c r="R21" s="9">
        <v>0.0</v>
      </c>
      <c r="S21" s="12">
        <v>45926.05763888889</v>
      </c>
      <c r="T21" s="5" t="s">
        <v>25</v>
      </c>
      <c r="U21" s="5">
        <v>0.0</v>
      </c>
      <c r="V21" s="4" t="str">
        <f t="array" ref="V21">IFERROR(INDEX('사용자목록'!O:O, MATCH(A21, '사용자목록'!A:A, 0)),"아이언")</f>
        <v>골드</v>
      </c>
      <c r="W21" s="9">
        <v>20.0</v>
      </c>
      <c r="X21" s="5" t="str">
        <f t="shared" si="9"/>
        <v/>
      </c>
      <c r="Y21" s="4"/>
    </row>
    <row r="22">
      <c r="A22" s="5" t="s">
        <v>39</v>
      </c>
      <c r="B22" s="9">
        <v>3.0</v>
      </c>
      <c r="C22" s="5">
        <v>1.0</v>
      </c>
      <c r="D22" s="9">
        <v>1.0</v>
      </c>
      <c r="E22" s="9">
        <v>1.0</v>
      </c>
      <c r="F22" s="9">
        <v>0.0</v>
      </c>
      <c r="G22" s="9">
        <v>1.0</v>
      </c>
      <c r="H22" s="9">
        <v>2.0</v>
      </c>
      <c r="I22" s="9">
        <v>1.0</v>
      </c>
      <c r="J22" s="5">
        <f t="shared" ref="J22:K22" si="28">B22+D22+F22+H22</f>
        <v>6</v>
      </c>
      <c r="K22" s="4">
        <f t="shared" si="28"/>
        <v>4</v>
      </c>
      <c r="L22" s="10">
        <f t="shared" si="3"/>
        <v>60</v>
      </c>
      <c r="M22" s="10">
        <f t="shared" si="4"/>
        <v>75</v>
      </c>
      <c r="N22" s="10">
        <f t="shared" si="5"/>
        <v>50</v>
      </c>
      <c r="O22" s="10">
        <f t="shared" si="6"/>
        <v>0</v>
      </c>
      <c r="P22" s="10">
        <f t="shared" si="7"/>
        <v>66.7</v>
      </c>
      <c r="Q22" s="11">
        <f t="shared" si="8"/>
        <v>21</v>
      </c>
      <c r="R22" s="9">
        <v>0.0</v>
      </c>
      <c r="S22" s="12">
        <v>45926.55069444444</v>
      </c>
      <c r="T22" s="5" t="s">
        <v>25</v>
      </c>
      <c r="U22" s="5">
        <v>4.0</v>
      </c>
      <c r="V22" s="4" t="str">
        <f t="array" ref="V22">IFERROR(INDEX('사용자목록'!O:O, MATCH(A22, '사용자목록'!A:A, 0)),"아이언")</f>
        <v>다이아</v>
      </c>
      <c r="W22" s="5">
        <v>21.0</v>
      </c>
      <c r="X22" s="5" t="str">
        <f t="shared" si="9"/>
        <v/>
      </c>
      <c r="Y22" s="4"/>
    </row>
    <row r="23">
      <c r="A23" s="5" t="s">
        <v>45</v>
      </c>
      <c r="B23" s="9">
        <v>0.0</v>
      </c>
      <c r="C23" s="5">
        <v>0.0</v>
      </c>
      <c r="D23" s="9">
        <v>0.0</v>
      </c>
      <c r="E23" s="9">
        <v>4.0</v>
      </c>
      <c r="F23" s="9">
        <v>1.0</v>
      </c>
      <c r="G23" s="9">
        <v>1.0</v>
      </c>
      <c r="H23" s="9">
        <v>4.0</v>
      </c>
      <c r="I23" s="9">
        <v>2.0</v>
      </c>
      <c r="J23" s="5">
        <f t="shared" ref="J23:K23" si="29">B23+D23+F23+H23</f>
        <v>5</v>
      </c>
      <c r="K23" s="4">
        <f t="shared" si="29"/>
        <v>7</v>
      </c>
      <c r="L23" s="10">
        <f t="shared" si="3"/>
        <v>41.7</v>
      </c>
      <c r="M23" s="10">
        <f t="shared" si="4"/>
        <v>0</v>
      </c>
      <c r="N23" s="10">
        <f t="shared" si="5"/>
        <v>0</v>
      </c>
      <c r="O23" s="10">
        <f t="shared" si="6"/>
        <v>50</v>
      </c>
      <c r="P23" s="10">
        <f t="shared" si="7"/>
        <v>66.7</v>
      </c>
      <c r="Q23" s="11">
        <f t="shared" si="8"/>
        <v>22</v>
      </c>
      <c r="R23" s="9">
        <v>0.0</v>
      </c>
      <c r="S23" s="12">
        <v>45926.55069444444</v>
      </c>
      <c r="T23" s="5" t="s">
        <v>25</v>
      </c>
      <c r="U23" s="5">
        <v>0.0</v>
      </c>
      <c r="V23" s="4" t="str">
        <f t="array" ref="V23">IFERROR(INDEX('사용자목록'!O:O, MATCH(A23, '사용자목록'!A:A, 0)),"아이언")</f>
        <v>실버</v>
      </c>
      <c r="W23" s="5">
        <v>22.0</v>
      </c>
      <c r="X23" s="5" t="str">
        <f t="shared" si="9"/>
        <v/>
      </c>
      <c r="Y23" s="4"/>
    </row>
    <row r="24">
      <c r="A24" s="5" t="s">
        <v>37</v>
      </c>
      <c r="B24" s="9">
        <v>3.0</v>
      </c>
      <c r="C24" s="5">
        <v>0.0</v>
      </c>
      <c r="D24" s="9">
        <v>0.0</v>
      </c>
      <c r="E24" s="9">
        <v>4.0</v>
      </c>
      <c r="F24" s="9">
        <v>1.0</v>
      </c>
      <c r="G24" s="9">
        <v>1.0</v>
      </c>
      <c r="H24" s="9">
        <v>0.0</v>
      </c>
      <c r="I24" s="9">
        <v>0.0</v>
      </c>
      <c r="J24" s="5">
        <f t="shared" ref="J24:K24" si="30">B24+D24+F24+H24</f>
        <v>4</v>
      </c>
      <c r="K24" s="4">
        <f t="shared" si="30"/>
        <v>5</v>
      </c>
      <c r="L24" s="10">
        <f t="shared" si="3"/>
        <v>44.4</v>
      </c>
      <c r="M24" s="10">
        <f t="shared" si="4"/>
        <v>100</v>
      </c>
      <c r="N24" s="10">
        <f t="shared" si="5"/>
        <v>0</v>
      </c>
      <c r="O24" s="10">
        <f t="shared" si="6"/>
        <v>50</v>
      </c>
      <c r="P24" s="10">
        <f t="shared" si="7"/>
        <v>0</v>
      </c>
      <c r="Q24" s="11">
        <f t="shared" si="8"/>
        <v>23</v>
      </c>
      <c r="R24" s="9">
        <v>0.0</v>
      </c>
      <c r="S24" s="12">
        <v>45926.55069444444</v>
      </c>
      <c r="T24" s="5" t="s">
        <v>25</v>
      </c>
      <c r="U24" s="5">
        <v>0.0</v>
      </c>
      <c r="V24" s="4" t="str">
        <f t="array" ref="V24">IFERROR(INDEX('사용자목록'!O:O, MATCH(A24, '사용자목록'!A:A, 0)),"아이언")</f>
        <v>아이언</v>
      </c>
      <c r="W24" s="5">
        <v>23.0</v>
      </c>
      <c r="X24" s="5" t="str">
        <f t="shared" si="9"/>
        <v/>
      </c>
      <c r="Y24" s="4"/>
    </row>
    <row r="25">
      <c r="A25" s="5" t="s">
        <v>35</v>
      </c>
      <c r="B25" s="9">
        <v>0.0</v>
      </c>
      <c r="C25" s="5">
        <v>1.0</v>
      </c>
      <c r="D25" s="9">
        <v>1.0</v>
      </c>
      <c r="E25" s="9">
        <v>3.0</v>
      </c>
      <c r="F25" s="9">
        <v>2.0</v>
      </c>
      <c r="G25" s="9">
        <v>5.0</v>
      </c>
      <c r="H25" s="9">
        <v>0.0</v>
      </c>
      <c r="I25" s="9">
        <v>0.0</v>
      </c>
      <c r="J25" s="5">
        <f t="shared" ref="J25:K25" si="31">B25+D25+F25+H25</f>
        <v>3</v>
      </c>
      <c r="K25" s="4">
        <f t="shared" si="31"/>
        <v>9</v>
      </c>
      <c r="L25" s="10">
        <f t="shared" si="3"/>
        <v>25</v>
      </c>
      <c r="M25" s="10">
        <f t="shared" si="4"/>
        <v>0</v>
      </c>
      <c r="N25" s="10">
        <f t="shared" si="5"/>
        <v>25</v>
      </c>
      <c r="O25" s="10">
        <f t="shared" si="6"/>
        <v>28.6</v>
      </c>
      <c r="P25" s="10">
        <f t="shared" si="7"/>
        <v>0</v>
      </c>
      <c r="Q25" s="11">
        <f t="shared" si="8"/>
        <v>24</v>
      </c>
      <c r="R25" s="9">
        <v>0.0</v>
      </c>
      <c r="S25" s="12">
        <v>45926.615277777775</v>
      </c>
      <c r="T25" s="5" t="s">
        <v>25</v>
      </c>
      <c r="U25" s="5">
        <v>0.0</v>
      </c>
      <c r="V25" s="4" t="str">
        <f t="array" ref="V25">IFERROR(INDEX('사용자목록'!O:O, MATCH(A25, '사용자목록'!A:A, 0)),"아이언")</f>
        <v>골드</v>
      </c>
      <c r="W25" s="5">
        <v>24.0</v>
      </c>
      <c r="X25" s="5" t="str">
        <f t="shared" si="9"/>
        <v/>
      </c>
      <c r="Y25" s="4"/>
    </row>
    <row r="26">
      <c r="A26" s="5" t="s">
        <v>33</v>
      </c>
      <c r="B26" s="9">
        <v>0.0</v>
      </c>
      <c r="C26" s="5">
        <v>0.0</v>
      </c>
      <c r="D26" s="27">
        <v>0.0</v>
      </c>
      <c r="E26" s="9">
        <v>0.0</v>
      </c>
      <c r="F26" s="9">
        <v>1.0</v>
      </c>
      <c r="G26" s="27">
        <v>0.0</v>
      </c>
      <c r="H26" s="9">
        <v>1.0</v>
      </c>
      <c r="I26" s="9">
        <v>1.0</v>
      </c>
      <c r="J26" s="5">
        <f t="shared" ref="J26:K26" si="32">B26+D26+F26+H26</f>
        <v>2</v>
      </c>
      <c r="K26" s="4">
        <f t="shared" si="32"/>
        <v>1</v>
      </c>
      <c r="L26" s="10">
        <f t="shared" si="3"/>
        <v>66.7</v>
      </c>
      <c r="M26" s="10">
        <f t="shared" si="4"/>
        <v>0</v>
      </c>
      <c r="N26" s="10">
        <f t="shared" si="5"/>
        <v>0</v>
      </c>
      <c r="O26" s="10">
        <f t="shared" si="6"/>
        <v>100</v>
      </c>
      <c r="P26" s="10">
        <f t="shared" si="7"/>
        <v>50</v>
      </c>
      <c r="Q26" s="11">
        <f t="shared" si="8"/>
        <v>25</v>
      </c>
      <c r="R26" s="9">
        <v>0.0</v>
      </c>
      <c r="S26" s="12">
        <v>45926.55069444444</v>
      </c>
      <c r="T26" s="5" t="s">
        <v>25</v>
      </c>
      <c r="U26" s="5">
        <v>0.0</v>
      </c>
      <c r="V26" s="4" t="str">
        <f t="array" ref="V26">IFERROR(INDEX('사용자목록'!O:O, MATCH(A26, '사용자목록'!A:A, 0)),"아이언")</f>
        <v>플래티넘</v>
      </c>
      <c r="W26" s="9">
        <v>25.0</v>
      </c>
      <c r="X26" s="5" t="str">
        <f t="shared" si="9"/>
        <v/>
      </c>
      <c r="Y26" s="4"/>
    </row>
    <row r="27">
      <c r="A27" s="5" t="s">
        <v>9705</v>
      </c>
      <c r="B27" s="9">
        <v>0.0</v>
      </c>
      <c r="C27" s="5">
        <v>0.0</v>
      </c>
      <c r="D27" s="9">
        <v>0.0</v>
      </c>
      <c r="E27" s="9">
        <v>0.0</v>
      </c>
      <c r="F27" s="9">
        <v>0.0</v>
      </c>
      <c r="G27" s="9">
        <v>0.0</v>
      </c>
      <c r="H27" s="9">
        <v>1.0</v>
      </c>
      <c r="I27" s="9">
        <v>0.0</v>
      </c>
      <c r="J27" s="5">
        <f t="shared" ref="J27:K27" si="33">B27+D27+F27+H27</f>
        <v>1</v>
      </c>
      <c r="K27" s="4">
        <f t="shared" si="33"/>
        <v>0</v>
      </c>
      <c r="L27" s="10">
        <f t="shared" si="3"/>
        <v>100</v>
      </c>
      <c r="M27" s="10">
        <f t="shared" si="4"/>
        <v>0</v>
      </c>
      <c r="N27" s="10">
        <f t="shared" si="5"/>
        <v>0</v>
      </c>
      <c r="O27" s="10">
        <f t="shared" si="6"/>
        <v>0</v>
      </c>
      <c r="P27" s="10">
        <f t="shared" si="7"/>
        <v>100</v>
      </c>
      <c r="Q27" s="11">
        <f t="shared" si="8"/>
        <v>26</v>
      </c>
      <c r="R27" s="9">
        <v>0.0</v>
      </c>
      <c r="S27" s="12">
        <v>45926.55069444444</v>
      </c>
      <c r="T27" s="5" t="s">
        <v>25</v>
      </c>
      <c r="U27" s="5">
        <v>0.0</v>
      </c>
      <c r="V27" s="4" t="str">
        <f t="array" ref="V27">IFERROR(INDEX('사용자목록'!O:O, MATCH(A27, '사용자목록'!A:A, 0)),"아이언")</f>
        <v>아이언</v>
      </c>
      <c r="W27" s="9">
        <v>26.0</v>
      </c>
      <c r="X27" s="5" t="str">
        <f t="shared" si="9"/>
        <v/>
      </c>
      <c r="Y27" s="4"/>
    </row>
    <row r="28">
      <c r="A28" s="5" t="s">
        <v>9765</v>
      </c>
      <c r="B28" s="9">
        <v>0.0</v>
      </c>
      <c r="C28" s="5">
        <v>1.0</v>
      </c>
      <c r="D28" s="9">
        <v>0.0</v>
      </c>
      <c r="E28" s="9">
        <v>0.0</v>
      </c>
      <c r="F28" s="9">
        <v>0.0</v>
      </c>
      <c r="G28" s="9">
        <v>0.0</v>
      </c>
      <c r="H28" s="9">
        <v>1.0</v>
      </c>
      <c r="I28" s="9">
        <v>0.0</v>
      </c>
      <c r="J28" s="5">
        <f t="shared" ref="J28:K28" si="34">B28+D28+F28+H28</f>
        <v>1</v>
      </c>
      <c r="K28" s="4">
        <f t="shared" si="34"/>
        <v>1</v>
      </c>
      <c r="L28" s="10">
        <f t="shared" si="3"/>
        <v>50</v>
      </c>
      <c r="M28" s="10">
        <f t="shared" si="4"/>
        <v>0</v>
      </c>
      <c r="N28" s="10">
        <f t="shared" si="5"/>
        <v>0</v>
      </c>
      <c r="O28" s="10">
        <f t="shared" si="6"/>
        <v>0</v>
      </c>
      <c r="P28" s="10">
        <f t="shared" si="7"/>
        <v>100</v>
      </c>
      <c r="Q28" s="11">
        <f t="shared" si="8"/>
        <v>27</v>
      </c>
      <c r="R28" s="9">
        <v>0.0</v>
      </c>
      <c r="S28" s="12">
        <v>45926.55069444444</v>
      </c>
      <c r="T28" s="5" t="s">
        <v>25</v>
      </c>
      <c r="U28" s="5">
        <v>0.0</v>
      </c>
      <c r="V28" s="4" t="str">
        <f t="array" ref="V28">IFERROR(INDEX('사용자목록'!O:O, MATCH(A28, '사용자목록'!A:A, 0)),"아이언")</f>
        <v>아이언</v>
      </c>
      <c r="W28" s="9">
        <v>27.0</v>
      </c>
      <c r="X28" s="5" t="str">
        <f t="shared" si="9"/>
        <v/>
      </c>
      <c r="Y28" s="4"/>
    </row>
    <row r="29">
      <c r="A29" s="5" t="s">
        <v>9766</v>
      </c>
      <c r="B29" s="9">
        <v>1.0</v>
      </c>
      <c r="C29" s="5">
        <v>1.0</v>
      </c>
      <c r="D29" s="9">
        <v>0.0</v>
      </c>
      <c r="E29" s="9">
        <v>0.0</v>
      </c>
      <c r="F29" s="9">
        <v>0.0</v>
      </c>
      <c r="G29" s="9">
        <v>1.0</v>
      </c>
      <c r="H29" s="9">
        <v>0.0</v>
      </c>
      <c r="I29" s="9">
        <v>2.0</v>
      </c>
      <c r="J29" s="5">
        <f t="shared" ref="J29:K29" si="35">B29+D29+F29+H29</f>
        <v>1</v>
      </c>
      <c r="K29" s="4">
        <f t="shared" si="35"/>
        <v>4</v>
      </c>
      <c r="L29" s="10">
        <f t="shared" si="3"/>
        <v>20</v>
      </c>
      <c r="M29" s="10">
        <f t="shared" si="4"/>
        <v>50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45926.725</v>
      </c>
      <c r="T29" s="5" t="s">
        <v>25</v>
      </c>
      <c r="U29" s="5">
        <v>0.0</v>
      </c>
      <c r="V29" s="4" t="str">
        <f t="array" ref="V29">IFERROR(INDEX('사용자목록'!O:O, MATCH(A29, '사용자목록'!A:A, 0)),"아이언")</f>
        <v>아이언</v>
      </c>
      <c r="W29" s="9">
        <v>28.0</v>
      </c>
      <c r="X29" s="5" t="str">
        <f t="shared" si="9"/>
        <v/>
      </c>
      <c r="Y29" s="4"/>
    </row>
    <row r="30">
      <c r="A30" s="5" t="s">
        <v>46</v>
      </c>
      <c r="B30" s="9">
        <v>0.0</v>
      </c>
      <c r="C30" s="5">
        <v>0.0</v>
      </c>
      <c r="D30" s="9">
        <v>0.0</v>
      </c>
      <c r="E30" s="5">
        <v>0.0</v>
      </c>
      <c r="F30" s="9">
        <v>0.0</v>
      </c>
      <c r="G30" s="5">
        <v>0.0</v>
      </c>
      <c r="H30" s="9">
        <v>0.0</v>
      </c>
      <c r="I30" s="9">
        <v>0.0</v>
      </c>
      <c r="J30" s="5">
        <f t="shared" ref="J30:K30" si="36">B30+D30+F30+H30</f>
        <v>0</v>
      </c>
      <c r="K30" s="4">
        <f t="shared" si="36"/>
        <v>0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 t="str">
        <f t="shared" si="8"/>
        <v/>
      </c>
      <c r="R30" s="9">
        <v>0.0</v>
      </c>
      <c r="S30" s="12">
        <v>45889.944444444445</v>
      </c>
      <c r="T30" s="5" t="s">
        <v>47</v>
      </c>
      <c r="U30" s="5">
        <v>0.0</v>
      </c>
      <c r="V30" s="4" t="str">
        <f t="array" ref="V30">IFERROR(INDEX('사용자목록'!O:O, MATCH(A30, '사용자목록'!A:A, 0)),"아이언")</f>
        <v>아이언</v>
      </c>
      <c r="W30" s="5"/>
      <c r="X30" s="5" t="str">
        <f t="shared" si="9"/>
        <v/>
      </c>
      <c r="Y30" s="4"/>
    </row>
    <row r="31">
      <c r="A31" s="5" t="s">
        <v>9772</v>
      </c>
      <c r="B31" s="9">
        <v>0.0</v>
      </c>
      <c r="C31" s="5">
        <v>0.0</v>
      </c>
      <c r="D31" s="9">
        <v>0.0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5">
        <f t="shared" ref="J31:K31" si="37">B31+D31+F31+H31</f>
        <v>0</v>
      </c>
      <c r="K31" s="4">
        <f t="shared" si="37"/>
        <v>0</v>
      </c>
      <c r="L31" s="10">
        <f t="shared" si="3"/>
        <v>0</v>
      </c>
      <c r="M31" s="10">
        <f t="shared" si="4"/>
        <v>0</v>
      </c>
      <c r="N31" s="10">
        <f t="shared" si="5"/>
        <v>0</v>
      </c>
      <c r="O31" s="10">
        <f t="shared" si="6"/>
        <v>0</v>
      </c>
      <c r="P31" s="10">
        <f t="shared" si="7"/>
        <v>0</v>
      </c>
      <c r="Q31" s="11">
        <f t="shared" si="8"/>
        <v>29</v>
      </c>
      <c r="R31" s="9">
        <v>0.0</v>
      </c>
      <c r="S31" s="12">
        <v>45926.55069444444</v>
      </c>
      <c r="T31" s="5" t="s">
        <v>25</v>
      </c>
      <c r="U31" s="5">
        <v>0.0</v>
      </c>
      <c r="V31" s="4" t="str">
        <f t="array" ref="V31">IFERROR(INDEX('사용자목록'!O:O, MATCH(A31, '사용자목록'!A:A, 0)),"아이언")</f>
        <v>아이언</v>
      </c>
      <c r="W31" s="9">
        <v>29.0</v>
      </c>
      <c r="X31" s="5" t="str">
        <f t="shared" si="9"/>
        <v/>
      </c>
      <c r="Y31" s="4"/>
    </row>
    <row r="32">
      <c r="A32" s="5" t="s">
        <v>9722</v>
      </c>
      <c r="B32" s="9">
        <v>0.0</v>
      </c>
      <c r="C32" s="5">
        <v>3.0</v>
      </c>
      <c r="D32" s="9">
        <v>0.0</v>
      </c>
      <c r="E32" s="9">
        <v>2.0</v>
      </c>
      <c r="F32" s="9">
        <v>0.0</v>
      </c>
      <c r="G32" s="9">
        <v>3.0</v>
      </c>
      <c r="H32" s="9">
        <v>0.0</v>
      </c>
      <c r="I32" s="9">
        <v>1.0</v>
      </c>
      <c r="J32" s="5">
        <f t="shared" ref="J32:K32" si="38">B32+D32+F32+H32</f>
        <v>0</v>
      </c>
      <c r="K32" s="4">
        <f t="shared" si="38"/>
        <v>9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>
        <f t="shared" si="6"/>
        <v>0</v>
      </c>
      <c r="P32" s="10">
        <f t="shared" si="7"/>
        <v>0</v>
      </c>
      <c r="Q32" s="11">
        <f t="shared" si="8"/>
        <v>30</v>
      </c>
      <c r="R32" s="9">
        <v>0.0</v>
      </c>
      <c r="S32" s="12">
        <v>45916.959027777775</v>
      </c>
      <c r="T32" s="5" t="s">
        <v>25</v>
      </c>
      <c r="U32" s="5">
        <v>0.0</v>
      </c>
      <c r="V32" s="4" t="str">
        <f t="array" ref="V32">IFERROR(INDEX('사용자목록'!O:O, MATCH(A32, '사용자목록'!A:A, 0)),"아이언")</f>
        <v>아이언</v>
      </c>
      <c r="W32" s="9">
        <v>30.0</v>
      </c>
      <c r="X32" s="5" t="str">
        <f t="shared" si="9"/>
        <v/>
      </c>
      <c r="Y32" s="4"/>
    </row>
    <row r="33">
      <c r="A33" s="5"/>
      <c r="B33" s="9"/>
      <c r="C33" s="5"/>
      <c r="D33" s="9"/>
      <c r="E33" s="9"/>
      <c r="F33" s="9"/>
      <c r="G33" s="9"/>
      <c r="H33" s="9"/>
      <c r="I33" s="9"/>
      <c r="J33" s="5"/>
      <c r="K33" s="4"/>
      <c r="L33" s="10"/>
      <c r="M33" s="10"/>
      <c r="N33" s="10"/>
      <c r="O33" s="10"/>
      <c r="P33" s="10"/>
      <c r="Q33" s="11"/>
      <c r="R33" s="9"/>
      <c r="S33" s="12"/>
      <c r="T33" s="5"/>
      <c r="U33" s="5"/>
      <c r="V33" s="4"/>
      <c r="W33" s="4"/>
      <c r="X33" s="4"/>
      <c r="Y33" s="4"/>
    </row>
    <row r="34">
      <c r="A34" s="5"/>
      <c r="B34" s="9"/>
      <c r="C34" s="5"/>
      <c r="D34" s="9"/>
      <c r="E34" s="9"/>
      <c r="F34" s="9"/>
      <c r="G34" s="9"/>
      <c r="H34" s="9"/>
      <c r="I34" s="9"/>
      <c r="J34" s="5"/>
      <c r="K34" s="4"/>
      <c r="L34" s="10"/>
      <c r="M34" s="10"/>
      <c r="N34" s="10"/>
      <c r="O34" s="10"/>
      <c r="P34" s="10"/>
      <c r="Q34" s="11"/>
      <c r="R34" s="9"/>
      <c r="S34" s="12"/>
      <c r="T34" s="5"/>
      <c r="U34" s="5"/>
      <c r="V34" s="4"/>
      <c r="W34" s="4"/>
      <c r="X34" s="4"/>
      <c r="Y34" s="4"/>
    </row>
    <row r="35">
      <c r="A35" s="5"/>
      <c r="B35" s="9"/>
      <c r="C35" s="5"/>
      <c r="D35" s="9"/>
      <c r="E35" s="9"/>
      <c r="F35" s="9"/>
      <c r="G35" s="9"/>
      <c r="H35" s="9"/>
      <c r="I35" s="9"/>
      <c r="J35" s="5"/>
      <c r="K35" s="4"/>
      <c r="L35" s="10"/>
      <c r="M35" s="10"/>
      <c r="N35" s="10"/>
      <c r="O35" s="10"/>
      <c r="P35" s="10"/>
      <c r="Q35" s="11"/>
      <c r="R35" s="9"/>
      <c r="S35" s="12"/>
      <c r="T35" s="5"/>
      <c r="U35" s="5"/>
      <c r="V35" s="4"/>
      <c r="W35" s="4"/>
      <c r="X35" s="4"/>
      <c r="Y35" s="4"/>
    </row>
    <row r="36">
      <c r="A36" s="5"/>
      <c r="B36" s="9"/>
      <c r="C36" s="5"/>
      <c r="D36" s="9"/>
      <c r="E36" s="9"/>
      <c r="F36" s="9"/>
      <c r="G36" s="9"/>
      <c r="H36" s="9"/>
      <c r="I36" s="9"/>
      <c r="J36" s="5"/>
      <c r="K36" s="4"/>
      <c r="L36" s="10"/>
      <c r="M36" s="10"/>
      <c r="N36" s="10"/>
      <c r="O36" s="10"/>
      <c r="P36" s="10"/>
      <c r="Q36" s="11"/>
      <c r="R36" s="9"/>
      <c r="S36" s="12"/>
      <c r="T36" s="5"/>
      <c r="U36" s="5"/>
      <c r="V36" s="4"/>
      <c r="W36" s="4"/>
      <c r="X36" s="4"/>
      <c r="Y36" s="4"/>
    </row>
    <row r="37">
      <c r="A37" s="5"/>
      <c r="B37" s="9"/>
      <c r="C37" s="5"/>
      <c r="D37" s="9"/>
      <c r="E37" s="9"/>
      <c r="F37" s="9"/>
      <c r="G37" s="9"/>
      <c r="H37" s="9"/>
      <c r="I37" s="9"/>
      <c r="J37" s="5"/>
      <c r="K37" s="4"/>
      <c r="L37" s="10"/>
      <c r="M37" s="10"/>
      <c r="N37" s="10"/>
      <c r="O37" s="10"/>
      <c r="P37" s="10"/>
      <c r="Q37" s="11"/>
      <c r="R37" s="9"/>
      <c r="S37" s="12"/>
      <c r="T37" s="5"/>
      <c r="U37" s="5"/>
      <c r="V37" s="4"/>
      <c r="W37" s="4"/>
      <c r="X37" s="4"/>
      <c r="Y37" s="4"/>
    </row>
    <row r="38">
      <c r="A38" s="5"/>
      <c r="B38" s="9"/>
      <c r="C38" s="5"/>
      <c r="D38" s="9"/>
      <c r="E38" s="9"/>
      <c r="F38" s="9"/>
      <c r="G38" s="9"/>
      <c r="H38" s="9"/>
      <c r="I38" s="9"/>
      <c r="J38" s="5"/>
      <c r="K38" s="4"/>
      <c r="L38" s="10"/>
      <c r="M38" s="10"/>
      <c r="N38" s="10"/>
      <c r="O38" s="10"/>
      <c r="P38" s="10"/>
      <c r="Q38" s="11"/>
      <c r="R38" s="9"/>
      <c r="S38" s="12"/>
      <c r="T38" s="5"/>
      <c r="U38" s="5"/>
      <c r="V38" s="4"/>
      <c r="W38" s="4"/>
      <c r="X38" s="4"/>
      <c r="Y38" s="4"/>
    </row>
    <row r="39">
      <c r="A39" s="5"/>
      <c r="B39" s="9"/>
      <c r="C39" s="5"/>
      <c r="D39" s="9"/>
      <c r="E39" s="9"/>
      <c r="F39" s="9"/>
      <c r="G39" s="9"/>
      <c r="H39" s="9"/>
      <c r="I39" s="9"/>
      <c r="J39" s="5"/>
      <c r="K39" s="4"/>
      <c r="L39" s="10"/>
      <c r="M39" s="10"/>
      <c r="N39" s="10"/>
      <c r="O39" s="10"/>
      <c r="P39" s="10"/>
      <c r="Q39" s="11"/>
      <c r="R39" s="9"/>
      <c r="S39" s="12"/>
      <c r="T39" s="5"/>
      <c r="U39" s="5"/>
      <c r="V39" s="4"/>
      <c r="W39" s="4"/>
      <c r="X39" s="4"/>
      <c r="Y39" s="4"/>
    </row>
    <row r="40">
      <c r="A40" s="5"/>
      <c r="B40" s="9"/>
      <c r="C40" s="5"/>
      <c r="D40" s="9"/>
      <c r="E40" s="9"/>
      <c r="F40" s="9"/>
      <c r="G40" s="9"/>
      <c r="H40" s="9"/>
      <c r="I40" s="9"/>
      <c r="J40" s="5"/>
      <c r="K40" s="4"/>
      <c r="L40" s="10"/>
      <c r="M40" s="10"/>
      <c r="N40" s="10"/>
      <c r="O40" s="10"/>
      <c r="P40" s="10"/>
      <c r="Q40" s="11"/>
      <c r="R40" s="9"/>
      <c r="S40" s="12"/>
      <c r="T40" s="5"/>
      <c r="U40" s="5"/>
      <c r="V40" s="4"/>
      <c r="W40" s="4"/>
      <c r="X40" s="4"/>
      <c r="Y40" s="4"/>
    </row>
    <row r="41">
      <c r="A41" s="5"/>
      <c r="B41" s="9"/>
      <c r="C41" s="5"/>
      <c r="D41" s="9"/>
      <c r="E41" s="9"/>
      <c r="F41" s="9"/>
      <c r="G41" s="9"/>
      <c r="H41" s="9"/>
      <c r="I41" s="9"/>
      <c r="J41" s="5"/>
      <c r="K41" s="4"/>
      <c r="L41" s="10"/>
      <c r="M41" s="10"/>
      <c r="N41" s="10"/>
      <c r="O41" s="10"/>
      <c r="P41" s="10"/>
      <c r="Q41" s="11"/>
      <c r="R41" s="9"/>
      <c r="S41" s="12"/>
      <c r="T41" s="5"/>
      <c r="U41" s="5"/>
      <c r="V41" s="4"/>
      <c r="W41" s="4"/>
      <c r="X41" s="4"/>
      <c r="Y41" s="4"/>
    </row>
    <row r="42">
      <c r="A42" s="5"/>
      <c r="B42" s="9"/>
      <c r="C42" s="5"/>
      <c r="D42" s="9"/>
      <c r="E42" s="9"/>
      <c r="F42" s="9"/>
      <c r="G42" s="9"/>
      <c r="H42" s="9"/>
      <c r="I42" s="9"/>
      <c r="J42" s="5"/>
      <c r="K42" s="4"/>
      <c r="L42" s="10"/>
      <c r="M42" s="10"/>
      <c r="N42" s="10"/>
      <c r="O42" s="10"/>
      <c r="P42" s="10"/>
      <c r="Q42" s="11"/>
      <c r="R42" s="9"/>
      <c r="S42" s="12"/>
      <c r="T42" s="5"/>
      <c r="U42" s="5"/>
      <c r="V42" s="4"/>
      <c r="W42" s="4"/>
      <c r="X42" s="4"/>
      <c r="Y42" s="4"/>
    </row>
    <row r="43">
      <c r="A43" s="5"/>
      <c r="B43" s="9"/>
      <c r="C43" s="5"/>
      <c r="D43" s="9"/>
      <c r="E43" s="9"/>
      <c r="F43" s="9"/>
      <c r="G43" s="9"/>
      <c r="H43" s="9"/>
      <c r="I43" s="9"/>
      <c r="J43" s="5"/>
      <c r="K43" s="4"/>
      <c r="L43" s="10"/>
      <c r="M43" s="10"/>
      <c r="N43" s="10"/>
      <c r="O43" s="10"/>
      <c r="P43" s="10"/>
      <c r="Q43" s="11"/>
      <c r="R43" s="9"/>
      <c r="S43" s="12"/>
      <c r="T43" s="5"/>
      <c r="U43" s="5"/>
      <c r="V43" s="4"/>
      <c r="W43" s="4"/>
      <c r="X43" s="4"/>
      <c r="Y43" s="4"/>
    </row>
    <row r="44">
      <c r="A44" s="5"/>
      <c r="B44" s="9"/>
      <c r="C44" s="5"/>
      <c r="D44" s="9"/>
      <c r="E44" s="9"/>
      <c r="F44" s="9"/>
      <c r="G44" s="9"/>
      <c r="H44" s="9"/>
      <c r="I44" s="9"/>
      <c r="J44" s="5"/>
      <c r="K44" s="4"/>
      <c r="L44" s="10"/>
      <c r="M44" s="10"/>
      <c r="N44" s="10"/>
      <c r="O44" s="10"/>
      <c r="P44" s="10"/>
      <c r="Q44" s="11"/>
      <c r="R44" s="9"/>
      <c r="S44" s="12"/>
      <c r="T44" s="5"/>
      <c r="U44" s="5"/>
      <c r="V44" s="4"/>
      <c r="W44" s="4"/>
      <c r="X44" s="4"/>
      <c r="Y44" s="4"/>
    </row>
    <row r="45">
      <c r="A45" s="5"/>
      <c r="B45" s="9"/>
      <c r="C45" s="5"/>
      <c r="D45" s="9"/>
      <c r="E45" s="9"/>
      <c r="F45" s="9"/>
      <c r="G45" s="9"/>
      <c r="H45" s="9"/>
      <c r="I45" s="9"/>
      <c r="J45" s="5"/>
      <c r="K45" s="4"/>
      <c r="L45" s="10"/>
      <c r="M45" s="10"/>
      <c r="N45" s="10"/>
      <c r="O45" s="10"/>
      <c r="P45" s="10"/>
      <c r="Q45" s="11"/>
      <c r="R45" s="9"/>
      <c r="S45" s="12"/>
      <c r="T45" s="5"/>
      <c r="U45" s="5"/>
      <c r="V45" s="4"/>
      <c r="W45" s="4"/>
      <c r="X45" s="4"/>
      <c r="Y45" s="4"/>
    </row>
    <row r="46">
      <c r="A46" s="5"/>
      <c r="B46" s="9"/>
      <c r="C46" s="5"/>
      <c r="D46" s="9"/>
      <c r="E46" s="9"/>
      <c r="F46" s="9"/>
      <c r="G46" s="9"/>
      <c r="H46" s="9"/>
      <c r="I46" s="9"/>
      <c r="J46" s="5"/>
      <c r="K46" s="4"/>
      <c r="L46" s="10"/>
      <c r="M46" s="10"/>
      <c r="N46" s="10"/>
      <c r="O46" s="10"/>
      <c r="P46" s="10"/>
      <c r="Q46" s="11"/>
      <c r="R46" s="9"/>
      <c r="S46" s="12"/>
      <c r="T46" s="5"/>
      <c r="U46" s="5"/>
      <c r="V46" s="4"/>
      <c r="W46" s="4"/>
      <c r="X46" s="4"/>
      <c r="Y46" s="4"/>
    </row>
    <row r="47">
      <c r="A47" s="5"/>
      <c r="B47" s="9"/>
      <c r="C47" s="5"/>
      <c r="D47" s="9"/>
      <c r="E47" s="9"/>
      <c r="F47" s="9"/>
      <c r="G47" s="9"/>
      <c r="H47" s="9"/>
      <c r="I47" s="9"/>
      <c r="J47" s="5"/>
      <c r="K47" s="4"/>
      <c r="L47" s="10"/>
      <c r="M47" s="10"/>
      <c r="N47" s="10"/>
      <c r="O47" s="10"/>
      <c r="P47" s="10"/>
      <c r="Q47" s="11"/>
      <c r="R47" s="9"/>
      <c r="S47" s="12"/>
      <c r="T47" s="5"/>
      <c r="U47" s="5"/>
      <c r="V47" s="4"/>
      <c r="W47" s="4"/>
      <c r="X47" s="4"/>
      <c r="Y47" s="4"/>
    </row>
    <row r="48">
      <c r="A48" s="5"/>
      <c r="B48" s="9"/>
      <c r="C48" s="5"/>
      <c r="D48" s="9"/>
      <c r="E48" s="9"/>
      <c r="F48" s="9"/>
      <c r="G48" s="9"/>
      <c r="H48" s="9"/>
      <c r="I48" s="9"/>
      <c r="J48" s="5"/>
      <c r="K48" s="4"/>
      <c r="L48" s="10"/>
      <c r="M48" s="10"/>
      <c r="N48" s="10"/>
      <c r="O48" s="10"/>
      <c r="P48" s="10"/>
      <c r="Q48" s="11"/>
      <c r="R48" s="9"/>
      <c r="S48" s="12"/>
      <c r="T48" s="5"/>
      <c r="U48" s="5"/>
      <c r="V48" s="4"/>
      <c r="W48" s="4"/>
      <c r="X48" s="4"/>
      <c r="Y48" s="4"/>
    </row>
    <row r="49">
      <c r="A49" s="5"/>
      <c r="B49" s="9"/>
      <c r="C49" s="5"/>
      <c r="D49" s="9"/>
      <c r="E49" s="9"/>
      <c r="F49" s="9"/>
      <c r="G49" s="9"/>
      <c r="H49" s="9"/>
      <c r="I49" s="9"/>
      <c r="J49" s="5"/>
      <c r="K49" s="4"/>
      <c r="L49" s="10"/>
      <c r="M49" s="10"/>
      <c r="N49" s="10"/>
      <c r="O49" s="10"/>
      <c r="P49" s="10"/>
      <c r="Q49" s="11"/>
      <c r="R49" s="9"/>
      <c r="S49" s="12"/>
      <c r="T49" s="5"/>
      <c r="U49" s="5"/>
      <c r="V49" s="4"/>
      <c r="W49" s="4"/>
      <c r="X49" s="4"/>
      <c r="Y49" s="4"/>
    </row>
    <row r="50">
      <c r="A50" s="5"/>
      <c r="B50" s="9"/>
      <c r="C50" s="5"/>
      <c r="D50" s="9"/>
      <c r="E50" s="9"/>
      <c r="F50" s="9"/>
      <c r="G50" s="9"/>
      <c r="H50" s="9"/>
      <c r="I50" s="9"/>
      <c r="J50" s="5"/>
      <c r="K50" s="4"/>
      <c r="L50" s="10"/>
      <c r="M50" s="10"/>
      <c r="N50" s="10"/>
      <c r="O50" s="10"/>
      <c r="P50" s="10"/>
      <c r="Q50" s="11"/>
      <c r="R50" s="9"/>
      <c r="S50" s="12"/>
      <c r="T50" s="5"/>
      <c r="U50" s="5"/>
      <c r="V50" s="4"/>
      <c r="W50" s="4"/>
      <c r="X50" s="4"/>
      <c r="Y50" s="4"/>
    </row>
    <row r="51">
      <c r="A51" s="5"/>
      <c r="B51" s="9"/>
      <c r="C51" s="5"/>
      <c r="D51" s="9"/>
      <c r="E51" s="9"/>
      <c r="F51" s="9"/>
      <c r="G51" s="9"/>
      <c r="H51" s="9"/>
      <c r="I51" s="9"/>
      <c r="J51" s="5"/>
      <c r="K51" s="4"/>
      <c r="L51" s="10"/>
      <c r="M51" s="10"/>
      <c r="N51" s="10"/>
      <c r="O51" s="10"/>
      <c r="P51" s="10"/>
      <c r="Q51" s="11"/>
      <c r="R51" s="9"/>
      <c r="S51" s="12"/>
      <c r="T51" s="5"/>
      <c r="U51" s="5"/>
      <c r="V51" s="4"/>
      <c r="W51" s="4"/>
      <c r="X51" s="4"/>
      <c r="Y51" s="4"/>
    </row>
    <row r="52">
      <c r="A52" s="5"/>
      <c r="B52" s="9"/>
      <c r="C52" s="5"/>
      <c r="D52" s="9"/>
      <c r="E52" s="9"/>
      <c r="F52" s="9"/>
      <c r="G52" s="9"/>
      <c r="H52" s="9"/>
      <c r="I52" s="9"/>
      <c r="J52" s="5"/>
      <c r="K52" s="4"/>
      <c r="L52" s="10"/>
      <c r="M52" s="10"/>
      <c r="N52" s="10"/>
      <c r="O52" s="10"/>
      <c r="P52" s="10"/>
      <c r="Q52" s="11"/>
      <c r="R52" s="9"/>
      <c r="S52" s="12"/>
      <c r="T52" s="5"/>
      <c r="U52" s="5"/>
      <c r="V52" s="4"/>
      <c r="W52" s="4"/>
      <c r="X52" s="4"/>
      <c r="Y52" s="4"/>
    </row>
    <row r="53">
      <c r="A53" s="5"/>
      <c r="B53" s="9"/>
      <c r="C53" s="5"/>
      <c r="D53" s="9"/>
      <c r="E53" s="9"/>
      <c r="F53" s="9"/>
      <c r="G53" s="9"/>
      <c r="H53" s="9"/>
      <c r="I53" s="9"/>
      <c r="J53" s="5"/>
      <c r="K53" s="4"/>
      <c r="L53" s="10"/>
      <c r="M53" s="10"/>
      <c r="N53" s="10"/>
      <c r="O53" s="10"/>
      <c r="P53" s="10"/>
      <c r="Q53" s="11"/>
      <c r="R53" s="9"/>
      <c r="S53" s="12"/>
      <c r="T53" s="5"/>
      <c r="U53" s="5"/>
      <c r="V53" s="4"/>
      <c r="W53" s="4"/>
      <c r="X53" s="4"/>
      <c r="Y53" s="4"/>
    </row>
    <row r="54">
      <c r="A54" s="5"/>
      <c r="B54" s="9"/>
      <c r="C54" s="5"/>
      <c r="D54" s="9"/>
      <c r="E54" s="9"/>
      <c r="F54" s="9"/>
      <c r="G54" s="9"/>
      <c r="H54" s="9"/>
      <c r="I54" s="9"/>
      <c r="J54" s="5"/>
      <c r="K54" s="4"/>
      <c r="L54" s="10"/>
      <c r="M54" s="10"/>
      <c r="N54" s="10"/>
      <c r="O54" s="10"/>
      <c r="P54" s="10"/>
      <c r="Q54" s="11"/>
      <c r="R54" s="9"/>
      <c r="S54" s="12"/>
      <c r="T54" s="5"/>
      <c r="U54" s="5"/>
      <c r="V54" s="4"/>
      <c r="W54" s="4"/>
      <c r="X54" s="4"/>
      <c r="Y54" s="4"/>
    </row>
    <row r="55">
      <c r="A55" s="5"/>
      <c r="B55" s="9"/>
      <c r="C55" s="5"/>
      <c r="D55" s="9"/>
      <c r="E55" s="9"/>
      <c r="F55" s="9"/>
      <c r="G55" s="9"/>
      <c r="H55" s="9"/>
      <c r="I55" s="9"/>
      <c r="J55" s="5"/>
      <c r="K55" s="4"/>
      <c r="L55" s="10"/>
      <c r="M55" s="10"/>
      <c r="N55" s="10"/>
      <c r="O55" s="10"/>
      <c r="P55" s="10"/>
      <c r="Q55" s="11"/>
      <c r="R55" s="9"/>
      <c r="S55" s="12"/>
      <c r="T55" s="5"/>
      <c r="U55" s="5"/>
      <c r="V55" s="4"/>
      <c r="W55" s="4"/>
      <c r="X55" s="4"/>
      <c r="Y55" s="4"/>
    </row>
    <row r="56">
      <c r="A56" s="5"/>
      <c r="B56" s="9"/>
      <c r="C56" s="5"/>
      <c r="D56" s="9"/>
      <c r="E56" s="9"/>
      <c r="F56" s="9"/>
      <c r="G56" s="9"/>
      <c r="H56" s="9"/>
      <c r="I56" s="9"/>
      <c r="J56" s="5"/>
      <c r="K56" s="4"/>
      <c r="L56" s="10"/>
      <c r="M56" s="10"/>
      <c r="N56" s="10"/>
      <c r="O56" s="10"/>
      <c r="P56" s="10"/>
      <c r="Q56" s="11"/>
      <c r="R56" s="9"/>
      <c r="S56" s="12"/>
      <c r="T56" s="5"/>
      <c r="U56" s="5"/>
      <c r="V56" s="4"/>
      <c r="W56" s="4"/>
      <c r="X56" s="4"/>
      <c r="Y56" s="4"/>
    </row>
    <row r="57">
      <c r="A57" s="5"/>
      <c r="B57" s="9"/>
      <c r="C57" s="5"/>
      <c r="D57" s="9"/>
      <c r="E57" s="9"/>
      <c r="F57" s="9"/>
      <c r="G57" s="9"/>
      <c r="H57" s="9"/>
      <c r="I57" s="9"/>
      <c r="J57" s="5"/>
      <c r="K57" s="4"/>
      <c r="L57" s="10"/>
      <c r="M57" s="10"/>
      <c r="N57" s="10"/>
      <c r="O57" s="10"/>
      <c r="P57" s="10"/>
      <c r="Q57" s="11"/>
      <c r="R57" s="9"/>
      <c r="S57" s="12"/>
      <c r="T57" s="5"/>
      <c r="U57" s="5"/>
      <c r="V57" s="4"/>
      <c r="W57" s="4"/>
      <c r="X57" s="4"/>
      <c r="Y57" s="4"/>
    </row>
    <row r="58">
      <c r="A58" s="5"/>
      <c r="B58" s="9"/>
      <c r="C58" s="5"/>
      <c r="D58" s="9"/>
      <c r="E58" s="9"/>
      <c r="F58" s="9"/>
      <c r="G58" s="9"/>
      <c r="H58" s="9"/>
      <c r="I58" s="9"/>
      <c r="J58" s="5"/>
      <c r="K58" s="4"/>
      <c r="L58" s="10"/>
      <c r="M58" s="10"/>
      <c r="N58" s="10"/>
      <c r="O58" s="10"/>
      <c r="P58" s="10"/>
      <c r="Q58" s="11"/>
      <c r="R58" s="9"/>
      <c r="S58" s="12"/>
      <c r="T58" s="5"/>
      <c r="U58" s="5"/>
      <c r="V58" s="4"/>
      <c r="W58" s="4"/>
      <c r="X58" s="4"/>
      <c r="Y58" s="4"/>
    </row>
    <row r="59">
      <c r="A59" s="5"/>
      <c r="B59" s="9"/>
      <c r="C59" s="5"/>
      <c r="D59" s="9"/>
      <c r="E59" s="9"/>
      <c r="F59" s="9"/>
      <c r="G59" s="9"/>
      <c r="H59" s="9"/>
      <c r="I59" s="9"/>
      <c r="J59" s="5"/>
      <c r="K59" s="4"/>
      <c r="L59" s="10"/>
      <c r="M59" s="10"/>
      <c r="N59" s="10"/>
      <c r="O59" s="10"/>
      <c r="P59" s="10"/>
      <c r="Q59" s="11"/>
      <c r="R59" s="9"/>
      <c r="S59" s="12"/>
      <c r="T59" s="5"/>
      <c r="U59" s="5"/>
      <c r="V59" s="4"/>
      <c r="W59" s="4"/>
      <c r="X59" s="4"/>
      <c r="Y59" s="4"/>
    </row>
    <row r="60">
      <c r="A60" s="5"/>
      <c r="B60" s="9"/>
      <c r="C60" s="5"/>
      <c r="D60" s="9"/>
      <c r="E60" s="9"/>
      <c r="F60" s="9"/>
      <c r="G60" s="9"/>
      <c r="H60" s="9"/>
      <c r="I60" s="9"/>
      <c r="J60" s="5"/>
      <c r="K60" s="4"/>
      <c r="L60" s="10"/>
      <c r="M60" s="10"/>
      <c r="N60" s="10"/>
      <c r="O60" s="10"/>
      <c r="P60" s="10"/>
      <c r="Q60" s="11"/>
      <c r="R60" s="9"/>
      <c r="S60" s="12"/>
      <c r="T60" s="5"/>
      <c r="U60" s="5"/>
      <c r="V60" s="4"/>
      <c r="W60" s="4"/>
      <c r="X60" s="4"/>
      <c r="Y60" s="4"/>
    </row>
    <row r="61">
      <c r="A61" s="5"/>
      <c r="B61" s="9"/>
      <c r="C61" s="5"/>
      <c r="D61" s="9"/>
      <c r="E61" s="9"/>
      <c r="F61" s="9"/>
      <c r="G61" s="9"/>
      <c r="H61" s="9"/>
      <c r="I61" s="9"/>
      <c r="J61" s="5"/>
      <c r="K61" s="4"/>
      <c r="L61" s="10"/>
      <c r="M61" s="10"/>
      <c r="N61" s="10"/>
      <c r="O61" s="10"/>
      <c r="P61" s="10"/>
      <c r="Q61" s="11"/>
      <c r="R61" s="9"/>
      <c r="S61" s="12"/>
      <c r="T61" s="5"/>
      <c r="U61" s="5"/>
      <c r="V61" s="4"/>
      <c r="W61" s="4"/>
      <c r="X61" s="4"/>
      <c r="Y61" s="4"/>
    </row>
    <row r="62">
      <c r="A62" s="5"/>
      <c r="B62" s="9"/>
      <c r="C62" s="5"/>
      <c r="D62" s="9"/>
      <c r="E62" s="9"/>
      <c r="F62" s="9"/>
      <c r="G62" s="9"/>
      <c r="H62" s="9"/>
      <c r="I62" s="9"/>
      <c r="J62" s="5"/>
      <c r="K62" s="4"/>
      <c r="L62" s="10"/>
      <c r="M62" s="10"/>
      <c r="N62" s="10"/>
      <c r="O62" s="10"/>
      <c r="P62" s="10"/>
      <c r="Q62" s="11"/>
      <c r="R62" s="9"/>
      <c r="S62" s="12"/>
      <c r="T62" s="5"/>
      <c r="U62" s="5"/>
      <c r="V62" s="4"/>
      <c r="W62" s="4"/>
      <c r="X62" s="4"/>
      <c r="Y62" s="4"/>
    </row>
    <row r="63">
      <c r="A63" s="5"/>
      <c r="B63" s="9"/>
      <c r="C63" s="5"/>
      <c r="D63" s="9"/>
      <c r="E63" s="9"/>
      <c r="F63" s="9"/>
      <c r="G63" s="9"/>
      <c r="H63" s="9"/>
      <c r="I63" s="9"/>
      <c r="J63" s="5"/>
      <c r="K63" s="4"/>
      <c r="L63" s="10"/>
      <c r="M63" s="10"/>
      <c r="N63" s="10"/>
      <c r="O63" s="10"/>
      <c r="P63" s="10"/>
      <c r="Q63" s="11"/>
      <c r="R63" s="9"/>
      <c r="S63" s="12"/>
      <c r="T63" s="5"/>
      <c r="U63" s="5"/>
      <c r="V63" s="4"/>
      <c r="W63" s="4"/>
      <c r="X63" s="4"/>
      <c r="Y63" s="4"/>
    </row>
    <row r="64">
      <c r="A64" s="5"/>
      <c r="B64" s="9"/>
      <c r="C64" s="5"/>
      <c r="D64" s="9"/>
      <c r="E64" s="9"/>
      <c r="F64" s="9"/>
      <c r="G64" s="9"/>
      <c r="H64" s="9"/>
      <c r="I64" s="9"/>
      <c r="J64" s="5"/>
      <c r="K64" s="4"/>
      <c r="L64" s="10"/>
      <c r="M64" s="10"/>
      <c r="N64" s="10"/>
      <c r="O64" s="10"/>
      <c r="P64" s="10"/>
      <c r="Q64" s="11"/>
      <c r="R64" s="9"/>
      <c r="S64" s="12"/>
      <c r="T64" s="5"/>
      <c r="U64" s="5"/>
      <c r="V64" s="4"/>
      <c r="W64" s="4"/>
      <c r="X64" s="4"/>
      <c r="Y64" s="4"/>
    </row>
    <row r="65">
      <c r="A65" s="5"/>
      <c r="B65" s="9"/>
      <c r="C65" s="5"/>
      <c r="D65" s="9"/>
      <c r="E65" s="9"/>
      <c r="F65" s="9"/>
      <c r="G65" s="9"/>
      <c r="H65" s="9"/>
      <c r="I65" s="9"/>
      <c r="J65" s="5"/>
      <c r="K65" s="4"/>
      <c r="L65" s="10"/>
      <c r="M65" s="10"/>
      <c r="N65" s="10"/>
      <c r="O65" s="10"/>
      <c r="P65" s="10"/>
      <c r="Q65" s="11"/>
      <c r="R65" s="9"/>
      <c r="S65" s="12"/>
      <c r="T65" s="5"/>
      <c r="U65" s="5"/>
      <c r="V65" s="4"/>
      <c r="W65" s="4"/>
      <c r="X65" s="4"/>
      <c r="Y65" s="4"/>
    </row>
    <row r="66">
      <c r="A66" s="5"/>
      <c r="B66" s="9"/>
      <c r="C66" s="5"/>
      <c r="D66" s="9"/>
      <c r="E66" s="9"/>
      <c r="F66" s="9"/>
      <c r="G66" s="9"/>
      <c r="H66" s="9"/>
      <c r="I66" s="9"/>
      <c r="J66" s="5"/>
      <c r="K66" s="4"/>
      <c r="L66" s="10"/>
      <c r="M66" s="10"/>
      <c r="N66" s="10"/>
      <c r="O66" s="10"/>
      <c r="P66" s="10"/>
      <c r="Q66" s="11"/>
      <c r="R66" s="9"/>
      <c r="S66" s="12"/>
      <c r="T66" s="5"/>
      <c r="U66" s="5"/>
      <c r="V66" s="4"/>
      <c r="W66" s="4"/>
      <c r="X66" s="4"/>
      <c r="Y66" s="4"/>
    </row>
    <row r="67">
      <c r="A67" s="5"/>
      <c r="B67" s="9"/>
      <c r="C67" s="5"/>
      <c r="D67" s="9"/>
      <c r="E67" s="9"/>
      <c r="F67" s="9"/>
      <c r="G67" s="9"/>
      <c r="H67" s="9"/>
      <c r="I67" s="9"/>
      <c r="J67" s="5"/>
      <c r="K67" s="4"/>
      <c r="L67" s="10"/>
      <c r="M67" s="10"/>
      <c r="N67" s="10"/>
      <c r="O67" s="10"/>
      <c r="P67" s="10"/>
      <c r="Q67" s="11"/>
      <c r="R67" s="9"/>
      <c r="S67" s="12"/>
      <c r="T67" s="5"/>
      <c r="U67" s="5"/>
      <c r="V67" s="4"/>
      <c r="W67" s="4"/>
      <c r="X67" s="4"/>
      <c r="Y67" s="4"/>
    </row>
    <row r="68">
      <c r="A68" s="5"/>
      <c r="B68" s="9"/>
      <c r="C68" s="5"/>
      <c r="D68" s="9"/>
      <c r="E68" s="9"/>
      <c r="F68" s="9"/>
      <c r="G68" s="9"/>
      <c r="H68" s="9"/>
      <c r="I68" s="9"/>
      <c r="J68" s="5"/>
      <c r="K68" s="4"/>
      <c r="L68" s="10"/>
      <c r="M68" s="10"/>
      <c r="N68" s="10"/>
      <c r="O68" s="10"/>
      <c r="P68" s="10"/>
      <c r="Q68" s="11"/>
      <c r="R68" s="9"/>
      <c r="S68" s="12"/>
      <c r="T68" s="5"/>
      <c r="U68" s="5"/>
      <c r="V68" s="4"/>
      <c r="W68" s="4"/>
      <c r="X68" s="4"/>
      <c r="Y68" s="4"/>
    </row>
    <row r="69">
      <c r="A69" s="5"/>
      <c r="B69" s="9"/>
      <c r="C69" s="5"/>
      <c r="D69" s="9"/>
      <c r="E69" s="9"/>
      <c r="F69" s="9"/>
      <c r="G69" s="9"/>
      <c r="H69" s="9"/>
      <c r="I69" s="9"/>
      <c r="J69" s="5"/>
      <c r="K69" s="4"/>
      <c r="L69" s="10"/>
      <c r="M69" s="10"/>
      <c r="N69" s="10"/>
      <c r="O69" s="10"/>
      <c r="P69" s="10"/>
      <c r="Q69" s="11"/>
      <c r="R69" s="9"/>
      <c r="S69" s="12"/>
      <c r="T69" s="5"/>
      <c r="U69" s="5"/>
      <c r="V69" s="4"/>
      <c r="W69" s="4"/>
      <c r="X69" s="4"/>
      <c r="Y69" s="4"/>
    </row>
    <row r="70">
      <c r="A70" s="5"/>
      <c r="B70" s="9"/>
      <c r="C70" s="5"/>
      <c r="D70" s="9"/>
      <c r="E70" s="9"/>
      <c r="F70" s="9"/>
      <c r="G70" s="9"/>
      <c r="H70" s="9"/>
      <c r="I70" s="9"/>
      <c r="J70" s="5"/>
      <c r="K70" s="4"/>
      <c r="L70" s="10"/>
      <c r="M70" s="10"/>
      <c r="N70" s="10"/>
      <c r="O70" s="10"/>
      <c r="P70" s="10"/>
      <c r="Q70" s="11"/>
      <c r="R70" s="9"/>
      <c r="S70" s="12"/>
      <c r="T70" s="5"/>
      <c r="U70" s="5"/>
      <c r="V70" s="4"/>
      <c r="W70" s="4"/>
      <c r="X70" s="4"/>
      <c r="Y70" s="4"/>
    </row>
    <row r="71">
      <c r="A71" s="5"/>
      <c r="B71" s="9"/>
      <c r="C71" s="5"/>
      <c r="D71" s="9"/>
      <c r="E71" s="9"/>
      <c r="F71" s="9"/>
      <c r="G71" s="9"/>
      <c r="H71" s="9"/>
      <c r="I71" s="9"/>
      <c r="J71" s="5"/>
      <c r="K71" s="4"/>
      <c r="L71" s="10"/>
      <c r="M71" s="10"/>
      <c r="N71" s="10"/>
      <c r="O71" s="10"/>
      <c r="P71" s="10"/>
      <c r="Q71" s="11"/>
      <c r="R71" s="9"/>
      <c r="S71" s="12"/>
      <c r="T71" s="5"/>
      <c r="U71" s="5"/>
      <c r="V71" s="4"/>
      <c r="W71" s="4"/>
      <c r="X71" s="4"/>
      <c r="Y71" s="4"/>
    </row>
    <row r="72">
      <c r="A72" s="5"/>
      <c r="B72" s="9"/>
      <c r="C72" s="5"/>
      <c r="D72" s="9"/>
      <c r="E72" s="9"/>
      <c r="F72" s="9"/>
      <c r="G72" s="9"/>
      <c r="H72" s="9"/>
      <c r="I72" s="9"/>
      <c r="J72" s="5"/>
      <c r="K72" s="4"/>
      <c r="L72" s="10"/>
      <c r="M72" s="10"/>
      <c r="N72" s="10"/>
      <c r="O72" s="10"/>
      <c r="P72" s="10"/>
      <c r="Q72" s="11"/>
      <c r="R72" s="9"/>
      <c r="S72" s="12"/>
      <c r="T72" s="5"/>
      <c r="U72" s="5"/>
      <c r="V72" s="4"/>
      <c r="W72" s="4"/>
      <c r="X72" s="4"/>
      <c r="Y72" s="4"/>
    </row>
    <row r="73">
      <c r="A73" s="5"/>
      <c r="B73" s="9"/>
      <c r="C73" s="5"/>
      <c r="D73" s="9"/>
      <c r="E73" s="9"/>
      <c r="F73" s="9"/>
      <c r="G73" s="9"/>
      <c r="H73" s="9"/>
      <c r="I73" s="9"/>
      <c r="J73" s="5"/>
      <c r="K73" s="4"/>
      <c r="L73" s="10"/>
      <c r="M73" s="10"/>
      <c r="N73" s="10"/>
      <c r="O73" s="10"/>
      <c r="P73" s="10"/>
      <c r="Q73" s="11"/>
      <c r="R73" s="9"/>
      <c r="S73" s="12"/>
      <c r="T73" s="5"/>
      <c r="U73" s="5"/>
      <c r="V73" s="4"/>
      <c r="W73" s="4"/>
      <c r="X73" s="4"/>
      <c r="Y73" s="4"/>
    </row>
    <row r="74">
      <c r="A74" s="5"/>
      <c r="B74" s="9"/>
      <c r="C74" s="5"/>
      <c r="D74" s="9"/>
      <c r="E74" s="9"/>
      <c r="F74" s="9"/>
      <c r="G74" s="9"/>
      <c r="H74" s="9"/>
      <c r="I74" s="9"/>
      <c r="J74" s="5"/>
      <c r="K74" s="4"/>
      <c r="L74" s="10"/>
      <c r="M74" s="10"/>
      <c r="N74" s="10"/>
      <c r="O74" s="10"/>
      <c r="P74" s="10"/>
      <c r="Q74" s="11"/>
      <c r="R74" s="9"/>
      <c r="S74" s="12"/>
      <c r="T74" s="5"/>
      <c r="U74" s="5"/>
      <c r="V74" s="4"/>
      <c r="W74" s="4"/>
      <c r="X74" s="4"/>
      <c r="Y74" s="4"/>
    </row>
    <row r="75">
      <c r="A75" s="5"/>
      <c r="B75" s="9"/>
      <c r="C75" s="5"/>
      <c r="D75" s="9"/>
      <c r="E75" s="9"/>
      <c r="F75" s="9"/>
      <c r="G75" s="9"/>
      <c r="H75" s="9"/>
      <c r="I75" s="9"/>
      <c r="J75" s="5"/>
      <c r="K75" s="4"/>
      <c r="L75" s="10"/>
      <c r="M75" s="10"/>
      <c r="N75" s="10"/>
      <c r="O75" s="10"/>
      <c r="P75" s="10"/>
      <c r="Q75" s="11"/>
      <c r="R75" s="9"/>
      <c r="S75" s="12"/>
      <c r="T75" s="5"/>
      <c r="U75" s="5"/>
      <c r="V75" s="4"/>
      <c r="W75" s="4"/>
      <c r="X75" s="4"/>
      <c r="Y75" s="4"/>
    </row>
    <row r="76">
      <c r="A76" s="5"/>
      <c r="B76" s="9"/>
      <c r="C76" s="5"/>
      <c r="D76" s="9"/>
      <c r="E76" s="9"/>
      <c r="F76" s="9"/>
      <c r="G76" s="9"/>
      <c r="H76" s="9"/>
      <c r="I76" s="9"/>
      <c r="J76" s="5"/>
      <c r="K76" s="4"/>
      <c r="L76" s="10"/>
      <c r="M76" s="10"/>
      <c r="N76" s="10"/>
      <c r="O76" s="10"/>
      <c r="P76" s="10"/>
      <c r="Q76" s="11"/>
      <c r="R76" s="9"/>
      <c r="S76" s="12"/>
      <c r="T76" s="5"/>
      <c r="U76" s="5"/>
      <c r="V76" s="4"/>
      <c r="W76" s="4"/>
      <c r="X76" s="4"/>
      <c r="Y76" s="4"/>
    </row>
    <row r="77">
      <c r="A77" s="5"/>
      <c r="B77" s="9"/>
      <c r="C77" s="5"/>
      <c r="D77" s="9"/>
      <c r="E77" s="9"/>
      <c r="F77" s="9"/>
      <c r="G77" s="9"/>
      <c r="H77" s="9"/>
      <c r="I77" s="9"/>
      <c r="J77" s="5"/>
      <c r="K77" s="4"/>
      <c r="L77" s="10"/>
      <c r="M77" s="10"/>
      <c r="N77" s="10"/>
      <c r="O77" s="10"/>
      <c r="P77" s="10"/>
      <c r="Q77" s="11"/>
      <c r="R77" s="9"/>
      <c r="S77" s="12"/>
      <c r="T77" s="5"/>
      <c r="U77" s="5"/>
      <c r="V77" s="4"/>
      <c r="W77" s="4"/>
      <c r="X77" s="4"/>
      <c r="Y77" s="4"/>
    </row>
    <row r="78">
      <c r="A78" s="5"/>
      <c r="B78" s="9"/>
      <c r="C78" s="5"/>
      <c r="D78" s="9"/>
      <c r="E78" s="9"/>
      <c r="F78" s="9"/>
      <c r="G78" s="9"/>
      <c r="H78" s="9"/>
      <c r="I78" s="9"/>
      <c r="J78" s="5"/>
      <c r="K78" s="4"/>
      <c r="L78" s="10"/>
      <c r="M78" s="10"/>
      <c r="N78" s="10"/>
      <c r="O78" s="10"/>
      <c r="P78" s="10"/>
      <c r="Q78" s="11"/>
      <c r="R78" s="9"/>
      <c r="S78" s="12"/>
      <c r="T78" s="5"/>
      <c r="U78" s="5"/>
      <c r="V78" s="4"/>
      <c r="W78" s="4"/>
      <c r="X78" s="4"/>
      <c r="Y78" s="4"/>
    </row>
    <row r="79">
      <c r="A79" s="5"/>
      <c r="B79" s="9"/>
      <c r="C79" s="5"/>
      <c r="D79" s="9"/>
      <c r="E79" s="9"/>
      <c r="F79" s="9"/>
      <c r="G79" s="9"/>
      <c r="H79" s="9"/>
      <c r="I79" s="9"/>
      <c r="J79" s="5"/>
      <c r="K79" s="4"/>
      <c r="L79" s="10"/>
      <c r="M79" s="10"/>
      <c r="N79" s="10"/>
      <c r="O79" s="10"/>
      <c r="P79" s="10"/>
      <c r="Q79" s="11"/>
      <c r="R79" s="9"/>
      <c r="S79" s="12"/>
      <c r="T79" s="5"/>
      <c r="U79" s="5"/>
      <c r="V79" s="4"/>
      <c r="W79" s="4"/>
      <c r="X79" s="4"/>
      <c r="Y79" s="4"/>
    </row>
    <row r="80">
      <c r="A80" s="5"/>
      <c r="B80" s="9"/>
      <c r="C80" s="5"/>
      <c r="D80" s="9"/>
      <c r="E80" s="9"/>
      <c r="F80" s="9"/>
      <c r="G80" s="9"/>
      <c r="H80" s="9"/>
      <c r="I80" s="9"/>
      <c r="J80" s="5"/>
      <c r="K80" s="4"/>
      <c r="L80" s="10"/>
      <c r="M80" s="10"/>
      <c r="N80" s="10"/>
      <c r="O80" s="10"/>
      <c r="P80" s="10"/>
      <c r="Q80" s="11"/>
      <c r="R80" s="9"/>
      <c r="S80" s="12"/>
      <c r="T80" s="5"/>
      <c r="U80" s="5"/>
      <c r="V80" s="4"/>
      <c r="W80" s="4"/>
      <c r="X80" s="4"/>
      <c r="Y80" s="4"/>
    </row>
    <row r="81">
      <c r="A81" s="5"/>
      <c r="B81" s="9"/>
      <c r="C81" s="5"/>
      <c r="D81" s="9"/>
      <c r="E81" s="9"/>
      <c r="F81" s="9"/>
      <c r="G81" s="9"/>
      <c r="H81" s="9"/>
      <c r="I81" s="9"/>
      <c r="J81" s="5"/>
      <c r="K81" s="4"/>
      <c r="L81" s="10"/>
      <c r="M81" s="10"/>
      <c r="N81" s="10"/>
      <c r="O81" s="10"/>
      <c r="P81" s="10"/>
      <c r="Q81" s="11"/>
      <c r="R81" s="9"/>
      <c r="S81" s="12"/>
      <c r="T81" s="5"/>
      <c r="U81" s="5"/>
      <c r="V81" s="4"/>
      <c r="W81" s="4"/>
      <c r="X81" s="4"/>
      <c r="Y81" s="4"/>
    </row>
    <row r="82">
      <c r="A82" s="5"/>
      <c r="B82" s="9"/>
      <c r="C82" s="5"/>
      <c r="D82" s="9"/>
      <c r="E82" s="9"/>
      <c r="F82" s="9"/>
      <c r="G82" s="9"/>
      <c r="H82" s="9"/>
      <c r="I82" s="9"/>
      <c r="J82" s="5"/>
      <c r="K82" s="4"/>
      <c r="L82" s="10"/>
      <c r="M82" s="10"/>
      <c r="N82" s="10"/>
      <c r="O82" s="10"/>
      <c r="P82" s="10"/>
      <c r="Q82" s="11"/>
      <c r="R82" s="9"/>
      <c r="S82" s="12"/>
      <c r="T82" s="5"/>
      <c r="U82" s="5"/>
      <c r="V82" s="4"/>
      <c r="W82" s="4"/>
      <c r="X82" s="4"/>
      <c r="Y82" s="4"/>
    </row>
    <row r="83">
      <c r="A83" s="5"/>
      <c r="B83" s="9"/>
      <c r="C83" s="5"/>
      <c r="D83" s="9"/>
      <c r="E83" s="9"/>
      <c r="F83" s="9"/>
      <c r="G83" s="9"/>
      <c r="H83" s="9"/>
      <c r="I83" s="9"/>
      <c r="J83" s="5"/>
      <c r="K83" s="4"/>
      <c r="L83" s="10"/>
      <c r="M83" s="10"/>
      <c r="N83" s="10"/>
      <c r="O83" s="10"/>
      <c r="P83" s="10"/>
      <c r="Q83" s="11"/>
      <c r="R83" s="9"/>
      <c r="S83" s="12"/>
      <c r="T83" s="5"/>
      <c r="U83" s="5"/>
      <c r="V83" s="4"/>
      <c r="W83" s="4"/>
      <c r="X83" s="4"/>
      <c r="Y83" s="4"/>
    </row>
    <row r="84">
      <c r="A84" s="5"/>
      <c r="B84" s="9"/>
      <c r="C84" s="5"/>
      <c r="D84" s="9"/>
      <c r="E84" s="9"/>
      <c r="F84" s="9"/>
      <c r="G84" s="9"/>
      <c r="H84" s="9"/>
      <c r="I84" s="9"/>
      <c r="J84" s="5"/>
      <c r="K84" s="4"/>
      <c r="L84" s="10"/>
      <c r="M84" s="10"/>
      <c r="N84" s="10"/>
      <c r="O84" s="10"/>
      <c r="P84" s="10"/>
      <c r="Q84" s="11"/>
      <c r="R84" s="9"/>
      <c r="S84" s="12"/>
      <c r="T84" s="5"/>
      <c r="U84" s="5"/>
      <c r="V84" s="4"/>
      <c r="W84" s="4"/>
      <c r="X84" s="4"/>
      <c r="Y84" s="4"/>
    </row>
    <row r="85">
      <c r="A85" s="5"/>
      <c r="B85" s="9"/>
      <c r="C85" s="5"/>
      <c r="D85" s="9"/>
      <c r="E85" s="9"/>
      <c r="F85" s="9"/>
      <c r="G85" s="9"/>
      <c r="H85" s="9"/>
      <c r="I85" s="9"/>
      <c r="J85" s="5"/>
      <c r="K85" s="4"/>
      <c r="L85" s="10"/>
      <c r="M85" s="10"/>
      <c r="N85" s="10"/>
      <c r="O85" s="10"/>
      <c r="P85" s="10"/>
      <c r="Q85" s="11"/>
      <c r="R85" s="9"/>
      <c r="S85" s="12"/>
      <c r="T85" s="5"/>
      <c r="U85" s="5"/>
      <c r="V85" s="4"/>
      <c r="W85" s="4"/>
      <c r="X85" s="4"/>
      <c r="Y85" s="4"/>
    </row>
    <row r="86">
      <c r="A86" s="5"/>
      <c r="B86" s="9"/>
      <c r="C86" s="5"/>
      <c r="D86" s="9"/>
      <c r="E86" s="9"/>
      <c r="F86" s="9"/>
      <c r="G86" s="9"/>
      <c r="H86" s="9"/>
      <c r="I86" s="9"/>
      <c r="J86" s="5"/>
      <c r="K86" s="4"/>
      <c r="L86" s="10"/>
      <c r="M86" s="10"/>
      <c r="N86" s="10"/>
      <c r="O86" s="10"/>
      <c r="P86" s="10"/>
      <c r="Q86" s="11"/>
      <c r="R86" s="9"/>
      <c r="S86" s="12"/>
      <c r="T86" s="5"/>
      <c r="U86" s="5"/>
      <c r="V86" s="4"/>
      <c r="W86" s="4"/>
      <c r="X86" s="4"/>
      <c r="Y86" s="4"/>
    </row>
    <row r="87">
      <c r="A87" s="5"/>
      <c r="B87" s="9"/>
      <c r="C87" s="5"/>
      <c r="D87" s="9"/>
      <c r="E87" s="9"/>
      <c r="F87" s="9"/>
      <c r="G87" s="9"/>
      <c r="H87" s="9"/>
      <c r="I87" s="9"/>
      <c r="J87" s="5"/>
      <c r="K87" s="4"/>
      <c r="L87" s="10"/>
      <c r="M87" s="10"/>
      <c r="N87" s="10"/>
      <c r="O87" s="10"/>
      <c r="P87" s="10"/>
      <c r="Q87" s="11"/>
      <c r="R87" s="9"/>
      <c r="S87" s="12"/>
      <c r="T87" s="5"/>
      <c r="U87" s="5"/>
      <c r="V87" s="4"/>
      <c r="W87" s="4"/>
      <c r="X87" s="4"/>
      <c r="Y87" s="4"/>
    </row>
    <row r="88">
      <c r="A88" s="5"/>
      <c r="B88" s="9"/>
      <c r="C88" s="5"/>
      <c r="D88" s="9"/>
      <c r="E88" s="9"/>
      <c r="F88" s="9"/>
      <c r="G88" s="9"/>
      <c r="H88" s="9"/>
      <c r="I88" s="9"/>
      <c r="J88" s="5"/>
      <c r="K88" s="4"/>
      <c r="L88" s="10"/>
      <c r="M88" s="10"/>
      <c r="N88" s="10"/>
      <c r="O88" s="10"/>
      <c r="P88" s="10"/>
      <c r="Q88" s="11"/>
      <c r="R88" s="9"/>
      <c r="S88" s="12"/>
      <c r="T88" s="5"/>
      <c r="U88" s="5"/>
      <c r="V88" s="4"/>
      <c r="W88" s="4"/>
      <c r="X88" s="4"/>
      <c r="Y88" s="4"/>
    </row>
    <row r="89">
      <c r="A89" s="5"/>
      <c r="B89" s="9"/>
      <c r="C89" s="5"/>
      <c r="D89" s="9"/>
      <c r="E89" s="9"/>
      <c r="F89" s="9"/>
      <c r="G89" s="9"/>
      <c r="H89" s="9"/>
      <c r="I89" s="9"/>
      <c r="J89" s="5"/>
      <c r="K89" s="4"/>
      <c r="L89" s="10"/>
      <c r="M89" s="10"/>
      <c r="N89" s="10"/>
      <c r="O89" s="10"/>
      <c r="P89" s="10"/>
      <c r="Q89" s="11"/>
      <c r="R89" s="9"/>
      <c r="S89" s="12"/>
      <c r="T89" s="5"/>
      <c r="U89" s="5"/>
      <c r="V89" s="4"/>
      <c r="W89" s="4"/>
      <c r="X89" s="4"/>
      <c r="Y89" s="4"/>
    </row>
    <row r="90">
      <c r="A90" s="5"/>
      <c r="B90" s="9"/>
      <c r="C90" s="5"/>
      <c r="D90" s="9"/>
      <c r="E90" s="9"/>
      <c r="F90" s="9"/>
      <c r="G90" s="9"/>
      <c r="H90" s="9"/>
      <c r="I90" s="9"/>
      <c r="J90" s="5"/>
      <c r="K90" s="4"/>
      <c r="L90" s="10"/>
      <c r="M90" s="10"/>
      <c r="N90" s="10"/>
      <c r="O90" s="10"/>
      <c r="P90" s="10"/>
      <c r="Q90" s="11"/>
      <c r="R90" s="9"/>
      <c r="S90" s="12"/>
      <c r="T90" s="5"/>
      <c r="U90" s="5"/>
      <c r="V90" s="4"/>
      <c r="W90" s="4"/>
      <c r="X90" s="4"/>
      <c r="Y90" s="4"/>
    </row>
    <row r="91">
      <c r="A91" s="5"/>
      <c r="B91" s="9"/>
      <c r="C91" s="5"/>
      <c r="D91" s="9"/>
      <c r="E91" s="9"/>
      <c r="F91" s="9"/>
      <c r="G91" s="9"/>
      <c r="H91" s="9"/>
      <c r="I91" s="9"/>
      <c r="J91" s="5"/>
      <c r="K91" s="4"/>
      <c r="L91" s="10"/>
      <c r="M91" s="10"/>
      <c r="N91" s="10"/>
      <c r="O91" s="10"/>
      <c r="P91" s="10"/>
      <c r="Q91" s="11"/>
      <c r="R91" s="9"/>
      <c r="S91" s="12"/>
      <c r="T91" s="5"/>
      <c r="U91" s="5"/>
      <c r="V91" s="4"/>
      <c r="W91" s="4"/>
      <c r="X91" s="4"/>
      <c r="Y91" s="4"/>
    </row>
    <row r="92">
      <c r="A92" s="5"/>
      <c r="B92" s="9"/>
      <c r="C92" s="5"/>
      <c r="D92" s="9"/>
      <c r="E92" s="9"/>
      <c r="F92" s="9"/>
      <c r="G92" s="9"/>
      <c r="H92" s="9"/>
      <c r="I92" s="9"/>
      <c r="J92" s="5"/>
      <c r="K92" s="4"/>
      <c r="L92" s="10"/>
      <c r="M92" s="10"/>
      <c r="N92" s="10"/>
      <c r="O92" s="10"/>
      <c r="P92" s="10"/>
      <c r="Q92" s="11"/>
      <c r="R92" s="9"/>
      <c r="S92" s="12"/>
      <c r="T92" s="5"/>
      <c r="U92" s="5"/>
      <c r="V92" s="4"/>
      <c r="W92" s="4"/>
      <c r="X92" s="4"/>
      <c r="Y92" s="4"/>
    </row>
    <row r="93">
      <c r="A93" s="5"/>
      <c r="B93" s="9"/>
      <c r="C93" s="5"/>
      <c r="D93" s="9"/>
      <c r="E93" s="9"/>
      <c r="F93" s="9"/>
      <c r="G93" s="9"/>
      <c r="H93" s="9"/>
      <c r="I93" s="9"/>
      <c r="J93" s="5"/>
      <c r="K93" s="4"/>
      <c r="L93" s="10"/>
      <c r="M93" s="10"/>
      <c r="N93" s="10"/>
      <c r="O93" s="10"/>
      <c r="P93" s="10"/>
      <c r="Q93" s="11"/>
      <c r="R93" s="9"/>
      <c r="S93" s="12"/>
      <c r="T93" s="5"/>
      <c r="U93" s="5"/>
      <c r="V93" s="4"/>
      <c r="W93" s="4"/>
      <c r="X93" s="4"/>
      <c r="Y93" s="4"/>
    </row>
    <row r="94">
      <c r="A94" s="5"/>
      <c r="B94" s="9"/>
      <c r="C94" s="5"/>
      <c r="D94" s="9"/>
      <c r="E94" s="9"/>
      <c r="F94" s="9"/>
      <c r="G94" s="9"/>
      <c r="H94" s="9"/>
      <c r="I94" s="9"/>
      <c r="J94" s="5"/>
      <c r="K94" s="4"/>
      <c r="L94" s="10"/>
      <c r="M94" s="10"/>
      <c r="N94" s="10"/>
      <c r="O94" s="10"/>
      <c r="P94" s="10"/>
      <c r="Q94" s="11"/>
      <c r="R94" s="9"/>
      <c r="S94" s="12"/>
      <c r="T94" s="5"/>
      <c r="U94" s="5"/>
      <c r="V94" s="4"/>
      <c r="W94" s="4"/>
      <c r="X94" s="4"/>
      <c r="Y94" s="4"/>
    </row>
    <row r="95">
      <c r="A95" s="5"/>
      <c r="B95" s="9"/>
      <c r="C95" s="5"/>
      <c r="D95" s="9"/>
      <c r="E95" s="9"/>
      <c r="F95" s="9"/>
      <c r="G95" s="9"/>
      <c r="H95" s="9"/>
      <c r="I95" s="9"/>
      <c r="J95" s="5"/>
      <c r="K95" s="4"/>
      <c r="L95" s="10"/>
      <c r="M95" s="10"/>
      <c r="N95" s="10"/>
      <c r="O95" s="10"/>
      <c r="P95" s="10"/>
      <c r="Q95" s="11"/>
      <c r="R95" s="9"/>
      <c r="S95" s="12"/>
      <c r="T95" s="5"/>
      <c r="U95" s="5"/>
      <c r="V95" s="4"/>
      <c r="W95" s="4"/>
      <c r="X95" s="4"/>
      <c r="Y95" s="4"/>
    </row>
    <row r="96">
      <c r="A96" s="5"/>
      <c r="B96" s="9"/>
      <c r="C96" s="5"/>
      <c r="D96" s="9"/>
      <c r="E96" s="9"/>
      <c r="F96" s="9"/>
      <c r="G96" s="9"/>
      <c r="H96" s="9"/>
      <c r="I96" s="9"/>
      <c r="J96" s="5"/>
      <c r="K96" s="4"/>
      <c r="L96" s="10"/>
      <c r="M96" s="10"/>
      <c r="N96" s="10"/>
      <c r="O96" s="10"/>
      <c r="P96" s="10"/>
      <c r="Q96" s="11"/>
      <c r="R96" s="9"/>
      <c r="S96" s="12"/>
      <c r="T96" s="5"/>
      <c r="U96" s="5"/>
      <c r="V96" s="4"/>
      <c r="W96" s="4"/>
      <c r="X96" s="4"/>
      <c r="Y96" s="4"/>
    </row>
    <row r="97">
      <c r="A97" s="5"/>
      <c r="B97" s="9"/>
      <c r="C97" s="5"/>
      <c r="D97" s="9"/>
      <c r="E97" s="9"/>
      <c r="F97" s="9"/>
      <c r="G97" s="9"/>
      <c r="H97" s="9"/>
      <c r="I97" s="9"/>
      <c r="J97" s="5"/>
      <c r="K97" s="4"/>
      <c r="L97" s="10"/>
      <c r="M97" s="10"/>
      <c r="N97" s="10"/>
      <c r="O97" s="10"/>
      <c r="P97" s="10"/>
      <c r="Q97" s="11"/>
      <c r="R97" s="9"/>
      <c r="S97" s="12"/>
      <c r="T97" s="5"/>
      <c r="U97" s="5"/>
      <c r="V97" s="4"/>
      <c r="W97" s="4"/>
      <c r="X97" s="4"/>
      <c r="Y97" s="4"/>
    </row>
    <row r="98">
      <c r="A98" s="5"/>
      <c r="B98" s="9"/>
      <c r="C98" s="5"/>
      <c r="D98" s="9"/>
      <c r="E98" s="9"/>
      <c r="F98" s="9"/>
      <c r="G98" s="9"/>
      <c r="H98" s="9"/>
      <c r="I98" s="9"/>
      <c r="J98" s="5"/>
      <c r="K98" s="4"/>
      <c r="L98" s="10"/>
      <c r="M98" s="10"/>
      <c r="N98" s="10"/>
      <c r="O98" s="10"/>
      <c r="P98" s="10"/>
      <c r="Q98" s="11"/>
      <c r="R98" s="9"/>
      <c r="S98" s="12"/>
      <c r="T98" s="5"/>
      <c r="U98" s="5"/>
      <c r="V98" s="4"/>
      <c r="W98" s="4"/>
      <c r="X98" s="4"/>
      <c r="Y98" s="4"/>
    </row>
    <row r="99">
      <c r="A99" s="5"/>
      <c r="B99" s="9"/>
      <c r="C99" s="5"/>
      <c r="D99" s="9"/>
      <c r="E99" s="9"/>
      <c r="F99" s="9"/>
      <c r="G99" s="9"/>
      <c r="H99" s="9"/>
      <c r="I99" s="9"/>
      <c r="J99" s="5"/>
      <c r="K99" s="4"/>
      <c r="L99" s="10"/>
      <c r="M99" s="10"/>
      <c r="N99" s="10"/>
      <c r="O99" s="10"/>
      <c r="P99" s="10"/>
      <c r="Q99" s="11"/>
      <c r="R99" s="9"/>
      <c r="S99" s="12"/>
      <c r="T99" s="5"/>
      <c r="U99" s="5"/>
      <c r="V99" s="4"/>
      <c r="W99" s="4"/>
      <c r="X99" s="4"/>
      <c r="Y99" s="4"/>
    </row>
    <row r="100">
      <c r="A100" s="5"/>
      <c r="B100" s="9"/>
      <c r="C100" s="5"/>
      <c r="D100" s="9"/>
      <c r="E100" s="9"/>
      <c r="F100" s="9"/>
      <c r="G100" s="9"/>
      <c r="H100" s="9"/>
      <c r="I100" s="9"/>
      <c r="J100" s="5"/>
      <c r="K100" s="4"/>
      <c r="L100" s="10"/>
      <c r="M100" s="10"/>
      <c r="N100" s="10"/>
      <c r="O100" s="10"/>
      <c r="P100" s="10"/>
      <c r="Q100" s="11"/>
      <c r="R100" s="9"/>
      <c r="S100" s="12"/>
      <c r="T100" s="5"/>
      <c r="U100" s="5"/>
      <c r="V100" s="4"/>
      <c r="W100" s="4"/>
      <c r="X100" s="4"/>
      <c r="Y100" s="4"/>
    </row>
    <row r="101">
      <c r="A101" s="5"/>
      <c r="B101" s="9"/>
      <c r="C101" s="5"/>
      <c r="D101" s="9"/>
      <c r="E101" s="9"/>
      <c r="F101" s="9"/>
      <c r="G101" s="9"/>
      <c r="H101" s="9"/>
      <c r="I101" s="9"/>
      <c r="J101" s="5"/>
      <c r="K101" s="4"/>
      <c r="L101" s="10"/>
      <c r="M101" s="10"/>
      <c r="N101" s="10"/>
      <c r="O101" s="10"/>
      <c r="P101" s="10"/>
      <c r="Q101" s="11"/>
      <c r="R101" s="9"/>
      <c r="S101" s="12"/>
      <c r="T101" s="5"/>
      <c r="U101" s="5"/>
      <c r="V101" s="4"/>
      <c r="W101" s="4"/>
      <c r="X101" s="4"/>
      <c r="Y101" s="4"/>
    </row>
    <row r="102">
      <c r="A102" s="5"/>
      <c r="B102" s="9"/>
      <c r="C102" s="5"/>
      <c r="D102" s="9"/>
      <c r="E102" s="9"/>
      <c r="F102" s="9"/>
      <c r="G102" s="9"/>
      <c r="H102" s="9"/>
      <c r="I102" s="9"/>
      <c r="J102" s="5"/>
      <c r="K102" s="4"/>
      <c r="L102" s="10"/>
      <c r="M102" s="10"/>
      <c r="N102" s="10"/>
      <c r="O102" s="10"/>
      <c r="P102" s="10"/>
      <c r="Q102" s="11"/>
      <c r="R102" s="9"/>
      <c r="S102" s="12"/>
      <c r="T102" s="5"/>
      <c r="U102" s="5"/>
      <c r="V102" s="4"/>
      <c r="W102" s="4"/>
      <c r="X102" s="4"/>
      <c r="Y102" s="4"/>
    </row>
    <row r="103">
      <c r="A103" s="5"/>
      <c r="B103" s="9"/>
      <c r="C103" s="5"/>
      <c r="D103" s="9"/>
      <c r="E103" s="9"/>
      <c r="F103" s="9"/>
      <c r="G103" s="9"/>
      <c r="H103" s="9"/>
      <c r="I103" s="9"/>
      <c r="J103" s="5"/>
      <c r="K103" s="4"/>
      <c r="L103" s="10"/>
      <c r="M103" s="10"/>
      <c r="N103" s="10"/>
      <c r="O103" s="10"/>
      <c r="P103" s="10"/>
      <c r="Q103" s="11"/>
      <c r="R103" s="9"/>
      <c r="S103" s="12"/>
      <c r="T103" s="5"/>
      <c r="U103" s="5"/>
      <c r="V103" s="4"/>
      <c r="W103" s="4"/>
      <c r="X103" s="4"/>
      <c r="Y103" s="4"/>
    </row>
    <row r="104">
      <c r="A104" s="5"/>
      <c r="B104" s="9"/>
      <c r="C104" s="5"/>
      <c r="D104" s="9"/>
      <c r="E104" s="9"/>
      <c r="F104" s="9"/>
      <c r="G104" s="9"/>
      <c r="H104" s="9"/>
      <c r="I104" s="9"/>
      <c r="J104" s="5"/>
      <c r="K104" s="4"/>
      <c r="L104" s="10"/>
      <c r="M104" s="10"/>
      <c r="N104" s="10"/>
      <c r="O104" s="10"/>
      <c r="P104" s="10"/>
      <c r="Q104" s="11"/>
      <c r="R104" s="9"/>
      <c r="S104" s="12"/>
      <c r="T104" s="5"/>
      <c r="U104" s="5"/>
      <c r="V104" s="4"/>
      <c r="W104" s="4"/>
      <c r="X104" s="4"/>
      <c r="Y104" s="4"/>
    </row>
    <row r="105">
      <c r="A105" s="5"/>
      <c r="B105" s="9"/>
      <c r="C105" s="5"/>
      <c r="D105" s="9"/>
      <c r="E105" s="9"/>
      <c r="F105" s="9"/>
      <c r="G105" s="9"/>
      <c r="H105" s="9"/>
      <c r="I105" s="9"/>
      <c r="J105" s="5"/>
      <c r="K105" s="4"/>
      <c r="L105" s="10"/>
      <c r="M105" s="10"/>
      <c r="N105" s="10"/>
      <c r="O105" s="10"/>
      <c r="P105" s="10"/>
      <c r="Q105" s="11"/>
      <c r="R105" s="9"/>
      <c r="S105" s="12"/>
      <c r="T105" s="5"/>
      <c r="U105" s="5"/>
      <c r="V105" s="4"/>
      <c r="W105" s="4"/>
      <c r="X105" s="4"/>
      <c r="Y105" s="4"/>
    </row>
    <row r="106">
      <c r="A106" s="5"/>
      <c r="B106" s="9"/>
      <c r="C106" s="5"/>
      <c r="D106" s="9"/>
      <c r="E106" s="9"/>
      <c r="F106" s="9"/>
      <c r="G106" s="9"/>
      <c r="H106" s="9"/>
      <c r="I106" s="9"/>
      <c r="J106" s="5"/>
      <c r="K106" s="4"/>
      <c r="L106" s="10"/>
      <c r="M106" s="10"/>
      <c r="N106" s="10"/>
      <c r="O106" s="10"/>
      <c r="P106" s="10"/>
      <c r="Q106" s="11"/>
      <c r="R106" s="9"/>
      <c r="S106" s="12"/>
      <c r="T106" s="5"/>
      <c r="U106" s="5"/>
      <c r="V106" s="4"/>
      <c r="W106" s="4"/>
      <c r="X106" s="4"/>
      <c r="Y106" s="4"/>
    </row>
    <row r="107">
      <c r="A107" s="5"/>
      <c r="B107" s="9"/>
      <c r="C107" s="5"/>
      <c r="D107" s="9"/>
      <c r="E107" s="9"/>
      <c r="F107" s="9"/>
      <c r="G107" s="9"/>
      <c r="H107" s="9"/>
      <c r="I107" s="9"/>
      <c r="J107" s="5"/>
      <c r="K107" s="4"/>
      <c r="L107" s="10"/>
      <c r="M107" s="10"/>
      <c r="N107" s="10"/>
      <c r="O107" s="10"/>
      <c r="P107" s="10"/>
      <c r="Q107" s="11"/>
      <c r="R107" s="9"/>
      <c r="S107" s="12"/>
      <c r="T107" s="5"/>
      <c r="U107" s="5"/>
      <c r="V107" s="4"/>
      <c r="W107" s="4"/>
      <c r="X107" s="4"/>
      <c r="Y107" s="4"/>
    </row>
    <row r="108">
      <c r="A108" s="5"/>
      <c r="B108" s="9"/>
      <c r="C108" s="5"/>
      <c r="D108" s="9"/>
      <c r="E108" s="9"/>
      <c r="F108" s="9"/>
      <c r="G108" s="9"/>
      <c r="H108" s="9"/>
      <c r="I108" s="9"/>
      <c r="J108" s="5"/>
      <c r="K108" s="4"/>
      <c r="L108" s="10"/>
      <c r="M108" s="10"/>
      <c r="N108" s="10"/>
      <c r="O108" s="10"/>
      <c r="P108" s="10"/>
      <c r="Q108" s="11"/>
      <c r="R108" s="9"/>
      <c r="S108" s="12"/>
      <c r="T108" s="5"/>
      <c r="U108" s="5"/>
      <c r="V108" s="4"/>
      <c r="W108" s="4"/>
      <c r="X108" s="4"/>
      <c r="Y108" s="4"/>
    </row>
    <row r="109">
      <c r="A109" s="5"/>
      <c r="B109" s="9"/>
      <c r="C109" s="5"/>
      <c r="D109" s="9"/>
      <c r="E109" s="9"/>
      <c r="F109" s="9"/>
      <c r="G109" s="9"/>
      <c r="H109" s="9"/>
      <c r="I109" s="9"/>
      <c r="J109" s="5"/>
      <c r="K109" s="4"/>
      <c r="L109" s="10"/>
      <c r="M109" s="10"/>
      <c r="N109" s="10"/>
      <c r="O109" s="10"/>
      <c r="P109" s="10"/>
      <c r="Q109" s="11"/>
      <c r="R109" s="9"/>
      <c r="S109" s="12"/>
      <c r="T109" s="5"/>
      <c r="U109" s="5"/>
      <c r="V109" s="4"/>
      <c r="W109" s="4"/>
      <c r="X109" s="4"/>
      <c r="Y109" s="4"/>
    </row>
    <row r="110">
      <c r="A110" s="5"/>
      <c r="B110" s="9"/>
      <c r="C110" s="5"/>
      <c r="D110" s="9"/>
      <c r="E110" s="9"/>
      <c r="F110" s="9"/>
      <c r="G110" s="9"/>
      <c r="H110" s="9"/>
      <c r="I110" s="9"/>
      <c r="J110" s="5"/>
      <c r="K110" s="4"/>
      <c r="L110" s="10"/>
      <c r="M110" s="10"/>
      <c r="N110" s="10"/>
      <c r="O110" s="10"/>
      <c r="P110" s="10"/>
      <c r="Q110" s="11"/>
      <c r="R110" s="9"/>
      <c r="S110" s="12"/>
      <c r="T110" s="5"/>
      <c r="U110" s="5"/>
      <c r="V110" s="4"/>
      <c r="W110" s="4"/>
      <c r="X110" s="4"/>
      <c r="Y110" s="4"/>
    </row>
    <row r="111">
      <c r="A111" s="5"/>
      <c r="B111" s="9"/>
      <c r="C111" s="5"/>
      <c r="D111" s="9"/>
      <c r="E111" s="9"/>
      <c r="F111" s="9"/>
      <c r="G111" s="9"/>
      <c r="H111" s="9"/>
      <c r="I111" s="9"/>
      <c r="J111" s="5"/>
      <c r="K111" s="4"/>
      <c r="L111" s="10"/>
      <c r="M111" s="10"/>
      <c r="N111" s="10"/>
      <c r="O111" s="10"/>
      <c r="P111" s="10"/>
      <c r="Q111" s="11"/>
      <c r="R111" s="9"/>
      <c r="S111" s="12"/>
      <c r="T111" s="5"/>
      <c r="U111" s="5"/>
      <c r="V111" s="4"/>
      <c r="W111" s="4"/>
      <c r="X111" s="4"/>
      <c r="Y111" s="4"/>
    </row>
    <row r="112">
      <c r="A112" s="5"/>
      <c r="B112" s="9"/>
      <c r="C112" s="5"/>
      <c r="D112" s="9"/>
      <c r="E112" s="9"/>
      <c r="F112" s="9"/>
      <c r="G112" s="9"/>
      <c r="H112" s="9"/>
      <c r="I112" s="9"/>
      <c r="J112" s="5"/>
      <c r="K112" s="4"/>
      <c r="L112" s="10"/>
      <c r="M112" s="10"/>
      <c r="N112" s="10"/>
      <c r="O112" s="10"/>
      <c r="P112" s="10"/>
      <c r="Q112" s="11"/>
      <c r="R112" s="9"/>
      <c r="S112" s="12"/>
      <c r="T112" s="5"/>
      <c r="U112" s="5"/>
      <c r="V112" s="4"/>
      <c r="W112" s="4"/>
      <c r="X112" s="4"/>
      <c r="Y112" s="4"/>
    </row>
    <row r="113">
      <c r="A113" s="5"/>
      <c r="B113" s="9"/>
      <c r="C113" s="5"/>
      <c r="D113" s="9"/>
      <c r="E113" s="9"/>
      <c r="F113" s="9"/>
      <c r="G113" s="9"/>
      <c r="H113" s="9"/>
      <c r="I113" s="9"/>
      <c r="J113" s="5"/>
      <c r="K113" s="4"/>
      <c r="L113" s="10"/>
      <c r="M113" s="10"/>
      <c r="N113" s="10"/>
      <c r="O113" s="10"/>
      <c r="P113" s="10"/>
      <c r="Q113" s="11"/>
      <c r="R113" s="9"/>
      <c r="S113" s="12"/>
      <c r="T113" s="5"/>
      <c r="U113" s="5"/>
      <c r="V113" s="4"/>
      <c r="W113" s="4"/>
      <c r="X113" s="4"/>
      <c r="Y113" s="4"/>
    </row>
    <row r="114">
      <c r="A114" s="5"/>
      <c r="B114" s="9"/>
      <c r="C114" s="5"/>
      <c r="D114" s="9"/>
      <c r="E114" s="9"/>
      <c r="F114" s="9"/>
      <c r="G114" s="9"/>
      <c r="H114" s="9"/>
      <c r="I114" s="9"/>
      <c r="J114" s="5"/>
      <c r="K114" s="4"/>
      <c r="L114" s="10"/>
      <c r="M114" s="10"/>
      <c r="N114" s="10"/>
      <c r="O114" s="10"/>
      <c r="P114" s="10"/>
      <c r="Q114" s="11"/>
      <c r="R114" s="9"/>
      <c r="S114" s="12"/>
      <c r="T114" s="5"/>
      <c r="U114" s="5"/>
      <c r="V114" s="4"/>
      <c r="W114" s="4"/>
      <c r="X114" s="4"/>
      <c r="Y114" s="4"/>
    </row>
    <row r="115">
      <c r="A115" s="5"/>
      <c r="B115" s="9"/>
      <c r="C115" s="5"/>
      <c r="D115" s="9"/>
      <c r="E115" s="9"/>
      <c r="F115" s="9"/>
      <c r="G115" s="9"/>
      <c r="H115" s="9"/>
      <c r="I115" s="9"/>
      <c r="J115" s="5"/>
      <c r="K115" s="4"/>
      <c r="L115" s="10"/>
      <c r="M115" s="10"/>
      <c r="N115" s="10"/>
      <c r="O115" s="10"/>
      <c r="P115" s="10"/>
      <c r="Q115" s="11"/>
      <c r="R115" s="9"/>
      <c r="S115" s="12"/>
      <c r="T115" s="5"/>
      <c r="U115" s="5"/>
      <c r="V115" s="4"/>
      <c r="W115" s="4"/>
      <c r="X115" s="4"/>
      <c r="Y115" s="4"/>
    </row>
    <row r="116">
      <c r="A116" s="5"/>
      <c r="B116" s="9"/>
      <c r="C116" s="5"/>
      <c r="D116" s="9"/>
      <c r="E116" s="9"/>
      <c r="F116" s="9"/>
      <c r="G116" s="9"/>
      <c r="H116" s="9"/>
      <c r="I116" s="9"/>
      <c r="J116" s="5"/>
      <c r="K116" s="4"/>
      <c r="L116" s="10"/>
      <c r="M116" s="10"/>
      <c r="N116" s="10"/>
      <c r="O116" s="10"/>
      <c r="P116" s="10"/>
      <c r="Q116" s="11"/>
      <c r="R116" s="9"/>
      <c r="S116" s="12"/>
      <c r="T116" s="5"/>
      <c r="U116" s="5"/>
      <c r="V116" s="4"/>
      <c r="W116" s="4"/>
      <c r="X116" s="4"/>
      <c r="Y116" s="4"/>
    </row>
    <row r="117">
      <c r="A117" s="5"/>
      <c r="B117" s="9"/>
      <c r="C117" s="5"/>
      <c r="D117" s="9"/>
      <c r="E117" s="9"/>
      <c r="F117" s="9"/>
      <c r="G117" s="9"/>
      <c r="H117" s="9"/>
      <c r="I117" s="9"/>
      <c r="J117" s="5"/>
      <c r="K117" s="4"/>
      <c r="L117" s="10"/>
      <c r="M117" s="10"/>
      <c r="N117" s="10"/>
      <c r="O117" s="10"/>
      <c r="P117" s="10"/>
      <c r="Q117" s="11"/>
      <c r="R117" s="9"/>
      <c r="S117" s="12"/>
      <c r="T117" s="5"/>
      <c r="U117" s="5"/>
      <c r="V117" s="4"/>
      <c r="W117" s="4"/>
      <c r="X117" s="4"/>
      <c r="Y117" s="4"/>
    </row>
    <row r="118">
      <c r="A118" s="5"/>
      <c r="B118" s="9"/>
      <c r="C118" s="5"/>
      <c r="D118" s="9"/>
      <c r="E118" s="9"/>
      <c r="F118" s="9"/>
      <c r="G118" s="9"/>
      <c r="H118" s="9"/>
      <c r="I118" s="9"/>
      <c r="J118" s="5"/>
      <c r="K118" s="4"/>
      <c r="L118" s="10"/>
      <c r="M118" s="10"/>
      <c r="N118" s="10"/>
      <c r="O118" s="10"/>
      <c r="P118" s="10"/>
      <c r="Q118" s="11"/>
      <c r="R118" s="9"/>
      <c r="S118" s="12"/>
      <c r="T118" s="5"/>
      <c r="U118" s="5"/>
      <c r="V118" s="4"/>
      <c r="W118" s="4"/>
      <c r="X118" s="4"/>
      <c r="Y118" s="4"/>
    </row>
    <row r="119">
      <c r="A119" s="5"/>
      <c r="B119" s="9"/>
      <c r="C119" s="5"/>
      <c r="D119" s="9"/>
      <c r="E119" s="9"/>
      <c r="F119" s="9"/>
      <c r="G119" s="9"/>
      <c r="H119" s="9"/>
      <c r="I119" s="9"/>
      <c r="J119" s="5"/>
      <c r="K119" s="4"/>
      <c r="L119" s="10"/>
      <c r="M119" s="10"/>
      <c r="N119" s="10"/>
      <c r="O119" s="10"/>
      <c r="P119" s="10"/>
      <c r="Q119" s="11"/>
      <c r="R119" s="9"/>
      <c r="S119" s="12"/>
      <c r="T119" s="5"/>
      <c r="U119" s="5"/>
      <c r="V119" s="4"/>
      <c r="W119" s="4"/>
      <c r="X119" s="4"/>
      <c r="Y119" s="4"/>
    </row>
    <row r="120">
      <c r="A120" s="5"/>
      <c r="B120" s="9"/>
      <c r="C120" s="5"/>
      <c r="D120" s="9"/>
      <c r="E120" s="9"/>
      <c r="F120" s="9"/>
      <c r="G120" s="9"/>
      <c r="H120" s="9"/>
      <c r="I120" s="9"/>
      <c r="J120" s="5"/>
      <c r="K120" s="4"/>
      <c r="L120" s="10"/>
      <c r="M120" s="10"/>
      <c r="N120" s="10"/>
      <c r="O120" s="10"/>
      <c r="P120" s="10"/>
      <c r="Q120" s="11"/>
      <c r="R120" s="9"/>
      <c r="S120" s="12"/>
      <c r="T120" s="5"/>
      <c r="U120" s="5"/>
      <c r="V120" s="4"/>
      <c r="W120" s="4"/>
      <c r="X120" s="4"/>
      <c r="Y120" s="4"/>
    </row>
    <row r="121">
      <c r="A121" s="5"/>
      <c r="B121" s="9"/>
      <c r="C121" s="5"/>
      <c r="D121" s="9"/>
      <c r="E121" s="9"/>
      <c r="F121" s="9"/>
      <c r="G121" s="9"/>
      <c r="H121" s="9"/>
      <c r="I121" s="9"/>
      <c r="J121" s="5"/>
      <c r="K121" s="4"/>
      <c r="L121" s="10"/>
      <c r="M121" s="10"/>
      <c r="N121" s="10"/>
      <c r="O121" s="10"/>
      <c r="P121" s="10"/>
      <c r="Q121" s="11"/>
      <c r="R121" s="9"/>
      <c r="S121" s="12"/>
      <c r="T121" s="5"/>
      <c r="U121" s="5"/>
      <c r="V121" s="4"/>
      <c r="W121" s="4"/>
      <c r="X121" s="4"/>
      <c r="Y121" s="4"/>
    </row>
    <row r="122">
      <c r="A122" s="5"/>
      <c r="B122" s="9"/>
      <c r="C122" s="5"/>
      <c r="D122" s="9"/>
      <c r="E122" s="9"/>
      <c r="F122" s="9"/>
      <c r="G122" s="9"/>
      <c r="H122" s="9"/>
      <c r="I122" s="9"/>
      <c r="J122" s="5"/>
      <c r="K122" s="4"/>
      <c r="L122" s="10"/>
      <c r="M122" s="10"/>
      <c r="N122" s="10"/>
      <c r="O122" s="10"/>
      <c r="P122" s="10"/>
      <c r="Q122" s="11"/>
      <c r="R122" s="9"/>
      <c r="S122" s="12"/>
      <c r="T122" s="5"/>
      <c r="U122" s="5"/>
      <c r="V122" s="4"/>
      <c r="W122" s="4"/>
      <c r="X122" s="4"/>
      <c r="Y122" s="4"/>
    </row>
    <row r="123">
      <c r="A123" s="5"/>
      <c r="B123" s="9"/>
      <c r="C123" s="5"/>
      <c r="D123" s="9"/>
      <c r="E123" s="9"/>
      <c r="F123" s="9"/>
      <c r="G123" s="9"/>
      <c r="H123" s="9"/>
      <c r="I123" s="9"/>
      <c r="J123" s="5"/>
      <c r="K123" s="4"/>
      <c r="L123" s="10"/>
      <c r="M123" s="10"/>
      <c r="N123" s="10"/>
      <c r="O123" s="10"/>
      <c r="P123" s="10"/>
      <c r="Q123" s="11"/>
      <c r="R123" s="9"/>
      <c r="S123" s="12"/>
      <c r="T123" s="5"/>
      <c r="U123" s="5"/>
      <c r="V123" s="4"/>
      <c r="W123" s="4"/>
      <c r="X123" s="4"/>
      <c r="Y123" s="4"/>
    </row>
    <row r="124">
      <c r="A124" s="5"/>
      <c r="B124" s="9"/>
      <c r="C124" s="5"/>
      <c r="D124" s="9"/>
      <c r="E124" s="9"/>
      <c r="F124" s="9"/>
      <c r="G124" s="9"/>
      <c r="H124" s="9"/>
      <c r="I124" s="9"/>
      <c r="J124" s="5"/>
      <c r="K124" s="4"/>
      <c r="L124" s="10"/>
      <c r="M124" s="10"/>
      <c r="N124" s="10"/>
      <c r="O124" s="10"/>
      <c r="P124" s="10"/>
      <c r="Q124" s="11"/>
      <c r="R124" s="9"/>
      <c r="S124" s="12"/>
      <c r="T124" s="5"/>
      <c r="U124" s="5"/>
      <c r="V124" s="4"/>
      <c r="W124" s="4"/>
      <c r="X124" s="4"/>
      <c r="Y124" s="4"/>
    </row>
    <row r="125">
      <c r="A125" s="5"/>
      <c r="B125" s="9"/>
      <c r="C125" s="5"/>
      <c r="D125" s="9"/>
      <c r="E125" s="9"/>
      <c r="F125" s="9"/>
      <c r="G125" s="9"/>
      <c r="H125" s="9"/>
      <c r="I125" s="9"/>
      <c r="J125" s="5"/>
      <c r="K125" s="4"/>
      <c r="L125" s="10"/>
      <c r="M125" s="10"/>
      <c r="N125" s="10"/>
      <c r="O125" s="10"/>
      <c r="P125" s="10"/>
      <c r="Q125" s="11"/>
      <c r="R125" s="9"/>
      <c r="S125" s="12"/>
      <c r="T125" s="5"/>
      <c r="U125" s="5"/>
      <c r="V125" s="4"/>
      <c r="W125" s="4"/>
      <c r="X125" s="4"/>
      <c r="Y125" s="4"/>
    </row>
    <row r="126">
      <c r="A126" s="5"/>
      <c r="B126" s="9"/>
      <c r="C126" s="5"/>
      <c r="D126" s="9"/>
      <c r="E126" s="9"/>
      <c r="F126" s="9"/>
      <c r="G126" s="9"/>
      <c r="H126" s="9"/>
      <c r="I126" s="9"/>
      <c r="J126" s="5"/>
      <c r="K126" s="4"/>
      <c r="L126" s="10"/>
      <c r="M126" s="10"/>
      <c r="N126" s="10"/>
      <c r="O126" s="10"/>
      <c r="P126" s="10"/>
      <c r="Q126" s="11"/>
      <c r="R126" s="9"/>
      <c r="S126" s="12"/>
      <c r="T126" s="5"/>
      <c r="U126" s="5"/>
      <c r="V126" s="4"/>
      <c r="W126" s="4"/>
      <c r="X126" s="4"/>
      <c r="Y126" s="4"/>
    </row>
    <row r="127">
      <c r="A127" s="5"/>
      <c r="B127" s="9"/>
      <c r="C127" s="5"/>
      <c r="D127" s="9"/>
      <c r="E127" s="9"/>
      <c r="F127" s="9"/>
      <c r="G127" s="9"/>
      <c r="H127" s="9"/>
      <c r="I127" s="9"/>
      <c r="J127" s="5"/>
      <c r="K127" s="4"/>
      <c r="L127" s="10"/>
      <c r="M127" s="10"/>
      <c r="N127" s="10"/>
      <c r="O127" s="10"/>
      <c r="P127" s="10"/>
      <c r="Q127" s="11"/>
      <c r="R127" s="9"/>
      <c r="S127" s="12"/>
      <c r="T127" s="5"/>
      <c r="U127" s="5"/>
      <c r="V127" s="4"/>
      <c r="W127" s="4"/>
      <c r="X127" s="4"/>
      <c r="Y127" s="4"/>
    </row>
    <row r="128">
      <c r="A128" s="5"/>
      <c r="B128" s="9"/>
      <c r="C128" s="5"/>
      <c r="D128" s="9"/>
      <c r="E128" s="9"/>
      <c r="F128" s="9"/>
      <c r="G128" s="9"/>
      <c r="H128" s="9"/>
      <c r="I128" s="9"/>
      <c r="J128" s="5"/>
      <c r="K128" s="4"/>
      <c r="L128" s="10"/>
      <c r="M128" s="10"/>
      <c r="N128" s="10"/>
      <c r="O128" s="10"/>
      <c r="P128" s="10"/>
      <c r="Q128" s="11"/>
      <c r="R128" s="9"/>
      <c r="S128" s="12"/>
      <c r="T128" s="5"/>
      <c r="U128" s="5"/>
      <c r="V128" s="4"/>
      <c r="W128" s="4"/>
      <c r="X128" s="4"/>
      <c r="Y128" s="4"/>
    </row>
    <row r="129">
      <c r="A129" s="5"/>
      <c r="B129" s="9"/>
      <c r="C129" s="5"/>
      <c r="D129" s="9"/>
      <c r="E129" s="9"/>
      <c r="F129" s="9"/>
      <c r="G129" s="9"/>
      <c r="H129" s="9"/>
      <c r="I129" s="9"/>
      <c r="J129" s="5"/>
      <c r="K129" s="4"/>
      <c r="L129" s="10"/>
      <c r="M129" s="10"/>
      <c r="N129" s="10"/>
      <c r="O129" s="10"/>
      <c r="P129" s="10"/>
      <c r="Q129" s="11"/>
      <c r="R129" s="9"/>
      <c r="S129" s="12"/>
      <c r="T129" s="5"/>
      <c r="U129" s="5"/>
      <c r="V129" s="4"/>
      <c r="W129" s="4"/>
      <c r="X129" s="4"/>
      <c r="Y129" s="4"/>
    </row>
    <row r="130">
      <c r="A130" s="5"/>
      <c r="B130" s="9"/>
      <c r="C130" s="5"/>
      <c r="D130" s="9"/>
      <c r="E130" s="9"/>
      <c r="F130" s="9"/>
      <c r="G130" s="9"/>
      <c r="H130" s="9"/>
      <c r="I130" s="9"/>
      <c r="J130" s="5"/>
      <c r="K130" s="4"/>
      <c r="L130" s="10"/>
      <c r="M130" s="10"/>
      <c r="N130" s="10"/>
      <c r="O130" s="10"/>
      <c r="P130" s="10"/>
      <c r="Q130" s="11"/>
      <c r="R130" s="9"/>
      <c r="S130" s="12"/>
      <c r="T130" s="5"/>
      <c r="U130" s="5"/>
      <c r="V130" s="4"/>
      <c r="W130" s="4"/>
      <c r="X130" s="4"/>
      <c r="Y130" s="4"/>
    </row>
    <row r="131">
      <c r="A131" s="5"/>
      <c r="B131" s="9"/>
      <c r="C131" s="5"/>
      <c r="D131" s="9"/>
      <c r="E131" s="9"/>
      <c r="F131" s="9"/>
      <c r="G131" s="9"/>
      <c r="H131" s="9"/>
      <c r="I131" s="9"/>
      <c r="J131" s="5"/>
      <c r="K131" s="4"/>
      <c r="L131" s="10"/>
      <c r="M131" s="10"/>
      <c r="N131" s="10"/>
      <c r="O131" s="10"/>
      <c r="P131" s="10"/>
      <c r="Q131" s="11"/>
      <c r="R131" s="9"/>
      <c r="S131" s="12"/>
      <c r="T131" s="5"/>
      <c r="U131" s="5"/>
      <c r="V131" s="4"/>
      <c r="W131" s="4"/>
      <c r="X131" s="4"/>
      <c r="Y131" s="4"/>
    </row>
    <row r="132">
      <c r="A132" s="5"/>
      <c r="B132" s="9"/>
      <c r="C132" s="5"/>
      <c r="D132" s="9"/>
      <c r="E132" s="9"/>
      <c r="F132" s="9"/>
      <c r="G132" s="9"/>
      <c r="H132" s="9"/>
      <c r="I132" s="9"/>
      <c r="J132" s="5"/>
      <c r="K132" s="4"/>
      <c r="L132" s="10"/>
      <c r="M132" s="10"/>
      <c r="N132" s="10"/>
      <c r="O132" s="10"/>
      <c r="P132" s="10"/>
      <c r="Q132" s="11"/>
      <c r="R132" s="9"/>
      <c r="S132" s="12"/>
      <c r="T132" s="5"/>
      <c r="U132" s="5"/>
      <c r="V132" s="4"/>
      <c r="W132" s="4"/>
      <c r="X132" s="4"/>
      <c r="Y132" s="4"/>
    </row>
    <row r="133">
      <c r="A133" s="5"/>
      <c r="B133" s="9"/>
      <c r="C133" s="5"/>
      <c r="D133" s="9"/>
      <c r="E133" s="9"/>
      <c r="F133" s="9"/>
      <c r="G133" s="9"/>
      <c r="H133" s="9"/>
      <c r="I133" s="9"/>
      <c r="J133" s="5"/>
      <c r="K133" s="4"/>
      <c r="L133" s="10"/>
      <c r="M133" s="10"/>
      <c r="N133" s="10"/>
      <c r="O133" s="10"/>
      <c r="P133" s="10"/>
      <c r="Q133" s="11"/>
      <c r="R133" s="9"/>
      <c r="S133" s="12"/>
      <c r="T133" s="5"/>
      <c r="U133" s="5"/>
      <c r="V133" s="4"/>
      <c r="W133" s="4"/>
      <c r="X133" s="4"/>
      <c r="Y133" s="4"/>
    </row>
    <row r="134">
      <c r="A134" s="5"/>
      <c r="B134" s="9"/>
      <c r="C134" s="5"/>
      <c r="D134" s="9"/>
      <c r="E134" s="9"/>
      <c r="F134" s="9"/>
      <c r="G134" s="9"/>
      <c r="H134" s="9"/>
      <c r="I134" s="9"/>
      <c r="J134" s="5"/>
      <c r="K134" s="4"/>
      <c r="L134" s="10"/>
      <c r="M134" s="10"/>
      <c r="N134" s="10"/>
      <c r="O134" s="10"/>
      <c r="P134" s="10"/>
      <c r="Q134" s="11"/>
      <c r="R134" s="9"/>
      <c r="S134" s="12"/>
      <c r="T134" s="5"/>
      <c r="U134" s="5"/>
      <c r="V134" s="4"/>
      <c r="W134" s="4"/>
      <c r="X134" s="4"/>
      <c r="Y134" s="4"/>
    </row>
    <row r="135">
      <c r="A135" s="5"/>
      <c r="B135" s="9"/>
      <c r="C135" s="5"/>
      <c r="D135" s="9"/>
      <c r="E135" s="9"/>
      <c r="F135" s="9"/>
      <c r="G135" s="9"/>
      <c r="H135" s="9"/>
      <c r="I135" s="9"/>
      <c r="J135" s="5"/>
      <c r="K135" s="4"/>
      <c r="L135" s="10"/>
      <c r="M135" s="10"/>
      <c r="N135" s="10"/>
      <c r="O135" s="10"/>
      <c r="P135" s="10"/>
      <c r="Q135" s="11"/>
      <c r="R135" s="9"/>
      <c r="S135" s="12"/>
      <c r="T135" s="5"/>
      <c r="U135" s="5"/>
      <c r="V135" s="4"/>
      <c r="W135" s="4"/>
      <c r="X135" s="4"/>
      <c r="Y135" s="4"/>
    </row>
    <row r="136">
      <c r="A136" s="5"/>
      <c r="B136" s="9"/>
      <c r="C136" s="5"/>
      <c r="D136" s="9"/>
      <c r="E136" s="9"/>
      <c r="F136" s="9"/>
      <c r="G136" s="9"/>
      <c r="H136" s="9"/>
      <c r="I136" s="9"/>
      <c r="J136" s="5"/>
      <c r="K136" s="4"/>
      <c r="L136" s="10"/>
      <c r="M136" s="10"/>
      <c r="N136" s="10"/>
      <c r="O136" s="10"/>
      <c r="P136" s="10"/>
      <c r="Q136" s="11"/>
      <c r="R136" s="9"/>
      <c r="S136" s="12"/>
      <c r="T136" s="5"/>
      <c r="U136" s="5"/>
      <c r="V136" s="4"/>
      <c r="W136" s="4"/>
      <c r="X136" s="4"/>
      <c r="Y136" s="4"/>
    </row>
    <row r="137">
      <c r="A137" s="5"/>
      <c r="B137" s="9"/>
      <c r="C137" s="5"/>
      <c r="D137" s="9"/>
      <c r="E137" s="9"/>
      <c r="F137" s="9"/>
      <c r="G137" s="9"/>
      <c r="H137" s="9"/>
      <c r="I137" s="9"/>
      <c r="J137" s="5"/>
      <c r="K137" s="4"/>
      <c r="L137" s="10"/>
      <c r="M137" s="10"/>
      <c r="N137" s="10"/>
      <c r="O137" s="10"/>
      <c r="P137" s="10"/>
      <c r="Q137" s="11"/>
      <c r="R137" s="9"/>
      <c r="S137" s="12"/>
      <c r="T137" s="5"/>
      <c r="U137" s="5"/>
      <c r="V137" s="4"/>
      <c r="W137" s="4"/>
      <c r="X137" s="4"/>
      <c r="Y137" s="4"/>
    </row>
    <row r="138">
      <c r="A138" s="5"/>
      <c r="B138" s="9"/>
      <c r="C138" s="5"/>
      <c r="D138" s="9"/>
      <c r="E138" s="9"/>
      <c r="F138" s="9"/>
      <c r="G138" s="9"/>
      <c r="H138" s="9"/>
      <c r="I138" s="9"/>
      <c r="J138" s="5"/>
      <c r="K138" s="4"/>
      <c r="L138" s="10"/>
      <c r="M138" s="10"/>
      <c r="N138" s="10"/>
      <c r="O138" s="10"/>
      <c r="P138" s="10"/>
      <c r="Q138" s="11"/>
      <c r="R138" s="9"/>
      <c r="S138" s="12"/>
      <c r="T138" s="5"/>
      <c r="U138" s="5"/>
      <c r="V138" s="4"/>
      <c r="W138" s="4"/>
      <c r="X138" s="4"/>
      <c r="Y138" s="4"/>
    </row>
    <row r="139">
      <c r="A139" s="5"/>
      <c r="B139" s="9"/>
      <c r="C139" s="5"/>
      <c r="D139" s="9"/>
      <c r="E139" s="9"/>
      <c r="F139" s="9"/>
      <c r="G139" s="9"/>
      <c r="H139" s="9"/>
      <c r="I139" s="9"/>
      <c r="J139" s="5"/>
      <c r="K139" s="4"/>
      <c r="L139" s="10"/>
      <c r="M139" s="10"/>
      <c r="N139" s="10"/>
      <c r="O139" s="10"/>
      <c r="P139" s="10"/>
      <c r="Q139" s="11"/>
      <c r="R139" s="9"/>
      <c r="S139" s="12"/>
      <c r="T139" s="5"/>
      <c r="U139" s="5"/>
      <c r="V139" s="4"/>
      <c r="W139" s="4"/>
      <c r="X139" s="4"/>
      <c r="Y139" s="4"/>
    </row>
    <row r="140">
      <c r="A140" s="5"/>
      <c r="B140" s="9"/>
      <c r="C140" s="5"/>
      <c r="D140" s="9"/>
      <c r="E140" s="9"/>
      <c r="F140" s="9"/>
      <c r="G140" s="9"/>
      <c r="H140" s="9"/>
      <c r="I140" s="9"/>
      <c r="J140" s="5"/>
      <c r="K140" s="4"/>
      <c r="L140" s="10"/>
      <c r="M140" s="10"/>
      <c r="N140" s="10"/>
      <c r="O140" s="10"/>
      <c r="P140" s="10"/>
      <c r="Q140" s="11"/>
      <c r="R140" s="9"/>
      <c r="S140" s="12"/>
      <c r="T140" s="5"/>
      <c r="U140" s="5"/>
      <c r="V140" s="4"/>
      <c r="W140" s="4"/>
      <c r="X140" s="4"/>
      <c r="Y140" s="4"/>
    </row>
    <row r="141">
      <c r="A141" s="5"/>
      <c r="B141" s="9"/>
      <c r="C141" s="5"/>
      <c r="D141" s="9"/>
      <c r="E141" s="9"/>
      <c r="F141" s="9"/>
      <c r="G141" s="9"/>
      <c r="H141" s="9"/>
      <c r="I141" s="9"/>
      <c r="J141" s="5"/>
      <c r="K141" s="4"/>
      <c r="L141" s="10"/>
      <c r="M141" s="10"/>
      <c r="N141" s="10"/>
      <c r="O141" s="10"/>
      <c r="P141" s="10"/>
      <c r="Q141" s="11"/>
      <c r="R141" s="9"/>
      <c r="S141" s="12"/>
      <c r="T141" s="5"/>
      <c r="U141" s="5"/>
      <c r="V141" s="4"/>
      <c r="W141" s="4"/>
      <c r="X141" s="4"/>
      <c r="Y141" s="4"/>
    </row>
    <row r="142">
      <c r="A142" s="5"/>
      <c r="B142" s="9"/>
      <c r="C142" s="5"/>
      <c r="D142" s="9"/>
      <c r="E142" s="9"/>
      <c r="F142" s="9"/>
      <c r="G142" s="9"/>
      <c r="H142" s="9"/>
      <c r="I142" s="9"/>
      <c r="J142" s="5"/>
      <c r="K142" s="4"/>
      <c r="L142" s="10"/>
      <c r="M142" s="10"/>
      <c r="N142" s="10"/>
      <c r="O142" s="10"/>
      <c r="P142" s="10"/>
      <c r="Q142" s="11"/>
      <c r="R142" s="9"/>
      <c r="S142" s="12"/>
      <c r="T142" s="5"/>
      <c r="U142" s="5"/>
      <c r="V142" s="4"/>
      <c r="W142" s="4"/>
      <c r="X142" s="4"/>
      <c r="Y142" s="4"/>
    </row>
    <row r="143">
      <c r="A143" s="5"/>
      <c r="B143" s="9"/>
      <c r="C143" s="5"/>
      <c r="D143" s="9"/>
      <c r="E143" s="9"/>
      <c r="F143" s="9"/>
      <c r="G143" s="9"/>
      <c r="H143" s="9"/>
      <c r="I143" s="9"/>
      <c r="J143" s="5"/>
      <c r="K143" s="4"/>
      <c r="L143" s="10"/>
      <c r="M143" s="10"/>
      <c r="N143" s="10"/>
      <c r="O143" s="10"/>
      <c r="P143" s="10"/>
      <c r="Q143" s="11"/>
      <c r="R143" s="9"/>
      <c r="S143" s="12"/>
      <c r="T143" s="5"/>
      <c r="U143" s="5"/>
      <c r="V143" s="4"/>
      <c r="W143" s="4"/>
      <c r="X143" s="4"/>
      <c r="Y143" s="4"/>
    </row>
    <row r="144">
      <c r="A144" s="5"/>
      <c r="B144" s="9"/>
      <c r="C144" s="5"/>
      <c r="D144" s="9"/>
      <c r="E144" s="9"/>
      <c r="F144" s="9"/>
      <c r="G144" s="9"/>
      <c r="H144" s="9"/>
      <c r="I144" s="9"/>
      <c r="J144" s="5"/>
      <c r="K144" s="4"/>
      <c r="L144" s="10"/>
      <c r="M144" s="10"/>
      <c r="N144" s="10"/>
      <c r="O144" s="10"/>
      <c r="P144" s="10"/>
      <c r="Q144" s="11"/>
      <c r="R144" s="9"/>
      <c r="S144" s="12"/>
      <c r="T144" s="5"/>
      <c r="U144" s="5"/>
      <c r="V144" s="4"/>
      <c r="W144" s="4"/>
      <c r="X144" s="4"/>
      <c r="Y144" s="4"/>
    </row>
    <row r="145">
      <c r="A145" s="5"/>
      <c r="B145" s="9"/>
      <c r="C145" s="5"/>
      <c r="D145" s="9"/>
      <c r="E145" s="9"/>
      <c r="F145" s="9"/>
      <c r="G145" s="9"/>
      <c r="H145" s="9"/>
      <c r="I145" s="9"/>
      <c r="J145" s="5"/>
      <c r="K145" s="4"/>
      <c r="L145" s="10"/>
      <c r="M145" s="10"/>
      <c r="N145" s="10"/>
      <c r="O145" s="10"/>
      <c r="P145" s="10"/>
      <c r="Q145" s="11"/>
      <c r="R145" s="9"/>
      <c r="S145" s="12"/>
      <c r="T145" s="5"/>
      <c r="U145" s="5"/>
      <c r="V145" s="4"/>
      <c r="W145" s="4"/>
      <c r="X145" s="4"/>
      <c r="Y145" s="4"/>
    </row>
    <row r="146">
      <c r="A146" s="5"/>
      <c r="B146" s="9"/>
      <c r="C146" s="5"/>
      <c r="D146" s="9"/>
      <c r="E146" s="9"/>
      <c r="F146" s="9"/>
      <c r="G146" s="9"/>
      <c r="H146" s="9"/>
      <c r="I146" s="9"/>
      <c r="J146" s="5"/>
      <c r="K146" s="4"/>
      <c r="L146" s="10"/>
      <c r="M146" s="10"/>
      <c r="N146" s="10"/>
      <c r="O146" s="10"/>
      <c r="P146" s="10"/>
      <c r="Q146" s="11"/>
      <c r="R146" s="9"/>
      <c r="S146" s="12"/>
      <c r="T146" s="5"/>
      <c r="U146" s="5"/>
      <c r="V146" s="4"/>
      <c r="W146" s="4"/>
      <c r="X146" s="4"/>
      <c r="Y146" s="4"/>
    </row>
    <row r="147">
      <c r="A147" s="5"/>
      <c r="B147" s="9"/>
      <c r="C147" s="5"/>
      <c r="D147" s="9"/>
      <c r="E147" s="9"/>
      <c r="F147" s="9"/>
      <c r="G147" s="9"/>
      <c r="H147" s="9"/>
      <c r="I147" s="9"/>
      <c r="J147" s="5"/>
      <c r="K147" s="4"/>
      <c r="L147" s="10"/>
      <c r="M147" s="10"/>
      <c r="N147" s="10"/>
      <c r="O147" s="10"/>
      <c r="P147" s="10"/>
      <c r="Q147" s="11"/>
      <c r="R147" s="9"/>
      <c r="S147" s="12"/>
      <c r="T147" s="5"/>
      <c r="U147" s="5"/>
      <c r="V147" s="4"/>
      <c r="W147" s="4"/>
      <c r="X147" s="4"/>
      <c r="Y147" s="4"/>
    </row>
    <row r="148">
      <c r="A148" s="5"/>
      <c r="B148" s="9"/>
      <c r="C148" s="5"/>
      <c r="D148" s="9"/>
      <c r="E148" s="9"/>
      <c r="F148" s="9"/>
      <c r="G148" s="9"/>
      <c r="H148" s="9"/>
      <c r="I148" s="9"/>
      <c r="J148" s="5"/>
      <c r="K148" s="4"/>
      <c r="L148" s="10"/>
      <c r="M148" s="10"/>
      <c r="N148" s="10"/>
      <c r="O148" s="10"/>
      <c r="P148" s="10"/>
      <c r="Q148" s="11"/>
      <c r="R148" s="9"/>
      <c r="S148" s="12"/>
      <c r="T148" s="5"/>
      <c r="U148" s="5"/>
      <c r="V148" s="4"/>
      <c r="W148" s="4"/>
      <c r="X148" s="4"/>
      <c r="Y148" s="4"/>
    </row>
    <row r="149">
      <c r="A149" s="5"/>
      <c r="B149" s="9"/>
      <c r="C149" s="5"/>
      <c r="D149" s="9"/>
      <c r="E149" s="9"/>
      <c r="F149" s="9"/>
      <c r="G149" s="9"/>
      <c r="H149" s="9"/>
      <c r="I149" s="9"/>
      <c r="J149" s="5"/>
      <c r="K149" s="4"/>
      <c r="L149" s="10"/>
      <c r="M149" s="10"/>
      <c r="N149" s="10"/>
      <c r="O149" s="10"/>
      <c r="P149" s="10"/>
      <c r="Q149" s="11"/>
      <c r="R149" s="9"/>
      <c r="S149" s="12"/>
      <c r="T149" s="5"/>
      <c r="U149" s="5"/>
      <c r="V149" s="4"/>
      <c r="W149" s="4"/>
      <c r="X149" s="4"/>
      <c r="Y149" s="4"/>
    </row>
    <row r="150">
      <c r="A150" s="5"/>
      <c r="B150" s="9"/>
      <c r="C150" s="5"/>
      <c r="D150" s="9"/>
      <c r="E150" s="9"/>
      <c r="F150" s="9"/>
      <c r="G150" s="9"/>
      <c r="H150" s="9"/>
      <c r="I150" s="9"/>
      <c r="J150" s="5"/>
      <c r="K150" s="4"/>
      <c r="L150" s="10"/>
      <c r="M150" s="10"/>
      <c r="N150" s="10"/>
      <c r="O150" s="10"/>
      <c r="P150" s="10"/>
      <c r="Q150" s="11"/>
      <c r="R150" s="9"/>
      <c r="S150" s="12"/>
      <c r="T150" s="5"/>
      <c r="U150" s="5"/>
      <c r="V150" s="4"/>
      <c r="W150" s="4"/>
      <c r="X150" s="4"/>
      <c r="Y150" s="4"/>
    </row>
    <row r="151">
      <c r="A151" s="5"/>
      <c r="B151" s="9"/>
      <c r="C151" s="5"/>
      <c r="D151" s="9"/>
      <c r="E151" s="9"/>
      <c r="F151" s="9"/>
      <c r="G151" s="9"/>
      <c r="H151" s="9"/>
      <c r="I151" s="9"/>
      <c r="J151" s="5"/>
      <c r="K151" s="4"/>
      <c r="L151" s="10"/>
      <c r="M151" s="10"/>
      <c r="N151" s="10"/>
      <c r="O151" s="10"/>
      <c r="P151" s="10"/>
      <c r="Q151" s="11"/>
      <c r="R151" s="9"/>
      <c r="S151" s="12"/>
      <c r="T151" s="5"/>
      <c r="U151" s="5"/>
      <c r="V151" s="4"/>
      <c r="W151" s="4"/>
      <c r="X151" s="4"/>
      <c r="Y151" s="4"/>
    </row>
    <row r="152">
      <c r="A152" s="5"/>
      <c r="B152" s="9"/>
      <c r="C152" s="5"/>
      <c r="D152" s="9"/>
      <c r="E152" s="9"/>
      <c r="F152" s="9"/>
      <c r="G152" s="9"/>
      <c r="H152" s="9"/>
      <c r="I152" s="9"/>
      <c r="J152" s="5"/>
      <c r="K152" s="4"/>
      <c r="L152" s="10"/>
      <c r="M152" s="10"/>
      <c r="N152" s="10"/>
      <c r="O152" s="10"/>
      <c r="P152" s="10"/>
      <c r="Q152" s="11"/>
      <c r="R152" s="9"/>
      <c r="S152" s="12"/>
      <c r="T152" s="5"/>
      <c r="U152" s="5"/>
      <c r="V152" s="4"/>
      <c r="W152" s="4"/>
      <c r="X152" s="4"/>
      <c r="Y152" s="4"/>
    </row>
    <row r="153">
      <c r="A153" s="5"/>
      <c r="B153" s="9"/>
      <c r="C153" s="5"/>
      <c r="D153" s="9"/>
      <c r="E153" s="9"/>
      <c r="F153" s="9"/>
      <c r="G153" s="9"/>
      <c r="H153" s="9"/>
      <c r="I153" s="9"/>
      <c r="J153" s="5"/>
      <c r="K153" s="4"/>
      <c r="L153" s="10"/>
      <c r="M153" s="10"/>
      <c r="N153" s="10"/>
      <c r="O153" s="10"/>
      <c r="P153" s="10"/>
      <c r="Q153" s="11"/>
      <c r="R153" s="9"/>
      <c r="S153" s="12"/>
      <c r="T153" s="5"/>
      <c r="U153" s="5"/>
      <c r="V153" s="4"/>
      <c r="W153" s="4"/>
      <c r="X153" s="4"/>
      <c r="Y153" s="4"/>
    </row>
    <row r="154">
      <c r="A154" s="5"/>
      <c r="B154" s="9"/>
      <c r="C154" s="5"/>
      <c r="D154" s="9"/>
      <c r="E154" s="9"/>
      <c r="F154" s="9"/>
      <c r="G154" s="9"/>
      <c r="H154" s="9"/>
      <c r="I154" s="9"/>
      <c r="J154" s="5"/>
      <c r="K154" s="4"/>
      <c r="L154" s="10"/>
      <c r="M154" s="10"/>
      <c r="N154" s="10"/>
      <c r="O154" s="10"/>
      <c r="P154" s="10"/>
      <c r="Q154" s="11"/>
      <c r="R154" s="9"/>
      <c r="S154" s="12"/>
      <c r="T154" s="5"/>
      <c r="U154" s="5"/>
      <c r="V154" s="4"/>
      <c r="W154" s="4"/>
      <c r="X154" s="4"/>
      <c r="Y154" s="4"/>
    </row>
    <row r="155">
      <c r="A155" s="5"/>
      <c r="B155" s="9"/>
      <c r="C155" s="5"/>
      <c r="D155" s="9"/>
      <c r="E155" s="9"/>
      <c r="F155" s="9"/>
      <c r="G155" s="9"/>
      <c r="H155" s="9"/>
      <c r="I155" s="9"/>
      <c r="J155" s="5"/>
      <c r="K155" s="4"/>
      <c r="L155" s="10"/>
      <c r="M155" s="10"/>
      <c r="N155" s="10"/>
      <c r="O155" s="10"/>
      <c r="P155" s="10"/>
      <c r="Q155" s="11"/>
      <c r="R155" s="9"/>
      <c r="S155" s="12"/>
      <c r="T155" s="5"/>
      <c r="U155" s="5"/>
      <c r="V155" s="4"/>
      <c r="W155" s="4"/>
      <c r="X155" s="4"/>
      <c r="Y155" s="4"/>
    </row>
    <row r="156">
      <c r="A156" s="5"/>
      <c r="B156" s="9"/>
      <c r="C156" s="5"/>
      <c r="D156" s="9"/>
      <c r="E156" s="9"/>
      <c r="F156" s="9"/>
      <c r="G156" s="9"/>
      <c r="H156" s="9"/>
      <c r="I156" s="9"/>
      <c r="J156" s="5"/>
      <c r="K156" s="4"/>
      <c r="L156" s="10"/>
      <c r="M156" s="10"/>
      <c r="N156" s="10"/>
      <c r="O156" s="10"/>
      <c r="P156" s="10"/>
      <c r="Q156" s="11"/>
      <c r="R156" s="9"/>
      <c r="S156" s="12"/>
      <c r="T156" s="5"/>
      <c r="U156" s="5"/>
      <c r="V156" s="4"/>
      <c r="W156" s="4"/>
      <c r="X156" s="4"/>
      <c r="Y156" s="4"/>
    </row>
    <row r="157">
      <c r="A157" s="5"/>
      <c r="B157" s="9"/>
      <c r="C157" s="5"/>
      <c r="D157" s="9"/>
      <c r="E157" s="9"/>
      <c r="F157" s="9"/>
      <c r="G157" s="9"/>
      <c r="H157" s="9"/>
      <c r="I157" s="9"/>
      <c r="J157" s="5"/>
      <c r="K157" s="4"/>
      <c r="L157" s="10"/>
      <c r="M157" s="10"/>
      <c r="N157" s="10"/>
      <c r="O157" s="10"/>
      <c r="P157" s="10"/>
      <c r="Q157" s="11"/>
      <c r="R157" s="9"/>
      <c r="S157" s="12"/>
      <c r="T157" s="5"/>
      <c r="U157" s="5"/>
      <c r="V157" s="4"/>
      <c r="W157" s="4"/>
      <c r="X157" s="4"/>
      <c r="Y157" s="4"/>
    </row>
    <row r="158">
      <c r="A158" s="5"/>
      <c r="B158" s="9"/>
      <c r="C158" s="5"/>
      <c r="D158" s="9"/>
      <c r="E158" s="9"/>
      <c r="F158" s="9"/>
      <c r="G158" s="9"/>
      <c r="H158" s="9"/>
      <c r="I158" s="9"/>
      <c r="J158" s="5"/>
      <c r="K158" s="4"/>
      <c r="L158" s="10"/>
      <c r="M158" s="10"/>
      <c r="N158" s="10"/>
      <c r="O158" s="10"/>
      <c r="P158" s="10"/>
      <c r="Q158" s="11"/>
      <c r="R158" s="9"/>
      <c r="S158" s="12"/>
      <c r="T158" s="5"/>
      <c r="U158" s="5"/>
      <c r="V158" s="4"/>
      <c r="W158" s="4"/>
      <c r="X158" s="4"/>
      <c r="Y158" s="4"/>
    </row>
    <row r="159">
      <c r="A159" s="5"/>
      <c r="B159" s="9"/>
      <c r="C159" s="5"/>
      <c r="D159" s="9"/>
      <c r="E159" s="9"/>
      <c r="F159" s="9"/>
      <c r="G159" s="9"/>
      <c r="H159" s="9"/>
      <c r="I159" s="9"/>
      <c r="J159" s="5"/>
      <c r="K159" s="4"/>
      <c r="L159" s="10"/>
      <c r="M159" s="10"/>
      <c r="N159" s="10"/>
      <c r="O159" s="10"/>
      <c r="P159" s="10"/>
      <c r="Q159" s="11"/>
      <c r="R159" s="9"/>
      <c r="S159" s="12"/>
      <c r="T159" s="5"/>
      <c r="U159" s="5"/>
      <c r="V159" s="4"/>
      <c r="W159" s="4"/>
      <c r="X159" s="4"/>
      <c r="Y159" s="4"/>
    </row>
    <row r="160">
      <c r="A160" s="5"/>
      <c r="B160" s="9"/>
      <c r="C160" s="5"/>
      <c r="D160" s="9"/>
      <c r="E160" s="9"/>
      <c r="F160" s="9"/>
      <c r="G160" s="9"/>
      <c r="H160" s="9"/>
      <c r="I160" s="9"/>
      <c r="J160" s="5"/>
      <c r="K160" s="4"/>
      <c r="L160" s="10"/>
      <c r="M160" s="10"/>
      <c r="N160" s="10"/>
      <c r="O160" s="10"/>
      <c r="P160" s="10"/>
      <c r="Q160" s="11"/>
      <c r="R160" s="9"/>
      <c r="S160" s="12"/>
      <c r="T160" s="5"/>
      <c r="U160" s="5"/>
      <c r="V160" s="4"/>
      <c r="W160" s="4"/>
      <c r="X160" s="4"/>
      <c r="Y160" s="4"/>
    </row>
    <row r="161">
      <c r="A161" s="5"/>
      <c r="B161" s="9"/>
      <c r="C161" s="5"/>
      <c r="D161" s="9"/>
      <c r="E161" s="9"/>
      <c r="F161" s="9"/>
      <c r="G161" s="9"/>
      <c r="H161" s="9"/>
      <c r="I161" s="9"/>
      <c r="J161" s="5"/>
      <c r="K161" s="4"/>
      <c r="L161" s="10"/>
      <c r="M161" s="10"/>
      <c r="N161" s="10"/>
      <c r="O161" s="10"/>
      <c r="P161" s="10"/>
      <c r="Q161" s="11"/>
      <c r="R161" s="9"/>
      <c r="S161" s="12"/>
      <c r="T161" s="5"/>
      <c r="U161" s="5"/>
      <c r="V161" s="4"/>
      <c r="W161" s="4"/>
      <c r="X161" s="4"/>
      <c r="Y161" s="4"/>
    </row>
    <row r="162">
      <c r="A162" s="5"/>
      <c r="B162" s="9"/>
      <c r="C162" s="5"/>
      <c r="D162" s="9"/>
      <c r="E162" s="9"/>
      <c r="F162" s="9"/>
      <c r="G162" s="9"/>
      <c r="H162" s="9"/>
      <c r="I162" s="9"/>
      <c r="J162" s="5"/>
      <c r="K162" s="4"/>
      <c r="L162" s="10"/>
      <c r="M162" s="10"/>
      <c r="N162" s="10"/>
      <c r="O162" s="10"/>
      <c r="P162" s="10"/>
      <c r="Q162" s="11"/>
      <c r="R162" s="9"/>
      <c r="S162" s="12"/>
      <c r="T162" s="5"/>
      <c r="U162" s="5"/>
      <c r="V162" s="4"/>
      <c r="W162" s="4"/>
      <c r="X162" s="4"/>
      <c r="Y162" s="4"/>
    </row>
    <row r="163">
      <c r="A163" s="5"/>
      <c r="B163" s="9"/>
      <c r="C163" s="5"/>
      <c r="D163" s="9"/>
      <c r="E163" s="9"/>
      <c r="F163" s="9"/>
      <c r="G163" s="9"/>
      <c r="H163" s="9"/>
      <c r="I163" s="9"/>
      <c r="J163" s="5"/>
      <c r="K163" s="4"/>
      <c r="L163" s="10"/>
      <c r="M163" s="10"/>
      <c r="N163" s="10"/>
      <c r="O163" s="10"/>
      <c r="P163" s="10"/>
      <c r="Q163" s="11"/>
      <c r="R163" s="9"/>
      <c r="S163" s="12"/>
      <c r="T163" s="5"/>
      <c r="U163" s="5"/>
      <c r="V163" s="4"/>
      <c r="W163" s="4"/>
      <c r="X163" s="4"/>
      <c r="Y163" s="4"/>
    </row>
    <row r="164">
      <c r="A164" s="5"/>
      <c r="B164" s="9"/>
      <c r="C164" s="5"/>
      <c r="D164" s="9"/>
      <c r="E164" s="9"/>
      <c r="F164" s="9"/>
      <c r="G164" s="9"/>
      <c r="H164" s="9"/>
      <c r="I164" s="9"/>
      <c r="J164" s="5"/>
      <c r="K164" s="4"/>
      <c r="L164" s="10"/>
      <c r="M164" s="10"/>
      <c r="N164" s="10"/>
      <c r="O164" s="10"/>
      <c r="P164" s="10"/>
      <c r="Q164" s="11"/>
      <c r="R164" s="9"/>
      <c r="S164" s="12"/>
      <c r="T164" s="5"/>
      <c r="U164" s="5"/>
      <c r="V164" s="4"/>
      <c r="W164" s="4"/>
      <c r="X164" s="4"/>
      <c r="Y164" s="4"/>
    </row>
    <row r="165">
      <c r="A165" s="5"/>
      <c r="B165" s="9"/>
      <c r="C165" s="5"/>
      <c r="D165" s="9"/>
      <c r="E165" s="9"/>
      <c r="F165" s="9"/>
      <c r="G165" s="9"/>
      <c r="H165" s="9"/>
      <c r="I165" s="9"/>
      <c r="J165" s="5"/>
      <c r="K165" s="4"/>
      <c r="L165" s="10"/>
      <c r="M165" s="10"/>
      <c r="N165" s="10"/>
      <c r="O165" s="10"/>
      <c r="P165" s="10"/>
      <c r="Q165" s="11"/>
      <c r="R165" s="9"/>
      <c r="S165" s="12"/>
      <c r="T165" s="5"/>
      <c r="U165" s="5"/>
      <c r="V165" s="4"/>
      <c r="W165" s="4"/>
      <c r="X165" s="4"/>
      <c r="Y165" s="4"/>
    </row>
    <row r="166">
      <c r="A166" s="5"/>
      <c r="B166" s="9"/>
      <c r="C166" s="5"/>
      <c r="D166" s="9"/>
      <c r="E166" s="9"/>
      <c r="F166" s="9"/>
      <c r="G166" s="9"/>
      <c r="H166" s="9"/>
      <c r="I166" s="9"/>
      <c r="J166" s="5"/>
      <c r="K166" s="4"/>
      <c r="L166" s="10"/>
      <c r="M166" s="10"/>
      <c r="N166" s="10"/>
      <c r="O166" s="10"/>
      <c r="P166" s="10"/>
      <c r="Q166" s="11"/>
      <c r="R166" s="9"/>
      <c r="S166" s="12"/>
      <c r="T166" s="5"/>
      <c r="U166" s="5"/>
      <c r="V166" s="4"/>
      <c r="W166" s="4"/>
      <c r="X166" s="4"/>
      <c r="Y166" s="4"/>
    </row>
    <row r="167">
      <c r="A167" s="5"/>
      <c r="B167" s="9"/>
      <c r="C167" s="5"/>
      <c r="D167" s="9"/>
      <c r="E167" s="9"/>
      <c r="F167" s="9"/>
      <c r="G167" s="9"/>
      <c r="H167" s="9"/>
      <c r="I167" s="9"/>
      <c r="J167" s="5"/>
      <c r="K167" s="4"/>
      <c r="L167" s="10"/>
      <c r="M167" s="10"/>
      <c r="N167" s="10"/>
      <c r="O167" s="10"/>
      <c r="P167" s="10"/>
      <c r="Q167" s="11"/>
      <c r="R167" s="9"/>
      <c r="S167" s="12"/>
      <c r="T167" s="5"/>
      <c r="U167" s="5"/>
      <c r="V167" s="4"/>
      <c r="W167" s="4"/>
      <c r="X167" s="4"/>
      <c r="Y167" s="4"/>
    </row>
    <row r="168">
      <c r="A168" s="5"/>
      <c r="B168" s="9"/>
      <c r="C168" s="5"/>
      <c r="D168" s="9"/>
      <c r="E168" s="9"/>
      <c r="F168" s="9"/>
      <c r="G168" s="9"/>
      <c r="H168" s="9"/>
      <c r="I168" s="9"/>
      <c r="J168" s="5"/>
      <c r="K168" s="4"/>
      <c r="L168" s="10"/>
      <c r="M168" s="10"/>
      <c r="N168" s="10"/>
      <c r="O168" s="10"/>
      <c r="P168" s="10"/>
      <c r="Q168" s="11"/>
      <c r="R168" s="9"/>
      <c r="S168" s="12"/>
      <c r="T168" s="5"/>
      <c r="U168" s="5"/>
      <c r="V168" s="4"/>
      <c r="W168" s="4"/>
      <c r="X168" s="4"/>
      <c r="Y168" s="4"/>
    </row>
    <row r="169">
      <c r="A169" s="5"/>
      <c r="B169" s="9"/>
      <c r="C169" s="5"/>
      <c r="D169" s="9"/>
      <c r="E169" s="9"/>
      <c r="F169" s="9"/>
      <c r="G169" s="9"/>
      <c r="H169" s="9"/>
      <c r="I169" s="9"/>
      <c r="J169" s="5"/>
      <c r="K169" s="4"/>
      <c r="L169" s="10"/>
      <c r="M169" s="10"/>
      <c r="N169" s="10"/>
      <c r="O169" s="10"/>
      <c r="P169" s="10"/>
      <c r="Q169" s="11"/>
      <c r="R169" s="9"/>
      <c r="S169" s="12"/>
      <c r="T169" s="5"/>
      <c r="U169" s="5"/>
      <c r="V169" s="4"/>
      <c r="W169" s="4"/>
      <c r="X169" s="4"/>
      <c r="Y169" s="4"/>
    </row>
    <row r="170">
      <c r="A170" s="5"/>
      <c r="B170" s="9"/>
      <c r="C170" s="5"/>
      <c r="D170" s="9"/>
      <c r="E170" s="9"/>
      <c r="F170" s="9"/>
      <c r="G170" s="9"/>
      <c r="H170" s="9"/>
      <c r="I170" s="9"/>
      <c r="J170" s="5"/>
      <c r="K170" s="4"/>
      <c r="L170" s="10"/>
      <c r="M170" s="10"/>
      <c r="N170" s="10"/>
      <c r="O170" s="10"/>
      <c r="P170" s="10"/>
      <c r="Q170" s="11"/>
      <c r="R170" s="9"/>
      <c r="S170" s="12"/>
      <c r="T170" s="5"/>
      <c r="U170" s="5"/>
      <c r="V170" s="4"/>
      <c r="W170" s="4"/>
      <c r="X170" s="4"/>
      <c r="Y170" s="4"/>
    </row>
    <row r="171">
      <c r="A171" s="5"/>
      <c r="B171" s="9"/>
      <c r="C171" s="5"/>
      <c r="D171" s="9"/>
      <c r="E171" s="9"/>
      <c r="F171" s="9"/>
      <c r="G171" s="9"/>
      <c r="H171" s="9"/>
      <c r="I171" s="9"/>
      <c r="J171" s="5"/>
      <c r="K171" s="4"/>
      <c r="L171" s="10"/>
      <c r="M171" s="10"/>
      <c r="N171" s="10"/>
      <c r="O171" s="10"/>
      <c r="P171" s="10"/>
      <c r="Q171" s="11"/>
      <c r="R171" s="9"/>
      <c r="S171" s="12"/>
      <c r="T171" s="5"/>
      <c r="U171" s="5"/>
      <c r="V171" s="4"/>
      <c r="W171" s="4"/>
      <c r="X171" s="4"/>
      <c r="Y171" s="4"/>
    </row>
    <row r="172">
      <c r="A172" s="5"/>
      <c r="B172" s="9"/>
      <c r="C172" s="5"/>
      <c r="D172" s="9"/>
      <c r="E172" s="9"/>
      <c r="F172" s="9"/>
      <c r="G172" s="9"/>
      <c r="H172" s="9"/>
      <c r="I172" s="9"/>
      <c r="J172" s="5"/>
      <c r="K172" s="4"/>
      <c r="L172" s="10"/>
      <c r="M172" s="10"/>
      <c r="N172" s="10"/>
      <c r="O172" s="10"/>
      <c r="P172" s="10"/>
      <c r="Q172" s="11"/>
      <c r="R172" s="9"/>
      <c r="S172" s="12"/>
      <c r="T172" s="5"/>
      <c r="U172" s="5"/>
      <c r="V172" s="4"/>
      <c r="W172" s="4"/>
      <c r="X172" s="4"/>
      <c r="Y172" s="4"/>
    </row>
    <row r="173">
      <c r="A173" s="5"/>
      <c r="B173" s="9"/>
      <c r="C173" s="5"/>
      <c r="D173" s="9"/>
      <c r="E173" s="9"/>
      <c r="F173" s="9"/>
      <c r="G173" s="9"/>
      <c r="H173" s="9"/>
      <c r="I173" s="9"/>
      <c r="J173" s="5"/>
      <c r="K173" s="4"/>
      <c r="L173" s="10"/>
      <c r="M173" s="10"/>
      <c r="N173" s="10"/>
      <c r="O173" s="10"/>
      <c r="P173" s="10"/>
      <c r="Q173" s="11"/>
      <c r="R173" s="9"/>
      <c r="S173" s="12"/>
      <c r="T173" s="5"/>
      <c r="U173" s="5"/>
      <c r="V173" s="4"/>
      <c r="W173" s="4"/>
      <c r="X173" s="4"/>
      <c r="Y173" s="4"/>
    </row>
    <row r="174">
      <c r="A174" s="5"/>
      <c r="B174" s="9"/>
      <c r="C174" s="5"/>
      <c r="D174" s="9"/>
      <c r="E174" s="9"/>
      <c r="F174" s="9"/>
      <c r="G174" s="9"/>
      <c r="H174" s="9"/>
      <c r="I174" s="9"/>
      <c r="J174" s="5"/>
      <c r="K174" s="4"/>
      <c r="L174" s="10"/>
      <c r="M174" s="10"/>
      <c r="N174" s="10"/>
      <c r="O174" s="10"/>
      <c r="P174" s="10"/>
      <c r="Q174" s="11"/>
      <c r="R174" s="9"/>
      <c r="S174" s="12"/>
      <c r="T174" s="5"/>
      <c r="U174" s="5"/>
      <c r="V174" s="4"/>
      <c r="W174" s="4"/>
      <c r="X174" s="4"/>
      <c r="Y174" s="4"/>
    </row>
    <row r="175">
      <c r="A175" s="5"/>
      <c r="B175" s="9"/>
      <c r="C175" s="5"/>
      <c r="D175" s="9"/>
      <c r="E175" s="9"/>
      <c r="F175" s="9"/>
      <c r="G175" s="9"/>
      <c r="H175" s="9"/>
      <c r="I175" s="9"/>
      <c r="J175" s="5"/>
      <c r="K175" s="4"/>
      <c r="L175" s="10"/>
      <c r="M175" s="10"/>
      <c r="N175" s="10"/>
      <c r="O175" s="10"/>
      <c r="P175" s="10"/>
      <c r="Q175" s="11"/>
      <c r="R175" s="9"/>
      <c r="S175" s="12"/>
      <c r="T175" s="5"/>
      <c r="U175" s="5"/>
      <c r="V175" s="4"/>
      <c r="W175" s="4"/>
      <c r="X175" s="4"/>
      <c r="Y175" s="4"/>
    </row>
    <row r="176">
      <c r="A176" s="5"/>
      <c r="B176" s="9"/>
      <c r="C176" s="5"/>
      <c r="D176" s="9"/>
      <c r="E176" s="9"/>
      <c r="F176" s="9"/>
      <c r="G176" s="9"/>
      <c r="H176" s="9"/>
      <c r="I176" s="9"/>
      <c r="J176" s="5"/>
      <c r="K176" s="4"/>
      <c r="L176" s="10"/>
      <c r="M176" s="10"/>
      <c r="N176" s="10"/>
      <c r="O176" s="10"/>
      <c r="P176" s="10"/>
      <c r="Q176" s="11"/>
      <c r="R176" s="9"/>
      <c r="S176" s="12"/>
      <c r="T176" s="5"/>
      <c r="U176" s="5"/>
      <c r="V176" s="4"/>
      <c r="W176" s="4"/>
      <c r="X176" s="4"/>
      <c r="Y176" s="4"/>
    </row>
    <row r="177">
      <c r="A177" s="5"/>
      <c r="B177" s="9"/>
      <c r="C177" s="5"/>
      <c r="D177" s="9"/>
      <c r="E177" s="9"/>
      <c r="F177" s="9"/>
      <c r="G177" s="9"/>
      <c r="H177" s="9"/>
      <c r="I177" s="9"/>
      <c r="J177" s="5"/>
      <c r="K177" s="4"/>
      <c r="L177" s="10"/>
      <c r="M177" s="10"/>
      <c r="N177" s="10"/>
      <c r="O177" s="10"/>
      <c r="P177" s="10"/>
      <c r="Q177" s="11"/>
      <c r="R177" s="9"/>
      <c r="S177" s="12"/>
      <c r="T177" s="5"/>
      <c r="U177" s="5"/>
      <c r="V177" s="4"/>
      <c r="W177" s="4"/>
      <c r="X177" s="4"/>
      <c r="Y177" s="4"/>
    </row>
    <row r="178">
      <c r="A178" s="5"/>
      <c r="B178" s="9"/>
      <c r="C178" s="5"/>
      <c r="D178" s="9"/>
      <c r="E178" s="9"/>
      <c r="F178" s="9"/>
      <c r="G178" s="9"/>
      <c r="H178" s="9"/>
      <c r="I178" s="9"/>
      <c r="J178" s="5"/>
      <c r="K178" s="4"/>
      <c r="L178" s="10"/>
      <c r="M178" s="10"/>
      <c r="N178" s="10"/>
      <c r="O178" s="10"/>
      <c r="P178" s="10"/>
      <c r="Q178" s="11"/>
      <c r="R178" s="9"/>
      <c r="S178" s="12"/>
      <c r="T178" s="5"/>
      <c r="U178" s="5"/>
      <c r="V178" s="4"/>
      <c r="W178" s="4"/>
      <c r="X178" s="4"/>
      <c r="Y178" s="4"/>
    </row>
    <row r="179">
      <c r="A179" s="5"/>
      <c r="B179" s="9"/>
      <c r="C179" s="5"/>
      <c r="D179" s="9"/>
      <c r="E179" s="9"/>
      <c r="F179" s="9"/>
      <c r="G179" s="9"/>
      <c r="H179" s="9"/>
      <c r="I179" s="9"/>
      <c r="J179" s="5"/>
      <c r="K179" s="4"/>
      <c r="L179" s="10"/>
      <c r="M179" s="10"/>
      <c r="N179" s="10"/>
      <c r="O179" s="10"/>
      <c r="P179" s="10"/>
      <c r="Q179" s="11"/>
      <c r="R179" s="9"/>
      <c r="S179" s="12"/>
      <c r="T179" s="5"/>
      <c r="U179" s="5"/>
      <c r="V179" s="4"/>
      <c r="W179" s="4"/>
      <c r="X179" s="4"/>
      <c r="Y179" s="4"/>
    </row>
    <row r="180">
      <c r="A180" s="5"/>
      <c r="B180" s="9"/>
      <c r="C180" s="5"/>
      <c r="D180" s="9"/>
      <c r="E180" s="9"/>
      <c r="F180" s="9"/>
      <c r="G180" s="9"/>
      <c r="H180" s="9"/>
      <c r="I180" s="9"/>
      <c r="J180" s="5"/>
      <c r="K180" s="4"/>
      <c r="L180" s="10"/>
      <c r="M180" s="10"/>
      <c r="N180" s="10"/>
      <c r="O180" s="10"/>
      <c r="P180" s="10"/>
      <c r="Q180" s="11"/>
      <c r="R180" s="9"/>
      <c r="S180" s="12"/>
      <c r="T180" s="5"/>
      <c r="U180" s="5"/>
      <c r="V180" s="4"/>
      <c r="W180" s="4"/>
      <c r="X180" s="4"/>
      <c r="Y180" s="4"/>
    </row>
    <row r="181">
      <c r="A181" s="5"/>
      <c r="B181" s="9"/>
      <c r="C181" s="5"/>
      <c r="D181" s="9"/>
      <c r="E181" s="9"/>
      <c r="F181" s="9"/>
      <c r="G181" s="9"/>
      <c r="H181" s="9"/>
      <c r="I181" s="9"/>
      <c r="J181" s="5"/>
      <c r="K181" s="4"/>
      <c r="L181" s="10"/>
      <c r="M181" s="10"/>
      <c r="N181" s="10"/>
      <c r="O181" s="10"/>
      <c r="P181" s="10"/>
      <c r="Q181" s="11"/>
      <c r="R181" s="9"/>
      <c r="S181" s="12"/>
      <c r="T181" s="5"/>
      <c r="U181" s="5"/>
      <c r="V181" s="4"/>
      <c r="W181" s="4"/>
      <c r="X181" s="4"/>
      <c r="Y181" s="4"/>
    </row>
    <row r="182">
      <c r="A182" s="5"/>
      <c r="B182" s="9"/>
      <c r="C182" s="5"/>
      <c r="D182" s="9"/>
      <c r="E182" s="9"/>
      <c r="F182" s="9"/>
      <c r="G182" s="9"/>
      <c r="H182" s="9"/>
      <c r="I182" s="9"/>
      <c r="J182" s="5"/>
      <c r="K182" s="4"/>
      <c r="L182" s="10"/>
      <c r="M182" s="10"/>
      <c r="N182" s="10"/>
      <c r="O182" s="10"/>
      <c r="P182" s="10"/>
      <c r="Q182" s="11"/>
      <c r="R182" s="9"/>
      <c r="S182" s="12"/>
      <c r="T182" s="5"/>
      <c r="U182" s="5"/>
      <c r="V182" s="4"/>
      <c r="W182" s="4"/>
      <c r="X182" s="4"/>
      <c r="Y182" s="4"/>
    </row>
    <row r="183">
      <c r="A183" s="5"/>
      <c r="B183" s="9"/>
      <c r="C183" s="5"/>
      <c r="D183" s="9"/>
      <c r="E183" s="9"/>
      <c r="F183" s="9"/>
      <c r="G183" s="9"/>
      <c r="H183" s="9"/>
      <c r="I183" s="9"/>
      <c r="J183" s="5"/>
      <c r="K183" s="4"/>
      <c r="L183" s="10"/>
      <c r="M183" s="10"/>
      <c r="N183" s="10"/>
      <c r="O183" s="10"/>
      <c r="P183" s="10"/>
      <c r="Q183" s="11"/>
      <c r="R183" s="9"/>
      <c r="S183" s="12"/>
      <c r="T183" s="5"/>
      <c r="U183" s="5"/>
      <c r="V183" s="4"/>
      <c r="W183" s="4"/>
      <c r="X183" s="4"/>
      <c r="Y183" s="4"/>
    </row>
    <row r="184">
      <c r="A184" s="5"/>
      <c r="B184" s="9"/>
      <c r="C184" s="5"/>
      <c r="D184" s="9"/>
      <c r="E184" s="9"/>
      <c r="F184" s="9"/>
      <c r="G184" s="9"/>
      <c r="H184" s="9"/>
      <c r="I184" s="9"/>
      <c r="J184" s="5"/>
      <c r="K184" s="4"/>
      <c r="L184" s="10"/>
      <c r="M184" s="10"/>
      <c r="N184" s="10"/>
      <c r="O184" s="10"/>
      <c r="P184" s="10"/>
      <c r="Q184" s="11"/>
      <c r="R184" s="9"/>
      <c r="S184" s="12"/>
      <c r="T184" s="5"/>
      <c r="U184" s="5"/>
      <c r="V184" s="4"/>
      <c r="W184" s="4"/>
      <c r="X184" s="4"/>
      <c r="Y184" s="4"/>
    </row>
    <row r="185">
      <c r="A185" s="5"/>
      <c r="B185" s="9"/>
      <c r="C185" s="5"/>
      <c r="D185" s="9"/>
      <c r="E185" s="9"/>
      <c r="F185" s="9"/>
      <c r="G185" s="9"/>
      <c r="H185" s="9"/>
      <c r="I185" s="9"/>
      <c r="J185" s="5"/>
      <c r="K185" s="4"/>
      <c r="L185" s="10"/>
      <c r="M185" s="10"/>
      <c r="N185" s="10"/>
      <c r="O185" s="10"/>
      <c r="P185" s="10"/>
      <c r="Q185" s="11"/>
      <c r="R185" s="9"/>
      <c r="S185" s="12"/>
      <c r="T185" s="5"/>
      <c r="U185" s="5"/>
      <c r="V185" s="4"/>
      <c r="W185" s="4"/>
      <c r="X185" s="4"/>
      <c r="Y185" s="4"/>
    </row>
    <row r="186">
      <c r="A186" s="5"/>
      <c r="B186" s="9"/>
      <c r="C186" s="5"/>
      <c r="D186" s="9"/>
      <c r="E186" s="9"/>
      <c r="F186" s="9"/>
      <c r="G186" s="9"/>
      <c r="H186" s="9"/>
      <c r="I186" s="9"/>
      <c r="J186" s="5"/>
      <c r="K186" s="4"/>
      <c r="L186" s="10"/>
      <c r="M186" s="10"/>
      <c r="N186" s="10"/>
      <c r="O186" s="10"/>
      <c r="P186" s="10"/>
      <c r="Q186" s="11"/>
      <c r="R186" s="9"/>
      <c r="S186" s="12"/>
      <c r="T186" s="5"/>
      <c r="U186" s="5"/>
      <c r="V186" s="4"/>
      <c r="W186" s="4"/>
      <c r="X186" s="4"/>
      <c r="Y186" s="4"/>
    </row>
    <row r="187">
      <c r="A187" s="5"/>
      <c r="B187" s="9"/>
      <c r="C187" s="5"/>
      <c r="D187" s="9"/>
      <c r="E187" s="9"/>
      <c r="F187" s="9"/>
      <c r="G187" s="9"/>
      <c r="H187" s="9"/>
      <c r="I187" s="9"/>
      <c r="J187" s="5"/>
      <c r="K187" s="4"/>
      <c r="L187" s="10"/>
      <c r="M187" s="10"/>
      <c r="N187" s="10"/>
      <c r="O187" s="10"/>
      <c r="P187" s="10"/>
      <c r="Q187" s="11"/>
      <c r="R187" s="9"/>
      <c r="S187" s="12"/>
      <c r="T187" s="5"/>
      <c r="U187" s="5"/>
      <c r="V187" s="4"/>
      <c r="W187" s="4"/>
      <c r="X187" s="4"/>
      <c r="Y187" s="4"/>
    </row>
    <row r="188">
      <c r="A188" s="5"/>
      <c r="B188" s="9"/>
      <c r="C188" s="5"/>
      <c r="D188" s="9"/>
      <c r="E188" s="9"/>
      <c r="F188" s="9"/>
      <c r="G188" s="9"/>
      <c r="H188" s="9"/>
      <c r="I188" s="9"/>
      <c r="J188" s="5"/>
      <c r="K188" s="4"/>
      <c r="L188" s="10"/>
      <c r="M188" s="10"/>
      <c r="N188" s="10"/>
      <c r="O188" s="10"/>
      <c r="P188" s="10"/>
      <c r="Q188" s="11"/>
      <c r="R188" s="9"/>
      <c r="S188" s="12"/>
      <c r="T188" s="5"/>
      <c r="U188" s="5"/>
      <c r="V188" s="4"/>
      <c r="W188" s="4"/>
      <c r="X188" s="4"/>
      <c r="Y188" s="4"/>
    </row>
    <row r="189">
      <c r="A189" s="5"/>
      <c r="B189" s="9"/>
      <c r="C189" s="5"/>
      <c r="D189" s="9"/>
      <c r="E189" s="9"/>
      <c r="F189" s="9"/>
      <c r="G189" s="9"/>
      <c r="H189" s="9"/>
      <c r="I189" s="9"/>
      <c r="J189" s="5"/>
      <c r="K189" s="4"/>
      <c r="L189" s="10"/>
      <c r="M189" s="10"/>
      <c r="N189" s="10"/>
      <c r="O189" s="10"/>
      <c r="P189" s="10"/>
      <c r="Q189" s="11"/>
      <c r="R189" s="9"/>
      <c r="S189" s="12"/>
      <c r="T189" s="5"/>
      <c r="U189" s="5"/>
      <c r="V189" s="4"/>
      <c r="W189" s="4"/>
      <c r="X189" s="4"/>
      <c r="Y189" s="4"/>
    </row>
    <row r="190">
      <c r="A190" s="5"/>
      <c r="B190" s="9"/>
      <c r="C190" s="5"/>
      <c r="D190" s="9"/>
      <c r="E190" s="9"/>
      <c r="F190" s="9"/>
      <c r="G190" s="9"/>
      <c r="H190" s="9"/>
      <c r="I190" s="9"/>
      <c r="J190" s="5"/>
      <c r="K190" s="4"/>
      <c r="L190" s="10"/>
      <c r="M190" s="10"/>
      <c r="N190" s="10"/>
      <c r="O190" s="10"/>
      <c r="P190" s="10"/>
      <c r="Q190" s="11"/>
      <c r="R190" s="9"/>
      <c r="S190" s="12"/>
      <c r="T190" s="5"/>
      <c r="U190" s="5"/>
      <c r="V190" s="4"/>
      <c r="W190" s="4"/>
      <c r="X190" s="4"/>
      <c r="Y190" s="4"/>
    </row>
    <row r="191">
      <c r="A191" s="5"/>
      <c r="B191" s="9"/>
      <c r="C191" s="5"/>
      <c r="D191" s="9"/>
      <c r="E191" s="9"/>
      <c r="F191" s="9"/>
      <c r="G191" s="9"/>
      <c r="H191" s="9"/>
      <c r="I191" s="9"/>
      <c r="J191" s="5"/>
      <c r="K191" s="4"/>
      <c r="L191" s="10"/>
      <c r="M191" s="10"/>
      <c r="N191" s="10"/>
      <c r="O191" s="10"/>
      <c r="P191" s="10"/>
      <c r="Q191" s="11"/>
      <c r="R191" s="9"/>
      <c r="S191" s="12"/>
      <c r="T191" s="5"/>
      <c r="U191" s="5"/>
      <c r="V191" s="4"/>
      <c r="W191" s="4"/>
      <c r="X191" s="4"/>
      <c r="Y191" s="4"/>
    </row>
    <row r="192">
      <c r="A192" s="5"/>
      <c r="B192" s="9"/>
      <c r="C192" s="5"/>
      <c r="D192" s="9"/>
      <c r="E192" s="9"/>
      <c r="F192" s="9"/>
      <c r="G192" s="9"/>
      <c r="H192" s="9"/>
      <c r="I192" s="9"/>
      <c r="J192" s="5"/>
      <c r="K192" s="4"/>
      <c r="L192" s="10"/>
      <c r="M192" s="10"/>
      <c r="N192" s="10"/>
      <c r="O192" s="10"/>
      <c r="P192" s="10"/>
      <c r="Q192" s="11"/>
      <c r="R192" s="9"/>
      <c r="S192" s="12"/>
      <c r="T192" s="5"/>
      <c r="U192" s="5"/>
      <c r="V192" s="4"/>
      <c r="W192" s="4"/>
      <c r="X192" s="4"/>
      <c r="Y192" s="4"/>
    </row>
    <row r="193">
      <c r="A193" s="5"/>
      <c r="B193" s="9"/>
      <c r="C193" s="5"/>
      <c r="D193" s="9"/>
      <c r="E193" s="9"/>
      <c r="F193" s="9"/>
      <c r="G193" s="9"/>
      <c r="H193" s="9"/>
      <c r="I193" s="9"/>
      <c r="J193" s="5"/>
      <c r="K193" s="4"/>
      <c r="L193" s="10"/>
      <c r="M193" s="10"/>
      <c r="N193" s="10"/>
      <c r="O193" s="10"/>
      <c r="P193" s="10"/>
      <c r="Q193" s="11"/>
      <c r="R193" s="9"/>
      <c r="S193" s="12"/>
      <c r="T193" s="5"/>
      <c r="U193" s="5"/>
      <c r="V193" s="4"/>
      <c r="W193" s="4"/>
      <c r="X193" s="4"/>
      <c r="Y193" s="4"/>
    </row>
    <row r="194">
      <c r="A194" s="5"/>
      <c r="B194" s="9"/>
      <c r="C194" s="5"/>
      <c r="D194" s="9"/>
      <c r="E194" s="9"/>
      <c r="F194" s="9"/>
      <c r="G194" s="9"/>
      <c r="H194" s="9"/>
      <c r="I194" s="9"/>
      <c r="J194" s="5"/>
      <c r="K194" s="4"/>
      <c r="L194" s="10"/>
      <c r="M194" s="10"/>
      <c r="N194" s="10"/>
      <c r="O194" s="10"/>
      <c r="P194" s="10"/>
      <c r="Q194" s="11"/>
      <c r="R194" s="9"/>
      <c r="S194" s="12"/>
      <c r="T194" s="5"/>
      <c r="U194" s="5"/>
      <c r="V194" s="4"/>
      <c r="W194" s="4"/>
      <c r="X194" s="4"/>
      <c r="Y194" s="4"/>
    </row>
    <row r="195">
      <c r="A195" s="5"/>
      <c r="B195" s="9"/>
      <c r="C195" s="5"/>
      <c r="D195" s="9"/>
      <c r="E195" s="9"/>
      <c r="F195" s="9"/>
      <c r="G195" s="9"/>
      <c r="H195" s="9"/>
      <c r="I195" s="9"/>
      <c r="J195" s="5"/>
      <c r="K195" s="4"/>
      <c r="L195" s="10"/>
      <c r="M195" s="10"/>
      <c r="N195" s="10"/>
      <c r="O195" s="10"/>
      <c r="P195" s="10"/>
      <c r="Q195" s="11"/>
      <c r="R195" s="9"/>
      <c r="S195" s="12"/>
      <c r="T195" s="5"/>
      <c r="U195" s="5"/>
      <c r="V195" s="4"/>
      <c r="W195" s="4"/>
      <c r="X195" s="4"/>
      <c r="Y195" s="4"/>
    </row>
    <row r="196">
      <c r="A196" s="5"/>
      <c r="B196" s="9"/>
      <c r="C196" s="5"/>
      <c r="D196" s="9"/>
      <c r="E196" s="9"/>
      <c r="F196" s="9"/>
      <c r="G196" s="9"/>
      <c r="H196" s="9"/>
      <c r="I196" s="9"/>
      <c r="J196" s="5"/>
      <c r="K196" s="4"/>
      <c r="L196" s="10"/>
      <c r="M196" s="10"/>
      <c r="N196" s="10"/>
      <c r="O196" s="10"/>
      <c r="P196" s="10"/>
      <c r="Q196" s="11"/>
      <c r="R196" s="9"/>
      <c r="S196" s="12"/>
      <c r="T196" s="5"/>
      <c r="U196" s="5"/>
      <c r="V196" s="4"/>
      <c r="W196" s="4"/>
      <c r="X196" s="4"/>
      <c r="Y196" s="4"/>
    </row>
    <row r="197">
      <c r="A197" s="5"/>
      <c r="B197" s="9"/>
      <c r="C197" s="5"/>
      <c r="D197" s="9"/>
      <c r="E197" s="9"/>
      <c r="F197" s="9"/>
      <c r="G197" s="9"/>
      <c r="H197" s="9"/>
      <c r="I197" s="9"/>
      <c r="J197" s="5"/>
      <c r="K197" s="4"/>
      <c r="L197" s="10"/>
      <c r="M197" s="10"/>
      <c r="N197" s="10"/>
      <c r="O197" s="10"/>
      <c r="P197" s="10"/>
      <c r="Q197" s="11"/>
      <c r="R197" s="9"/>
      <c r="S197" s="12"/>
      <c r="T197" s="5"/>
      <c r="U197" s="5"/>
      <c r="V197" s="4"/>
      <c r="W197" s="4"/>
      <c r="X197" s="4"/>
      <c r="Y197" s="4"/>
    </row>
    <row r="198">
      <c r="A198" s="5"/>
      <c r="B198" s="9"/>
      <c r="C198" s="5"/>
      <c r="D198" s="9"/>
      <c r="E198" s="9"/>
      <c r="F198" s="9"/>
      <c r="G198" s="9"/>
      <c r="H198" s="9"/>
      <c r="I198" s="9"/>
      <c r="J198" s="5"/>
      <c r="K198" s="4"/>
      <c r="L198" s="10"/>
      <c r="M198" s="10"/>
      <c r="N198" s="10"/>
      <c r="O198" s="10"/>
      <c r="P198" s="10"/>
      <c r="Q198" s="11"/>
      <c r="R198" s="9"/>
      <c r="S198" s="12"/>
      <c r="T198" s="5"/>
      <c r="U198" s="5"/>
      <c r="V198" s="4"/>
      <c r="W198" s="4"/>
      <c r="X198" s="4"/>
      <c r="Y198" s="4"/>
    </row>
    <row r="199">
      <c r="A199" s="5"/>
      <c r="B199" s="9"/>
      <c r="C199" s="5"/>
      <c r="D199" s="9"/>
      <c r="E199" s="9"/>
      <c r="F199" s="9"/>
      <c r="G199" s="9"/>
      <c r="H199" s="9"/>
      <c r="I199" s="9"/>
      <c r="J199" s="5"/>
      <c r="K199" s="4"/>
      <c r="L199" s="10"/>
      <c r="M199" s="10"/>
      <c r="N199" s="10"/>
      <c r="O199" s="10"/>
      <c r="P199" s="10"/>
      <c r="Q199" s="11"/>
      <c r="R199" s="9"/>
      <c r="S199" s="12"/>
      <c r="T199" s="5"/>
      <c r="U199" s="5"/>
      <c r="V199" s="4"/>
      <c r="W199" s="4"/>
      <c r="X199" s="4"/>
      <c r="Y199" s="4"/>
    </row>
    <row r="200">
      <c r="A200" s="5"/>
      <c r="B200" s="9"/>
      <c r="C200" s="5"/>
      <c r="D200" s="9"/>
      <c r="E200" s="9"/>
      <c r="F200" s="9"/>
      <c r="G200" s="9"/>
      <c r="H200" s="9"/>
      <c r="I200" s="9"/>
      <c r="J200" s="5"/>
      <c r="K200" s="4"/>
      <c r="L200" s="10"/>
      <c r="M200" s="10"/>
      <c r="N200" s="10"/>
      <c r="O200" s="10"/>
      <c r="P200" s="10"/>
      <c r="Q200" s="11"/>
      <c r="R200" s="9"/>
      <c r="S200" s="12"/>
      <c r="T200" s="5"/>
      <c r="U200" s="5"/>
      <c r="V200" s="4"/>
      <c r="W200" s="4"/>
      <c r="X200" s="4"/>
      <c r="Y200" s="4"/>
    </row>
    <row r="201">
      <c r="A201" s="5"/>
      <c r="B201" s="9"/>
      <c r="C201" s="5"/>
      <c r="D201" s="9"/>
      <c r="E201" s="9"/>
      <c r="F201" s="9"/>
      <c r="G201" s="9"/>
      <c r="H201" s="9"/>
      <c r="I201" s="9"/>
      <c r="J201" s="5"/>
      <c r="K201" s="4"/>
      <c r="L201" s="10"/>
      <c r="M201" s="10"/>
      <c r="N201" s="10"/>
      <c r="O201" s="10"/>
      <c r="P201" s="10"/>
      <c r="Q201" s="11"/>
      <c r="R201" s="9"/>
      <c r="S201" s="12"/>
      <c r="T201" s="5"/>
      <c r="U201" s="5"/>
      <c r="V201" s="4"/>
      <c r="W201" s="4"/>
      <c r="X201" s="4"/>
      <c r="Y201" s="4"/>
    </row>
    <row r="202">
      <c r="A202" s="5"/>
      <c r="B202" s="9"/>
      <c r="C202" s="5"/>
      <c r="D202" s="9"/>
      <c r="E202" s="9"/>
      <c r="F202" s="9"/>
      <c r="G202" s="9"/>
      <c r="H202" s="9"/>
      <c r="I202" s="9"/>
      <c r="J202" s="5"/>
      <c r="K202" s="4"/>
      <c r="L202" s="10"/>
      <c r="M202" s="10"/>
      <c r="N202" s="10"/>
      <c r="O202" s="10"/>
      <c r="P202" s="10"/>
      <c r="Q202" s="11"/>
      <c r="R202" s="9"/>
      <c r="S202" s="12"/>
      <c r="T202" s="5"/>
      <c r="U202" s="5"/>
      <c r="V202" s="4"/>
      <c r="W202" s="4"/>
      <c r="X202" s="4"/>
      <c r="Y202" s="4"/>
    </row>
    <row r="203">
      <c r="A203" s="5"/>
      <c r="B203" s="9"/>
      <c r="C203" s="5"/>
      <c r="D203" s="9"/>
      <c r="E203" s="9"/>
      <c r="F203" s="9"/>
      <c r="G203" s="9"/>
      <c r="H203" s="9"/>
      <c r="I203" s="9"/>
      <c r="J203" s="5"/>
      <c r="K203" s="4"/>
      <c r="L203" s="10"/>
      <c r="M203" s="10"/>
      <c r="N203" s="10"/>
      <c r="O203" s="10"/>
      <c r="P203" s="10"/>
      <c r="Q203" s="11"/>
      <c r="R203" s="9"/>
      <c r="S203" s="12"/>
      <c r="T203" s="5"/>
      <c r="U203" s="5"/>
      <c r="V203" s="4"/>
      <c r="W203" s="4"/>
      <c r="X203" s="4"/>
      <c r="Y203" s="4"/>
    </row>
    <row r="204">
      <c r="A204" s="5"/>
      <c r="B204" s="9"/>
      <c r="C204" s="5"/>
      <c r="D204" s="9"/>
      <c r="E204" s="9"/>
      <c r="F204" s="9"/>
      <c r="G204" s="9"/>
      <c r="H204" s="9"/>
      <c r="I204" s="9"/>
      <c r="J204" s="5"/>
      <c r="K204" s="4"/>
      <c r="L204" s="10"/>
      <c r="M204" s="10"/>
      <c r="N204" s="10"/>
      <c r="O204" s="10"/>
      <c r="P204" s="10"/>
      <c r="Q204" s="11"/>
      <c r="R204" s="9"/>
      <c r="S204" s="12"/>
      <c r="T204" s="5"/>
      <c r="U204" s="5"/>
      <c r="V204" s="4"/>
      <c r="W204" s="4"/>
      <c r="X204" s="4"/>
      <c r="Y204" s="4"/>
    </row>
    <row r="205">
      <c r="A205" s="5"/>
      <c r="B205" s="9"/>
      <c r="C205" s="5"/>
      <c r="D205" s="9"/>
      <c r="E205" s="9"/>
      <c r="F205" s="9"/>
      <c r="G205" s="9"/>
      <c r="H205" s="9"/>
      <c r="I205" s="9"/>
      <c r="J205" s="5"/>
      <c r="K205" s="4"/>
      <c r="L205" s="10"/>
      <c r="M205" s="10"/>
      <c r="N205" s="10"/>
      <c r="O205" s="10"/>
      <c r="P205" s="10"/>
      <c r="Q205" s="11"/>
      <c r="R205" s="9"/>
      <c r="S205" s="12"/>
      <c r="T205" s="5"/>
      <c r="U205" s="5"/>
      <c r="V205" s="4"/>
      <c r="W205" s="4"/>
      <c r="X205" s="4"/>
      <c r="Y205" s="4"/>
    </row>
    <row r="206">
      <c r="A206" s="5"/>
      <c r="B206" s="9"/>
      <c r="C206" s="5"/>
      <c r="D206" s="9"/>
      <c r="E206" s="9"/>
      <c r="F206" s="9"/>
      <c r="G206" s="9"/>
      <c r="H206" s="9"/>
      <c r="I206" s="9"/>
      <c r="J206" s="5"/>
      <c r="K206" s="4"/>
      <c r="L206" s="10"/>
      <c r="M206" s="10"/>
      <c r="N206" s="10"/>
      <c r="O206" s="10"/>
      <c r="P206" s="10"/>
      <c r="Q206" s="11"/>
      <c r="R206" s="9"/>
      <c r="S206" s="12"/>
      <c r="T206" s="5"/>
      <c r="U206" s="5"/>
      <c r="V206" s="4"/>
      <c r="W206" s="4"/>
      <c r="X206" s="4"/>
      <c r="Y206" s="4"/>
    </row>
    <row r="207">
      <c r="A207" s="5"/>
      <c r="B207" s="9"/>
      <c r="C207" s="5"/>
      <c r="D207" s="9"/>
      <c r="E207" s="9"/>
      <c r="F207" s="9"/>
      <c r="G207" s="9"/>
      <c r="H207" s="9"/>
      <c r="I207" s="9"/>
      <c r="J207" s="5"/>
      <c r="K207" s="4"/>
      <c r="L207" s="10"/>
      <c r="M207" s="10"/>
      <c r="N207" s="10"/>
      <c r="O207" s="10"/>
      <c r="P207" s="10"/>
      <c r="Q207" s="11"/>
      <c r="R207" s="9"/>
      <c r="S207" s="12"/>
      <c r="T207" s="5"/>
      <c r="U207" s="5"/>
      <c r="V207" s="4"/>
      <c r="W207" s="4"/>
      <c r="X207" s="4"/>
      <c r="Y207" s="4"/>
    </row>
    <row r="208">
      <c r="A208" s="5"/>
      <c r="B208" s="9"/>
      <c r="C208" s="5"/>
      <c r="D208" s="9"/>
      <c r="E208" s="9"/>
      <c r="F208" s="9"/>
      <c r="G208" s="9"/>
      <c r="H208" s="9"/>
      <c r="I208" s="9"/>
      <c r="J208" s="5"/>
      <c r="K208" s="4"/>
      <c r="L208" s="10"/>
      <c r="M208" s="10"/>
      <c r="N208" s="10"/>
      <c r="O208" s="10"/>
      <c r="P208" s="10"/>
      <c r="Q208" s="11"/>
      <c r="R208" s="9"/>
      <c r="S208" s="12"/>
      <c r="T208" s="5"/>
      <c r="U208" s="5"/>
      <c r="V208" s="4"/>
      <c r="W208" s="4"/>
      <c r="X208" s="4"/>
      <c r="Y208" s="4"/>
    </row>
    <row r="209">
      <c r="A209" s="5"/>
      <c r="B209" s="9"/>
      <c r="C209" s="5"/>
      <c r="D209" s="9"/>
      <c r="E209" s="9"/>
      <c r="F209" s="9"/>
      <c r="G209" s="9"/>
      <c r="H209" s="9"/>
      <c r="I209" s="9"/>
      <c r="J209" s="5"/>
      <c r="K209" s="4"/>
      <c r="L209" s="10"/>
      <c r="M209" s="10"/>
      <c r="N209" s="10"/>
      <c r="O209" s="10"/>
      <c r="P209" s="10"/>
      <c r="Q209" s="11"/>
      <c r="R209" s="9"/>
      <c r="S209" s="12"/>
      <c r="T209" s="5"/>
      <c r="U209" s="5"/>
      <c r="V209" s="4"/>
      <c r="W209" s="4"/>
      <c r="X209" s="4"/>
      <c r="Y209" s="4"/>
    </row>
    <row r="210">
      <c r="A210" s="5"/>
      <c r="B210" s="9"/>
      <c r="C210" s="5"/>
      <c r="D210" s="9"/>
      <c r="E210" s="9"/>
      <c r="F210" s="9"/>
      <c r="G210" s="9"/>
      <c r="H210" s="9"/>
      <c r="I210" s="9"/>
      <c r="J210" s="5"/>
      <c r="K210" s="4"/>
      <c r="L210" s="10"/>
      <c r="M210" s="10"/>
      <c r="N210" s="10"/>
      <c r="O210" s="10"/>
      <c r="P210" s="10"/>
      <c r="Q210" s="11"/>
      <c r="R210" s="9"/>
      <c r="S210" s="12"/>
      <c r="T210" s="5"/>
      <c r="U210" s="5"/>
      <c r="V210" s="4"/>
      <c r="W210" s="4"/>
      <c r="X210" s="4"/>
      <c r="Y210" s="4"/>
    </row>
    <row r="211">
      <c r="A211" s="5"/>
      <c r="B211" s="9"/>
      <c r="C211" s="5"/>
      <c r="D211" s="9"/>
      <c r="E211" s="9"/>
      <c r="F211" s="9"/>
      <c r="G211" s="9"/>
      <c r="H211" s="9"/>
      <c r="I211" s="9"/>
      <c r="J211" s="5"/>
      <c r="K211" s="4"/>
      <c r="L211" s="10"/>
      <c r="M211" s="10"/>
      <c r="N211" s="10"/>
      <c r="O211" s="10"/>
      <c r="P211" s="10"/>
      <c r="Q211" s="11"/>
      <c r="R211" s="9"/>
      <c r="S211" s="12"/>
      <c r="T211" s="5"/>
      <c r="U211" s="5"/>
      <c r="V211" s="4"/>
      <c r="W211" s="4"/>
      <c r="X211" s="4"/>
      <c r="Y211" s="4"/>
    </row>
    <row r="212">
      <c r="A212" s="5"/>
      <c r="B212" s="9"/>
      <c r="C212" s="5"/>
      <c r="D212" s="9"/>
      <c r="E212" s="9"/>
      <c r="F212" s="9"/>
      <c r="G212" s="9"/>
      <c r="H212" s="9"/>
      <c r="I212" s="9"/>
      <c r="J212" s="5"/>
      <c r="K212" s="4"/>
      <c r="L212" s="10"/>
      <c r="M212" s="10"/>
      <c r="N212" s="10"/>
      <c r="O212" s="10"/>
      <c r="P212" s="10"/>
      <c r="Q212" s="11"/>
      <c r="R212" s="9"/>
      <c r="S212" s="12"/>
      <c r="T212" s="5"/>
      <c r="U212" s="5"/>
      <c r="V212" s="4"/>
      <c r="W212" s="4"/>
      <c r="X212" s="4"/>
      <c r="Y212" s="4"/>
    </row>
    <row r="213">
      <c r="A213" s="5"/>
      <c r="B213" s="9"/>
      <c r="C213" s="5"/>
      <c r="D213" s="9"/>
      <c r="E213" s="9"/>
      <c r="F213" s="9"/>
      <c r="G213" s="9"/>
      <c r="H213" s="9"/>
      <c r="I213" s="9"/>
      <c r="J213" s="5"/>
      <c r="K213" s="4"/>
      <c r="L213" s="10"/>
      <c r="M213" s="10"/>
      <c r="N213" s="10"/>
      <c r="O213" s="10"/>
      <c r="P213" s="10"/>
      <c r="Q213" s="11"/>
      <c r="R213" s="9"/>
      <c r="S213" s="12"/>
      <c r="T213" s="5"/>
      <c r="U213" s="5"/>
      <c r="V213" s="4"/>
      <c r="W213" s="4"/>
      <c r="X213" s="4"/>
      <c r="Y213" s="4"/>
    </row>
    <row r="214">
      <c r="A214" s="5"/>
      <c r="B214" s="9"/>
      <c r="C214" s="5"/>
      <c r="D214" s="9"/>
      <c r="E214" s="9"/>
      <c r="F214" s="9"/>
      <c r="G214" s="9"/>
      <c r="H214" s="9"/>
      <c r="I214" s="9"/>
      <c r="J214" s="5"/>
      <c r="K214" s="4"/>
      <c r="L214" s="10"/>
      <c r="M214" s="10"/>
      <c r="N214" s="10"/>
      <c r="O214" s="10"/>
      <c r="P214" s="10"/>
      <c r="Q214" s="11"/>
      <c r="R214" s="9"/>
      <c r="S214" s="12"/>
      <c r="T214" s="5"/>
      <c r="U214" s="5"/>
      <c r="V214" s="4"/>
      <c r="W214" s="4"/>
      <c r="X214" s="4"/>
      <c r="Y214" s="4"/>
    </row>
    <row r="215">
      <c r="A215" s="5"/>
      <c r="B215" s="9"/>
      <c r="C215" s="5"/>
      <c r="D215" s="9"/>
      <c r="E215" s="9"/>
      <c r="F215" s="9"/>
      <c r="G215" s="9"/>
      <c r="H215" s="9"/>
      <c r="I215" s="9"/>
      <c r="J215" s="5"/>
      <c r="K215" s="4"/>
      <c r="L215" s="10"/>
      <c r="M215" s="10"/>
      <c r="N215" s="10"/>
      <c r="O215" s="10"/>
      <c r="P215" s="10"/>
      <c r="Q215" s="11"/>
      <c r="R215" s="9"/>
      <c r="S215" s="12"/>
      <c r="T215" s="5"/>
      <c r="U215" s="5"/>
      <c r="V215" s="4"/>
      <c r="W215" s="4"/>
      <c r="X215" s="4"/>
      <c r="Y215" s="4"/>
    </row>
    <row r="216">
      <c r="A216" s="5"/>
      <c r="B216" s="9"/>
      <c r="C216" s="5"/>
      <c r="D216" s="9"/>
      <c r="E216" s="9"/>
      <c r="F216" s="9"/>
      <c r="G216" s="9"/>
      <c r="H216" s="9"/>
      <c r="I216" s="9"/>
      <c r="J216" s="5"/>
      <c r="K216" s="4"/>
      <c r="L216" s="10"/>
      <c r="M216" s="10"/>
      <c r="N216" s="10"/>
      <c r="O216" s="10"/>
      <c r="P216" s="10"/>
      <c r="Q216" s="11"/>
      <c r="R216" s="9"/>
      <c r="S216" s="12"/>
      <c r="T216" s="5"/>
      <c r="U216" s="5"/>
      <c r="V216" s="4"/>
      <c r="W216" s="4"/>
      <c r="X216" s="4"/>
      <c r="Y216" s="4"/>
    </row>
    <row r="217">
      <c r="A217" s="5"/>
      <c r="B217" s="9"/>
      <c r="C217" s="5"/>
      <c r="D217" s="9"/>
      <c r="E217" s="9"/>
      <c r="F217" s="9"/>
      <c r="G217" s="9"/>
      <c r="H217" s="9"/>
      <c r="I217" s="9"/>
      <c r="J217" s="5"/>
      <c r="K217" s="4"/>
      <c r="L217" s="10"/>
      <c r="M217" s="10"/>
      <c r="N217" s="10"/>
      <c r="O217" s="10"/>
      <c r="P217" s="10"/>
      <c r="Q217" s="11"/>
      <c r="R217" s="9"/>
      <c r="S217" s="12"/>
      <c r="T217" s="5"/>
      <c r="U217" s="5"/>
      <c r="V217" s="4"/>
      <c r="W217" s="4"/>
      <c r="X217" s="4"/>
      <c r="Y217" s="4"/>
    </row>
    <row r="218">
      <c r="A218" s="5"/>
      <c r="B218" s="9"/>
      <c r="C218" s="5"/>
      <c r="D218" s="9"/>
      <c r="E218" s="9"/>
      <c r="F218" s="9"/>
      <c r="G218" s="9"/>
      <c r="H218" s="9"/>
      <c r="I218" s="9"/>
      <c r="J218" s="5"/>
      <c r="K218" s="4"/>
      <c r="L218" s="10"/>
      <c r="M218" s="10"/>
      <c r="N218" s="10"/>
      <c r="O218" s="10"/>
      <c r="P218" s="10"/>
      <c r="Q218" s="11"/>
      <c r="R218" s="9"/>
      <c r="S218" s="12"/>
      <c r="T218" s="5"/>
      <c r="U218" s="5"/>
      <c r="V218" s="4"/>
      <c r="W218" s="4"/>
      <c r="X218" s="4"/>
      <c r="Y218" s="4"/>
    </row>
    <row r="219">
      <c r="A219" s="5"/>
      <c r="B219" s="9"/>
      <c r="C219" s="5"/>
      <c r="D219" s="9"/>
      <c r="E219" s="9"/>
      <c r="F219" s="9"/>
      <c r="G219" s="9"/>
      <c r="H219" s="9"/>
      <c r="I219" s="9"/>
      <c r="J219" s="5"/>
      <c r="K219" s="4"/>
      <c r="L219" s="10"/>
      <c r="M219" s="10"/>
      <c r="N219" s="10"/>
      <c r="O219" s="10"/>
      <c r="P219" s="10"/>
      <c r="Q219" s="11"/>
      <c r="R219" s="9"/>
      <c r="S219" s="12"/>
      <c r="T219" s="5"/>
      <c r="U219" s="5"/>
      <c r="V219" s="4"/>
      <c r="W219" s="4"/>
      <c r="X219" s="4"/>
      <c r="Y219" s="4"/>
    </row>
    <row r="220">
      <c r="A220" s="5"/>
      <c r="B220" s="9"/>
      <c r="C220" s="5"/>
      <c r="D220" s="9"/>
      <c r="E220" s="9"/>
      <c r="F220" s="9"/>
      <c r="G220" s="9"/>
      <c r="H220" s="9"/>
      <c r="I220" s="9"/>
      <c r="J220" s="5"/>
      <c r="K220" s="4"/>
      <c r="L220" s="10"/>
      <c r="M220" s="10"/>
      <c r="N220" s="10"/>
      <c r="O220" s="10"/>
      <c r="P220" s="10"/>
      <c r="Q220" s="11"/>
      <c r="R220" s="9"/>
      <c r="S220" s="12"/>
      <c r="T220" s="5"/>
      <c r="U220" s="5"/>
      <c r="V220" s="4"/>
      <c r="W220" s="4"/>
      <c r="X220" s="4"/>
      <c r="Y220" s="4"/>
    </row>
    <row r="221">
      <c r="A221" s="5"/>
      <c r="B221" s="9"/>
      <c r="C221" s="5"/>
      <c r="D221" s="9"/>
      <c r="E221" s="9"/>
      <c r="F221" s="9"/>
      <c r="G221" s="9"/>
      <c r="H221" s="9"/>
      <c r="I221" s="9"/>
      <c r="J221" s="5"/>
      <c r="K221" s="4"/>
      <c r="L221" s="10"/>
      <c r="M221" s="10"/>
      <c r="N221" s="10"/>
      <c r="O221" s="10"/>
      <c r="P221" s="10"/>
      <c r="Q221" s="11"/>
      <c r="R221" s="9"/>
      <c r="S221" s="12"/>
      <c r="T221" s="5"/>
      <c r="U221" s="5"/>
      <c r="V221" s="4"/>
      <c r="W221" s="4"/>
      <c r="X221" s="4"/>
      <c r="Y221" s="4"/>
    </row>
    <row r="222">
      <c r="A222" s="5"/>
      <c r="B222" s="9"/>
      <c r="C222" s="5"/>
      <c r="D222" s="9"/>
      <c r="E222" s="9"/>
      <c r="F222" s="9"/>
      <c r="G222" s="9"/>
      <c r="H222" s="9"/>
      <c r="I222" s="9"/>
      <c r="J222" s="5"/>
      <c r="K222" s="4"/>
      <c r="L222" s="10"/>
      <c r="M222" s="10"/>
      <c r="N222" s="10"/>
      <c r="O222" s="10"/>
      <c r="P222" s="10"/>
      <c r="Q222" s="11"/>
      <c r="R222" s="9"/>
      <c r="S222" s="12"/>
      <c r="T222" s="5"/>
      <c r="U222" s="5"/>
      <c r="V222" s="4"/>
      <c r="W222" s="4"/>
      <c r="X222" s="4"/>
      <c r="Y222" s="4"/>
    </row>
    <row r="223">
      <c r="A223" s="5"/>
      <c r="B223" s="9"/>
      <c r="C223" s="5"/>
      <c r="D223" s="9"/>
      <c r="E223" s="9"/>
      <c r="F223" s="9"/>
      <c r="G223" s="9"/>
      <c r="H223" s="9"/>
      <c r="I223" s="9"/>
      <c r="J223" s="5"/>
      <c r="K223" s="4"/>
      <c r="L223" s="10"/>
      <c r="M223" s="10"/>
      <c r="N223" s="10"/>
      <c r="O223" s="10"/>
      <c r="P223" s="10"/>
      <c r="Q223" s="11"/>
      <c r="R223" s="9"/>
      <c r="S223" s="12"/>
      <c r="T223" s="5"/>
      <c r="U223" s="5"/>
      <c r="V223" s="4"/>
      <c r="W223" s="4"/>
      <c r="X223" s="4"/>
      <c r="Y223" s="4"/>
    </row>
    <row r="224">
      <c r="A224" s="5"/>
      <c r="B224" s="9"/>
      <c r="C224" s="5"/>
      <c r="D224" s="9"/>
      <c r="E224" s="9"/>
      <c r="F224" s="9"/>
      <c r="G224" s="9"/>
      <c r="H224" s="9"/>
      <c r="I224" s="9"/>
      <c r="J224" s="5"/>
      <c r="K224" s="4"/>
      <c r="L224" s="10"/>
      <c r="M224" s="10"/>
      <c r="N224" s="10"/>
      <c r="O224" s="10"/>
      <c r="P224" s="10"/>
      <c r="Q224" s="11"/>
      <c r="R224" s="9"/>
      <c r="S224" s="12"/>
      <c r="T224" s="5"/>
      <c r="U224" s="5"/>
      <c r="V224" s="4"/>
      <c r="W224" s="4"/>
      <c r="X224" s="4"/>
      <c r="Y224" s="4"/>
    </row>
    <row r="225">
      <c r="A225" s="5"/>
      <c r="B225" s="9"/>
      <c r="C225" s="5"/>
      <c r="D225" s="9"/>
      <c r="E225" s="9"/>
      <c r="F225" s="9"/>
      <c r="G225" s="9"/>
      <c r="H225" s="9"/>
      <c r="I225" s="9"/>
      <c r="J225" s="5"/>
      <c r="K225" s="4"/>
      <c r="L225" s="10"/>
      <c r="M225" s="10"/>
      <c r="N225" s="10"/>
      <c r="O225" s="10"/>
      <c r="P225" s="10"/>
      <c r="Q225" s="11"/>
      <c r="R225" s="9"/>
      <c r="S225" s="12"/>
      <c r="T225" s="5"/>
      <c r="U225" s="5"/>
      <c r="V225" s="4"/>
      <c r="W225" s="4"/>
      <c r="X225" s="4"/>
      <c r="Y225" s="4"/>
    </row>
    <row r="226">
      <c r="A226" s="5"/>
      <c r="B226" s="9"/>
      <c r="C226" s="5"/>
      <c r="D226" s="9"/>
      <c r="E226" s="9"/>
      <c r="F226" s="9"/>
      <c r="G226" s="9"/>
      <c r="H226" s="9"/>
      <c r="I226" s="9"/>
      <c r="J226" s="5"/>
      <c r="K226" s="4"/>
      <c r="L226" s="10"/>
      <c r="M226" s="10"/>
      <c r="N226" s="10"/>
      <c r="O226" s="10"/>
      <c r="P226" s="10"/>
      <c r="Q226" s="11"/>
      <c r="R226" s="9"/>
      <c r="S226" s="12"/>
      <c r="T226" s="5"/>
      <c r="U226" s="5"/>
      <c r="V226" s="4"/>
      <c r="W226" s="4"/>
      <c r="X226" s="4"/>
      <c r="Y226" s="4"/>
    </row>
    <row r="227">
      <c r="A227" s="5"/>
      <c r="B227" s="9"/>
      <c r="C227" s="5"/>
      <c r="D227" s="9"/>
      <c r="E227" s="9"/>
      <c r="F227" s="9"/>
      <c r="G227" s="9"/>
      <c r="H227" s="9"/>
      <c r="I227" s="9"/>
      <c r="J227" s="5"/>
      <c r="K227" s="4"/>
      <c r="L227" s="10"/>
      <c r="M227" s="10"/>
      <c r="N227" s="10"/>
      <c r="O227" s="10"/>
      <c r="P227" s="10"/>
      <c r="Q227" s="11"/>
      <c r="R227" s="9"/>
      <c r="S227" s="12"/>
      <c r="T227" s="5"/>
      <c r="U227" s="5"/>
      <c r="V227" s="4"/>
      <c r="W227" s="4"/>
      <c r="X227" s="4"/>
      <c r="Y227" s="4"/>
    </row>
    <row r="228">
      <c r="A228" s="5"/>
      <c r="B228" s="9"/>
      <c r="C228" s="5"/>
      <c r="D228" s="9"/>
      <c r="E228" s="9"/>
      <c r="F228" s="9"/>
      <c r="G228" s="9"/>
      <c r="H228" s="9"/>
      <c r="I228" s="9"/>
      <c r="J228" s="5"/>
      <c r="K228" s="4"/>
      <c r="L228" s="10"/>
      <c r="M228" s="10"/>
      <c r="N228" s="10"/>
      <c r="O228" s="10"/>
      <c r="P228" s="10"/>
      <c r="Q228" s="11"/>
      <c r="R228" s="9"/>
      <c r="S228" s="12"/>
      <c r="T228" s="5"/>
      <c r="U228" s="5"/>
      <c r="V228" s="4"/>
      <c r="W228" s="4"/>
      <c r="X228" s="4"/>
      <c r="Y228" s="4"/>
    </row>
    <row r="229">
      <c r="A229" s="5"/>
      <c r="B229" s="9"/>
      <c r="C229" s="5"/>
      <c r="D229" s="9"/>
      <c r="E229" s="9"/>
      <c r="F229" s="9"/>
      <c r="G229" s="9"/>
      <c r="H229" s="9"/>
      <c r="I229" s="9"/>
      <c r="J229" s="5"/>
      <c r="K229" s="4"/>
      <c r="L229" s="10"/>
      <c r="M229" s="10"/>
      <c r="N229" s="10"/>
      <c r="O229" s="10"/>
      <c r="P229" s="10"/>
      <c r="Q229" s="11"/>
      <c r="R229" s="9"/>
      <c r="S229" s="12"/>
      <c r="T229" s="5"/>
      <c r="U229" s="5"/>
      <c r="V229" s="4"/>
      <c r="W229" s="4"/>
      <c r="X229" s="4"/>
      <c r="Y229" s="4"/>
    </row>
    <row r="230">
      <c r="A230" s="5"/>
      <c r="B230" s="9"/>
      <c r="C230" s="5"/>
      <c r="D230" s="9"/>
      <c r="E230" s="9"/>
      <c r="F230" s="9"/>
      <c r="G230" s="9"/>
      <c r="H230" s="9"/>
      <c r="I230" s="9"/>
      <c r="J230" s="5"/>
      <c r="K230" s="4"/>
      <c r="L230" s="10"/>
      <c r="M230" s="10"/>
      <c r="N230" s="10"/>
      <c r="O230" s="10"/>
      <c r="P230" s="10"/>
      <c r="Q230" s="11"/>
      <c r="R230" s="9"/>
      <c r="S230" s="12"/>
      <c r="T230" s="5"/>
      <c r="U230" s="5"/>
      <c r="V230" s="4"/>
      <c r="W230" s="4"/>
      <c r="X230" s="4"/>
      <c r="Y230" s="4"/>
    </row>
    <row r="231">
      <c r="A231" s="5"/>
      <c r="B231" s="9"/>
      <c r="C231" s="5"/>
      <c r="D231" s="9"/>
      <c r="E231" s="9"/>
      <c r="F231" s="9"/>
      <c r="G231" s="9"/>
      <c r="H231" s="9"/>
      <c r="I231" s="9"/>
      <c r="J231" s="5"/>
      <c r="K231" s="4"/>
      <c r="L231" s="10"/>
      <c r="M231" s="10"/>
      <c r="N231" s="10"/>
      <c r="O231" s="10"/>
      <c r="P231" s="10"/>
      <c r="Q231" s="11"/>
      <c r="R231" s="9"/>
      <c r="S231" s="12"/>
      <c r="T231" s="5"/>
      <c r="U231" s="5"/>
      <c r="V231" s="4"/>
      <c r="W231" s="4"/>
      <c r="X231" s="4"/>
      <c r="Y231" s="4"/>
    </row>
    <row r="232">
      <c r="A232" s="5"/>
      <c r="B232" s="9"/>
      <c r="C232" s="5"/>
      <c r="D232" s="9"/>
      <c r="E232" s="9"/>
      <c r="F232" s="9"/>
      <c r="G232" s="9"/>
      <c r="H232" s="9"/>
      <c r="I232" s="9"/>
      <c r="J232" s="5"/>
      <c r="K232" s="4"/>
      <c r="L232" s="10"/>
      <c r="M232" s="10"/>
      <c r="N232" s="10"/>
      <c r="O232" s="10"/>
      <c r="P232" s="10"/>
      <c r="Q232" s="11"/>
      <c r="R232" s="9"/>
      <c r="S232" s="12"/>
      <c r="T232" s="5"/>
      <c r="U232" s="5"/>
      <c r="V232" s="4"/>
      <c r="W232" s="4"/>
      <c r="X232" s="4"/>
      <c r="Y232" s="4"/>
    </row>
    <row r="233">
      <c r="A233" s="5"/>
      <c r="B233" s="9"/>
      <c r="C233" s="5"/>
      <c r="D233" s="9"/>
      <c r="E233" s="9"/>
      <c r="F233" s="9"/>
      <c r="G233" s="9"/>
      <c r="H233" s="9"/>
      <c r="I233" s="9"/>
      <c r="J233" s="5"/>
      <c r="K233" s="4"/>
      <c r="L233" s="10"/>
      <c r="M233" s="10"/>
      <c r="N233" s="10"/>
      <c r="O233" s="10"/>
      <c r="P233" s="10"/>
      <c r="Q233" s="11"/>
      <c r="R233" s="9"/>
      <c r="S233" s="12"/>
      <c r="T233" s="5"/>
      <c r="U233" s="5"/>
      <c r="V233" s="4"/>
      <c r="W233" s="4"/>
      <c r="X233" s="4"/>
      <c r="Y233" s="4"/>
    </row>
    <row r="234">
      <c r="A234" s="5"/>
      <c r="B234" s="9"/>
      <c r="C234" s="5"/>
      <c r="D234" s="9"/>
      <c r="E234" s="9"/>
      <c r="F234" s="9"/>
      <c r="G234" s="9"/>
      <c r="H234" s="9"/>
      <c r="I234" s="9"/>
      <c r="J234" s="5"/>
      <c r="K234" s="4"/>
      <c r="L234" s="10"/>
      <c r="M234" s="10"/>
      <c r="N234" s="10"/>
      <c r="O234" s="10"/>
      <c r="P234" s="10"/>
      <c r="Q234" s="11"/>
      <c r="R234" s="9"/>
      <c r="S234" s="12"/>
      <c r="T234" s="5"/>
      <c r="U234" s="5"/>
      <c r="V234" s="4"/>
      <c r="W234" s="4"/>
      <c r="X234" s="4"/>
      <c r="Y234" s="4"/>
    </row>
    <row r="235">
      <c r="A235" s="5"/>
      <c r="B235" s="9"/>
      <c r="C235" s="5"/>
      <c r="D235" s="9"/>
      <c r="E235" s="9"/>
      <c r="F235" s="9"/>
      <c r="G235" s="9"/>
      <c r="H235" s="9"/>
      <c r="I235" s="9"/>
      <c r="J235" s="5"/>
      <c r="K235" s="4"/>
      <c r="L235" s="10"/>
      <c r="M235" s="10"/>
      <c r="N235" s="10"/>
      <c r="O235" s="10"/>
      <c r="P235" s="10"/>
      <c r="Q235" s="11"/>
      <c r="R235" s="9"/>
      <c r="S235" s="12"/>
      <c r="T235" s="5"/>
      <c r="U235" s="5"/>
      <c r="V235" s="4"/>
      <c r="W235" s="4"/>
      <c r="X235" s="4"/>
      <c r="Y235" s="4"/>
    </row>
    <row r="236">
      <c r="A236" s="5"/>
      <c r="B236" s="9"/>
      <c r="C236" s="5"/>
      <c r="D236" s="9"/>
      <c r="E236" s="9"/>
      <c r="F236" s="9"/>
      <c r="G236" s="9"/>
      <c r="H236" s="9"/>
      <c r="I236" s="9"/>
      <c r="J236" s="5"/>
      <c r="K236" s="4"/>
      <c r="L236" s="10"/>
      <c r="M236" s="10"/>
      <c r="N236" s="10"/>
      <c r="O236" s="10"/>
      <c r="P236" s="10"/>
      <c r="Q236" s="11"/>
      <c r="R236" s="9"/>
      <c r="S236" s="12"/>
      <c r="T236" s="5"/>
      <c r="U236" s="5"/>
      <c r="V236" s="4"/>
      <c r="W236" s="4"/>
      <c r="X236" s="4"/>
      <c r="Y236" s="4"/>
    </row>
    <row r="237">
      <c r="A237" s="5"/>
      <c r="B237" s="9"/>
      <c r="C237" s="5"/>
      <c r="D237" s="9"/>
      <c r="E237" s="9"/>
      <c r="F237" s="9"/>
      <c r="G237" s="9"/>
      <c r="H237" s="9"/>
      <c r="I237" s="9"/>
      <c r="J237" s="5"/>
      <c r="K237" s="4"/>
      <c r="L237" s="10"/>
      <c r="M237" s="10"/>
      <c r="N237" s="10"/>
      <c r="O237" s="10"/>
      <c r="P237" s="10"/>
      <c r="Q237" s="11"/>
      <c r="R237" s="9"/>
      <c r="S237" s="12"/>
      <c r="T237" s="5"/>
      <c r="U237" s="5"/>
      <c r="V237" s="4"/>
      <c r="W237" s="4"/>
      <c r="X237" s="4"/>
      <c r="Y237" s="4"/>
    </row>
    <row r="238">
      <c r="A238" s="5"/>
      <c r="B238" s="9"/>
      <c r="C238" s="5"/>
      <c r="D238" s="9"/>
      <c r="E238" s="9"/>
      <c r="F238" s="9"/>
      <c r="G238" s="9"/>
      <c r="H238" s="9"/>
      <c r="I238" s="9"/>
      <c r="J238" s="5"/>
      <c r="K238" s="4"/>
      <c r="L238" s="10"/>
      <c r="M238" s="10"/>
      <c r="N238" s="10"/>
      <c r="O238" s="10"/>
      <c r="P238" s="10"/>
      <c r="Q238" s="11"/>
      <c r="R238" s="9"/>
      <c r="S238" s="12"/>
      <c r="T238" s="5"/>
      <c r="U238" s="5"/>
      <c r="V238" s="4"/>
      <c r="W238" s="4"/>
      <c r="X238" s="4"/>
      <c r="Y238" s="4"/>
    </row>
    <row r="239">
      <c r="A239" s="5"/>
      <c r="B239" s="9"/>
      <c r="C239" s="5"/>
      <c r="D239" s="9"/>
      <c r="E239" s="9"/>
      <c r="F239" s="9"/>
      <c r="G239" s="9"/>
      <c r="H239" s="9"/>
      <c r="I239" s="9"/>
      <c r="J239" s="5"/>
      <c r="K239" s="4"/>
      <c r="L239" s="10"/>
      <c r="M239" s="10"/>
      <c r="N239" s="10"/>
      <c r="O239" s="10"/>
      <c r="P239" s="10"/>
      <c r="Q239" s="11"/>
      <c r="R239" s="9"/>
      <c r="S239" s="12"/>
      <c r="T239" s="5"/>
      <c r="U239" s="5"/>
      <c r="V239" s="4"/>
      <c r="W239" s="4"/>
      <c r="X239" s="4"/>
      <c r="Y239" s="4"/>
    </row>
    <row r="240">
      <c r="A240" s="5"/>
      <c r="B240" s="9"/>
      <c r="C240" s="5"/>
      <c r="D240" s="9"/>
      <c r="E240" s="9"/>
      <c r="F240" s="9"/>
      <c r="G240" s="9"/>
      <c r="H240" s="9"/>
      <c r="I240" s="9"/>
      <c r="J240" s="5"/>
      <c r="K240" s="4"/>
      <c r="L240" s="10"/>
      <c r="M240" s="10"/>
      <c r="N240" s="10"/>
      <c r="O240" s="10"/>
      <c r="P240" s="10"/>
      <c r="Q240" s="11"/>
      <c r="R240" s="9"/>
      <c r="S240" s="12"/>
      <c r="T240" s="5"/>
      <c r="U240" s="5"/>
      <c r="V240" s="4"/>
      <c r="W240" s="4"/>
      <c r="X240" s="4"/>
      <c r="Y240" s="4"/>
    </row>
    <row r="241">
      <c r="A241" s="5"/>
      <c r="B241" s="9"/>
      <c r="C241" s="5"/>
      <c r="D241" s="9"/>
      <c r="E241" s="9"/>
      <c r="F241" s="9"/>
      <c r="G241" s="9"/>
      <c r="H241" s="9"/>
      <c r="I241" s="9"/>
      <c r="J241" s="5"/>
      <c r="K241" s="4"/>
      <c r="L241" s="10"/>
      <c r="M241" s="10"/>
      <c r="N241" s="10"/>
      <c r="O241" s="10"/>
      <c r="P241" s="10"/>
      <c r="Q241" s="11"/>
      <c r="R241" s="9"/>
      <c r="S241" s="12"/>
      <c r="T241" s="5"/>
      <c r="U241" s="5"/>
      <c r="V241" s="4"/>
      <c r="W241" s="4"/>
      <c r="X241" s="4"/>
      <c r="Y241" s="4"/>
    </row>
    <row r="242">
      <c r="A242" s="5"/>
      <c r="B242" s="9"/>
      <c r="C242" s="5"/>
      <c r="D242" s="9"/>
      <c r="E242" s="9"/>
      <c r="F242" s="9"/>
      <c r="G242" s="9"/>
      <c r="H242" s="9"/>
      <c r="I242" s="9"/>
      <c r="J242" s="5"/>
      <c r="K242" s="4"/>
      <c r="L242" s="10"/>
      <c r="M242" s="10"/>
      <c r="N242" s="10"/>
      <c r="O242" s="10"/>
      <c r="P242" s="10"/>
      <c r="Q242" s="11"/>
      <c r="R242" s="9"/>
      <c r="S242" s="12"/>
      <c r="T242" s="5"/>
      <c r="U242" s="5"/>
      <c r="V242" s="4"/>
      <c r="W242" s="4"/>
      <c r="X242" s="4"/>
      <c r="Y242" s="4"/>
    </row>
    <row r="243">
      <c r="A243" s="5"/>
      <c r="B243" s="9"/>
      <c r="C243" s="5"/>
      <c r="D243" s="9"/>
      <c r="E243" s="9"/>
      <c r="F243" s="9"/>
      <c r="G243" s="9"/>
      <c r="H243" s="9"/>
      <c r="I243" s="9"/>
      <c r="J243" s="5"/>
      <c r="K243" s="4"/>
      <c r="L243" s="10"/>
      <c r="M243" s="10"/>
      <c r="N243" s="10"/>
      <c r="O243" s="10"/>
      <c r="P243" s="10"/>
      <c r="Q243" s="11"/>
      <c r="R243" s="9"/>
      <c r="S243" s="12"/>
      <c r="T243" s="5"/>
      <c r="U243" s="5"/>
      <c r="V243" s="4"/>
      <c r="W243" s="4"/>
      <c r="X243" s="4"/>
      <c r="Y243" s="4"/>
    </row>
    <row r="244">
      <c r="A244" s="5"/>
      <c r="B244" s="9"/>
      <c r="C244" s="5"/>
      <c r="D244" s="9"/>
      <c r="E244" s="9"/>
      <c r="F244" s="9"/>
      <c r="G244" s="9"/>
      <c r="H244" s="9"/>
      <c r="I244" s="9"/>
      <c r="J244" s="5"/>
      <c r="K244" s="4"/>
      <c r="L244" s="10"/>
      <c r="M244" s="10"/>
      <c r="N244" s="10"/>
      <c r="O244" s="10"/>
      <c r="P244" s="10"/>
      <c r="Q244" s="11"/>
      <c r="R244" s="9"/>
      <c r="S244" s="12"/>
      <c r="T244" s="5"/>
      <c r="U244" s="5"/>
      <c r="V244" s="4"/>
      <c r="W244" s="4"/>
      <c r="X244" s="4"/>
      <c r="Y244" s="4"/>
    </row>
    <row r="245">
      <c r="A245" s="5"/>
      <c r="B245" s="9"/>
      <c r="C245" s="5"/>
      <c r="D245" s="9"/>
      <c r="E245" s="9"/>
      <c r="F245" s="9"/>
      <c r="G245" s="9"/>
      <c r="H245" s="9"/>
      <c r="I245" s="9"/>
      <c r="J245" s="5"/>
      <c r="K245" s="4"/>
      <c r="L245" s="10"/>
      <c r="M245" s="10"/>
      <c r="N245" s="10"/>
      <c r="O245" s="10"/>
      <c r="P245" s="10"/>
      <c r="Q245" s="11"/>
      <c r="R245" s="9"/>
      <c r="S245" s="12"/>
      <c r="T245" s="5"/>
      <c r="U245" s="5"/>
      <c r="V245" s="4"/>
      <c r="W245" s="4"/>
      <c r="X245" s="4"/>
      <c r="Y245" s="4"/>
    </row>
    <row r="246">
      <c r="A246" s="5"/>
      <c r="B246" s="9"/>
      <c r="C246" s="5"/>
      <c r="D246" s="9"/>
      <c r="E246" s="9"/>
      <c r="F246" s="9"/>
      <c r="G246" s="9"/>
      <c r="H246" s="9"/>
      <c r="I246" s="9"/>
      <c r="J246" s="5"/>
      <c r="K246" s="4"/>
      <c r="L246" s="10"/>
      <c r="M246" s="10"/>
      <c r="N246" s="10"/>
      <c r="O246" s="10"/>
      <c r="P246" s="10"/>
      <c r="Q246" s="11"/>
      <c r="R246" s="9"/>
      <c r="S246" s="12"/>
      <c r="T246" s="5"/>
      <c r="U246" s="5"/>
      <c r="V246" s="4"/>
      <c r="W246" s="4"/>
      <c r="X246" s="4"/>
      <c r="Y246" s="4"/>
    </row>
    <row r="247">
      <c r="A247" s="5"/>
      <c r="B247" s="9"/>
      <c r="C247" s="5"/>
      <c r="D247" s="9"/>
      <c r="E247" s="9"/>
      <c r="F247" s="9"/>
      <c r="G247" s="9"/>
      <c r="H247" s="9"/>
      <c r="I247" s="9"/>
      <c r="J247" s="5"/>
      <c r="K247" s="4"/>
      <c r="L247" s="10"/>
      <c r="M247" s="10"/>
      <c r="N247" s="10"/>
      <c r="O247" s="10"/>
      <c r="P247" s="10"/>
      <c r="Q247" s="11"/>
      <c r="R247" s="9"/>
      <c r="S247" s="12"/>
      <c r="T247" s="5"/>
      <c r="U247" s="5"/>
      <c r="V247" s="4"/>
      <c r="W247" s="4"/>
      <c r="X247" s="4"/>
      <c r="Y247" s="4"/>
    </row>
    <row r="248">
      <c r="A248" s="5"/>
      <c r="B248" s="9"/>
      <c r="C248" s="5"/>
      <c r="D248" s="9"/>
      <c r="E248" s="9"/>
      <c r="F248" s="9"/>
      <c r="G248" s="9"/>
      <c r="H248" s="9"/>
      <c r="I248" s="9"/>
      <c r="J248" s="5"/>
      <c r="K248" s="4"/>
      <c r="L248" s="10"/>
      <c r="M248" s="10"/>
      <c r="N248" s="10"/>
      <c r="O248" s="10"/>
      <c r="P248" s="10"/>
      <c r="Q248" s="11"/>
      <c r="R248" s="9"/>
      <c r="S248" s="12"/>
      <c r="T248" s="5"/>
      <c r="U248" s="5"/>
      <c r="V248" s="4"/>
      <c r="W248" s="4"/>
      <c r="X248" s="4"/>
      <c r="Y248" s="4"/>
    </row>
    <row r="249">
      <c r="A249" s="5"/>
      <c r="B249" s="9"/>
      <c r="C249" s="5"/>
      <c r="D249" s="9"/>
      <c r="E249" s="9"/>
      <c r="F249" s="9"/>
      <c r="G249" s="9"/>
      <c r="H249" s="9"/>
      <c r="I249" s="9"/>
      <c r="J249" s="5"/>
      <c r="K249" s="4"/>
      <c r="L249" s="10"/>
      <c r="M249" s="10"/>
      <c r="N249" s="10"/>
      <c r="O249" s="10"/>
      <c r="P249" s="10"/>
      <c r="Q249" s="11"/>
      <c r="R249" s="9"/>
      <c r="S249" s="12"/>
      <c r="T249" s="5"/>
      <c r="U249" s="5"/>
      <c r="V249" s="4"/>
      <c r="W249" s="4"/>
      <c r="X249" s="4"/>
      <c r="Y249" s="4"/>
    </row>
    <row r="250">
      <c r="A250" s="5"/>
      <c r="B250" s="9"/>
      <c r="C250" s="5"/>
      <c r="D250" s="9"/>
      <c r="E250" s="9"/>
      <c r="F250" s="9"/>
      <c r="G250" s="9"/>
      <c r="H250" s="9"/>
      <c r="I250" s="9"/>
      <c r="J250" s="5"/>
      <c r="K250" s="4"/>
      <c r="L250" s="10"/>
      <c r="M250" s="10"/>
      <c r="N250" s="10"/>
      <c r="O250" s="10"/>
      <c r="P250" s="10"/>
      <c r="Q250" s="11"/>
      <c r="R250" s="9"/>
      <c r="S250" s="12"/>
      <c r="T250" s="5"/>
      <c r="U250" s="5"/>
      <c r="V250" s="4"/>
      <c r="W250" s="4"/>
      <c r="X250" s="4"/>
      <c r="Y250" s="4"/>
    </row>
    <row r="251">
      <c r="A251" s="5"/>
      <c r="B251" s="9"/>
      <c r="C251" s="5"/>
      <c r="D251" s="9"/>
      <c r="E251" s="9"/>
      <c r="F251" s="9"/>
      <c r="G251" s="9"/>
      <c r="H251" s="9"/>
      <c r="I251" s="9"/>
      <c r="J251" s="5"/>
      <c r="K251" s="4"/>
      <c r="L251" s="10"/>
      <c r="M251" s="10"/>
      <c r="N251" s="10"/>
      <c r="O251" s="10"/>
      <c r="P251" s="10"/>
      <c r="Q251" s="11"/>
      <c r="R251" s="9"/>
      <c r="S251" s="12"/>
      <c r="T251" s="5"/>
      <c r="U251" s="5"/>
      <c r="V251" s="4"/>
      <c r="W251" s="4"/>
      <c r="X251" s="4"/>
      <c r="Y251" s="4"/>
    </row>
    <row r="252">
      <c r="A252" s="5"/>
      <c r="B252" s="9"/>
      <c r="C252" s="5"/>
      <c r="D252" s="9"/>
      <c r="E252" s="9"/>
      <c r="F252" s="9"/>
      <c r="G252" s="9"/>
      <c r="H252" s="9"/>
      <c r="I252" s="9"/>
      <c r="J252" s="5"/>
      <c r="K252" s="4"/>
      <c r="L252" s="10"/>
      <c r="M252" s="10"/>
      <c r="N252" s="10"/>
      <c r="O252" s="10"/>
      <c r="P252" s="10"/>
      <c r="Q252" s="11"/>
      <c r="R252" s="9"/>
      <c r="S252" s="12"/>
      <c r="T252" s="5"/>
      <c r="U252" s="5"/>
      <c r="V252" s="4"/>
      <c r="W252" s="4"/>
      <c r="X252" s="4"/>
      <c r="Y252" s="4"/>
    </row>
    <row r="253">
      <c r="A253" s="5"/>
      <c r="B253" s="9"/>
      <c r="C253" s="5"/>
      <c r="D253" s="9"/>
      <c r="E253" s="9"/>
      <c r="F253" s="9"/>
      <c r="G253" s="9"/>
      <c r="H253" s="9"/>
      <c r="I253" s="9"/>
      <c r="J253" s="5"/>
      <c r="K253" s="4"/>
      <c r="L253" s="10"/>
      <c r="M253" s="10"/>
      <c r="N253" s="10"/>
      <c r="O253" s="10"/>
      <c r="P253" s="10"/>
      <c r="Q253" s="11"/>
      <c r="R253" s="9"/>
      <c r="S253" s="12"/>
      <c r="T253" s="5"/>
      <c r="U253" s="5"/>
      <c r="V253" s="4"/>
      <c r="W253" s="4"/>
      <c r="X253" s="4"/>
      <c r="Y253" s="4"/>
    </row>
    <row r="254">
      <c r="A254" s="5"/>
      <c r="B254" s="9"/>
      <c r="C254" s="5"/>
      <c r="D254" s="9"/>
      <c r="E254" s="9"/>
      <c r="F254" s="9"/>
      <c r="G254" s="9"/>
      <c r="H254" s="9"/>
      <c r="I254" s="9"/>
      <c r="J254" s="5"/>
      <c r="K254" s="4"/>
      <c r="L254" s="10"/>
      <c r="M254" s="10"/>
      <c r="N254" s="10"/>
      <c r="O254" s="10"/>
      <c r="P254" s="10"/>
      <c r="Q254" s="11"/>
      <c r="R254" s="9"/>
      <c r="S254" s="12"/>
      <c r="T254" s="5"/>
      <c r="U254" s="5"/>
      <c r="V254" s="4"/>
      <c r="W254" s="4"/>
      <c r="X254" s="4"/>
      <c r="Y254" s="4"/>
    </row>
    <row r="255">
      <c r="A255" s="5"/>
      <c r="B255" s="9"/>
      <c r="C255" s="5"/>
      <c r="D255" s="9"/>
      <c r="E255" s="9"/>
      <c r="F255" s="9"/>
      <c r="G255" s="9"/>
      <c r="H255" s="9"/>
      <c r="I255" s="9"/>
      <c r="J255" s="5"/>
      <c r="K255" s="4"/>
      <c r="L255" s="10"/>
      <c r="M255" s="10"/>
      <c r="N255" s="10"/>
      <c r="O255" s="10"/>
      <c r="P255" s="10"/>
      <c r="Q255" s="11"/>
      <c r="R255" s="9"/>
      <c r="S255" s="12"/>
      <c r="T255" s="5"/>
      <c r="U255" s="5"/>
      <c r="V255" s="4"/>
      <c r="W255" s="4"/>
      <c r="X255" s="4"/>
      <c r="Y255" s="4"/>
    </row>
    <row r="256">
      <c r="A256" s="5"/>
      <c r="B256" s="9"/>
      <c r="C256" s="5"/>
      <c r="D256" s="9"/>
      <c r="E256" s="9"/>
      <c r="F256" s="9"/>
      <c r="G256" s="9"/>
      <c r="H256" s="9"/>
      <c r="I256" s="9"/>
      <c r="J256" s="5"/>
      <c r="K256" s="4"/>
      <c r="L256" s="10"/>
      <c r="M256" s="10"/>
      <c r="N256" s="10"/>
      <c r="O256" s="10"/>
      <c r="P256" s="10"/>
      <c r="Q256" s="11"/>
      <c r="R256" s="9"/>
      <c r="S256" s="12"/>
      <c r="T256" s="5"/>
      <c r="U256" s="5"/>
      <c r="V256" s="4"/>
      <c r="W256" s="4"/>
      <c r="X256" s="4"/>
      <c r="Y256" s="4"/>
    </row>
    <row r="257">
      <c r="A257" s="5"/>
      <c r="B257" s="9"/>
      <c r="C257" s="5"/>
      <c r="D257" s="9"/>
      <c r="E257" s="9"/>
      <c r="F257" s="9"/>
      <c r="G257" s="9"/>
      <c r="H257" s="9"/>
      <c r="I257" s="9"/>
      <c r="J257" s="5"/>
      <c r="K257" s="4"/>
      <c r="L257" s="10"/>
      <c r="M257" s="10"/>
      <c r="N257" s="10"/>
      <c r="O257" s="10"/>
      <c r="P257" s="10"/>
      <c r="Q257" s="11"/>
      <c r="R257" s="9"/>
      <c r="S257" s="12"/>
      <c r="T257" s="5"/>
      <c r="U257" s="5"/>
      <c r="V257" s="4"/>
      <c r="W257" s="4"/>
      <c r="X257" s="4"/>
      <c r="Y257" s="4"/>
    </row>
    <row r="258">
      <c r="A258" s="5"/>
      <c r="B258" s="9"/>
      <c r="C258" s="5"/>
      <c r="D258" s="9"/>
      <c r="E258" s="9"/>
      <c r="F258" s="9"/>
      <c r="G258" s="9"/>
      <c r="H258" s="9"/>
      <c r="I258" s="9"/>
      <c r="J258" s="5"/>
      <c r="K258" s="4"/>
      <c r="L258" s="10"/>
      <c r="M258" s="10"/>
      <c r="N258" s="10"/>
      <c r="O258" s="10"/>
      <c r="P258" s="10"/>
      <c r="Q258" s="11"/>
      <c r="R258" s="9"/>
      <c r="S258" s="12"/>
      <c r="T258" s="5"/>
      <c r="U258" s="5"/>
      <c r="V258" s="4"/>
      <c r="W258" s="4"/>
      <c r="X258" s="4"/>
      <c r="Y258" s="4"/>
    </row>
    <row r="259">
      <c r="A259" s="5"/>
      <c r="B259" s="9"/>
      <c r="C259" s="5"/>
      <c r="D259" s="9"/>
      <c r="E259" s="9"/>
      <c r="F259" s="9"/>
      <c r="G259" s="9"/>
      <c r="H259" s="9"/>
      <c r="I259" s="9"/>
      <c r="J259" s="5"/>
      <c r="K259" s="4"/>
      <c r="L259" s="10"/>
      <c r="M259" s="10"/>
      <c r="N259" s="10"/>
      <c r="O259" s="10"/>
      <c r="P259" s="10"/>
      <c r="Q259" s="11"/>
      <c r="R259" s="9"/>
      <c r="S259" s="12"/>
      <c r="T259" s="5"/>
      <c r="U259" s="5"/>
      <c r="V259" s="4"/>
      <c r="W259" s="4"/>
      <c r="X259" s="4"/>
      <c r="Y259" s="4"/>
    </row>
    <row r="260">
      <c r="A260" s="5"/>
      <c r="B260" s="9"/>
      <c r="C260" s="5"/>
      <c r="D260" s="9"/>
      <c r="E260" s="9"/>
      <c r="F260" s="9"/>
      <c r="G260" s="9"/>
      <c r="H260" s="9"/>
      <c r="I260" s="9"/>
      <c r="J260" s="5"/>
      <c r="K260" s="4"/>
      <c r="L260" s="10"/>
      <c r="M260" s="10"/>
      <c r="N260" s="10"/>
      <c r="O260" s="10"/>
      <c r="P260" s="10"/>
      <c r="Q260" s="11"/>
      <c r="R260" s="9"/>
      <c r="S260" s="12"/>
      <c r="T260" s="5"/>
      <c r="U260" s="5"/>
      <c r="V260" s="4"/>
      <c r="W260" s="4"/>
      <c r="X260" s="4"/>
      <c r="Y260" s="4"/>
    </row>
    <row r="261">
      <c r="A261" s="5"/>
      <c r="B261" s="9"/>
      <c r="C261" s="5"/>
      <c r="D261" s="9"/>
      <c r="E261" s="9"/>
      <c r="F261" s="9"/>
      <c r="G261" s="9"/>
      <c r="H261" s="9"/>
      <c r="I261" s="9"/>
      <c r="J261" s="5"/>
      <c r="K261" s="4"/>
      <c r="L261" s="10"/>
      <c r="M261" s="10"/>
      <c r="N261" s="10"/>
      <c r="O261" s="10"/>
      <c r="P261" s="10"/>
      <c r="Q261" s="11"/>
      <c r="R261" s="9"/>
      <c r="S261" s="12"/>
      <c r="T261" s="5"/>
      <c r="U261" s="5"/>
      <c r="V261" s="4"/>
      <c r="W261" s="4"/>
      <c r="X261" s="4"/>
      <c r="Y261" s="4"/>
    </row>
    <row r="262">
      <c r="A262" s="5"/>
      <c r="B262" s="9"/>
      <c r="C262" s="5"/>
      <c r="D262" s="9"/>
      <c r="E262" s="9"/>
      <c r="F262" s="9"/>
      <c r="G262" s="9"/>
      <c r="H262" s="9"/>
      <c r="I262" s="9"/>
      <c r="J262" s="5"/>
      <c r="K262" s="4"/>
      <c r="L262" s="10"/>
      <c r="M262" s="10"/>
      <c r="N262" s="10"/>
      <c r="O262" s="10"/>
      <c r="P262" s="10"/>
      <c r="Q262" s="11"/>
      <c r="R262" s="9"/>
      <c r="S262" s="12"/>
      <c r="T262" s="5"/>
      <c r="U262" s="5"/>
      <c r="V262" s="4"/>
      <c r="W262" s="4"/>
      <c r="X262" s="4"/>
      <c r="Y262" s="4"/>
    </row>
    <row r="263">
      <c r="A263" s="5"/>
      <c r="B263" s="9"/>
      <c r="C263" s="5"/>
      <c r="D263" s="9"/>
      <c r="E263" s="9"/>
      <c r="F263" s="9"/>
      <c r="G263" s="9"/>
      <c r="H263" s="9"/>
      <c r="I263" s="9"/>
      <c r="J263" s="5"/>
      <c r="K263" s="4"/>
      <c r="L263" s="10"/>
      <c r="M263" s="10"/>
      <c r="N263" s="10"/>
      <c r="O263" s="10"/>
      <c r="P263" s="10"/>
      <c r="Q263" s="11"/>
      <c r="R263" s="9"/>
      <c r="S263" s="12"/>
      <c r="T263" s="5"/>
      <c r="U263" s="5"/>
      <c r="V263" s="4"/>
      <c r="W263" s="4"/>
      <c r="X263" s="4"/>
      <c r="Y263" s="4"/>
    </row>
    <row r="264">
      <c r="A264" s="5"/>
      <c r="B264" s="9"/>
      <c r="C264" s="5"/>
      <c r="D264" s="9"/>
      <c r="E264" s="9"/>
      <c r="F264" s="9"/>
      <c r="G264" s="9"/>
      <c r="H264" s="9"/>
      <c r="I264" s="9"/>
      <c r="J264" s="5"/>
      <c r="K264" s="4"/>
      <c r="L264" s="10"/>
      <c r="M264" s="10"/>
      <c r="N264" s="10"/>
      <c r="O264" s="10"/>
      <c r="P264" s="10"/>
      <c r="Q264" s="11"/>
      <c r="R264" s="9"/>
      <c r="S264" s="12"/>
      <c r="T264" s="5"/>
      <c r="U264" s="5"/>
      <c r="V264" s="4"/>
      <c r="W264" s="4"/>
      <c r="X264" s="4"/>
      <c r="Y264" s="4"/>
    </row>
    <row r="265">
      <c r="A265" s="5"/>
      <c r="B265" s="9"/>
      <c r="C265" s="5"/>
      <c r="D265" s="9"/>
      <c r="E265" s="9"/>
      <c r="F265" s="9"/>
      <c r="G265" s="9"/>
      <c r="H265" s="9"/>
      <c r="I265" s="9"/>
      <c r="J265" s="5"/>
      <c r="K265" s="4"/>
      <c r="L265" s="10"/>
      <c r="M265" s="10"/>
      <c r="N265" s="10"/>
      <c r="O265" s="10"/>
      <c r="P265" s="10"/>
      <c r="Q265" s="11"/>
      <c r="R265" s="9"/>
      <c r="S265" s="12"/>
      <c r="T265" s="5"/>
      <c r="U265" s="5"/>
      <c r="V265" s="4"/>
      <c r="W265" s="4"/>
      <c r="X265" s="4"/>
      <c r="Y265" s="4"/>
    </row>
    <row r="266">
      <c r="A266" s="5"/>
      <c r="B266" s="9"/>
      <c r="C266" s="5"/>
      <c r="D266" s="9"/>
      <c r="E266" s="9"/>
      <c r="F266" s="9"/>
      <c r="G266" s="9"/>
      <c r="H266" s="9"/>
      <c r="I266" s="9"/>
      <c r="J266" s="5"/>
      <c r="K266" s="4"/>
      <c r="L266" s="10"/>
      <c r="M266" s="10"/>
      <c r="N266" s="10"/>
      <c r="O266" s="10"/>
      <c r="P266" s="10"/>
      <c r="Q266" s="11"/>
      <c r="R266" s="9"/>
      <c r="S266" s="12"/>
      <c r="T266" s="5"/>
      <c r="U266" s="5"/>
      <c r="V266" s="4"/>
      <c r="W266" s="4"/>
      <c r="X266" s="4"/>
      <c r="Y266" s="4"/>
    </row>
    <row r="267">
      <c r="A267" s="5"/>
      <c r="B267" s="9"/>
      <c r="C267" s="5"/>
      <c r="D267" s="9"/>
      <c r="E267" s="9"/>
      <c r="F267" s="9"/>
      <c r="G267" s="9"/>
      <c r="H267" s="9"/>
      <c r="I267" s="9"/>
      <c r="J267" s="5"/>
      <c r="K267" s="4"/>
      <c r="L267" s="10"/>
      <c r="M267" s="10"/>
      <c r="N267" s="10"/>
      <c r="O267" s="10"/>
      <c r="P267" s="10"/>
      <c r="Q267" s="11"/>
      <c r="R267" s="9"/>
      <c r="S267" s="12"/>
      <c r="T267" s="5"/>
      <c r="U267" s="5"/>
      <c r="V267" s="4"/>
      <c r="W267" s="4"/>
      <c r="X267" s="4"/>
      <c r="Y267" s="4"/>
    </row>
    <row r="268">
      <c r="A268" s="5"/>
      <c r="B268" s="9"/>
      <c r="C268" s="5"/>
      <c r="D268" s="9"/>
      <c r="E268" s="9"/>
      <c r="F268" s="9"/>
      <c r="G268" s="9"/>
      <c r="H268" s="9"/>
      <c r="I268" s="9"/>
      <c r="J268" s="5"/>
      <c r="K268" s="4"/>
      <c r="L268" s="10"/>
      <c r="M268" s="10"/>
      <c r="N268" s="10"/>
      <c r="O268" s="10"/>
      <c r="P268" s="10"/>
      <c r="Q268" s="11"/>
      <c r="R268" s="9"/>
      <c r="S268" s="12"/>
      <c r="T268" s="5"/>
      <c r="U268" s="5"/>
      <c r="V268" s="4"/>
      <c r="W268" s="4"/>
      <c r="X268" s="4"/>
      <c r="Y268" s="4"/>
    </row>
    <row r="269">
      <c r="A269" s="5"/>
      <c r="B269" s="9"/>
      <c r="C269" s="5"/>
      <c r="D269" s="9"/>
      <c r="E269" s="9"/>
      <c r="F269" s="9"/>
      <c r="G269" s="9"/>
      <c r="H269" s="9"/>
      <c r="I269" s="9"/>
      <c r="J269" s="5"/>
      <c r="K269" s="4"/>
      <c r="L269" s="10"/>
      <c r="M269" s="10"/>
      <c r="N269" s="10"/>
      <c r="O269" s="10"/>
      <c r="P269" s="10"/>
      <c r="Q269" s="11"/>
      <c r="R269" s="9"/>
      <c r="S269" s="12"/>
      <c r="T269" s="5"/>
      <c r="U269" s="5"/>
      <c r="V269" s="4"/>
      <c r="W269" s="4"/>
      <c r="X269" s="4"/>
      <c r="Y269" s="4"/>
    </row>
    <row r="270">
      <c r="A270" s="5"/>
      <c r="B270" s="9"/>
      <c r="C270" s="5"/>
      <c r="D270" s="9"/>
      <c r="E270" s="9"/>
      <c r="F270" s="9"/>
      <c r="G270" s="9"/>
      <c r="H270" s="9"/>
      <c r="I270" s="9"/>
      <c r="J270" s="5"/>
      <c r="K270" s="4"/>
      <c r="L270" s="10"/>
      <c r="M270" s="10"/>
      <c r="N270" s="10"/>
      <c r="O270" s="10"/>
      <c r="P270" s="10"/>
      <c r="Q270" s="11"/>
      <c r="R270" s="9"/>
      <c r="S270" s="12"/>
      <c r="T270" s="5"/>
      <c r="U270" s="5"/>
      <c r="V270" s="4"/>
      <c r="W270" s="4"/>
      <c r="X270" s="4"/>
      <c r="Y270" s="4"/>
    </row>
    <row r="271">
      <c r="A271" s="5"/>
      <c r="B271" s="9"/>
      <c r="C271" s="5"/>
      <c r="D271" s="9"/>
      <c r="E271" s="9"/>
      <c r="F271" s="9"/>
      <c r="G271" s="9"/>
      <c r="H271" s="9"/>
      <c r="I271" s="9"/>
      <c r="J271" s="5"/>
      <c r="K271" s="4"/>
      <c r="L271" s="10"/>
      <c r="M271" s="10"/>
      <c r="N271" s="10"/>
      <c r="O271" s="10"/>
      <c r="P271" s="10"/>
      <c r="Q271" s="11"/>
      <c r="R271" s="9"/>
      <c r="S271" s="12"/>
      <c r="T271" s="5"/>
      <c r="U271" s="5"/>
      <c r="V271" s="4"/>
      <c r="W271" s="4"/>
      <c r="X271" s="4"/>
      <c r="Y271" s="4"/>
    </row>
    <row r="272">
      <c r="A272" s="5"/>
      <c r="B272" s="9"/>
      <c r="C272" s="5"/>
      <c r="D272" s="9"/>
      <c r="E272" s="9"/>
      <c r="F272" s="9"/>
      <c r="G272" s="9"/>
      <c r="H272" s="9"/>
      <c r="I272" s="9"/>
      <c r="J272" s="5"/>
      <c r="K272" s="4"/>
      <c r="L272" s="10"/>
      <c r="M272" s="10"/>
      <c r="N272" s="10"/>
      <c r="O272" s="10"/>
      <c r="P272" s="10"/>
      <c r="Q272" s="11"/>
      <c r="R272" s="9"/>
      <c r="S272" s="12"/>
      <c r="T272" s="5"/>
      <c r="U272" s="5"/>
      <c r="V272" s="4"/>
      <c r="W272" s="4"/>
      <c r="X272" s="4"/>
      <c r="Y272" s="4"/>
    </row>
    <row r="273">
      <c r="A273" s="5"/>
      <c r="B273" s="9"/>
      <c r="C273" s="5"/>
      <c r="D273" s="9"/>
      <c r="E273" s="9"/>
      <c r="F273" s="9"/>
      <c r="G273" s="9"/>
      <c r="H273" s="9"/>
      <c r="I273" s="9"/>
      <c r="J273" s="5"/>
      <c r="K273" s="4"/>
      <c r="L273" s="10"/>
      <c r="M273" s="10"/>
      <c r="N273" s="10"/>
      <c r="O273" s="10"/>
      <c r="P273" s="10"/>
      <c r="Q273" s="11"/>
      <c r="R273" s="9"/>
      <c r="S273" s="12"/>
      <c r="T273" s="5"/>
      <c r="U273" s="5"/>
      <c r="V273" s="4"/>
      <c r="W273" s="4"/>
      <c r="X273" s="4"/>
      <c r="Y273" s="4"/>
    </row>
    <row r="274">
      <c r="A274" s="5"/>
      <c r="B274" s="9"/>
      <c r="C274" s="5"/>
      <c r="D274" s="9"/>
      <c r="E274" s="9"/>
      <c r="F274" s="9"/>
      <c r="G274" s="9"/>
      <c r="H274" s="9"/>
      <c r="I274" s="9"/>
      <c r="J274" s="5"/>
      <c r="K274" s="4"/>
      <c r="L274" s="10"/>
      <c r="M274" s="10"/>
      <c r="N274" s="10"/>
      <c r="O274" s="10"/>
      <c r="P274" s="10"/>
      <c r="Q274" s="11"/>
      <c r="R274" s="9"/>
      <c r="S274" s="12"/>
      <c r="T274" s="5"/>
      <c r="U274" s="5"/>
      <c r="V274" s="4"/>
      <c r="W274" s="4"/>
      <c r="X274" s="4"/>
      <c r="Y274" s="4"/>
    </row>
    <row r="275">
      <c r="A275" s="5"/>
      <c r="B275" s="9"/>
      <c r="C275" s="5"/>
      <c r="D275" s="9"/>
      <c r="E275" s="9"/>
      <c r="F275" s="9"/>
      <c r="G275" s="9"/>
      <c r="H275" s="9"/>
      <c r="I275" s="9"/>
      <c r="J275" s="5"/>
      <c r="K275" s="4"/>
      <c r="L275" s="10"/>
      <c r="M275" s="10"/>
      <c r="N275" s="10"/>
      <c r="O275" s="10"/>
      <c r="P275" s="10"/>
      <c r="Q275" s="11"/>
      <c r="R275" s="9"/>
      <c r="S275" s="12"/>
      <c r="T275" s="5"/>
      <c r="U275" s="5"/>
      <c r="V275" s="4"/>
      <c r="W275" s="4"/>
      <c r="X275" s="4"/>
      <c r="Y275" s="4"/>
    </row>
    <row r="276">
      <c r="A276" s="5"/>
      <c r="B276" s="9"/>
      <c r="C276" s="5"/>
      <c r="D276" s="9"/>
      <c r="E276" s="9"/>
      <c r="F276" s="9"/>
      <c r="G276" s="9"/>
      <c r="H276" s="9"/>
      <c r="I276" s="9"/>
      <c r="J276" s="5"/>
      <c r="K276" s="4"/>
      <c r="L276" s="10"/>
      <c r="M276" s="10"/>
      <c r="N276" s="10"/>
      <c r="O276" s="10"/>
      <c r="P276" s="10"/>
      <c r="Q276" s="11"/>
      <c r="R276" s="9"/>
      <c r="S276" s="12"/>
      <c r="T276" s="5"/>
      <c r="U276" s="5"/>
      <c r="V276" s="4"/>
      <c r="W276" s="4"/>
      <c r="X276" s="4"/>
      <c r="Y276" s="4"/>
    </row>
    <row r="277">
      <c r="A277" s="5"/>
      <c r="B277" s="9"/>
      <c r="C277" s="5"/>
      <c r="D277" s="9"/>
      <c r="E277" s="9"/>
      <c r="F277" s="9"/>
      <c r="G277" s="9"/>
      <c r="H277" s="9"/>
      <c r="I277" s="9"/>
      <c r="J277" s="5"/>
      <c r="K277" s="4"/>
      <c r="L277" s="10"/>
      <c r="M277" s="10"/>
      <c r="N277" s="10"/>
      <c r="O277" s="10"/>
      <c r="P277" s="10"/>
      <c r="Q277" s="11"/>
      <c r="R277" s="9"/>
      <c r="S277" s="12"/>
      <c r="T277" s="5"/>
      <c r="U277" s="5"/>
      <c r="V277" s="4"/>
      <c r="W277" s="4"/>
      <c r="X277" s="4"/>
      <c r="Y277" s="4"/>
    </row>
    <row r="278">
      <c r="A278" s="5"/>
      <c r="B278" s="9"/>
      <c r="C278" s="5"/>
      <c r="D278" s="9"/>
      <c r="E278" s="9"/>
      <c r="F278" s="9"/>
      <c r="G278" s="9"/>
      <c r="H278" s="9"/>
      <c r="I278" s="9"/>
      <c r="J278" s="5"/>
      <c r="K278" s="4"/>
      <c r="L278" s="10"/>
      <c r="M278" s="10"/>
      <c r="N278" s="10"/>
      <c r="O278" s="10"/>
      <c r="P278" s="10"/>
      <c r="Q278" s="11"/>
      <c r="R278" s="9"/>
      <c r="S278" s="12"/>
      <c r="T278" s="5"/>
      <c r="U278" s="5"/>
      <c r="V278" s="4"/>
      <c r="W278" s="4"/>
      <c r="X278" s="4"/>
      <c r="Y278" s="4"/>
    </row>
    <row r="279">
      <c r="A279" s="5"/>
      <c r="B279" s="9"/>
      <c r="C279" s="5"/>
      <c r="D279" s="9"/>
      <c r="E279" s="9"/>
      <c r="F279" s="9"/>
      <c r="G279" s="9"/>
      <c r="H279" s="9"/>
      <c r="I279" s="9"/>
      <c r="J279" s="5"/>
      <c r="K279" s="4"/>
      <c r="L279" s="10"/>
      <c r="M279" s="10"/>
      <c r="N279" s="10"/>
      <c r="O279" s="10"/>
      <c r="P279" s="10"/>
      <c r="Q279" s="11"/>
      <c r="R279" s="9"/>
      <c r="S279" s="12"/>
      <c r="T279" s="5"/>
      <c r="U279" s="5"/>
      <c r="V279" s="4"/>
      <c r="W279" s="4"/>
      <c r="X279" s="4"/>
      <c r="Y279" s="4"/>
    </row>
    <row r="280">
      <c r="A280" s="5"/>
      <c r="B280" s="9"/>
      <c r="C280" s="5"/>
      <c r="D280" s="9"/>
      <c r="E280" s="9"/>
      <c r="F280" s="9"/>
      <c r="G280" s="9"/>
      <c r="H280" s="9"/>
      <c r="I280" s="9"/>
      <c r="J280" s="5"/>
      <c r="K280" s="4"/>
      <c r="L280" s="10"/>
      <c r="M280" s="10"/>
      <c r="N280" s="10"/>
      <c r="O280" s="10"/>
      <c r="P280" s="10"/>
      <c r="Q280" s="11"/>
      <c r="R280" s="9"/>
      <c r="S280" s="12"/>
      <c r="T280" s="5"/>
      <c r="U280" s="5"/>
      <c r="V280" s="4"/>
      <c r="W280" s="4"/>
      <c r="X280" s="4"/>
      <c r="Y280" s="4"/>
    </row>
    <row r="281">
      <c r="A281" s="5"/>
      <c r="B281" s="9"/>
      <c r="C281" s="5"/>
      <c r="D281" s="9"/>
      <c r="E281" s="9"/>
      <c r="F281" s="9"/>
      <c r="G281" s="9"/>
      <c r="H281" s="9"/>
      <c r="I281" s="9"/>
      <c r="J281" s="5"/>
      <c r="K281" s="4"/>
      <c r="L281" s="10"/>
      <c r="M281" s="10"/>
      <c r="N281" s="10"/>
      <c r="O281" s="10"/>
      <c r="P281" s="10"/>
      <c r="Q281" s="11"/>
      <c r="R281" s="9"/>
      <c r="S281" s="12"/>
      <c r="T281" s="5"/>
      <c r="U281" s="5"/>
      <c r="V281" s="4"/>
      <c r="W281" s="4"/>
      <c r="X281" s="4"/>
      <c r="Y281" s="4"/>
    </row>
    <row r="282">
      <c r="A282" s="5"/>
      <c r="B282" s="9"/>
      <c r="C282" s="5"/>
      <c r="D282" s="9"/>
      <c r="E282" s="9"/>
      <c r="F282" s="9"/>
      <c r="G282" s="9"/>
      <c r="H282" s="9"/>
      <c r="I282" s="9"/>
      <c r="J282" s="5"/>
      <c r="K282" s="4"/>
      <c r="L282" s="10"/>
      <c r="M282" s="10"/>
      <c r="N282" s="10"/>
      <c r="O282" s="10"/>
      <c r="P282" s="10"/>
      <c r="Q282" s="11"/>
      <c r="R282" s="9"/>
      <c r="S282" s="12"/>
      <c r="T282" s="5"/>
      <c r="U282" s="5"/>
      <c r="V282" s="4"/>
      <c r="W282" s="4"/>
      <c r="X282" s="4"/>
      <c r="Y282" s="4"/>
    </row>
    <row r="283">
      <c r="A283" s="5"/>
      <c r="B283" s="9"/>
      <c r="C283" s="5"/>
      <c r="D283" s="9"/>
      <c r="E283" s="9"/>
      <c r="F283" s="9"/>
      <c r="G283" s="9"/>
      <c r="H283" s="9"/>
      <c r="I283" s="9"/>
      <c r="J283" s="5"/>
      <c r="K283" s="4"/>
      <c r="L283" s="10"/>
      <c r="M283" s="10"/>
      <c r="N283" s="10"/>
      <c r="O283" s="10"/>
      <c r="P283" s="10"/>
      <c r="Q283" s="11"/>
      <c r="R283" s="9"/>
      <c r="S283" s="12"/>
      <c r="T283" s="5"/>
      <c r="U283" s="5"/>
      <c r="V283" s="4"/>
      <c r="W283" s="4"/>
      <c r="X283" s="4"/>
      <c r="Y283" s="4"/>
    </row>
    <row r="284">
      <c r="A284" s="5"/>
      <c r="B284" s="9"/>
      <c r="C284" s="5"/>
      <c r="D284" s="9"/>
      <c r="E284" s="9"/>
      <c r="F284" s="9"/>
      <c r="G284" s="9"/>
      <c r="H284" s="9"/>
      <c r="I284" s="9"/>
      <c r="J284" s="5"/>
      <c r="K284" s="4"/>
      <c r="L284" s="10"/>
      <c r="M284" s="10"/>
      <c r="N284" s="10"/>
      <c r="O284" s="10"/>
      <c r="P284" s="10"/>
      <c r="Q284" s="11"/>
      <c r="R284" s="9"/>
      <c r="S284" s="12"/>
      <c r="T284" s="5"/>
      <c r="U284" s="5"/>
      <c r="V284" s="4"/>
      <c r="W284" s="4"/>
      <c r="X284" s="4"/>
      <c r="Y284" s="4"/>
    </row>
    <row r="285">
      <c r="A285" s="5"/>
      <c r="B285" s="9"/>
      <c r="C285" s="5"/>
      <c r="D285" s="9"/>
      <c r="E285" s="9"/>
      <c r="F285" s="9"/>
      <c r="G285" s="9"/>
      <c r="H285" s="9"/>
      <c r="I285" s="9"/>
      <c r="J285" s="5"/>
      <c r="K285" s="4"/>
      <c r="L285" s="10"/>
      <c r="M285" s="10"/>
      <c r="N285" s="10"/>
      <c r="O285" s="10"/>
      <c r="P285" s="10"/>
      <c r="Q285" s="11"/>
      <c r="R285" s="9"/>
      <c r="S285" s="12"/>
      <c r="T285" s="5"/>
      <c r="U285" s="5"/>
      <c r="V285" s="4"/>
      <c r="W285" s="4"/>
      <c r="X285" s="4"/>
      <c r="Y285" s="4"/>
    </row>
    <row r="286">
      <c r="A286" s="5"/>
      <c r="B286" s="9"/>
      <c r="C286" s="5"/>
      <c r="D286" s="9"/>
      <c r="E286" s="9"/>
      <c r="F286" s="9"/>
      <c r="G286" s="9"/>
      <c r="H286" s="9"/>
      <c r="I286" s="9"/>
      <c r="J286" s="5"/>
      <c r="K286" s="4"/>
      <c r="L286" s="10"/>
      <c r="M286" s="10"/>
      <c r="N286" s="10"/>
      <c r="O286" s="10"/>
      <c r="P286" s="10"/>
      <c r="Q286" s="11"/>
      <c r="R286" s="9"/>
      <c r="S286" s="12"/>
      <c r="T286" s="5"/>
      <c r="U286" s="5"/>
      <c r="V286" s="4"/>
      <c r="W286" s="4"/>
      <c r="X286" s="4"/>
      <c r="Y286" s="4"/>
    </row>
    <row r="287">
      <c r="A287" s="5"/>
      <c r="B287" s="9"/>
      <c r="C287" s="5"/>
      <c r="D287" s="9"/>
      <c r="E287" s="9"/>
      <c r="F287" s="9"/>
      <c r="G287" s="9"/>
      <c r="H287" s="9"/>
      <c r="I287" s="9"/>
      <c r="J287" s="5"/>
      <c r="K287" s="4"/>
      <c r="L287" s="10"/>
      <c r="M287" s="10"/>
      <c r="N287" s="10"/>
      <c r="O287" s="10"/>
      <c r="P287" s="10"/>
      <c r="Q287" s="11"/>
      <c r="R287" s="9"/>
      <c r="S287" s="12"/>
      <c r="T287" s="5"/>
      <c r="U287" s="5"/>
      <c r="V287" s="4"/>
      <c r="W287" s="4"/>
      <c r="X287" s="4"/>
      <c r="Y287" s="4"/>
    </row>
    <row r="288">
      <c r="A288" s="5"/>
      <c r="B288" s="9"/>
      <c r="C288" s="5"/>
      <c r="D288" s="9"/>
      <c r="E288" s="9"/>
      <c r="F288" s="9"/>
      <c r="G288" s="9"/>
      <c r="H288" s="9"/>
      <c r="I288" s="9"/>
      <c r="J288" s="5"/>
      <c r="K288" s="4"/>
      <c r="L288" s="10"/>
      <c r="M288" s="10"/>
      <c r="N288" s="10"/>
      <c r="O288" s="10"/>
      <c r="P288" s="10"/>
      <c r="Q288" s="11"/>
      <c r="R288" s="9"/>
      <c r="S288" s="12"/>
      <c r="T288" s="5"/>
      <c r="U288" s="5"/>
      <c r="V288" s="4"/>
      <c r="W288" s="4"/>
      <c r="X288" s="4"/>
      <c r="Y288" s="4"/>
    </row>
    <row r="289">
      <c r="A289" s="5"/>
      <c r="B289" s="9"/>
      <c r="C289" s="5"/>
      <c r="D289" s="9"/>
      <c r="E289" s="9"/>
      <c r="F289" s="9"/>
      <c r="G289" s="9"/>
      <c r="H289" s="9"/>
      <c r="I289" s="9"/>
      <c r="J289" s="5"/>
      <c r="K289" s="4"/>
      <c r="L289" s="10"/>
      <c r="M289" s="10"/>
      <c r="N289" s="10"/>
      <c r="O289" s="10"/>
      <c r="P289" s="10"/>
      <c r="Q289" s="11"/>
      <c r="R289" s="9"/>
      <c r="S289" s="12"/>
      <c r="T289" s="5"/>
      <c r="U289" s="5"/>
      <c r="V289" s="4"/>
      <c r="W289" s="4"/>
      <c r="X289" s="4"/>
      <c r="Y289" s="4"/>
    </row>
    <row r="290">
      <c r="A290" s="5"/>
      <c r="B290" s="9"/>
      <c r="C290" s="5"/>
      <c r="D290" s="9"/>
      <c r="E290" s="9"/>
      <c r="F290" s="9"/>
      <c r="G290" s="9"/>
      <c r="H290" s="9"/>
      <c r="I290" s="9"/>
      <c r="J290" s="5"/>
      <c r="K290" s="4"/>
      <c r="L290" s="10"/>
      <c r="M290" s="10"/>
      <c r="N290" s="10"/>
      <c r="O290" s="10"/>
      <c r="P290" s="10"/>
      <c r="Q290" s="11"/>
      <c r="R290" s="9"/>
      <c r="S290" s="12"/>
      <c r="T290" s="5"/>
      <c r="U290" s="5"/>
      <c r="V290" s="4"/>
      <c r="W290" s="4"/>
      <c r="X290" s="4"/>
      <c r="Y290" s="4"/>
    </row>
    <row r="291">
      <c r="A291" s="5"/>
      <c r="B291" s="9"/>
      <c r="C291" s="5"/>
      <c r="D291" s="9"/>
      <c r="E291" s="9"/>
      <c r="F291" s="9"/>
      <c r="G291" s="9"/>
      <c r="H291" s="9"/>
      <c r="I291" s="9"/>
      <c r="J291" s="5"/>
      <c r="K291" s="4"/>
      <c r="L291" s="10"/>
      <c r="M291" s="10"/>
      <c r="N291" s="10"/>
      <c r="O291" s="10"/>
      <c r="P291" s="10"/>
      <c r="Q291" s="11"/>
      <c r="R291" s="9"/>
      <c r="S291" s="12"/>
      <c r="T291" s="5"/>
      <c r="U291" s="5"/>
      <c r="V291" s="4"/>
      <c r="W291" s="4"/>
      <c r="X291" s="4"/>
      <c r="Y291" s="4"/>
    </row>
    <row r="292">
      <c r="A292" s="5"/>
      <c r="B292" s="9"/>
      <c r="C292" s="5"/>
      <c r="D292" s="9"/>
      <c r="E292" s="9"/>
      <c r="F292" s="9"/>
      <c r="G292" s="9"/>
      <c r="H292" s="9"/>
      <c r="I292" s="9"/>
      <c r="J292" s="5"/>
      <c r="K292" s="4"/>
      <c r="L292" s="10"/>
      <c r="M292" s="10"/>
      <c r="N292" s="10"/>
      <c r="O292" s="10"/>
      <c r="P292" s="10"/>
      <c r="Q292" s="11"/>
      <c r="R292" s="9"/>
      <c r="S292" s="12"/>
      <c r="T292" s="5"/>
      <c r="U292" s="5"/>
      <c r="V292" s="4"/>
      <c r="W292" s="4"/>
      <c r="X292" s="4"/>
      <c r="Y292" s="4"/>
    </row>
    <row r="293">
      <c r="A293" s="5"/>
      <c r="B293" s="9"/>
      <c r="C293" s="5"/>
      <c r="D293" s="9"/>
      <c r="E293" s="9"/>
      <c r="F293" s="9"/>
      <c r="G293" s="9"/>
      <c r="H293" s="9"/>
      <c r="I293" s="9"/>
      <c r="J293" s="5"/>
      <c r="K293" s="4"/>
      <c r="L293" s="10"/>
      <c r="M293" s="10"/>
      <c r="N293" s="10"/>
      <c r="O293" s="10"/>
      <c r="P293" s="10"/>
      <c r="Q293" s="11"/>
      <c r="R293" s="9"/>
      <c r="S293" s="12"/>
      <c r="T293" s="5"/>
      <c r="U293" s="5"/>
      <c r="V293" s="4"/>
      <c r="W293" s="4"/>
      <c r="X293" s="4"/>
      <c r="Y293" s="4"/>
    </row>
    <row r="294">
      <c r="A294" s="5"/>
      <c r="B294" s="9"/>
      <c r="C294" s="5"/>
      <c r="D294" s="9"/>
      <c r="E294" s="9"/>
      <c r="F294" s="9"/>
      <c r="G294" s="9"/>
      <c r="H294" s="9"/>
      <c r="I294" s="9"/>
      <c r="J294" s="5"/>
      <c r="K294" s="4"/>
      <c r="L294" s="10"/>
      <c r="M294" s="10"/>
      <c r="N294" s="10"/>
      <c r="O294" s="10"/>
      <c r="P294" s="10"/>
      <c r="Q294" s="11"/>
      <c r="R294" s="9"/>
      <c r="S294" s="12"/>
      <c r="T294" s="5"/>
      <c r="U294" s="5"/>
      <c r="V294" s="4"/>
      <c r="W294" s="4"/>
      <c r="X294" s="4"/>
      <c r="Y294" s="4"/>
    </row>
    <row r="295">
      <c r="A295" s="5"/>
      <c r="B295" s="9"/>
      <c r="C295" s="5"/>
      <c r="D295" s="9"/>
      <c r="E295" s="9"/>
      <c r="F295" s="9"/>
      <c r="G295" s="9"/>
      <c r="H295" s="9"/>
      <c r="I295" s="9"/>
      <c r="J295" s="5"/>
      <c r="K295" s="4"/>
      <c r="L295" s="10"/>
      <c r="M295" s="10"/>
      <c r="N295" s="10"/>
      <c r="O295" s="10"/>
      <c r="P295" s="10"/>
      <c r="Q295" s="11"/>
      <c r="R295" s="9"/>
      <c r="S295" s="12"/>
      <c r="T295" s="5"/>
      <c r="U295" s="5"/>
      <c r="V295" s="4"/>
      <c r="W295" s="4"/>
      <c r="X295" s="4"/>
      <c r="Y295" s="4"/>
    </row>
    <row r="296">
      <c r="A296" s="5"/>
      <c r="B296" s="9"/>
      <c r="C296" s="5"/>
      <c r="D296" s="9"/>
      <c r="E296" s="9"/>
      <c r="F296" s="9"/>
      <c r="G296" s="9"/>
      <c r="H296" s="9"/>
      <c r="I296" s="9"/>
      <c r="J296" s="5"/>
      <c r="K296" s="4"/>
      <c r="L296" s="10"/>
      <c r="M296" s="10"/>
      <c r="N296" s="10"/>
      <c r="O296" s="10"/>
      <c r="P296" s="10"/>
      <c r="Q296" s="11"/>
      <c r="R296" s="9"/>
      <c r="S296" s="12"/>
      <c r="T296" s="5"/>
      <c r="U296" s="5"/>
      <c r="V296" s="4"/>
      <c r="W296" s="4"/>
      <c r="X296" s="4"/>
      <c r="Y296" s="4"/>
    </row>
    <row r="297">
      <c r="A297" s="5"/>
      <c r="B297" s="9"/>
      <c r="C297" s="5"/>
      <c r="D297" s="9"/>
      <c r="E297" s="9"/>
      <c r="F297" s="9"/>
      <c r="G297" s="9"/>
      <c r="H297" s="9"/>
      <c r="I297" s="9"/>
      <c r="J297" s="5"/>
      <c r="K297" s="4"/>
      <c r="L297" s="10"/>
      <c r="M297" s="10"/>
      <c r="N297" s="10"/>
      <c r="O297" s="10"/>
      <c r="P297" s="10"/>
      <c r="Q297" s="11"/>
      <c r="R297" s="9"/>
      <c r="S297" s="12"/>
      <c r="T297" s="5"/>
      <c r="U297" s="5"/>
      <c r="V297" s="4"/>
      <c r="W297" s="4"/>
      <c r="X297" s="4"/>
      <c r="Y297" s="4"/>
    </row>
    <row r="298">
      <c r="A298" s="5"/>
      <c r="B298" s="9"/>
      <c r="C298" s="5"/>
      <c r="D298" s="9"/>
      <c r="E298" s="9"/>
      <c r="F298" s="9"/>
      <c r="G298" s="9"/>
      <c r="H298" s="9"/>
      <c r="I298" s="9"/>
      <c r="J298" s="5"/>
      <c r="K298" s="4"/>
      <c r="L298" s="10"/>
      <c r="M298" s="10"/>
      <c r="N298" s="10"/>
      <c r="O298" s="10"/>
      <c r="P298" s="10"/>
      <c r="Q298" s="11"/>
      <c r="R298" s="9"/>
      <c r="S298" s="12"/>
      <c r="T298" s="5"/>
      <c r="U298" s="5"/>
      <c r="V298" s="4"/>
      <c r="W298" s="4"/>
      <c r="X298" s="4"/>
      <c r="Y298" s="4"/>
    </row>
    <row r="299">
      <c r="A299" s="5"/>
      <c r="B299" s="9"/>
      <c r="C299" s="5"/>
      <c r="D299" s="9"/>
      <c r="E299" s="9"/>
      <c r="F299" s="9"/>
      <c r="G299" s="9"/>
      <c r="H299" s="9"/>
      <c r="I299" s="9"/>
      <c r="J299" s="5"/>
      <c r="K299" s="4"/>
      <c r="L299" s="10"/>
      <c r="M299" s="10"/>
      <c r="N299" s="10"/>
      <c r="O299" s="10"/>
      <c r="P299" s="10"/>
      <c r="Q299" s="11"/>
      <c r="R299" s="9"/>
      <c r="S299" s="12"/>
      <c r="T299" s="5"/>
      <c r="U299" s="5"/>
      <c r="V299" s="4"/>
      <c r="W299" s="4"/>
      <c r="X299" s="4"/>
      <c r="Y299" s="4"/>
    </row>
    <row r="300">
      <c r="A300" s="5"/>
      <c r="B300" s="9"/>
      <c r="C300" s="5"/>
      <c r="D300" s="9"/>
      <c r="E300" s="9"/>
      <c r="F300" s="9"/>
      <c r="G300" s="9"/>
      <c r="H300" s="9"/>
      <c r="I300" s="9"/>
      <c r="J300" s="5"/>
      <c r="K300" s="4"/>
      <c r="L300" s="10"/>
      <c r="M300" s="10"/>
      <c r="N300" s="10"/>
      <c r="O300" s="10"/>
      <c r="P300" s="10"/>
      <c r="Q300" s="11"/>
      <c r="R300" s="9"/>
      <c r="S300" s="12"/>
      <c r="T300" s="5"/>
      <c r="U300" s="5"/>
      <c r="V300" s="4"/>
      <c r="W300" s="4"/>
      <c r="X300" s="4"/>
      <c r="Y300" s="4"/>
    </row>
    <row r="301">
      <c r="A301" s="5"/>
      <c r="B301" s="9"/>
      <c r="C301" s="5"/>
      <c r="D301" s="9"/>
      <c r="E301" s="9"/>
      <c r="F301" s="9"/>
      <c r="G301" s="9"/>
      <c r="H301" s="9"/>
      <c r="I301" s="9"/>
      <c r="J301" s="5"/>
      <c r="K301" s="4"/>
      <c r="L301" s="10"/>
      <c r="M301" s="10"/>
      <c r="N301" s="10"/>
      <c r="O301" s="10"/>
      <c r="P301" s="10"/>
      <c r="Q301" s="11"/>
      <c r="R301" s="9"/>
      <c r="S301" s="12"/>
      <c r="T301" s="5"/>
      <c r="U301" s="5"/>
      <c r="V301" s="4"/>
      <c r="W301" s="4"/>
      <c r="X301" s="4"/>
      <c r="Y301" s="4"/>
    </row>
    <row r="302">
      <c r="A302" s="5"/>
      <c r="B302" s="9"/>
      <c r="C302" s="5"/>
      <c r="D302" s="9"/>
      <c r="E302" s="9"/>
      <c r="F302" s="9"/>
      <c r="G302" s="9"/>
      <c r="H302" s="9"/>
      <c r="I302" s="9"/>
      <c r="J302" s="5"/>
      <c r="K302" s="4"/>
      <c r="L302" s="10"/>
      <c r="M302" s="10"/>
      <c r="N302" s="10"/>
      <c r="O302" s="10"/>
      <c r="P302" s="10"/>
      <c r="Q302" s="11"/>
      <c r="R302" s="9"/>
      <c r="S302" s="12"/>
      <c r="T302" s="5"/>
      <c r="U302" s="5"/>
      <c r="V302" s="4"/>
      <c r="W302" s="4"/>
      <c r="X302" s="4"/>
      <c r="Y302" s="4"/>
    </row>
    <row r="303">
      <c r="A303" s="5"/>
      <c r="B303" s="9"/>
      <c r="C303" s="5"/>
      <c r="D303" s="9"/>
      <c r="E303" s="9"/>
      <c r="F303" s="9"/>
      <c r="G303" s="9"/>
      <c r="H303" s="9"/>
      <c r="I303" s="9"/>
      <c r="J303" s="5"/>
      <c r="K303" s="4"/>
      <c r="L303" s="10"/>
      <c r="M303" s="10"/>
      <c r="N303" s="10"/>
      <c r="O303" s="10"/>
      <c r="P303" s="10"/>
      <c r="Q303" s="11"/>
      <c r="R303" s="9"/>
      <c r="S303" s="12"/>
      <c r="T303" s="5"/>
      <c r="U303" s="5"/>
      <c r="V303" s="4"/>
      <c r="W303" s="4"/>
      <c r="X303" s="4"/>
      <c r="Y303" s="4"/>
    </row>
    <row r="304">
      <c r="A304" s="5"/>
      <c r="B304" s="9"/>
      <c r="C304" s="5"/>
      <c r="D304" s="9"/>
      <c r="E304" s="9"/>
      <c r="F304" s="9"/>
      <c r="G304" s="9"/>
      <c r="H304" s="9"/>
      <c r="I304" s="9"/>
      <c r="J304" s="5"/>
      <c r="K304" s="4"/>
      <c r="L304" s="10"/>
      <c r="M304" s="10"/>
      <c r="N304" s="10"/>
      <c r="O304" s="10"/>
      <c r="P304" s="10"/>
      <c r="Q304" s="11"/>
      <c r="R304" s="9"/>
      <c r="S304" s="12"/>
      <c r="T304" s="5"/>
      <c r="U304" s="5"/>
      <c r="V304" s="4"/>
      <c r="W304" s="4"/>
      <c r="X304" s="4"/>
      <c r="Y304" s="4"/>
    </row>
    <row r="305">
      <c r="A305" s="5"/>
      <c r="B305" s="9"/>
      <c r="C305" s="5"/>
      <c r="D305" s="9"/>
      <c r="E305" s="9"/>
      <c r="F305" s="9"/>
      <c r="G305" s="9"/>
      <c r="H305" s="9"/>
      <c r="I305" s="9"/>
      <c r="J305" s="5"/>
      <c r="K305" s="4"/>
      <c r="L305" s="10"/>
      <c r="M305" s="10"/>
      <c r="N305" s="10"/>
      <c r="O305" s="10"/>
      <c r="P305" s="10"/>
      <c r="Q305" s="11"/>
      <c r="R305" s="9"/>
      <c r="S305" s="12"/>
      <c r="T305" s="5"/>
      <c r="U305" s="5"/>
      <c r="V305" s="4"/>
      <c r="W305" s="4"/>
      <c r="X305" s="4"/>
      <c r="Y305" s="4"/>
    </row>
    <row r="306">
      <c r="A306" s="5"/>
      <c r="B306" s="9"/>
      <c r="C306" s="5"/>
      <c r="D306" s="9"/>
      <c r="E306" s="9"/>
      <c r="F306" s="9"/>
      <c r="G306" s="9"/>
      <c r="H306" s="9"/>
      <c r="I306" s="9"/>
      <c r="J306" s="5"/>
      <c r="K306" s="4"/>
      <c r="L306" s="10"/>
      <c r="M306" s="10"/>
      <c r="N306" s="10"/>
      <c r="O306" s="10"/>
      <c r="P306" s="10"/>
      <c r="Q306" s="11"/>
      <c r="R306" s="9"/>
      <c r="S306" s="12"/>
      <c r="T306" s="5"/>
      <c r="U306" s="5"/>
      <c r="V306" s="4"/>
      <c r="W306" s="4"/>
      <c r="X306" s="4"/>
      <c r="Y306" s="4"/>
    </row>
    <row r="307">
      <c r="A307" s="5"/>
      <c r="B307" s="9"/>
      <c r="C307" s="5"/>
      <c r="D307" s="9"/>
      <c r="E307" s="9"/>
      <c r="F307" s="9"/>
      <c r="G307" s="9"/>
      <c r="H307" s="9"/>
      <c r="I307" s="9"/>
      <c r="J307" s="5"/>
      <c r="K307" s="4"/>
      <c r="L307" s="10"/>
      <c r="M307" s="10"/>
      <c r="N307" s="10"/>
      <c r="O307" s="10"/>
      <c r="P307" s="10"/>
      <c r="Q307" s="11"/>
      <c r="R307" s="9"/>
      <c r="S307" s="12"/>
      <c r="T307" s="5"/>
      <c r="U307" s="5"/>
      <c r="V307" s="4"/>
      <c r="W307" s="4"/>
      <c r="X307" s="4"/>
      <c r="Y307" s="4"/>
    </row>
    <row r="308">
      <c r="A308" s="5"/>
      <c r="B308" s="9"/>
      <c r="C308" s="5"/>
      <c r="D308" s="9"/>
      <c r="E308" s="9"/>
      <c r="F308" s="9"/>
      <c r="G308" s="9"/>
      <c r="H308" s="9"/>
      <c r="I308" s="9"/>
      <c r="J308" s="5"/>
      <c r="K308" s="4"/>
      <c r="L308" s="10"/>
      <c r="M308" s="10"/>
      <c r="N308" s="10"/>
      <c r="O308" s="10"/>
      <c r="P308" s="10"/>
      <c r="Q308" s="11"/>
      <c r="R308" s="9"/>
      <c r="S308" s="12"/>
      <c r="T308" s="5"/>
      <c r="U308" s="5"/>
      <c r="V308" s="4"/>
      <c r="W308" s="4"/>
      <c r="X308" s="4"/>
      <c r="Y308" s="4"/>
    </row>
    <row r="309">
      <c r="A309" s="5"/>
      <c r="B309" s="9"/>
      <c r="C309" s="5"/>
      <c r="D309" s="9"/>
      <c r="E309" s="9"/>
      <c r="F309" s="9"/>
      <c r="G309" s="9"/>
      <c r="H309" s="9"/>
      <c r="I309" s="9"/>
      <c r="J309" s="5"/>
      <c r="K309" s="4"/>
      <c r="L309" s="10"/>
      <c r="M309" s="10"/>
      <c r="N309" s="10"/>
      <c r="O309" s="10"/>
      <c r="P309" s="10"/>
      <c r="Q309" s="11"/>
      <c r="R309" s="9"/>
      <c r="S309" s="12"/>
      <c r="T309" s="5"/>
      <c r="U309" s="5"/>
      <c r="V309" s="4"/>
      <c r="W309" s="4"/>
      <c r="X309" s="4"/>
      <c r="Y309" s="4"/>
    </row>
    <row r="310">
      <c r="A310" s="5"/>
      <c r="B310" s="9"/>
      <c r="C310" s="5"/>
      <c r="D310" s="9"/>
      <c r="E310" s="9"/>
      <c r="F310" s="9"/>
      <c r="G310" s="9"/>
      <c r="H310" s="9"/>
      <c r="I310" s="9"/>
      <c r="J310" s="5"/>
      <c r="K310" s="4"/>
      <c r="L310" s="10"/>
      <c r="M310" s="10"/>
      <c r="N310" s="10"/>
      <c r="O310" s="10"/>
      <c r="P310" s="10"/>
      <c r="Q310" s="11"/>
      <c r="R310" s="9"/>
      <c r="S310" s="12"/>
      <c r="T310" s="5"/>
      <c r="U310" s="5"/>
      <c r="V310" s="4"/>
      <c r="W310" s="4"/>
      <c r="X310" s="4"/>
      <c r="Y310" s="4"/>
    </row>
    <row r="311">
      <c r="A311" s="5"/>
      <c r="B311" s="9"/>
      <c r="C311" s="5"/>
      <c r="D311" s="9"/>
      <c r="E311" s="9"/>
      <c r="F311" s="9"/>
      <c r="G311" s="9"/>
      <c r="H311" s="9"/>
      <c r="I311" s="9"/>
      <c r="J311" s="5"/>
      <c r="K311" s="4"/>
      <c r="L311" s="10"/>
      <c r="M311" s="10"/>
      <c r="N311" s="10"/>
      <c r="O311" s="10"/>
      <c r="P311" s="10"/>
      <c r="Q311" s="11"/>
      <c r="R311" s="9"/>
      <c r="S311" s="12"/>
      <c r="T311" s="5"/>
      <c r="U311" s="5"/>
      <c r="V311" s="4"/>
      <c r="W311" s="4"/>
      <c r="X311" s="4"/>
      <c r="Y311" s="4"/>
    </row>
    <row r="312">
      <c r="A312" s="5"/>
      <c r="B312" s="9"/>
      <c r="C312" s="5"/>
      <c r="D312" s="9"/>
      <c r="E312" s="9"/>
      <c r="F312" s="9"/>
      <c r="G312" s="9"/>
      <c r="H312" s="9"/>
      <c r="I312" s="9"/>
      <c r="J312" s="5"/>
      <c r="K312" s="4"/>
      <c r="L312" s="10"/>
      <c r="M312" s="10"/>
      <c r="N312" s="10"/>
      <c r="O312" s="10"/>
      <c r="P312" s="10"/>
      <c r="Q312" s="11"/>
      <c r="R312" s="9"/>
      <c r="S312" s="12"/>
      <c r="T312" s="5"/>
      <c r="U312" s="5"/>
      <c r="V312" s="4"/>
      <c r="W312" s="4"/>
      <c r="X312" s="4"/>
      <c r="Y312" s="4"/>
    </row>
    <row r="313">
      <c r="A313" s="5"/>
      <c r="B313" s="9"/>
      <c r="C313" s="5"/>
      <c r="D313" s="9"/>
      <c r="E313" s="9"/>
      <c r="F313" s="9"/>
      <c r="G313" s="9"/>
      <c r="H313" s="9"/>
      <c r="I313" s="9"/>
      <c r="J313" s="5"/>
      <c r="K313" s="4"/>
      <c r="L313" s="10"/>
      <c r="M313" s="10"/>
      <c r="N313" s="10"/>
      <c r="O313" s="10"/>
      <c r="P313" s="10"/>
      <c r="Q313" s="11"/>
      <c r="R313" s="9"/>
      <c r="S313" s="12"/>
      <c r="T313" s="5"/>
      <c r="U313" s="5"/>
      <c r="V313" s="4"/>
      <c r="W313" s="4"/>
      <c r="X313" s="4"/>
      <c r="Y313" s="4"/>
    </row>
    <row r="314">
      <c r="A314" s="5"/>
      <c r="B314" s="9"/>
      <c r="C314" s="5"/>
      <c r="D314" s="9"/>
      <c r="E314" s="9"/>
      <c r="F314" s="9"/>
      <c r="G314" s="9"/>
      <c r="H314" s="9"/>
      <c r="I314" s="9"/>
      <c r="J314" s="5"/>
      <c r="K314" s="4"/>
      <c r="L314" s="10"/>
      <c r="M314" s="10"/>
      <c r="N314" s="10"/>
      <c r="O314" s="10"/>
      <c r="P314" s="10"/>
      <c r="Q314" s="11"/>
      <c r="R314" s="9"/>
      <c r="S314" s="12"/>
      <c r="T314" s="5"/>
      <c r="U314" s="5"/>
      <c r="V314" s="4"/>
      <c r="W314" s="4"/>
      <c r="X314" s="4"/>
      <c r="Y314" s="4"/>
    </row>
    <row r="315">
      <c r="A315" s="5"/>
      <c r="B315" s="9"/>
      <c r="C315" s="5"/>
      <c r="D315" s="9"/>
      <c r="E315" s="9"/>
      <c r="F315" s="9"/>
      <c r="G315" s="9"/>
      <c r="H315" s="9"/>
      <c r="I315" s="9"/>
      <c r="J315" s="5"/>
      <c r="K315" s="4"/>
      <c r="L315" s="10"/>
      <c r="M315" s="10"/>
      <c r="N315" s="10"/>
      <c r="O315" s="10"/>
      <c r="P315" s="10"/>
      <c r="Q315" s="11"/>
      <c r="R315" s="9"/>
      <c r="S315" s="12"/>
      <c r="T315" s="5"/>
      <c r="U315" s="5"/>
      <c r="V315" s="4"/>
      <c r="W315" s="4"/>
      <c r="X315" s="4"/>
      <c r="Y315" s="4"/>
    </row>
    <row r="316">
      <c r="A316" s="5"/>
      <c r="B316" s="9"/>
      <c r="C316" s="5"/>
      <c r="D316" s="9"/>
      <c r="E316" s="9"/>
      <c r="F316" s="9"/>
      <c r="G316" s="9"/>
      <c r="H316" s="9"/>
      <c r="I316" s="9"/>
      <c r="J316" s="5"/>
      <c r="K316" s="4"/>
      <c r="L316" s="10"/>
      <c r="M316" s="10"/>
      <c r="N316" s="10"/>
      <c r="O316" s="10"/>
      <c r="P316" s="10"/>
      <c r="Q316" s="11"/>
      <c r="R316" s="9"/>
      <c r="S316" s="12"/>
      <c r="T316" s="5"/>
      <c r="U316" s="5"/>
      <c r="V316" s="4"/>
      <c r="W316" s="4"/>
      <c r="X316" s="4"/>
      <c r="Y316" s="4"/>
    </row>
    <row r="317">
      <c r="A317" s="5"/>
      <c r="B317" s="9"/>
      <c r="C317" s="5"/>
      <c r="D317" s="9"/>
      <c r="E317" s="9"/>
      <c r="F317" s="9"/>
      <c r="G317" s="9"/>
      <c r="H317" s="9"/>
      <c r="I317" s="9"/>
      <c r="J317" s="5"/>
      <c r="K317" s="4"/>
      <c r="L317" s="10"/>
      <c r="M317" s="10"/>
      <c r="N317" s="10"/>
      <c r="O317" s="10"/>
      <c r="P317" s="10"/>
      <c r="Q317" s="11"/>
      <c r="R317" s="9"/>
      <c r="S317" s="12"/>
      <c r="T317" s="5"/>
      <c r="U317" s="5"/>
      <c r="V317" s="4"/>
      <c r="W317" s="4"/>
      <c r="X317" s="4"/>
      <c r="Y317" s="4"/>
    </row>
    <row r="318">
      <c r="A318" s="5"/>
      <c r="B318" s="9"/>
      <c r="C318" s="5"/>
      <c r="D318" s="9"/>
      <c r="E318" s="9"/>
      <c r="F318" s="9"/>
      <c r="G318" s="9"/>
      <c r="H318" s="9"/>
      <c r="I318" s="9"/>
      <c r="J318" s="5"/>
      <c r="K318" s="4"/>
      <c r="L318" s="10"/>
      <c r="M318" s="10"/>
      <c r="N318" s="10"/>
      <c r="O318" s="10"/>
      <c r="P318" s="10"/>
      <c r="Q318" s="11"/>
      <c r="R318" s="9"/>
      <c r="S318" s="12"/>
      <c r="T318" s="5"/>
      <c r="U318" s="5"/>
      <c r="V318" s="4"/>
      <c r="W318" s="4"/>
      <c r="X318" s="4"/>
      <c r="Y318" s="4"/>
    </row>
    <row r="319">
      <c r="A319" s="5"/>
      <c r="B319" s="9"/>
      <c r="C319" s="5"/>
      <c r="D319" s="9"/>
      <c r="E319" s="9"/>
      <c r="F319" s="9"/>
      <c r="G319" s="9"/>
      <c r="H319" s="9"/>
      <c r="I319" s="9"/>
      <c r="J319" s="5"/>
      <c r="K319" s="4"/>
      <c r="L319" s="10"/>
      <c r="M319" s="10"/>
      <c r="N319" s="10"/>
      <c r="O319" s="10"/>
      <c r="P319" s="10"/>
      <c r="Q319" s="11"/>
      <c r="R319" s="9"/>
      <c r="S319" s="12"/>
      <c r="T319" s="5"/>
      <c r="U319" s="5"/>
      <c r="V319" s="4"/>
      <c r="W319" s="4"/>
      <c r="X319" s="4"/>
      <c r="Y319" s="4"/>
    </row>
    <row r="320">
      <c r="A320" s="5"/>
      <c r="B320" s="9"/>
      <c r="C320" s="5"/>
      <c r="D320" s="9"/>
      <c r="E320" s="9"/>
      <c r="F320" s="9"/>
      <c r="G320" s="9"/>
      <c r="H320" s="9"/>
      <c r="I320" s="9"/>
      <c r="J320" s="5"/>
      <c r="K320" s="4"/>
      <c r="L320" s="10"/>
      <c r="M320" s="10"/>
      <c r="N320" s="10"/>
      <c r="O320" s="10"/>
      <c r="P320" s="10"/>
      <c r="Q320" s="11"/>
      <c r="R320" s="9"/>
      <c r="S320" s="12"/>
      <c r="T320" s="5"/>
      <c r="U320" s="5"/>
      <c r="V320" s="4"/>
      <c r="W320" s="4"/>
      <c r="X320" s="4"/>
      <c r="Y320" s="4"/>
    </row>
    <row r="321">
      <c r="A321" s="5"/>
      <c r="B321" s="9"/>
      <c r="C321" s="5"/>
      <c r="D321" s="9"/>
      <c r="E321" s="9"/>
      <c r="F321" s="9"/>
      <c r="G321" s="9"/>
      <c r="H321" s="9"/>
      <c r="I321" s="9"/>
      <c r="J321" s="5"/>
      <c r="K321" s="4"/>
      <c r="L321" s="10"/>
      <c r="M321" s="10"/>
      <c r="N321" s="10"/>
      <c r="O321" s="10"/>
      <c r="P321" s="10"/>
      <c r="Q321" s="11"/>
      <c r="R321" s="9"/>
      <c r="S321" s="12"/>
      <c r="T321" s="5"/>
      <c r="U321" s="5"/>
      <c r="V321" s="4"/>
      <c r="W321" s="4"/>
      <c r="X321" s="4"/>
      <c r="Y321" s="4"/>
    </row>
    <row r="322">
      <c r="A322" s="5"/>
      <c r="B322" s="9"/>
      <c r="C322" s="5"/>
      <c r="D322" s="9"/>
      <c r="E322" s="9"/>
      <c r="F322" s="9"/>
      <c r="G322" s="9"/>
      <c r="H322" s="9"/>
      <c r="I322" s="9"/>
      <c r="J322" s="5"/>
      <c r="K322" s="4"/>
      <c r="L322" s="10"/>
      <c r="M322" s="10"/>
      <c r="N322" s="10"/>
      <c r="O322" s="10"/>
      <c r="P322" s="10"/>
      <c r="Q322" s="11"/>
      <c r="R322" s="9"/>
      <c r="S322" s="12"/>
      <c r="T322" s="5"/>
      <c r="U322" s="5"/>
      <c r="V322" s="4"/>
      <c r="W322" s="4"/>
      <c r="X322" s="4"/>
      <c r="Y322" s="4"/>
    </row>
    <row r="323">
      <c r="A323" s="5"/>
      <c r="B323" s="9"/>
      <c r="C323" s="5"/>
      <c r="D323" s="9"/>
      <c r="E323" s="9"/>
      <c r="F323" s="9"/>
      <c r="G323" s="9"/>
      <c r="H323" s="9"/>
      <c r="I323" s="9"/>
      <c r="J323" s="5"/>
      <c r="K323" s="4"/>
      <c r="L323" s="10"/>
      <c r="M323" s="10"/>
      <c r="N323" s="10"/>
      <c r="O323" s="10"/>
      <c r="P323" s="10"/>
      <c r="Q323" s="11"/>
      <c r="R323" s="9"/>
      <c r="S323" s="12"/>
      <c r="T323" s="5"/>
      <c r="U323" s="5"/>
      <c r="V323" s="4"/>
      <c r="W323" s="4"/>
      <c r="X323" s="4"/>
      <c r="Y323" s="4"/>
    </row>
    <row r="324">
      <c r="A324" s="5"/>
      <c r="B324" s="9"/>
      <c r="C324" s="5"/>
      <c r="D324" s="9"/>
      <c r="E324" s="9"/>
      <c r="F324" s="9"/>
      <c r="G324" s="9"/>
      <c r="H324" s="9"/>
      <c r="I324" s="9"/>
      <c r="J324" s="5"/>
      <c r="K324" s="4"/>
      <c r="L324" s="10"/>
      <c r="M324" s="10"/>
      <c r="N324" s="10"/>
      <c r="O324" s="10"/>
      <c r="P324" s="10"/>
      <c r="Q324" s="11"/>
      <c r="R324" s="9"/>
      <c r="S324" s="12"/>
      <c r="T324" s="5"/>
      <c r="U324" s="5"/>
      <c r="V324" s="4"/>
      <c r="W324" s="4"/>
      <c r="X324" s="4"/>
      <c r="Y324" s="4"/>
    </row>
    <row r="325">
      <c r="A325" s="5"/>
      <c r="B325" s="9"/>
      <c r="C325" s="5"/>
      <c r="D325" s="9"/>
      <c r="E325" s="9"/>
      <c r="F325" s="9"/>
      <c r="G325" s="9"/>
      <c r="H325" s="9"/>
      <c r="I325" s="9"/>
      <c r="J325" s="5"/>
      <c r="K325" s="4"/>
      <c r="L325" s="10"/>
      <c r="M325" s="10"/>
      <c r="N325" s="10"/>
      <c r="O325" s="10"/>
      <c r="P325" s="10"/>
      <c r="Q325" s="11"/>
      <c r="R325" s="9"/>
      <c r="S325" s="12"/>
      <c r="T325" s="5"/>
      <c r="U325" s="5"/>
      <c r="V325" s="4"/>
      <c r="W325" s="4"/>
      <c r="X325" s="4"/>
      <c r="Y325" s="4"/>
    </row>
    <row r="326">
      <c r="A326" s="5"/>
      <c r="B326" s="9"/>
      <c r="C326" s="5"/>
      <c r="D326" s="9"/>
      <c r="E326" s="9"/>
      <c r="F326" s="9"/>
      <c r="G326" s="9"/>
      <c r="H326" s="9"/>
      <c r="I326" s="9"/>
      <c r="J326" s="5"/>
      <c r="K326" s="4"/>
      <c r="L326" s="10"/>
      <c r="M326" s="10"/>
      <c r="N326" s="10"/>
      <c r="O326" s="10"/>
      <c r="P326" s="10"/>
      <c r="Q326" s="11"/>
      <c r="R326" s="9"/>
      <c r="S326" s="12"/>
      <c r="T326" s="5"/>
      <c r="U326" s="5"/>
      <c r="V326" s="4"/>
      <c r="W326" s="4"/>
      <c r="X326" s="4"/>
      <c r="Y326" s="4"/>
    </row>
    <row r="327">
      <c r="A327" s="5"/>
      <c r="B327" s="9"/>
      <c r="C327" s="5"/>
      <c r="D327" s="9"/>
      <c r="E327" s="9"/>
      <c r="F327" s="9"/>
      <c r="G327" s="9"/>
      <c r="H327" s="9"/>
      <c r="I327" s="9"/>
      <c r="J327" s="5"/>
      <c r="K327" s="4"/>
      <c r="L327" s="10"/>
      <c r="M327" s="10"/>
      <c r="N327" s="10"/>
      <c r="O327" s="10"/>
      <c r="P327" s="10"/>
      <c r="Q327" s="11"/>
      <c r="R327" s="9"/>
      <c r="S327" s="12"/>
      <c r="T327" s="5"/>
      <c r="U327" s="5"/>
      <c r="V327" s="4"/>
      <c r="W327" s="4"/>
      <c r="X327" s="4"/>
      <c r="Y327" s="4"/>
    </row>
    <row r="328">
      <c r="A328" s="5"/>
      <c r="B328" s="9"/>
      <c r="C328" s="5"/>
      <c r="D328" s="9"/>
      <c r="E328" s="9"/>
      <c r="F328" s="9"/>
      <c r="G328" s="9"/>
      <c r="H328" s="9"/>
      <c r="I328" s="9"/>
      <c r="J328" s="5"/>
      <c r="K328" s="4"/>
      <c r="L328" s="10"/>
      <c r="M328" s="10"/>
      <c r="N328" s="10"/>
      <c r="O328" s="10"/>
      <c r="P328" s="10"/>
      <c r="Q328" s="11"/>
      <c r="R328" s="9"/>
      <c r="S328" s="12"/>
      <c r="T328" s="5"/>
      <c r="U328" s="5"/>
      <c r="V328" s="4"/>
      <c r="W328" s="4"/>
      <c r="X328" s="4"/>
      <c r="Y328" s="4"/>
    </row>
    <row r="329">
      <c r="A329" s="5"/>
      <c r="B329" s="9"/>
      <c r="C329" s="5"/>
      <c r="D329" s="9"/>
      <c r="E329" s="9"/>
      <c r="F329" s="9"/>
      <c r="G329" s="9"/>
      <c r="H329" s="9"/>
      <c r="I329" s="9"/>
      <c r="J329" s="5"/>
      <c r="K329" s="4"/>
      <c r="L329" s="10"/>
      <c r="M329" s="10"/>
      <c r="N329" s="10"/>
      <c r="O329" s="10"/>
      <c r="P329" s="10"/>
      <c r="Q329" s="11"/>
      <c r="R329" s="9"/>
      <c r="S329" s="12"/>
      <c r="T329" s="5"/>
      <c r="U329" s="5"/>
      <c r="V329" s="4"/>
      <c r="W329" s="4"/>
      <c r="X329" s="4"/>
      <c r="Y329" s="4"/>
    </row>
    <row r="330">
      <c r="A330" s="5"/>
      <c r="B330" s="9"/>
      <c r="C330" s="5"/>
      <c r="D330" s="9"/>
      <c r="E330" s="9"/>
      <c r="F330" s="9"/>
      <c r="G330" s="9"/>
      <c r="H330" s="9"/>
      <c r="I330" s="9"/>
      <c r="J330" s="5"/>
      <c r="K330" s="4"/>
      <c r="L330" s="10"/>
      <c r="M330" s="10"/>
      <c r="N330" s="10"/>
      <c r="O330" s="10"/>
      <c r="P330" s="10"/>
      <c r="Q330" s="11"/>
      <c r="R330" s="9"/>
      <c r="S330" s="12"/>
      <c r="T330" s="5"/>
      <c r="U330" s="5"/>
      <c r="V330" s="4"/>
      <c r="W330" s="4"/>
      <c r="X330" s="4"/>
      <c r="Y330" s="4"/>
    </row>
    <row r="331">
      <c r="A331" s="5"/>
      <c r="B331" s="9"/>
      <c r="C331" s="5"/>
      <c r="D331" s="9"/>
      <c r="E331" s="9"/>
      <c r="F331" s="9"/>
      <c r="G331" s="9"/>
      <c r="H331" s="9"/>
      <c r="I331" s="9"/>
      <c r="J331" s="5"/>
      <c r="K331" s="4"/>
      <c r="L331" s="10"/>
      <c r="M331" s="10"/>
      <c r="N331" s="10"/>
      <c r="O331" s="10"/>
      <c r="P331" s="10"/>
      <c r="Q331" s="11"/>
      <c r="R331" s="9"/>
      <c r="S331" s="12"/>
      <c r="T331" s="5"/>
      <c r="U331" s="5"/>
      <c r="V331" s="4"/>
      <c r="W331" s="4"/>
      <c r="X331" s="4"/>
      <c r="Y331" s="4"/>
    </row>
    <row r="332">
      <c r="A332" s="5"/>
      <c r="B332" s="9"/>
      <c r="C332" s="5"/>
      <c r="D332" s="9"/>
      <c r="E332" s="9"/>
      <c r="F332" s="9"/>
      <c r="G332" s="9"/>
      <c r="H332" s="9"/>
      <c r="I332" s="9"/>
      <c r="J332" s="5"/>
      <c r="K332" s="4"/>
      <c r="L332" s="10"/>
      <c r="M332" s="10"/>
      <c r="N332" s="10"/>
      <c r="O332" s="10"/>
      <c r="P332" s="10"/>
      <c r="Q332" s="11"/>
      <c r="R332" s="9"/>
      <c r="S332" s="12"/>
      <c r="T332" s="5"/>
      <c r="U332" s="5"/>
      <c r="V332" s="4"/>
      <c r="W332" s="4"/>
      <c r="X332" s="4"/>
      <c r="Y332" s="4"/>
    </row>
    <row r="333">
      <c r="A333" s="5"/>
      <c r="B333" s="9"/>
      <c r="C333" s="5"/>
      <c r="D333" s="9"/>
      <c r="E333" s="9"/>
      <c r="F333" s="9"/>
      <c r="G333" s="9"/>
      <c r="H333" s="9"/>
      <c r="I333" s="9"/>
      <c r="J333" s="5"/>
      <c r="K333" s="4"/>
      <c r="L333" s="10"/>
      <c r="M333" s="10"/>
      <c r="N333" s="10"/>
      <c r="O333" s="10"/>
      <c r="P333" s="10"/>
      <c r="Q333" s="11"/>
      <c r="R333" s="9"/>
      <c r="S333" s="12"/>
      <c r="T333" s="5"/>
      <c r="U333" s="5"/>
      <c r="V333" s="4"/>
      <c r="W333" s="4"/>
      <c r="X333" s="4"/>
      <c r="Y333" s="4"/>
    </row>
    <row r="334">
      <c r="A334" s="5"/>
      <c r="B334" s="9"/>
      <c r="C334" s="5"/>
      <c r="D334" s="9"/>
      <c r="E334" s="9"/>
      <c r="F334" s="9"/>
      <c r="G334" s="9"/>
      <c r="H334" s="9"/>
      <c r="I334" s="9"/>
      <c r="J334" s="5"/>
      <c r="K334" s="4"/>
      <c r="L334" s="10"/>
      <c r="M334" s="10"/>
      <c r="N334" s="10"/>
      <c r="O334" s="10"/>
      <c r="P334" s="10"/>
      <c r="Q334" s="11"/>
      <c r="R334" s="9"/>
      <c r="S334" s="12"/>
      <c r="T334" s="5"/>
      <c r="U334" s="5"/>
      <c r="V334" s="4"/>
      <c r="W334" s="4"/>
      <c r="X334" s="4"/>
      <c r="Y334" s="4"/>
    </row>
    <row r="335">
      <c r="A335" s="5"/>
      <c r="B335" s="9"/>
      <c r="C335" s="5"/>
      <c r="D335" s="9"/>
      <c r="E335" s="9"/>
      <c r="F335" s="9"/>
      <c r="G335" s="9"/>
      <c r="H335" s="9"/>
      <c r="I335" s="9"/>
      <c r="J335" s="5"/>
      <c r="K335" s="4"/>
      <c r="L335" s="10"/>
      <c r="M335" s="10"/>
      <c r="N335" s="10"/>
      <c r="O335" s="10"/>
      <c r="P335" s="10"/>
      <c r="Q335" s="11"/>
      <c r="R335" s="9"/>
      <c r="S335" s="12"/>
      <c r="T335" s="5"/>
      <c r="U335" s="5"/>
      <c r="V335" s="4"/>
      <c r="W335" s="4"/>
      <c r="X335" s="4"/>
      <c r="Y335" s="4"/>
    </row>
    <row r="336">
      <c r="A336" s="5"/>
      <c r="B336" s="9"/>
      <c r="C336" s="5"/>
      <c r="D336" s="9"/>
      <c r="E336" s="9"/>
      <c r="F336" s="9"/>
      <c r="G336" s="9"/>
      <c r="H336" s="9"/>
      <c r="I336" s="9"/>
      <c r="J336" s="5"/>
      <c r="K336" s="4"/>
      <c r="L336" s="10"/>
      <c r="M336" s="10"/>
      <c r="N336" s="10"/>
      <c r="O336" s="10"/>
      <c r="P336" s="10"/>
      <c r="Q336" s="11"/>
      <c r="R336" s="9"/>
      <c r="S336" s="12"/>
      <c r="T336" s="5"/>
      <c r="U336" s="5"/>
      <c r="V336" s="4"/>
      <c r="W336" s="4"/>
      <c r="X336" s="4"/>
      <c r="Y336" s="4"/>
    </row>
    <row r="337">
      <c r="A337" s="5"/>
      <c r="B337" s="9"/>
      <c r="C337" s="5"/>
      <c r="D337" s="9"/>
      <c r="E337" s="9"/>
      <c r="F337" s="9"/>
      <c r="G337" s="9"/>
      <c r="H337" s="9"/>
      <c r="I337" s="9"/>
      <c r="J337" s="5"/>
      <c r="K337" s="4"/>
      <c r="L337" s="10"/>
      <c r="M337" s="10"/>
      <c r="N337" s="10"/>
      <c r="O337" s="10"/>
      <c r="P337" s="10"/>
      <c r="Q337" s="11"/>
      <c r="R337" s="9"/>
      <c r="S337" s="12"/>
      <c r="T337" s="5"/>
      <c r="U337" s="5"/>
      <c r="V337" s="4"/>
      <c r="W337" s="4"/>
      <c r="X337" s="4"/>
      <c r="Y337" s="4"/>
    </row>
    <row r="338">
      <c r="A338" s="5"/>
      <c r="B338" s="9"/>
      <c r="C338" s="5"/>
      <c r="D338" s="9"/>
      <c r="E338" s="9"/>
      <c r="F338" s="9"/>
      <c r="G338" s="9"/>
      <c r="H338" s="9"/>
      <c r="I338" s="9"/>
      <c r="J338" s="5"/>
      <c r="K338" s="4"/>
      <c r="L338" s="10"/>
      <c r="M338" s="10"/>
      <c r="N338" s="10"/>
      <c r="O338" s="10"/>
      <c r="P338" s="10"/>
      <c r="Q338" s="11"/>
      <c r="R338" s="9"/>
      <c r="S338" s="12"/>
      <c r="T338" s="5"/>
      <c r="U338" s="5"/>
      <c r="V338" s="4"/>
      <c r="W338" s="4"/>
      <c r="X338" s="4"/>
      <c r="Y338" s="4"/>
    </row>
    <row r="339">
      <c r="A339" s="5"/>
      <c r="B339" s="9"/>
      <c r="C339" s="5"/>
      <c r="D339" s="9"/>
      <c r="E339" s="9"/>
      <c r="F339" s="9"/>
      <c r="G339" s="9"/>
      <c r="H339" s="9"/>
      <c r="I339" s="9"/>
      <c r="J339" s="5"/>
      <c r="K339" s="4"/>
      <c r="L339" s="10"/>
      <c r="M339" s="10"/>
      <c r="N339" s="10"/>
      <c r="O339" s="10"/>
      <c r="P339" s="10"/>
      <c r="Q339" s="11"/>
      <c r="R339" s="9"/>
      <c r="S339" s="12"/>
      <c r="T339" s="5"/>
      <c r="U339" s="5"/>
      <c r="V339" s="4"/>
      <c r="W339" s="4"/>
      <c r="X339" s="4"/>
      <c r="Y339" s="4"/>
    </row>
    <row r="340">
      <c r="A340" s="5"/>
      <c r="B340" s="9"/>
      <c r="C340" s="5"/>
      <c r="D340" s="9"/>
      <c r="E340" s="9"/>
      <c r="F340" s="9"/>
      <c r="G340" s="9"/>
      <c r="H340" s="9"/>
      <c r="I340" s="9"/>
      <c r="J340" s="5"/>
      <c r="K340" s="4"/>
      <c r="L340" s="10"/>
      <c r="M340" s="10"/>
      <c r="N340" s="10"/>
      <c r="O340" s="10"/>
      <c r="P340" s="10"/>
      <c r="Q340" s="11"/>
      <c r="R340" s="9"/>
      <c r="S340" s="12"/>
      <c r="T340" s="5"/>
      <c r="U340" s="5"/>
      <c r="V340" s="4"/>
      <c r="W340" s="4"/>
      <c r="X340" s="4"/>
      <c r="Y340" s="4"/>
    </row>
    <row r="341">
      <c r="A341" s="5"/>
      <c r="B341" s="9"/>
      <c r="C341" s="5"/>
      <c r="D341" s="9"/>
      <c r="E341" s="9"/>
      <c r="F341" s="9"/>
      <c r="G341" s="9"/>
      <c r="H341" s="9"/>
      <c r="I341" s="9"/>
      <c r="J341" s="5"/>
      <c r="K341" s="4"/>
      <c r="L341" s="10"/>
      <c r="M341" s="10"/>
      <c r="N341" s="10"/>
      <c r="O341" s="10"/>
      <c r="P341" s="10"/>
      <c r="Q341" s="11"/>
      <c r="R341" s="9"/>
      <c r="S341" s="12"/>
      <c r="T341" s="5"/>
      <c r="U341" s="5"/>
      <c r="V341" s="4"/>
      <c r="W341" s="4"/>
      <c r="X341" s="4"/>
      <c r="Y341" s="4"/>
    </row>
    <row r="342">
      <c r="A342" s="5"/>
      <c r="B342" s="9"/>
      <c r="C342" s="5"/>
      <c r="D342" s="9"/>
      <c r="E342" s="9"/>
      <c r="F342" s="9"/>
      <c r="G342" s="9"/>
      <c r="H342" s="9"/>
      <c r="I342" s="9"/>
      <c r="J342" s="5"/>
      <c r="K342" s="4"/>
      <c r="L342" s="10"/>
      <c r="M342" s="10"/>
      <c r="N342" s="10"/>
      <c r="O342" s="10"/>
      <c r="P342" s="10"/>
      <c r="Q342" s="11"/>
      <c r="R342" s="9"/>
      <c r="S342" s="12"/>
      <c r="T342" s="5"/>
      <c r="U342" s="5"/>
      <c r="V342" s="4"/>
      <c r="W342" s="4"/>
      <c r="X342" s="4"/>
      <c r="Y342" s="4"/>
    </row>
    <row r="343">
      <c r="A343" s="5"/>
      <c r="B343" s="9"/>
      <c r="C343" s="5"/>
      <c r="D343" s="9"/>
      <c r="E343" s="9"/>
      <c r="F343" s="9"/>
      <c r="G343" s="9"/>
      <c r="H343" s="9"/>
      <c r="I343" s="9"/>
      <c r="J343" s="5"/>
      <c r="K343" s="4"/>
      <c r="L343" s="10"/>
      <c r="M343" s="10"/>
      <c r="N343" s="10"/>
      <c r="O343" s="10"/>
      <c r="P343" s="10"/>
      <c r="Q343" s="11"/>
      <c r="R343" s="9"/>
      <c r="S343" s="12"/>
      <c r="T343" s="5"/>
      <c r="U343" s="5"/>
      <c r="V343" s="4"/>
      <c r="W343" s="4"/>
      <c r="X343" s="4"/>
      <c r="Y343" s="4"/>
    </row>
    <row r="344">
      <c r="A344" s="5"/>
      <c r="B344" s="9"/>
      <c r="C344" s="5"/>
      <c r="D344" s="9"/>
      <c r="E344" s="9"/>
      <c r="F344" s="9"/>
      <c r="G344" s="9"/>
      <c r="H344" s="9"/>
      <c r="I344" s="9"/>
      <c r="J344" s="5"/>
      <c r="K344" s="4"/>
      <c r="L344" s="10"/>
      <c r="M344" s="10"/>
      <c r="N344" s="10"/>
      <c r="O344" s="10"/>
      <c r="P344" s="10"/>
      <c r="Q344" s="11"/>
      <c r="R344" s="9"/>
      <c r="S344" s="12"/>
      <c r="T344" s="5"/>
      <c r="U344" s="5"/>
      <c r="V344" s="4"/>
      <c r="W344" s="4"/>
      <c r="X344" s="4"/>
      <c r="Y344" s="4"/>
    </row>
    <row r="345">
      <c r="A345" s="5"/>
      <c r="B345" s="9"/>
      <c r="C345" s="5"/>
      <c r="D345" s="9"/>
      <c r="E345" s="9"/>
      <c r="F345" s="9"/>
      <c r="G345" s="9"/>
      <c r="H345" s="9"/>
      <c r="I345" s="9"/>
      <c r="J345" s="5"/>
      <c r="K345" s="4"/>
      <c r="L345" s="10"/>
      <c r="M345" s="10"/>
      <c r="N345" s="10"/>
      <c r="O345" s="10"/>
      <c r="P345" s="10"/>
      <c r="Q345" s="11"/>
      <c r="R345" s="9"/>
      <c r="S345" s="12"/>
      <c r="T345" s="5"/>
      <c r="U345" s="5"/>
      <c r="V345" s="4"/>
      <c r="W345" s="4"/>
      <c r="X345" s="4"/>
      <c r="Y345" s="4"/>
    </row>
    <row r="346">
      <c r="A346" s="5"/>
      <c r="B346" s="9"/>
      <c r="C346" s="5"/>
      <c r="D346" s="9"/>
      <c r="E346" s="9"/>
      <c r="F346" s="9"/>
      <c r="G346" s="9"/>
      <c r="H346" s="9"/>
      <c r="I346" s="9"/>
      <c r="J346" s="5"/>
      <c r="K346" s="4"/>
      <c r="L346" s="10"/>
      <c r="M346" s="10"/>
      <c r="N346" s="10"/>
      <c r="O346" s="10"/>
      <c r="P346" s="10"/>
      <c r="Q346" s="11"/>
      <c r="R346" s="9"/>
      <c r="S346" s="12"/>
      <c r="T346" s="5"/>
      <c r="U346" s="5"/>
      <c r="V346" s="4"/>
      <c r="W346" s="4"/>
      <c r="X346" s="4"/>
      <c r="Y346" s="4"/>
    </row>
    <row r="347">
      <c r="A347" s="5"/>
      <c r="B347" s="9"/>
      <c r="C347" s="5"/>
      <c r="D347" s="9"/>
      <c r="E347" s="9"/>
      <c r="F347" s="9"/>
      <c r="G347" s="9"/>
      <c r="H347" s="9"/>
      <c r="I347" s="9"/>
      <c r="J347" s="5"/>
      <c r="K347" s="4"/>
      <c r="L347" s="10"/>
      <c r="M347" s="10"/>
      <c r="N347" s="10"/>
      <c r="O347" s="10"/>
      <c r="P347" s="10"/>
      <c r="Q347" s="11"/>
      <c r="R347" s="9"/>
      <c r="S347" s="12"/>
      <c r="T347" s="5"/>
      <c r="U347" s="5"/>
      <c r="V347" s="4"/>
      <c r="W347" s="4"/>
      <c r="X347" s="4"/>
      <c r="Y347" s="4"/>
    </row>
    <row r="348">
      <c r="A348" s="5"/>
      <c r="B348" s="9"/>
      <c r="C348" s="5"/>
      <c r="D348" s="9"/>
      <c r="E348" s="9"/>
      <c r="F348" s="9"/>
      <c r="G348" s="9"/>
      <c r="H348" s="9"/>
      <c r="I348" s="9"/>
      <c r="J348" s="5"/>
      <c r="K348" s="4"/>
      <c r="L348" s="10"/>
      <c r="M348" s="10"/>
      <c r="N348" s="10"/>
      <c r="O348" s="10"/>
      <c r="P348" s="10"/>
      <c r="Q348" s="11"/>
      <c r="R348" s="9"/>
      <c r="S348" s="12"/>
      <c r="T348" s="5"/>
      <c r="U348" s="5"/>
      <c r="V348" s="4"/>
      <c r="W348" s="4"/>
      <c r="X348" s="4"/>
      <c r="Y348" s="4"/>
    </row>
    <row r="349">
      <c r="A349" s="5"/>
      <c r="B349" s="9"/>
      <c r="C349" s="5"/>
      <c r="D349" s="9"/>
      <c r="E349" s="9"/>
      <c r="F349" s="9"/>
      <c r="G349" s="9"/>
      <c r="H349" s="9"/>
      <c r="I349" s="9"/>
      <c r="J349" s="5"/>
      <c r="K349" s="4"/>
      <c r="L349" s="10"/>
      <c r="M349" s="10"/>
      <c r="N349" s="10"/>
      <c r="O349" s="10"/>
      <c r="P349" s="10"/>
      <c r="Q349" s="11"/>
      <c r="R349" s="9"/>
      <c r="S349" s="12"/>
      <c r="T349" s="5"/>
      <c r="U349" s="5"/>
      <c r="V349" s="4"/>
      <c r="W349" s="4"/>
      <c r="X349" s="4"/>
      <c r="Y349" s="4"/>
    </row>
    <row r="350">
      <c r="A350" s="5"/>
      <c r="B350" s="9"/>
      <c r="C350" s="5"/>
      <c r="D350" s="9"/>
      <c r="E350" s="9"/>
      <c r="F350" s="9"/>
      <c r="G350" s="9"/>
      <c r="H350" s="9"/>
      <c r="I350" s="9"/>
      <c r="J350" s="5"/>
      <c r="K350" s="4"/>
      <c r="L350" s="10"/>
      <c r="M350" s="10"/>
      <c r="N350" s="10"/>
      <c r="O350" s="10"/>
      <c r="P350" s="10"/>
      <c r="Q350" s="11"/>
      <c r="R350" s="9"/>
      <c r="S350" s="12"/>
      <c r="T350" s="5"/>
      <c r="U350" s="5"/>
      <c r="V350" s="4"/>
      <c r="W350" s="4"/>
      <c r="X350" s="4"/>
      <c r="Y350" s="4"/>
    </row>
    <row r="351">
      <c r="A351" s="5"/>
      <c r="B351" s="9"/>
      <c r="C351" s="5"/>
      <c r="D351" s="9"/>
      <c r="E351" s="9"/>
      <c r="F351" s="9"/>
      <c r="G351" s="9"/>
      <c r="H351" s="9"/>
      <c r="I351" s="9"/>
      <c r="J351" s="5"/>
      <c r="K351" s="4"/>
      <c r="L351" s="10"/>
      <c r="M351" s="10"/>
      <c r="N351" s="10"/>
      <c r="O351" s="10"/>
      <c r="P351" s="10"/>
      <c r="Q351" s="11"/>
      <c r="R351" s="9"/>
      <c r="S351" s="12"/>
      <c r="T351" s="5"/>
      <c r="U351" s="5"/>
      <c r="V351" s="4"/>
      <c r="W351" s="4"/>
      <c r="X351" s="4"/>
      <c r="Y351" s="4"/>
    </row>
    <row r="352">
      <c r="A352" s="5"/>
      <c r="B352" s="9"/>
      <c r="C352" s="5"/>
      <c r="D352" s="9"/>
      <c r="E352" s="9"/>
      <c r="F352" s="9"/>
      <c r="G352" s="9"/>
      <c r="H352" s="9"/>
      <c r="I352" s="9"/>
      <c r="J352" s="5"/>
      <c r="K352" s="4"/>
      <c r="L352" s="10"/>
      <c r="M352" s="10"/>
      <c r="N352" s="10"/>
      <c r="O352" s="10"/>
      <c r="P352" s="10"/>
      <c r="Q352" s="11"/>
      <c r="R352" s="9"/>
      <c r="S352" s="12"/>
      <c r="T352" s="5"/>
      <c r="U352" s="5"/>
      <c r="V352" s="4"/>
      <c r="W352" s="4"/>
      <c r="X352" s="4"/>
      <c r="Y352" s="4"/>
    </row>
    <row r="353">
      <c r="A353" s="5"/>
      <c r="B353" s="9"/>
      <c r="C353" s="5"/>
      <c r="D353" s="9"/>
      <c r="E353" s="9"/>
      <c r="F353" s="9"/>
      <c r="G353" s="9"/>
      <c r="H353" s="9"/>
      <c r="I353" s="9"/>
      <c r="J353" s="5"/>
      <c r="K353" s="4"/>
      <c r="L353" s="10"/>
      <c r="M353" s="10"/>
      <c r="N353" s="10"/>
      <c r="O353" s="10"/>
      <c r="P353" s="10"/>
      <c r="Q353" s="11"/>
      <c r="R353" s="9"/>
      <c r="S353" s="12"/>
      <c r="T353" s="5"/>
      <c r="U353" s="5"/>
      <c r="V353" s="4"/>
      <c r="W353" s="4"/>
      <c r="X353" s="4"/>
      <c r="Y353" s="4"/>
    </row>
    <row r="354">
      <c r="A354" s="5"/>
      <c r="B354" s="9"/>
      <c r="C354" s="5"/>
      <c r="D354" s="9"/>
      <c r="E354" s="9"/>
      <c r="F354" s="9"/>
      <c r="G354" s="9"/>
      <c r="H354" s="9"/>
      <c r="I354" s="9"/>
      <c r="J354" s="5"/>
      <c r="K354" s="4"/>
      <c r="L354" s="10"/>
      <c r="M354" s="10"/>
      <c r="N354" s="10"/>
      <c r="O354" s="10"/>
      <c r="P354" s="10"/>
      <c r="Q354" s="11"/>
      <c r="R354" s="9"/>
      <c r="S354" s="12"/>
      <c r="T354" s="5"/>
      <c r="U354" s="5"/>
      <c r="V354" s="4"/>
      <c r="W354" s="4"/>
      <c r="X354" s="4"/>
      <c r="Y354" s="4"/>
    </row>
    <row r="355">
      <c r="A355" s="5"/>
      <c r="B355" s="9"/>
      <c r="C355" s="5"/>
      <c r="D355" s="9"/>
      <c r="E355" s="9"/>
      <c r="F355" s="9"/>
      <c r="G355" s="9"/>
      <c r="H355" s="9"/>
      <c r="I355" s="9"/>
      <c r="J355" s="5"/>
      <c r="K355" s="4"/>
      <c r="L355" s="10"/>
      <c r="M355" s="10"/>
      <c r="N355" s="10"/>
      <c r="O355" s="10"/>
      <c r="P355" s="10"/>
      <c r="Q355" s="11"/>
      <c r="R355" s="9"/>
      <c r="S355" s="12"/>
      <c r="T355" s="5"/>
      <c r="U355" s="5"/>
      <c r="V355" s="4"/>
      <c r="W355" s="4"/>
      <c r="X355" s="4"/>
      <c r="Y355" s="4"/>
    </row>
    <row r="356">
      <c r="A356" s="5"/>
      <c r="B356" s="9"/>
      <c r="C356" s="5"/>
      <c r="D356" s="9"/>
      <c r="E356" s="9"/>
      <c r="F356" s="9"/>
      <c r="G356" s="9"/>
      <c r="H356" s="9"/>
      <c r="I356" s="9"/>
      <c r="J356" s="5"/>
      <c r="K356" s="4"/>
      <c r="L356" s="10"/>
      <c r="M356" s="10"/>
      <c r="N356" s="10"/>
      <c r="O356" s="10"/>
      <c r="P356" s="10"/>
      <c r="Q356" s="11"/>
      <c r="R356" s="9"/>
      <c r="S356" s="12"/>
      <c r="T356" s="5"/>
      <c r="U356" s="5"/>
      <c r="V356" s="4"/>
      <c r="W356" s="4"/>
      <c r="X356" s="4"/>
      <c r="Y356" s="4"/>
    </row>
    <row r="357">
      <c r="A357" s="5"/>
      <c r="B357" s="9"/>
      <c r="C357" s="5"/>
      <c r="D357" s="9"/>
      <c r="E357" s="9"/>
      <c r="F357" s="9"/>
      <c r="G357" s="9"/>
      <c r="H357" s="9"/>
      <c r="I357" s="9"/>
      <c r="J357" s="5"/>
      <c r="K357" s="4"/>
      <c r="L357" s="10"/>
      <c r="M357" s="10"/>
      <c r="N357" s="10"/>
      <c r="O357" s="10"/>
      <c r="P357" s="10"/>
      <c r="Q357" s="11"/>
      <c r="R357" s="9"/>
      <c r="S357" s="12"/>
      <c r="T357" s="5"/>
      <c r="U357" s="5"/>
      <c r="V357" s="4"/>
      <c r="W357" s="4"/>
      <c r="X357" s="4"/>
      <c r="Y357" s="4"/>
    </row>
    <row r="358">
      <c r="A358" s="5"/>
      <c r="B358" s="9"/>
      <c r="C358" s="5"/>
      <c r="D358" s="9"/>
      <c r="E358" s="9"/>
      <c r="F358" s="9"/>
      <c r="G358" s="9"/>
      <c r="H358" s="9"/>
      <c r="I358" s="9"/>
      <c r="J358" s="5"/>
      <c r="K358" s="4"/>
      <c r="L358" s="10"/>
      <c r="M358" s="10"/>
      <c r="N358" s="10"/>
      <c r="O358" s="10"/>
      <c r="P358" s="10"/>
      <c r="Q358" s="11"/>
      <c r="R358" s="9"/>
      <c r="S358" s="12"/>
      <c r="T358" s="5"/>
      <c r="U358" s="5"/>
      <c r="V358" s="4"/>
      <c r="W358" s="4"/>
      <c r="X358" s="4"/>
      <c r="Y358" s="4"/>
    </row>
    <row r="359">
      <c r="A359" s="5"/>
      <c r="B359" s="9"/>
      <c r="C359" s="5"/>
      <c r="D359" s="9"/>
      <c r="E359" s="9"/>
      <c r="F359" s="9"/>
      <c r="G359" s="9"/>
      <c r="H359" s="9"/>
      <c r="I359" s="9"/>
      <c r="J359" s="5"/>
      <c r="K359" s="4"/>
      <c r="L359" s="10"/>
      <c r="M359" s="10"/>
      <c r="N359" s="10"/>
      <c r="O359" s="10"/>
      <c r="P359" s="10"/>
      <c r="Q359" s="11"/>
      <c r="R359" s="9"/>
      <c r="S359" s="12"/>
      <c r="T359" s="5"/>
      <c r="U359" s="5"/>
      <c r="V359" s="4"/>
      <c r="W359" s="4"/>
      <c r="X359" s="4"/>
      <c r="Y359" s="4"/>
    </row>
    <row r="360">
      <c r="A360" s="5"/>
      <c r="B360" s="9"/>
      <c r="C360" s="5"/>
      <c r="D360" s="9"/>
      <c r="E360" s="9"/>
      <c r="F360" s="9"/>
      <c r="G360" s="9"/>
      <c r="H360" s="9"/>
      <c r="I360" s="9"/>
      <c r="J360" s="5"/>
      <c r="K360" s="4"/>
      <c r="L360" s="10"/>
      <c r="M360" s="10"/>
      <c r="N360" s="10"/>
      <c r="O360" s="10"/>
      <c r="P360" s="10"/>
      <c r="Q360" s="11"/>
      <c r="R360" s="9"/>
      <c r="S360" s="12"/>
      <c r="T360" s="5"/>
      <c r="U360" s="5"/>
      <c r="V360" s="4"/>
      <c r="W360" s="4"/>
      <c r="X360" s="4"/>
      <c r="Y360" s="4"/>
    </row>
    <row r="361">
      <c r="A361" s="5"/>
      <c r="B361" s="9"/>
      <c r="C361" s="5"/>
      <c r="D361" s="9"/>
      <c r="E361" s="9"/>
      <c r="F361" s="9"/>
      <c r="G361" s="9"/>
      <c r="H361" s="9"/>
      <c r="I361" s="9"/>
      <c r="J361" s="5"/>
      <c r="K361" s="4"/>
      <c r="L361" s="10"/>
      <c r="M361" s="10"/>
      <c r="N361" s="10"/>
      <c r="O361" s="10"/>
      <c r="P361" s="10"/>
      <c r="Q361" s="11"/>
      <c r="R361" s="9"/>
      <c r="S361" s="12"/>
      <c r="T361" s="5"/>
      <c r="U361" s="5"/>
      <c r="V361" s="4"/>
      <c r="W361" s="4"/>
      <c r="X361" s="4"/>
      <c r="Y361" s="4"/>
    </row>
    <row r="362">
      <c r="A362" s="5"/>
      <c r="B362" s="9"/>
      <c r="C362" s="5"/>
      <c r="D362" s="9"/>
      <c r="E362" s="9"/>
      <c r="F362" s="9"/>
      <c r="G362" s="9"/>
      <c r="H362" s="9"/>
      <c r="I362" s="9"/>
      <c r="J362" s="5"/>
      <c r="K362" s="4"/>
      <c r="L362" s="10"/>
      <c r="M362" s="10"/>
      <c r="N362" s="10"/>
      <c r="O362" s="10"/>
      <c r="P362" s="10"/>
      <c r="Q362" s="11"/>
      <c r="R362" s="9"/>
      <c r="S362" s="12"/>
      <c r="T362" s="5"/>
      <c r="U362" s="5"/>
      <c r="V362" s="4"/>
      <c r="W362" s="4"/>
      <c r="X362" s="4"/>
      <c r="Y362" s="4"/>
    </row>
    <row r="363">
      <c r="A363" s="5"/>
      <c r="B363" s="9"/>
      <c r="C363" s="5"/>
      <c r="D363" s="9"/>
      <c r="E363" s="9"/>
      <c r="F363" s="9"/>
      <c r="G363" s="9"/>
      <c r="H363" s="9"/>
      <c r="I363" s="9"/>
      <c r="J363" s="5"/>
      <c r="K363" s="4"/>
      <c r="L363" s="10"/>
      <c r="M363" s="10"/>
      <c r="N363" s="10"/>
      <c r="O363" s="10"/>
      <c r="P363" s="10"/>
      <c r="Q363" s="11"/>
      <c r="R363" s="9"/>
      <c r="S363" s="12"/>
      <c r="T363" s="5"/>
      <c r="U363" s="5"/>
      <c r="V363" s="4"/>
      <c r="W363" s="4"/>
      <c r="X363" s="4"/>
      <c r="Y363" s="4"/>
    </row>
    <row r="364">
      <c r="A364" s="5"/>
      <c r="B364" s="9"/>
      <c r="C364" s="5"/>
      <c r="D364" s="9"/>
      <c r="E364" s="9"/>
      <c r="F364" s="9"/>
      <c r="G364" s="9"/>
      <c r="H364" s="9"/>
      <c r="I364" s="9"/>
      <c r="J364" s="5"/>
      <c r="K364" s="4"/>
      <c r="L364" s="10"/>
      <c r="M364" s="10"/>
      <c r="N364" s="10"/>
      <c r="O364" s="10"/>
      <c r="P364" s="10"/>
      <c r="Q364" s="11"/>
      <c r="R364" s="9"/>
      <c r="S364" s="12"/>
      <c r="T364" s="5"/>
      <c r="U364" s="5"/>
      <c r="V364" s="4"/>
      <c r="W364" s="4"/>
      <c r="X364" s="4"/>
      <c r="Y364" s="4"/>
    </row>
    <row r="365">
      <c r="A365" s="5"/>
      <c r="B365" s="9"/>
      <c r="C365" s="5"/>
      <c r="D365" s="9"/>
      <c r="E365" s="9"/>
      <c r="F365" s="9"/>
      <c r="G365" s="9"/>
      <c r="H365" s="9"/>
      <c r="I365" s="9"/>
      <c r="J365" s="5"/>
      <c r="K365" s="4"/>
      <c r="L365" s="10"/>
      <c r="M365" s="10"/>
      <c r="N365" s="10"/>
      <c r="O365" s="10"/>
      <c r="P365" s="10"/>
      <c r="Q365" s="11"/>
      <c r="R365" s="9"/>
      <c r="S365" s="12"/>
      <c r="T365" s="5"/>
      <c r="U365" s="5"/>
      <c r="V365" s="4"/>
      <c r="W365" s="4"/>
      <c r="X365" s="4"/>
      <c r="Y365" s="4"/>
    </row>
    <row r="366">
      <c r="A366" s="5"/>
      <c r="B366" s="9"/>
      <c r="C366" s="5"/>
      <c r="D366" s="9"/>
      <c r="E366" s="9"/>
      <c r="F366" s="9"/>
      <c r="G366" s="9"/>
      <c r="H366" s="9"/>
      <c r="I366" s="9"/>
      <c r="J366" s="5"/>
      <c r="K366" s="4"/>
      <c r="L366" s="10"/>
      <c r="M366" s="10"/>
      <c r="N366" s="10"/>
      <c r="O366" s="10"/>
      <c r="P366" s="10"/>
      <c r="Q366" s="11"/>
      <c r="R366" s="9"/>
      <c r="S366" s="12"/>
      <c r="T366" s="5"/>
      <c r="U366" s="5"/>
      <c r="V366" s="4"/>
      <c r="W366" s="4"/>
      <c r="X366" s="4"/>
      <c r="Y366" s="4"/>
    </row>
    <row r="367">
      <c r="A367" s="5"/>
      <c r="B367" s="9"/>
      <c r="C367" s="5"/>
      <c r="D367" s="9"/>
      <c r="E367" s="9"/>
      <c r="F367" s="9"/>
      <c r="G367" s="9"/>
      <c r="H367" s="9"/>
      <c r="I367" s="9"/>
      <c r="J367" s="5"/>
      <c r="K367" s="4"/>
      <c r="L367" s="10"/>
      <c r="M367" s="10"/>
      <c r="N367" s="10"/>
      <c r="O367" s="10"/>
      <c r="P367" s="10"/>
      <c r="Q367" s="11"/>
      <c r="R367" s="9"/>
      <c r="S367" s="12"/>
      <c r="T367" s="5"/>
      <c r="U367" s="5"/>
      <c r="V367" s="4"/>
      <c r="W367" s="4"/>
      <c r="X367" s="4"/>
      <c r="Y367" s="4"/>
    </row>
    <row r="368">
      <c r="A368" s="5"/>
      <c r="B368" s="9"/>
      <c r="C368" s="5"/>
      <c r="D368" s="9"/>
      <c r="E368" s="9"/>
      <c r="F368" s="9"/>
      <c r="G368" s="9"/>
      <c r="H368" s="9"/>
      <c r="I368" s="9"/>
      <c r="J368" s="5"/>
      <c r="K368" s="4"/>
      <c r="L368" s="10"/>
      <c r="M368" s="10"/>
      <c r="N368" s="10"/>
      <c r="O368" s="10"/>
      <c r="P368" s="10"/>
      <c r="Q368" s="11"/>
      <c r="R368" s="9"/>
      <c r="S368" s="12"/>
      <c r="T368" s="5"/>
      <c r="U368" s="5"/>
      <c r="V368" s="4"/>
      <c r="W368" s="4"/>
      <c r="X368" s="4"/>
      <c r="Y368" s="4"/>
    </row>
    <row r="369">
      <c r="A369" s="5"/>
      <c r="B369" s="9"/>
      <c r="C369" s="5"/>
      <c r="D369" s="9"/>
      <c r="E369" s="9"/>
      <c r="F369" s="9"/>
      <c r="G369" s="9"/>
      <c r="H369" s="9"/>
      <c r="I369" s="9"/>
      <c r="J369" s="5"/>
      <c r="K369" s="4"/>
      <c r="L369" s="10"/>
      <c r="M369" s="10"/>
      <c r="N369" s="10"/>
      <c r="O369" s="10"/>
      <c r="P369" s="10"/>
      <c r="Q369" s="11"/>
      <c r="R369" s="9"/>
      <c r="S369" s="12"/>
      <c r="T369" s="5"/>
      <c r="U369" s="5"/>
      <c r="V369" s="4"/>
      <c r="W369" s="4"/>
      <c r="X369" s="4"/>
      <c r="Y369" s="4"/>
    </row>
    <row r="370">
      <c r="A370" s="5"/>
      <c r="B370" s="9"/>
      <c r="C370" s="5"/>
      <c r="D370" s="9"/>
      <c r="E370" s="9"/>
      <c r="F370" s="9"/>
      <c r="G370" s="9"/>
      <c r="H370" s="9"/>
      <c r="I370" s="9"/>
      <c r="J370" s="5"/>
      <c r="K370" s="4"/>
      <c r="L370" s="10"/>
      <c r="M370" s="10"/>
      <c r="N370" s="10"/>
      <c r="O370" s="10"/>
      <c r="P370" s="10"/>
      <c r="Q370" s="11"/>
      <c r="R370" s="9"/>
      <c r="S370" s="12"/>
      <c r="T370" s="5"/>
      <c r="U370" s="5"/>
      <c r="V370" s="4"/>
      <c r="W370" s="4"/>
      <c r="X370" s="4"/>
      <c r="Y370" s="4"/>
    </row>
    <row r="371">
      <c r="A371" s="5"/>
      <c r="B371" s="9"/>
      <c r="C371" s="5"/>
      <c r="D371" s="9"/>
      <c r="E371" s="9"/>
      <c r="F371" s="9"/>
      <c r="G371" s="9"/>
      <c r="H371" s="9"/>
      <c r="I371" s="9"/>
      <c r="J371" s="5"/>
      <c r="K371" s="4"/>
      <c r="L371" s="10"/>
      <c r="M371" s="10"/>
      <c r="N371" s="10"/>
      <c r="O371" s="10"/>
      <c r="P371" s="10"/>
      <c r="Q371" s="11"/>
      <c r="R371" s="9"/>
      <c r="S371" s="12"/>
      <c r="T371" s="5"/>
      <c r="U371" s="5"/>
      <c r="V371" s="4"/>
      <c r="W371" s="4"/>
      <c r="X371" s="4"/>
      <c r="Y371" s="4"/>
    </row>
    <row r="372">
      <c r="A372" s="5"/>
      <c r="B372" s="9"/>
      <c r="C372" s="5"/>
      <c r="D372" s="9"/>
      <c r="E372" s="9"/>
      <c r="F372" s="9"/>
      <c r="G372" s="9"/>
      <c r="H372" s="9"/>
      <c r="I372" s="9"/>
      <c r="J372" s="5"/>
      <c r="K372" s="4"/>
      <c r="L372" s="10"/>
      <c r="M372" s="10"/>
      <c r="N372" s="10"/>
      <c r="O372" s="10"/>
      <c r="P372" s="10"/>
      <c r="Q372" s="11"/>
      <c r="R372" s="9"/>
      <c r="S372" s="12"/>
      <c r="T372" s="5"/>
      <c r="U372" s="5"/>
      <c r="V372" s="4"/>
      <c r="W372" s="4"/>
      <c r="X372" s="4"/>
      <c r="Y372" s="4"/>
    </row>
    <row r="373">
      <c r="A373" s="5"/>
      <c r="B373" s="9"/>
      <c r="C373" s="5"/>
      <c r="D373" s="9"/>
      <c r="E373" s="9"/>
      <c r="F373" s="9"/>
      <c r="G373" s="9"/>
      <c r="H373" s="9"/>
      <c r="I373" s="9"/>
      <c r="J373" s="5"/>
      <c r="K373" s="4"/>
      <c r="L373" s="10"/>
      <c r="M373" s="10"/>
      <c r="N373" s="10"/>
      <c r="O373" s="10"/>
      <c r="P373" s="10"/>
      <c r="Q373" s="11"/>
      <c r="R373" s="9"/>
      <c r="S373" s="12"/>
      <c r="T373" s="5"/>
      <c r="U373" s="5"/>
      <c r="V373" s="4"/>
      <c r="W373" s="4"/>
      <c r="X373" s="4"/>
      <c r="Y373" s="4"/>
    </row>
    <row r="374">
      <c r="A374" s="5"/>
      <c r="B374" s="9"/>
      <c r="C374" s="5"/>
      <c r="D374" s="9"/>
      <c r="E374" s="9"/>
      <c r="F374" s="9"/>
      <c r="G374" s="9"/>
      <c r="H374" s="9"/>
      <c r="I374" s="9"/>
      <c r="J374" s="5"/>
      <c r="K374" s="4"/>
      <c r="L374" s="10"/>
      <c r="M374" s="10"/>
      <c r="N374" s="10"/>
      <c r="O374" s="10"/>
      <c r="P374" s="10"/>
      <c r="Q374" s="11"/>
      <c r="R374" s="9"/>
      <c r="S374" s="12"/>
      <c r="T374" s="5"/>
      <c r="U374" s="5"/>
      <c r="V374" s="4"/>
      <c r="W374" s="4"/>
      <c r="X374" s="4"/>
      <c r="Y374" s="4"/>
    </row>
    <row r="375">
      <c r="A375" s="5"/>
      <c r="B375" s="9"/>
      <c r="C375" s="5"/>
      <c r="D375" s="9"/>
      <c r="E375" s="9"/>
      <c r="F375" s="9"/>
      <c r="G375" s="9"/>
      <c r="H375" s="9"/>
      <c r="I375" s="9"/>
      <c r="J375" s="5"/>
      <c r="K375" s="4"/>
      <c r="L375" s="10"/>
      <c r="M375" s="10"/>
      <c r="N375" s="10"/>
      <c r="O375" s="10"/>
      <c r="P375" s="10"/>
      <c r="Q375" s="11"/>
      <c r="R375" s="9"/>
      <c r="S375" s="12"/>
      <c r="T375" s="5"/>
      <c r="U375" s="5"/>
      <c r="V375" s="4"/>
      <c r="W375" s="4"/>
      <c r="X375" s="4"/>
      <c r="Y375" s="4"/>
    </row>
    <row r="376">
      <c r="A376" s="5"/>
      <c r="B376" s="9"/>
      <c r="C376" s="5"/>
      <c r="D376" s="9"/>
      <c r="E376" s="9"/>
      <c r="F376" s="9"/>
      <c r="G376" s="9"/>
      <c r="H376" s="9"/>
      <c r="I376" s="9"/>
      <c r="J376" s="5"/>
      <c r="K376" s="4"/>
      <c r="L376" s="10"/>
      <c r="M376" s="10"/>
      <c r="N376" s="10"/>
      <c r="O376" s="10"/>
      <c r="P376" s="10"/>
      <c r="Q376" s="11"/>
      <c r="R376" s="9"/>
      <c r="S376" s="12"/>
      <c r="T376" s="5"/>
      <c r="U376" s="5"/>
      <c r="V376" s="4"/>
      <c r="W376" s="4"/>
      <c r="X376" s="4"/>
      <c r="Y376" s="4"/>
    </row>
    <row r="377">
      <c r="A377" s="5"/>
      <c r="B377" s="9"/>
      <c r="C377" s="5"/>
      <c r="D377" s="9"/>
      <c r="E377" s="9"/>
      <c r="F377" s="9"/>
      <c r="G377" s="9"/>
      <c r="H377" s="9"/>
      <c r="I377" s="9"/>
      <c r="J377" s="5"/>
      <c r="K377" s="4"/>
      <c r="L377" s="10"/>
      <c r="M377" s="10"/>
      <c r="N377" s="10"/>
      <c r="O377" s="10"/>
      <c r="P377" s="10"/>
      <c r="Q377" s="11"/>
      <c r="R377" s="9"/>
      <c r="S377" s="12"/>
      <c r="T377" s="5"/>
      <c r="U377" s="5"/>
      <c r="V377" s="4"/>
      <c r="W377" s="4"/>
      <c r="X377" s="4"/>
      <c r="Y377" s="4"/>
    </row>
    <row r="378">
      <c r="A378" s="5"/>
      <c r="B378" s="9"/>
      <c r="C378" s="5"/>
      <c r="D378" s="9"/>
      <c r="E378" s="9"/>
      <c r="F378" s="9"/>
      <c r="G378" s="9"/>
      <c r="H378" s="9"/>
      <c r="I378" s="9"/>
      <c r="J378" s="5"/>
      <c r="K378" s="4"/>
      <c r="L378" s="10"/>
      <c r="M378" s="10"/>
      <c r="N378" s="10"/>
      <c r="O378" s="10"/>
      <c r="P378" s="10"/>
      <c r="Q378" s="11"/>
      <c r="R378" s="9"/>
      <c r="S378" s="12"/>
      <c r="T378" s="5"/>
      <c r="U378" s="5"/>
      <c r="V378" s="4"/>
      <c r="W378" s="4"/>
      <c r="X378" s="4"/>
      <c r="Y378" s="4"/>
    </row>
    <row r="379">
      <c r="A379" s="5"/>
      <c r="B379" s="9"/>
      <c r="C379" s="5"/>
      <c r="D379" s="9"/>
      <c r="E379" s="9"/>
      <c r="F379" s="9"/>
      <c r="G379" s="9"/>
      <c r="H379" s="9"/>
      <c r="I379" s="9"/>
      <c r="J379" s="5"/>
      <c r="K379" s="4"/>
      <c r="L379" s="10"/>
      <c r="M379" s="10"/>
      <c r="N379" s="10"/>
      <c r="O379" s="10"/>
      <c r="P379" s="10"/>
      <c r="Q379" s="11"/>
      <c r="R379" s="9"/>
      <c r="S379" s="12"/>
      <c r="T379" s="5"/>
      <c r="U379" s="5"/>
      <c r="V379" s="4"/>
      <c r="W379" s="4"/>
      <c r="X379" s="4"/>
      <c r="Y379" s="4"/>
    </row>
    <row r="380">
      <c r="A380" s="5"/>
      <c r="B380" s="9"/>
      <c r="C380" s="5"/>
      <c r="D380" s="9"/>
      <c r="E380" s="9"/>
      <c r="F380" s="9"/>
      <c r="G380" s="9"/>
      <c r="H380" s="9"/>
      <c r="I380" s="9"/>
      <c r="J380" s="5"/>
      <c r="K380" s="4"/>
      <c r="L380" s="10"/>
      <c r="M380" s="10"/>
      <c r="N380" s="10"/>
      <c r="O380" s="10"/>
      <c r="P380" s="10"/>
      <c r="Q380" s="11"/>
      <c r="R380" s="9"/>
      <c r="S380" s="12"/>
      <c r="T380" s="5"/>
      <c r="U380" s="5"/>
      <c r="V380" s="4"/>
      <c r="W380" s="4"/>
      <c r="X380" s="4"/>
      <c r="Y380" s="4"/>
    </row>
    <row r="381">
      <c r="A381" s="5"/>
      <c r="B381" s="9"/>
      <c r="C381" s="5"/>
      <c r="D381" s="9"/>
      <c r="E381" s="9"/>
      <c r="F381" s="9"/>
      <c r="G381" s="9"/>
      <c r="H381" s="9"/>
      <c r="I381" s="9"/>
      <c r="J381" s="5"/>
      <c r="K381" s="4"/>
      <c r="L381" s="10"/>
      <c r="M381" s="10"/>
      <c r="N381" s="10"/>
      <c r="O381" s="10"/>
      <c r="P381" s="10"/>
      <c r="Q381" s="11"/>
      <c r="R381" s="9"/>
      <c r="S381" s="12"/>
      <c r="T381" s="5"/>
      <c r="U381" s="5"/>
      <c r="V381" s="4"/>
      <c r="W381" s="4"/>
      <c r="X381" s="4"/>
      <c r="Y381" s="4"/>
    </row>
    <row r="382">
      <c r="A382" s="5"/>
      <c r="B382" s="9"/>
      <c r="C382" s="5"/>
      <c r="D382" s="9"/>
      <c r="E382" s="9"/>
      <c r="F382" s="9"/>
      <c r="G382" s="9"/>
      <c r="H382" s="9"/>
      <c r="I382" s="9"/>
      <c r="J382" s="5"/>
      <c r="K382" s="4"/>
      <c r="L382" s="10"/>
      <c r="M382" s="10"/>
      <c r="N382" s="10"/>
      <c r="O382" s="10"/>
      <c r="P382" s="10"/>
      <c r="Q382" s="11"/>
      <c r="R382" s="9"/>
      <c r="S382" s="12"/>
      <c r="T382" s="5"/>
      <c r="U382" s="5"/>
      <c r="V382" s="4"/>
      <c r="W382" s="4"/>
      <c r="X382" s="4"/>
      <c r="Y382" s="4"/>
    </row>
    <row r="383">
      <c r="A383" s="5"/>
      <c r="B383" s="9"/>
      <c r="C383" s="5"/>
      <c r="D383" s="9"/>
      <c r="E383" s="9"/>
      <c r="F383" s="9"/>
      <c r="G383" s="9"/>
      <c r="H383" s="9"/>
      <c r="I383" s="9"/>
      <c r="J383" s="5"/>
      <c r="K383" s="4"/>
      <c r="L383" s="10"/>
      <c r="M383" s="10"/>
      <c r="N383" s="10"/>
      <c r="O383" s="10"/>
      <c r="P383" s="10"/>
      <c r="Q383" s="11"/>
      <c r="R383" s="9"/>
      <c r="S383" s="12"/>
      <c r="T383" s="5"/>
      <c r="U383" s="5"/>
      <c r="V383" s="4"/>
      <c r="W383" s="4"/>
      <c r="X383" s="4"/>
      <c r="Y383" s="4"/>
    </row>
    <row r="384">
      <c r="A384" s="5"/>
      <c r="B384" s="9"/>
      <c r="C384" s="5"/>
      <c r="D384" s="9"/>
      <c r="E384" s="9"/>
      <c r="F384" s="9"/>
      <c r="G384" s="9"/>
      <c r="H384" s="9"/>
      <c r="I384" s="9"/>
      <c r="J384" s="5"/>
      <c r="K384" s="4"/>
      <c r="L384" s="10"/>
      <c r="M384" s="10"/>
      <c r="N384" s="10"/>
      <c r="O384" s="10"/>
      <c r="P384" s="10"/>
      <c r="Q384" s="11"/>
      <c r="R384" s="9"/>
      <c r="S384" s="12"/>
      <c r="T384" s="5"/>
      <c r="U384" s="5"/>
      <c r="V384" s="4"/>
      <c r="W384" s="4"/>
      <c r="X384" s="4"/>
      <c r="Y384" s="4"/>
    </row>
    <row r="385">
      <c r="A385" s="5"/>
      <c r="B385" s="9"/>
      <c r="C385" s="5"/>
      <c r="D385" s="9"/>
      <c r="E385" s="9"/>
      <c r="F385" s="9"/>
      <c r="G385" s="9"/>
      <c r="H385" s="9"/>
      <c r="I385" s="9"/>
      <c r="J385" s="5"/>
      <c r="K385" s="4"/>
      <c r="L385" s="10"/>
      <c r="M385" s="10"/>
      <c r="N385" s="10"/>
      <c r="O385" s="10"/>
      <c r="P385" s="10"/>
      <c r="Q385" s="11"/>
      <c r="R385" s="9"/>
      <c r="S385" s="12"/>
      <c r="T385" s="5"/>
      <c r="U385" s="5"/>
      <c r="V385" s="4"/>
      <c r="W385" s="4"/>
      <c r="X385" s="4"/>
      <c r="Y385" s="4"/>
    </row>
    <row r="386">
      <c r="A386" s="5"/>
      <c r="B386" s="9"/>
      <c r="C386" s="5"/>
      <c r="D386" s="9"/>
      <c r="E386" s="9"/>
      <c r="F386" s="9"/>
      <c r="G386" s="9"/>
      <c r="H386" s="9"/>
      <c r="I386" s="9"/>
      <c r="J386" s="5"/>
      <c r="K386" s="4"/>
      <c r="L386" s="10"/>
      <c r="M386" s="10"/>
      <c r="N386" s="10"/>
      <c r="O386" s="10"/>
      <c r="P386" s="10"/>
      <c r="Q386" s="11"/>
      <c r="R386" s="9"/>
      <c r="S386" s="12"/>
      <c r="T386" s="5"/>
      <c r="U386" s="5"/>
      <c r="V386" s="4"/>
      <c r="W386" s="4"/>
      <c r="X386" s="4"/>
      <c r="Y386" s="4"/>
    </row>
    <row r="387">
      <c r="A387" s="5"/>
      <c r="B387" s="9"/>
      <c r="C387" s="5"/>
      <c r="D387" s="9"/>
      <c r="E387" s="9"/>
      <c r="F387" s="9"/>
      <c r="G387" s="9"/>
      <c r="H387" s="9"/>
      <c r="I387" s="9"/>
      <c r="J387" s="5"/>
      <c r="K387" s="4"/>
      <c r="L387" s="10"/>
      <c r="M387" s="10"/>
      <c r="N387" s="10"/>
      <c r="O387" s="10"/>
      <c r="P387" s="10"/>
      <c r="Q387" s="11"/>
      <c r="R387" s="9"/>
      <c r="S387" s="12"/>
      <c r="T387" s="5"/>
      <c r="U387" s="5"/>
      <c r="V387" s="4"/>
      <c r="W387" s="4"/>
      <c r="X387" s="4"/>
      <c r="Y387" s="4"/>
    </row>
    <row r="388">
      <c r="A388" s="5"/>
      <c r="B388" s="9"/>
      <c r="C388" s="5"/>
      <c r="D388" s="9"/>
      <c r="E388" s="9"/>
      <c r="F388" s="9"/>
      <c r="G388" s="9"/>
      <c r="H388" s="9"/>
      <c r="I388" s="9"/>
      <c r="J388" s="5"/>
      <c r="K388" s="4"/>
      <c r="L388" s="10"/>
      <c r="M388" s="10"/>
      <c r="N388" s="10"/>
      <c r="O388" s="10"/>
      <c r="P388" s="10"/>
      <c r="Q388" s="11"/>
      <c r="R388" s="9"/>
      <c r="S388" s="12"/>
      <c r="T388" s="5"/>
      <c r="U388" s="5"/>
      <c r="V388" s="4"/>
      <c r="W388" s="4"/>
      <c r="X388" s="4"/>
      <c r="Y388" s="4"/>
    </row>
    <row r="389">
      <c r="A389" s="5"/>
      <c r="B389" s="9"/>
      <c r="C389" s="5"/>
      <c r="D389" s="9"/>
      <c r="E389" s="9"/>
      <c r="F389" s="9"/>
      <c r="G389" s="9"/>
      <c r="H389" s="9"/>
      <c r="I389" s="9"/>
      <c r="J389" s="5"/>
      <c r="K389" s="4"/>
      <c r="L389" s="10"/>
      <c r="M389" s="10"/>
      <c r="N389" s="10"/>
      <c r="O389" s="10"/>
      <c r="P389" s="10"/>
      <c r="Q389" s="11"/>
      <c r="R389" s="9"/>
      <c r="S389" s="12"/>
      <c r="T389" s="5"/>
      <c r="U389" s="5"/>
      <c r="V389" s="4"/>
      <c r="W389" s="4"/>
      <c r="X389" s="4"/>
      <c r="Y389" s="4"/>
    </row>
    <row r="390">
      <c r="A390" s="5"/>
      <c r="B390" s="9"/>
      <c r="C390" s="5"/>
      <c r="D390" s="9"/>
      <c r="E390" s="9"/>
      <c r="F390" s="9"/>
      <c r="G390" s="9"/>
      <c r="H390" s="9"/>
      <c r="I390" s="9"/>
      <c r="J390" s="5"/>
      <c r="K390" s="4"/>
      <c r="L390" s="10"/>
      <c r="M390" s="10"/>
      <c r="N390" s="10"/>
      <c r="O390" s="10"/>
      <c r="P390" s="10"/>
      <c r="Q390" s="11"/>
      <c r="R390" s="9"/>
      <c r="S390" s="12"/>
      <c r="T390" s="5"/>
      <c r="U390" s="5"/>
      <c r="V390" s="4"/>
      <c r="W390" s="4"/>
      <c r="X390" s="4"/>
      <c r="Y390" s="4"/>
    </row>
    <row r="391">
      <c r="A391" s="5"/>
      <c r="B391" s="9"/>
      <c r="C391" s="5"/>
      <c r="D391" s="9"/>
      <c r="E391" s="9"/>
      <c r="F391" s="9"/>
      <c r="G391" s="9"/>
      <c r="H391" s="9"/>
      <c r="I391" s="9"/>
      <c r="J391" s="5"/>
      <c r="K391" s="4"/>
      <c r="L391" s="10"/>
      <c r="M391" s="10"/>
      <c r="N391" s="10"/>
      <c r="O391" s="10"/>
      <c r="P391" s="10"/>
      <c r="Q391" s="11"/>
      <c r="R391" s="9"/>
      <c r="S391" s="12"/>
      <c r="T391" s="5"/>
      <c r="U391" s="5"/>
      <c r="V391" s="4"/>
      <c r="W391" s="4"/>
      <c r="X391" s="4"/>
      <c r="Y391" s="4"/>
    </row>
    <row r="392">
      <c r="A392" s="5"/>
      <c r="B392" s="9"/>
      <c r="C392" s="5"/>
      <c r="D392" s="9"/>
      <c r="E392" s="9"/>
      <c r="F392" s="9"/>
      <c r="G392" s="9"/>
      <c r="H392" s="9"/>
      <c r="I392" s="9"/>
      <c r="J392" s="5"/>
      <c r="K392" s="4"/>
      <c r="L392" s="10"/>
      <c r="M392" s="10"/>
      <c r="N392" s="10"/>
      <c r="O392" s="10"/>
      <c r="P392" s="10"/>
      <c r="Q392" s="11"/>
      <c r="R392" s="9"/>
      <c r="S392" s="12"/>
      <c r="T392" s="5"/>
      <c r="U392" s="5"/>
      <c r="V392" s="4"/>
      <c r="W392" s="4"/>
      <c r="X392" s="4"/>
      <c r="Y392" s="4"/>
    </row>
    <row r="393">
      <c r="A393" s="5"/>
      <c r="B393" s="9"/>
      <c r="C393" s="5"/>
      <c r="D393" s="9"/>
      <c r="E393" s="9"/>
      <c r="F393" s="9"/>
      <c r="G393" s="9"/>
      <c r="H393" s="9"/>
      <c r="I393" s="9"/>
      <c r="J393" s="5"/>
      <c r="K393" s="4"/>
      <c r="L393" s="10"/>
      <c r="M393" s="10"/>
      <c r="N393" s="10"/>
      <c r="O393" s="10"/>
      <c r="P393" s="10"/>
      <c r="Q393" s="11"/>
      <c r="R393" s="9"/>
      <c r="S393" s="12"/>
      <c r="T393" s="5"/>
      <c r="U393" s="5"/>
      <c r="V393" s="4"/>
      <c r="W393" s="4"/>
      <c r="X393" s="4"/>
      <c r="Y393" s="4"/>
    </row>
    <row r="394">
      <c r="A394" s="5"/>
      <c r="B394" s="9"/>
      <c r="C394" s="5"/>
      <c r="D394" s="9"/>
      <c r="E394" s="9"/>
      <c r="F394" s="9"/>
      <c r="G394" s="9"/>
      <c r="H394" s="9"/>
      <c r="I394" s="9"/>
      <c r="J394" s="5"/>
      <c r="K394" s="4"/>
      <c r="L394" s="10"/>
      <c r="M394" s="10"/>
      <c r="N394" s="10"/>
      <c r="O394" s="10"/>
      <c r="P394" s="10"/>
      <c r="Q394" s="11"/>
      <c r="R394" s="9"/>
      <c r="S394" s="12"/>
      <c r="T394" s="5"/>
      <c r="U394" s="5"/>
      <c r="V394" s="4"/>
      <c r="W394" s="4"/>
      <c r="X394" s="4"/>
      <c r="Y394" s="4"/>
    </row>
    <row r="395">
      <c r="A395" s="5"/>
      <c r="B395" s="9"/>
      <c r="C395" s="5"/>
      <c r="D395" s="9"/>
      <c r="E395" s="9"/>
      <c r="F395" s="9"/>
      <c r="G395" s="9"/>
      <c r="H395" s="9"/>
      <c r="I395" s="9"/>
      <c r="J395" s="5"/>
      <c r="K395" s="4"/>
      <c r="L395" s="10"/>
      <c r="M395" s="10"/>
      <c r="N395" s="10"/>
      <c r="O395" s="10"/>
      <c r="P395" s="10"/>
      <c r="Q395" s="11"/>
      <c r="R395" s="9"/>
      <c r="S395" s="12"/>
      <c r="T395" s="5"/>
      <c r="U395" s="5"/>
      <c r="V395" s="4"/>
      <c r="W395" s="4"/>
      <c r="X395" s="4"/>
      <c r="Y395" s="4"/>
    </row>
    <row r="396">
      <c r="A396" s="5"/>
      <c r="B396" s="9"/>
      <c r="C396" s="5"/>
      <c r="D396" s="9"/>
      <c r="E396" s="9"/>
      <c r="F396" s="9"/>
      <c r="G396" s="9"/>
      <c r="H396" s="9"/>
      <c r="I396" s="9"/>
      <c r="J396" s="5"/>
      <c r="K396" s="4"/>
      <c r="L396" s="10"/>
      <c r="M396" s="10"/>
      <c r="N396" s="10"/>
      <c r="O396" s="10"/>
      <c r="P396" s="10"/>
      <c r="Q396" s="11"/>
      <c r="R396" s="9"/>
      <c r="S396" s="12"/>
      <c r="T396" s="5"/>
      <c r="U396" s="5"/>
      <c r="V396" s="4"/>
      <c r="W396" s="4"/>
      <c r="X396" s="4"/>
      <c r="Y396" s="4"/>
    </row>
    <row r="397">
      <c r="A397" s="5"/>
      <c r="B397" s="9"/>
      <c r="C397" s="5"/>
      <c r="D397" s="9"/>
      <c r="E397" s="9"/>
      <c r="F397" s="9"/>
      <c r="G397" s="9"/>
      <c r="H397" s="9"/>
      <c r="I397" s="9"/>
      <c r="J397" s="5"/>
      <c r="K397" s="4"/>
      <c r="L397" s="10"/>
      <c r="M397" s="10"/>
      <c r="N397" s="10"/>
      <c r="O397" s="10"/>
      <c r="P397" s="10"/>
      <c r="Q397" s="11"/>
      <c r="R397" s="9"/>
      <c r="S397" s="12"/>
      <c r="T397" s="5"/>
      <c r="U397" s="5"/>
      <c r="V397" s="4"/>
      <c r="W397" s="4"/>
      <c r="X397" s="4"/>
      <c r="Y397" s="4"/>
    </row>
    <row r="398">
      <c r="A398" s="5"/>
      <c r="B398" s="9"/>
      <c r="C398" s="5"/>
      <c r="D398" s="9"/>
      <c r="E398" s="9"/>
      <c r="F398" s="9"/>
      <c r="G398" s="9"/>
      <c r="H398" s="9"/>
      <c r="I398" s="9"/>
      <c r="J398" s="5"/>
      <c r="K398" s="4"/>
      <c r="L398" s="10"/>
      <c r="M398" s="10"/>
      <c r="N398" s="10"/>
      <c r="O398" s="10"/>
      <c r="P398" s="10"/>
      <c r="Q398" s="11"/>
      <c r="R398" s="9"/>
      <c r="S398" s="12"/>
      <c r="T398" s="5"/>
      <c r="U398" s="5"/>
      <c r="V398" s="4"/>
      <c r="W398" s="4"/>
      <c r="X398" s="4"/>
      <c r="Y398" s="4"/>
    </row>
    <row r="399">
      <c r="A399" s="5"/>
      <c r="B399" s="9"/>
      <c r="C399" s="5"/>
      <c r="D399" s="9"/>
      <c r="E399" s="9"/>
      <c r="F399" s="9"/>
      <c r="G399" s="9"/>
      <c r="H399" s="9"/>
      <c r="I399" s="9"/>
      <c r="J399" s="5"/>
      <c r="K399" s="4"/>
      <c r="L399" s="10"/>
      <c r="M399" s="10"/>
      <c r="N399" s="10"/>
      <c r="O399" s="10"/>
      <c r="P399" s="10"/>
      <c r="Q399" s="11"/>
      <c r="R399" s="9"/>
      <c r="S399" s="12"/>
      <c r="T399" s="5"/>
      <c r="U399" s="5"/>
      <c r="V399" s="4"/>
      <c r="W399" s="4"/>
      <c r="X399" s="4"/>
      <c r="Y399" s="4"/>
    </row>
    <row r="400">
      <c r="A400" s="5"/>
      <c r="B400" s="9"/>
      <c r="C400" s="5"/>
      <c r="D400" s="9"/>
      <c r="E400" s="9"/>
      <c r="F400" s="9"/>
      <c r="G400" s="9"/>
      <c r="H400" s="9"/>
      <c r="I400" s="9"/>
      <c r="J400" s="5"/>
      <c r="K400" s="4"/>
      <c r="L400" s="10"/>
      <c r="M400" s="10"/>
      <c r="N400" s="10"/>
      <c r="O400" s="10"/>
      <c r="P400" s="10"/>
      <c r="Q400" s="11"/>
      <c r="R400" s="9"/>
      <c r="S400" s="12"/>
      <c r="T400" s="5"/>
      <c r="U400" s="5"/>
      <c r="V400" s="4"/>
      <c r="W400" s="4"/>
      <c r="X400" s="4"/>
      <c r="Y400" s="4"/>
    </row>
    <row r="401">
      <c r="A401" s="5"/>
      <c r="B401" s="9"/>
      <c r="C401" s="5"/>
      <c r="D401" s="9"/>
      <c r="E401" s="9"/>
      <c r="F401" s="9"/>
      <c r="G401" s="9"/>
      <c r="H401" s="9"/>
      <c r="I401" s="9"/>
      <c r="J401" s="5"/>
      <c r="K401" s="4"/>
      <c r="L401" s="10"/>
      <c r="M401" s="10"/>
      <c r="N401" s="10"/>
      <c r="O401" s="10"/>
      <c r="P401" s="10"/>
      <c r="Q401" s="11"/>
      <c r="R401" s="9"/>
      <c r="S401" s="12"/>
      <c r="T401" s="5"/>
      <c r="U401" s="5"/>
      <c r="V401" s="4"/>
      <c r="W401" s="4"/>
      <c r="X401" s="4"/>
      <c r="Y401" s="4"/>
    </row>
    <row r="402">
      <c r="A402" s="5"/>
      <c r="B402" s="9"/>
      <c r="C402" s="5"/>
      <c r="D402" s="9"/>
      <c r="E402" s="9"/>
      <c r="F402" s="9"/>
      <c r="G402" s="9"/>
      <c r="H402" s="9"/>
      <c r="I402" s="9"/>
      <c r="J402" s="5"/>
      <c r="K402" s="4"/>
      <c r="L402" s="10"/>
      <c r="M402" s="10"/>
      <c r="N402" s="10"/>
      <c r="O402" s="10"/>
      <c r="P402" s="10"/>
      <c r="Q402" s="11"/>
      <c r="R402" s="9"/>
      <c r="S402" s="12"/>
      <c r="T402" s="5"/>
      <c r="U402" s="5"/>
      <c r="V402" s="4"/>
      <c r="W402" s="4"/>
      <c r="X402" s="4"/>
      <c r="Y402" s="4"/>
    </row>
    <row r="403">
      <c r="A403" s="5"/>
      <c r="B403" s="9"/>
      <c r="C403" s="5"/>
      <c r="D403" s="9"/>
      <c r="E403" s="9"/>
      <c r="F403" s="9"/>
      <c r="G403" s="9"/>
      <c r="H403" s="9"/>
      <c r="I403" s="9"/>
      <c r="J403" s="5"/>
      <c r="K403" s="4"/>
      <c r="L403" s="10"/>
      <c r="M403" s="10"/>
      <c r="N403" s="10"/>
      <c r="O403" s="10"/>
      <c r="P403" s="10"/>
      <c r="Q403" s="11"/>
      <c r="R403" s="9"/>
      <c r="S403" s="12"/>
      <c r="T403" s="5"/>
      <c r="U403" s="5"/>
      <c r="V403" s="4"/>
      <c r="W403" s="4"/>
      <c r="X403" s="4"/>
      <c r="Y403" s="4"/>
    </row>
    <row r="404">
      <c r="A404" s="5"/>
      <c r="B404" s="9"/>
      <c r="C404" s="5"/>
      <c r="D404" s="9"/>
      <c r="E404" s="9"/>
      <c r="F404" s="9"/>
      <c r="G404" s="9"/>
      <c r="H404" s="9"/>
      <c r="I404" s="9"/>
      <c r="J404" s="5"/>
      <c r="K404" s="4"/>
      <c r="L404" s="10"/>
      <c r="M404" s="10"/>
      <c r="N404" s="10"/>
      <c r="O404" s="10"/>
      <c r="P404" s="10"/>
      <c r="Q404" s="11"/>
      <c r="R404" s="9"/>
      <c r="S404" s="12"/>
      <c r="T404" s="5"/>
      <c r="U404" s="5"/>
      <c r="V404" s="4"/>
      <c r="W404" s="4"/>
      <c r="X404" s="4"/>
      <c r="Y404" s="4"/>
    </row>
    <row r="405">
      <c r="A405" s="5"/>
      <c r="B405" s="9"/>
      <c r="C405" s="5"/>
      <c r="D405" s="9"/>
      <c r="E405" s="9"/>
      <c r="F405" s="9"/>
      <c r="G405" s="9"/>
      <c r="H405" s="9"/>
      <c r="I405" s="9"/>
      <c r="J405" s="5"/>
      <c r="K405" s="4"/>
      <c r="L405" s="10"/>
      <c r="M405" s="10"/>
      <c r="N405" s="10"/>
      <c r="O405" s="10"/>
      <c r="P405" s="10"/>
      <c r="Q405" s="11"/>
      <c r="R405" s="9"/>
      <c r="S405" s="12"/>
      <c r="T405" s="5"/>
      <c r="U405" s="5"/>
      <c r="V405" s="4"/>
      <c r="W405" s="4"/>
      <c r="X405" s="4"/>
      <c r="Y405" s="4"/>
    </row>
    <row r="406">
      <c r="A406" s="5"/>
      <c r="B406" s="9"/>
      <c r="C406" s="5"/>
      <c r="D406" s="9"/>
      <c r="E406" s="9"/>
      <c r="F406" s="9"/>
      <c r="G406" s="9"/>
      <c r="H406" s="9"/>
      <c r="I406" s="9"/>
      <c r="J406" s="5"/>
      <c r="K406" s="4"/>
      <c r="L406" s="10"/>
      <c r="M406" s="10"/>
      <c r="N406" s="10"/>
      <c r="O406" s="10"/>
      <c r="P406" s="10"/>
      <c r="Q406" s="11"/>
      <c r="R406" s="9"/>
      <c r="S406" s="12"/>
      <c r="T406" s="5"/>
      <c r="U406" s="5"/>
      <c r="V406" s="4"/>
      <c r="W406" s="4"/>
      <c r="X406" s="4"/>
      <c r="Y406" s="4"/>
    </row>
    <row r="407">
      <c r="A407" s="5"/>
      <c r="B407" s="9"/>
      <c r="C407" s="5"/>
      <c r="D407" s="9"/>
      <c r="E407" s="9"/>
      <c r="F407" s="9"/>
      <c r="G407" s="9"/>
      <c r="H407" s="9"/>
      <c r="I407" s="9"/>
      <c r="J407" s="5"/>
      <c r="K407" s="4"/>
      <c r="L407" s="10"/>
      <c r="M407" s="10"/>
      <c r="N407" s="10"/>
      <c r="O407" s="10"/>
      <c r="P407" s="10"/>
      <c r="Q407" s="11"/>
      <c r="R407" s="9"/>
      <c r="S407" s="12"/>
      <c r="T407" s="5"/>
      <c r="U407" s="5"/>
      <c r="V407" s="4"/>
      <c r="W407" s="4"/>
      <c r="X407" s="4"/>
      <c r="Y407" s="4"/>
    </row>
    <row r="408">
      <c r="A408" s="5"/>
      <c r="B408" s="9"/>
      <c r="C408" s="5"/>
      <c r="D408" s="9"/>
      <c r="E408" s="9"/>
      <c r="F408" s="9"/>
      <c r="G408" s="9"/>
      <c r="H408" s="9"/>
      <c r="I408" s="9"/>
      <c r="J408" s="5"/>
      <c r="K408" s="4"/>
      <c r="L408" s="10"/>
      <c r="M408" s="10"/>
      <c r="N408" s="10"/>
      <c r="O408" s="10"/>
      <c r="P408" s="10"/>
      <c r="Q408" s="11"/>
      <c r="R408" s="9"/>
      <c r="S408" s="12"/>
      <c r="T408" s="5"/>
      <c r="U408" s="5"/>
      <c r="V408" s="4"/>
      <c r="W408" s="4"/>
      <c r="X408" s="4"/>
      <c r="Y408" s="4"/>
    </row>
    <row r="409">
      <c r="A409" s="5"/>
      <c r="B409" s="9"/>
      <c r="C409" s="5"/>
      <c r="D409" s="9"/>
      <c r="E409" s="9"/>
      <c r="F409" s="9"/>
      <c r="G409" s="9"/>
      <c r="H409" s="9"/>
      <c r="I409" s="9"/>
      <c r="J409" s="5"/>
      <c r="K409" s="4"/>
      <c r="L409" s="10"/>
      <c r="M409" s="10"/>
      <c r="N409" s="10"/>
      <c r="O409" s="10"/>
      <c r="P409" s="10"/>
      <c r="Q409" s="11"/>
      <c r="R409" s="9"/>
      <c r="S409" s="12"/>
      <c r="T409" s="5"/>
      <c r="U409" s="5"/>
      <c r="V409" s="4"/>
      <c r="W409" s="4"/>
      <c r="X409" s="4"/>
      <c r="Y409" s="4"/>
    </row>
    <row r="410">
      <c r="A410" s="5"/>
      <c r="B410" s="9"/>
      <c r="C410" s="5"/>
      <c r="D410" s="9"/>
      <c r="E410" s="9"/>
      <c r="F410" s="9"/>
      <c r="G410" s="9"/>
      <c r="H410" s="9"/>
      <c r="I410" s="9"/>
      <c r="J410" s="5"/>
      <c r="K410" s="4"/>
      <c r="L410" s="10"/>
      <c r="M410" s="10"/>
      <c r="N410" s="10"/>
      <c r="O410" s="10"/>
      <c r="P410" s="10"/>
      <c r="Q410" s="11"/>
      <c r="R410" s="9"/>
      <c r="S410" s="12"/>
      <c r="T410" s="5"/>
      <c r="U410" s="5"/>
      <c r="V410" s="4"/>
      <c r="W410" s="4"/>
      <c r="X410" s="4"/>
      <c r="Y410" s="4"/>
    </row>
    <row r="411">
      <c r="A411" s="5"/>
      <c r="B411" s="9"/>
      <c r="C411" s="5"/>
      <c r="D411" s="9"/>
      <c r="E411" s="9"/>
      <c r="F411" s="9"/>
      <c r="G411" s="9"/>
      <c r="H411" s="9"/>
      <c r="I411" s="9"/>
      <c r="J411" s="5"/>
      <c r="K411" s="4"/>
      <c r="L411" s="10"/>
      <c r="M411" s="10"/>
      <c r="N411" s="10"/>
      <c r="O411" s="10"/>
      <c r="P411" s="10"/>
      <c r="Q411" s="11"/>
      <c r="R411" s="9"/>
      <c r="S411" s="12"/>
      <c r="T411" s="5"/>
      <c r="U411" s="5"/>
      <c r="V411" s="4"/>
      <c r="W411" s="4"/>
      <c r="X411" s="4"/>
      <c r="Y411" s="4"/>
    </row>
    <row r="412">
      <c r="A412" s="5"/>
      <c r="B412" s="9"/>
      <c r="C412" s="5"/>
      <c r="D412" s="9"/>
      <c r="E412" s="9"/>
      <c r="F412" s="9"/>
      <c r="G412" s="9"/>
      <c r="H412" s="9"/>
      <c r="I412" s="9"/>
      <c r="J412" s="5"/>
      <c r="K412" s="4"/>
      <c r="L412" s="10"/>
      <c r="M412" s="10"/>
      <c r="N412" s="10"/>
      <c r="O412" s="10"/>
      <c r="P412" s="10"/>
      <c r="Q412" s="11"/>
      <c r="R412" s="9"/>
      <c r="S412" s="12"/>
      <c r="T412" s="5"/>
      <c r="U412" s="5"/>
      <c r="V412" s="4"/>
      <c r="W412" s="4"/>
      <c r="X412" s="4"/>
      <c r="Y412" s="4"/>
    </row>
    <row r="413">
      <c r="A413" s="5"/>
      <c r="B413" s="9"/>
      <c r="C413" s="5"/>
      <c r="D413" s="9"/>
      <c r="E413" s="9"/>
      <c r="F413" s="9"/>
      <c r="G413" s="9"/>
      <c r="H413" s="9"/>
      <c r="I413" s="9"/>
      <c r="J413" s="5"/>
      <c r="K413" s="4"/>
      <c r="L413" s="10"/>
      <c r="M413" s="10"/>
      <c r="N413" s="10"/>
      <c r="O413" s="10"/>
      <c r="P413" s="10"/>
      <c r="Q413" s="11"/>
      <c r="R413" s="9"/>
      <c r="S413" s="12"/>
      <c r="T413" s="5"/>
      <c r="U413" s="5"/>
      <c r="V413" s="4"/>
      <c r="W413" s="4"/>
      <c r="X413" s="4"/>
      <c r="Y413" s="4"/>
    </row>
    <row r="414">
      <c r="A414" s="5"/>
      <c r="B414" s="9"/>
      <c r="C414" s="5"/>
      <c r="D414" s="9"/>
      <c r="E414" s="9"/>
      <c r="F414" s="9"/>
      <c r="G414" s="9"/>
      <c r="H414" s="9"/>
      <c r="I414" s="9"/>
      <c r="J414" s="5"/>
      <c r="K414" s="4"/>
      <c r="L414" s="10"/>
      <c r="M414" s="10"/>
      <c r="N414" s="10"/>
      <c r="O414" s="10"/>
      <c r="P414" s="10"/>
      <c r="Q414" s="11"/>
      <c r="R414" s="9"/>
      <c r="S414" s="12"/>
      <c r="T414" s="5"/>
      <c r="U414" s="5"/>
      <c r="V414" s="4"/>
      <c r="W414" s="4"/>
      <c r="X414" s="4"/>
      <c r="Y414" s="4"/>
    </row>
    <row r="415">
      <c r="A415" s="5"/>
      <c r="B415" s="9"/>
      <c r="C415" s="5"/>
      <c r="D415" s="9"/>
      <c r="E415" s="9"/>
      <c r="F415" s="9"/>
      <c r="G415" s="9"/>
      <c r="H415" s="9"/>
      <c r="I415" s="9"/>
      <c r="J415" s="5"/>
      <c r="K415" s="4"/>
      <c r="L415" s="10"/>
      <c r="M415" s="10"/>
      <c r="N415" s="10"/>
      <c r="O415" s="10"/>
      <c r="P415" s="10"/>
      <c r="Q415" s="11"/>
      <c r="R415" s="9"/>
      <c r="S415" s="12"/>
      <c r="T415" s="5"/>
      <c r="U415" s="5"/>
      <c r="V415" s="4"/>
      <c r="W415" s="4"/>
      <c r="X415" s="4"/>
      <c r="Y415" s="4"/>
    </row>
    <row r="416">
      <c r="A416" s="5"/>
      <c r="B416" s="9"/>
      <c r="C416" s="5"/>
      <c r="D416" s="9"/>
      <c r="E416" s="9"/>
      <c r="F416" s="9"/>
      <c r="G416" s="9"/>
      <c r="H416" s="9"/>
      <c r="I416" s="9"/>
      <c r="J416" s="5"/>
      <c r="K416" s="4"/>
      <c r="L416" s="10"/>
      <c r="M416" s="10"/>
      <c r="N416" s="10"/>
      <c r="O416" s="10"/>
      <c r="P416" s="10"/>
      <c r="Q416" s="11"/>
      <c r="R416" s="9"/>
      <c r="S416" s="12"/>
      <c r="T416" s="5"/>
      <c r="U416" s="5"/>
      <c r="V416" s="4"/>
      <c r="W416" s="4"/>
      <c r="X416" s="4"/>
      <c r="Y416" s="4"/>
    </row>
    <row r="417">
      <c r="A417" s="5"/>
      <c r="B417" s="9"/>
      <c r="C417" s="5"/>
      <c r="D417" s="9"/>
      <c r="E417" s="9"/>
      <c r="F417" s="9"/>
      <c r="G417" s="9"/>
      <c r="H417" s="9"/>
      <c r="I417" s="9"/>
      <c r="J417" s="5"/>
      <c r="K417" s="4"/>
      <c r="L417" s="10"/>
      <c r="M417" s="10"/>
      <c r="N417" s="10"/>
      <c r="O417" s="10"/>
      <c r="P417" s="10"/>
      <c r="Q417" s="11"/>
      <c r="R417" s="9"/>
      <c r="S417" s="12"/>
      <c r="T417" s="5"/>
      <c r="U417" s="5"/>
      <c r="V417" s="4"/>
      <c r="W417" s="4"/>
      <c r="X417" s="4"/>
      <c r="Y417" s="4"/>
    </row>
    <row r="418">
      <c r="A418" s="5"/>
      <c r="B418" s="9"/>
      <c r="C418" s="5"/>
      <c r="D418" s="9"/>
      <c r="E418" s="9"/>
      <c r="F418" s="9"/>
      <c r="G418" s="9"/>
      <c r="H418" s="9"/>
      <c r="I418" s="9"/>
      <c r="J418" s="5"/>
      <c r="K418" s="4"/>
      <c r="L418" s="10"/>
      <c r="M418" s="10"/>
      <c r="N418" s="10"/>
      <c r="O418" s="10"/>
      <c r="P418" s="10"/>
      <c r="Q418" s="11"/>
      <c r="R418" s="9"/>
      <c r="S418" s="12"/>
      <c r="T418" s="5"/>
      <c r="U418" s="5"/>
      <c r="V418" s="4"/>
      <c r="W418" s="4"/>
      <c r="X418" s="4"/>
      <c r="Y418" s="4"/>
    </row>
    <row r="419">
      <c r="A419" s="5"/>
      <c r="B419" s="9"/>
      <c r="C419" s="5"/>
      <c r="D419" s="9"/>
      <c r="E419" s="9"/>
      <c r="F419" s="9"/>
      <c r="G419" s="9"/>
      <c r="H419" s="9"/>
      <c r="I419" s="9"/>
      <c r="J419" s="5"/>
      <c r="K419" s="4"/>
      <c r="L419" s="10"/>
      <c r="M419" s="10"/>
      <c r="N419" s="10"/>
      <c r="O419" s="10"/>
      <c r="P419" s="10"/>
      <c r="Q419" s="11"/>
      <c r="R419" s="9"/>
      <c r="S419" s="12"/>
      <c r="T419" s="5"/>
      <c r="U419" s="5"/>
      <c r="V419" s="4"/>
      <c r="W419" s="4"/>
      <c r="X419" s="4"/>
      <c r="Y419" s="4"/>
    </row>
    <row r="420">
      <c r="A420" s="5"/>
      <c r="B420" s="9"/>
      <c r="C420" s="5"/>
      <c r="D420" s="9"/>
      <c r="E420" s="9"/>
      <c r="F420" s="9"/>
      <c r="G420" s="9"/>
      <c r="H420" s="9"/>
      <c r="I420" s="9"/>
      <c r="J420" s="5"/>
      <c r="K420" s="4"/>
      <c r="L420" s="10"/>
      <c r="M420" s="10"/>
      <c r="N420" s="10"/>
      <c r="O420" s="10"/>
      <c r="P420" s="10"/>
      <c r="Q420" s="11"/>
      <c r="R420" s="9"/>
      <c r="S420" s="12"/>
      <c r="T420" s="5"/>
      <c r="U420" s="5"/>
      <c r="V420" s="4"/>
      <c r="W420" s="4"/>
      <c r="X420" s="4"/>
      <c r="Y420" s="4"/>
    </row>
    <row r="421">
      <c r="A421" s="5"/>
      <c r="B421" s="9"/>
      <c r="C421" s="5"/>
      <c r="D421" s="9"/>
      <c r="E421" s="9"/>
      <c r="F421" s="9"/>
      <c r="G421" s="9"/>
      <c r="H421" s="9"/>
      <c r="I421" s="9"/>
      <c r="J421" s="5"/>
      <c r="K421" s="4"/>
      <c r="L421" s="10"/>
      <c r="M421" s="10"/>
      <c r="N421" s="10"/>
      <c r="O421" s="10"/>
      <c r="P421" s="10"/>
      <c r="Q421" s="11"/>
      <c r="R421" s="9"/>
      <c r="S421" s="12"/>
      <c r="T421" s="5"/>
      <c r="U421" s="5"/>
      <c r="V421" s="4"/>
      <c r="W421" s="4"/>
      <c r="X421" s="4"/>
      <c r="Y421" s="4"/>
    </row>
    <row r="422">
      <c r="A422" s="5"/>
      <c r="B422" s="9"/>
      <c r="C422" s="5"/>
      <c r="D422" s="9"/>
      <c r="E422" s="9"/>
      <c r="F422" s="9"/>
      <c r="G422" s="9"/>
      <c r="H422" s="9"/>
      <c r="I422" s="9"/>
      <c r="J422" s="5"/>
      <c r="K422" s="4"/>
      <c r="L422" s="10"/>
      <c r="M422" s="10"/>
      <c r="N422" s="10"/>
      <c r="O422" s="10"/>
      <c r="P422" s="10"/>
      <c r="Q422" s="11"/>
      <c r="R422" s="9"/>
      <c r="S422" s="12"/>
      <c r="T422" s="5"/>
      <c r="U422" s="5"/>
      <c r="V422" s="4"/>
      <c r="W422" s="4"/>
      <c r="X422" s="4"/>
      <c r="Y422" s="4"/>
    </row>
    <row r="423">
      <c r="A423" s="5"/>
      <c r="B423" s="9"/>
      <c r="C423" s="5"/>
      <c r="D423" s="9"/>
      <c r="E423" s="9"/>
      <c r="F423" s="9"/>
      <c r="G423" s="9"/>
      <c r="H423" s="9"/>
      <c r="I423" s="9"/>
      <c r="J423" s="5"/>
      <c r="K423" s="4"/>
      <c r="L423" s="10"/>
      <c r="M423" s="10"/>
      <c r="N423" s="10"/>
      <c r="O423" s="10"/>
      <c r="P423" s="10"/>
      <c r="Q423" s="11"/>
      <c r="R423" s="9"/>
      <c r="S423" s="12"/>
      <c r="T423" s="5"/>
      <c r="U423" s="5"/>
      <c r="V423" s="4"/>
      <c r="W423" s="4"/>
      <c r="X423" s="4"/>
      <c r="Y423" s="4"/>
    </row>
    <row r="424">
      <c r="A424" s="5"/>
      <c r="B424" s="9"/>
      <c r="C424" s="5"/>
      <c r="D424" s="9"/>
      <c r="E424" s="9"/>
      <c r="F424" s="9"/>
      <c r="G424" s="9"/>
      <c r="H424" s="9"/>
      <c r="I424" s="9"/>
      <c r="J424" s="5"/>
      <c r="K424" s="4"/>
      <c r="L424" s="10"/>
      <c r="M424" s="10"/>
      <c r="N424" s="10"/>
      <c r="O424" s="10"/>
      <c r="P424" s="10"/>
      <c r="Q424" s="11"/>
      <c r="R424" s="9"/>
      <c r="S424" s="12"/>
      <c r="T424" s="5"/>
      <c r="U424" s="5"/>
      <c r="V424" s="4"/>
      <c r="W424" s="4"/>
      <c r="X424" s="4"/>
      <c r="Y424" s="4"/>
    </row>
    <row r="425">
      <c r="A425" s="5"/>
      <c r="B425" s="9"/>
      <c r="C425" s="5"/>
      <c r="D425" s="9"/>
      <c r="E425" s="9"/>
      <c r="F425" s="9"/>
      <c r="G425" s="9"/>
      <c r="H425" s="9"/>
      <c r="I425" s="9"/>
      <c r="J425" s="5"/>
      <c r="K425" s="4"/>
      <c r="L425" s="10"/>
      <c r="M425" s="10"/>
      <c r="N425" s="10"/>
      <c r="O425" s="10"/>
      <c r="P425" s="10"/>
      <c r="Q425" s="11"/>
      <c r="R425" s="9"/>
      <c r="S425" s="12"/>
      <c r="T425" s="5"/>
      <c r="U425" s="5"/>
      <c r="V425" s="4"/>
      <c r="W425" s="4"/>
      <c r="X425" s="4"/>
      <c r="Y425" s="4"/>
    </row>
    <row r="426">
      <c r="A426" s="5"/>
      <c r="B426" s="9"/>
      <c r="C426" s="5"/>
      <c r="D426" s="9"/>
      <c r="E426" s="9"/>
      <c r="F426" s="9"/>
      <c r="G426" s="9"/>
      <c r="H426" s="9"/>
      <c r="I426" s="9"/>
      <c r="J426" s="5"/>
      <c r="K426" s="4"/>
      <c r="L426" s="10"/>
      <c r="M426" s="10"/>
      <c r="N426" s="10"/>
      <c r="O426" s="10"/>
      <c r="P426" s="10"/>
      <c r="Q426" s="11"/>
      <c r="R426" s="9"/>
      <c r="S426" s="12"/>
      <c r="T426" s="5"/>
      <c r="U426" s="5"/>
      <c r="V426" s="4"/>
      <c r="W426" s="4"/>
      <c r="X426" s="4"/>
      <c r="Y426" s="4"/>
    </row>
    <row r="427">
      <c r="A427" s="5"/>
      <c r="B427" s="9"/>
      <c r="C427" s="5"/>
      <c r="D427" s="9"/>
      <c r="E427" s="9"/>
      <c r="F427" s="9"/>
      <c r="G427" s="9"/>
      <c r="H427" s="9"/>
      <c r="I427" s="9"/>
      <c r="J427" s="5"/>
      <c r="K427" s="4"/>
      <c r="L427" s="10"/>
      <c r="M427" s="10"/>
      <c r="N427" s="10"/>
      <c r="O427" s="10"/>
      <c r="P427" s="10"/>
      <c r="Q427" s="11"/>
      <c r="R427" s="9"/>
      <c r="S427" s="12"/>
      <c r="T427" s="5"/>
      <c r="U427" s="5"/>
      <c r="V427" s="4"/>
      <c r="W427" s="4"/>
      <c r="X427" s="4"/>
      <c r="Y427" s="4"/>
    </row>
    <row r="428">
      <c r="A428" s="5"/>
      <c r="B428" s="9"/>
      <c r="C428" s="5"/>
      <c r="D428" s="9"/>
      <c r="E428" s="9"/>
      <c r="F428" s="9"/>
      <c r="G428" s="9"/>
      <c r="H428" s="9"/>
      <c r="I428" s="9"/>
      <c r="J428" s="5"/>
      <c r="K428" s="4"/>
      <c r="L428" s="10"/>
      <c r="M428" s="10"/>
      <c r="N428" s="10"/>
      <c r="O428" s="10"/>
      <c r="P428" s="10"/>
      <c r="Q428" s="11"/>
      <c r="R428" s="9"/>
      <c r="S428" s="12"/>
      <c r="T428" s="5"/>
      <c r="U428" s="5"/>
      <c r="V428" s="4"/>
      <c r="W428" s="4"/>
      <c r="X428" s="4"/>
      <c r="Y428" s="4"/>
    </row>
    <row r="429">
      <c r="A429" s="5"/>
      <c r="B429" s="9"/>
      <c r="C429" s="5"/>
      <c r="D429" s="9"/>
      <c r="E429" s="9"/>
      <c r="F429" s="9"/>
      <c r="G429" s="9"/>
      <c r="H429" s="9"/>
      <c r="I429" s="9"/>
      <c r="J429" s="5"/>
      <c r="K429" s="4"/>
      <c r="L429" s="10"/>
      <c r="M429" s="10"/>
      <c r="N429" s="10"/>
      <c r="O429" s="10"/>
      <c r="P429" s="10"/>
      <c r="Q429" s="11"/>
      <c r="R429" s="9"/>
      <c r="S429" s="12"/>
      <c r="T429" s="5"/>
      <c r="U429" s="5"/>
      <c r="V429" s="4"/>
      <c r="W429" s="4"/>
      <c r="X429" s="4"/>
      <c r="Y429" s="4"/>
    </row>
    <row r="430">
      <c r="A430" s="5"/>
      <c r="B430" s="9"/>
      <c r="C430" s="5"/>
      <c r="D430" s="9"/>
      <c r="E430" s="9"/>
      <c r="F430" s="9"/>
      <c r="G430" s="9"/>
      <c r="H430" s="9"/>
      <c r="I430" s="9"/>
      <c r="J430" s="5"/>
      <c r="K430" s="4"/>
      <c r="L430" s="10"/>
      <c r="M430" s="10"/>
      <c r="N430" s="10"/>
      <c r="O430" s="10"/>
      <c r="P430" s="10"/>
      <c r="Q430" s="11"/>
      <c r="R430" s="9"/>
      <c r="S430" s="12"/>
      <c r="T430" s="5"/>
      <c r="U430" s="5"/>
      <c r="V430" s="4"/>
      <c r="W430" s="4"/>
      <c r="X430" s="4"/>
      <c r="Y430" s="4"/>
    </row>
    <row r="431">
      <c r="A431" s="5"/>
      <c r="B431" s="9"/>
      <c r="C431" s="5"/>
      <c r="D431" s="9"/>
      <c r="E431" s="9"/>
      <c r="F431" s="9"/>
      <c r="G431" s="9"/>
      <c r="H431" s="9"/>
      <c r="I431" s="9"/>
      <c r="J431" s="5"/>
      <c r="K431" s="4"/>
      <c r="L431" s="10"/>
      <c r="M431" s="10"/>
      <c r="N431" s="10"/>
      <c r="O431" s="10"/>
      <c r="P431" s="10"/>
      <c r="Q431" s="11"/>
      <c r="R431" s="9"/>
      <c r="S431" s="12"/>
      <c r="T431" s="5"/>
      <c r="U431" s="5"/>
      <c r="V431" s="4"/>
      <c r="W431" s="4"/>
      <c r="X431" s="4"/>
      <c r="Y431" s="4"/>
    </row>
    <row r="432">
      <c r="A432" s="5"/>
      <c r="B432" s="9"/>
      <c r="C432" s="5"/>
      <c r="D432" s="9"/>
      <c r="E432" s="9"/>
      <c r="F432" s="9"/>
      <c r="G432" s="9"/>
      <c r="H432" s="9"/>
      <c r="I432" s="9"/>
      <c r="J432" s="5"/>
      <c r="K432" s="4"/>
      <c r="L432" s="10"/>
      <c r="M432" s="10"/>
      <c r="N432" s="10"/>
      <c r="O432" s="10"/>
      <c r="P432" s="10"/>
      <c r="Q432" s="11"/>
      <c r="R432" s="9"/>
      <c r="S432" s="12"/>
      <c r="T432" s="5"/>
      <c r="U432" s="5"/>
      <c r="V432" s="4"/>
      <c r="W432" s="4"/>
      <c r="X432" s="4"/>
      <c r="Y432" s="4"/>
    </row>
    <row r="433">
      <c r="A433" s="5"/>
      <c r="B433" s="9"/>
      <c r="C433" s="5"/>
      <c r="D433" s="9"/>
      <c r="E433" s="9"/>
      <c r="F433" s="9"/>
      <c r="G433" s="9"/>
      <c r="H433" s="9"/>
      <c r="I433" s="9"/>
      <c r="J433" s="5"/>
      <c r="K433" s="4"/>
      <c r="L433" s="10"/>
      <c r="M433" s="10"/>
      <c r="N433" s="10"/>
      <c r="O433" s="10"/>
      <c r="P433" s="10"/>
      <c r="Q433" s="11"/>
      <c r="R433" s="9"/>
      <c r="S433" s="12"/>
      <c r="T433" s="5"/>
      <c r="U433" s="5"/>
      <c r="V433" s="4"/>
      <c r="W433" s="4"/>
      <c r="X433" s="4"/>
      <c r="Y433" s="4"/>
    </row>
    <row r="434">
      <c r="A434" s="5"/>
      <c r="B434" s="9"/>
      <c r="C434" s="5"/>
      <c r="D434" s="9"/>
      <c r="E434" s="9"/>
      <c r="F434" s="9"/>
      <c r="G434" s="9"/>
      <c r="H434" s="9"/>
      <c r="I434" s="9"/>
      <c r="J434" s="5"/>
      <c r="K434" s="4"/>
      <c r="L434" s="10"/>
      <c r="M434" s="10"/>
      <c r="N434" s="10"/>
      <c r="O434" s="10"/>
      <c r="P434" s="10"/>
      <c r="Q434" s="11"/>
      <c r="R434" s="9"/>
      <c r="S434" s="12"/>
      <c r="T434" s="5"/>
      <c r="U434" s="5"/>
      <c r="V434" s="4"/>
      <c r="W434" s="4"/>
      <c r="X434" s="4"/>
      <c r="Y434" s="4"/>
    </row>
    <row r="435">
      <c r="A435" s="5"/>
      <c r="B435" s="9"/>
      <c r="C435" s="5"/>
      <c r="D435" s="9"/>
      <c r="E435" s="9"/>
      <c r="F435" s="9"/>
      <c r="G435" s="9"/>
      <c r="H435" s="9"/>
      <c r="I435" s="9"/>
      <c r="J435" s="5"/>
      <c r="K435" s="4"/>
      <c r="L435" s="10"/>
      <c r="M435" s="10"/>
      <c r="N435" s="10"/>
      <c r="O435" s="10"/>
      <c r="P435" s="10"/>
      <c r="Q435" s="11"/>
      <c r="R435" s="9"/>
      <c r="S435" s="12"/>
      <c r="T435" s="5"/>
      <c r="U435" s="5"/>
      <c r="V435" s="4"/>
      <c r="W435" s="4"/>
      <c r="X435" s="4"/>
      <c r="Y435" s="4"/>
    </row>
    <row r="436">
      <c r="A436" s="5"/>
      <c r="B436" s="9"/>
      <c r="C436" s="5"/>
      <c r="D436" s="9"/>
      <c r="E436" s="9"/>
      <c r="F436" s="9"/>
      <c r="G436" s="9"/>
      <c r="H436" s="9"/>
      <c r="I436" s="9"/>
      <c r="J436" s="5"/>
      <c r="K436" s="4"/>
      <c r="L436" s="10"/>
      <c r="M436" s="10"/>
      <c r="N436" s="10"/>
      <c r="O436" s="10"/>
      <c r="P436" s="10"/>
      <c r="Q436" s="11"/>
      <c r="R436" s="9"/>
      <c r="S436" s="12"/>
      <c r="T436" s="5"/>
      <c r="U436" s="5"/>
      <c r="V436" s="4"/>
      <c r="W436" s="4"/>
      <c r="X436" s="4"/>
      <c r="Y436" s="4"/>
    </row>
    <row r="437">
      <c r="A437" s="5"/>
      <c r="B437" s="9"/>
      <c r="C437" s="5"/>
      <c r="D437" s="9"/>
      <c r="E437" s="9"/>
      <c r="F437" s="9"/>
      <c r="G437" s="9"/>
      <c r="H437" s="9"/>
      <c r="I437" s="9"/>
      <c r="J437" s="5"/>
      <c r="K437" s="4"/>
      <c r="L437" s="10"/>
      <c r="M437" s="10"/>
      <c r="N437" s="10"/>
      <c r="O437" s="10"/>
      <c r="P437" s="10"/>
      <c r="Q437" s="11"/>
      <c r="R437" s="9"/>
      <c r="S437" s="12"/>
      <c r="T437" s="5"/>
      <c r="U437" s="5"/>
      <c r="V437" s="4"/>
      <c r="W437" s="4"/>
      <c r="X437" s="4"/>
      <c r="Y437" s="4"/>
    </row>
    <row r="438">
      <c r="A438" s="5"/>
      <c r="B438" s="9"/>
      <c r="C438" s="5"/>
      <c r="D438" s="9"/>
      <c r="E438" s="9"/>
      <c r="F438" s="9"/>
      <c r="G438" s="9"/>
      <c r="H438" s="9"/>
      <c r="I438" s="9"/>
      <c r="J438" s="5"/>
      <c r="K438" s="4"/>
      <c r="L438" s="10"/>
      <c r="M438" s="10"/>
      <c r="N438" s="10"/>
      <c r="O438" s="10"/>
      <c r="P438" s="10"/>
      <c r="Q438" s="11"/>
      <c r="R438" s="9"/>
      <c r="S438" s="12"/>
      <c r="T438" s="5"/>
      <c r="U438" s="5"/>
      <c r="V438" s="4"/>
      <c r="W438" s="4"/>
      <c r="X438" s="4"/>
      <c r="Y438" s="4"/>
    </row>
    <row r="439">
      <c r="A439" s="5"/>
      <c r="B439" s="9"/>
      <c r="C439" s="5"/>
      <c r="D439" s="9"/>
      <c r="E439" s="9"/>
      <c r="F439" s="9"/>
      <c r="G439" s="9"/>
      <c r="H439" s="9"/>
      <c r="I439" s="9"/>
      <c r="J439" s="5"/>
      <c r="K439" s="4"/>
      <c r="L439" s="10"/>
      <c r="M439" s="10"/>
      <c r="N439" s="10"/>
      <c r="O439" s="10"/>
      <c r="P439" s="10"/>
      <c r="Q439" s="11"/>
      <c r="R439" s="9"/>
      <c r="S439" s="12"/>
      <c r="T439" s="5"/>
      <c r="U439" s="5"/>
      <c r="V439" s="4"/>
      <c r="W439" s="4"/>
      <c r="X439" s="4"/>
      <c r="Y439" s="4"/>
    </row>
    <row r="440">
      <c r="A440" s="5"/>
      <c r="B440" s="9"/>
      <c r="C440" s="5"/>
      <c r="D440" s="9"/>
      <c r="E440" s="9"/>
      <c r="F440" s="9"/>
      <c r="G440" s="9"/>
      <c r="H440" s="9"/>
      <c r="I440" s="9"/>
      <c r="J440" s="5"/>
      <c r="K440" s="4"/>
      <c r="L440" s="10"/>
      <c r="M440" s="10"/>
      <c r="N440" s="10"/>
      <c r="O440" s="10"/>
      <c r="P440" s="10"/>
      <c r="Q440" s="11"/>
      <c r="R440" s="9"/>
      <c r="S440" s="12"/>
      <c r="T440" s="5"/>
      <c r="U440" s="5"/>
      <c r="V440" s="4"/>
      <c r="W440" s="4"/>
      <c r="X440" s="4"/>
      <c r="Y440" s="4"/>
    </row>
    <row r="441">
      <c r="A441" s="5"/>
      <c r="B441" s="9"/>
      <c r="C441" s="5"/>
      <c r="D441" s="9"/>
      <c r="E441" s="9"/>
      <c r="F441" s="9"/>
      <c r="G441" s="9"/>
      <c r="H441" s="9"/>
      <c r="I441" s="9"/>
      <c r="J441" s="5"/>
      <c r="K441" s="4"/>
      <c r="L441" s="10"/>
      <c r="M441" s="10"/>
      <c r="N441" s="10"/>
      <c r="O441" s="10"/>
      <c r="P441" s="10"/>
      <c r="Q441" s="11"/>
      <c r="R441" s="9"/>
      <c r="S441" s="12"/>
      <c r="T441" s="5"/>
      <c r="U441" s="5"/>
      <c r="V441" s="4"/>
      <c r="W441" s="4"/>
      <c r="X441" s="4"/>
      <c r="Y441" s="4"/>
    </row>
    <row r="442">
      <c r="A442" s="5"/>
      <c r="B442" s="9"/>
      <c r="C442" s="5"/>
      <c r="D442" s="9"/>
      <c r="E442" s="9"/>
      <c r="F442" s="9"/>
      <c r="G442" s="9"/>
      <c r="H442" s="9"/>
      <c r="I442" s="9"/>
      <c r="J442" s="5"/>
      <c r="K442" s="4"/>
      <c r="L442" s="10"/>
      <c r="M442" s="10"/>
      <c r="N442" s="10"/>
      <c r="O442" s="10"/>
      <c r="P442" s="10"/>
      <c r="Q442" s="11"/>
      <c r="R442" s="9"/>
      <c r="S442" s="12"/>
      <c r="T442" s="5"/>
      <c r="U442" s="5"/>
      <c r="V442" s="4"/>
      <c r="W442" s="4"/>
      <c r="X442" s="4"/>
      <c r="Y442" s="4"/>
    </row>
    <row r="443">
      <c r="A443" s="5"/>
      <c r="B443" s="9"/>
      <c r="C443" s="5"/>
      <c r="D443" s="9"/>
      <c r="E443" s="9"/>
      <c r="F443" s="9"/>
      <c r="G443" s="9"/>
      <c r="H443" s="9"/>
      <c r="I443" s="9"/>
      <c r="J443" s="5"/>
      <c r="K443" s="4"/>
      <c r="L443" s="10"/>
      <c r="M443" s="10"/>
      <c r="N443" s="10"/>
      <c r="O443" s="10"/>
      <c r="P443" s="10"/>
      <c r="Q443" s="11"/>
      <c r="R443" s="9"/>
      <c r="S443" s="12"/>
      <c r="T443" s="5"/>
      <c r="U443" s="5"/>
      <c r="V443" s="4"/>
      <c r="W443" s="4"/>
      <c r="X443" s="4"/>
      <c r="Y443" s="4"/>
    </row>
    <row r="444">
      <c r="A444" s="5"/>
      <c r="B444" s="9"/>
      <c r="C444" s="5"/>
      <c r="D444" s="9"/>
      <c r="E444" s="9"/>
      <c r="F444" s="9"/>
      <c r="G444" s="9"/>
      <c r="H444" s="9"/>
      <c r="I444" s="9"/>
      <c r="J444" s="5"/>
      <c r="K444" s="4"/>
      <c r="L444" s="10"/>
      <c r="M444" s="10"/>
      <c r="N444" s="10"/>
      <c r="O444" s="10"/>
      <c r="P444" s="10"/>
      <c r="Q444" s="11"/>
      <c r="R444" s="9"/>
      <c r="S444" s="12"/>
      <c r="T444" s="5"/>
      <c r="U444" s="5"/>
      <c r="V444" s="4"/>
      <c r="W444" s="4"/>
      <c r="X444" s="4"/>
      <c r="Y444" s="4"/>
    </row>
    <row r="445">
      <c r="A445" s="5"/>
      <c r="B445" s="9"/>
      <c r="C445" s="5"/>
      <c r="D445" s="9"/>
      <c r="E445" s="9"/>
      <c r="F445" s="9"/>
      <c r="G445" s="9"/>
      <c r="H445" s="9"/>
      <c r="I445" s="9"/>
      <c r="J445" s="5"/>
      <c r="K445" s="4"/>
      <c r="L445" s="10"/>
      <c r="M445" s="10"/>
      <c r="N445" s="10"/>
      <c r="O445" s="10"/>
      <c r="P445" s="10"/>
      <c r="Q445" s="11"/>
      <c r="R445" s="9"/>
      <c r="S445" s="12"/>
      <c r="T445" s="5"/>
      <c r="U445" s="5"/>
      <c r="V445" s="4"/>
      <c r="W445" s="4"/>
      <c r="X445" s="4"/>
      <c r="Y445" s="4"/>
    </row>
    <row r="446">
      <c r="A446" s="5"/>
      <c r="B446" s="9"/>
      <c r="C446" s="5"/>
      <c r="D446" s="9"/>
      <c r="E446" s="9"/>
      <c r="F446" s="9"/>
      <c r="G446" s="9"/>
      <c r="H446" s="9"/>
      <c r="I446" s="9"/>
      <c r="J446" s="5"/>
      <c r="K446" s="4"/>
      <c r="L446" s="10"/>
      <c r="M446" s="10"/>
      <c r="N446" s="10"/>
      <c r="O446" s="10"/>
      <c r="P446" s="10"/>
      <c r="Q446" s="11"/>
      <c r="R446" s="9"/>
      <c r="S446" s="12"/>
      <c r="T446" s="5"/>
      <c r="U446" s="5"/>
      <c r="V446" s="4"/>
      <c r="W446" s="4"/>
      <c r="X446" s="4"/>
      <c r="Y446" s="4"/>
    </row>
    <row r="447">
      <c r="A447" s="5"/>
      <c r="B447" s="9"/>
      <c r="C447" s="5"/>
      <c r="D447" s="9"/>
      <c r="E447" s="9"/>
      <c r="F447" s="9"/>
      <c r="G447" s="9"/>
      <c r="H447" s="9"/>
      <c r="I447" s="9"/>
      <c r="J447" s="5"/>
      <c r="K447" s="4"/>
      <c r="L447" s="10"/>
      <c r="M447" s="10"/>
      <c r="N447" s="10"/>
      <c r="O447" s="10"/>
      <c r="P447" s="10"/>
      <c r="Q447" s="11"/>
      <c r="R447" s="9"/>
      <c r="S447" s="12"/>
      <c r="T447" s="5"/>
      <c r="U447" s="5"/>
      <c r="V447" s="4"/>
      <c r="W447" s="4"/>
      <c r="X447" s="4"/>
      <c r="Y447" s="4"/>
    </row>
    <row r="448">
      <c r="A448" s="5"/>
      <c r="B448" s="9"/>
      <c r="C448" s="5"/>
      <c r="D448" s="9"/>
      <c r="E448" s="9"/>
      <c r="F448" s="9"/>
      <c r="G448" s="9"/>
      <c r="H448" s="9"/>
      <c r="I448" s="9"/>
      <c r="J448" s="5"/>
      <c r="K448" s="4"/>
      <c r="L448" s="10"/>
      <c r="M448" s="10"/>
      <c r="N448" s="10"/>
      <c r="O448" s="10"/>
      <c r="P448" s="10"/>
      <c r="Q448" s="11"/>
      <c r="R448" s="9"/>
      <c r="S448" s="12"/>
      <c r="T448" s="5"/>
      <c r="U448" s="5"/>
      <c r="V448" s="4"/>
      <c r="W448" s="4"/>
      <c r="X448" s="4"/>
      <c r="Y448" s="4"/>
    </row>
    <row r="449">
      <c r="A449" s="5"/>
      <c r="B449" s="9"/>
      <c r="C449" s="5"/>
      <c r="D449" s="9"/>
      <c r="E449" s="9"/>
      <c r="F449" s="9"/>
      <c r="G449" s="9"/>
      <c r="H449" s="9"/>
      <c r="I449" s="9"/>
      <c r="J449" s="5"/>
      <c r="K449" s="4"/>
      <c r="L449" s="10"/>
      <c r="M449" s="10"/>
      <c r="N449" s="10"/>
      <c r="O449" s="10"/>
      <c r="P449" s="10"/>
      <c r="Q449" s="11"/>
      <c r="R449" s="9"/>
      <c r="S449" s="12"/>
      <c r="T449" s="5"/>
      <c r="U449" s="5"/>
      <c r="V449" s="4"/>
      <c r="W449" s="4"/>
      <c r="X449" s="4"/>
      <c r="Y449" s="4"/>
    </row>
    <row r="450">
      <c r="A450" s="5"/>
      <c r="B450" s="9"/>
      <c r="C450" s="5"/>
      <c r="D450" s="9"/>
      <c r="E450" s="9"/>
      <c r="F450" s="9"/>
      <c r="G450" s="9"/>
      <c r="H450" s="9"/>
      <c r="I450" s="9"/>
      <c r="J450" s="5"/>
      <c r="K450" s="4"/>
      <c r="L450" s="10"/>
      <c r="M450" s="10"/>
      <c r="N450" s="10"/>
      <c r="O450" s="10"/>
      <c r="P450" s="10"/>
      <c r="Q450" s="11"/>
      <c r="R450" s="9"/>
      <c r="S450" s="12"/>
      <c r="T450" s="5"/>
      <c r="U450" s="5"/>
      <c r="V450" s="4"/>
      <c r="W450" s="4"/>
      <c r="X450" s="4"/>
      <c r="Y450" s="4"/>
    </row>
    <row r="451">
      <c r="A451" s="5"/>
      <c r="B451" s="9"/>
      <c r="C451" s="5"/>
      <c r="D451" s="9"/>
      <c r="E451" s="9"/>
      <c r="F451" s="9"/>
      <c r="G451" s="9"/>
      <c r="H451" s="9"/>
      <c r="I451" s="9"/>
      <c r="J451" s="5"/>
      <c r="K451" s="4"/>
      <c r="L451" s="10"/>
      <c r="M451" s="10"/>
      <c r="N451" s="10"/>
      <c r="O451" s="10"/>
      <c r="P451" s="10"/>
      <c r="Q451" s="11"/>
      <c r="R451" s="9"/>
      <c r="S451" s="12"/>
      <c r="T451" s="5"/>
      <c r="U451" s="5"/>
      <c r="V451" s="4"/>
      <c r="W451" s="4"/>
      <c r="X451" s="4"/>
      <c r="Y451" s="4"/>
    </row>
    <row r="452">
      <c r="A452" s="5"/>
      <c r="B452" s="9"/>
      <c r="C452" s="5"/>
      <c r="D452" s="9"/>
      <c r="E452" s="9"/>
      <c r="F452" s="9"/>
      <c r="G452" s="9"/>
      <c r="H452" s="9"/>
      <c r="I452" s="9"/>
      <c r="J452" s="5"/>
      <c r="K452" s="4"/>
      <c r="L452" s="10"/>
      <c r="M452" s="10"/>
      <c r="N452" s="10"/>
      <c r="O452" s="10"/>
      <c r="P452" s="10"/>
      <c r="Q452" s="11"/>
      <c r="R452" s="9"/>
      <c r="S452" s="12"/>
      <c r="T452" s="5"/>
      <c r="U452" s="5"/>
      <c r="V452" s="4"/>
      <c r="W452" s="4"/>
      <c r="X452" s="4"/>
      <c r="Y452" s="4"/>
    </row>
    <row r="453">
      <c r="A453" s="5"/>
      <c r="B453" s="9"/>
      <c r="C453" s="5"/>
      <c r="D453" s="9"/>
      <c r="E453" s="9"/>
      <c r="F453" s="9"/>
      <c r="G453" s="9"/>
      <c r="H453" s="9"/>
      <c r="I453" s="9"/>
      <c r="J453" s="5"/>
      <c r="K453" s="4"/>
      <c r="L453" s="10"/>
      <c r="M453" s="10"/>
      <c r="N453" s="10"/>
      <c r="O453" s="10"/>
      <c r="P453" s="10"/>
      <c r="Q453" s="11"/>
      <c r="R453" s="9"/>
      <c r="S453" s="12"/>
      <c r="T453" s="5"/>
      <c r="U453" s="5"/>
      <c r="V453" s="4"/>
      <c r="W453" s="4"/>
      <c r="X453" s="4"/>
      <c r="Y453" s="4"/>
    </row>
    <row r="454">
      <c r="A454" s="5"/>
      <c r="B454" s="9"/>
      <c r="C454" s="5"/>
      <c r="D454" s="9"/>
      <c r="E454" s="9"/>
      <c r="F454" s="9"/>
      <c r="G454" s="9"/>
      <c r="H454" s="9"/>
      <c r="I454" s="9"/>
      <c r="J454" s="5"/>
      <c r="K454" s="4"/>
      <c r="L454" s="10"/>
      <c r="M454" s="10"/>
      <c r="N454" s="10"/>
      <c r="O454" s="10"/>
      <c r="P454" s="10"/>
      <c r="Q454" s="11"/>
      <c r="R454" s="9"/>
      <c r="S454" s="12"/>
      <c r="T454" s="5"/>
      <c r="U454" s="5"/>
      <c r="V454" s="4"/>
      <c r="W454" s="4"/>
      <c r="X454" s="4"/>
      <c r="Y454" s="4"/>
    </row>
    <row r="455">
      <c r="A455" s="5"/>
      <c r="B455" s="9"/>
      <c r="C455" s="5"/>
      <c r="D455" s="9"/>
      <c r="E455" s="9"/>
      <c r="F455" s="9"/>
      <c r="G455" s="9"/>
      <c r="H455" s="9"/>
      <c r="I455" s="9"/>
      <c r="J455" s="5"/>
      <c r="K455" s="4"/>
      <c r="L455" s="10"/>
      <c r="M455" s="10"/>
      <c r="N455" s="10"/>
      <c r="O455" s="10"/>
      <c r="P455" s="10"/>
      <c r="Q455" s="11"/>
      <c r="R455" s="9"/>
      <c r="S455" s="12"/>
      <c r="T455" s="5"/>
      <c r="U455" s="5"/>
      <c r="V455" s="4"/>
      <c r="W455" s="4"/>
      <c r="X455" s="4"/>
      <c r="Y455" s="4"/>
    </row>
    <row r="456">
      <c r="A456" s="5"/>
      <c r="B456" s="9"/>
      <c r="C456" s="5"/>
      <c r="D456" s="9"/>
      <c r="E456" s="9"/>
      <c r="F456" s="9"/>
      <c r="G456" s="9"/>
      <c r="H456" s="9"/>
      <c r="I456" s="9"/>
      <c r="J456" s="5"/>
      <c r="K456" s="4"/>
      <c r="L456" s="10"/>
      <c r="M456" s="10"/>
      <c r="N456" s="10"/>
      <c r="O456" s="10"/>
      <c r="P456" s="10"/>
      <c r="Q456" s="11"/>
      <c r="R456" s="9"/>
      <c r="S456" s="12"/>
      <c r="T456" s="5"/>
      <c r="U456" s="5"/>
      <c r="V456" s="4"/>
      <c r="W456" s="4"/>
      <c r="X456" s="4"/>
      <c r="Y456" s="4"/>
    </row>
    <row r="457">
      <c r="A457" s="5"/>
      <c r="B457" s="9"/>
      <c r="C457" s="5"/>
      <c r="D457" s="9"/>
      <c r="E457" s="9"/>
      <c r="F457" s="9"/>
      <c r="G457" s="9"/>
      <c r="H457" s="9"/>
      <c r="I457" s="9"/>
      <c r="J457" s="5"/>
      <c r="K457" s="4"/>
      <c r="L457" s="10"/>
      <c r="M457" s="10"/>
      <c r="N457" s="10"/>
      <c r="O457" s="10"/>
      <c r="P457" s="10"/>
      <c r="Q457" s="11"/>
      <c r="R457" s="9"/>
      <c r="S457" s="12"/>
      <c r="T457" s="5"/>
      <c r="U457" s="5"/>
      <c r="V457" s="4"/>
      <c r="W457" s="4"/>
      <c r="X457" s="4"/>
      <c r="Y457" s="4"/>
    </row>
    <row r="458">
      <c r="A458" s="5"/>
      <c r="B458" s="9"/>
      <c r="C458" s="5"/>
      <c r="D458" s="9"/>
      <c r="E458" s="9"/>
      <c r="F458" s="9"/>
      <c r="G458" s="9"/>
      <c r="H458" s="9"/>
      <c r="I458" s="9"/>
      <c r="J458" s="5"/>
      <c r="K458" s="4"/>
      <c r="L458" s="10"/>
      <c r="M458" s="10"/>
      <c r="N458" s="10"/>
      <c r="O458" s="10"/>
      <c r="P458" s="10"/>
      <c r="Q458" s="11"/>
      <c r="R458" s="9"/>
      <c r="S458" s="12"/>
      <c r="T458" s="5"/>
      <c r="U458" s="5"/>
      <c r="V458" s="4"/>
      <c r="W458" s="4"/>
      <c r="X458" s="4"/>
      <c r="Y458" s="4"/>
    </row>
    <row r="459">
      <c r="A459" s="5"/>
      <c r="B459" s="9"/>
      <c r="C459" s="5"/>
      <c r="D459" s="9"/>
      <c r="E459" s="9"/>
      <c r="F459" s="9"/>
      <c r="G459" s="9"/>
      <c r="H459" s="9"/>
      <c r="I459" s="9"/>
      <c r="J459" s="5"/>
      <c r="K459" s="4"/>
      <c r="L459" s="10"/>
      <c r="M459" s="10"/>
      <c r="N459" s="10"/>
      <c r="O459" s="10"/>
      <c r="P459" s="10"/>
      <c r="Q459" s="11"/>
      <c r="R459" s="9"/>
      <c r="S459" s="12"/>
      <c r="T459" s="5"/>
      <c r="U459" s="5"/>
      <c r="V459" s="4"/>
      <c r="W459" s="4"/>
      <c r="X459" s="4"/>
      <c r="Y459" s="4"/>
    </row>
    <row r="460">
      <c r="A460" s="5"/>
      <c r="B460" s="9"/>
      <c r="C460" s="5"/>
      <c r="D460" s="9"/>
      <c r="E460" s="9"/>
      <c r="F460" s="9"/>
      <c r="G460" s="9"/>
      <c r="H460" s="9"/>
      <c r="I460" s="9"/>
      <c r="J460" s="5"/>
      <c r="K460" s="4"/>
      <c r="L460" s="10"/>
      <c r="M460" s="10"/>
      <c r="N460" s="10"/>
      <c r="O460" s="10"/>
      <c r="P460" s="10"/>
      <c r="Q460" s="11"/>
      <c r="R460" s="9"/>
      <c r="S460" s="12"/>
      <c r="T460" s="5"/>
      <c r="U460" s="5"/>
      <c r="V460" s="4"/>
      <c r="W460" s="4"/>
      <c r="X460" s="4"/>
      <c r="Y460" s="4"/>
    </row>
    <row r="461">
      <c r="A461" s="5"/>
      <c r="B461" s="9"/>
      <c r="C461" s="5"/>
      <c r="D461" s="9"/>
      <c r="E461" s="9"/>
      <c r="F461" s="9"/>
      <c r="G461" s="9"/>
      <c r="H461" s="9"/>
      <c r="I461" s="9"/>
      <c r="J461" s="5"/>
      <c r="K461" s="4"/>
      <c r="L461" s="10"/>
      <c r="M461" s="10"/>
      <c r="N461" s="10"/>
      <c r="O461" s="10"/>
      <c r="P461" s="10"/>
      <c r="Q461" s="11"/>
      <c r="R461" s="9"/>
      <c r="S461" s="12"/>
      <c r="T461" s="5"/>
      <c r="U461" s="5"/>
      <c r="V461" s="4"/>
      <c r="W461" s="4"/>
      <c r="X461" s="4"/>
      <c r="Y461" s="4"/>
    </row>
    <row r="462">
      <c r="A462" s="5"/>
      <c r="B462" s="9"/>
      <c r="C462" s="5"/>
      <c r="D462" s="9"/>
      <c r="E462" s="9"/>
      <c r="F462" s="9"/>
      <c r="G462" s="9"/>
      <c r="H462" s="9"/>
      <c r="I462" s="9"/>
      <c r="J462" s="5"/>
      <c r="K462" s="4"/>
      <c r="L462" s="10"/>
      <c r="M462" s="10"/>
      <c r="N462" s="10"/>
      <c r="O462" s="10"/>
      <c r="P462" s="10"/>
      <c r="Q462" s="11"/>
      <c r="R462" s="9"/>
      <c r="S462" s="12"/>
      <c r="T462" s="5"/>
      <c r="U462" s="5"/>
      <c r="V462" s="4"/>
      <c r="W462" s="4"/>
      <c r="X462" s="4"/>
      <c r="Y462" s="4"/>
    </row>
    <row r="463">
      <c r="A463" s="5"/>
      <c r="B463" s="9"/>
      <c r="C463" s="5"/>
      <c r="D463" s="9"/>
      <c r="E463" s="9"/>
      <c r="F463" s="9"/>
      <c r="G463" s="9"/>
      <c r="H463" s="9"/>
      <c r="I463" s="9"/>
      <c r="J463" s="5"/>
      <c r="K463" s="4"/>
      <c r="L463" s="10"/>
      <c r="M463" s="10"/>
      <c r="N463" s="10"/>
      <c r="O463" s="10"/>
      <c r="P463" s="10"/>
      <c r="Q463" s="11"/>
      <c r="R463" s="9"/>
      <c r="S463" s="12"/>
      <c r="T463" s="5"/>
      <c r="U463" s="5"/>
      <c r="V463" s="4"/>
      <c r="W463" s="4"/>
      <c r="X463" s="4"/>
      <c r="Y463" s="4"/>
    </row>
    <row r="464">
      <c r="A464" s="5"/>
      <c r="B464" s="9"/>
      <c r="C464" s="5"/>
      <c r="D464" s="9"/>
      <c r="E464" s="9"/>
      <c r="F464" s="9"/>
      <c r="G464" s="9"/>
      <c r="H464" s="9"/>
      <c r="I464" s="9"/>
      <c r="J464" s="5"/>
      <c r="K464" s="4"/>
      <c r="L464" s="10"/>
      <c r="M464" s="10"/>
      <c r="N464" s="10"/>
      <c r="O464" s="10"/>
      <c r="P464" s="10"/>
      <c r="Q464" s="11"/>
      <c r="R464" s="9"/>
      <c r="S464" s="12"/>
      <c r="T464" s="5"/>
      <c r="U464" s="5"/>
      <c r="V464" s="4"/>
      <c r="W464" s="4"/>
      <c r="X464" s="4"/>
      <c r="Y464" s="4"/>
    </row>
    <row r="465">
      <c r="A465" s="5"/>
      <c r="B465" s="9"/>
      <c r="C465" s="5"/>
      <c r="D465" s="9"/>
      <c r="E465" s="9"/>
      <c r="F465" s="9"/>
      <c r="G465" s="9"/>
      <c r="H465" s="9"/>
      <c r="I465" s="9"/>
      <c r="J465" s="5"/>
      <c r="K465" s="4"/>
      <c r="L465" s="10"/>
      <c r="M465" s="10"/>
      <c r="N465" s="10"/>
      <c r="O465" s="10"/>
      <c r="P465" s="10"/>
      <c r="Q465" s="11"/>
      <c r="R465" s="9"/>
      <c r="S465" s="12"/>
      <c r="T465" s="5"/>
      <c r="U465" s="5"/>
      <c r="V465" s="4"/>
      <c r="W465" s="4"/>
      <c r="X465" s="4"/>
      <c r="Y465" s="4"/>
    </row>
    <row r="466">
      <c r="A466" s="5"/>
      <c r="B466" s="9"/>
      <c r="C466" s="5"/>
      <c r="D466" s="9"/>
      <c r="E466" s="9"/>
      <c r="F466" s="9"/>
      <c r="G466" s="9"/>
      <c r="H466" s="9"/>
      <c r="I466" s="9"/>
      <c r="J466" s="5"/>
      <c r="K466" s="4"/>
      <c r="L466" s="10"/>
      <c r="M466" s="10"/>
      <c r="N466" s="10"/>
      <c r="O466" s="10"/>
      <c r="P466" s="10"/>
      <c r="Q466" s="11"/>
      <c r="R466" s="9"/>
      <c r="S466" s="12"/>
      <c r="T466" s="5"/>
      <c r="U466" s="5"/>
      <c r="V466" s="4"/>
      <c r="W466" s="4"/>
      <c r="X466" s="4"/>
      <c r="Y466" s="4"/>
    </row>
    <row r="467">
      <c r="A467" s="5"/>
      <c r="B467" s="9"/>
      <c r="C467" s="5"/>
      <c r="D467" s="9"/>
      <c r="E467" s="9"/>
      <c r="F467" s="9"/>
      <c r="G467" s="9"/>
      <c r="H467" s="9"/>
      <c r="I467" s="9"/>
      <c r="J467" s="5"/>
      <c r="K467" s="4"/>
      <c r="L467" s="10"/>
      <c r="M467" s="10"/>
      <c r="N467" s="10"/>
      <c r="O467" s="10"/>
      <c r="P467" s="10"/>
      <c r="Q467" s="11"/>
      <c r="R467" s="9"/>
      <c r="S467" s="12"/>
      <c r="T467" s="5"/>
      <c r="U467" s="5"/>
      <c r="V467" s="4"/>
      <c r="W467" s="4"/>
      <c r="X467" s="4"/>
      <c r="Y467" s="4"/>
    </row>
    <row r="468">
      <c r="A468" s="5"/>
      <c r="B468" s="9"/>
      <c r="C468" s="5"/>
      <c r="D468" s="9"/>
      <c r="E468" s="9"/>
      <c r="F468" s="9"/>
      <c r="G468" s="9"/>
      <c r="H468" s="9"/>
      <c r="I468" s="9"/>
      <c r="J468" s="5"/>
      <c r="K468" s="4"/>
      <c r="L468" s="10"/>
      <c r="M468" s="10"/>
      <c r="N468" s="10"/>
      <c r="O468" s="10"/>
      <c r="P468" s="10"/>
      <c r="Q468" s="11"/>
      <c r="R468" s="9"/>
      <c r="S468" s="12"/>
      <c r="T468" s="5"/>
      <c r="U468" s="5"/>
      <c r="V468" s="4"/>
      <c r="W468" s="4"/>
      <c r="X468" s="4"/>
      <c r="Y468" s="4"/>
    </row>
    <row r="469">
      <c r="A469" s="5"/>
      <c r="B469" s="9"/>
      <c r="C469" s="5"/>
      <c r="D469" s="9"/>
      <c r="E469" s="9"/>
      <c r="F469" s="9"/>
      <c r="G469" s="9"/>
      <c r="H469" s="9"/>
      <c r="I469" s="9"/>
      <c r="J469" s="5"/>
      <c r="K469" s="4"/>
      <c r="L469" s="10"/>
      <c r="M469" s="10"/>
      <c r="N469" s="10"/>
      <c r="O469" s="10"/>
      <c r="P469" s="10"/>
      <c r="Q469" s="11"/>
      <c r="R469" s="9"/>
      <c r="S469" s="12"/>
      <c r="T469" s="5"/>
      <c r="U469" s="5"/>
      <c r="V469" s="4"/>
      <c r="W469" s="4"/>
      <c r="X469" s="4"/>
      <c r="Y469" s="4"/>
    </row>
    <row r="470">
      <c r="A470" s="5"/>
      <c r="B470" s="9"/>
      <c r="C470" s="5"/>
      <c r="D470" s="9"/>
      <c r="E470" s="9"/>
      <c r="F470" s="9"/>
      <c r="G470" s="9"/>
      <c r="H470" s="9"/>
      <c r="I470" s="9"/>
      <c r="J470" s="5"/>
      <c r="K470" s="4"/>
      <c r="L470" s="10"/>
      <c r="M470" s="10"/>
      <c r="N470" s="10"/>
      <c r="O470" s="10"/>
      <c r="P470" s="10"/>
      <c r="Q470" s="11"/>
      <c r="R470" s="9"/>
      <c r="S470" s="12"/>
      <c r="T470" s="5"/>
      <c r="U470" s="5"/>
      <c r="V470" s="4"/>
      <c r="W470" s="4"/>
      <c r="X470" s="4"/>
      <c r="Y470" s="4"/>
    </row>
    <row r="471">
      <c r="A471" s="5"/>
      <c r="B471" s="9"/>
      <c r="C471" s="5"/>
      <c r="D471" s="9"/>
      <c r="E471" s="9"/>
      <c r="F471" s="9"/>
      <c r="G471" s="9"/>
      <c r="H471" s="9"/>
      <c r="I471" s="9"/>
      <c r="J471" s="5"/>
      <c r="K471" s="4"/>
      <c r="L471" s="10"/>
      <c r="M471" s="10"/>
      <c r="N471" s="10"/>
      <c r="O471" s="10"/>
      <c r="P471" s="10"/>
      <c r="Q471" s="11"/>
      <c r="R471" s="9"/>
      <c r="S471" s="12"/>
      <c r="T471" s="5"/>
      <c r="U471" s="5"/>
      <c r="V471" s="4"/>
      <c r="W471" s="4"/>
      <c r="X471" s="4"/>
      <c r="Y471" s="4"/>
    </row>
    <row r="472">
      <c r="A472" s="5"/>
      <c r="B472" s="9"/>
      <c r="C472" s="5"/>
      <c r="D472" s="9"/>
      <c r="E472" s="9"/>
      <c r="F472" s="9"/>
      <c r="G472" s="9"/>
      <c r="H472" s="9"/>
      <c r="I472" s="9"/>
      <c r="J472" s="5"/>
      <c r="K472" s="4"/>
      <c r="L472" s="10"/>
      <c r="M472" s="10"/>
      <c r="N472" s="10"/>
      <c r="O472" s="10"/>
      <c r="P472" s="10"/>
      <c r="Q472" s="11"/>
      <c r="R472" s="9"/>
      <c r="S472" s="12"/>
      <c r="T472" s="5"/>
      <c r="U472" s="5"/>
      <c r="V472" s="4"/>
      <c r="W472" s="4"/>
      <c r="X472" s="4"/>
      <c r="Y472" s="4"/>
    </row>
    <row r="473">
      <c r="A473" s="5"/>
      <c r="B473" s="9"/>
      <c r="C473" s="5"/>
      <c r="D473" s="9"/>
      <c r="E473" s="9"/>
      <c r="F473" s="9"/>
      <c r="G473" s="9"/>
      <c r="H473" s="9"/>
      <c r="I473" s="9"/>
      <c r="J473" s="5"/>
      <c r="K473" s="4"/>
      <c r="L473" s="10"/>
      <c r="M473" s="10"/>
      <c r="N473" s="10"/>
      <c r="O473" s="10"/>
      <c r="P473" s="10"/>
      <c r="Q473" s="11"/>
      <c r="R473" s="9"/>
      <c r="S473" s="12"/>
      <c r="T473" s="5"/>
      <c r="U473" s="5"/>
      <c r="V473" s="4"/>
      <c r="W473" s="4"/>
      <c r="X473" s="4"/>
      <c r="Y473" s="4"/>
    </row>
    <row r="474">
      <c r="A474" s="5"/>
      <c r="B474" s="9"/>
      <c r="C474" s="5"/>
      <c r="D474" s="9"/>
      <c r="E474" s="9"/>
      <c r="F474" s="9"/>
      <c r="G474" s="9"/>
      <c r="H474" s="9"/>
      <c r="I474" s="9"/>
      <c r="J474" s="5"/>
      <c r="K474" s="4"/>
      <c r="L474" s="10"/>
      <c r="M474" s="10"/>
      <c r="N474" s="10"/>
      <c r="O474" s="10"/>
      <c r="P474" s="10"/>
      <c r="Q474" s="11"/>
      <c r="R474" s="9"/>
      <c r="S474" s="12"/>
      <c r="T474" s="5"/>
      <c r="U474" s="5"/>
      <c r="V474" s="4"/>
      <c r="W474" s="4"/>
      <c r="X474" s="4"/>
      <c r="Y474" s="4"/>
    </row>
    <row r="475">
      <c r="A475" s="5"/>
      <c r="B475" s="9"/>
      <c r="C475" s="5"/>
      <c r="D475" s="9"/>
      <c r="E475" s="9"/>
      <c r="F475" s="9"/>
      <c r="G475" s="9"/>
      <c r="H475" s="9"/>
      <c r="I475" s="9"/>
      <c r="J475" s="5"/>
      <c r="K475" s="4"/>
      <c r="L475" s="10"/>
      <c r="M475" s="10"/>
      <c r="N475" s="10"/>
      <c r="O475" s="10"/>
      <c r="P475" s="10"/>
      <c r="Q475" s="11"/>
      <c r="R475" s="9"/>
      <c r="S475" s="12"/>
      <c r="T475" s="5"/>
      <c r="U475" s="5"/>
      <c r="V475" s="4"/>
      <c r="W475" s="4"/>
      <c r="X475" s="4"/>
      <c r="Y475" s="4"/>
    </row>
    <row r="476">
      <c r="A476" s="5"/>
      <c r="B476" s="9"/>
      <c r="C476" s="5"/>
      <c r="D476" s="9"/>
      <c r="E476" s="9"/>
      <c r="F476" s="9"/>
      <c r="G476" s="9"/>
      <c r="H476" s="9"/>
      <c r="I476" s="9"/>
      <c r="J476" s="5"/>
      <c r="K476" s="4"/>
      <c r="L476" s="10"/>
      <c r="M476" s="10"/>
      <c r="N476" s="10"/>
      <c r="O476" s="10"/>
      <c r="P476" s="10"/>
      <c r="Q476" s="11"/>
      <c r="R476" s="9"/>
      <c r="S476" s="12"/>
      <c r="T476" s="5"/>
      <c r="U476" s="5"/>
      <c r="V476" s="4"/>
      <c r="W476" s="4"/>
      <c r="X476" s="4"/>
      <c r="Y476" s="4"/>
    </row>
    <row r="477">
      <c r="A477" s="5"/>
      <c r="B477" s="9"/>
      <c r="C477" s="5"/>
      <c r="D477" s="9"/>
      <c r="E477" s="9"/>
      <c r="F477" s="9"/>
      <c r="G477" s="9"/>
      <c r="H477" s="9"/>
      <c r="I477" s="9"/>
      <c r="J477" s="5"/>
      <c r="K477" s="4"/>
      <c r="L477" s="10"/>
      <c r="M477" s="10"/>
      <c r="N477" s="10"/>
      <c r="O477" s="10"/>
      <c r="P477" s="10"/>
      <c r="Q477" s="11"/>
      <c r="R477" s="9"/>
      <c r="S477" s="12"/>
      <c r="T477" s="5"/>
      <c r="U477" s="5"/>
      <c r="V477" s="4"/>
      <c r="W477" s="4"/>
      <c r="X477" s="4"/>
      <c r="Y477" s="4"/>
    </row>
    <row r="478">
      <c r="A478" s="5"/>
      <c r="B478" s="9"/>
      <c r="C478" s="5"/>
      <c r="D478" s="9"/>
      <c r="E478" s="9"/>
      <c r="F478" s="9"/>
      <c r="G478" s="9"/>
      <c r="H478" s="9"/>
      <c r="I478" s="9"/>
      <c r="J478" s="5"/>
      <c r="K478" s="4"/>
      <c r="L478" s="10"/>
      <c r="M478" s="10"/>
      <c r="N478" s="10"/>
      <c r="O478" s="10"/>
      <c r="P478" s="10"/>
      <c r="Q478" s="11"/>
      <c r="R478" s="9"/>
      <c r="S478" s="12"/>
      <c r="T478" s="5"/>
      <c r="U478" s="5"/>
      <c r="V478" s="4"/>
      <c r="W478" s="4"/>
      <c r="X478" s="4"/>
      <c r="Y478" s="4"/>
    </row>
    <row r="479">
      <c r="A479" s="5"/>
      <c r="B479" s="9"/>
      <c r="C479" s="5"/>
      <c r="D479" s="9"/>
      <c r="E479" s="9"/>
      <c r="F479" s="9"/>
      <c r="G479" s="9"/>
      <c r="H479" s="9"/>
      <c r="I479" s="9"/>
      <c r="J479" s="5"/>
      <c r="K479" s="4"/>
      <c r="L479" s="10"/>
      <c r="M479" s="10"/>
      <c r="N479" s="10"/>
      <c r="O479" s="10"/>
      <c r="P479" s="10"/>
      <c r="Q479" s="11"/>
      <c r="R479" s="9"/>
      <c r="S479" s="12"/>
      <c r="T479" s="5"/>
      <c r="U479" s="5"/>
      <c r="V479" s="4"/>
      <c r="W479" s="4"/>
      <c r="X479" s="4"/>
      <c r="Y479" s="4"/>
    </row>
    <row r="480">
      <c r="A480" s="5"/>
      <c r="B480" s="9"/>
      <c r="C480" s="5"/>
      <c r="D480" s="9"/>
      <c r="E480" s="9"/>
      <c r="F480" s="9"/>
      <c r="G480" s="9"/>
      <c r="H480" s="9"/>
      <c r="I480" s="9"/>
      <c r="J480" s="5"/>
      <c r="K480" s="4"/>
      <c r="L480" s="10"/>
      <c r="M480" s="10"/>
      <c r="N480" s="10"/>
      <c r="O480" s="10"/>
      <c r="P480" s="10"/>
      <c r="Q480" s="11"/>
      <c r="R480" s="9"/>
      <c r="S480" s="12"/>
      <c r="T480" s="5"/>
      <c r="U480" s="5"/>
      <c r="V480" s="4"/>
      <c r="W480" s="4"/>
      <c r="X480" s="4"/>
      <c r="Y480" s="4"/>
    </row>
    <row r="481">
      <c r="A481" s="5"/>
      <c r="B481" s="9"/>
      <c r="C481" s="5"/>
      <c r="D481" s="9"/>
      <c r="E481" s="9"/>
      <c r="F481" s="9"/>
      <c r="G481" s="9"/>
      <c r="H481" s="9"/>
      <c r="I481" s="9"/>
      <c r="J481" s="5"/>
      <c r="K481" s="4"/>
      <c r="L481" s="10"/>
      <c r="M481" s="10"/>
      <c r="N481" s="10"/>
      <c r="O481" s="10"/>
      <c r="P481" s="10"/>
      <c r="Q481" s="11"/>
      <c r="R481" s="9"/>
      <c r="S481" s="12"/>
      <c r="T481" s="5"/>
      <c r="U481" s="5"/>
      <c r="V481" s="4"/>
      <c r="W481" s="4"/>
      <c r="X481" s="4"/>
      <c r="Y481" s="4"/>
    </row>
    <row r="482">
      <c r="A482" s="5"/>
      <c r="B482" s="9"/>
      <c r="C482" s="5"/>
      <c r="D482" s="9"/>
      <c r="E482" s="9"/>
      <c r="F482" s="9"/>
      <c r="G482" s="9"/>
      <c r="H482" s="9"/>
      <c r="I482" s="9"/>
      <c r="J482" s="5"/>
      <c r="K482" s="4"/>
      <c r="L482" s="10"/>
      <c r="M482" s="10"/>
      <c r="N482" s="10"/>
      <c r="O482" s="10"/>
      <c r="P482" s="10"/>
      <c r="Q482" s="11"/>
      <c r="R482" s="9"/>
      <c r="S482" s="12"/>
      <c r="T482" s="5"/>
      <c r="U482" s="5"/>
      <c r="V482" s="4"/>
      <c r="W482" s="4"/>
      <c r="X482" s="4"/>
      <c r="Y482" s="4"/>
    </row>
    <row r="483">
      <c r="A483" s="5"/>
      <c r="B483" s="9"/>
      <c r="C483" s="5"/>
      <c r="D483" s="9"/>
      <c r="E483" s="9"/>
      <c r="F483" s="9"/>
      <c r="G483" s="9"/>
      <c r="H483" s="9"/>
      <c r="I483" s="9"/>
      <c r="J483" s="5"/>
      <c r="K483" s="4"/>
      <c r="L483" s="10"/>
      <c r="M483" s="10"/>
      <c r="N483" s="10"/>
      <c r="O483" s="10"/>
      <c r="P483" s="10"/>
      <c r="Q483" s="11"/>
      <c r="R483" s="9"/>
      <c r="S483" s="12"/>
      <c r="T483" s="5"/>
      <c r="U483" s="5"/>
      <c r="V483" s="4"/>
      <c r="W483" s="4"/>
      <c r="X483" s="4"/>
      <c r="Y483" s="4"/>
    </row>
    <row r="484">
      <c r="A484" s="5"/>
      <c r="B484" s="9"/>
      <c r="C484" s="5"/>
      <c r="D484" s="9"/>
      <c r="E484" s="9"/>
      <c r="F484" s="9"/>
      <c r="G484" s="9"/>
      <c r="H484" s="9"/>
      <c r="I484" s="9"/>
      <c r="J484" s="5"/>
      <c r="K484" s="4"/>
      <c r="L484" s="10"/>
      <c r="M484" s="10"/>
      <c r="N484" s="10"/>
      <c r="O484" s="10"/>
      <c r="P484" s="10"/>
      <c r="Q484" s="11"/>
      <c r="R484" s="9"/>
      <c r="S484" s="12"/>
      <c r="T484" s="5"/>
      <c r="U484" s="5"/>
      <c r="V484" s="4"/>
      <c r="W484" s="4"/>
      <c r="X484" s="4"/>
      <c r="Y484" s="4"/>
    </row>
    <row r="485">
      <c r="A485" s="5"/>
      <c r="B485" s="9"/>
      <c r="C485" s="5"/>
      <c r="D485" s="9"/>
      <c r="E485" s="9"/>
      <c r="F485" s="9"/>
      <c r="G485" s="9"/>
      <c r="H485" s="9"/>
      <c r="I485" s="9"/>
      <c r="J485" s="5"/>
      <c r="K485" s="4"/>
      <c r="L485" s="10"/>
      <c r="M485" s="10"/>
      <c r="N485" s="10"/>
      <c r="O485" s="10"/>
      <c r="P485" s="10"/>
      <c r="Q485" s="11"/>
      <c r="R485" s="9"/>
      <c r="S485" s="12"/>
      <c r="T485" s="5"/>
      <c r="U485" s="5"/>
      <c r="V485" s="4"/>
      <c r="W485" s="4"/>
      <c r="X485" s="4"/>
      <c r="Y485" s="4"/>
    </row>
    <row r="486">
      <c r="A486" s="5"/>
      <c r="B486" s="9"/>
      <c r="C486" s="5"/>
      <c r="D486" s="9"/>
      <c r="E486" s="9"/>
      <c r="F486" s="9"/>
      <c r="G486" s="9"/>
      <c r="H486" s="9"/>
      <c r="I486" s="9"/>
      <c r="J486" s="5"/>
      <c r="K486" s="4"/>
      <c r="L486" s="10"/>
      <c r="M486" s="10"/>
      <c r="N486" s="10"/>
      <c r="O486" s="10"/>
      <c r="P486" s="10"/>
      <c r="Q486" s="11"/>
      <c r="R486" s="9"/>
      <c r="S486" s="12"/>
      <c r="T486" s="5"/>
      <c r="U486" s="5"/>
      <c r="V486" s="4"/>
      <c r="W486" s="4"/>
      <c r="X486" s="4"/>
      <c r="Y486" s="4"/>
    </row>
    <row r="487">
      <c r="A487" s="5"/>
      <c r="B487" s="9"/>
      <c r="C487" s="5"/>
      <c r="D487" s="9"/>
      <c r="E487" s="9"/>
      <c r="F487" s="9"/>
      <c r="G487" s="9"/>
      <c r="H487" s="9"/>
      <c r="I487" s="9"/>
      <c r="J487" s="5"/>
      <c r="K487" s="4"/>
      <c r="L487" s="10"/>
      <c r="M487" s="10"/>
      <c r="N487" s="10"/>
      <c r="O487" s="10"/>
      <c r="P487" s="10"/>
      <c r="Q487" s="11"/>
      <c r="R487" s="9"/>
      <c r="S487" s="12"/>
      <c r="T487" s="5"/>
      <c r="U487" s="5"/>
      <c r="V487" s="4"/>
      <c r="W487" s="4"/>
      <c r="X487" s="4"/>
      <c r="Y487" s="4"/>
    </row>
    <row r="488">
      <c r="A488" s="5"/>
      <c r="B488" s="9"/>
      <c r="C488" s="5"/>
      <c r="D488" s="9"/>
      <c r="E488" s="9"/>
      <c r="F488" s="9"/>
      <c r="G488" s="9"/>
      <c r="H488" s="9"/>
      <c r="I488" s="9"/>
      <c r="J488" s="5"/>
      <c r="K488" s="4"/>
      <c r="L488" s="10"/>
      <c r="M488" s="10"/>
      <c r="N488" s="10"/>
      <c r="O488" s="10"/>
      <c r="P488" s="10"/>
      <c r="Q488" s="11"/>
      <c r="R488" s="9"/>
      <c r="S488" s="12"/>
      <c r="T488" s="5"/>
      <c r="U488" s="5"/>
      <c r="V488" s="4"/>
      <c r="W488" s="4"/>
      <c r="X488" s="4"/>
      <c r="Y488" s="4"/>
    </row>
    <row r="489">
      <c r="A489" s="5"/>
      <c r="B489" s="9"/>
      <c r="C489" s="5"/>
      <c r="D489" s="9"/>
      <c r="E489" s="9"/>
      <c r="F489" s="9"/>
      <c r="G489" s="9"/>
      <c r="H489" s="9"/>
      <c r="I489" s="9"/>
      <c r="J489" s="5"/>
      <c r="K489" s="4"/>
      <c r="L489" s="10"/>
      <c r="M489" s="10"/>
      <c r="N489" s="10"/>
      <c r="O489" s="10"/>
      <c r="P489" s="10"/>
      <c r="Q489" s="11"/>
      <c r="R489" s="9"/>
      <c r="S489" s="12"/>
      <c r="T489" s="5"/>
      <c r="U489" s="5"/>
      <c r="V489" s="4"/>
      <c r="W489" s="4"/>
      <c r="X489" s="4"/>
      <c r="Y489" s="4"/>
    </row>
    <row r="490">
      <c r="A490" s="5"/>
      <c r="B490" s="9"/>
      <c r="C490" s="5"/>
      <c r="D490" s="9"/>
      <c r="E490" s="9"/>
      <c r="F490" s="9"/>
      <c r="G490" s="9"/>
      <c r="H490" s="9"/>
      <c r="I490" s="9"/>
      <c r="J490" s="5"/>
      <c r="K490" s="4"/>
      <c r="L490" s="10"/>
      <c r="M490" s="10"/>
      <c r="N490" s="10"/>
      <c r="O490" s="10"/>
      <c r="P490" s="10"/>
      <c r="Q490" s="11"/>
      <c r="R490" s="9"/>
      <c r="S490" s="12"/>
      <c r="T490" s="5"/>
      <c r="U490" s="5"/>
      <c r="V490" s="4"/>
      <c r="W490" s="4"/>
      <c r="X490" s="4"/>
      <c r="Y490" s="4"/>
    </row>
    <row r="491">
      <c r="A491" s="5"/>
      <c r="B491" s="9"/>
      <c r="C491" s="5"/>
      <c r="D491" s="9"/>
      <c r="E491" s="9"/>
      <c r="F491" s="9"/>
      <c r="G491" s="9"/>
      <c r="H491" s="9"/>
      <c r="I491" s="9"/>
      <c r="J491" s="5"/>
      <c r="K491" s="4"/>
      <c r="L491" s="10"/>
      <c r="M491" s="10"/>
      <c r="N491" s="10"/>
      <c r="O491" s="10"/>
      <c r="P491" s="10"/>
      <c r="Q491" s="11"/>
      <c r="R491" s="9"/>
      <c r="S491" s="12"/>
      <c r="T491" s="5"/>
      <c r="U491" s="5"/>
      <c r="V491" s="4"/>
      <c r="W491" s="4"/>
      <c r="X491" s="4"/>
      <c r="Y491" s="4"/>
    </row>
    <row r="492">
      <c r="A492" s="5"/>
      <c r="B492" s="9"/>
      <c r="C492" s="5"/>
      <c r="D492" s="9"/>
      <c r="E492" s="9"/>
      <c r="F492" s="9"/>
      <c r="G492" s="9"/>
      <c r="H492" s="9"/>
      <c r="I492" s="9"/>
      <c r="J492" s="5"/>
      <c r="K492" s="4"/>
      <c r="L492" s="10"/>
      <c r="M492" s="10"/>
      <c r="N492" s="10"/>
      <c r="O492" s="10"/>
      <c r="P492" s="10"/>
      <c r="Q492" s="11"/>
      <c r="R492" s="9"/>
      <c r="S492" s="12"/>
      <c r="T492" s="5"/>
      <c r="U492" s="5"/>
      <c r="V492" s="4"/>
      <c r="W492" s="4"/>
      <c r="X492" s="4"/>
      <c r="Y492" s="4"/>
    </row>
    <row r="493">
      <c r="A493" s="5"/>
      <c r="B493" s="9"/>
      <c r="C493" s="5"/>
      <c r="D493" s="9"/>
      <c r="E493" s="9"/>
      <c r="F493" s="9"/>
      <c r="G493" s="9"/>
      <c r="H493" s="9"/>
      <c r="I493" s="9"/>
      <c r="J493" s="5"/>
      <c r="K493" s="4"/>
      <c r="L493" s="10"/>
      <c r="M493" s="10"/>
      <c r="N493" s="10"/>
      <c r="O493" s="10"/>
      <c r="P493" s="10"/>
      <c r="Q493" s="11"/>
      <c r="R493" s="9"/>
      <c r="S493" s="12"/>
      <c r="T493" s="5"/>
      <c r="U493" s="5"/>
      <c r="V493" s="4"/>
      <c r="W493" s="4"/>
      <c r="X493" s="4"/>
      <c r="Y493" s="4"/>
    </row>
    <row r="494">
      <c r="A494" s="5"/>
      <c r="B494" s="9"/>
      <c r="C494" s="5"/>
      <c r="D494" s="9"/>
      <c r="E494" s="9"/>
      <c r="F494" s="9"/>
      <c r="G494" s="9"/>
      <c r="H494" s="9"/>
      <c r="I494" s="9"/>
      <c r="J494" s="5"/>
      <c r="K494" s="4"/>
      <c r="L494" s="10"/>
      <c r="M494" s="10"/>
      <c r="N494" s="10"/>
      <c r="O494" s="10"/>
      <c r="P494" s="10"/>
      <c r="Q494" s="11"/>
      <c r="R494" s="9"/>
      <c r="S494" s="12"/>
      <c r="T494" s="5"/>
      <c r="U494" s="5"/>
      <c r="V494" s="4"/>
      <c r="W494" s="4"/>
      <c r="X494" s="4"/>
      <c r="Y494" s="4"/>
    </row>
    <row r="495">
      <c r="A495" s="5"/>
      <c r="B495" s="9"/>
      <c r="C495" s="5"/>
      <c r="D495" s="9"/>
      <c r="E495" s="9"/>
      <c r="F495" s="9"/>
      <c r="G495" s="9"/>
      <c r="H495" s="9"/>
      <c r="I495" s="9"/>
      <c r="J495" s="5"/>
      <c r="K495" s="4"/>
      <c r="L495" s="10"/>
      <c r="M495" s="10"/>
      <c r="N495" s="10"/>
      <c r="O495" s="10"/>
      <c r="P495" s="10"/>
      <c r="Q495" s="11"/>
      <c r="R495" s="9"/>
      <c r="S495" s="12"/>
      <c r="T495" s="5"/>
      <c r="U495" s="5"/>
      <c r="V495" s="4"/>
      <c r="W495" s="4"/>
      <c r="X495" s="4"/>
      <c r="Y495" s="4"/>
    </row>
    <row r="496">
      <c r="A496" s="5"/>
      <c r="B496" s="9"/>
      <c r="C496" s="5"/>
      <c r="D496" s="9"/>
      <c r="E496" s="9"/>
      <c r="F496" s="9"/>
      <c r="G496" s="9"/>
      <c r="H496" s="9"/>
      <c r="I496" s="9"/>
      <c r="J496" s="5"/>
      <c r="K496" s="4"/>
      <c r="L496" s="10"/>
      <c r="M496" s="10"/>
      <c r="N496" s="10"/>
      <c r="O496" s="10"/>
      <c r="P496" s="10"/>
      <c r="Q496" s="11"/>
      <c r="R496" s="9"/>
      <c r="S496" s="12"/>
      <c r="T496" s="5"/>
      <c r="U496" s="5"/>
      <c r="V496" s="4"/>
      <c r="W496" s="4"/>
      <c r="X496" s="4"/>
      <c r="Y496" s="4"/>
    </row>
    <row r="497">
      <c r="A497" s="5"/>
      <c r="B497" s="9"/>
      <c r="C497" s="5"/>
      <c r="D497" s="9"/>
      <c r="E497" s="9"/>
      <c r="F497" s="9"/>
      <c r="G497" s="9"/>
      <c r="H497" s="9"/>
      <c r="I497" s="9"/>
      <c r="J497" s="5"/>
      <c r="K497" s="4"/>
      <c r="L497" s="10"/>
      <c r="M497" s="10"/>
      <c r="N497" s="10"/>
      <c r="O497" s="10"/>
      <c r="P497" s="10"/>
      <c r="Q497" s="11"/>
      <c r="R497" s="9"/>
      <c r="S497" s="12"/>
      <c r="T497" s="5"/>
      <c r="U497" s="5"/>
      <c r="V497" s="4"/>
      <c r="W497" s="4"/>
      <c r="X497" s="4"/>
      <c r="Y497" s="4"/>
    </row>
    <row r="498">
      <c r="A498" s="5"/>
      <c r="B498" s="9"/>
      <c r="C498" s="5"/>
      <c r="D498" s="9"/>
      <c r="E498" s="9"/>
      <c r="F498" s="9"/>
      <c r="G498" s="9"/>
      <c r="H498" s="9"/>
      <c r="I498" s="9"/>
      <c r="J498" s="5"/>
      <c r="K498" s="4"/>
      <c r="L498" s="10"/>
      <c r="M498" s="10"/>
      <c r="N498" s="10"/>
      <c r="O498" s="10"/>
      <c r="P498" s="10"/>
      <c r="Q498" s="11"/>
      <c r="R498" s="9"/>
      <c r="S498" s="12"/>
      <c r="T498" s="5"/>
      <c r="U498" s="5"/>
      <c r="V498" s="4"/>
      <c r="W498" s="4"/>
      <c r="X498" s="4"/>
      <c r="Y498" s="4"/>
    </row>
    <row r="499">
      <c r="A499" s="5"/>
      <c r="B499" s="9"/>
      <c r="C499" s="5"/>
      <c r="D499" s="9"/>
      <c r="E499" s="9"/>
      <c r="F499" s="9"/>
      <c r="G499" s="9"/>
      <c r="H499" s="9"/>
      <c r="I499" s="9"/>
      <c r="J499" s="5"/>
      <c r="K499" s="4"/>
      <c r="L499" s="10"/>
      <c r="M499" s="10"/>
      <c r="N499" s="10"/>
      <c r="O499" s="10"/>
      <c r="P499" s="10"/>
      <c r="Q499" s="11"/>
      <c r="R499" s="9"/>
      <c r="S499" s="12"/>
      <c r="T499" s="5"/>
      <c r="U499" s="5"/>
      <c r="V499" s="4"/>
      <c r="W499" s="4"/>
      <c r="X499" s="4"/>
      <c r="Y499" s="4"/>
    </row>
    <row r="500">
      <c r="A500" s="5"/>
      <c r="B500" s="9"/>
      <c r="C500" s="5"/>
      <c r="D500" s="9"/>
      <c r="E500" s="9"/>
      <c r="F500" s="9"/>
      <c r="G500" s="9"/>
      <c r="H500" s="9"/>
      <c r="I500" s="9"/>
      <c r="J500" s="5"/>
      <c r="K500" s="4"/>
      <c r="L500" s="10"/>
      <c r="M500" s="10"/>
      <c r="N500" s="10"/>
      <c r="O500" s="10"/>
      <c r="P500" s="10"/>
      <c r="Q500" s="11"/>
      <c r="R500" s="9"/>
      <c r="S500" s="12"/>
      <c r="T500" s="5"/>
      <c r="U500" s="5"/>
      <c r="V500" s="4"/>
      <c r="W500" s="4"/>
      <c r="X500" s="4"/>
      <c r="Y500" s="4"/>
    </row>
    <row r="501">
      <c r="A501" s="5"/>
      <c r="B501" s="9"/>
      <c r="C501" s="5"/>
      <c r="D501" s="9"/>
      <c r="E501" s="9"/>
      <c r="F501" s="9"/>
      <c r="G501" s="9"/>
      <c r="H501" s="9"/>
      <c r="I501" s="9"/>
      <c r="J501" s="5"/>
      <c r="K501" s="4"/>
      <c r="L501" s="10"/>
      <c r="M501" s="10"/>
      <c r="N501" s="10"/>
      <c r="O501" s="10"/>
      <c r="P501" s="10"/>
      <c r="Q501" s="11"/>
      <c r="R501" s="9"/>
      <c r="S501" s="12"/>
      <c r="T501" s="5"/>
      <c r="U501" s="5"/>
      <c r="V501" s="4"/>
      <c r="W501" s="4"/>
      <c r="X501" s="4"/>
      <c r="Y501" s="4"/>
    </row>
    <row r="502">
      <c r="A502" s="5"/>
      <c r="B502" s="9"/>
      <c r="C502" s="5"/>
      <c r="D502" s="9"/>
      <c r="E502" s="9"/>
      <c r="F502" s="9"/>
      <c r="G502" s="9"/>
      <c r="H502" s="9"/>
      <c r="I502" s="9"/>
      <c r="J502" s="5"/>
      <c r="K502" s="4"/>
      <c r="L502" s="10"/>
      <c r="M502" s="10"/>
      <c r="N502" s="10"/>
      <c r="O502" s="10"/>
      <c r="P502" s="10"/>
      <c r="Q502" s="11"/>
      <c r="R502" s="9"/>
      <c r="S502" s="12"/>
      <c r="T502" s="5"/>
      <c r="U502" s="5"/>
      <c r="V502" s="4"/>
      <c r="W502" s="4"/>
      <c r="X502" s="4"/>
      <c r="Y502" s="4"/>
    </row>
    <row r="503">
      <c r="A503" s="5"/>
      <c r="B503" s="9"/>
      <c r="C503" s="5"/>
      <c r="D503" s="9"/>
      <c r="E503" s="9"/>
      <c r="F503" s="9"/>
      <c r="G503" s="9"/>
      <c r="H503" s="9"/>
      <c r="I503" s="9"/>
      <c r="J503" s="5"/>
      <c r="K503" s="4"/>
      <c r="L503" s="10"/>
      <c r="M503" s="10"/>
      <c r="N503" s="10"/>
      <c r="O503" s="10"/>
      <c r="P503" s="10"/>
      <c r="Q503" s="11"/>
      <c r="R503" s="9"/>
      <c r="S503" s="12"/>
      <c r="T503" s="5"/>
      <c r="U503" s="5"/>
      <c r="V503" s="4"/>
      <c r="W503" s="4"/>
      <c r="X503" s="4"/>
      <c r="Y503" s="4"/>
    </row>
    <row r="504">
      <c r="A504" s="5"/>
      <c r="B504" s="9"/>
      <c r="C504" s="5"/>
      <c r="D504" s="9"/>
      <c r="E504" s="9"/>
      <c r="F504" s="9"/>
      <c r="G504" s="9"/>
      <c r="H504" s="9"/>
      <c r="I504" s="9"/>
      <c r="J504" s="5"/>
      <c r="K504" s="4"/>
      <c r="L504" s="10"/>
      <c r="M504" s="10"/>
      <c r="N504" s="10"/>
      <c r="O504" s="10"/>
      <c r="P504" s="10"/>
      <c r="Q504" s="11"/>
      <c r="R504" s="9"/>
      <c r="S504" s="12"/>
      <c r="T504" s="5"/>
      <c r="U504" s="5"/>
      <c r="V504" s="4"/>
      <c r="W504" s="4"/>
      <c r="X504" s="4"/>
      <c r="Y504" s="4"/>
    </row>
    <row r="505">
      <c r="A505" s="5"/>
      <c r="B505" s="9"/>
      <c r="C505" s="5"/>
      <c r="D505" s="9"/>
      <c r="E505" s="9"/>
      <c r="F505" s="9"/>
      <c r="G505" s="9"/>
      <c r="H505" s="9"/>
      <c r="I505" s="9"/>
      <c r="J505" s="5"/>
      <c r="K505" s="4"/>
      <c r="L505" s="10"/>
      <c r="M505" s="10"/>
      <c r="N505" s="10"/>
      <c r="O505" s="10"/>
      <c r="P505" s="10"/>
      <c r="Q505" s="11"/>
      <c r="R505" s="9"/>
      <c r="S505" s="12"/>
      <c r="T505" s="5"/>
      <c r="U505" s="5"/>
      <c r="V505" s="4"/>
      <c r="W505" s="4"/>
      <c r="X505" s="4"/>
      <c r="Y505" s="4"/>
    </row>
    <row r="506">
      <c r="A506" s="5"/>
      <c r="B506" s="9"/>
      <c r="C506" s="5"/>
      <c r="D506" s="9"/>
      <c r="E506" s="9"/>
      <c r="F506" s="9"/>
      <c r="G506" s="9"/>
      <c r="H506" s="9"/>
      <c r="I506" s="9"/>
      <c r="J506" s="5"/>
      <c r="K506" s="4"/>
      <c r="L506" s="10"/>
      <c r="M506" s="10"/>
      <c r="N506" s="10"/>
      <c r="O506" s="10"/>
      <c r="P506" s="10"/>
      <c r="Q506" s="11"/>
      <c r="R506" s="9"/>
      <c r="S506" s="12"/>
      <c r="T506" s="5"/>
      <c r="U506" s="5"/>
      <c r="V506" s="4"/>
      <c r="W506" s="4"/>
      <c r="X506" s="4"/>
      <c r="Y506" s="4"/>
    </row>
    <row r="507">
      <c r="A507" s="5"/>
      <c r="B507" s="9"/>
      <c r="C507" s="5"/>
      <c r="D507" s="9"/>
      <c r="E507" s="9"/>
      <c r="F507" s="9"/>
      <c r="G507" s="9"/>
      <c r="H507" s="9"/>
      <c r="I507" s="9"/>
      <c r="J507" s="5"/>
      <c r="K507" s="4"/>
      <c r="L507" s="10"/>
      <c r="M507" s="10"/>
      <c r="N507" s="10"/>
      <c r="O507" s="10"/>
      <c r="P507" s="10"/>
      <c r="Q507" s="11"/>
      <c r="R507" s="9"/>
      <c r="S507" s="12"/>
      <c r="T507" s="5"/>
      <c r="U507" s="5"/>
      <c r="V507" s="4"/>
      <c r="W507" s="4"/>
      <c r="X507" s="4"/>
      <c r="Y507" s="4"/>
    </row>
    <row r="508">
      <c r="A508" s="5"/>
      <c r="B508" s="9"/>
      <c r="C508" s="5"/>
      <c r="D508" s="9"/>
      <c r="E508" s="9"/>
      <c r="F508" s="9"/>
      <c r="G508" s="9"/>
      <c r="H508" s="9"/>
      <c r="I508" s="9"/>
      <c r="J508" s="5"/>
      <c r="K508" s="4"/>
      <c r="L508" s="10"/>
      <c r="M508" s="10"/>
      <c r="N508" s="10"/>
      <c r="O508" s="10"/>
      <c r="P508" s="10"/>
      <c r="Q508" s="11"/>
      <c r="R508" s="9"/>
      <c r="S508" s="12"/>
      <c r="T508" s="5"/>
      <c r="U508" s="5"/>
      <c r="V508" s="4"/>
      <c r="W508" s="4"/>
      <c r="X508" s="4"/>
      <c r="Y508" s="4"/>
    </row>
    <row r="509">
      <c r="A509" s="5"/>
      <c r="B509" s="9"/>
      <c r="C509" s="5"/>
      <c r="D509" s="9"/>
      <c r="E509" s="9"/>
      <c r="F509" s="9"/>
      <c r="G509" s="9"/>
      <c r="H509" s="9"/>
      <c r="I509" s="9"/>
      <c r="J509" s="5"/>
      <c r="K509" s="4"/>
      <c r="L509" s="10"/>
      <c r="M509" s="10"/>
      <c r="N509" s="10"/>
      <c r="O509" s="10"/>
      <c r="P509" s="10"/>
      <c r="Q509" s="11"/>
      <c r="R509" s="9"/>
      <c r="S509" s="12"/>
      <c r="T509" s="5"/>
      <c r="U509" s="5"/>
      <c r="V509" s="4"/>
      <c r="W509" s="4"/>
      <c r="X509" s="4"/>
      <c r="Y509" s="4"/>
    </row>
    <row r="510">
      <c r="A510" s="5"/>
      <c r="B510" s="9"/>
      <c r="C510" s="5"/>
      <c r="D510" s="9"/>
      <c r="E510" s="9"/>
      <c r="F510" s="9"/>
      <c r="G510" s="9"/>
      <c r="H510" s="9"/>
      <c r="I510" s="9"/>
      <c r="J510" s="5"/>
      <c r="K510" s="4"/>
      <c r="L510" s="10"/>
      <c r="M510" s="10"/>
      <c r="N510" s="10"/>
      <c r="O510" s="10"/>
      <c r="P510" s="10"/>
      <c r="Q510" s="11"/>
      <c r="R510" s="9"/>
      <c r="S510" s="12"/>
      <c r="T510" s="5"/>
      <c r="U510" s="5"/>
      <c r="V510" s="4"/>
      <c r="W510" s="4"/>
      <c r="X510" s="4"/>
      <c r="Y510" s="4"/>
    </row>
    <row r="511">
      <c r="A511" s="5"/>
      <c r="B511" s="9"/>
      <c r="C511" s="5"/>
      <c r="D511" s="9"/>
      <c r="E511" s="9"/>
      <c r="F511" s="9"/>
      <c r="G511" s="9"/>
      <c r="H511" s="9"/>
      <c r="I511" s="9"/>
      <c r="J511" s="5"/>
      <c r="K511" s="4"/>
      <c r="L511" s="10"/>
      <c r="M511" s="10"/>
      <c r="N511" s="10"/>
      <c r="O511" s="10"/>
      <c r="P511" s="10"/>
      <c r="Q511" s="11"/>
      <c r="R511" s="9"/>
      <c r="S511" s="12"/>
      <c r="T511" s="5"/>
      <c r="U511" s="5"/>
      <c r="V511" s="4"/>
      <c r="W511" s="4"/>
      <c r="X511" s="4"/>
      <c r="Y511" s="4"/>
    </row>
    <row r="512">
      <c r="A512" s="5"/>
      <c r="B512" s="9"/>
      <c r="C512" s="5"/>
      <c r="D512" s="9"/>
      <c r="E512" s="9"/>
      <c r="F512" s="9"/>
      <c r="G512" s="9"/>
      <c r="H512" s="9"/>
      <c r="I512" s="9"/>
      <c r="J512" s="5"/>
      <c r="K512" s="4"/>
      <c r="L512" s="10"/>
      <c r="M512" s="10"/>
      <c r="N512" s="10"/>
      <c r="O512" s="10"/>
      <c r="P512" s="10"/>
      <c r="Q512" s="11"/>
      <c r="R512" s="9"/>
      <c r="S512" s="12"/>
      <c r="T512" s="5"/>
      <c r="U512" s="5"/>
      <c r="V512" s="4"/>
      <c r="W512" s="4"/>
      <c r="X512" s="4"/>
      <c r="Y512" s="4"/>
    </row>
    <row r="513">
      <c r="A513" s="5"/>
      <c r="B513" s="9"/>
      <c r="C513" s="5"/>
      <c r="D513" s="9"/>
      <c r="E513" s="9"/>
      <c r="F513" s="9"/>
      <c r="G513" s="9"/>
      <c r="H513" s="9"/>
      <c r="I513" s="9"/>
      <c r="J513" s="5"/>
      <c r="K513" s="4"/>
      <c r="L513" s="10"/>
      <c r="M513" s="10"/>
      <c r="N513" s="10"/>
      <c r="O513" s="10"/>
      <c r="P513" s="10"/>
      <c r="Q513" s="11"/>
      <c r="R513" s="9"/>
      <c r="S513" s="12"/>
      <c r="T513" s="5"/>
      <c r="U513" s="5"/>
      <c r="V513" s="4"/>
      <c r="W513" s="4"/>
      <c r="X513" s="4"/>
      <c r="Y513" s="4"/>
    </row>
    <row r="514">
      <c r="A514" s="5"/>
      <c r="B514" s="9"/>
      <c r="C514" s="5"/>
      <c r="D514" s="9"/>
      <c r="E514" s="9"/>
      <c r="F514" s="9"/>
      <c r="G514" s="9"/>
      <c r="H514" s="9"/>
      <c r="I514" s="9"/>
      <c r="J514" s="5"/>
      <c r="K514" s="4"/>
      <c r="L514" s="10"/>
      <c r="M514" s="10"/>
      <c r="N514" s="10"/>
      <c r="O514" s="10"/>
      <c r="P514" s="10"/>
      <c r="Q514" s="11"/>
      <c r="R514" s="9"/>
      <c r="S514" s="12"/>
      <c r="T514" s="5"/>
      <c r="U514" s="5"/>
      <c r="V514" s="4"/>
      <c r="W514" s="4"/>
      <c r="X514" s="4"/>
      <c r="Y514" s="4"/>
    </row>
    <row r="515">
      <c r="A515" s="5"/>
      <c r="B515" s="9"/>
      <c r="C515" s="5"/>
      <c r="D515" s="9"/>
      <c r="E515" s="9"/>
      <c r="F515" s="9"/>
      <c r="G515" s="9"/>
      <c r="H515" s="9"/>
      <c r="I515" s="9"/>
      <c r="J515" s="5"/>
      <c r="K515" s="4"/>
      <c r="L515" s="10"/>
      <c r="M515" s="10"/>
      <c r="N515" s="10"/>
      <c r="O515" s="10"/>
      <c r="P515" s="10"/>
      <c r="Q515" s="11"/>
      <c r="R515" s="9"/>
      <c r="S515" s="12"/>
      <c r="T515" s="5"/>
      <c r="U515" s="5"/>
      <c r="V515" s="4"/>
      <c r="W515" s="4"/>
      <c r="X515" s="4"/>
      <c r="Y515" s="4"/>
    </row>
    <row r="516">
      <c r="A516" s="5"/>
      <c r="B516" s="9"/>
      <c r="C516" s="5"/>
      <c r="D516" s="9"/>
      <c r="E516" s="9"/>
      <c r="F516" s="9"/>
      <c r="G516" s="9"/>
      <c r="H516" s="9"/>
      <c r="I516" s="9"/>
      <c r="J516" s="5"/>
      <c r="K516" s="4"/>
      <c r="L516" s="10"/>
      <c r="M516" s="10"/>
      <c r="N516" s="10"/>
      <c r="O516" s="10"/>
      <c r="P516" s="10"/>
      <c r="Q516" s="11"/>
      <c r="R516" s="9"/>
      <c r="S516" s="12"/>
      <c r="T516" s="5"/>
      <c r="U516" s="5"/>
      <c r="V516" s="4"/>
      <c r="W516" s="4"/>
      <c r="X516" s="4"/>
      <c r="Y516" s="4"/>
    </row>
    <row r="517">
      <c r="A517" s="5"/>
      <c r="B517" s="9"/>
      <c r="C517" s="5"/>
      <c r="D517" s="9"/>
      <c r="E517" s="9"/>
      <c r="F517" s="9"/>
      <c r="G517" s="9"/>
      <c r="H517" s="9"/>
      <c r="I517" s="9"/>
      <c r="J517" s="5"/>
      <c r="K517" s="4"/>
      <c r="L517" s="10"/>
      <c r="M517" s="10"/>
      <c r="N517" s="10"/>
      <c r="O517" s="10"/>
      <c r="P517" s="10"/>
      <c r="Q517" s="11"/>
      <c r="R517" s="9"/>
      <c r="S517" s="12"/>
      <c r="T517" s="5"/>
      <c r="U517" s="5"/>
      <c r="V517" s="4"/>
      <c r="W517" s="4"/>
      <c r="X517" s="4"/>
      <c r="Y517" s="4"/>
    </row>
    <row r="518">
      <c r="A518" s="5"/>
      <c r="B518" s="9"/>
      <c r="C518" s="5"/>
      <c r="D518" s="9"/>
      <c r="E518" s="9"/>
      <c r="F518" s="9"/>
      <c r="G518" s="9"/>
      <c r="H518" s="9"/>
      <c r="I518" s="9"/>
      <c r="J518" s="5"/>
      <c r="K518" s="4"/>
      <c r="L518" s="10"/>
      <c r="M518" s="10"/>
      <c r="N518" s="10"/>
      <c r="O518" s="10"/>
      <c r="P518" s="10"/>
      <c r="Q518" s="11"/>
      <c r="R518" s="9"/>
      <c r="S518" s="12"/>
      <c r="T518" s="5"/>
      <c r="U518" s="5"/>
      <c r="V518" s="4"/>
      <c r="W518" s="4"/>
      <c r="X518" s="4"/>
      <c r="Y518" s="4"/>
    </row>
    <row r="519">
      <c r="A519" s="5"/>
      <c r="B519" s="9"/>
      <c r="C519" s="5"/>
      <c r="D519" s="9"/>
      <c r="E519" s="9"/>
      <c r="F519" s="9"/>
      <c r="G519" s="9"/>
      <c r="H519" s="9"/>
      <c r="I519" s="9"/>
      <c r="J519" s="5"/>
      <c r="K519" s="4"/>
      <c r="L519" s="10"/>
      <c r="M519" s="10"/>
      <c r="N519" s="10"/>
      <c r="O519" s="10"/>
      <c r="P519" s="10"/>
      <c r="Q519" s="11"/>
      <c r="R519" s="9"/>
      <c r="S519" s="12"/>
      <c r="T519" s="5"/>
      <c r="U519" s="5"/>
      <c r="V519" s="4"/>
      <c r="W519" s="4"/>
      <c r="X519" s="4"/>
      <c r="Y519" s="4"/>
    </row>
    <row r="520">
      <c r="A520" s="5"/>
      <c r="B520" s="9"/>
      <c r="C520" s="5"/>
      <c r="D520" s="9"/>
      <c r="E520" s="9"/>
      <c r="F520" s="9"/>
      <c r="G520" s="9"/>
      <c r="H520" s="9"/>
      <c r="I520" s="9"/>
      <c r="J520" s="5"/>
      <c r="K520" s="4"/>
      <c r="L520" s="10"/>
      <c r="M520" s="10"/>
      <c r="N520" s="10"/>
      <c r="O520" s="10"/>
      <c r="P520" s="10"/>
      <c r="Q520" s="11"/>
      <c r="R520" s="9"/>
      <c r="S520" s="12"/>
      <c r="T520" s="5"/>
      <c r="U520" s="5"/>
      <c r="V520" s="4"/>
      <c r="W520" s="4"/>
      <c r="X520" s="4"/>
      <c r="Y520" s="4"/>
    </row>
    <row r="521">
      <c r="A521" s="5"/>
      <c r="B521" s="9"/>
      <c r="C521" s="5"/>
      <c r="D521" s="9"/>
      <c r="E521" s="9"/>
      <c r="F521" s="9"/>
      <c r="G521" s="9"/>
      <c r="H521" s="9"/>
      <c r="I521" s="9"/>
      <c r="J521" s="5"/>
      <c r="K521" s="4"/>
      <c r="L521" s="10"/>
      <c r="M521" s="10"/>
      <c r="N521" s="10"/>
      <c r="O521" s="10"/>
      <c r="P521" s="10"/>
      <c r="Q521" s="11"/>
      <c r="R521" s="9"/>
      <c r="S521" s="12"/>
      <c r="T521" s="5"/>
      <c r="U521" s="5"/>
      <c r="V521" s="4"/>
      <c r="W521" s="4"/>
      <c r="X521" s="4"/>
      <c r="Y521" s="4"/>
    </row>
    <row r="522">
      <c r="A522" s="5"/>
      <c r="B522" s="9"/>
      <c r="C522" s="5"/>
      <c r="D522" s="9"/>
      <c r="E522" s="9"/>
      <c r="F522" s="9"/>
      <c r="G522" s="9"/>
      <c r="H522" s="9"/>
      <c r="I522" s="9"/>
      <c r="J522" s="5"/>
      <c r="K522" s="4"/>
      <c r="L522" s="10"/>
      <c r="M522" s="10"/>
      <c r="N522" s="10"/>
      <c r="O522" s="10"/>
      <c r="P522" s="10"/>
      <c r="Q522" s="11"/>
      <c r="R522" s="9"/>
      <c r="S522" s="12"/>
      <c r="T522" s="5"/>
      <c r="U522" s="5"/>
      <c r="V522" s="4"/>
      <c r="W522" s="4"/>
      <c r="X522" s="4"/>
      <c r="Y522" s="4"/>
    </row>
    <row r="523">
      <c r="A523" s="5"/>
      <c r="B523" s="9"/>
      <c r="C523" s="5"/>
      <c r="D523" s="9"/>
      <c r="E523" s="9"/>
      <c r="F523" s="9"/>
      <c r="G523" s="9"/>
      <c r="H523" s="9"/>
      <c r="I523" s="9"/>
      <c r="J523" s="5"/>
      <c r="K523" s="4"/>
      <c r="L523" s="10"/>
      <c r="M523" s="10"/>
      <c r="N523" s="10"/>
      <c r="O523" s="10"/>
      <c r="P523" s="10"/>
      <c r="Q523" s="11"/>
      <c r="R523" s="9"/>
      <c r="S523" s="12"/>
      <c r="T523" s="5"/>
      <c r="U523" s="5"/>
      <c r="V523" s="4"/>
      <c r="W523" s="4"/>
      <c r="X523" s="4"/>
      <c r="Y523" s="4"/>
    </row>
    <row r="524">
      <c r="A524" s="5"/>
      <c r="B524" s="9"/>
      <c r="C524" s="5"/>
      <c r="D524" s="9"/>
      <c r="E524" s="9"/>
      <c r="F524" s="9"/>
      <c r="G524" s="9"/>
      <c r="H524" s="9"/>
      <c r="I524" s="9"/>
      <c r="J524" s="5"/>
      <c r="K524" s="4"/>
      <c r="L524" s="10"/>
      <c r="M524" s="10"/>
      <c r="N524" s="10"/>
      <c r="O524" s="10"/>
      <c r="P524" s="10"/>
      <c r="Q524" s="11"/>
      <c r="R524" s="9"/>
      <c r="S524" s="12"/>
      <c r="T524" s="5"/>
      <c r="U524" s="5"/>
      <c r="V524" s="4"/>
      <c r="W524" s="4"/>
      <c r="X524" s="4"/>
      <c r="Y524" s="4"/>
    </row>
    <row r="525">
      <c r="A525" s="5"/>
      <c r="B525" s="9"/>
      <c r="C525" s="5"/>
      <c r="D525" s="9"/>
      <c r="E525" s="9"/>
      <c r="F525" s="9"/>
      <c r="G525" s="9"/>
      <c r="H525" s="9"/>
      <c r="I525" s="9"/>
      <c r="J525" s="5"/>
      <c r="K525" s="4"/>
      <c r="L525" s="10"/>
      <c r="M525" s="10"/>
      <c r="N525" s="10"/>
      <c r="O525" s="10"/>
      <c r="P525" s="10"/>
      <c r="Q525" s="11"/>
      <c r="R525" s="9"/>
      <c r="S525" s="12"/>
      <c r="T525" s="5"/>
      <c r="U525" s="5"/>
      <c r="V525" s="4"/>
      <c r="W525" s="4"/>
      <c r="X525" s="4"/>
      <c r="Y525" s="4"/>
    </row>
    <row r="526">
      <c r="A526" s="5"/>
      <c r="B526" s="9"/>
      <c r="C526" s="5"/>
      <c r="D526" s="9"/>
      <c r="E526" s="9"/>
      <c r="F526" s="9"/>
      <c r="G526" s="9"/>
      <c r="H526" s="9"/>
      <c r="I526" s="9"/>
      <c r="J526" s="5"/>
      <c r="K526" s="4"/>
      <c r="L526" s="10"/>
      <c r="M526" s="10"/>
      <c r="N526" s="10"/>
      <c r="O526" s="10"/>
      <c r="P526" s="10"/>
      <c r="Q526" s="11"/>
      <c r="R526" s="9"/>
      <c r="S526" s="12"/>
      <c r="T526" s="5"/>
      <c r="U526" s="5"/>
      <c r="V526" s="4"/>
      <c r="W526" s="4"/>
      <c r="X526" s="4"/>
      <c r="Y526" s="4"/>
    </row>
    <row r="527">
      <c r="A527" s="5"/>
      <c r="B527" s="9"/>
      <c r="C527" s="5"/>
      <c r="D527" s="9"/>
      <c r="E527" s="9"/>
      <c r="F527" s="9"/>
      <c r="G527" s="9"/>
      <c r="H527" s="9"/>
      <c r="I527" s="9"/>
      <c r="J527" s="5"/>
      <c r="K527" s="4"/>
      <c r="L527" s="10"/>
      <c r="M527" s="10"/>
      <c r="N527" s="10"/>
      <c r="O527" s="10"/>
      <c r="P527" s="10"/>
      <c r="Q527" s="11"/>
      <c r="R527" s="9"/>
      <c r="S527" s="12"/>
      <c r="T527" s="5"/>
      <c r="U527" s="5"/>
      <c r="V527" s="4"/>
      <c r="W527" s="4"/>
      <c r="X527" s="4"/>
      <c r="Y527" s="4"/>
    </row>
    <row r="528">
      <c r="A528" s="5"/>
      <c r="B528" s="9"/>
      <c r="C528" s="5"/>
      <c r="D528" s="9"/>
      <c r="E528" s="9"/>
      <c r="F528" s="9"/>
      <c r="G528" s="9"/>
      <c r="H528" s="9"/>
      <c r="I528" s="9"/>
      <c r="J528" s="5"/>
      <c r="K528" s="4"/>
      <c r="L528" s="10"/>
      <c r="M528" s="10"/>
      <c r="N528" s="10"/>
      <c r="O528" s="10"/>
      <c r="P528" s="10"/>
      <c r="Q528" s="11"/>
      <c r="R528" s="9"/>
      <c r="S528" s="12"/>
      <c r="T528" s="5"/>
      <c r="U528" s="5"/>
      <c r="V528" s="4"/>
      <c r="W528" s="4"/>
      <c r="X528" s="4"/>
      <c r="Y528" s="4"/>
    </row>
    <row r="529">
      <c r="A529" s="5"/>
      <c r="B529" s="9"/>
      <c r="C529" s="5"/>
      <c r="D529" s="9"/>
      <c r="E529" s="9"/>
      <c r="F529" s="9"/>
      <c r="G529" s="9"/>
      <c r="H529" s="9"/>
      <c r="I529" s="9"/>
      <c r="J529" s="5"/>
      <c r="K529" s="4"/>
      <c r="L529" s="10"/>
      <c r="M529" s="10"/>
      <c r="N529" s="10"/>
      <c r="O529" s="10"/>
      <c r="P529" s="10"/>
      <c r="Q529" s="11"/>
      <c r="R529" s="9"/>
      <c r="S529" s="12"/>
      <c r="T529" s="5"/>
      <c r="U529" s="5"/>
      <c r="V529" s="4"/>
      <c r="W529" s="4"/>
      <c r="X529" s="4"/>
      <c r="Y529" s="4"/>
    </row>
    <row r="530">
      <c r="A530" s="5"/>
      <c r="B530" s="9"/>
      <c r="C530" s="5"/>
      <c r="D530" s="9"/>
      <c r="E530" s="9"/>
      <c r="F530" s="9"/>
      <c r="G530" s="9"/>
      <c r="H530" s="9"/>
      <c r="I530" s="9"/>
      <c r="J530" s="5"/>
      <c r="K530" s="4"/>
      <c r="L530" s="10"/>
      <c r="M530" s="10"/>
      <c r="N530" s="10"/>
      <c r="O530" s="10"/>
      <c r="P530" s="10"/>
      <c r="Q530" s="11"/>
      <c r="R530" s="9"/>
      <c r="S530" s="12"/>
      <c r="T530" s="5"/>
      <c r="U530" s="5"/>
      <c r="V530" s="4"/>
      <c r="W530" s="4"/>
      <c r="X530" s="4"/>
      <c r="Y530" s="4"/>
    </row>
    <row r="531">
      <c r="A531" s="5"/>
      <c r="B531" s="9"/>
      <c r="C531" s="5"/>
      <c r="D531" s="9"/>
      <c r="E531" s="9"/>
      <c r="F531" s="9"/>
      <c r="G531" s="9"/>
      <c r="H531" s="9"/>
      <c r="I531" s="9"/>
      <c r="J531" s="5"/>
      <c r="K531" s="4"/>
      <c r="L531" s="10"/>
      <c r="M531" s="10"/>
      <c r="N531" s="10"/>
      <c r="O531" s="10"/>
      <c r="P531" s="10"/>
      <c r="Q531" s="11"/>
      <c r="R531" s="9"/>
      <c r="S531" s="12"/>
      <c r="T531" s="5"/>
      <c r="U531" s="5"/>
      <c r="V531" s="4"/>
      <c r="W531" s="4"/>
      <c r="X531" s="4"/>
      <c r="Y531" s="4"/>
    </row>
    <row r="532">
      <c r="A532" s="5"/>
      <c r="B532" s="9"/>
      <c r="C532" s="5"/>
      <c r="D532" s="9"/>
      <c r="E532" s="9"/>
      <c r="F532" s="9"/>
      <c r="G532" s="9"/>
      <c r="H532" s="9"/>
      <c r="I532" s="9"/>
      <c r="J532" s="5"/>
      <c r="K532" s="4"/>
      <c r="L532" s="10"/>
      <c r="M532" s="10"/>
      <c r="N532" s="10"/>
      <c r="O532" s="10"/>
      <c r="P532" s="10"/>
      <c r="Q532" s="11"/>
      <c r="R532" s="9"/>
      <c r="S532" s="12"/>
      <c r="T532" s="5"/>
      <c r="U532" s="5"/>
      <c r="V532" s="4"/>
      <c r="W532" s="4"/>
      <c r="X532" s="4"/>
      <c r="Y532" s="4"/>
    </row>
    <row r="533">
      <c r="A533" s="5"/>
      <c r="B533" s="9"/>
      <c r="C533" s="5"/>
      <c r="D533" s="9"/>
      <c r="E533" s="9"/>
      <c r="F533" s="9"/>
      <c r="G533" s="9"/>
      <c r="H533" s="9"/>
      <c r="I533" s="9"/>
      <c r="J533" s="5"/>
      <c r="K533" s="4"/>
      <c r="L533" s="10"/>
      <c r="M533" s="10"/>
      <c r="N533" s="10"/>
      <c r="O533" s="10"/>
      <c r="P533" s="10"/>
      <c r="Q533" s="11"/>
      <c r="R533" s="9"/>
      <c r="S533" s="12"/>
      <c r="T533" s="5"/>
      <c r="U533" s="5"/>
      <c r="V533" s="4"/>
      <c r="W533" s="4"/>
      <c r="X533" s="4"/>
      <c r="Y533" s="4"/>
    </row>
    <row r="534">
      <c r="A534" s="5"/>
      <c r="B534" s="9"/>
      <c r="C534" s="5"/>
      <c r="D534" s="9"/>
      <c r="E534" s="9"/>
      <c r="F534" s="9"/>
      <c r="G534" s="9"/>
      <c r="H534" s="9"/>
      <c r="I534" s="9"/>
      <c r="J534" s="5"/>
      <c r="K534" s="4"/>
      <c r="L534" s="10"/>
      <c r="M534" s="10"/>
      <c r="N534" s="10"/>
      <c r="O534" s="10"/>
      <c r="P534" s="10"/>
      <c r="Q534" s="11"/>
      <c r="R534" s="9"/>
      <c r="S534" s="12"/>
      <c r="T534" s="5"/>
      <c r="U534" s="5"/>
      <c r="V534" s="4"/>
      <c r="W534" s="4"/>
      <c r="X534" s="4"/>
      <c r="Y534" s="4"/>
    </row>
    <row r="535">
      <c r="A535" s="5"/>
      <c r="B535" s="9"/>
      <c r="C535" s="5"/>
      <c r="D535" s="9"/>
      <c r="E535" s="9"/>
      <c r="F535" s="9"/>
      <c r="G535" s="9"/>
      <c r="H535" s="9"/>
      <c r="I535" s="9"/>
      <c r="J535" s="5"/>
      <c r="K535" s="4"/>
      <c r="L535" s="10"/>
      <c r="M535" s="10"/>
      <c r="N535" s="10"/>
      <c r="O535" s="10"/>
      <c r="P535" s="10"/>
      <c r="Q535" s="11"/>
      <c r="R535" s="9"/>
      <c r="S535" s="12"/>
      <c r="T535" s="5"/>
      <c r="U535" s="5"/>
      <c r="V535" s="4"/>
      <c r="W535" s="4"/>
      <c r="X535" s="4"/>
      <c r="Y535" s="4"/>
    </row>
    <row r="536">
      <c r="A536" s="5"/>
      <c r="B536" s="9"/>
      <c r="C536" s="5"/>
      <c r="D536" s="9"/>
      <c r="E536" s="9"/>
      <c r="F536" s="9"/>
      <c r="G536" s="9"/>
      <c r="H536" s="9"/>
      <c r="I536" s="9"/>
      <c r="J536" s="5"/>
      <c r="K536" s="4"/>
      <c r="L536" s="10"/>
      <c r="M536" s="10"/>
      <c r="N536" s="10"/>
      <c r="O536" s="10"/>
      <c r="P536" s="10"/>
      <c r="Q536" s="11"/>
      <c r="R536" s="9"/>
      <c r="S536" s="12"/>
      <c r="T536" s="5"/>
      <c r="U536" s="5"/>
      <c r="V536" s="4"/>
      <c r="W536" s="4"/>
      <c r="X536" s="4"/>
      <c r="Y536" s="4"/>
    </row>
    <row r="537">
      <c r="A537" s="5"/>
      <c r="B537" s="9"/>
      <c r="C537" s="5"/>
      <c r="D537" s="9"/>
      <c r="E537" s="9"/>
      <c r="F537" s="9"/>
      <c r="G537" s="9"/>
      <c r="H537" s="9"/>
      <c r="I537" s="9"/>
      <c r="J537" s="5"/>
      <c r="K537" s="4"/>
      <c r="L537" s="10"/>
      <c r="M537" s="10"/>
      <c r="N537" s="10"/>
      <c r="O537" s="10"/>
      <c r="P537" s="10"/>
      <c r="Q537" s="11"/>
      <c r="R537" s="9"/>
      <c r="S537" s="12"/>
      <c r="T537" s="5"/>
      <c r="U537" s="5"/>
      <c r="V537" s="4"/>
      <c r="W537" s="4"/>
      <c r="X537" s="4"/>
      <c r="Y537" s="4"/>
    </row>
    <row r="538">
      <c r="A538" s="5"/>
      <c r="B538" s="9"/>
      <c r="C538" s="5"/>
      <c r="D538" s="9"/>
      <c r="E538" s="9"/>
      <c r="F538" s="9"/>
      <c r="G538" s="9"/>
      <c r="H538" s="9"/>
      <c r="I538" s="9"/>
      <c r="J538" s="5"/>
      <c r="K538" s="4"/>
      <c r="L538" s="10"/>
      <c r="M538" s="10"/>
      <c r="N538" s="10"/>
      <c r="O538" s="10"/>
      <c r="P538" s="10"/>
      <c r="Q538" s="11"/>
      <c r="R538" s="9"/>
      <c r="S538" s="12"/>
      <c r="T538" s="5"/>
      <c r="U538" s="5"/>
      <c r="V538" s="4"/>
      <c r="W538" s="4"/>
      <c r="X538" s="4"/>
      <c r="Y538" s="4"/>
    </row>
    <row r="539">
      <c r="A539" s="5"/>
      <c r="B539" s="9"/>
      <c r="C539" s="5"/>
      <c r="D539" s="9"/>
      <c r="E539" s="9"/>
      <c r="F539" s="9"/>
      <c r="G539" s="9"/>
      <c r="H539" s="9"/>
      <c r="I539" s="9"/>
      <c r="J539" s="5"/>
      <c r="K539" s="4"/>
      <c r="L539" s="10"/>
      <c r="M539" s="10"/>
      <c r="N539" s="10"/>
      <c r="O539" s="10"/>
      <c r="P539" s="10"/>
      <c r="Q539" s="11"/>
      <c r="R539" s="9"/>
      <c r="S539" s="12"/>
      <c r="T539" s="5"/>
      <c r="U539" s="5"/>
      <c r="V539" s="4"/>
      <c r="W539" s="4"/>
      <c r="X539" s="4"/>
      <c r="Y539" s="4"/>
    </row>
    <row r="540">
      <c r="A540" s="5"/>
      <c r="B540" s="9"/>
      <c r="C540" s="5"/>
      <c r="D540" s="9"/>
      <c r="E540" s="9"/>
      <c r="F540" s="9"/>
      <c r="G540" s="9"/>
      <c r="H540" s="9"/>
      <c r="I540" s="9"/>
      <c r="J540" s="5"/>
      <c r="K540" s="4"/>
      <c r="L540" s="10"/>
      <c r="M540" s="10"/>
      <c r="N540" s="10"/>
      <c r="O540" s="10"/>
      <c r="P540" s="10"/>
      <c r="Q540" s="11"/>
      <c r="R540" s="9"/>
      <c r="S540" s="12"/>
      <c r="T540" s="5"/>
      <c r="U540" s="5"/>
      <c r="V540" s="4"/>
      <c r="W540" s="4"/>
      <c r="X540" s="4"/>
      <c r="Y540" s="4"/>
    </row>
    <row r="541">
      <c r="A541" s="5"/>
      <c r="B541" s="9"/>
      <c r="C541" s="5"/>
      <c r="D541" s="9"/>
      <c r="E541" s="9"/>
      <c r="F541" s="9"/>
      <c r="G541" s="9"/>
      <c r="H541" s="9"/>
      <c r="I541" s="9"/>
      <c r="J541" s="5"/>
      <c r="K541" s="4"/>
      <c r="L541" s="10"/>
      <c r="M541" s="10"/>
      <c r="N541" s="10"/>
      <c r="O541" s="10"/>
      <c r="P541" s="10"/>
      <c r="Q541" s="11"/>
      <c r="R541" s="9"/>
      <c r="S541" s="12"/>
      <c r="T541" s="5"/>
      <c r="U541" s="5"/>
      <c r="V541" s="4"/>
      <c r="W541" s="4"/>
      <c r="X541" s="4"/>
      <c r="Y541" s="4"/>
    </row>
    <row r="542">
      <c r="A542" s="5"/>
      <c r="B542" s="9"/>
      <c r="C542" s="5"/>
      <c r="D542" s="9"/>
      <c r="E542" s="9"/>
      <c r="F542" s="9"/>
      <c r="G542" s="9"/>
      <c r="H542" s="9"/>
      <c r="I542" s="9"/>
      <c r="J542" s="5"/>
      <c r="K542" s="4"/>
      <c r="L542" s="10"/>
      <c r="M542" s="10"/>
      <c r="N542" s="10"/>
      <c r="O542" s="10"/>
      <c r="P542" s="10"/>
      <c r="Q542" s="11"/>
      <c r="R542" s="9"/>
      <c r="S542" s="12"/>
      <c r="T542" s="5"/>
      <c r="U542" s="5"/>
      <c r="V542" s="4"/>
      <c r="W542" s="4"/>
      <c r="X542" s="4"/>
      <c r="Y542" s="4"/>
    </row>
    <row r="543">
      <c r="A543" s="5"/>
      <c r="B543" s="9"/>
      <c r="C543" s="5"/>
      <c r="D543" s="9"/>
      <c r="E543" s="9"/>
      <c r="F543" s="9"/>
      <c r="G543" s="9"/>
      <c r="H543" s="9"/>
      <c r="I543" s="9"/>
      <c r="J543" s="5"/>
      <c r="K543" s="4"/>
      <c r="L543" s="10"/>
      <c r="M543" s="10"/>
      <c r="N543" s="10"/>
      <c r="O543" s="10"/>
      <c r="P543" s="10"/>
      <c r="Q543" s="11"/>
      <c r="R543" s="9"/>
      <c r="S543" s="12"/>
      <c r="T543" s="5"/>
      <c r="U543" s="5"/>
      <c r="V543" s="4"/>
      <c r="W543" s="4"/>
      <c r="X543" s="4"/>
      <c r="Y543" s="4"/>
    </row>
    <row r="544">
      <c r="A544" s="5"/>
      <c r="B544" s="9"/>
      <c r="C544" s="5"/>
      <c r="D544" s="9"/>
      <c r="E544" s="9"/>
      <c r="F544" s="9"/>
      <c r="G544" s="9"/>
      <c r="H544" s="9"/>
      <c r="I544" s="9"/>
      <c r="J544" s="5"/>
      <c r="K544" s="4"/>
      <c r="L544" s="10"/>
      <c r="M544" s="10"/>
      <c r="N544" s="10"/>
      <c r="O544" s="10"/>
      <c r="P544" s="10"/>
      <c r="Q544" s="11"/>
      <c r="R544" s="9"/>
      <c r="S544" s="12"/>
      <c r="T544" s="5"/>
      <c r="U544" s="5"/>
      <c r="V544" s="4"/>
      <c r="W544" s="4"/>
      <c r="X544" s="4"/>
      <c r="Y544" s="4"/>
    </row>
    <row r="545">
      <c r="A545" s="5"/>
      <c r="B545" s="9"/>
      <c r="C545" s="5"/>
      <c r="D545" s="9"/>
      <c r="E545" s="9"/>
      <c r="F545" s="9"/>
      <c r="G545" s="9"/>
      <c r="H545" s="9"/>
      <c r="I545" s="9"/>
      <c r="J545" s="5"/>
      <c r="K545" s="4"/>
      <c r="L545" s="10"/>
      <c r="M545" s="10"/>
      <c r="N545" s="10"/>
      <c r="O545" s="10"/>
      <c r="P545" s="10"/>
      <c r="Q545" s="11"/>
      <c r="R545" s="9"/>
      <c r="S545" s="12"/>
      <c r="T545" s="5"/>
      <c r="U545" s="5"/>
      <c r="V545" s="4"/>
      <c r="W545" s="4"/>
      <c r="X545" s="4"/>
      <c r="Y545" s="4"/>
    </row>
    <row r="546">
      <c r="A546" s="5"/>
      <c r="B546" s="9"/>
      <c r="C546" s="5"/>
      <c r="D546" s="9"/>
      <c r="E546" s="9"/>
      <c r="F546" s="9"/>
      <c r="G546" s="9"/>
      <c r="H546" s="9"/>
      <c r="I546" s="9"/>
      <c r="J546" s="5"/>
      <c r="K546" s="4"/>
      <c r="L546" s="10"/>
      <c r="M546" s="10"/>
      <c r="N546" s="10"/>
      <c r="O546" s="10"/>
      <c r="P546" s="10"/>
      <c r="Q546" s="11"/>
      <c r="R546" s="9"/>
      <c r="S546" s="12"/>
      <c r="T546" s="5"/>
      <c r="U546" s="5"/>
      <c r="V546" s="4"/>
      <c r="W546" s="4"/>
      <c r="X546" s="4"/>
      <c r="Y546" s="4"/>
    </row>
    <row r="547">
      <c r="A547" s="5"/>
      <c r="B547" s="9"/>
      <c r="C547" s="5"/>
      <c r="D547" s="9"/>
      <c r="E547" s="9"/>
      <c r="F547" s="9"/>
      <c r="G547" s="9"/>
      <c r="H547" s="9"/>
      <c r="I547" s="9"/>
      <c r="J547" s="5"/>
      <c r="K547" s="4"/>
      <c r="L547" s="10"/>
      <c r="M547" s="10"/>
      <c r="N547" s="10"/>
      <c r="O547" s="10"/>
      <c r="P547" s="10"/>
      <c r="Q547" s="11"/>
      <c r="R547" s="9"/>
      <c r="S547" s="12"/>
      <c r="T547" s="5"/>
      <c r="U547" s="5"/>
      <c r="V547" s="4"/>
      <c r="W547" s="4"/>
      <c r="X547" s="4"/>
      <c r="Y547" s="4"/>
    </row>
    <row r="548">
      <c r="A548" s="5"/>
      <c r="B548" s="9"/>
      <c r="C548" s="5"/>
      <c r="D548" s="9"/>
      <c r="E548" s="9"/>
      <c r="F548" s="9"/>
      <c r="G548" s="9"/>
      <c r="H548" s="9"/>
      <c r="I548" s="9"/>
      <c r="J548" s="5"/>
      <c r="K548" s="4"/>
      <c r="L548" s="10"/>
      <c r="M548" s="10"/>
      <c r="N548" s="10"/>
      <c r="O548" s="10"/>
      <c r="P548" s="10"/>
      <c r="Q548" s="11"/>
      <c r="R548" s="9"/>
      <c r="S548" s="12"/>
      <c r="T548" s="5"/>
      <c r="U548" s="5"/>
      <c r="V548" s="4"/>
      <c r="W548" s="4"/>
      <c r="X548" s="4"/>
      <c r="Y548" s="4"/>
    </row>
    <row r="549">
      <c r="A549" s="5"/>
      <c r="B549" s="9"/>
      <c r="C549" s="5"/>
      <c r="D549" s="9"/>
      <c r="E549" s="9"/>
      <c r="F549" s="9"/>
      <c r="G549" s="9"/>
      <c r="H549" s="9"/>
      <c r="I549" s="9"/>
      <c r="J549" s="5"/>
      <c r="K549" s="4"/>
      <c r="L549" s="10"/>
      <c r="M549" s="10"/>
      <c r="N549" s="10"/>
      <c r="O549" s="10"/>
      <c r="P549" s="10"/>
      <c r="Q549" s="11"/>
      <c r="R549" s="9"/>
      <c r="S549" s="12"/>
      <c r="T549" s="5"/>
      <c r="U549" s="5"/>
      <c r="V549" s="4"/>
      <c r="W549" s="4"/>
      <c r="X549" s="4"/>
      <c r="Y549" s="4"/>
    </row>
    <row r="550">
      <c r="A550" s="5"/>
      <c r="B550" s="9"/>
      <c r="C550" s="5"/>
      <c r="D550" s="9"/>
      <c r="E550" s="9"/>
      <c r="F550" s="9"/>
      <c r="G550" s="9"/>
      <c r="H550" s="9"/>
      <c r="I550" s="9"/>
      <c r="J550" s="5"/>
      <c r="K550" s="4"/>
      <c r="L550" s="10"/>
      <c r="M550" s="10"/>
      <c r="N550" s="10"/>
      <c r="O550" s="10"/>
      <c r="P550" s="10"/>
      <c r="Q550" s="11"/>
      <c r="R550" s="9"/>
      <c r="S550" s="12"/>
      <c r="T550" s="5"/>
      <c r="U550" s="5"/>
      <c r="V550" s="4"/>
      <c r="W550" s="4"/>
      <c r="X550" s="4"/>
      <c r="Y550" s="4"/>
    </row>
    <row r="551">
      <c r="A551" s="5"/>
      <c r="B551" s="9"/>
      <c r="C551" s="5"/>
      <c r="D551" s="9"/>
      <c r="E551" s="9"/>
      <c r="F551" s="9"/>
      <c r="G551" s="9"/>
      <c r="H551" s="9"/>
      <c r="I551" s="9"/>
      <c r="J551" s="5"/>
      <c r="K551" s="4"/>
      <c r="L551" s="10"/>
      <c r="M551" s="10"/>
      <c r="N551" s="10"/>
      <c r="O551" s="10"/>
      <c r="P551" s="10"/>
      <c r="Q551" s="11"/>
      <c r="R551" s="9"/>
      <c r="S551" s="12"/>
      <c r="T551" s="5"/>
      <c r="U551" s="5"/>
      <c r="V551" s="4"/>
      <c r="W551" s="4"/>
      <c r="X551" s="4"/>
      <c r="Y551" s="4"/>
    </row>
    <row r="552">
      <c r="A552" s="5"/>
      <c r="B552" s="9"/>
      <c r="C552" s="5"/>
      <c r="D552" s="9"/>
      <c r="E552" s="9"/>
      <c r="F552" s="9"/>
      <c r="G552" s="9"/>
      <c r="H552" s="9"/>
      <c r="I552" s="9"/>
      <c r="J552" s="5"/>
      <c r="K552" s="4"/>
      <c r="L552" s="10"/>
      <c r="M552" s="10"/>
      <c r="N552" s="10"/>
      <c r="O552" s="10"/>
      <c r="P552" s="10"/>
      <c r="Q552" s="11"/>
      <c r="R552" s="9"/>
      <c r="S552" s="12"/>
      <c r="T552" s="5"/>
      <c r="U552" s="5"/>
      <c r="V552" s="4"/>
      <c r="W552" s="4"/>
      <c r="X552" s="4"/>
      <c r="Y552" s="4"/>
    </row>
    <row r="553">
      <c r="A553" s="5"/>
      <c r="B553" s="9"/>
      <c r="C553" s="5"/>
      <c r="D553" s="9"/>
      <c r="E553" s="9"/>
      <c r="F553" s="9"/>
      <c r="G553" s="9"/>
      <c r="H553" s="9"/>
      <c r="I553" s="9"/>
      <c r="J553" s="5"/>
      <c r="K553" s="4"/>
      <c r="L553" s="10"/>
      <c r="M553" s="10"/>
      <c r="N553" s="10"/>
      <c r="O553" s="10"/>
      <c r="P553" s="10"/>
      <c r="Q553" s="11"/>
      <c r="R553" s="9"/>
      <c r="S553" s="12"/>
      <c r="T553" s="5"/>
      <c r="U553" s="5"/>
      <c r="V553" s="4"/>
      <c r="W553" s="4"/>
      <c r="X553" s="4"/>
      <c r="Y553" s="4"/>
    </row>
    <row r="554">
      <c r="A554" s="5"/>
      <c r="B554" s="9"/>
      <c r="C554" s="5"/>
      <c r="D554" s="9"/>
      <c r="E554" s="9"/>
      <c r="F554" s="9"/>
      <c r="G554" s="9"/>
      <c r="H554" s="9"/>
      <c r="I554" s="9"/>
      <c r="J554" s="5"/>
      <c r="K554" s="4"/>
      <c r="L554" s="10"/>
      <c r="M554" s="10"/>
      <c r="N554" s="10"/>
      <c r="O554" s="10"/>
      <c r="P554" s="10"/>
      <c r="Q554" s="11"/>
      <c r="R554" s="9"/>
      <c r="S554" s="12"/>
      <c r="T554" s="5"/>
      <c r="U554" s="5"/>
      <c r="V554" s="4"/>
      <c r="W554" s="4"/>
      <c r="X554" s="4"/>
      <c r="Y554" s="4"/>
    </row>
    <row r="555">
      <c r="A555" s="5"/>
      <c r="B555" s="9"/>
      <c r="C555" s="5"/>
      <c r="D555" s="9"/>
      <c r="E555" s="9"/>
      <c r="F555" s="9"/>
      <c r="G555" s="9"/>
      <c r="H555" s="9"/>
      <c r="I555" s="9"/>
      <c r="J555" s="5"/>
      <c r="K555" s="4"/>
      <c r="L555" s="10"/>
      <c r="M555" s="10"/>
      <c r="N555" s="10"/>
      <c r="O555" s="10"/>
      <c r="P555" s="10"/>
      <c r="Q555" s="11"/>
      <c r="R555" s="9"/>
      <c r="S555" s="12"/>
      <c r="T555" s="5"/>
      <c r="U555" s="5"/>
      <c r="V555" s="4"/>
      <c r="W555" s="4"/>
      <c r="X555" s="4"/>
      <c r="Y555" s="4"/>
    </row>
    <row r="556">
      <c r="A556" s="5"/>
      <c r="B556" s="9"/>
      <c r="C556" s="5"/>
      <c r="D556" s="9"/>
      <c r="E556" s="9"/>
      <c r="F556" s="9"/>
      <c r="G556" s="9"/>
      <c r="H556" s="9"/>
      <c r="I556" s="9"/>
      <c r="J556" s="5"/>
      <c r="K556" s="4"/>
      <c r="L556" s="10"/>
      <c r="M556" s="10"/>
      <c r="N556" s="10"/>
      <c r="O556" s="10"/>
      <c r="P556" s="10"/>
      <c r="Q556" s="11"/>
      <c r="R556" s="9"/>
      <c r="S556" s="12"/>
      <c r="T556" s="5"/>
      <c r="U556" s="5"/>
      <c r="V556" s="4"/>
      <c r="W556" s="4"/>
      <c r="X556" s="4"/>
      <c r="Y556" s="4"/>
    </row>
    <row r="557">
      <c r="A557" s="5"/>
      <c r="B557" s="9"/>
      <c r="C557" s="5"/>
      <c r="D557" s="9"/>
      <c r="E557" s="9"/>
      <c r="F557" s="9"/>
      <c r="G557" s="9"/>
      <c r="H557" s="9"/>
      <c r="I557" s="9"/>
      <c r="J557" s="5"/>
      <c r="K557" s="4"/>
      <c r="L557" s="10"/>
      <c r="M557" s="10"/>
      <c r="N557" s="10"/>
      <c r="O557" s="10"/>
      <c r="P557" s="10"/>
      <c r="Q557" s="11"/>
      <c r="R557" s="9"/>
      <c r="S557" s="12"/>
      <c r="T557" s="5"/>
      <c r="U557" s="5"/>
      <c r="V557" s="4"/>
      <c r="W557" s="4"/>
      <c r="X557" s="4"/>
      <c r="Y557" s="4"/>
    </row>
    <row r="558">
      <c r="A558" s="5"/>
      <c r="B558" s="9"/>
      <c r="C558" s="5"/>
      <c r="D558" s="9"/>
      <c r="E558" s="9"/>
      <c r="F558" s="9"/>
      <c r="G558" s="9"/>
      <c r="H558" s="9"/>
      <c r="I558" s="9"/>
      <c r="J558" s="5"/>
      <c r="K558" s="4"/>
      <c r="L558" s="10"/>
      <c r="M558" s="10"/>
      <c r="N558" s="10"/>
      <c r="O558" s="10"/>
      <c r="P558" s="10"/>
      <c r="Q558" s="11"/>
      <c r="R558" s="9"/>
      <c r="S558" s="12"/>
      <c r="T558" s="5"/>
      <c r="U558" s="5"/>
      <c r="V558" s="4"/>
      <c r="W558" s="4"/>
      <c r="X558" s="4"/>
      <c r="Y558" s="4"/>
    </row>
    <row r="559">
      <c r="A559" s="5"/>
      <c r="B559" s="9"/>
      <c r="C559" s="5"/>
      <c r="D559" s="9"/>
      <c r="E559" s="9"/>
      <c r="F559" s="9"/>
      <c r="G559" s="9"/>
      <c r="H559" s="9"/>
      <c r="I559" s="9"/>
      <c r="J559" s="5"/>
      <c r="K559" s="4"/>
      <c r="L559" s="10"/>
      <c r="M559" s="10"/>
      <c r="N559" s="10"/>
      <c r="O559" s="10"/>
      <c r="P559" s="10"/>
      <c r="Q559" s="11"/>
      <c r="R559" s="9"/>
      <c r="S559" s="12"/>
      <c r="T559" s="5"/>
      <c r="U559" s="5"/>
      <c r="V559" s="4"/>
      <c r="W559" s="4"/>
      <c r="X559" s="4"/>
      <c r="Y559" s="4"/>
    </row>
    <row r="560">
      <c r="A560" s="5"/>
      <c r="B560" s="9"/>
      <c r="C560" s="5"/>
      <c r="D560" s="9"/>
      <c r="E560" s="9"/>
      <c r="F560" s="9"/>
      <c r="G560" s="9"/>
      <c r="H560" s="9"/>
      <c r="I560" s="9"/>
      <c r="J560" s="5"/>
      <c r="K560" s="4"/>
      <c r="L560" s="10"/>
      <c r="M560" s="10"/>
      <c r="N560" s="10"/>
      <c r="O560" s="10"/>
      <c r="P560" s="10"/>
      <c r="Q560" s="11"/>
      <c r="R560" s="9"/>
      <c r="S560" s="12"/>
      <c r="T560" s="5"/>
      <c r="U560" s="5"/>
      <c r="V560" s="4"/>
      <c r="W560" s="4"/>
      <c r="X560" s="4"/>
      <c r="Y560" s="4"/>
    </row>
    <row r="561">
      <c r="A561" s="5"/>
      <c r="B561" s="9"/>
      <c r="C561" s="5"/>
      <c r="D561" s="9"/>
      <c r="E561" s="9"/>
      <c r="F561" s="9"/>
      <c r="G561" s="9"/>
      <c r="H561" s="9"/>
      <c r="I561" s="9"/>
      <c r="J561" s="5"/>
      <c r="K561" s="4"/>
      <c r="L561" s="10"/>
      <c r="M561" s="10"/>
      <c r="N561" s="10"/>
      <c r="O561" s="10"/>
      <c r="P561" s="10"/>
      <c r="Q561" s="11"/>
      <c r="R561" s="9"/>
      <c r="S561" s="12"/>
      <c r="T561" s="5"/>
      <c r="U561" s="5"/>
      <c r="V561" s="4"/>
      <c r="W561" s="4"/>
      <c r="X561" s="4"/>
      <c r="Y561" s="4"/>
    </row>
    <row r="562">
      <c r="A562" s="5"/>
      <c r="B562" s="9"/>
      <c r="C562" s="5"/>
      <c r="D562" s="9"/>
      <c r="E562" s="9"/>
      <c r="F562" s="9"/>
      <c r="G562" s="9"/>
      <c r="H562" s="9"/>
      <c r="I562" s="9"/>
      <c r="J562" s="5"/>
      <c r="K562" s="4"/>
      <c r="L562" s="10"/>
      <c r="M562" s="10"/>
      <c r="N562" s="10"/>
      <c r="O562" s="10"/>
      <c r="P562" s="10"/>
      <c r="Q562" s="11"/>
      <c r="R562" s="9"/>
      <c r="S562" s="12"/>
      <c r="T562" s="5"/>
      <c r="U562" s="5"/>
      <c r="V562" s="4"/>
      <c r="W562" s="4"/>
      <c r="X562" s="4"/>
      <c r="Y562" s="4"/>
    </row>
    <row r="563">
      <c r="A563" s="5"/>
      <c r="B563" s="9"/>
      <c r="C563" s="5"/>
      <c r="D563" s="9"/>
      <c r="E563" s="9"/>
      <c r="F563" s="9"/>
      <c r="G563" s="9"/>
      <c r="H563" s="9"/>
      <c r="I563" s="9"/>
      <c r="J563" s="5"/>
      <c r="K563" s="4"/>
      <c r="L563" s="10"/>
      <c r="M563" s="10"/>
      <c r="N563" s="10"/>
      <c r="O563" s="10"/>
      <c r="P563" s="10"/>
      <c r="Q563" s="11"/>
      <c r="R563" s="9"/>
      <c r="S563" s="12"/>
      <c r="T563" s="5"/>
      <c r="U563" s="5"/>
      <c r="V563" s="4"/>
      <c r="W563" s="4"/>
      <c r="X563" s="4"/>
      <c r="Y563" s="4"/>
    </row>
    <row r="564">
      <c r="A564" s="5"/>
      <c r="B564" s="9"/>
      <c r="C564" s="5"/>
      <c r="D564" s="9"/>
      <c r="E564" s="9"/>
      <c r="F564" s="9"/>
      <c r="G564" s="9"/>
      <c r="H564" s="9"/>
      <c r="I564" s="9"/>
      <c r="J564" s="5"/>
      <c r="K564" s="4"/>
      <c r="L564" s="10"/>
      <c r="M564" s="10"/>
      <c r="N564" s="10"/>
      <c r="O564" s="10"/>
      <c r="P564" s="10"/>
      <c r="Q564" s="11"/>
      <c r="R564" s="9"/>
      <c r="S564" s="12"/>
      <c r="T564" s="5"/>
      <c r="U564" s="5"/>
      <c r="V564" s="4"/>
      <c r="W564" s="4"/>
      <c r="X564" s="4"/>
      <c r="Y564" s="4"/>
    </row>
    <row r="565">
      <c r="A565" s="5"/>
      <c r="B565" s="9"/>
      <c r="C565" s="5"/>
      <c r="D565" s="9"/>
      <c r="E565" s="9"/>
      <c r="F565" s="9"/>
      <c r="G565" s="9"/>
      <c r="H565" s="9"/>
      <c r="I565" s="9"/>
      <c r="J565" s="5"/>
      <c r="K565" s="4"/>
      <c r="L565" s="10"/>
      <c r="M565" s="10"/>
      <c r="N565" s="10"/>
      <c r="O565" s="10"/>
      <c r="P565" s="10"/>
      <c r="Q565" s="11"/>
      <c r="R565" s="9"/>
      <c r="S565" s="12"/>
      <c r="T565" s="5"/>
      <c r="U565" s="5"/>
      <c r="V565" s="4"/>
      <c r="W565" s="4"/>
      <c r="X565" s="4"/>
      <c r="Y565" s="4"/>
    </row>
    <row r="566">
      <c r="A566" s="5"/>
      <c r="B566" s="9"/>
      <c r="C566" s="5"/>
      <c r="D566" s="9"/>
      <c r="E566" s="9"/>
      <c r="F566" s="9"/>
      <c r="G566" s="9"/>
      <c r="H566" s="9"/>
      <c r="I566" s="9"/>
      <c r="J566" s="5"/>
      <c r="K566" s="4"/>
      <c r="L566" s="10"/>
      <c r="M566" s="10"/>
      <c r="N566" s="10"/>
      <c r="O566" s="10"/>
      <c r="P566" s="10"/>
      <c r="Q566" s="11"/>
      <c r="R566" s="9"/>
      <c r="S566" s="12"/>
      <c r="T566" s="5"/>
      <c r="U566" s="5"/>
      <c r="V566" s="4"/>
      <c r="W566" s="4"/>
      <c r="X566" s="4"/>
      <c r="Y566" s="4"/>
    </row>
    <row r="567">
      <c r="A567" s="5"/>
      <c r="B567" s="9"/>
      <c r="C567" s="5"/>
      <c r="D567" s="9"/>
      <c r="E567" s="9"/>
      <c r="F567" s="9"/>
      <c r="G567" s="9"/>
      <c r="H567" s="9"/>
      <c r="I567" s="9"/>
      <c r="J567" s="5"/>
      <c r="K567" s="4"/>
      <c r="L567" s="10"/>
      <c r="M567" s="10"/>
      <c r="N567" s="10"/>
      <c r="O567" s="10"/>
      <c r="P567" s="10"/>
      <c r="Q567" s="11"/>
      <c r="R567" s="9"/>
      <c r="S567" s="12"/>
      <c r="T567" s="5"/>
      <c r="U567" s="5"/>
      <c r="V567" s="4"/>
      <c r="W567" s="4"/>
      <c r="X567" s="4"/>
      <c r="Y567" s="4"/>
    </row>
    <row r="568">
      <c r="A568" s="5"/>
      <c r="B568" s="9"/>
      <c r="C568" s="5"/>
      <c r="D568" s="9"/>
      <c r="E568" s="9"/>
      <c r="F568" s="9"/>
      <c r="G568" s="9"/>
      <c r="H568" s="9"/>
      <c r="I568" s="9"/>
      <c r="J568" s="5"/>
      <c r="K568" s="4"/>
      <c r="L568" s="10"/>
      <c r="M568" s="10"/>
      <c r="N568" s="10"/>
      <c r="O568" s="10"/>
      <c r="P568" s="10"/>
      <c r="Q568" s="11"/>
      <c r="R568" s="9"/>
      <c r="S568" s="12"/>
      <c r="T568" s="5"/>
      <c r="U568" s="5"/>
      <c r="V568" s="4"/>
      <c r="W568" s="4"/>
      <c r="X568" s="4"/>
      <c r="Y568" s="4"/>
    </row>
    <row r="569">
      <c r="A569" s="5"/>
      <c r="B569" s="9"/>
      <c r="C569" s="5"/>
      <c r="D569" s="9"/>
      <c r="E569" s="9"/>
      <c r="F569" s="9"/>
      <c r="G569" s="9"/>
      <c r="H569" s="9"/>
      <c r="I569" s="9"/>
      <c r="J569" s="5"/>
      <c r="K569" s="4"/>
      <c r="L569" s="10"/>
      <c r="M569" s="10"/>
      <c r="N569" s="10"/>
      <c r="O569" s="10"/>
      <c r="P569" s="10"/>
      <c r="Q569" s="11"/>
      <c r="R569" s="9"/>
      <c r="S569" s="12"/>
      <c r="T569" s="5"/>
      <c r="U569" s="5"/>
      <c r="V569" s="4"/>
      <c r="W569" s="4"/>
      <c r="X569" s="4"/>
      <c r="Y569" s="4"/>
    </row>
    <row r="570">
      <c r="A570" s="5"/>
      <c r="B570" s="9"/>
      <c r="C570" s="5"/>
      <c r="D570" s="9"/>
      <c r="E570" s="9"/>
      <c r="F570" s="9"/>
      <c r="G570" s="9"/>
      <c r="H570" s="9"/>
      <c r="I570" s="9"/>
      <c r="J570" s="5"/>
      <c r="K570" s="4"/>
      <c r="L570" s="10"/>
      <c r="M570" s="10"/>
      <c r="N570" s="10"/>
      <c r="O570" s="10"/>
      <c r="P570" s="10"/>
      <c r="Q570" s="11"/>
      <c r="R570" s="9"/>
      <c r="S570" s="12"/>
      <c r="T570" s="5"/>
      <c r="U570" s="5"/>
      <c r="V570" s="4"/>
      <c r="W570" s="4"/>
      <c r="X570" s="4"/>
      <c r="Y570" s="4"/>
    </row>
    <row r="571">
      <c r="A571" s="5"/>
      <c r="B571" s="9"/>
      <c r="C571" s="5"/>
      <c r="D571" s="9"/>
      <c r="E571" s="9"/>
      <c r="F571" s="9"/>
      <c r="G571" s="9"/>
      <c r="H571" s="9"/>
      <c r="I571" s="9"/>
      <c r="J571" s="5"/>
      <c r="K571" s="4"/>
      <c r="L571" s="10"/>
      <c r="M571" s="10"/>
      <c r="N571" s="10"/>
      <c r="O571" s="10"/>
      <c r="P571" s="10"/>
      <c r="Q571" s="11"/>
      <c r="R571" s="9"/>
      <c r="S571" s="12"/>
      <c r="T571" s="5"/>
      <c r="U571" s="5"/>
      <c r="V571" s="4"/>
      <c r="W571" s="4"/>
      <c r="X571" s="4"/>
      <c r="Y571" s="4"/>
    </row>
    <row r="572">
      <c r="A572" s="5"/>
      <c r="B572" s="9"/>
      <c r="C572" s="5"/>
      <c r="D572" s="9"/>
      <c r="E572" s="9"/>
      <c r="F572" s="9"/>
      <c r="G572" s="9"/>
      <c r="H572" s="9"/>
      <c r="I572" s="9"/>
      <c r="J572" s="5"/>
      <c r="K572" s="4"/>
      <c r="L572" s="10"/>
      <c r="M572" s="10"/>
      <c r="N572" s="10"/>
      <c r="O572" s="10"/>
      <c r="P572" s="10"/>
      <c r="Q572" s="11"/>
      <c r="R572" s="9"/>
      <c r="S572" s="12"/>
      <c r="T572" s="5"/>
      <c r="U572" s="5"/>
      <c r="V572" s="4"/>
      <c r="W572" s="4"/>
      <c r="X572" s="4"/>
      <c r="Y572" s="4"/>
    </row>
    <row r="573">
      <c r="A573" s="5"/>
      <c r="B573" s="9"/>
      <c r="C573" s="5"/>
      <c r="D573" s="9"/>
      <c r="E573" s="9"/>
      <c r="F573" s="9"/>
      <c r="G573" s="9"/>
      <c r="H573" s="9"/>
      <c r="I573" s="9"/>
      <c r="J573" s="5"/>
      <c r="K573" s="4"/>
      <c r="L573" s="10"/>
      <c r="M573" s="10"/>
      <c r="N573" s="10"/>
      <c r="O573" s="10"/>
      <c r="P573" s="10"/>
      <c r="Q573" s="11"/>
      <c r="R573" s="9"/>
      <c r="S573" s="12"/>
      <c r="T573" s="5"/>
      <c r="U573" s="5"/>
      <c r="V573" s="4"/>
      <c r="W573" s="4"/>
      <c r="X573" s="4"/>
      <c r="Y573" s="4"/>
    </row>
    <row r="574">
      <c r="A574" s="5"/>
      <c r="B574" s="9"/>
      <c r="C574" s="5"/>
      <c r="D574" s="9"/>
      <c r="E574" s="9"/>
      <c r="F574" s="9"/>
      <c r="G574" s="9"/>
      <c r="H574" s="9"/>
      <c r="I574" s="9"/>
      <c r="J574" s="5"/>
      <c r="K574" s="4"/>
      <c r="L574" s="10"/>
      <c r="M574" s="10"/>
      <c r="N574" s="10"/>
      <c r="O574" s="10"/>
      <c r="P574" s="10"/>
      <c r="Q574" s="11"/>
      <c r="R574" s="9"/>
      <c r="S574" s="12"/>
      <c r="T574" s="5"/>
      <c r="U574" s="5"/>
      <c r="V574" s="4"/>
      <c r="W574" s="4"/>
      <c r="X574" s="4"/>
      <c r="Y574" s="4"/>
    </row>
    <row r="575">
      <c r="A575" s="5"/>
      <c r="B575" s="9"/>
      <c r="C575" s="5"/>
      <c r="D575" s="9"/>
      <c r="E575" s="9"/>
      <c r="F575" s="9"/>
      <c r="G575" s="9"/>
      <c r="H575" s="9"/>
      <c r="I575" s="9"/>
      <c r="J575" s="5"/>
      <c r="K575" s="4"/>
      <c r="L575" s="10"/>
      <c r="M575" s="10"/>
      <c r="N575" s="10"/>
      <c r="O575" s="10"/>
      <c r="P575" s="10"/>
      <c r="Q575" s="11"/>
      <c r="R575" s="9"/>
      <c r="S575" s="12"/>
      <c r="T575" s="5"/>
      <c r="U575" s="5"/>
      <c r="V575" s="4"/>
      <c r="W575" s="4"/>
      <c r="X575" s="4"/>
      <c r="Y575" s="4"/>
    </row>
    <row r="576">
      <c r="A576" s="5"/>
      <c r="B576" s="9"/>
      <c r="C576" s="5"/>
      <c r="D576" s="9"/>
      <c r="E576" s="9"/>
      <c r="F576" s="9"/>
      <c r="G576" s="9"/>
      <c r="H576" s="9"/>
      <c r="I576" s="9"/>
      <c r="J576" s="5"/>
      <c r="K576" s="4"/>
      <c r="L576" s="10"/>
      <c r="M576" s="10"/>
      <c r="N576" s="10"/>
      <c r="O576" s="10"/>
      <c r="P576" s="10"/>
      <c r="Q576" s="11"/>
      <c r="R576" s="9"/>
      <c r="S576" s="12"/>
      <c r="T576" s="5"/>
      <c r="U576" s="5"/>
      <c r="V576" s="4"/>
      <c r="W576" s="4"/>
      <c r="X576" s="4"/>
      <c r="Y576" s="4"/>
    </row>
    <row r="577">
      <c r="A577" s="5"/>
      <c r="B577" s="9"/>
      <c r="C577" s="5"/>
      <c r="D577" s="9"/>
      <c r="E577" s="9"/>
      <c r="F577" s="9"/>
      <c r="G577" s="9"/>
      <c r="H577" s="9"/>
      <c r="I577" s="9"/>
      <c r="J577" s="5"/>
      <c r="K577" s="4"/>
      <c r="L577" s="10"/>
      <c r="M577" s="10"/>
      <c r="N577" s="10"/>
      <c r="O577" s="10"/>
      <c r="P577" s="10"/>
      <c r="Q577" s="11"/>
      <c r="R577" s="9"/>
      <c r="S577" s="12"/>
      <c r="T577" s="5"/>
      <c r="U577" s="5"/>
      <c r="V577" s="4"/>
      <c r="W577" s="4"/>
      <c r="X577" s="4"/>
      <c r="Y577" s="4"/>
    </row>
    <row r="578">
      <c r="A578" s="5"/>
      <c r="B578" s="9"/>
      <c r="C578" s="5"/>
      <c r="D578" s="9"/>
      <c r="E578" s="9"/>
      <c r="F578" s="9"/>
      <c r="G578" s="9"/>
      <c r="H578" s="9"/>
      <c r="I578" s="9"/>
      <c r="J578" s="5"/>
      <c r="K578" s="4"/>
      <c r="L578" s="10"/>
      <c r="M578" s="10"/>
      <c r="N578" s="10"/>
      <c r="O578" s="10"/>
      <c r="P578" s="10"/>
      <c r="Q578" s="11"/>
      <c r="R578" s="9"/>
      <c r="S578" s="12"/>
      <c r="T578" s="5"/>
      <c r="U578" s="5"/>
      <c r="V578" s="4"/>
      <c r="W578" s="4"/>
      <c r="X578" s="4"/>
      <c r="Y578" s="4"/>
    </row>
    <row r="579">
      <c r="A579" s="5"/>
      <c r="B579" s="9"/>
      <c r="C579" s="5"/>
      <c r="D579" s="9"/>
      <c r="E579" s="9"/>
      <c r="F579" s="9"/>
      <c r="G579" s="9"/>
      <c r="H579" s="9"/>
      <c r="I579" s="9"/>
      <c r="J579" s="5"/>
      <c r="K579" s="4"/>
      <c r="L579" s="10"/>
      <c r="M579" s="10"/>
      <c r="N579" s="10"/>
      <c r="O579" s="10"/>
      <c r="P579" s="10"/>
      <c r="Q579" s="11"/>
      <c r="R579" s="9"/>
      <c r="S579" s="12"/>
      <c r="T579" s="5"/>
      <c r="U579" s="5"/>
      <c r="V579" s="4"/>
      <c r="W579" s="4"/>
      <c r="X579" s="4"/>
      <c r="Y579" s="4"/>
    </row>
    <row r="580">
      <c r="A580" s="5"/>
      <c r="B580" s="9"/>
      <c r="C580" s="5"/>
      <c r="D580" s="9"/>
      <c r="E580" s="9"/>
      <c r="F580" s="9"/>
      <c r="G580" s="9"/>
      <c r="H580" s="9"/>
      <c r="I580" s="9"/>
      <c r="J580" s="5"/>
      <c r="K580" s="4"/>
      <c r="L580" s="10"/>
      <c r="M580" s="10"/>
      <c r="N580" s="10"/>
      <c r="O580" s="10"/>
      <c r="P580" s="10"/>
      <c r="Q580" s="11"/>
      <c r="R580" s="9"/>
      <c r="S580" s="12"/>
      <c r="T580" s="5"/>
      <c r="U580" s="5"/>
      <c r="V580" s="4"/>
      <c r="W580" s="4"/>
      <c r="X580" s="4"/>
      <c r="Y580" s="4"/>
    </row>
    <row r="581">
      <c r="A581" s="5"/>
      <c r="B581" s="9"/>
      <c r="C581" s="5"/>
      <c r="D581" s="9"/>
      <c r="E581" s="9"/>
      <c r="F581" s="9"/>
      <c r="G581" s="9"/>
      <c r="H581" s="9"/>
      <c r="I581" s="9"/>
      <c r="J581" s="5"/>
      <c r="K581" s="4"/>
      <c r="L581" s="10"/>
      <c r="M581" s="10"/>
      <c r="N581" s="10"/>
      <c r="O581" s="10"/>
      <c r="P581" s="10"/>
      <c r="Q581" s="11"/>
      <c r="R581" s="9"/>
      <c r="S581" s="12"/>
      <c r="T581" s="5"/>
      <c r="U581" s="5"/>
      <c r="V581" s="4"/>
      <c r="W581" s="4"/>
      <c r="X581" s="4"/>
      <c r="Y581" s="4"/>
    </row>
    <row r="582">
      <c r="A582" s="5"/>
      <c r="B582" s="9"/>
      <c r="C582" s="5"/>
      <c r="D582" s="9"/>
      <c r="E582" s="9"/>
      <c r="F582" s="9"/>
      <c r="G582" s="9"/>
      <c r="H582" s="9"/>
      <c r="I582" s="9"/>
      <c r="J582" s="5"/>
      <c r="K582" s="4"/>
      <c r="L582" s="10"/>
      <c r="M582" s="10"/>
      <c r="N582" s="10"/>
      <c r="O582" s="10"/>
      <c r="P582" s="10"/>
      <c r="Q582" s="11"/>
      <c r="R582" s="9"/>
      <c r="S582" s="12"/>
      <c r="T582" s="5"/>
      <c r="U582" s="5"/>
      <c r="V582" s="4"/>
      <c r="W582" s="4"/>
      <c r="X582" s="4"/>
      <c r="Y582" s="4"/>
    </row>
    <row r="583">
      <c r="A583" s="5"/>
      <c r="B583" s="9"/>
      <c r="C583" s="5"/>
      <c r="D583" s="9"/>
      <c r="E583" s="9"/>
      <c r="F583" s="9"/>
      <c r="G583" s="9"/>
      <c r="H583" s="9"/>
      <c r="I583" s="9"/>
      <c r="J583" s="5"/>
      <c r="K583" s="4"/>
      <c r="L583" s="10"/>
      <c r="M583" s="10"/>
      <c r="N583" s="10"/>
      <c r="O583" s="10"/>
      <c r="P583" s="10"/>
      <c r="Q583" s="11"/>
      <c r="R583" s="9"/>
      <c r="S583" s="12"/>
      <c r="T583" s="5"/>
      <c r="U583" s="5"/>
      <c r="V583" s="4"/>
      <c r="W583" s="4"/>
      <c r="X583" s="4"/>
      <c r="Y583" s="4"/>
    </row>
    <row r="584">
      <c r="A584" s="5"/>
      <c r="B584" s="9"/>
      <c r="C584" s="5"/>
      <c r="D584" s="9"/>
      <c r="E584" s="9"/>
      <c r="F584" s="9"/>
      <c r="G584" s="9"/>
      <c r="H584" s="9"/>
      <c r="I584" s="9"/>
      <c r="J584" s="5"/>
      <c r="K584" s="4"/>
      <c r="L584" s="10"/>
      <c r="M584" s="10"/>
      <c r="N584" s="10"/>
      <c r="O584" s="10"/>
      <c r="P584" s="10"/>
      <c r="Q584" s="11"/>
      <c r="R584" s="9"/>
      <c r="S584" s="12"/>
      <c r="T584" s="5"/>
      <c r="U584" s="5"/>
      <c r="V584" s="4"/>
      <c r="W584" s="4"/>
      <c r="X584" s="4"/>
      <c r="Y584" s="4"/>
    </row>
    <row r="585">
      <c r="A585" s="5"/>
      <c r="B585" s="9"/>
      <c r="C585" s="5"/>
      <c r="D585" s="9"/>
      <c r="E585" s="9"/>
      <c r="F585" s="9"/>
      <c r="G585" s="9"/>
      <c r="H585" s="9"/>
      <c r="I585" s="9"/>
      <c r="J585" s="5"/>
      <c r="K585" s="4"/>
      <c r="L585" s="10"/>
      <c r="M585" s="10"/>
      <c r="N585" s="10"/>
      <c r="O585" s="10"/>
      <c r="P585" s="10"/>
      <c r="Q585" s="11"/>
      <c r="R585" s="9"/>
      <c r="S585" s="12"/>
      <c r="T585" s="5"/>
      <c r="U585" s="5"/>
      <c r="V585" s="4"/>
      <c r="W585" s="4"/>
      <c r="X585" s="4"/>
      <c r="Y585" s="4"/>
    </row>
    <row r="586">
      <c r="A586" s="5"/>
      <c r="B586" s="9"/>
      <c r="C586" s="5"/>
      <c r="D586" s="9"/>
      <c r="E586" s="9"/>
      <c r="F586" s="9"/>
      <c r="G586" s="9"/>
      <c r="H586" s="9"/>
      <c r="I586" s="9"/>
      <c r="J586" s="5"/>
      <c r="K586" s="4"/>
      <c r="L586" s="10"/>
      <c r="M586" s="10"/>
      <c r="N586" s="10"/>
      <c r="O586" s="10"/>
      <c r="P586" s="10"/>
      <c r="Q586" s="11"/>
      <c r="R586" s="9"/>
      <c r="S586" s="12"/>
      <c r="T586" s="5"/>
      <c r="U586" s="5"/>
      <c r="V586" s="4"/>
      <c r="W586" s="4"/>
      <c r="X586" s="4"/>
      <c r="Y586" s="4"/>
    </row>
    <row r="587">
      <c r="A587" s="5"/>
      <c r="B587" s="9"/>
      <c r="C587" s="5"/>
      <c r="D587" s="9"/>
      <c r="E587" s="9"/>
      <c r="F587" s="9"/>
      <c r="G587" s="9"/>
      <c r="H587" s="9"/>
      <c r="I587" s="9"/>
      <c r="J587" s="5"/>
      <c r="K587" s="4"/>
      <c r="L587" s="10"/>
      <c r="M587" s="10"/>
      <c r="N587" s="10"/>
      <c r="O587" s="10"/>
      <c r="P587" s="10"/>
      <c r="Q587" s="11"/>
      <c r="R587" s="9"/>
      <c r="S587" s="12"/>
      <c r="T587" s="5"/>
      <c r="U587" s="5"/>
      <c r="V587" s="4"/>
      <c r="W587" s="4"/>
      <c r="X587" s="4"/>
      <c r="Y587" s="4"/>
    </row>
    <row r="588">
      <c r="A588" s="5"/>
      <c r="B588" s="9"/>
      <c r="C588" s="5"/>
      <c r="D588" s="9"/>
      <c r="E588" s="9"/>
      <c r="F588" s="9"/>
      <c r="G588" s="9"/>
      <c r="H588" s="9"/>
      <c r="I588" s="9"/>
      <c r="J588" s="5"/>
      <c r="K588" s="4"/>
      <c r="L588" s="10"/>
      <c r="M588" s="10"/>
      <c r="N588" s="10"/>
      <c r="O588" s="10"/>
      <c r="P588" s="10"/>
      <c r="Q588" s="11"/>
      <c r="R588" s="9"/>
      <c r="S588" s="12"/>
      <c r="T588" s="5"/>
      <c r="U588" s="5"/>
      <c r="V588" s="4"/>
      <c r="W588" s="4"/>
      <c r="X588" s="4"/>
      <c r="Y588" s="4"/>
    </row>
    <row r="589">
      <c r="A589" s="5"/>
      <c r="B589" s="9"/>
      <c r="C589" s="5"/>
      <c r="D589" s="9"/>
      <c r="E589" s="9"/>
      <c r="F589" s="9"/>
      <c r="G589" s="9"/>
      <c r="H589" s="9"/>
      <c r="I589" s="9"/>
      <c r="J589" s="5"/>
      <c r="K589" s="4"/>
      <c r="L589" s="10"/>
      <c r="M589" s="10"/>
      <c r="N589" s="10"/>
      <c r="O589" s="10"/>
      <c r="P589" s="10"/>
      <c r="Q589" s="11"/>
      <c r="R589" s="9"/>
      <c r="S589" s="12"/>
      <c r="T589" s="5"/>
      <c r="U589" s="5"/>
      <c r="V589" s="4"/>
      <c r="W589" s="4"/>
      <c r="X589" s="4"/>
      <c r="Y589" s="4"/>
    </row>
    <row r="590">
      <c r="A590" s="5"/>
      <c r="B590" s="9"/>
      <c r="C590" s="5"/>
      <c r="D590" s="9"/>
      <c r="E590" s="9"/>
      <c r="F590" s="9"/>
      <c r="G590" s="9"/>
      <c r="H590" s="9"/>
      <c r="I590" s="9"/>
      <c r="J590" s="5"/>
      <c r="K590" s="4"/>
      <c r="L590" s="10"/>
      <c r="M590" s="10"/>
      <c r="N590" s="10"/>
      <c r="O590" s="10"/>
      <c r="P590" s="10"/>
      <c r="Q590" s="11"/>
      <c r="R590" s="9"/>
      <c r="S590" s="12"/>
      <c r="T590" s="5"/>
      <c r="U590" s="5"/>
      <c r="V590" s="4"/>
      <c r="W590" s="4"/>
      <c r="X590" s="4"/>
      <c r="Y590" s="4"/>
    </row>
    <row r="591">
      <c r="A591" s="5"/>
      <c r="B591" s="9"/>
      <c r="C591" s="5"/>
      <c r="D591" s="9"/>
      <c r="E591" s="9"/>
      <c r="F591" s="9"/>
      <c r="G591" s="9"/>
      <c r="H591" s="9"/>
      <c r="I591" s="9"/>
      <c r="J591" s="5"/>
      <c r="K591" s="4"/>
      <c r="L591" s="10"/>
      <c r="M591" s="10"/>
      <c r="N591" s="10"/>
      <c r="O591" s="10"/>
      <c r="P591" s="10"/>
      <c r="Q591" s="11"/>
      <c r="R591" s="9"/>
      <c r="S591" s="12"/>
      <c r="T591" s="5"/>
      <c r="U591" s="5"/>
      <c r="V591" s="4"/>
      <c r="W591" s="4"/>
      <c r="X591" s="4"/>
      <c r="Y591" s="4"/>
    </row>
    <row r="592">
      <c r="A592" s="5"/>
      <c r="B592" s="9"/>
      <c r="C592" s="5"/>
      <c r="D592" s="9"/>
      <c r="E592" s="9"/>
      <c r="F592" s="9"/>
      <c r="G592" s="9"/>
      <c r="H592" s="9"/>
      <c r="I592" s="9"/>
      <c r="J592" s="5"/>
      <c r="K592" s="4"/>
      <c r="L592" s="10"/>
      <c r="M592" s="10"/>
      <c r="N592" s="10"/>
      <c r="O592" s="10"/>
      <c r="P592" s="10"/>
      <c r="Q592" s="11"/>
      <c r="R592" s="9"/>
      <c r="S592" s="12"/>
      <c r="T592" s="5"/>
      <c r="U592" s="5"/>
      <c r="V592" s="4"/>
      <c r="W592" s="4"/>
      <c r="X592" s="4"/>
      <c r="Y592" s="4"/>
    </row>
    <row r="593">
      <c r="A593" s="5"/>
      <c r="B593" s="9"/>
      <c r="C593" s="5"/>
      <c r="D593" s="9"/>
      <c r="E593" s="9"/>
      <c r="F593" s="9"/>
      <c r="G593" s="9"/>
      <c r="H593" s="9"/>
      <c r="I593" s="9"/>
      <c r="J593" s="5"/>
      <c r="K593" s="4"/>
      <c r="L593" s="10"/>
      <c r="M593" s="10"/>
      <c r="N593" s="10"/>
      <c r="O593" s="10"/>
      <c r="P593" s="10"/>
      <c r="Q593" s="11"/>
      <c r="R593" s="9"/>
      <c r="S593" s="12"/>
      <c r="T593" s="5"/>
      <c r="U593" s="5"/>
      <c r="V593" s="4"/>
      <c r="W593" s="4"/>
      <c r="X593" s="4"/>
      <c r="Y593" s="4"/>
    </row>
    <row r="594">
      <c r="A594" s="5"/>
      <c r="B594" s="9"/>
      <c r="C594" s="5"/>
      <c r="D594" s="9"/>
      <c r="E594" s="9"/>
      <c r="F594" s="9"/>
      <c r="G594" s="9"/>
      <c r="H594" s="9"/>
      <c r="I594" s="9"/>
      <c r="J594" s="5"/>
      <c r="K594" s="4"/>
      <c r="L594" s="10"/>
      <c r="M594" s="10"/>
      <c r="N594" s="10"/>
      <c r="O594" s="10"/>
      <c r="P594" s="10"/>
      <c r="Q594" s="11"/>
      <c r="R594" s="9"/>
      <c r="S594" s="12"/>
      <c r="T594" s="5"/>
      <c r="U594" s="5"/>
      <c r="V594" s="4"/>
      <c r="W594" s="4"/>
      <c r="X594" s="4"/>
      <c r="Y594" s="4"/>
    </row>
    <row r="595">
      <c r="A595" s="5"/>
      <c r="B595" s="9"/>
      <c r="C595" s="5"/>
      <c r="D595" s="9"/>
      <c r="E595" s="9"/>
      <c r="F595" s="9"/>
      <c r="G595" s="9"/>
      <c r="H595" s="9"/>
      <c r="I595" s="9"/>
      <c r="J595" s="5"/>
      <c r="K595" s="4"/>
      <c r="L595" s="10"/>
      <c r="M595" s="10"/>
      <c r="N595" s="10"/>
      <c r="O595" s="10"/>
      <c r="P595" s="10"/>
      <c r="Q595" s="11"/>
      <c r="R595" s="9"/>
      <c r="S595" s="12"/>
      <c r="T595" s="5"/>
      <c r="U595" s="5"/>
      <c r="V595" s="4"/>
      <c r="W595" s="4"/>
      <c r="X595" s="4"/>
      <c r="Y595" s="4"/>
    </row>
    <row r="596">
      <c r="A596" s="5"/>
      <c r="B596" s="9"/>
      <c r="C596" s="5"/>
      <c r="D596" s="9"/>
      <c r="E596" s="9"/>
      <c r="F596" s="9"/>
      <c r="G596" s="9"/>
      <c r="H596" s="9"/>
      <c r="I596" s="9"/>
      <c r="J596" s="5"/>
      <c r="K596" s="4"/>
      <c r="L596" s="10"/>
      <c r="M596" s="10"/>
      <c r="N596" s="10"/>
      <c r="O596" s="10"/>
      <c r="P596" s="10"/>
      <c r="Q596" s="11"/>
      <c r="R596" s="9"/>
      <c r="S596" s="12"/>
      <c r="T596" s="5"/>
      <c r="U596" s="5"/>
      <c r="V596" s="4"/>
      <c r="W596" s="4"/>
      <c r="X596" s="4"/>
      <c r="Y596" s="4"/>
    </row>
    <row r="597">
      <c r="A597" s="5"/>
      <c r="B597" s="9"/>
      <c r="C597" s="5"/>
      <c r="D597" s="9"/>
      <c r="E597" s="9"/>
      <c r="F597" s="9"/>
      <c r="G597" s="9"/>
      <c r="H597" s="9"/>
      <c r="I597" s="9"/>
      <c r="J597" s="5"/>
      <c r="K597" s="4"/>
      <c r="L597" s="10"/>
      <c r="M597" s="10"/>
      <c r="N597" s="10"/>
      <c r="O597" s="10"/>
      <c r="P597" s="10"/>
      <c r="Q597" s="11"/>
      <c r="R597" s="9"/>
      <c r="S597" s="12"/>
      <c r="T597" s="5"/>
      <c r="U597" s="5"/>
      <c r="V597" s="4"/>
      <c r="W597" s="4"/>
      <c r="X597" s="4"/>
      <c r="Y597" s="4"/>
    </row>
    <row r="598">
      <c r="A598" s="5"/>
      <c r="B598" s="9"/>
      <c r="C598" s="5"/>
      <c r="D598" s="9"/>
      <c r="E598" s="9"/>
      <c r="F598" s="9"/>
      <c r="G598" s="9"/>
      <c r="H598" s="9"/>
      <c r="I598" s="9"/>
      <c r="J598" s="5"/>
      <c r="K598" s="4"/>
      <c r="L598" s="10"/>
      <c r="M598" s="10"/>
      <c r="N598" s="10"/>
      <c r="O598" s="10"/>
      <c r="P598" s="10"/>
      <c r="Q598" s="11"/>
      <c r="R598" s="9"/>
      <c r="S598" s="12"/>
      <c r="T598" s="5"/>
      <c r="U598" s="5"/>
      <c r="V598" s="4"/>
      <c r="W598" s="4"/>
      <c r="X598" s="4"/>
      <c r="Y598" s="4"/>
    </row>
    <row r="599">
      <c r="A599" s="5"/>
      <c r="B599" s="9"/>
      <c r="C599" s="5"/>
      <c r="D599" s="9"/>
      <c r="E599" s="9"/>
      <c r="F599" s="9"/>
      <c r="G599" s="9"/>
      <c r="H599" s="9"/>
      <c r="I599" s="9"/>
      <c r="J599" s="5"/>
      <c r="K599" s="4"/>
      <c r="L599" s="10"/>
      <c r="M599" s="10"/>
      <c r="N599" s="10"/>
      <c r="O599" s="10"/>
      <c r="P599" s="10"/>
      <c r="Q599" s="11"/>
      <c r="R599" s="9"/>
      <c r="S599" s="12"/>
      <c r="T599" s="5"/>
      <c r="U599" s="5"/>
      <c r="V599" s="4"/>
      <c r="W599" s="4"/>
      <c r="X599" s="4"/>
      <c r="Y599" s="4"/>
    </row>
    <row r="600">
      <c r="A600" s="5"/>
      <c r="B600" s="9"/>
      <c r="C600" s="5"/>
      <c r="D600" s="9"/>
      <c r="E600" s="9"/>
      <c r="F600" s="9"/>
      <c r="G600" s="9"/>
      <c r="H600" s="9"/>
      <c r="I600" s="9"/>
      <c r="J600" s="5"/>
      <c r="K600" s="4"/>
      <c r="L600" s="10"/>
      <c r="M600" s="10"/>
      <c r="N600" s="10"/>
      <c r="O600" s="10"/>
      <c r="P600" s="10"/>
      <c r="Q600" s="11"/>
      <c r="R600" s="9"/>
      <c r="S600" s="12"/>
      <c r="T600" s="5"/>
      <c r="U600" s="5"/>
      <c r="V600" s="4"/>
      <c r="W600" s="4"/>
      <c r="X600" s="4"/>
      <c r="Y600" s="4"/>
    </row>
    <row r="601">
      <c r="A601" s="5"/>
      <c r="B601" s="9"/>
      <c r="C601" s="5"/>
      <c r="D601" s="9"/>
      <c r="E601" s="9"/>
      <c r="F601" s="9"/>
      <c r="G601" s="9"/>
      <c r="H601" s="9"/>
      <c r="I601" s="9"/>
      <c r="J601" s="5"/>
      <c r="K601" s="4"/>
      <c r="L601" s="10"/>
      <c r="M601" s="10"/>
      <c r="N601" s="10"/>
      <c r="O601" s="10"/>
      <c r="P601" s="10"/>
      <c r="Q601" s="11"/>
      <c r="R601" s="9"/>
      <c r="S601" s="12"/>
      <c r="T601" s="5"/>
      <c r="U601" s="5"/>
      <c r="V601" s="4"/>
      <c r="W601" s="4"/>
      <c r="X601" s="4"/>
      <c r="Y601" s="4"/>
    </row>
    <row r="602">
      <c r="A602" s="5"/>
      <c r="B602" s="9"/>
      <c r="C602" s="5"/>
      <c r="D602" s="9"/>
      <c r="E602" s="9"/>
      <c r="F602" s="9"/>
      <c r="G602" s="9"/>
      <c r="H602" s="9"/>
      <c r="I602" s="9"/>
      <c r="J602" s="5"/>
      <c r="K602" s="4"/>
      <c r="L602" s="10"/>
      <c r="M602" s="10"/>
      <c r="N602" s="10"/>
      <c r="O602" s="10"/>
      <c r="P602" s="10"/>
      <c r="Q602" s="11"/>
      <c r="R602" s="9"/>
      <c r="S602" s="12"/>
      <c r="T602" s="5"/>
      <c r="U602" s="5"/>
      <c r="V602" s="4"/>
      <c r="W602" s="4"/>
      <c r="X602" s="4"/>
      <c r="Y602" s="4"/>
    </row>
    <row r="603">
      <c r="A603" s="5"/>
      <c r="B603" s="9"/>
      <c r="C603" s="5"/>
      <c r="D603" s="9"/>
      <c r="E603" s="9"/>
      <c r="F603" s="9"/>
      <c r="G603" s="9"/>
      <c r="H603" s="9"/>
      <c r="I603" s="9"/>
      <c r="J603" s="5"/>
      <c r="K603" s="4"/>
      <c r="L603" s="10"/>
      <c r="M603" s="10"/>
      <c r="N603" s="10"/>
      <c r="O603" s="10"/>
      <c r="P603" s="10"/>
      <c r="Q603" s="11"/>
      <c r="R603" s="9"/>
      <c r="S603" s="12"/>
      <c r="T603" s="5"/>
      <c r="U603" s="5"/>
      <c r="V603" s="4"/>
      <c r="W603" s="4"/>
      <c r="X603" s="4"/>
      <c r="Y603" s="4"/>
    </row>
    <row r="604">
      <c r="A604" s="5"/>
      <c r="B604" s="9"/>
      <c r="C604" s="5"/>
      <c r="D604" s="9"/>
      <c r="E604" s="9"/>
      <c r="F604" s="9"/>
      <c r="G604" s="9"/>
      <c r="H604" s="9"/>
      <c r="I604" s="9"/>
      <c r="J604" s="5"/>
      <c r="K604" s="4"/>
      <c r="L604" s="10"/>
      <c r="M604" s="10"/>
      <c r="N604" s="10"/>
      <c r="O604" s="10"/>
      <c r="P604" s="10"/>
      <c r="Q604" s="11"/>
      <c r="R604" s="9"/>
      <c r="S604" s="12"/>
      <c r="T604" s="5"/>
      <c r="U604" s="5"/>
      <c r="V604" s="4"/>
      <c r="W604" s="4"/>
      <c r="X604" s="4"/>
      <c r="Y604" s="4"/>
    </row>
    <row r="605">
      <c r="A605" s="5"/>
      <c r="B605" s="9"/>
      <c r="C605" s="5"/>
      <c r="D605" s="9"/>
      <c r="E605" s="9"/>
      <c r="F605" s="9"/>
      <c r="G605" s="9"/>
      <c r="H605" s="9"/>
      <c r="I605" s="9"/>
      <c r="J605" s="5"/>
      <c r="K605" s="4"/>
      <c r="L605" s="10"/>
      <c r="M605" s="10"/>
      <c r="N605" s="10"/>
      <c r="O605" s="10"/>
      <c r="P605" s="10"/>
      <c r="Q605" s="11"/>
      <c r="R605" s="9"/>
      <c r="S605" s="12"/>
      <c r="T605" s="5"/>
      <c r="U605" s="5"/>
      <c r="V605" s="4"/>
      <c r="W605" s="4"/>
      <c r="X605" s="4"/>
      <c r="Y605" s="4"/>
    </row>
    <row r="606">
      <c r="A606" s="5"/>
      <c r="B606" s="9"/>
      <c r="C606" s="5"/>
      <c r="D606" s="9"/>
      <c r="E606" s="9"/>
      <c r="F606" s="9"/>
      <c r="G606" s="9"/>
      <c r="H606" s="9"/>
      <c r="I606" s="9"/>
      <c r="J606" s="5"/>
      <c r="K606" s="4"/>
      <c r="L606" s="10"/>
      <c r="M606" s="10"/>
      <c r="N606" s="10"/>
      <c r="O606" s="10"/>
      <c r="P606" s="10"/>
      <c r="Q606" s="11"/>
      <c r="R606" s="9"/>
      <c r="S606" s="12"/>
      <c r="T606" s="5"/>
      <c r="U606" s="5"/>
      <c r="V606" s="4"/>
      <c r="W606" s="4"/>
      <c r="X606" s="4"/>
      <c r="Y606" s="4"/>
    </row>
    <row r="607">
      <c r="A607" s="5"/>
      <c r="B607" s="9"/>
      <c r="C607" s="5"/>
      <c r="D607" s="9"/>
      <c r="E607" s="9"/>
      <c r="F607" s="9"/>
      <c r="G607" s="9"/>
      <c r="H607" s="9"/>
      <c r="I607" s="9"/>
      <c r="J607" s="5"/>
      <c r="K607" s="4"/>
      <c r="L607" s="10"/>
      <c r="M607" s="10"/>
      <c r="N607" s="10"/>
      <c r="O607" s="10"/>
      <c r="P607" s="10"/>
      <c r="Q607" s="11"/>
      <c r="R607" s="9"/>
      <c r="S607" s="12"/>
      <c r="T607" s="5"/>
      <c r="U607" s="5"/>
      <c r="V607" s="4"/>
      <c r="W607" s="4"/>
      <c r="X607" s="4"/>
      <c r="Y607" s="4"/>
    </row>
    <row r="608">
      <c r="A608" s="5"/>
      <c r="B608" s="9"/>
      <c r="C608" s="5"/>
      <c r="D608" s="9"/>
      <c r="E608" s="9"/>
      <c r="F608" s="9"/>
      <c r="G608" s="9"/>
      <c r="H608" s="9"/>
      <c r="I608" s="9"/>
      <c r="J608" s="5"/>
      <c r="K608" s="4"/>
      <c r="L608" s="10"/>
      <c r="M608" s="10"/>
      <c r="N608" s="10"/>
      <c r="O608" s="10"/>
      <c r="P608" s="10"/>
      <c r="Q608" s="11"/>
      <c r="R608" s="9"/>
      <c r="S608" s="12"/>
      <c r="T608" s="5"/>
      <c r="U608" s="5"/>
      <c r="V608" s="4"/>
      <c r="W608" s="4"/>
      <c r="X608" s="4"/>
      <c r="Y608" s="4"/>
    </row>
    <row r="609">
      <c r="A609" s="5"/>
      <c r="B609" s="9"/>
      <c r="C609" s="5"/>
      <c r="D609" s="9"/>
      <c r="E609" s="9"/>
      <c r="F609" s="9"/>
      <c r="G609" s="9"/>
      <c r="H609" s="9"/>
      <c r="I609" s="9"/>
      <c r="J609" s="5"/>
      <c r="K609" s="4"/>
      <c r="L609" s="10"/>
      <c r="M609" s="10"/>
      <c r="N609" s="10"/>
      <c r="O609" s="10"/>
      <c r="P609" s="10"/>
      <c r="Q609" s="11"/>
      <c r="R609" s="9"/>
      <c r="S609" s="12"/>
      <c r="T609" s="5"/>
      <c r="U609" s="5"/>
      <c r="V609" s="4"/>
      <c r="W609" s="4"/>
      <c r="X609" s="4"/>
      <c r="Y609" s="4"/>
    </row>
    <row r="610">
      <c r="A610" s="5"/>
      <c r="B610" s="9"/>
      <c r="C610" s="5"/>
      <c r="D610" s="9"/>
      <c r="E610" s="9"/>
      <c r="F610" s="9"/>
      <c r="G610" s="9"/>
      <c r="H610" s="9"/>
      <c r="I610" s="9"/>
      <c r="J610" s="5"/>
      <c r="K610" s="4"/>
      <c r="L610" s="10"/>
      <c r="M610" s="10"/>
      <c r="N610" s="10"/>
      <c r="O610" s="10"/>
      <c r="P610" s="10"/>
      <c r="Q610" s="11"/>
      <c r="R610" s="9"/>
      <c r="S610" s="12"/>
      <c r="T610" s="5"/>
      <c r="U610" s="5"/>
      <c r="V610" s="4"/>
      <c r="W610" s="4"/>
      <c r="X610" s="4"/>
      <c r="Y610" s="4"/>
    </row>
    <row r="611">
      <c r="A611" s="5"/>
      <c r="B611" s="9"/>
      <c r="C611" s="5"/>
      <c r="D611" s="9"/>
      <c r="E611" s="9"/>
      <c r="F611" s="9"/>
      <c r="G611" s="9"/>
      <c r="H611" s="9"/>
      <c r="I611" s="9"/>
      <c r="J611" s="5"/>
      <c r="K611" s="4"/>
      <c r="L611" s="10"/>
      <c r="M611" s="10"/>
      <c r="N611" s="10"/>
      <c r="O611" s="10"/>
      <c r="P611" s="10"/>
      <c r="Q611" s="11"/>
      <c r="R611" s="9"/>
      <c r="S611" s="12"/>
      <c r="T611" s="5"/>
      <c r="U611" s="5"/>
      <c r="V611" s="4"/>
      <c r="W611" s="4"/>
      <c r="X611" s="4"/>
      <c r="Y611" s="4"/>
    </row>
    <row r="612">
      <c r="A612" s="5"/>
      <c r="B612" s="9"/>
      <c r="C612" s="5"/>
      <c r="D612" s="9"/>
      <c r="E612" s="9"/>
      <c r="F612" s="9"/>
      <c r="G612" s="9"/>
      <c r="H612" s="9"/>
      <c r="I612" s="9"/>
      <c r="J612" s="5"/>
      <c r="K612" s="4"/>
      <c r="L612" s="10"/>
      <c r="M612" s="10"/>
      <c r="N612" s="10"/>
      <c r="O612" s="10"/>
      <c r="P612" s="10"/>
      <c r="Q612" s="11"/>
      <c r="R612" s="9"/>
      <c r="S612" s="12"/>
      <c r="T612" s="5"/>
      <c r="U612" s="5"/>
      <c r="V612" s="4"/>
      <c r="W612" s="4"/>
      <c r="X612" s="4"/>
      <c r="Y612" s="4"/>
    </row>
    <row r="613">
      <c r="A613" s="5"/>
      <c r="B613" s="9"/>
      <c r="C613" s="5"/>
      <c r="D613" s="9"/>
      <c r="E613" s="9"/>
      <c r="F613" s="9"/>
      <c r="G613" s="9"/>
      <c r="H613" s="9"/>
      <c r="I613" s="9"/>
      <c r="J613" s="5"/>
      <c r="K613" s="4"/>
      <c r="L613" s="10"/>
      <c r="M613" s="10"/>
      <c r="N613" s="10"/>
      <c r="O613" s="10"/>
      <c r="P613" s="10"/>
      <c r="Q613" s="11"/>
      <c r="R613" s="9"/>
      <c r="S613" s="12"/>
      <c r="T613" s="5"/>
      <c r="U613" s="5"/>
      <c r="V613" s="4"/>
      <c r="W613" s="4"/>
      <c r="X613" s="4"/>
      <c r="Y613" s="4"/>
    </row>
    <row r="614">
      <c r="A614" s="5"/>
      <c r="B614" s="9"/>
      <c r="C614" s="5"/>
      <c r="D614" s="9"/>
      <c r="E614" s="9"/>
      <c r="F614" s="9"/>
      <c r="G614" s="9"/>
      <c r="H614" s="9"/>
      <c r="I614" s="9"/>
      <c r="J614" s="5"/>
      <c r="K614" s="4"/>
      <c r="L614" s="10"/>
      <c r="M614" s="10"/>
      <c r="N614" s="10"/>
      <c r="O614" s="10"/>
      <c r="P614" s="10"/>
      <c r="Q614" s="11"/>
      <c r="R614" s="9"/>
      <c r="S614" s="12"/>
      <c r="T614" s="5"/>
      <c r="U614" s="5"/>
      <c r="V614" s="4"/>
      <c r="W614" s="4"/>
      <c r="X614" s="4"/>
      <c r="Y614" s="4"/>
    </row>
    <row r="615">
      <c r="A615" s="5"/>
      <c r="B615" s="9"/>
      <c r="C615" s="5"/>
      <c r="D615" s="9"/>
      <c r="E615" s="9"/>
      <c r="F615" s="9"/>
      <c r="G615" s="9"/>
      <c r="H615" s="9"/>
      <c r="I615" s="9"/>
      <c r="J615" s="5"/>
      <c r="K615" s="4"/>
      <c r="L615" s="10"/>
      <c r="M615" s="10"/>
      <c r="N615" s="10"/>
      <c r="O615" s="10"/>
      <c r="P615" s="10"/>
      <c r="Q615" s="11"/>
      <c r="R615" s="9"/>
      <c r="S615" s="12"/>
      <c r="T615" s="5"/>
      <c r="U615" s="5"/>
      <c r="V615" s="4"/>
      <c r="W615" s="4"/>
      <c r="X615" s="4"/>
      <c r="Y615" s="4"/>
    </row>
    <row r="616">
      <c r="A616" s="5"/>
      <c r="B616" s="9"/>
      <c r="C616" s="5"/>
      <c r="D616" s="9"/>
      <c r="E616" s="9"/>
      <c r="F616" s="9"/>
      <c r="G616" s="9"/>
      <c r="H616" s="9"/>
      <c r="I616" s="9"/>
      <c r="J616" s="5"/>
      <c r="K616" s="4"/>
      <c r="L616" s="10"/>
      <c r="M616" s="10"/>
      <c r="N616" s="10"/>
      <c r="O616" s="10"/>
      <c r="P616" s="10"/>
      <c r="Q616" s="11"/>
      <c r="R616" s="9"/>
      <c r="S616" s="12"/>
      <c r="T616" s="5"/>
      <c r="U616" s="5"/>
      <c r="V616" s="4"/>
      <c r="W616" s="4"/>
      <c r="X616" s="4"/>
      <c r="Y616" s="4"/>
    </row>
    <row r="617">
      <c r="A617" s="5"/>
      <c r="B617" s="9"/>
      <c r="C617" s="5"/>
      <c r="D617" s="9"/>
      <c r="E617" s="9"/>
      <c r="F617" s="9"/>
      <c r="G617" s="9"/>
      <c r="H617" s="9"/>
      <c r="I617" s="9"/>
      <c r="J617" s="5"/>
      <c r="K617" s="4"/>
      <c r="L617" s="10"/>
      <c r="M617" s="10"/>
      <c r="N617" s="10"/>
      <c r="O617" s="10"/>
      <c r="P617" s="10"/>
      <c r="Q617" s="11"/>
      <c r="R617" s="9"/>
      <c r="S617" s="12"/>
      <c r="T617" s="5"/>
      <c r="U617" s="5"/>
      <c r="V617" s="4"/>
      <c r="W617" s="4"/>
      <c r="X617" s="4"/>
      <c r="Y617" s="4"/>
    </row>
    <row r="618">
      <c r="A618" s="5"/>
      <c r="B618" s="9"/>
      <c r="C618" s="5"/>
      <c r="D618" s="9"/>
      <c r="E618" s="9"/>
      <c r="F618" s="9"/>
      <c r="G618" s="9"/>
      <c r="H618" s="9"/>
      <c r="I618" s="9"/>
      <c r="J618" s="5"/>
      <c r="K618" s="4"/>
      <c r="L618" s="10"/>
      <c r="M618" s="10"/>
      <c r="N618" s="10"/>
      <c r="O618" s="10"/>
      <c r="P618" s="10"/>
      <c r="Q618" s="11"/>
      <c r="R618" s="9"/>
      <c r="S618" s="12"/>
      <c r="T618" s="5"/>
      <c r="U618" s="5"/>
      <c r="V618" s="4"/>
      <c r="W618" s="4"/>
      <c r="X618" s="4"/>
      <c r="Y618" s="4"/>
    </row>
    <row r="619">
      <c r="A619" s="5"/>
      <c r="B619" s="9"/>
      <c r="C619" s="5"/>
      <c r="D619" s="9"/>
      <c r="E619" s="9"/>
      <c r="F619" s="9"/>
      <c r="G619" s="9"/>
      <c r="H619" s="9"/>
      <c r="I619" s="9"/>
      <c r="J619" s="5"/>
      <c r="K619" s="4"/>
      <c r="L619" s="10"/>
      <c r="M619" s="10"/>
      <c r="N619" s="10"/>
      <c r="O619" s="10"/>
      <c r="P619" s="10"/>
      <c r="Q619" s="11"/>
      <c r="R619" s="9"/>
      <c r="S619" s="12"/>
      <c r="T619" s="5"/>
      <c r="U619" s="5"/>
      <c r="V619" s="4"/>
      <c r="W619" s="4"/>
      <c r="X619" s="4"/>
      <c r="Y619" s="4"/>
    </row>
    <row r="620">
      <c r="A620" s="5"/>
      <c r="B620" s="9"/>
      <c r="C620" s="5"/>
      <c r="D620" s="9"/>
      <c r="E620" s="9"/>
      <c r="F620" s="9"/>
      <c r="G620" s="9"/>
      <c r="H620" s="9"/>
      <c r="I620" s="9"/>
      <c r="J620" s="5"/>
      <c r="K620" s="4"/>
      <c r="L620" s="10"/>
      <c r="M620" s="10"/>
      <c r="N620" s="10"/>
      <c r="O620" s="10"/>
      <c r="P620" s="10"/>
      <c r="Q620" s="11"/>
      <c r="R620" s="9"/>
      <c r="S620" s="12"/>
      <c r="T620" s="5"/>
      <c r="U620" s="5"/>
      <c r="V620" s="4"/>
      <c r="W620" s="4"/>
      <c r="X620" s="4"/>
      <c r="Y620" s="4"/>
    </row>
    <row r="621">
      <c r="A621" s="5"/>
      <c r="B621" s="9"/>
      <c r="C621" s="5"/>
      <c r="D621" s="9"/>
      <c r="E621" s="9"/>
      <c r="F621" s="9"/>
      <c r="G621" s="9"/>
      <c r="H621" s="9"/>
      <c r="I621" s="9"/>
      <c r="J621" s="5"/>
      <c r="K621" s="4"/>
      <c r="L621" s="10"/>
      <c r="M621" s="10"/>
      <c r="N621" s="10"/>
      <c r="O621" s="10"/>
      <c r="P621" s="10"/>
      <c r="Q621" s="11"/>
      <c r="R621" s="9"/>
      <c r="S621" s="12"/>
      <c r="T621" s="5"/>
      <c r="U621" s="5"/>
      <c r="V621" s="4"/>
      <c r="W621" s="4"/>
      <c r="X621" s="4"/>
      <c r="Y621" s="4"/>
    </row>
    <row r="622">
      <c r="A622" s="5"/>
      <c r="B622" s="9"/>
      <c r="C622" s="5"/>
      <c r="D622" s="9"/>
      <c r="E622" s="9"/>
      <c r="F622" s="9"/>
      <c r="G622" s="9"/>
      <c r="H622" s="9"/>
      <c r="I622" s="9"/>
      <c r="J622" s="5"/>
      <c r="K622" s="4"/>
      <c r="L622" s="10"/>
      <c r="M622" s="10"/>
      <c r="N622" s="10"/>
      <c r="O622" s="10"/>
      <c r="P622" s="10"/>
      <c r="Q622" s="11"/>
      <c r="R622" s="9"/>
      <c r="S622" s="12"/>
      <c r="T622" s="5"/>
      <c r="U622" s="5"/>
      <c r="V622" s="4"/>
      <c r="W622" s="4"/>
      <c r="X622" s="4"/>
      <c r="Y622" s="4"/>
    </row>
    <row r="623">
      <c r="A623" s="5"/>
      <c r="B623" s="9"/>
      <c r="C623" s="5"/>
      <c r="D623" s="9"/>
      <c r="E623" s="9"/>
      <c r="F623" s="9"/>
      <c r="G623" s="9"/>
      <c r="H623" s="9"/>
      <c r="I623" s="9"/>
      <c r="J623" s="5"/>
      <c r="K623" s="4"/>
      <c r="L623" s="10"/>
      <c r="M623" s="10"/>
      <c r="N623" s="10"/>
      <c r="O623" s="10"/>
      <c r="P623" s="10"/>
      <c r="Q623" s="11"/>
      <c r="R623" s="9"/>
      <c r="S623" s="12"/>
      <c r="T623" s="5"/>
      <c r="U623" s="5"/>
      <c r="V623" s="4"/>
      <c r="W623" s="4"/>
      <c r="X623" s="4"/>
      <c r="Y623" s="4"/>
    </row>
    <row r="624">
      <c r="A624" s="5"/>
      <c r="B624" s="9"/>
      <c r="C624" s="5"/>
      <c r="D624" s="9"/>
      <c r="E624" s="9"/>
      <c r="F624" s="9"/>
      <c r="G624" s="9"/>
      <c r="H624" s="9"/>
      <c r="I624" s="9"/>
      <c r="J624" s="5"/>
      <c r="K624" s="4"/>
      <c r="L624" s="10"/>
      <c r="M624" s="10"/>
      <c r="N624" s="10"/>
      <c r="O624" s="10"/>
      <c r="P624" s="10"/>
      <c r="Q624" s="11"/>
      <c r="R624" s="9"/>
      <c r="S624" s="12"/>
      <c r="T624" s="5"/>
      <c r="U624" s="5"/>
      <c r="V624" s="4"/>
      <c r="W624" s="4"/>
      <c r="X624" s="4"/>
      <c r="Y624" s="4"/>
    </row>
    <row r="625">
      <c r="A625" s="5"/>
      <c r="B625" s="9"/>
      <c r="C625" s="5"/>
      <c r="D625" s="9"/>
      <c r="E625" s="9"/>
      <c r="F625" s="9"/>
      <c r="G625" s="9"/>
      <c r="H625" s="9"/>
      <c r="I625" s="9"/>
      <c r="J625" s="5"/>
      <c r="K625" s="4"/>
      <c r="L625" s="10"/>
      <c r="M625" s="10"/>
      <c r="N625" s="10"/>
      <c r="O625" s="10"/>
      <c r="P625" s="10"/>
      <c r="Q625" s="11"/>
      <c r="R625" s="9"/>
      <c r="S625" s="12"/>
      <c r="T625" s="5"/>
      <c r="U625" s="5"/>
      <c r="V625" s="4"/>
      <c r="W625" s="4"/>
      <c r="X625" s="4"/>
      <c r="Y625" s="4"/>
    </row>
    <row r="626">
      <c r="A626" s="5"/>
      <c r="B626" s="9"/>
      <c r="C626" s="5"/>
      <c r="D626" s="9"/>
      <c r="E626" s="9"/>
      <c r="F626" s="9"/>
      <c r="G626" s="9"/>
      <c r="H626" s="9"/>
      <c r="I626" s="9"/>
      <c r="J626" s="5"/>
      <c r="K626" s="4"/>
      <c r="L626" s="10"/>
      <c r="M626" s="10"/>
      <c r="N626" s="10"/>
      <c r="O626" s="10"/>
      <c r="P626" s="10"/>
      <c r="Q626" s="11"/>
      <c r="R626" s="9"/>
      <c r="S626" s="12"/>
      <c r="T626" s="5"/>
      <c r="U626" s="5"/>
      <c r="V626" s="4"/>
      <c r="W626" s="4"/>
      <c r="X626" s="4"/>
      <c r="Y626" s="4"/>
    </row>
    <row r="627">
      <c r="A627" s="5"/>
      <c r="B627" s="9"/>
      <c r="C627" s="5"/>
      <c r="D627" s="9"/>
      <c r="E627" s="9"/>
      <c r="F627" s="9"/>
      <c r="G627" s="9"/>
      <c r="H627" s="9"/>
      <c r="I627" s="9"/>
      <c r="J627" s="5"/>
      <c r="K627" s="4"/>
      <c r="L627" s="10"/>
      <c r="M627" s="10"/>
      <c r="N627" s="10"/>
      <c r="O627" s="10"/>
      <c r="P627" s="10"/>
      <c r="Q627" s="11"/>
      <c r="R627" s="9"/>
      <c r="S627" s="12"/>
      <c r="T627" s="5"/>
      <c r="U627" s="5"/>
      <c r="V627" s="4"/>
      <c r="W627" s="4"/>
      <c r="X627" s="4"/>
      <c r="Y627" s="4"/>
    </row>
    <row r="628">
      <c r="A628" s="5"/>
      <c r="B628" s="9"/>
      <c r="C628" s="5"/>
      <c r="D628" s="9"/>
      <c r="E628" s="9"/>
      <c r="F628" s="9"/>
      <c r="G628" s="9"/>
      <c r="H628" s="9"/>
      <c r="I628" s="9"/>
      <c r="J628" s="5"/>
      <c r="K628" s="4"/>
      <c r="L628" s="10"/>
      <c r="M628" s="10"/>
      <c r="N628" s="10"/>
      <c r="O628" s="10"/>
      <c r="P628" s="10"/>
      <c r="Q628" s="11"/>
      <c r="R628" s="9"/>
      <c r="S628" s="12"/>
      <c r="T628" s="5"/>
      <c r="U628" s="5"/>
      <c r="V628" s="4"/>
      <c r="W628" s="4"/>
      <c r="X628" s="4"/>
      <c r="Y628" s="4"/>
    </row>
    <row r="629">
      <c r="A629" s="5"/>
      <c r="B629" s="9"/>
      <c r="C629" s="5"/>
      <c r="D629" s="9"/>
      <c r="E629" s="9"/>
      <c r="F629" s="9"/>
      <c r="G629" s="9"/>
      <c r="H629" s="9"/>
      <c r="I629" s="9"/>
      <c r="J629" s="5"/>
      <c r="K629" s="4"/>
      <c r="L629" s="10"/>
      <c r="M629" s="10"/>
      <c r="N629" s="10"/>
      <c r="O629" s="10"/>
      <c r="P629" s="10"/>
      <c r="Q629" s="11"/>
      <c r="R629" s="9"/>
      <c r="S629" s="12"/>
      <c r="T629" s="5"/>
      <c r="U629" s="5"/>
      <c r="V629" s="4"/>
      <c r="W629" s="4"/>
      <c r="X629" s="4"/>
      <c r="Y629" s="4"/>
    </row>
    <row r="630">
      <c r="A630" s="5"/>
      <c r="B630" s="9"/>
      <c r="C630" s="5"/>
      <c r="D630" s="9"/>
      <c r="E630" s="9"/>
      <c r="F630" s="9"/>
      <c r="G630" s="9"/>
      <c r="H630" s="9"/>
      <c r="I630" s="9"/>
      <c r="J630" s="5"/>
      <c r="K630" s="4"/>
      <c r="L630" s="10"/>
      <c r="M630" s="10"/>
      <c r="N630" s="10"/>
      <c r="O630" s="10"/>
      <c r="P630" s="10"/>
      <c r="Q630" s="11"/>
      <c r="R630" s="9"/>
      <c r="S630" s="12"/>
      <c r="T630" s="5"/>
      <c r="U630" s="5"/>
      <c r="V630" s="4"/>
      <c r="W630" s="4"/>
      <c r="X630" s="4"/>
      <c r="Y630" s="4"/>
    </row>
    <row r="631">
      <c r="A631" s="5"/>
      <c r="B631" s="9"/>
      <c r="C631" s="5"/>
      <c r="D631" s="9"/>
      <c r="E631" s="9"/>
      <c r="F631" s="9"/>
      <c r="G631" s="9"/>
      <c r="H631" s="9"/>
      <c r="I631" s="9"/>
      <c r="J631" s="5"/>
      <c r="K631" s="4"/>
      <c r="L631" s="10"/>
      <c r="M631" s="10"/>
      <c r="N631" s="10"/>
      <c r="O631" s="10"/>
      <c r="P631" s="10"/>
      <c r="Q631" s="11"/>
      <c r="R631" s="9"/>
      <c r="S631" s="12"/>
      <c r="T631" s="5"/>
      <c r="U631" s="5"/>
      <c r="V631" s="4"/>
      <c r="W631" s="4"/>
      <c r="X631" s="4"/>
      <c r="Y631" s="4"/>
    </row>
    <row r="632">
      <c r="A632" s="5"/>
      <c r="B632" s="9"/>
      <c r="C632" s="5"/>
      <c r="D632" s="9"/>
      <c r="E632" s="9"/>
      <c r="F632" s="9"/>
      <c r="G632" s="9"/>
      <c r="H632" s="9"/>
      <c r="I632" s="9"/>
      <c r="J632" s="5"/>
      <c r="K632" s="4"/>
      <c r="L632" s="10"/>
      <c r="M632" s="10"/>
      <c r="N632" s="10"/>
      <c r="O632" s="10"/>
      <c r="P632" s="10"/>
      <c r="Q632" s="11"/>
      <c r="R632" s="9"/>
      <c r="S632" s="12"/>
      <c r="T632" s="5"/>
      <c r="U632" s="5"/>
      <c r="V632" s="4"/>
      <c r="W632" s="4"/>
      <c r="X632" s="4"/>
      <c r="Y632" s="4"/>
    </row>
    <row r="633">
      <c r="A633" s="5"/>
      <c r="B633" s="9"/>
      <c r="C633" s="5"/>
      <c r="D633" s="9"/>
      <c r="E633" s="9"/>
      <c r="F633" s="9"/>
      <c r="G633" s="9"/>
      <c r="H633" s="9"/>
      <c r="I633" s="9"/>
      <c r="J633" s="5"/>
      <c r="K633" s="4"/>
      <c r="L633" s="10"/>
      <c r="M633" s="10"/>
      <c r="N633" s="10"/>
      <c r="O633" s="10"/>
      <c r="P633" s="10"/>
      <c r="Q633" s="11"/>
      <c r="R633" s="9"/>
      <c r="S633" s="12"/>
      <c r="T633" s="5"/>
      <c r="U633" s="5"/>
      <c r="V633" s="4"/>
      <c r="W633" s="4"/>
      <c r="X633" s="4"/>
      <c r="Y633" s="4"/>
    </row>
    <row r="634">
      <c r="A634" s="5"/>
      <c r="B634" s="9"/>
      <c r="C634" s="5"/>
      <c r="D634" s="9"/>
      <c r="E634" s="9"/>
      <c r="F634" s="9"/>
      <c r="G634" s="9"/>
      <c r="H634" s="9"/>
      <c r="I634" s="9"/>
      <c r="J634" s="5"/>
      <c r="K634" s="4"/>
      <c r="L634" s="10"/>
      <c r="M634" s="10"/>
      <c r="N634" s="10"/>
      <c r="O634" s="10"/>
      <c r="P634" s="10"/>
      <c r="Q634" s="11"/>
      <c r="R634" s="9"/>
      <c r="S634" s="12"/>
      <c r="T634" s="5"/>
      <c r="U634" s="5"/>
      <c r="V634" s="4"/>
      <c r="W634" s="4"/>
      <c r="X634" s="4"/>
      <c r="Y634" s="4"/>
    </row>
    <row r="635">
      <c r="A635" s="5"/>
      <c r="B635" s="9"/>
      <c r="C635" s="5"/>
      <c r="D635" s="9"/>
      <c r="E635" s="9"/>
      <c r="F635" s="9"/>
      <c r="G635" s="9"/>
      <c r="H635" s="9"/>
      <c r="I635" s="9"/>
      <c r="J635" s="5"/>
      <c r="K635" s="4"/>
      <c r="L635" s="10"/>
      <c r="M635" s="10"/>
      <c r="N635" s="10"/>
      <c r="O635" s="10"/>
      <c r="P635" s="10"/>
      <c r="Q635" s="11"/>
      <c r="R635" s="9"/>
      <c r="S635" s="12"/>
      <c r="T635" s="5"/>
      <c r="U635" s="5"/>
      <c r="V635" s="4"/>
      <c r="W635" s="4"/>
      <c r="X635" s="4"/>
      <c r="Y635" s="4"/>
    </row>
    <row r="636">
      <c r="A636" s="5"/>
      <c r="B636" s="9"/>
      <c r="C636" s="5"/>
      <c r="D636" s="9"/>
      <c r="E636" s="9"/>
      <c r="F636" s="9"/>
      <c r="G636" s="9"/>
      <c r="H636" s="9"/>
      <c r="I636" s="9"/>
      <c r="J636" s="5"/>
      <c r="K636" s="4"/>
      <c r="L636" s="10"/>
      <c r="M636" s="10"/>
      <c r="N636" s="10"/>
      <c r="O636" s="10"/>
      <c r="P636" s="10"/>
      <c r="Q636" s="11"/>
      <c r="R636" s="9"/>
      <c r="S636" s="12"/>
      <c r="T636" s="5"/>
      <c r="U636" s="5"/>
      <c r="V636" s="4"/>
      <c r="W636" s="4"/>
      <c r="X636" s="4"/>
      <c r="Y636" s="4"/>
    </row>
    <row r="637">
      <c r="A637" s="5"/>
      <c r="B637" s="9"/>
      <c r="C637" s="5"/>
      <c r="D637" s="9"/>
      <c r="E637" s="9"/>
      <c r="F637" s="9"/>
      <c r="G637" s="9"/>
      <c r="H637" s="9"/>
      <c r="I637" s="9"/>
      <c r="J637" s="5"/>
      <c r="K637" s="4"/>
      <c r="L637" s="10"/>
      <c r="M637" s="10"/>
      <c r="N637" s="10"/>
      <c r="O637" s="10"/>
      <c r="P637" s="10"/>
      <c r="Q637" s="11"/>
      <c r="R637" s="9"/>
      <c r="S637" s="12"/>
      <c r="T637" s="5"/>
      <c r="U637" s="5"/>
      <c r="V637" s="4"/>
      <c r="W637" s="4"/>
      <c r="X637" s="4"/>
      <c r="Y637" s="4"/>
    </row>
    <row r="638">
      <c r="A638" s="5"/>
      <c r="B638" s="9"/>
      <c r="C638" s="5"/>
      <c r="D638" s="9"/>
      <c r="E638" s="9"/>
      <c r="F638" s="9"/>
      <c r="G638" s="9"/>
      <c r="H638" s="9"/>
      <c r="I638" s="9"/>
      <c r="J638" s="5"/>
      <c r="K638" s="4"/>
      <c r="L638" s="10"/>
      <c r="M638" s="10"/>
      <c r="N638" s="10"/>
      <c r="O638" s="10"/>
      <c r="P638" s="10"/>
      <c r="Q638" s="11"/>
      <c r="R638" s="9"/>
      <c r="S638" s="12"/>
      <c r="T638" s="5"/>
      <c r="U638" s="5"/>
      <c r="V638" s="4"/>
      <c r="W638" s="4"/>
      <c r="X638" s="4"/>
      <c r="Y638" s="4"/>
    </row>
    <row r="639">
      <c r="A639" s="5"/>
      <c r="B639" s="9"/>
      <c r="C639" s="5"/>
      <c r="D639" s="9"/>
      <c r="E639" s="9"/>
      <c r="F639" s="9"/>
      <c r="G639" s="9"/>
      <c r="H639" s="9"/>
      <c r="I639" s="9"/>
      <c r="J639" s="5"/>
      <c r="K639" s="4"/>
      <c r="L639" s="10"/>
      <c r="M639" s="10"/>
      <c r="N639" s="10"/>
      <c r="O639" s="10"/>
      <c r="P639" s="10"/>
      <c r="Q639" s="11"/>
      <c r="R639" s="9"/>
      <c r="S639" s="12"/>
      <c r="T639" s="5"/>
      <c r="U639" s="5"/>
      <c r="V639" s="4"/>
      <c r="W639" s="4"/>
      <c r="X639" s="4"/>
      <c r="Y639" s="4"/>
    </row>
    <row r="640">
      <c r="A640" s="5"/>
      <c r="B640" s="9"/>
      <c r="C640" s="5"/>
      <c r="D640" s="9"/>
      <c r="E640" s="9"/>
      <c r="F640" s="9"/>
      <c r="G640" s="9"/>
      <c r="H640" s="9"/>
      <c r="I640" s="9"/>
      <c r="J640" s="5"/>
      <c r="K640" s="4"/>
      <c r="L640" s="10"/>
      <c r="M640" s="10"/>
      <c r="N640" s="10"/>
      <c r="O640" s="10"/>
      <c r="P640" s="10"/>
      <c r="Q640" s="11"/>
      <c r="R640" s="9"/>
      <c r="S640" s="12"/>
      <c r="T640" s="5"/>
      <c r="U640" s="5"/>
      <c r="V640" s="4"/>
      <c r="W640" s="4"/>
      <c r="X640" s="4"/>
      <c r="Y640" s="4"/>
    </row>
    <row r="641">
      <c r="A641" s="5"/>
      <c r="B641" s="9"/>
      <c r="C641" s="5"/>
      <c r="D641" s="9"/>
      <c r="E641" s="9"/>
      <c r="F641" s="9"/>
      <c r="G641" s="9"/>
      <c r="H641" s="9"/>
      <c r="I641" s="9"/>
      <c r="J641" s="5"/>
      <c r="K641" s="4"/>
      <c r="L641" s="10"/>
      <c r="M641" s="10"/>
      <c r="N641" s="10"/>
      <c r="O641" s="10"/>
      <c r="P641" s="10"/>
      <c r="Q641" s="11"/>
      <c r="R641" s="9"/>
      <c r="S641" s="12"/>
      <c r="T641" s="5"/>
      <c r="U641" s="5"/>
      <c r="V641" s="4"/>
      <c r="W641" s="4"/>
      <c r="X641" s="4"/>
      <c r="Y641" s="4"/>
    </row>
    <row r="642">
      <c r="A642" s="5"/>
      <c r="B642" s="9"/>
      <c r="C642" s="5"/>
      <c r="D642" s="9"/>
      <c r="E642" s="9"/>
      <c r="F642" s="9"/>
      <c r="G642" s="9"/>
      <c r="H642" s="9"/>
      <c r="I642" s="9"/>
      <c r="J642" s="5"/>
      <c r="K642" s="4"/>
      <c r="L642" s="10"/>
      <c r="M642" s="10"/>
      <c r="N642" s="10"/>
      <c r="O642" s="10"/>
      <c r="P642" s="10"/>
      <c r="Q642" s="11"/>
      <c r="R642" s="9"/>
      <c r="S642" s="12"/>
      <c r="T642" s="5"/>
      <c r="U642" s="5"/>
      <c r="V642" s="4"/>
      <c r="W642" s="4"/>
      <c r="X642" s="4"/>
      <c r="Y642" s="4"/>
    </row>
    <row r="643">
      <c r="A643" s="5"/>
      <c r="B643" s="9"/>
      <c r="C643" s="5"/>
      <c r="D643" s="9"/>
      <c r="E643" s="9"/>
      <c r="F643" s="9"/>
      <c r="G643" s="9"/>
      <c r="H643" s="9"/>
      <c r="I643" s="9"/>
      <c r="J643" s="5"/>
      <c r="K643" s="4"/>
      <c r="L643" s="10"/>
      <c r="M643" s="10"/>
      <c r="N643" s="10"/>
      <c r="O643" s="10"/>
      <c r="P643" s="10"/>
      <c r="Q643" s="11"/>
      <c r="R643" s="9"/>
      <c r="S643" s="12"/>
      <c r="T643" s="5"/>
      <c r="U643" s="5"/>
      <c r="V643" s="4"/>
      <c r="W643" s="4"/>
      <c r="X643" s="4"/>
      <c r="Y643" s="4"/>
    </row>
    <row r="644">
      <c r="A644" s="5"/>
      <c r="B644" s="9"/>
      <c r="C644" s="5"/>
      <c r="D644" s="9"/>
      <c r="E644" s="9"/>
      <c r="F644" s="9"/>
      <c r="G644" s="9"/>
      <c r="H644" s="9"/>
      <c r="I644" s="9"/>
      <c r="J644" s="5"/>
      <c r="K644" s="4"/>
      <c r="L644" s="10"/>
      <c r="M644" s="10"/>
      <c r="N644" s="10"/>
      <c r="O644" s="10"/>
      <c r="P644" s="10"/>
      <c r="Q644" s="11"/>
      <c r="R644" s="9"/>
      <c r="S644" s="12"/>
      <c r="T644" s="5"/>
      <c r="U644" s="5"/>
      <c r="V644" s="4"/>
      <c r="W644" s="4"/>
      <c r="X644" s="4"/>
      <c r="Y644" s="4"/>
    </row>
    <row r="645">
      <c r="A645" s="5"/>
      <c r="B645" s="9"/>
      <c r="C645" s="5"/>
      <c r="D645" s="9"/>
      <c r="E645" s="9"/>
      <c r="F645" s="9"/>
      <c r="G645" s="9"/>
      <c r="H645" s="9"/>
      <c r="I645" s="9"/>
      <c r="J645" s="5"/>
      <c r="K645" s="4"/>
      <c r="L645" s="10"/>
      <c r="M645" s="10"/>
      <c r="N645" s="10"/>
      <c r="O645" s="10"/>
      <c r="P645" s="10"/>
      <c r="Q645" s="11"/>
      <c r="R645" s="9"/>
      <c r="S645" s="12"/>
      <c r="T645" s="5"/>
      <c r="U645" s="5"/>
      <c r="V645" s="4"/>
      <c r="W645" s="4"/>
      <c r="X645" s="4"/>
      <c r="Y645" s="4"/>
    </row>
    <row r="646">
      <c r="A646" s="5"/>
      <c r="B646" s="9"/>
      <c r="C646" s="5"/>
      <c r="D646" s="9"/>
      <c r="E646" s="9"/>
      <c r="F646" s="9"/>
      <c r="G646" s="9"/>
      <c r="H646" s="9"/>
      <c r="I646" s="9"/>
      <c r="J646" s="5"/>
      <c r="K646" s="4"/>
      <c r="L646" s="10"/>
      <c r="M646" s="10"/>
      <c r="N646" s="10"/>
      <c r="O646" s="10"/>
      <c r="P646" s="10"/>
      <c r="Q646" s="11"/>
      <c r="R646" s="9"/>
      <c r="S646" s="12"/>
      <c r="T646" s="5"/>
      <c r="U646" s="5"/>
      <c r="V646" s="4"/>
      <c r="W646" s="4"/>
      <c r="X646" s="4"/>
      <c r="Y646" s="4"/>
    </row>
    <row r="647">
      <c r="A647" s="5"/>
      <c r="B647" s="9"/>
      <c r="C647" s="5"/>
      <c r="D647" s="9"/>
      <c r="E647" s="9"/>
      <c r="F647" s="9"/>
      <c r="G647" s="9"/>
      <c r="H647" s="9"/>
      <c r="I647" s="9"/>
      <c r="J647" s="5"/>
      <c r="K647" s="4"/>
      <c r="L647" s="10"/>
      <c r="M647" s="10"/>
      <c r="N647" s="10"/>
      <c r="O647" s="10"/>
      <c r="P647" s="10"/>
      <c r="Q647" s="11"/>
      <c r="R647" s="9"/>
      <c r="S647" s="12"/>
      <c r="T647" s="5"/>
      <c r="U647" s="5"/>
      <c r="V647" s="4"/>
      <c r="W647" s="4"/>
      <c r="X647" s="4"/>
      <c r="Y647" s="4"/>
    </row>
    <row r="648">
      <c r="A648" s="5"/>
      <c r="B648" s="9"/>
      <c r="C648" s="5"/>
      <c r="D648" s="9"/>
      <c r="E648" s="9"/>
      <c r="F648" s="9"/>
      <c r="G648" s="9"/>
      <c r="H648" s="9"/>
      <c r="I648" s="9"/>
      <c r="J648" s="5"/>
      <c r="K648" s="4"/>
      <c r="L648" s="10"/>
      <c r="M648" s="10"/>
      <c r="N648" s="10"/>
      <c r="O648" s="10"/>
      <c r="P648" s="10"/>
      <c r="Q648" s="11"/>
      <c r="R648" s="9"/>
      <c r="S648" s="12"/>
      <c r="T648" s="5"/>
      <c r="U648" s="5"/>
      <c r="V648" s="4"/>
      <c r="W648" s="4"/>
      <c r="X648" s="4"/>
      <c r="Y648" s="4"/>
    </row>
    <row r="649">
      <c r="A649" s="5"/>
      <c r="B649" s="9"/>
      <c r="C649" s="5"/>
      <c r="D649" s="9"/>
      <c r="E649" s="9"/>
      <c r="F649" s="9"/>
      <c r="G649" s="9"/>
      <c r="H649" s="9"/>
      <c r="I649" s="9"/>
      <c r="J649" s="5"/>
      <c r="K649" s="4"/>
      <c r="L649" s="10"/>
      <c r="M649" s="10"/>
      <c r="N649" s="10"/>
      <c r="O649" s="10"/>
      <c r="P649" s="10"/>
      <c r="Q649" s="11"/>
      <c r="R649" s="9"/>
      <c r="S649" s="12"/>
      <c r="T649" s="5"/>
      <c r="U649" s="5"/>
      <c r="V649" s="4"/>
      <c r="W649" s="4"/>
      <c r="X649" s="4"/>
      <c r="Y649" s="4"/>
    </row>
    <row r="650">
      <c r="A650" s="5"/>
      <c r="B650" s="9"/>
      <c r="C650" s="5"/>
      <c r="D650" s="9"/>
      <c r="E650" s="9"/>
      <c r="F650" s="9"/>
      <c r="G650" s="9"/>
      <c r="H650" s="9"/>
      <c r="I650" s="9"/>
      <c r="J650" s="5"/>
      <c r="K650" s="4"/>
      <c r="L650" s="10"/>
      <c r="M650" s="10"/>
      <c r="N650" s="10"/>
      <c r="O650" s="10"/>
      <c r="P650" s="10"/>
      <c r="Q650" s="11"/>
      <c r="R650" s="9"/>
      <c r="S650" s="12"/>
      <c r="T650" s="5"/>
      <c r="U650" s="5"/>
      <c r="V650" s="4"/>
      <c r="W650" s="4"/>
      <c r="X650" s="4"/>
      <c r="Y650" s="4"/>
    </row>
    <row r="651">
      <c r="A651" s="5"/>
      <c r="B651" s="9"/>
      <c r="C651" s="5"/>
      <c r="D651" s="9"/>
      <c r="E651" s="9"/>
      <c r="F651" s="9"/>
      <c r="G651" s="9"/>
      <c r="H651" s="9"/>
      <c r="I651" s="9"/>
      <c r="J651" s="5"/>
      <c r="K651" s="4"/>
      <c r="L651" s="10"/>
      <c r="M651" s="10"/>
      <c r="N651" s="10"/>
      <c r="O651" s="10"/>
      <c r="P651" s="10"/>
      <c r="Q651" s="11"/>
      <c r="R651" s="9"/>
      <c r="S651" s="12"/>
      <c r="T651" s="5"/>
      <c r="U651" s="5"/>
      <c r="V651" s="4"/>
      <c r="W651" s="4"/>
      <c r="X651" s="4"/>
      <c r="Y651" s="4"/>
    </row>
    <row r="652">
      <c r="A652" s="5"/>
      <c r="B652" s="9"/>
      <c r="C652" s="5"/>
      <c r="D652" s="9"/>
      <c r="E652" s="9"/>
      <c r="F652" s="9"/>
      <c r="G652" s="9"/>
      <c r="H652" s="9"/>
      <c r="I652" s="9"/>
      <c r="J652" s="5"/>
      <c r="K652" s="4"/>
      <c r="L652" s="10"/>
      <c r="M652" s="10"/>
      <c r="N652" s="10"/>
      <c r="O652" s="10"/>
      <c r="P652" s="10"/>
      <c r="Q652" s="11"/>
      <c r="R652" s="9"/>
      <c r="S652" s="12"/>
      <c r="T652" s="5"/>
      <c r="U652" s="5"/>
      <c r="V652" s="4"/>
      <c r="W652" s="4"/>
      <c r="X652" s="4"/>
      <c r="Y652" s="4"/>
    </row>
    <row r="653">
      <c r="A653" s="5"/>
      <c r="B653" s="9"/>
      <c r="C653" s="5"/>
      <c r="D653" s="9"/>
      <c r="E653" s="9"/>
      <c r="F653" s="9"/>
      <c r="G653" s="9"/>
      <c r="H653" s="9"/>
      <c r="I653" s="9"/>
      <c r="J653" s="5"/>
      <c r="K653" s="4"/>
      <c r="L653" s="10"/>
      <c r="M653" s="10"/>
      <c r="N653" s="10"/>
      <c r="O653" s="10"/>
      <c r="P653" s="10"/>
      <c r="Q653" s="11"/>
      <c r="R653" s="9"/>
      <c r="S653" s="12"/>
      <c r="T653" s="5"/>
      <c r="U653" s="5"/>
      <c r="V653" s="4"/>
      <c r="W653" s="4"/>
      <c r="X653" s="4"/>
      <c r="Y653" s="4"/>
    </row>
    <row r="654">
      <c r="A654" s="5"/>
      <c r="B654" s="9"/>
      <c r="C654" s="5"/>
      <c r="D654" s="9"/>
      <c r="E654" s="9"/>
      <c r="F654" s="9"/>
      <c r="G654" s="9"/>
      <c r="H654" s="9"/>
      <c r="I654" s="9"/>
      <c r="J654" s="5"/>
      <c r="K654" s="4"/>
      <c r="L654" s="10"/>
      <c r="M654" s="10"/>
      <c r="N654" s="10"/>
      <c r="O654" s="10"/>
      <c r="P654" s="10"/>
      <c r="Q654" s="11"/>
      <c r="R654" s="9"/>
      <c r="S654" s="12"/>
      <c r="T654" s="5"/>
      <c r="U654" s="5"/>
      <c r="V654" s="4"/>
      <c r="W654" s="4"/>
      <c r="X654" s="4"/>
      <c r="Y654" s="4"/>
    </row>
    <row r="655">
      <c r="A655" s="5"/>
      <c r="B655" s="9"/>
      <c r="C655" s="5"/>
      <c r="D655" s="9"/>
      <c r="E655" s="9"/>
      <c r="F655" s="9"/>
      <c r="G655" s="9"/>
      <c r="H655" s="9"/>
      <c r="I655" s="9"/>
      <c r="J655" s="5"/>
      <c r="K655" s="4"/>
      <c r="L655" s="10"/>
      <c r="M655" s="10"/>
      <c r="N655" s="10"/>
      <c r="O655" s="10"/>
      <c r="P655" s="10"/>
      <c r="Q655" s="11"/>
      <c r="R655" s="9"/>
      <c r="S655" s="12"/>
      <c r="T655" s="5"/>
      <c r="U655" s="5"/>
      <c r="V655" s="4"/>
      <c r="W655" s="4"/>
      <c r="X655" s="4"/>
      <c r="Y655" s="4"/>
    </row>
    <row r="656">
      <c r="A656" s="5"/>
      <c r="B656" s="9"/>
      <c r="C656" s="5"/>
      <c r="D656" s="9"/>
      <c r="E656" s="9"/>
      <c r="F656" s="9"/>
      <c r="G656" s="9"/>
      <c r="H656" s="9"/>
      <c r="I656" s="9"/>
      <c r="J656" s="5"/>
      <c r="K656" s="4"/>
      <c r="L656" s="10"/>
      <c r="M656" s="10"/>
      <c r="N656" s="10"/>
      <c r="O656" s="10"/>
      <c r="P656" s="10"/>
      <c r="Q656" s="11"/>
      <c r="R656" s="9"/>
      <c r="S656" s="12"/>
      <c r="T656" s="5"/>
      <c r="U656" s="5"/>
      <c r="V656" s="4"/>
      <c r="W656" s="4"/>
      <c r="X656" s="4"/>
      <c r="Y656" s="4"/>
    </row>
    <row r="657">
      <c r="A657" s="5"/>
      <c r="B657" s="9"/>
      <c r="C657" s="5"/>
      <c r="D657" s="9"/>
      <c r="E657" s="9"/>
      <c r="F657" s="9"/>
      <c r="G657" s="9"/>
      <c r="H657" s="9"/>
      <c r="I657" s="9"/>
      <c r="J657" s="5"/>
      <c r="K657" s="4"/>
      <c r="L657" s="10"/>
      <c r="M657" s="10"/>
      <c r="N657" s="10"/>
      <c r="O657" s="10"/>
      <c r="P657" s="10"/>
      <c r="Q657" s="11"/>
      <c r="R657" s="9"/>
      <c r="S657" s="12"/>
      <c r="T657" s="5"/>
      <c r="U657" s="5"/>
      <c r="V657" s="4"/>
      <c r="W657" s="4"/>
      <c r="X657" s="4"/>
      <c r="Y657" s="4"/>
    </row>
    <row r="658">
      <c r="A658" s="5"/>
      <c r="B658" s="9"/>
      <c r="C658" s="5"/>
      <c r="D658" s="9"/>
      <c r="E658" s="9"/>
      <c r="F658" s="9"/>
      <c r="G658" s="9"/>
      <c r="H658" s="9"/>
      <c r="I658" s="9"/>
      <c r="J658" s="5"/>
      <c r="K658" s="4"/>
      <c r="L658" s="10"/>
      <c r="M658" s="10"/>
      <c r="N658" s="10"/>
      <c r="O658" s="10"/>
      <c r="P658" s="10"/>
      <c r="Q658" s="11"/>
      <c r="R658" s="9"/>
      <c r="S658" s="12"/>
      <c r="T658" s="5"/>
      <c r="U658" s="5"/>
      <c r="V658" s="4"/>
      <c r="W658" s="4"/>
      <c r="X658" s="4"/>
      <c r="Y658" s="4"/>
    </row>
    <row r="659">
      <c r="A659" s="5"/>
      <c r="B659" s="9"/>
      <c r="C659" s="5"/>
      <c r="D659" s="9"/>
      <c r="E659" s="9"/>
      <c r="F659" s="9"/>
      <c r="G659" s="9"/>
      <c r="H659" s="9"/>
      <c r="I659" s="9"/>
      <c r="J659" s="5"/>
      <c r="K659" s="4"/>
      <c r="L659" s="10"/>
      <c r="M659" s="10"/>
      <c r="N659" s="10"/>
      <c r="O659" s="10"/>
      <c r="P659" s="10"/>
      <c r="Q659" s="11"/>
      <c r="R659" s="9"/>
      <c r="S659" s="12"/>
      <c r="T659" s="5"/>
      <c r="U659" s="5"/>
      <c r="V659" s="4"/>
      <c r="W659" s="4"/>
      <c r="X659" s="4"/>
      <c r="Y659" s="4"/>
    </row>
    <row r="660">
      <c r="A660" s="5"/>
      <c r="B660" s="9"/>
      <c r="C660" s="5"/>
      <c r="D660" s="9"/>
      <c r="E660" s="9"/>
      <c r="F660" s="9"/>
      <c r="G660" s="9"/>
      <c r="H660" s="9"/>
      <c r="I660" s="9"/>
      <c r="J660" s="5"/>
      <c r="K660" s="4"/>
      <c r="L660" s="10"/>
      <c r="M660" s="10"/>
      <c r="N660" s="10"/>
      <c r="O660" s="10"/>
      <c r="P660" s="10"/>
      <c r="Q660" s="11"/>
      <c r="R660" s="9"/>
      <c r="S660" s="12"/>
      <c r="T660" s="5"/>
      <c r="U660" s="5"/>
      <c r="V660" s="4"/>
      <c r="W660" s="4"/>
      <c r="X660" s="4"/>
      <c r="Y660" s="4"/>
    </row>
    <row r="661">
      <c r="A661" s="5"/>
      <c r="B661" s="9"/>
      <c r="C661" s="5"/>
      <c r="D661" s="9"/>
      <c r="E661" s="9"/>
      <c r="F661" s="9"/>
      <c r="G661" s="9"/>
      <c r="H661" s="9"/>
      <c r="I661" s="9"/>
      <c r="J661" s="5"/>
      <c r="K661" s="4"/>
      <c r="L661" s="10"/>
      <c r="M661" s="10"/>
      <c r="N661" s="10"/>
      <c r="O661" s="10"/>
      <c r="P661" s="10"/>
      <c r="Q661" s="11"/>
      <c r="R661" s="9"/>
      <c r="S661" s="12"/>
      <c r="T661" s="5"/>
      <c r="U661" s="5"/>
      <c r="V661" s="4"/>
      <c r="W661" s="4"/>
      <c r="X661" s="4"/>
      <c r="Y661" s="4"/>
    </row>
    <row r="662">
      <c r="A662" s="5"/>
      <c r="B662" s="9"/>
      <c r="C662" s="5"/>
      <c r="D662" s="9"/>
      <c r="E662" s="9"/>
      <c r="F662" s="9"/>
      <c r="G662" s="9"/>
      <c r="H662" s="9"/>
      <c r="I662" s="9"/>
      <c r="J662" s="5"/>
      <c r="K662" s="4"/>
      <c r="L662" s="10"/>
      <c r="M662" s="10"/>
      <c r="N662" s="10"/>
      <c r="O662" s="10"/>
      <c r="P662" s="10"/>
      <c r="Q662" s="11"/>
      <c r="R662" s="9"/>
      <c r="S662" s="12"/>
      <c r="T662" s="5"/>
      <c r="U662" s="5"/>
      <c r="V662" s="4"/>
      <c r="W662" s="4"/>
      <c r="X662" s="4"/>
      <c r="Y662" s="4"/>
    </row>
    <row r="663">
      <c r="A663" s="5"/>
      <c r="B663" s="9"/>
      <c r="C663" s="5"/>
      <c r="D663" s="9"/>
      <c r="E663" s="9"/>
      <c r="F663" s="9"/>
      <c r="G663" s="9"/>
      <c r="H663" s="9"/>
      <c r="I663" s="9"/>
      <c r="J663" s="5"/>
      <c r="K663" s="4"/>
      <c r="L663" s="10"/>
      <c r="M663" s="10"/>
      <c r="N663" s="10"/>
      <c r="O663" s="10"/>
      <c r="P663" s="10"/>
      <c r="Q663" s="11"/>
      <c r="R663" s="9"/>
      <c r="S663" s="12"/>
      <c r="T663" s="5"/>
      <c r="U663" s="5"/>
      <c r="V663" s="4"/>
      <c r="W663" s="4"/>
      <c r="X663" s="4"/>
      <c r="Y663" s="4"/>
    </row>
    <row r="664">
      <c r="A664" s="5"/>
      <c r="B664" s="9"/>
      <c r="C664" s="5"/>
      <c r="D664" s="9"/>
      <c r="E664" s="9"/>
      <c r="F664" s="9"/>
      <c r="G664" s="9"/>
      <c r="H664" s="9"/>
      <c r="I664" s="9"/>
      <c r="J664" s="5"/>
      <c r="K664" s="4"/>
      <c r="L664" s="10"/>
      <c r="M664" s="10"/>
      <c r="N664" s="10"/>
      <c r="O664" s="10"/>
      <c r="P664" s="10"/>
      <c r="Q664" s="11"/>
      <c r="R664" s="9"/>
      <c r="S664" s="12"/>
      <c r="T664" s="5"/>
      <c r="U664" s="5"/>
      <c r="V664" s="4"/>
      <c r="W664" s="4"/>
      <c r="X664" s="4"/>
      <c r="Y664" s="4"/>
    </row>
    <row r="665">
      <c r="A665" s="5"/>
      <c r="B665" s="9"/>
      <c r="C665" s="5"/>
      <c r="D665" s="9"/>
      <c r="E665" s="9"/>
      <c r="F665" s="9"/>
      <c r="G665" s="9"/>
      <c r="H665" s="9"/>
      <c r="I665" s="9"/>
      <c r="J665" s="5"/>
      <c r="K665" s="4"/>
      <c r="L665" s="10"/>
      <c r="M665" s="10"/>
      <c r="N665" s="10"/>
      <c r="O665" s="10"/>
      <c r="P665" s="10"/>
      <c r="Q665" s="11"/>
      <c r="R665" s="9"/>
      <c r="S665" s="12"/>
      <c r="T665" s="5"/>
      <c r="U665" s="5"/>
      <c r="V665" s="4"/>
      <c r="W665" s="4"/>
      <c r="X665" s="4"/>
      <c r="Y665" s="4"/>
    </row>
    <row r="666">
      <c r="A666" s="5"/>
      <c r="B666" s="9"/>
      <c r="C666" s="5"/>
      <c r="D666" s="9"/>
      <c r="E666" s="9"/>
      <c r="F666" s="9"/>
      <c r="G666" s="9"/>
      <c r="H666" s="9"/>
      <c r="I666" s="9"/>
      <c r="J666" s="5"/>
      <c r="K666" s="4"/>
      <c r="L666" s="10"/>
      <c r="M666" s="10"/>
      <c r="N666" s="10"/>
      <c r="O666" s="10"/>
      <c r="P666" s="10"/>
      <c r="Q666" s="11"/>
      <c r="R666" s="9"/>
      <c r="S666" s="12"/>
      <c r="T666" s="5"/>
      <c r="U666" s="5"/>
      <c r="V666" s="4"/>
      <c r="W666" s="4"/>
      <c r="X666" s="4"/>
      <c r="Y666" s="4"/>
    </row>
    <row r="667">
      <c r="A667" s="5"/>
      <c r="B667" s="9"/>
      <c r="C667" s="5"/>
      <c r="D667" s="9"/>
      <c r="E667" s="9"/>
      <c r="F667" s="9"/>
      <c r="G667" s="9"/>
      <c r="H667" s="9"/>
      <c r="I667" s="9"/>
      <c r="J667" s="5"/>
      <c r="K667" s="4"/>
      <c r="L667" s="10"/>
      <c r="M667" s="10"/>
      <c r="N667" s="10"/>
      <c r="O667" s="10"/>
      <c r="P667" s="10"/>
      <c r="Q667" s="11"/>
      <c r="R667" s="9"/>
      <c r="S667" s="12"/>
      <c r="T667" s="5"/>
      <c r="U667" s="5"/>
      <c r="V667" s="4"/>
      <c r="W667" s="4"/>
      <c r="X667" s="4"/>
      <c r="Y667" s="4"/>
    </row>
    <row r="668">
      <c r="A668" s="5"/>
      <c r="B668" s="9"/>
      <c r="C668" s="5"/>
      <c r="D668" s="9"/>
      <c r="E668" s="9"/>
      <c r="F668" s="9"/>
      <c r="G668" s="9"/>
      <c r="H668" s="9"/>
      <c r="I668" s="9"/>
      <c r="J668" s="5"/>
      <c r="K668" s="4"/>
      <c r="L668" s="10"/>
      <c r="M668" s="10"/>
      <c r="N668" s="10"/>
      <c r="O668" s="10"/>
      <c r="P668" s="10"/>
      <c r="Q668" s="11"/>
      <c r="R668" s="9"/>
      <c r="S668" s="12"/>
      <c r="T668" s="5"/>
      <c r="U668" s="5"/>
      <c r="V668" s="4"/>
      <c r="W668" s="4"/>
      <c r="X668" s="4"/>
      <c r="Y668" s="4"/>
    </row>
    <row r="669">
      <c r="A669" s="5"/>
      <c r="B669" s="9"/>
      <c r="C669" s="5"/>
      <c r="D669" s="9"/>
      <c r="E669" s="9"/>
      <c r="F669" s="9"/>
      <c r="G669" s="9"/>
      <c r="H669" s="9"/>
      <c r="I669" s="9"/>
      <c r="J669" s="5"/>
      <c r="K669" s="4"/>
      <c r="L669" s="10"/>
      <c r="M669" s="10"/>
      <c r="N669" s="10"/>
      <c r="O669" s="10"/>
      <c r="P669" s="10"/>
      <c r="Q669" s="11"/>
      <c r="R669" s="9"/>
      <c r="S669" s="12"/>
      <c r="T669" s="5"/>
      <c r="U669" s="5"/>
      <c r="V669" s="4"/>
      <c r="W669" s="4"/>
      <c r="X669" s="4"/>
      <c r="Y669" s="4"/>
    </row>
    <row r="670">
      <c r="A670" s="5"/>
      <c r="B670" s="9"/>
      <c r="C670" s="5"/>
      <c r="D670" s="9"/>
      <c r="E670" s="9"/>
      <c r="F670" s="9"/>
      <c r="G670" s="9"/>
      <c r="H670" s="9"/>
      <c r="I670" s="9"/>
      <c r="J670" s="5"/>
      <c r="K670" s="4"/>
      <c r="L670" s="10"/>
      <c r="M670" s="10"/>
      <c r="N670" s="10"/>
      <c r="O670" s="10"/>
      <c r="P670" s="10"/>
      <c r="Q670" s="11"/>
      <c r="R670" s="9"/>
      <c r="S670" s="12"/>
      <c r="T670" s="5"/>
      <c r="U670" s="5"/>
      <c r="V670" s="4"/>
      <c r="W670" s="4"/>
      <c r="X670" s="4"/>
      <c r="Y670" s="4"/>
    </row>
    <row r="671">
      <c r="A671" s="5"/>
      <c r="B671" s="9"/>
      <c r="C671" s="5"/>
      <c r="D671" s="9"/>
      <c r="E671" s="9"/>
      <c r="F671" s="9"/>
      <c r="G671" s="9"/>
      <c r="H671" s="9"/>
      <c r="I671" s="9"/>
      <c r="J671" s="5"/>
      <c r="K671" s="4"/>
      <c r="L671" s="10"/>
      <c r="M671" s="10"/>
      <c r="N671" s="10"/>
      <c r="O671" s="10"/>
      <c r="P671" s="10"/>
      <c r="Q671" s="11"/>
      <c r="R671" s="9"/>
      <c r="S671" s="12"/>
      <c r="T671" s="5"/>
      <c r="U671" s="5"/>
      <c r="V671" s="4"/>
      <c r="W671" s="4"/>
      <c r="X671" s="4"/>
      <c r="Y671" s="4"/>
    </row>
    <row r="672">
      <c r="A672" s="5"/>
      <c r="B672" s="9"/>
      <c r="C672" s="5"/>
      <c r="D672" s="9"/>
      <c r="E672" s="9"/>
      <c r="F672" s="9"/>
      <c r="G672" s="9"/>
      <c r="H672" s="9"/>
      <c r="I672" s="9"/>
      <c r="J672" s="5"/>
      <c r="K672" s="4"/>
      <c r="L672" s="10"/>
      <c r="M672" s="10"/>
      <c r="N672" s="10"/>
      <c r="O672" s="10"/>
      <c r="P672" s="10"/>
      <c r="Q672" s="11"/>
      <c r="R672" s="9"/>
      <c r="S672" s="12"/>
      <c r="T672" s="5"/>
      <c r="U672" s="5"/>
      <c r="V672" s="4"/>
      <c r="W672" s="4"/>
      <c r="X672" s="4"/>
      <c r="Y672" s="4"/>
    </row>
    <row r="673">
      <c r="A673" s="5"/>
      <c r="B673" s="9"/>
      <c r="C673" s="5"/>
      <c r="D673" s="9"/>
      <c r="E673" s="9"/>
      <c r="F673" s="9"/>
      <c r="G673" s="9"/>
      <c r="H673" s="9"/>
      <c r="I673" s="9"/>
      <c r="J673" s="5"/>
      <c r="K673" s="4"/>
      <c r="L673" s="10"/>
      <c r="M673" s="10"/>
      <c r="N673" s="10"/>
      <c r="O673" s="10"/>
      <c r="P673" s="10"/>
      <c r="Q673" s="11"/>
      <c r="R673" s="9"/>
      <c r="S673" s="12"/>
      <c r="T673" s="5"/>
      <c r="U673" s="5"/>
      <c r="V673" s="4"/>
      <c r="W673" s="4"/>
      <c r="X673" s="4"/>
      <c r="Y673" s="4"/>
    </row>
    <row r="674">
      <c r="A674" s="5"/>
      <c r="B674" s="9"/>
      <c r="C674" s="5"/>
      <c r="D674" s="9"/>
      <c r="E674" s="9"/>
      <c r="F674" s="9"/>
      <c r="G674" s="9"/>
      <c r="H674" s="9"/>
      <c r="I674" s="9"/>
      <c r="J674" s="5"/>
      <c r="K674" s="4"/>
      <c r="L674" s="10"/>
      <c r="M674" s="10"/>
      <c r="N674" s="10"/>
      <c r="O674" s="10"/>
      <c r="P674" s="10"/>
      <c r="Q674" s="11"/>
      <c r="R674" s="9"/>
      <c r="S674" s="12"/>
      <c r="T674" s="5"/>
      <c r="U674" s="5"/>
      <c r="V674" s="4"/>
      <c r="W674" s="4"/>
      <c r="X674" s="4"/>
      <c r="Y674" s="4"/>
    </row>
    <row r="675">
      <c r="A675" s="5"/>
      <c r="B675" s="9"/>
      <c r="C675" s="5"/>
      <c r="D675" s="9"/>
      <c r="E675" s="9"/>
      <c r="F675" s="9"/>
      <c r="G675" s="9"/>
      <c r="H675" s="9"/>
      <c r="I675" s="9"/>
      <c r="J675" s="5"/>
      <c r="K675" s="4"/>
      <c r="L675" s="10"/>
      <c r="M675" s="10"/>
      <c r="N675" s="10"/>
      <c r="O675" s="10"/>
      <c r="P675" s="10"/>
      <c r="Q675" s="11"/>
      <c r="R675" s="9"/>
      <c r="S675" s="12"/>
      <c r="T675" s="5"/>
      <c r="U675" s="5"/>
      <c r="V675" s="4"/>
      <c r="W675" s="4"/>
      <c r="X675" s="4"/>
      <c r="Y675" s="4"/>
    </row>
    <row r="676">
      <c r="A676" s="5"/>
      <c r="B676" s="9"/>
      <c r="C676" s="5"/>
      <c r="D676" s="9"/>
      <c r="E676" s="9"/>
      <c r="F676" s="9"/>
      <c r="G676" s="9"/>
      <c r="H676" s="9"/>
      <c r="I676" s="9"/>
      <c r="J676" s="5"/>
      <c r="K676" s="4"/>
      <c r="L676" s="10"/>
      <c r="M676" s="10"/>
      <c r="N676" s="10"/>
      <c r="O676" s="10"/>
      <c r="P676" s="10"/>
      <c r="Q676" s="11"/>
      <c r="R676" s="9"/>
      <c r="S676" s="12"/>
      <c r="T676" s="5"/>
      <c r="U676" s="5"/>
      <c r="V676" s="4"/>
      <c r="W676" s="4"/>
      <c r="X676" s="4"/>
      <c r="Y676" s="4"/>
    </row>
    <row r="677">
      <c r="A677" s="5"/>
      <c r="B677" s="9"/>
      <c r="C677" s="5"/>
      <c r="D677" s="9"/>
      <c r="E677" s="9"/>
      <c r="F677" s="9"/>
      <c r="G677" s="9"/>
      <c r="H677" s="9"/>
      <c r="I677" s="9"/>
      <c r="J677" s="5"/>
      <c r="K677" s="4"/>
      <c r="L677" s="10"/>
      <c r="M677" s="10"/>
      <c r="N677" s="10"/>
      <c r="O677" s="10"/>
      <c r="P677" s="10"/>
      <c r="Q677" s="11"/>
      <c r="R677" s="9"/>
      <c r="S677" s="12"/>
      <c r="T677" s="5"/>
      <c r="U677" s="5"/>
      <c r="V677" s="4"/>
      <c r="W677" s="4"/>
      <c r="X677" s="4"/>
      <c r="Y677" s="4"/>
    </row>
    <row r="678">
      <c r="A678" s="5"/>
      <c r="B678" s="9"/>
      <c r="C678" s="5"/>
      <c r="D678" s="9"/>
      <c r="E678" s="9"/>
      <c r="F678" s="9"/>
      <c r="G678" s="9"/>
      <c r="H678" s="9"/>
      <c r="I678" s="9"/>
      <c r="J678" s="5"/>
      <c r="K678" s="4"/>
      <c r="L678" s="10"/>
      <c r="M678" s="10"/>
      <c r="N678" s="10"/>
      <c r="O678" s="10"/>
      <c r="P678" s="10"/>
      <c r="Q678" s="11"/>
      <c r="R678" s="9"/>
      <c r="S678" s="12"/>
      <c r="T678" s="5"/>
      <c r="U678" s="5"/>
      <c r="V678" s="4"/>
      <c r="W678" s="4"/>
      <c r="X678" s="4"/>
      <c r="Y678" s="4"/>
    </row>
    <row r="679">
      <c r="A679" s="5"/>
      <c r="B679" s="9"/>
      <c r="C679" s="5"/>
      <c r="D679" s="9"/>
      <c r="E679" s="9"/>
      <c r="F679" s="9"/>
      <c r="G679" s="9"/>
      <c r="H679" s="9"/>
      <c r="I679" s="9"/>
      <c r="J679" s="5"/>
      <c r="K679" s="4"/>
      <c r="L679" s="10"/>
      <c r="M679" s="10"/>
      <c r="N679" s="10"/>
      <c r="O679" s="10"/>
      <c r="P679" s="10"/>
      <c r="Q679" s="11"/>
      <c r="R679" s="9"/>
      <c r="S679" s="12"/>
      <c r="T679" s="5"/>
      <c r="U679" s="5"/>
      <c r="V679" s="4"/>
      <c r="W679" s="4"/>
      <c r="X679" s="4"/>
      <c r="Y679" s="4"/>
    </row>
    <row r="680">
      <c r="A680" s="5"/>
      <c r="B680" s="9"/>
      <c r="C680" s="5"/>
      <c r="D680" s="9"/>
      <c r="E680" s="9"/>
      <c r="F680" s="9"/>
      <c r="G680" s="9"/>
      <c r="H680" s="9"/>
      <c r="I680" s="9"/>
      <c r="J680" s="5"/>
      <c r="K680" s="4"/>
      <c r="L680" s="10"/>
      <c r="M680" s="10"/>
      <c r="N680" s="10"/>
      <c r="O680" s="10"/>
      <c r="P680" s="10"/>
      <c r="Q680" s="11"/>
      <c r="R680" s="9"/>
      <c r="S680" s="12"/>
      <c r="T680" s="5"/>
      <c r="U680" s="5"/>
      <c r="V680" s="4"/>
      <c r="W680" s="4"/>
      <c r="X680" s="4"/>
      <c r="Y680" s="4"/>
    </row>
    <row r="681">
      <c r="A681" s="5"/>
      <c r="B681" s="9"/>
      <c r="C681" s="5"/>
      <c r="D681" s="9"/>
      <c r="E681" s="9"/>
      <c r="F681" s="9"/>
      <c r="G681" s="9"/>
      <c r="H681" s="9"/>
      <c r="I681" s="9"/>
      <c r="J681" s="5"/>
      <c r="K681" s="4"/>
      <c r="L681" s="10"/>
      <c r="M681" s="10"/>
      <c r="N681" s="10"/>
      <c r="O681" s="10"/>
      <c r="P681" s="10"/>
      <c r="Q681" s="11"/>
      <c r="R681" s="9"/>
      <c r="S681" s="12"/>
      <c r="T681" s="5"/>
      <c r="U681" s="5"/>
      <c r="V681" s="4"/>
      <c r="W681" s="4"/>
      <c r="X681" s="4"/>
      <c r="Y681" s="4"/>
    </row>
    <row r="682">
      <c r="A682" s="5"/>
      <c r="B682" s="9"/>
      <c r="C682" s="5"/>
      <c r="D682" s="9"/>
      <c r="E682" s="9"/>
      <c r="F682" s="9"/>
      <c r="G682" s="9"/>
      <c r="H682" s="9"/>
      <c r="I682" s="9"/>
      <c r="J682" s="5"/>
      <c r="K682" s="4"/>
      <c r="L682" s="10"/>
      <c r="M682" s="10"/>
      <c r="N682" s="10"/>
      <c r="O682" s="10"/>
      <c r="P682" s="10"/>
      <c r="Q682" s="11"/>
      <c r="R682" s="9"/>
      <c r="S682" s="12"/>
      <c r="T682" s="5"/>
      <c r="U682" s="5"/>
      <c r="V682" s="4"/>
      <c r="W682" s="4"/>
      <c r="X682" s="4"/>
      <c r="Y682" s="4"/>
    </row>
    <row r="683">
      <c r="A683" s="5"/>
      <c r="B683" s="9"/>
      <c r="C683" s="5"/>
      <c r="D683" s="9"/>
      <c r="E683" s="9"/>
      <c r="F683" s="9"/>
      <c r="G683" s="9"/>
      <c r="H683" s="9"/>
      <c r="I683" s="9"/>
      <c r="J683" s="5"/>
      <c r="K683" s="4"/>
      <c r="L683" s="10"/>
      <c r="M683" s="10"/>
      <c r="N683" s="10"/>
      <c r="O683" s="10"/>
      <c r="P683" s="10"/>
      <c r="Q683" s="11"/>
      <c r="R683" s="9"/>
      <c r="S683" s="12"/>
      <c r="T683" s="5"/>
      <c r="U683" s="5"/>
      <c r="V683" s="4"/>
      <c r="W683" s="4"/>
      <c r="X683" s="4"/>
      <c r="Y683" s="4"/>
    </row>
    <row r="684">
      <c r="A684" s="5"/>
      <c r="B684" s="9"/>
      <c r="C684" s="5"/>
      <c r="D684" s="9"/>
      <c r="E684" s="9"/>
      <c r="F684" s="9"/>
      <c r="G684" s="9"/>
      <c r="H684" s="9"/>
      <c r="I684" s="9"/>
      <c r="J684" s="5"/>
      <c r="K684" s="4"/>
      <c r="L684" s="10"/>
      <c r="M684" s="10"/>
      <c r="N684" s="10"/>
      <c r="O684" s="10"/>
      <c r="P684" s="10"/>
      <c r="Q684" s="11"/>
      <c r="R684" s="9"/>
      <c r="S684" s="12"/>
      <c r="T684" s="5"/>
      <c r="U684" s="5"/>
      <c r="V684" s="4"/>
      <c r="W684" s="4"/>
      <c r="X684" s="4"/>
      <c r="Y684" s="4"/>
    </row>
    <row r="685">
      <c r="A685" s="5"/>
      <c r="B685" s="9"/>
      <c r="C685" s="5"/>
      <c r="D685" s="9"/>
      <c r="E685" s="9"/>
      <c r="F685" s="9"/>
      <c r="G685" s="9"/>
      <c r="H685" s="9"/>
      <c r="I685" s="9"/>
      <c r="J685" s="5"/>
      <c r="K685" s="4"/>
      <c r="L685" s="10"/>
      <c r="M685" s="10"/>
      <c r="N685" s="10"/>
      <c r="O685" s="10"/>
      <c r="P685" s="10"/>
      <c r="Q685" s="11"/>
      <c r="R685" s="9"/>
      <c r="S685" s="12"/>
      <c r="T685" s="5"/>
      <c r="U685" s="5"/>
      <c r="V685" s="4"/>
      <c r="W685" s="4"/>
      <c r="X685" s="4"/>
      <c r="Y685" s="4"/>
    </row>
    <row r="686">
      <c r="A686" s="5"/>
      <c r="B686" s="9"/>
      <c r="C686" s="5"/>
      <c r="D686" s="9"/>
      <c r="E686" s="9"/>
      <c r="F686" s="9"/>
      <c r="G686" s="9"/>
      <c r="H686" s="9"/>
      <c r="I686" s="9"/>
      <c r="J686" s="5"/>
      <c r="K686" s="4"/>
      <c r="L686" s="10"/>
      <c r="M686" s="10"/>
      <c r="N686" s="10"/>
      <c r="O686" s="10"/>
      <c r="P686" s="10"/>
      <c r="Q686" s="11"/>
      <c r="R686" s="9"/>
      <c r="S686" s="12"/>
      <c r="T686" s="5"/>
      <c r="U686" s="5"/>
      <c r="V686" s="4"/>
      <c r="W686" s="4"/>
      <c r="X686" s="4"/>
      <c r="Y686" s="4"/>
    </row>
    <row r="687">
      <c r="A687" s="5"/>
      <c r="B687" s="9"/>
      <c r="C687" s="5"/>
      <c r="D687" s="9"/>
      <c r="E687" s="9"/>
      <c r="F687" s="9"/>
      <c r="G687" s="9"/>
      <c r="H687" s="9"/>
      <c r="I687" s="9"/>
      <c r="J687" s="5"/>
      <c r="K687" s="4"/>
      <c r="L687" s="10"/>
      <c r="M687" s="10"/>
      <c r="N687" s="10"/>
      <c r="O687" s="10"/>
      <c r="P687" s="10"/>
      <c r="Q687" s="11"/>
      <c r="R687" s="9"/>
      <c r="S687" s="12"/>
      <c r="T687" s="5"/>
      <c r="U687" s="5"/>
      <c r="V687" s="4"/>
      <c r="W687" s="4"/>
      <c r="X687" s="4"/>
      <c r="Y687" s="4"/>
    </row>
    <row r="688">
      <c r="A688" s="5"/>
      <c r="B688" s="9"/>
      <c r="C688" s="5"/>
      <c r="D688" s="9"/>
      <c r="E688" s="9"/>
      <c r="F688" s="9"/>
      <c r="G688" s="9"/>
      <c r="H688" s="9"/>
      <c r="I688" s="9"/>
      <c r="J688" s="5"/>
      <c r="K688" s="4"/>
      <c r="L688" s="10"/>
      <c r="M688" s="10"/>
      <c r="N688" s="10"/>
      <c r="O688" s="10"/>
      <c r="P688" s="10"/>
      <c r="Q688" s="11"/>
      <c r="R688" s="9"/>
      <c r="S688" s="12"/>
      <c r="T688" s="5"/>
      <c r="U688" s="5"/>
      <c r="V688" s="4"/>
      <c r="W688" s="4"/>
      <c r="X688" s="4"/>
      <c r="Y688" s="4"/>
    </row>
    <row r="689">
      <c r="A689" s="5"/>
      <c r="B689" s="9"/>
      <c r="C689" s="5"/>
      <c r="D689" s="9"/>
      <c r="E689" s="9"/>
      <c r="F689" s="9"/>
      <c r="G689" s="9"/>
      <c r="H689" s="9"/>
      <c r="I689" s="9"/>
      <c r="J689" s="5"/>
      <c r="K689" s="4"/>
      <c r="L689" s="10"/>
      <c r="M689" s="10"/>
      <c r="N689" s="10"/>
      <c r="O689" s="10"/>
      <c r="P689" s="10"/>
      <c r="Q689" s="11"/>
      <c r="R689" s="9"/>
      <c r="S689" s="12"/>
      <c r="T689" s="5"/>
      <c r="U689" s="5"/>
      <c r="V689" s="4"/>
      <c r="W689" s="4"/>
      <c r="X689" s="4"/>
      <c r="Y689" s="4"/>
    </row>
    <row r="690">
      <c r="A690" s="5"/>
      <c r="B690" s="9"/>
      <c r="C690" s="5"/>
      <c r="D690" s="9"/>
      <c r="E690" s="9"/>
      <c r="F690" s="9"/>
      <c r="G690" s="9"/>
      <c r="H690" s="9"/>
      <c r="I690" s="9"/>
      <c r="J690" s="5"/>
      <c r="K690" s="4"/>
      <c r="L690" s="10"/>
      <c r="M690" s="10"/>
      <c r="N690" s="10"/>
      <c r="O690" s="10"/>
      <c r="P690" s="10"/>
      <c r="Q690" s="11"/>
      <c r="R690" s="9"/>
      <c r="S690" s="12"/>
      <c r="T690" s="5"/>
      <c r="U690" s="5"/>
      <c r="V690" s="4"/>
      <c r="W690" s="4"/>
      <c r="X690" s="4"/>
      <c r="Y690" s="4"/>
    </row>
    <row r="691">
      <c r="A691" s="5"/>
      <c r="B691" s="9"/>
      <c r="C691" s="5"/>
      <c r="D691" s="9"/>
      <c r="E691" s="9"/>
      <c r="F691" s="9"/>
      <c r="G691" s="9"/>
      <c r="H691" s="9"/>
      <c r="I691" s="9"/>
      <c r="J691" s="5"/>
      <c r="K691" s="4"/>
      <c r="L691" s="10"/>
      <c r="M691" s="10"/>
      <c r="N691" s="10"/>
      <c r="O691" s="10"/>
      <c r="P691" s="10"/>
      <c r="Q691" s="11"/>
      <c r="R691" s="9"/>
      <c r="S691" s="12"/>
      <c r="T691" s="5"/>
      <c r="U691" s="5"/>
      <c r="V691" s="4"/>
      <c r="W691" s="4"/>
      <c r="X691" s="4"/>
      <c r="Y691" s="4"/>
    </row>
    <row r="692">
      <c r="A692" s="5"/>
      <c r="B692" s="9"/>
      <c r="C692" s="5"/>
      <c r="D692" s="9"/>
      <c r="E692" s="9"/>
      <c r="F692" s="9"/>
      <c r="G692" s="9"/>
      <c r="H692" s="9"/>
      <c r="I692" s="9"/>
      <c r="J692" s="5"/>
      <c r="K692" s="4"/>
      <c r="L692" s="10"/>
      <c r="M692" s="10"/>
      <c r="N692" s="10"/>
      <c r="O692" s="10"/>
      <c r="P692" s="10"/>
      <c r="Q692" s="11"/>
      <c r="R692" s="9"/>
      <c r="S692" s="12"/>
      <c r="T692" s="5"/>
      <c r="U692" s="5"/>
      <c r="V692" s="4"/>
      <c r="W692" s="4"/>
      <c r="X692" s="4"/>
      <c r="Y692" s="4"/>
    </row>
    <row r="693">
      <c r="A693" s="5"/>
      <c r="B693" s="9"/>
      <c r="C693" s="5"/>
      <c r="D693" s="9"/>
      <c r="E693" s="9"/>
      <c r="F693" s="9"/>
      <c r="G693" s="9"/>
      <c r="H693" s="9"/>
      <c r="I693" s="9"/>
      <c r="J693" s="5"/>
      <c r="K693" s="4"/>
      <c r="L693" s="10"/>
      <c r="M693" s="10"/>
      <c r="N693" s="10"/>
      <c r="O693" s="10"/>
      <c r="P693" s="10"/>
      <c r="Q693" s="11"/>
      <c r="R693" s="9"/>
      <c r="S693" s="12"/>
      <c r="T693" s="5"/>
      <c r="U693" s="5"/>
      <c r="V693" s="4"/>
      <c r="W693" s="4"/>
      <c r="X693" s="4"/>
      <c r="Y693" s="4"/>
    </row>
    <row r="694">
      <c r="A694" s="5"/>
      <c r="B694" s="9"/>
      <c r="C694" s="5"/>
      <c r="D694" s="9"/>
      <c r="E694" s="9"/>
      <c r="F694" s="9"/>
      <c r="G694" s="9"/>
      <c r="H694" s="9"/>
      <c r="I694" s="9"/>
      <c r="J694" s="5"/>
      <c r="K694" s="4"/>
      <c r="L694" s="10"/>
      <c r="M694" s="10"/>
      <c r="N694" s="10"/>
      <c r="O694" s="10"/>
      <c r="P694" s="10"/>
      <c r="Q694" s="11"/>
      <c r="R694" s="9"/>
      <c r="S694" s="12"/>
      <c r="T694" s="5"/>
      <c r="U694" s="5"/>
      <c r="V694" s="4"/>
      <c r="W694" s="4"/>
      <c r="X694" s="4"/>
      <c r="Y694" s="4"/>
    </row>
    <row r="695">
      <c r="A695" s="5"/>
      <c r="B695" s="9"/>
      <c r="C695" s="5"/>
      <c r="D695" s="9"/>
      <c r="E695" s="9"/>
      <c r="F695" s="9"/>
      <c r="G695" s="9"/>
      <c r="H695" s="9"/>
      <c r="I695" s="9"/>
      <c r="J695" s="5"/>
      <c r="K695" s="4"/>
      <c r="L695" s="10"/>
      <c r="M695" s="10"/>
      <c r="N695" s="10"/>
      <c r="O695" s="10"/>
      <c r="P695" s="10"/>
      <c r="Q695" s="11"/>
      <c r="R695" s="9"/>
      <c r="S695" s="12"/>
      <c r="T695" s="5"/>
      <c r="U695" s="5"/>
      <c r="V695" s="4"/>
      <c r="W695" s="4"/>
      <c r="X695" s="4"/>
      <c r="Y695" s="4"/>
    </row>
    <row r="696">
      <c r="A696" s="5"/>
      <c r="B696" s="9"/>
      <c r="C696" s="5"/>
      <c r="D696" s="9"/>
      <c r="E696" s="9"/>
      <c r="F696" s="9"/>
      <c r="G696" s="9"/>
      <c r="H696" s="9"/>
      <c r="I696" s="9"/>
      <c r="J696" s="5"/>
      <c r="K696" s="4"/>
      <c r="L696" s="10"/>
      <c r="M696" s="10"/>
      <c r="N696" s="10"/>
      <c r="O696" s="10"/>
      <c r="P696" s="10"/>
      <c r="Q696" s="11"/>
      <c r="R696" s="9"/>
      <c r="S696" s="12"/>
      <c r="T696" s="5"/>
      <c r="U696" s="5"/>
      <c r="V696" s="4"/>
      <c r="W696" s="4"/>
      <c r="X696" s="4"/>
      <c r="Y696" s="4"/>
    </row>
    <row r="697">
      <c r="A697" s="5"/>
      <c r="B697" s="9"/>
      <c r="C697" s="5"/>
      <c r="D697" s="9"/>
      <c r="E697" s="9"/>
      <c r="F697" s="9"/>
      <c r="G697" s="9"/>
      <c r="H697" s="9"/>
      <c r="I697" s="9"/>
      <c r="J697" s="5"/>
      <c r="K697" s="4"/>
      <c r="L697" s="10"/>
      <c r="M697" s="10"/>
      <c r="N697" s="10"/>
      <c r="O697" s="10"/>
      <c r="P697" s="10"/>
      <c r="Q697" s="11"/>
      <c r="R697" s="9"/>
      <c r="S697" s="12"/>
      <c r="T697" s="5"/>
      <c r="U697" s="5"/>
      <c r="V697" s="4"/>
      <c r="W697" s="4"/>
      <c r="X697" s="4"/>
      <c r="Y697" s="4"/>
    </row>
    <row r="698">
      <c r="A698" s="5"/>
      <c r="B698" s="9"/>
      <c r="C698" s="5"/>
      <c r="D698" s="9"/>
      <c r="E698" s="9"/>
      <c r="F698" s="9"/>
      <c r="G698" s="9"/>
      <c r="H698" s="9"/>
      <c r="I698" s="9"/>
      <c r="J698" s="5"/>
      <c r="K698" s="4"/>
      <c r="L698" s="10"/>
      <c r="M698" s="10"/>
      <c r="N698" s="10"/>
      <c r="O698" s="10"/>
      <c r="P698" s="10"/>
      <c r="Q698" s="11"/>
      <c r="R698" s="9"/>
      <c r="S698" s="12"/>
      <c r="T698" s="5"/>
      <c r="U698" s="5"/>
      <c r="V698" s="4"/>
      <c r="W698" s="4"/>
      <c r="X698" s="4"/>
      <c r="Y698" s="4"/>
    </row>
    <row r="699">
      <c r="A699" s="5"/>
      <c r="B699" s="9"/>
      <c r="C699" s="5"/>
      <c r="D699" s="9"/>
      <c r="E699" s="9"/>
      <c r="F699" s="9"/>
      <c r="G699" s="9"/>
      <c r="H699" s="9"/>
      <c r="I699" s="9"/>
      <c r="J699" s="5"/>
      <c r="K699" s="4"/>
      <c r="L699" s="10"/>
      <c r="M699" s="10"/>
      <c r="N699" s="10"/>
      <c r="O699" s="10"/>
      <c r="P699" s="10"/>
      <c r="Q699" s="11"/>
      <c r="R699" s="9"/>
      <c r="S699" s="12"/>
      <c r="T699" s="5"/>
      <c r="U699" s="5"/>
      <c r="V699" s="4"/>
      <c r="W699" s="4"/>
      <c r="X699" s="4"/>
      <c r="Y699" s="4"/>
    </row>
    <row r="700">
      <c r="A700" s="5"/>
      <c r="B700" s="9"/>
      <c r="C700" s="5"/>
      <c r="D700" s="9"/>
      <c r="E700" s="9"/>
      <c r="F700" s="9"/>
      <c r="G700" s="9"/>
      <c r="H700" s="9"/>
      <c r="I700" s="9"/>
      <c r="J700" s="5"/>
      <c r="K700" s="4"/>
      <c r="L700" s="10"/>
      <c r="M700" s="10"/>
      <c r="N700" s="10"/>
      <c r="O700" s="10"/>
      <c r="P700" s="10"/>
      <c r="Q700" s="11"/>
      <c r="R700" s="9"/>
      <c r="S700" s="12"/>
      <c r="T700" s="5"/>
      <c r="U700" s="5"/>
      <c r="V700" s="4"/>
      <c r="W700" s="4"/>
      <c r="X700" s="4"/>
      <c r="Y700" s="4"/>
    </row>
    <row r="701">
      <c r="A701" s="5"/>
      <c r="B701" s="9"/>
      <c r="C701" s="5"/>
      <c r="D701" s="9"/>
      <c r="E701" s="9"/>
      <c r="F701" s="9"/>
      <c r="G701" s="9"/>
      <c r="H701" s="9"/>
      <c r="I701" s="9"/>
      <c r="J701" s="5"/>
      <c r="K701" s="4"/>
      <c r="L701" s="10"/>
      <c r="M701" s="10"/>
      <c r="N701" s="10"/>
      <c r="O701" s="10"/>
      <c r="P701" s="10"/>
      <c r="Q701" s="11"/>
      <c r="R701" s="9"/>
      <c r="S701" s="12"/>
      <c r="T701" s="5"/>
      <c r="U701" s="5"/>
      <c r="V701" s="4"/>
      <c r="W701" s="4"/>
      <c r="X701" s="4"/>
      <c r="Y701" s="4"/>
    </row>
    <row r="702">
      <c r="A702" s="5"/>
      <c r="B702" s="9"/>
      <c r="C702" s="5"/>
      <c r="D702" s="9"/>
      <c r="E702" s="9"/>
      <c r="F702" s="9"/>
      <c r="G702" s="9"/>
      <c r="H702" s="9"/>
      <c r="I702" s="9"/>
      <c r="J702" s="5"/>
      <c r="K702" s="4"/>
      <c r="L702" s="10"/>
      <c r="M702" s="10"/>
      <c r="N702" s="10"/>
      <c r="O702" s="10"/>
      <c r="P702" s="10"/>
      <c r="Q702" s="11"/>
      <c r="R702" s="9"/>
      <c r="S702" s="12"/>
      <c r="T702" s="5"/>
      <c r="U702" s="5"/>
      <c r="V702" s="4"/>
      <c r="W702" s="4"/>
      <c r="X702" s="4"/>
      <c r="Y702" s="4"/>
    </row>
    <row r="703">
      <c r="A703" s="5"/>
      <c r="B703" s="9"/>
      <c r="C703" s="5"/>
      <c r="D703" s="9"/>
      <c r="E703" s="9"/>
      <c r="F703" s="9"/>
      <c r="G703" s="9"/>
      <c r="H703" s="9"/>
      <c r="I703" s="9"/>
      <c r="J703" s="5"/>
      <c r="K703" s="4"/>
      <c r="L703" s="10"/>
      <c r="M703" s="10"/>
      <c r="N703" s="10"/>
      <c r="O703" s="10"/>
      <c r="P703" s="10"/>
      <c r="Q703" s="11"/>
      <c r="R703" s="9"/>
      <c r="S703" s="12"/>
      <c r="T703" s="5"/>
      <c r="U703" s="5"/>
      <c r="V703" s="4"/>
      <c r="W703" s="4"/>
      <c r="X703" s="4"/>
      <c r="Y703" s="4"/>
    </row>
    <row r="704">
      <c r="A704" s="5"/>
      <c r="B704" s="9"/>
      <c r="C704" s="5"/>
      <c r="D704" s="9"/>
      <c r="E704" s="9"/>
      <c r="F704" s="9"/>
      <c r="G704" s="9"/>
      <c r="H704" s="9"/>
      <c r="I704" s="9"/>
      <c r="J704" s="5"/>
      <c r="K704" s="4"/>
      <c r="L704" s="10"/>
      <c r="M704" s="10"/>
      <c r="N704" s="10"/>
      <c r="O704" s="10"/>
      <c r="P704" s="10"/>
      <c r="Q704" s="11"/>
      <c r="R704" s="9"/>
      <c r="S704" s="12"/>
      <c r="T704" s="5"/>
      <c r="U704" s="5"/>
      <c r="V704" s="4"/>
      <c r="W704" s="4"/>
      <c r="X704" s="4"/>
      <c r="Y704" s="4"/>
    </row>
    <row r="705">
      <c r="A705" s="5"/>
      <c r="B705" s="9"/>
      <c r="C705" s="5"/>
      <c r="D705" s="9"/>
      <c r="E705" s="9"/>
      <c r="F705" s="9"/>
      <c r="G705" s="9"/>
      <c r="H705" s="9"/>
      <c r="I705" s="9"/>
      <c r="J705" s="5"/>
      <c r="K705" s="4"/>
      <c r="L705" s="10"/>
      <c r="M705" s="10"/>
      <c r="N705" s="10"/>
      <c r="O705" s="10"/>
      <c r="P705" s="10"/>
      <c r="Q705" s="11"/>
      <c r="R705" s="9"/>
      <c r="S705" s="12"/>
      <c r="T705" s="5"/>
      <c r="U705" s="5"/>
      <c r="V705" s="4"/>
      <c r="W705" s="4"/>
      <c r="X705" s="4"/>
      <c r="Y705" s="4"/>
    </row>
    <row r="706">
      <c r="A706" s="5"/>
      <c r="B706" s="9"/>
      <c r="C706" s="5"/>
      <c r="D706" s="9"/>
      <c r="E706" s="9"/>
      <c r="F706" s="9"/>
      <c r="G706" s="9"/>
      <c r="H706" s="9"/>
      <c r="I706" s="9"/>
      <c r="J706" s="5"/>
      <c r="K706" s="4"/>
      <c r="L706" s="10"/>
      <c r="M706" s="10"/>
      <c r="N706" s="10"/>
      <c r="O706" s="10"/>
      <c r="P706" s="10"/>
      <c r="Q706" s="11"/>
      <c r="R706" s="9"/>
      <c r="S706" s="12"/>
      <c r="T706" s="5"/>
      <c r="U706" s="5"/>
      <c r="V706" s="4"/>
      <c r="W706" s="4"/>
      <c r="X706" s="4"/>
      <c r="Y706" s="4"/>
    </row>
    <row r="707">
      <c r="A707" s="5"/>
      <c r="B707" s="9"/>
      <c r="C707" s="5"/>
      <c r="D707" s="9"/>
      <c r="E707" s="9"/>
      <c r="F707" s="9"/>
      <c r="G707" s="9"/>
      <c r="H707" s="9"/>
      <c r="I707" s="9"/>
      <c r="J707" s="5"/>
      <c r="K707" s="4"/>
      <c r="L707" s="10"/>
      <c r="M707" s="10"/>
      <c r="N707" s="10"/>
      <c r="O707" s="10"/>
      <c r="P707" s="10"/>
      <c r="Q707" s="11"/>
      <c r="R707" s="9"/>
      <c r="S707" s="12"/>
      <c r="T707" s="5"/>
      <c r="U707" s="5"/>
      <c r="V707" s="4"/>
      <c r="W707" s="4"/>
      <c r="X707" s="4"/>
      <c r="Y707" s="4"/>
    </row>
    <row r="708">
      <c r="A708" s="5"/>
      <c r="B708" s="9"/>
      <c r="C708" s="5"/>
      <c r="D708" s="9"/>
      <c r="E708" s="9"/>
      <c r="F708" s="9"/>
      <c r="G708" s="9"/>
      <c r="H708" s="9"/>
      <c r="I708" s="9"/>
      <c r="J708" s="5"/>
      <c r="K708" s="4"/>
      <c r="L708" s="10"/>
      <c r="M708" s="10"/>
      <c r="N708" s="10"/>
      <c r="O708" s="10"/>
      <c r="P708" s="10"/>
      <c r="Q708" s="11"/>
      <c r="R708" s="9"/>
      <c r="S708" s="12"/>
      <c r="T708" s="5"/>
      <c r="U708" s="5"/>
      <c r="V708" s="4"/>
      <c r="W708" s="4"/>
      <c r="X708" s="4"/>
      <c r="Y708" s="4"/>
    </row>
    <row r="709">
      <c r="A709" s="5"/>
      <c r="B709" s="9"/>
      <c r="C709" s="5"/>
      <c r="D709" s="9"/>
      <c r="E709" s="9"/>
      <c r="F709" s="9"/>
      <c r="G709" s="9"/>
      <c r="H709" s="9"/>
      <c r="I709" s="9"/>
      <c r="J709" s="5"/>
      <c r="K709" s="4"/>
      <c r="L709" s="10"/>
      <c r="M709" s="10"/>
      <c r="N709" s="10"/>
      <c r="O709" s="10"/>
      <c r="P709" s="10"/>
      <c r="Q709" s="11"/>
      <c r="R709" s="9"/>
      <c r="S709" s="12"/>
      <c r="T709" s="5"/>
      <c r="U709" s="5"/>
      <c r="V709" s="4"/>
      <c r="W709" s="4"/>
      <c r="X709" s="4"/>
      <c r="Y709" s="4"/>
    </row>
    <row r="710">
      <c r="A710" s="5"/>
      <c r="B710" s="9"/>
      <c r="C710" s="5"/>
      <c r="D710" s="9"/>
      <c r="E710" s="9"/>
      <c r="F710" s="9"/>
      <c r="G710" s="9"/>
      <c r="H710" s="9"/>
      <c r="I710" s="9"/>
      <c r="J710" s="5"/>
      <c r="K710" s="4"/>
      <c r="L710" s="10"/>
      <c r="M710" s="10"/>
      <c r="N710" s="10"/>
      <c r="O710" s="10"/>
      <c r="P710" s="10"/>
      <c r="Q710" s="11"/>
      <c r="R710" s="9"/>
      <c r="S710" s="12"/>
      <c r="T710" s="5"/>
      <c r="U710" s="5"/>
      <c r="V710" s="4"/>
      <c r="W710" s="4"/>
      <c r="X710" s="4"/>
      <c r="Y710" s="4"/>
    </row>
    <row r="711">
      <c r="A711" s="5"/>
      <c r="B711" s="9"/>
      <c r="C711" s="5"/>
      <c r="D711" s="9"/>
      <c r="E711" s="9"/>
      <c r="F711" s="9"/>
      <c r="G711" s="9"/>
      <c r="H711" s="9"/>
      <c r="I711" s="9"/>
      <c r="J711" s="5"/>
      <c r="K711" s="4"/>
      <c r="L711" s="10"/>
      <c r="M711" s="10"/>
      <c r="N711" s="10"/>
      <c r="O711" s="10"/>
      <c r="P711" s="10"/>
      <c r="Q711" s="11"/>
      <c r="R711" s="9"/>
      <c r="S711" s="12"/>
      <c r="T711" s="5"/>
      <c r="U711" s="5"/>
      <c r="V711" s="4"/>
      <c r="W711" s="4"/>
      <c r="X711" s="4"/>
      <c r="Y711" s="4"/>
    </row>
    <row r="712">
      <c r="A712" s="5"/>
      <c r="B712" s="9"/>
      <c r="C712" s="5"/>
      <c r="D712" s="9"/>
      <c r="E712" s="9"/>
      <c r="F712" s="9"/>
      <c r="G712" s="9"/>
      <c r="H712" s="9"/>
      <c r="I712" s="9"/>
      <c r="J712" s="5"/>
      <c r="K712" s="4"/>
      <c r="L712" s="10"/>
      <c r="M712" s="10"/>
      <c r="N712" s="10"/>
      <c r="O712" s="10"/>
      <c r="P712" s="10"/>
      <c r="Q712" s="11"/>
      <c r="R712" s="9"/>
      <c r="S712" s="12"/>
      <c r="T712" s="5"/>
      <c r="U712" s="5"/>
      <c r="V712" s="4"/>
      <c r="W712" s="4"/>
      <c r="X712" s="4"/>
      <c r="Y712" s="4"/>
    </row>
    <row r="713">
      <c r="A713" s="5"/>
      <c r="B713" s="9"/>
      <c r="C713" s="5"/>
      <c r="D713" s="9"/>
      <c r="E713" s="9"/>
      <c r="F713" s="9"/>
      <c r="G713" s="9"/>
      <c r="H713" s="9"/>
      <c r="I713" s="9"/>
      <c r="J713" s="5"/>
      <c r="K713" s="4"/>
      <c r="L713" s="10"/>
      <c r="M713" s="10"/>
      <c r="N713" s="10"/>
      <c r="O713" s="10"/>
      <c r="P713" s="10"/>
      <c r="Q713" s="11"/>
      <c r="R713" s="9"/>
      <c r="S713" s="12"/>
      <c r="T713" s="5"/>
      <c r="U713" s="5"/>
      <c r="V713" s="4"/>
      <c r="W713" s="4"/>
      <c r="X713" s="4"/>
      <c r="Y713" s="4"/>
    </row>
    <row r="714">
      <c r="A714" s="5"/>
      <c r="B714" s="9"/>
      <c r="C714" s="5"/>
      <c r="D714" s="9"/>
      <c r="E714" s="9"/>
      <c r="F714" s="9"/>
      <c r="G714" s="9"/>
      <c r="H714" s="9"/>
      <c r="I714" s="9"/>
      <c r="J714" s="5"/>
      <c r="K714" s="4"/>
      <c r="L714" s="10"/>
      <c r="M714" s="10"/>
      <c r="N714" s="10"/>
      <c r="O714" s="10"/>
      <c r="P714" s="10"/>
      <c r="Q714" s="11"/>
      <c r="R714" s="9"/>
      <c r="S714" s="12"/>
      <c r="T714" s="5"/>
      <c r="U714" s="5"/>
      <c r="V714" s="4"/>
      <c r="W714" s="4"/>
      <c r="X714" s="4"/>
      <c r="Y714" s="4"/>
    </row>
    <row r="715">
      <c r="A715" s="5"/>
      <c r="B715" s="9"/>
      <c r="C715" s="5"/>
      <c r="D715" s="9"/>
      <c r="E715" s="9"/>
      <c r="F715" s="9"/>
      <c r="G715" s="9"/>
      <c r="H715" s="9"/>
      <c r="I715" s="9"/>
      <c r="J715" s="5"/>
      <c r="K715" s="4"/>
      <c r="L715" s="10"/>
      <c r="M715" s="10"/>
      <c r="N715" s="10"/>
      <c r="O715" s="10"/>
      <c r="P715" s="10"/>
      <c r="Q715" s="11"/>
      <c r="R715" s="9"/>
      <c r="S715" s="12"/>
      <c r="T715" s="5"/>
      <c r="U715" s="5"/>
      <c r="V715" s="4"/>
      <c r="W715" s="4"/>
      <c r="X715" s="4"/>
      <c r="Y715" s="4"/>
    </row>
    <row r="716">
      <c r="A716" s="5"/>
      <c r="B716" s="9"/>
      <c r="C716" s="5"/>
      <c r="D716" s="9"/>
      <c r="E716" s="9"/>
      <c r="F716" s="9"/>
      <c r="G716" s="9"/>
      <c r="H716" s="9"/>
      <c r="I716" s="9"/>
      <c r="J716" s="5"/>
      <c r="K716" s="4"/>
      <c r="L716" s="10"/>
      <c r="M716" s="10"/>
      <c r="N716" s="10"/>
      <c r="O716" s="10"/>
      <c r="P716" s="10"/>
      <c r="Q716" s="11"/>
      <c r="R716" s="9"/>
      <c r="S716" s="12"/>
      <c r="T716" s="5"/>
      <c r="U716" s="5"/>
      <c r="V716" s="4"/>
      <c r="W716" s="4"/>
      <c r="X716" s="4"/>
      <c r="Y716" s="4"/>
    </row>
    <row r="717">
      <c r="A717" s="5"/>
      <c r="B717" s="9"/>
      <c r="C717" s="5"/>
      <c r="D717" s="9"/>
      <c r="E717" s="9"/>
      <c r="F717" s="9"/>
      <c r="G717" s="9"/>
      <c r="H717" s="9"/>
      <c r="I717" s="9"/>
      <c r="J717" s="5"/>
      <c r="K717" s="4"/>
      <c r="L717" s="10"/>
      <c r="M717" s="10"/>
      <c r="N717" s="10"/>
      <c r="O717" s="10"/>
      <c r="P717" s="10"/>
      <c r="Q717" s="11"/>
      <c r="R717" s="9"/>
      <c r="S717" s="12"/>
      <c r="T717" s="5"/>
      <c r="U717" s="5"/>
      <c r="V717" s="4"/>
      <c r="W717" s="4"/>
      <c r="X717" s="4"/>
      <c r="Y717" s="4"/>
    </row>
    <row r="718">
      <c r="A718" s="5"/>
      <c r="B718" s="9"/>
      <c r="C718" s="5"/>
      <c r="D718" s="9"/>
      <c r="E718" s="9"/>
      <c r="F718" s="9"/>
      <c r="G718" s="9"/>
      <c r="H718" s="9"/>
      <c r="I718" s="9"/>
      <c r="J718" s="5"/>
      <c r="K718" s="4"/>
      <c r="L718" s="10"/>
      <c r="M718" s="10"/>
      <c r="N718" s="10"/>
      <c r="O718" s="10"/>
      <c r="P718" s="10"/>
      <c r="Q718" s="11"/>
      <c r="R718" s="9"/>
      <c r="S718" s="12"/>
      <c r="T718" s="5"/>
      <c r="U718" s="5"/>
      <c r="V718" s="4"/>
      <c r="W718" s="4"/>
      <c r="X718" s="4"/>
      <c r="Y718" s="4"/>
    </row>
    <row r="719">
      <c r="A719" s="5"/>
      <c r="B719" s="9"/>
      <c r="C719" s="5"/>
      <c r="D719" s="9"/>
      <c r="E719" s="9"/>
      <c r="F719" s="9"/>
      <c r="G719" s="9"/>
      <c r="H719" s="9"/>
      <c r="I719" s="9"/>
      <c r="J719" s="5"/>
      <c r="K719" s="4"/>
      <c r="L719" s="10"/>
      <c r="M719" s="10"/>
      <c r="N719" s="10"/>
      <c r="O719" s="10"/>
      <c r="P719" s="10"/>
      <c r="Q719" s="11"/>
      <c r="R719" s="9"/>
      <c r="S719" s="12"/>
      <c r="T719" s="5"/>
      <c r="U719" s="5"/>
      <c r="V719" s="4"/>
      <c r="W719" s="4"/>
      <c r="X719" s="4"/>
      <c r="Y719" s="4"/>
    </row>
    <row r="720">
      <c r="A720" s="5"/>
      <c r="B720" s="9"/>
      <c r="C720" s="5"/>
      <c r="D720" s="9"/>
      <c r="E720" s="9"/>
      <c r="F720" s="9"/>
      <c r="G720" s="9"/>
      <c r="H720" s="9"/>
      <c r="I720" s="9"/>
      <c r="J720" s="5"/>
      <c r="K720" s="4"/>
      <c r="L720" s="10"/>
      <c r="M720" s="10"/>
      <c r="N720" s="10"/>
      <c r="O720" s="10"/>
      <c r="P720" s="10"/>
      <c r="Q720" s="11"/>
      <c r="R720" s="9"/>
      <c r="S720" s="12"/>
      <c r="T720" s="5"/>
      <c r="U720" s="5"/>
      <c r="V720" s="4"/>
      <c r="W720" s="4"/>
      <c r="X720" s="4"/>
      <c r="Y720" s="4"/>
    </row>
    <row r="721">
      <c r="A721" s="5"/>
      <c r="B721" s="9"/>
      <c r="C721" s="5"/>
      <c r="D721" s="9"/>
      <c r="E721" s="9"/>
      <c r="F721" s="9"/>
      <c r="G721" s="9"/>
      <c r="H721" s="9"/>
      <c r="I721" s="9"/>
      <c r="J721" s="5"/>
      <c r="K721" s="4"/>
      <c r="L721" s="10"/>
      <c r="M721" s="10"/>
      <c r="N721" s="10"/>
      <c r="O721" s="10"/>
      <c r="P721" s="10"/>
      <c r="Q721" s="11"/>
      <c r="R721" s="9"/>
      <c r="S721" s="12"/>
      <c r="T721" s="5"/>
      <c r="U721" s="5"/>
      <c r="V721" s="4"/>
      <c r="W721" s="4"/>
      <c r="X721" s="4"/>
      <c r="Y721" s="4"/>
    </row>
    <row r="722">
      <c r="A722" s="5"/>
      <c r="B722" s="9"/>
      <c r="C722" s="5"/>
      <c r="D722" s="9"/>
      <c r="E722" s="9"/>
      <c r="F722" s="9"/>
      <c r="G722" s="9"/>
      <c r="H722" s="9"/>
      <c r="I722" s="9"/>
      <c r="J722" s="5"/>
      <c r="K722" s="4"/>
      <c r="L722" s="10"/>
      <c r="M722" s="10"/>
      <c r="N722" s="10"/>
      <c r="O722" s="10"/>
      <c r="P722" s="10"/>
      <c r="Q722" s="11"/>
      <c r="R722" s="9"/>
      <c r="S722" s="12"/>
      <c r="T722" s="5"/>
      <c r="U722" s="5"/>
      <c r="V722" s="4"/>
      <c r="W722" s="4"/>
      <c r="X722" s="4"/>
      <c r="Y722" s="4"/>
    </row>
    <row r="723">
      <c r="A723" s="5"/>
      <c r="B723" s="9"/>
      <c r="C723" s="5"/>
      <c r="D723" s="9"/>
      <c r="E723" s="9"/>
      <c r="F723" s="9"/>
      <c r="G723" s="9"/>
      <c r="H723" s="9"/>
      <c r="I723" s="9"/>
      <c r="J723" s="5"/>
      <c r="K723" s="4"/>
      <c r="L723" s="10"/>
      <c r="M723" s="10"/>
      <c r="N723" s="10"/>
      <c r="O723" s="10"/>
      <c r="P723" s="10"/>
      <c r="Q723" s="11"/>
      <c r="R723" s="9"/>
      <c r="S723" s="12"/>
      <c r="T723" s="5"/>
      <c r="U723" s="5"/>
      <c r="V723" s="4"/>
      <c r="W723" s="4"/>
      <c r="X723" s="4"/>
      <c r="Y723" s="4"/>
    </row>
    <row r="724">
      <c r="A724" s="5"/>
      <c r="B724" s="9"/>
      <c r="C724" s="5"/>
      <c r="D724" s="9"/>
      <c r="E724" s="9"/>
      <c r="F724" s="9"/>
      <c r="G724" s="9"/>
      <c r="H724" s="9"/>
      <c r="I724" s="9"/>
      <c r="J724" s="5"/>
      <c r="K724" s="4"/>
      <c r="L724" s="10"/>
      <c r="M724" s="10"/>
      <c r="N724" s="10"/>
      <c r="O724" s="10"/>
      <c r="P724" s="10"/>
      <c r="Q724" s="11"/>
      <c r="R724" s="9"/>
      <c r="S724" s="12"/>
      <c r="T724" s="5"/>
      <c r="U724" s="5"/>
      <c r="V724" s="4"/>
      <c r="W724" s="4"/>
      <c r="X724" s="4"/>
      <c r="Y724" s="4"/>
    </row>
    <row r="725">
      <c r="A725" s="5"/>
      <c r="B725" s="9"/>
      <c r="C725" s="5"/>
      <c r="D725" s="9"/>
      <c r="E725" s="9"/>
      <c r="F725" s="9"/>
      <c r="G725" s="9"/>
      <c r="H725" s="9"/>
      <c r="I725" s="9"/>
      <c r="J725" s="5"/>
      <c r="K725" s="4"/>
      <c r="L725" s="10"/>
      <c r="M725" s="10"/>
      <c r="N725" s="10"/>
      <c r="O725" s="10"/>
      <c r="P725" s="10"/>
      <c r="Q725" s="11"/>
      <c r="R725" s="9"/>
      <c r="S725" s="12"/>
      <c r="T725" s="5"/>
      <c r="U725" s="5"/>
      <c r="V725" s="4"/>
      <c r="W725" s="4"/>
      <c r="X725" s="4"/>
      <c r="Y725" s="4"/>
    </row>
    <row r="726">
      <c r="A726" s="5"/>
      <c r="B726" s="9"/>
      <c r="C726" s="5"/>
      <c r="D726" s="9"/>
      <c r="E726" s="9"/>
      <c r="F726" s="9"/>
      <c r="G726" s="9"/>
      <c r="H726" s="9"/>
      <c r="I726" s="9"/>
      <c r="J726" s="5"/>
      <c r="K726" s="4"/>
      <c r="L726" s="10"/>
      <c r="M726" s="10"/>
      <c r="N726" s="10"/>
      <c r="O726" s="10"/>
      <c r="P726" s="10"/>
      <c r="Q726" s="11"/>
      <c r="R726" s="9"/>
      <c r="S726" s="12"/>
      <c r="T726" s="5"/>
      <c r="U726" s="5"/>
      <c r="V726" s="4"/>
      <c r="W726" s="4"/>
      <c r="X726" s="4"/>
      <c r="Y726" s="4"/>
    </row>
    <row r="727">
      <c r="A727" s="5"/>
      <c r="B727" s="9"/>
      <c r="C727" s="5"/>
      <c r="D727" s="9"/>
      <c r="E727" s="9"/>
      <c r="F727" s="9"/>
      <c r="G727" s="9"/>
      <c r="H727" s="9"/>
      <c r="I727" s="9"/>
      <c r="J727" s="5"/>
      <c r="K727" s="4"/>
      <c r="L727" s="10"/>
      <c r="M727" s="10"/>
      <c r="N727" s="10"/>
      <c r="O727" s="10"/>
      <c r="P727" s="10"/>
      <c r="Q727" s="11"/>
      <c r="R727" s="9"/>
      <c r="S727" s="12"/>
      <c r="T727" s="5"/>
      <c r="U727" s="5"/>
      <c r="V727" s="4"/>
      <c r="W727" s="4"/>
      <c r="X727" s="4"/>
      <c r="Y727" s="4"/>
    </row>
    <row r="728">
      <c r="A728" s="5"/>
      <c r="B728" s="9"/>
      <c r="C728" s="5"/>
      <c r="D728" s="9"/>
      <c r="E728" s="9"/>
      <c r="F728" s="9"/>
      <c r="G728" s="9"/>
      <c r="H728" s="9"/>
      <c r="I728" s="9"/>
      <c r="J728" s="5"/>
      <c r="K728" s="4"/>
      <c r="L728" s="10"/>
      <c r="M728" s="10"/>
      <c r="N728" s="10"/>
      <c r="O728" s="10"/>
      <c r="P728" s="10"/>
      <c r="Q728" s="11"/>
      <c r="R728" s="9"/>
      <c r="S728" s="12"/>
      <c r="T728" s="5"/>
      <c r="U728" s="5"/>
      <c r="V728" s="4"/>
      <c r="W728" s="4"/>
      <c r="X728" s="4"/>
      <c r="Y728" s="4"/>
    </row>
    <row r="729">
      <c r="A729" s="5"/>
      <c r="B729" s="9"/>
      <c r="C729" s="5"/>
      <c r="D729" s="9"/>
      <c r="E729" s="9"/>
      <c r="F729" s="9"/>
      <c r="G729" s="9"/>
      <c r="H729" s="9"/>
      <c r="I729" s="9"/>
      <c r="J729" s="5"/>
      <c r="K729" s="4"/>
      <c r="L729" s="10"/>
      <c r="M729" s="10"/>
      <c r="N729" s="10"/>
      <c r="O729" s="10"/>
      <c r="P729" s="10"/>
      <c r="Q729" s="11"/>
      <c r="R729" s="9"/>
      <c r="S729" s="12"/>
      <c r="T729" s="5"/>
      <c r="U729" s="5"/>
      <c r="V729" s="4"/>
      <c r="W729" s="4"/>
      <c r="X729" s="4"/>
      <c r="Y729" s="4"/>
    </row>
    <row r="730">
      <c r="A730" s="5"/>
      <c r="B730" s="9"/>
      <c r="C730" s="5"/>
      <c r="D730" s="9"/>
      <c r="E730" s="9"/>
      <c r="F730" s="9"/>
      <c r="G730" s="9"/>
      <c r="H730" s="9"/>
      <c r="I730" s="9"/>
      <c r="J730" s="5"/>
      <c r="K730" s="4"/>
      <c r="L730" s="10"/>
      <c r="M730" s="10"/>
      <c r="N730" s="10"/>
      <c r="O730" s="10"/>
      <c r="P730" s="10"/>
      <c r="Q730" s="11"/>
      <c r="R730" s="9"/>
      <c r="S730" s="12"/>
      <c r="T730" s="5"/>
      <c r="U730" s="5"/>
      <c r="V730" s="4"/>
      <c r="W730" s="4"/>
      <c r="X730" s="4"/>
      <c r="Y730" s="4"/>
    </row>
    <row r="731">
      <c r="A731" s="5"/>
      <c r="B731" s="9"/>
      <c r="C731" s="5"/>
      <c r="D731" s="9"/>
      <c r="E731" s="9"/>
      <c r="F731" s="9"/>
      <c r="G731" s="9"/>
      <c r="H731" s="9"/>
      <c r="I731" s="9"/>
      <c r="J731" s="5"/>
      <c r="K731" s="4"/>
      <c r="L731" s="10"/>
      <c r="M731" s="10"/>
      <c r="N731" s="10"/>
      <c r="O731" s="10"/>
      <c r="P731" s="10"/>
      <c r="Q731" s="11"/>
      <c r="R731" s="9"/>
      <c r="S731" s="12"/>
      <c r="T731" s="5"/>
      <c r="U731" s="5"/>
      <c r="V731" s="4"/>
      <c r="W731" s="4"/>
      <c r="X731" s="4"/>
      <c r="Y731" s="4"/>
    </row>
    <row r="732">
      <c r="A732" s="5"/>
      <c r="B732" s="9"/>
      <c r="C732" s="5"/>
      <c r="D732" s="9"/>
      <c r="E732" s="9"/>
      <c r="F732" s="9"/>
      <c r="G732" s="9"/>
      <c r="H732" s="9"/>
      <c r="I732" s="9"/>
      <c r="J732" s="5"/>
      <c r="K732" s="4"/>
      <c r="L732" s="10"/>
      <c r="M732" s="10"/>
      <c r="N732" s="10"/>
      <c r="O732" s="10"/>
      <c r="P732" s="10"/>
      <c r="Q732" s="11"/>
      <c r="R732" s="9"/>
      <c r="S732" s="12"/>
      <c r="T732" s="5"/>
      <c r="U732" s="5"/>
      <c r="V732" s="4"/>
      <c r="W732" s="4"/>
      <c r="X732" s="4"/>
      <c r="Y732" s="4"/>
    </row>
    <row r="733">
      <c r="A733" s="5"/>
      <c r="B733" s="9"/>
      <c r="C733" s="5"/>
      <c r="D733" s="9"/>
      <c r="E733" s="9"/>
      <c r="F733" s="9"/>
      <c r="G733" s="9"/>
      <c r="H733" s="9"/>
      <c r="I733" s="9"/>
      <c r="J733" s="5"/>
      <c r="K733" s="4"/>
      <c r="L733" s="10"/>
      <c r="M733" s="10"/>
      <c r="N733" s="10"/>
      <c r="O733" s="10"/>
      <c r="P733" s="10"/>
      <c r="Q733" s="11"/>
      <c r="R733" s="9"/>
      <c r="S733" s="12"/>
      <c r="T733" s="5"/>
      <c r="U733" s="5"/>
      <c r="V733" s="4"/>
      <c r="W733" s="4"/>
      <c r="X733" s="4"/>
      <c r="Y733" s="4"/>
    </row>
    <row r="734">
      <c r="A734" s="5"/>
      <c r="B734" s="9"/>
      <c r="C734" s="5"/>
      <c r="D734" s="9"/>
      <c r="E734" s="9"/>
      <c r="F734" s="9"/>
      <c r="G734" s="9"/>
      <c r="H734" s="9"/>
      <c r="I734" s="9"/>
      <c r="J734" s="5"/>
      <c r="K734" s="4"/>
      <c r="L734" s="10"/>
      <c r="M734" s="10"/>
      <c r="N734" s="10"/>
      <c r="O734" s="10"/>
      <c r="P734" s="10"/>
      <c r="Q734" s="11"/>
      <c r="R734" s="9"/>
      <c r="S734" s="12"/>
      <c r="T734" s="5"/>
      <c r="U734" s="5"/>
      <c r="V734" s="4"/>
      <c r="W734" s="4"/>
      <c r="X734" s="4"/>
      <c r="Y734" s="4"/>
    </row>
    <row r="735">
      <c r="A735" s="5"/>
      <c r="B735" s="9"/>
      <c r="C735" s="5"/>
      <c r="D735" s="9"/>
      <c r="E735" s="9"/>
      <c r="F735" s="9"/>
      <c r="G735" s="9"/>
      <c r="H735" s="9"/>
      <c r="I735" s="9"/>
      <c r="J735" s="5"/>
      <c r="K735" s="4"/>
      <c r="L735" s="10"/>
      <c r="M735" s="10"/>
      <c r="N735" s="10"/>
      <c r="O735" s="10"/>
      <c r="P735" s="10"/>
      <c r="Q735" s="11"/>
      <c r="R735" s="9"/>
      <c r="S735" s="12"/>
      <c r="T735" s="5"/>
      <c r="U735" s="5"/>
      <c r="V735" s="4"/>
      <c r="W735" s="4"/>
      <c r="X735" s="4"/>
      <c r="Y735" s="4"/>
    </row>
    <row r="736">
      <c r="A736" s="5"/>
      <c r="B736" s="9"/>
      <c r="C736" s="5"/>
      <c r="D736" s="9"/>
      <c r="E736" s="9"/>
      <c r="F736" s="9"/>
      <c r="G736" s="9"/>
      <c r="H736" s="9"/>
      <c r="I736" s="9"/>
      <c r="J736" s="5"/>
      <c r="K736" s="4"/>
      <c r="L736" s="10"/>
      <c r="M736" s="10"/>
      <c r="N736" s="10"/>
      <c r="O736" s="10"/>
      <c r="P736" s="10"/>
      <c r="Q736" s="11"/>
      <c r="R736" s="9"/>
      <c r="S736" s="12"/>
      <c r="T736" s="5"/>
      <c r="U736" s="5"/>
      <c r="V736" s="4"/>
      <c r="W736" s="4"/>
      <c r="X736" s="4"/>
      <c r="Y736" s="4"/>
    </row>
    <row r="737">
      <c r="A737" s="5"/>
      <c r="B737" s="9"/>
      <c r="C737" s="5"/>
      <c r="D737" s="9"/>
      <c r="E737" s="9"/>
      <c r="F737" s="9"/>
      <c r="G737" s="9"/>
      <c r="H737" s="9"/>
      <c r="I737" s="9"/>
      <c r="J737" s="5"/>
      <c r="K737" s="4"/>
      <c r="L737" s="10"/>
      <c r="M737" s="10"/>
      <c r="N737" s="10"/>
      <c r="O737" s="10"/>
      <c r="P737" s="10"/>
      <c r="Q737" s="11"/>
      <c r="R737" s="9"/>
      <c r="S737" s="12"/>
      <c r="T737" s="5"/>
      <c r="U737" s="5"/>
      <c r="V737" s="4"/>
      <c r="W737" s="4"/>
      <c r="X737" s="4"/>
      <c r="Y737" s="4"/>
    </row>
    <row r="738">
      <c r="A738" s="5"/>
      <c r="B738" s="9"/>
      <c r="C738" s="5"/>
      <c r="D738" s="9"/>
      <c r="E738" s="9"/>
      <c r="F738" s="9"/>
      <c r="G738" s="9"/>
      <c r="H738" s="9"/>
      <c r="I738" s="9"/>
      <c r="J738" s="5"/>
      <c r="K738" s="4"/>
      <c r="L738" s="10"/>
      <c r="M738" s="10"/>
      <c r="N738" s="10"/>
      <c r="O738" s="10"/>
      <c r="P738" s="10"/>
      <c r="Q738" s="11"/>
      <c r="R738" s="9"/>
      <c r="S738" s="12"/>
      <c r="T738" s="5"/>
      <c r="U738" s="5"/>
      <c r="V738" s="4"/>
      <c r="W738" s="4"/>
      <c r="X738" s="4"/>
      <c r="Y738" s="4"/>
    </row>
    <row r="739">
      <c r="A739" s="5"/>
      <c r="B739" s="9"/>
      <c r="C739" s="5"/>
      <c r="D739" s="9"/>
      <c r="E739" s="9"/>
      <c r="F739" s="9"/>
      <c r="G739" s="9"/>
      <c r="H739" s="9"/>
      <c r="I739" s="9"/>
      <c r="J739" s="5"/>
      <c r="K739" s="4"/>
      <c r="L739" s="10"/>
      <c r="M739" s="10"/>
      <c r="N739" s="10"/>
      <c r="O739" s="10"/>
      <c r="P739" s="10"/>
      <c r="Q739" s="11"/>
      <c r="R739" s="9"/>
      <c r="S739" s="12"/>
      <c r="T739" s="5"/>
      <c r="U739" s="5"/>
      <c r="V739" s="4"/>
      <c r="W739" s="4"/>
      <c r="X739" s="4"/>
      <c r="Y739" s="4"/>
    </row>
    <row r="740">
      <c r="A740" s="5"/>
      <c r="B740" s="9"/>
      <c r="C740" s="5"/>
      <c r="D740" s="9"/>
      <c r="E740" s="9"/>
      <c r="F740" s="9"/>
      <c r="G740" s="9"/>
      <c r="H740" s="9"/>
      <c r="I740" s="9"/>
      <c r="J740" s="5"/>
      <c r="K740" s="4"/>
      <c r="L740" s="10"/>
      <c r="M740" s="10"/>
      <c r="N740" s="10"/>
      <c r="O740" s="10"/>
      <c r="P740" s="10"/>
      <c r="Q740" s="11"/>
      <c r="R740" s="9"/>
      <c r="S740" s="12"/>
      <c r="T740" s="5"/>
      <c r="U740" s="5"/>
      <c r="V740" s="4"/>
      <c r="W740" s="4"/>
      <c r="X740" s="4"/>
      <c r="Y740" s="4"/>
    </row>
    <row r="741">
      <c r="A741" s="5"/>
      <c r="B741" s="9"/>
      <c r="C741" s="5"/>
      <c r="D741" s="9"/>
      <c r="E741" s="9"/>
      <c r="F741" s="9"/>
      <c r="G741" s="9"/>
      <c r="H741" s="9"/>
      <c r="I741" s="9"/>
      <c r="J741" s="5"/>
      <c r="K741" s="4"/>
      <c r="L741" s="10"/>
      <c r="M741" s="10"/>
      <c r="N741" s="10"/>
      <c r="O741" s="10"/>
      <c r="P741" s="10"/>
      <c r="Q741" s="11"/>
      <c r="R741" s="9"/>
      <c r="S741" s="12"/>
      <c r="T741" s="5"/>
      <c r="U741" s="5"/>
      <c r="V741" s="4"/>
      <c r="W741" s="4"/>
      <c r="X741" s="4"/>
      <c r="Y741" s="4"/>
    </row>
    <row r="742">
      <c r="A742" s="5"/>
      <c r="B742" s="9"/>
      <c r="C742" s="5"/>
      <c r="D742" s="9"/>
      <c r="E742" s="9"/>
      <c r="F742" s="9"/>
      <c r="G742" s="9"/>
      <c r="H742" s="9"/>
      <c r="I742" s="9"/>
      <c r="J742" s="5"/>
      <c r="K742" s="4"/>
      <c r="L742" s="10"/>
      <c r="M742" s="10"/>
      <c r="N742" s="10"/>
      <c r="O742" s="10"/>
      <c r="P742" s="10"/>
      <c r="Q742" s="11"/>
      <c r="R742" s="9"/>
      <c r="S742" s="12"/>
      <c r="T742" s="5"/>
      <c r="U742" s="5"/>
      <c r="V742" s="4"/>
      <c r="W742" s="4"/>
      <c r="X742" s="4"/>
      <c r="Y742" s="4"/>
    </row>
    <row r="743">
      <c r="A743" s="5"/>
      <c r="B743" s="9"/>
      <c r="C743" s="5"/>
      <c r="D743" s="9"/>
      <c r="E743" s="9"/>
      <c r="F743" s="9"/>
      <c r="G743" s="9"/>
      <c r="H743" s="9"/>
      <c r="I743" s="9"/>
      <c r="J743" s="5"/>
      <c r="K743" s="4"/>
      <c r="L743" s="10"/>
      <c r="M743" s="10"/>
      <c r="N743" s="10"/>
      <c r="O743" s="10"/>
      <c r="P743" s="10"/>
      <c r="Q743" s="11"/>
      <c r="R743" s="9"/>
      <c r="S743" s="12"/>
      <c r="T743" s="5"/>
      <c r="U743" s="5"/>
      <c r="V743" s="4"/>
      <c r="W743" s="4"/>
      <c r="X743" s="4"/>
      <c r="Y743" s="4"/>
    </row>
    <row r="744">
      <c r="A744" s="5"/>
      <c r="B744" s="9"/>
      <c r="C744" s="5"/>
      <c r="D744" s="9"/>
      <c r="E744" s="9"/>
      <c r="F744" s="9"/>
      <c r="G744" s="9"/>
      <c r="H744" s="9"/>
      <c r="I744" s="9"/>
      <c r="J744" s="5"/>
      <c r="K744" s="4"/>
      <c r="L744" s="10"/>
      <c r="M744" s="10"/>
      <c r="N744" s="10"/>
      <c r="O744" s="10"/>
      <c r="P744" s="10"/>
      <c r="Q744" s="11"/>
      <c r="R744" s="9"/>
      <c r="S744" s="12"/>
      <c r="T744" s="5"/>
      <c r="U744" s="5"/>
      <c r="V744" s="4"/>
      <c r="W744" s="4"/>
      <c r="X744" s="4"/>
      <c r="Y744" s="4"/>
    </row>
    <row r="745">
      <c r="A745" s="5"/>
      <c r="B745" s="9"/>
      <c r="C745" s="5"/>
      <c r="D745" s="9"/>
      <c r="E745" s="9"/>
      <c r="F745" s="9"/>
      <c r="G745" s="9"/>
      <c r="H745" s="9"/>
      <c r="I745" s="9"/>
      <c r="J745" s="5"/>
      <c r="K745" s="4"/>
      <c r="L745" s="10"/>
      <c r="M745" s="10"/>
      <c r="N745" s="10"/>
      <c r="O745" s="10"/>
      <c r="P745" s="10"/>
      <c r="Q745" s="11"/>
      <c r="R745" s="9"/>
      <c r="S745" s="12"/>
      <c r="T745" s="5"/>
      <c r="U745" s="5"/>
      <c r="V745" s="4"/>
      <c r="W745" s="4"/>
      <c r="X745" s="4"/>
      <c r="Y745" s="4"/>
    </row>
    <row r="746">
      <c r="A746" s="5"/>
      <c r="B746" s="9"/>
      <c r="C746" s="5"/>
      <c r="D746" s="9"/>
      <c r="E746" s="9"/>
      <c r="F746" s="9"/>
      <c r="G746" s="9"/>
      <c r="H746" s="9"/>
      <c r="I746" s="9"/>
      <c r="J746" s="5"/>
      <c r="K746" s="4"/>
      <c r="L746" s="10"/>
      <c r="M746" s="10"/>
      <c r="N746" s="10"/>
      <c r="O746" s="10"/>
      <c r="P746" s="10"/>
      <c r="Q746" s="11"/>
      <c r="R746" s="9"/>
      <c r="S746" s="12"/>
      <c r="T746" s="5"/>
      <c r="U746" s="5"/>
      <c r="V746" s="4"/>
      <c r="W746" s="4"/>
      <c r="X746" s="4"/>
      <c r="Y746" s="4"/>
    </row>
    <row r="747">
      <c r="A747" s="5"/>
      <c r="B747" s="9"/>
      <c r="C747" s="5"/>
      <c r="D747" s="9"/>
      <c r="E747" s="9"/>
      <c r="F747" s="9"/>
      <c r="G747" s="9"/>
      <c r="H747" s="9"/>
      <c r="I747" s="9"/>
      <c r="J747" s="5"/>
      <c r="K747" s="4"/>
      <c r="L747" s="10"/>
      <c r="M747" s="10"/>
      <c r="N747" s="10"/>
      <c r="O747" s="10"/>
      <c r="P747" s="10"/>
      <c r="Q747" s="11"/>
      <c r="R747" s="9"/>
      <c r="S747" s="12"/>
      <c r="T747" s="5"/>
      <c r="U747" s="5"/>
      <c r="V747" s="4"/>
      <c r="W747" s="4"/>
      <c r="X747" s="4"/>
      <c r="Y747" s="4"/>
    </row>
    <row r="748">
      <c r="A748" s="5"/>
      <c r="B748" s="9"/>
      <c r="C748" s="5"/>
      <c r="D748" s="9"/>
      <c r="E748" s="9"/>
      <c r="F748" s="9"/>
      <c r="G748" s="9"/>
      <c r="H748" s="9"/>
      <c r="I748" s="9"/>
      <c r="J748" s="5"/>
      <c r="K748" s="4"/>
      <c r="L748" s="10"/>
      <c r="M748" s="10"/>
      <c r="N748" s="10"/>
      <c r="O748" s="10"/>
      <c r="P748" s="10"/>
      <c r="Q748" s="11"/>
      <c r="R748" s="9"/>
      <c r="S748" s="12"/>
      <c r="T748" s="5"/>
      <c r="U748" s="5"/>
      <c r="V748" s="4"/>
      <c r="W748" s="4"/>
      <c r="X748" s="4"/>
      <c r="Y748" s="4"/>
    </row>
    <row r="749">
      <c r="A749" s="5"/>
      <c r="B749" s="9"/>
      <c r="C749" s="5"/>
      <c r="D749" s="9"/>
      <c r="E749" s="9"/>
      <c r="F749" s="9"/>
      <c r="G749" s="9"/>
      <c r="H749" s="9"/>
      <c r="I749" s="9"/>
      <c r="J749" s="5"/>
      <c r="K749" s="4"/>
      <c r="L749" s="10"/>
      <c r="M749" s="10"/>
      <c r="N749" s="10"/>
      <c r="O749" s="10"/>
      <c r="P749" s="10"/>
      <c r="Q749" s="11"/>
      <c r="R749" s="9"/>
      <c r="S749" s="12"/>
      <c r="T749" s="5"/>
      <c r="U749" s="5"/>
      <c r="V749" s="4"/>
      <c r="W749" s="4"/>
      <c r="X749" s="4"/>
      <c r="Y749" s="4"/>
    </row>
    <row r="750">
      <c r="A750" s="5"/>
      <c r="B750" s="9"/>
      <c r="C750" s="5"/>
      <c r="D750" s="9"/>
      <c r="E750" s="9"/>
      <c r="F750" s="9"/>
      <c r="G750" s="9"/>
      <c r="H750" s="9"/>
      <c r="I750" s="9"/>
      <c r="J750" s="5"/>
      <c r="K750" s="4"/>
      <c r="L750" s="10"/>
      <c r="M750" s="10"/>
      <c r="N750" s="10"/>
      <c r="O750" s="10"/>
      <c r="P750" s="10"/>
      <c r="Q750" s="11"/>
      <c r="R750" s="9"/>
      <c r="S750" s="12"/>
      <c r="T750" s="5"/>
      <c r="U750" s="5"/>
      <c r="V750" s="4"/>
      <c r="W750" s="4"/>
      <c r="X750" s="4"/>
      <c r="Y750" s="4"/>
    </row>
    <row r="751">
      <c r="A751" s="5"/>
      <c r="B751" s="9"/>
      <c r="C751" s="5"/>
      <c r="D751" s="9"/>
      <c r="E751" s="9"/>
      <c r="F751" s="9"/>
      <c r="G751" s="9"/>
      <c r="H751" s="9"/>
      <c r="I751" s="9"/>
      <c r="J751" s="5"/>
      <c r="K751" s="4"/>
      <c r="L751" s="10"/>
      <c r="M751" s="10"/>
      <c r="N751" s="10"/>
      <c r="O751" s="10"/>
      <c r="P751" s="10"/>
      <c r="Q751" s="11"/>
      <c r="R751" s="9"/>
      <c r="S751" s="12"/>
      <c r="T751" s="5"/>
      <c r="U751" s="5"/>
      <c r="V751" s="4"/>
      <c r="W751" s="4"/>
      <c r="X751" s="4"/>
      <c r="Y751" s="4"/>
    </row>
    <row r="752">
      <c r="A752" s="5"/>
      <c r="B752" s="9"/>
      <c r="C752" s="5"/>
      <c r="D752" s="9"/>
      <c r="E752" s="9"/>
      <c r="F752" s="9"/>
      <c r="G752" s="9"/>
      <c r="H752" s="9"/>
      <c r="I752" s="9"/>
      <c r="J752" s="5"/>
      <c r="K752" s="4"/>
      <c r="L752" s="10"/>
      <c r="M752" s="10"/>
      <c r="N752" s="10"/>
      <c r="O752" s="10"/>
      <c r="P752" s="10"/>
      <c r="Q752" s="11"/>
      <c r="R752" s="9"/>
      <c r="S752" s="12"/>
      <c r="T752" s="5"/>
      <c r="U752" s="5"/>
      <c r="V752" s="4"/>
      <c r="W752" s="4"/>
      <c r="X752" s="4"/>
      <c r="Y752" s="4"/>
    </row>
    <row r="753">
      <c r="A753" s="5"/>
      <c r="B753" s="9"/>
      <c r="C753" s="5"/>
      <c r="D753" s="9"/>
      <c r="E753" s="9"/>
      <c r="F753" s="9"/>
      <c r="G753" s="9"/>
      <c r="H753" s="9"/>
      <c r="I753" s="9"/>
      <c r="J753" s="5"/>
      <c r="K753" s="4"/>
      <c r="L753" s="10"/>
      <c r="M753" s="10"/>
      <c r="N753" s="10"/>
      <c r="O753" s="10"/>
      <c r="P753" s="10"/>
      <c r="Q753" s="11"/>
      <c r="R753" s="9"/>
      <c r="S753" s="12"/>
      <c r="T753" s="5"/>
      <c r="U753" s="5"/>
      <c r="V753" s="4"/>
      <c r="W753" s="4"/>
      <c r="X753" s="4"/>
      <c r="Y753" s="4"/>
    </row>
    <row r="754">
      <c r="A754" s="5"/>
      <c r="B754" s="9"/>
      <c r="C754" s="5"/>
      <c r="D754" s="9"/>
      <c r="E754" s="9"/>
      <c r="F754" s="9"/>
      <c r="G754" s="9"/>
      <c r="H754" s="9"/>
      <c r="I754" s="9"/>
      <c r="J754" s="5"/>
      <c r="K754" s="4"/>
      <c r="L754" s="10"/>
      <c r="M754" s="10"/>
      <c r="N754" s="10"/>
      <c r="O754" s="10"/>
      <c r="P754" s="10"/>
      <c r="Q754" s="11"/>
      <c r="R754" s="9"/>
      <c r="S754" s="12"/>
      <c r="T754" s="5"/>
      <c r="U754" s="5"/>
      <c r="V754" s="4"/>
      <c r="W754" s="4"/>
      <c r="X754" s="4"/>
      <c r="Y754" s="4"/>
    </row>
    <row r="755">
      <c r="A755" s="5"/>
      <c r="B755" s="9"/>
      <c r="C755" s="5"/>
      <c r="D755" s="9"/>
      <c r="E755" s="9"/>
      <c r="F755" s="9"/>
      <c r="G755" s="9"/>
      <c r="H755" s="9"/>
      <c r="I755" s="9"/>
      <c r="J755" s="5"/>
      <c r="K755" s="4"/>
      <c r="L755" s="10"/>
      <c r="M755" s="10"/>
      <c r="N755" s="10"/>
      <c r="O755" s="10"/>
      <c r="P755" s="10"/>
      <c r="Q755" s="11"/>
      <c r="R755" s="9"/>
      <c r="S755" s="12"/>
      <c r="T755" s="5"/>
      <c r="U755" s="5"/>
      <c r="V755" s="4"/>
      <c r="W755" s="4"/>
      <c r="X755" s="4"/>
      <c r="Y755" s="4"/>
    </row>
    <row r="756">
      <c r="A756" s="5"/>
      <c r="B756" s="9"/>
      <c r="C756" s="5"/>
      <c r="D756" s="9"/>
      <c r="E756" s="9"/>
      <c r="F756" s="9"/>
      <c r="G756" s="9"/>
      <c r="H756" s="9"/>
      <c r="I756" s="9"/>
      <c r="J756" s="5"/>
      <c r="K756" s="4"/>
      <c r="L756" s="10"/>
      <c r="M756" s="10"/>
      <c r="N756" s="10"/>
      <c r="O756" s="10"/>
      <c r="P756" s="10"/>
      <c r="Q756" s="11"/>
      <c r="R756" s="9"/>
      <c r="S756" s="12"/>
      <c r="T756" s="5"/>
      <c r="U756" s="5"/>
      <c r="V756" s="4"/>
      <c r="W756" s="4"/>
      <c r="X756" s="4"/>
      <c r="Y756" s="4"/>
    </row>
    <row r="757">
      <c r="A757" s="5"/>
      <c r="B757" s="9"/>
      <c r="C757" s="5"/>
      <c r="D757" s="9"/>
      <c r="E757" s="9"/>
      <c r="F757" s="9"/>
      <c r="G757" s="9"/>
      <c r="H757" s="9"/>
      <c r="I757" s="9"/>
      <c r="J757" s="5"/>
      <c r="K757" s="4"/>
      <c r="L757" s="10"/>
      <c r="M757" s="10"/>
      <c r="N757" s="10"/>
      <c r="O757" s="10"/>
      <c r="P757" s="10"/>
      <c r="Q757" s="11"/>
      <c r="R757" s="9"/>
      <c r="S757" s="12"/>
      <c r="T757" s="5"/>
      <c r="U757" s="5"/>
      <c r="V757" s="4"/>
      <c r="W757" s="4"/>
      <c r="X757" s="4"/>
      <c r="Y757" s="4"/>
    </row>
    <row r="758">
      <c r="A758" s="5"/>
      <c r="B758" s="9"/>
      <c r="C758" s="5"/>
      <c r="D758" s="9"/>
      <c r="E758" s="9"/>
      <c r="F758" s="9"/>
      <c r="G758" s="9"/>
      <c r="H758" s="9"/>
      <c r="I758" s="9"/>
      <c r="J758" s="5"/>
      <c r="K758" s="4"/>
      <c r="L758" s="10"/>
      <c r="M758" s="10"/>
      <c r="N758" s="10"/>
      <c r="O758" s="10"/>
      <c r="P758" s="10"/>
      <c r="Q758" s="11"/>
      <c r="R758" s="9"/>
      <c r="S758" s="12"/>
      <c r="T758" s="5"/>
      <c r="U758" s="5"/>
      <c r="V758" s="4"/>
      <c r="W758" s="4"/>
      <c r="X758" s="4"/>
      <c r="Y758" s="4"/>
    </row>
    <row r="759">
      <c r="A759" s="5"/>
      <c r="B759" s="9"/>
      <c r="C759" s="5"/>
      <c r="D759" s="9"/>
      <c r="E759" s="9"/>
      <c r="F759" s="9"/>
      <c r="G759" s="9"/>
      <c r="H759" s="9"/>
      <c r="I759" s="9"/>
      <c r="J759" s="5"/>
      <c r="K759" s="4"/>
      <c r="L759" s="10"/>
      <c r="M759" s="10"/>
      <c r="N759" s="10"/>
      <c r="O759" s="10"/>
      <c r="P759" s="10"/>
      <c r="Q759" s="11"/>
      <c r="R759" s="9"/>
      <c r="S759" s="12"/>
      <c r="T759" s="5"/>
      <c r="U759" s="5"/>
      <c r="V759" s="4"/>
      <c r="W759" s="4"/>
      <c r="X759" s="4"/>
      <c r="Y759" s="4"/>
    </row>
    <row r="760">
      <c r="A760" s="5"/>
      <c r="B760" s="9"/>
      <c r="C760" s="5"/>
      <c r="D760" s="9"/>
      <c r="E760" s="9"/>
      <c r="F760" s="9"/>
      <c r="G760" s="9"/>
      <c r="H760" s="9"/>
      <c r="I760" s="9"/>
      <c r="J760" s="5"/>
      <c r="K760" s="4"/>
      <c r="L760" s="10"/>
      <c r="M760" s="10"/>
      <c r="N760" s="10"/>
      <c r="O760" s="10"/>
      <c r="P760" s="10"/>
      <c r="Q760" s="11"/>
      <c r="R760" s="9"/>
      <c r="S760" s="12"/>
      <c r="T760" s="5"/>
      <c r="U760" s="5"/>
      <c r="V760" s="4"/>
      <c r="W760" s="4"/>
      <c r="X760" s="4"/>
      <c r="Y760" s="4"/>
    </row>
    <row r="761">
      <c r="A761" s="5"/>
      <c r="B761" s="9"/>
      <c r="C761" s="5"/>
      <c r="D761" s="9"/>
      <c r="E761" s="9"/>
      <c r="F761" s="9"/>
      <c r="G761" s="9"/>
      <c r="H761" s="9"/>
      <c r="I761" s="9"/>
      <c r="J761" s="5"/>
      <c r="K761" s="4"/>
      <c r="L761" s="10"/>
      <c r="M761" s="10"/>
      <c r="N761" s="10"/>
      <c r="O761" s="10"/>
      <c r="P761" s="10"/>
      <c r="Q761" s="11"/>
      <c r="R761" s="9"/>
      <c r="S761" s="12"/>
      <c r="T761" s="5"/>
      <c r="U761" s="5"/>
      <c r="V761" s="4"/>
      <c r="W761" s="4"/>
      <c r="X761" s="4"/>
      <c r="Y761" s="4"/>
    </row>
    <row r="762">
      <c r="A762" s="5"/>
      <c r="B762" s="9"/>
      <c r="C762" s="5"/>
      <c r="D762" s="9"/>
      <c r="E762" s="9"/>
      <c r="F762" s="9"/>
      <c r="G762" s="9"/>
      <c r="H762" s="9"/>
      <c r="I762" s="9"/>
      <c r="J762" s="5"/>
      <c r="K762" s="4"/>
      <c r="L762" s="10"/>
      <c r="M762" s="10"/>
      <c r="N762" s="10"/>
      <c r="O762" s="10"/>
      <c r="P762" s="10"/>
      <c r="Q762" s="11"/>
      <c r="R762" s="9"/>
      <c r="S762" s="12"/>
      <c r="T762" s="5"/>
      <c r="U762" s="5"/>
      <c r="V762" s="4"/>
      <c r="W762" s="4"/>
      <c r="X762" s="4"/>
      <c r="Y762" s="4"/>
    </row>
    <row r="763">
      <c r="A763" s="5"/>
      <c r="B763" s="9"/>
      <c r="C763" s="5"/>
      <c r="D763" s="9"/>
      <c r="E763" s="9"/>
      <c r="F763" s="9"/>
      <c r="G763" s="9"/>
      <c r="H763" s="9"/>
      <c r="I763" s="9"/>
      <c r="J763" s="5"/>
      <c r="K763" s="4"/>
      <c r="L763" s="10"/>
      <c r="M763" s="10"/>
      <c r="N763" s="10"/>
      <c r="O763" s="10"/>
      <c r="P763" s="10"/>
      <c r="Q763" s="11"/>
      <c r="R763" s="9"/>
      <c r="S763" s="12"/>
      <c r="T763" s="5"/>
      <c r="U763" s="5"/>
      <c r="V763" s="4"/>
      <c r="W763" s="4"/>
      <c r="X763" s="4"/>
      <c r="Y763" s="4"/>
    </row>
    <row r="764">
      <c r="A764" s="5"/>
      <c r="B764" s="9"/>
      <c r="C764" s="5"/>
      <c r="D764" s="9"/>
      <c r="E764" s="9"/>
      <c r="F764" s="9"/>
      <c r="G764" s="9"/>
      <c r="H764" s="9"/>
      <c r="I764" s="9"/>
      <c r="J764" s="5"/>
      <c r="K764" s="4"/>
      <c r="L764" s="10"/>
      <c r="M764" s="10"/>
      <c r="N764" s="10"/>
      <c r="O764" s="10"/>
      <c r="P764" s="10"/>
      <c r="Q764" s="11"/>
      <c r="R764" s="9"/>
      <c r="S764" s="12"/>
      <c r="T764" s="5"/>
      <c r="U764" s="5"/>
      <c r="V764" s="4"/>
      <c r="W764" s="4"/>
      <c r="X764" s="4"/>
      <c r="Y764" s="4"/>
    </row>
    <row r="765">
      <c r="A765" s="5"/>
      <c r="B765" s="9"/>
      <c r="C765" s="5"/>
      <c r="D765" s="9"/>
      <c r="E765" s="9"/>
      <c r="F765" s="9"/>
      <c r="G765" s="9"/>
      <c r="H765" s="9"/>
      <c r="I765" s="9"/>
      <c r="J765" s="5"/>
      <c r="K765" s="4"/>
      <c r="L765" s="10"/>
      <c r="M765" s="10"/>
      <c r="N765" s="10"/>
      <c r="O765" s="10"/>
      <c r="P765" s="10"/>
      <c r="Q765" s="11"/>
      <c r="R765" s="9"/>
      <c r="S765" s="12"/>
      <c r="T765" s="5"/>
      <c r="U765" s="5"/>
      <c r="V765" s="4"/>
      <c r="W765" s="4"/>
      <c r="X765" s="4"/>
      <c r="Y765" s="4"/>
    </row>
    <row r="766">
      <c r="A766" s="5"/>
      <c r="B766" s="9"/>
      <c r="C766" s="5"/>
      <c r="D766" s="9"/>
      <c r="E766" s="9"/>
      <c r="F766" s="9"/>
      <c r="G766" s="9"/>
      <c r="H766" s="9"/>
      <c r="I766" s="9"/>
      <c r="J766" s="5"/>
      <c r="K766" s="4"/>
      <c r="L766" s="10"/>
      <c r="M766" s="10"/>
      <c r="N766" s="10"/>
      <c r="O766" s="10"/>
      <c r="P766" s="10"/>
      <c r="Q766" s="11"/>
      <c r="R766" s="9"/>
      <c r="S766" s="12"/>
      <c r="T766" s="5"/>
      <c r="U766" s="5"/>
      <c r="V766" s="4"/>
      <c r="W766" s="4"/>
      <c r="X766" s="4"/>
      <c r="Y766" s="4"/>
    </row>
    <row r="767">
      <c r="A767" s="5"/>
      <c r="B767" s="9"/>
      <c r="C767" s="5"/>
      <c r="D767" s="9"/>
      <c r="E767" s="9"/>
      <c r="F767" s="9"/>
      <c r="G767" s="9"/>
      <c r="H767" s="9"/>
      <c r="I767" s="9"/>
      <c r="J767" s="5"/>
      <c r="K767" s="4"/>
      <c r="L767" s="10"/>
      <c r="M767" s="10"/>
      <c r="N767" s="10"/>
      <c r="O767" s="10"/>
      <c r="P767" s="10"/>
      <c r="Q767" s="11"/>
      <c r="R767" s="9"/>
      <c r="S767" s="12"/>
      <c r="T767" s="5"/>
      <c r="U767" s="5"/>
      <c r="V767" s="4"/>
      <c r="W767" s="4"/>
      <c r="X767" s="4"/>
      <c r="Y767" s="4"/>
    </row>
    <row r="768">
      <c r="A768" s="5"/>
      <c r="B768" s="9"/>
      <c r="C768" s="5"/>
      <c r="D768" s="9"/>
      <c r="E768" s="9"/>
      <c r="F768" s="9"/>
      <c r="G768" s="9"/>
      <c r="H768" s="9"/>
      <c r="I768" s="9"/>
      <c r="J768" s="5"/>
      <c r="K768" s="4"/>
      <c r="L768" s="10"/>
      <c r="M768" s="10"/>
      <c r="N768" s="10"/>
      <c r="O768" s="10"/>
      <c r="P768" s="10"/>
      <c r="Q768" s="11"/>
      <c r="R768" s="9"/>
      <c r="S768" s="12"/>
      <c r="T768" s="5"/>
      <c r="U768" s="5"/>
      <c r="V768" s="4"/>
      <c r="W768" s="4"/>
      <c r="X768" s="4"/>
      <c r="Y768" s="4"/>
    </row>
    <row r="769">
      <c r="A769" s="5"/>
      <c r="B769" s="9"/>
      <c r="C769" s="5"/>
      <c r="D769" s="9"/>
      <c r="E769" s="9"/>
      <c r="F769" s="9"/>
      <c r="G769" s="9"/>
      <c r="H769" s="9"/>
      <c r="I769" s="9"/>
      <c r="J769" s="5"/>
      <c r="K769" s="4"/>
      <c r="L769" s="10"/>
      <c r="M769" s="10"/>
      <c r="N769" s="10"/>
      <c r="O769" s="10"/>
      <c r="P769" s="10"/>
      <c r="Q769" s="11"/>
      <c r="R769" s="9"/>
      <c r="S769" s="12"/>
      <c r="T769" s="5"/>
      <c r="U769" s="5"/>
      <c r="V769" s="4"/>
      <c r="W769" s="4"/>
      <c r="X769" s="4"/>
      <c r="Y769" s="4"/>
    </row>
    <row r="770">
      <c r="A770" s="5"/>
      <c r="B770" s="9"/>
      <c r="C770" s="5"/>
      <c r="D770" s="9"/>
      <c r="E770" s="9"/>
      <c r="F770" s="9"/>
      <c r="G770" s="9"/>
      <c r="H770" s="9"/>
      <c r="I770" s="9"/>
      <c r="J770" s="5"/>
      <c r="K770" s="4"/>
      <c r="L770" s="10"/>
      <c r="M770" s="10"/>
      <c r="N770" s="10"/>
      <c r="O770" s="10"/>
      <c r="P770" s="10"/>
      <c r="Q770" s="11"/>
      <c r="R770" s="9"/>
      <c r="S770" s="12"/>
      <c r="T770" s="5"/>
      <c r="U770" s="5"/>
      <c r="V770" s="4"/>
      <c r="W770" s="4"/>
      <c r="X770" s="4"/>
      <c r="Y770" s="4"/>
    </row>
    <row r="771">
      <c r="A771" s="5"/>
      <c r="B771" s="9"/>
      <c r="C771" s="5"/>
      <c r="D771" s="9"/>
      <c r="E771" s="9"/>
      <c r="F771" s="9"/>
      <c r="G771" s="9"/>
      <c r="H771" s="9"/>
      <c r="I771" s="9"/>
      <c r="J771" s="5"/>
      <c r="K771" s="4"/>
      <c r="L771" s="10"/>
      <c r="M771" s="10"/>
      <c r="N771" s="10"/>
      <c r="O771" s="10"/>
      <c r="P771" s="10"/>
      <c r="Q771" s="11"/>
      <c r="R771" s="9"/>
      <c r="S771" s="12"/>
      <c r="T771" s="5"/>
      <c r="U771" s="5"/>
      <c r="V771" s="4"/>
      <c r="W771" s="4"/>
      <c r="X771" s="4"/>
      <c r="Y771" s="4"/>
    </row>
    <row r="772">
      <c r="A772" s="5"/>
      <c r="B772" s="9"/>
      <c r="C772" s="5"/>
      <c r="D772" s="9"/>
      <c r="E772" s="9"/>
      <c r="F772" s="9"/>
      <c r="G772" s="9"/>
      <c r="H772" s="9"/>
      <c r="I772" s="9"/>
      <c r="J772" s="5"/>
      <c r="K772" s="4"/>
      <c r="L772" s="10"/>
      <c r="M772" s="10"/>
      <c r="N772" s="10"/>
      <c r="O772" s="10"/>
      <c r="P772" s="10"/>
      <c r="Q772" s="11"/>
      <c r="R772" s="9"/>
      <c r="S772" s="12"/>
      <c r="T772" s="5"/>
      <c r="U772" s="5"/>
      <c r="V772" s="4"/>
      <c r="W772" s="4"/>
      <c r="X772" s="4"/>
      <c r="Y772" s="4"/>
    </row>
    <row r="773">
      <c r="A773" s="5"/>
      <c r="B773" s="9"/>
      <c r="C773" s="5"/>
      <c r="D773" s="9"/>
      <c r="E773" s="9"/>
      <c r="F773" s="9"/>
      <c r="G773" s="9"/>
      <c r="H773" s="9"/>
      <c r="I773" s="9"/>
      <c r="J773" s="5"/>
      <c r="K773" s="4"/>
      <c r="L773" s="10"/>
      <c r="M773" s="10"/>
      <c r="N773" s="10"/>
      <c r="O773" s="10"/>
      <c r="P773" s="10"/>
      <c r="Q773" s="11"/>
      <c r="R773" s="9"/>
      <c r="S773" s="12"/>
      <c r="T773" s="5"/>
      <c r="U773" s="5"/>
      <c r="V773" s="4"/>
      <c r="W773" s="4"/>
      <c r="X773" s="4"/>
      <c r="Y773" s="4"/>
    </row>
    <row r="774">
      <c r="A774" s="5"/>
      <c r="B774" s="9"/>
      <c r="C774" s="5"/>
      <c r="D774" s="9"/>
      <c r="E774" s="9"/>
      <c r="F774" s="9"/>
      <c r="G774" s="9"/>
      <c r="H774" s="9"/>
      <c r="I774" s="9"/>
      <c r="J774" s="5"/>
      <c r="K774" s="4"/>
      <c r="L774" s="10"/>
      <c r="M774" s="10"/>
      <c r="N774" s="10"/>
      <c r="O774" s="10"/>
      <c r="P774" s="10"/>
      <c r="Q774" s="11"/>
      <c r="R774" s="9"/>
      <c r="S774" s="12"/>
      <c r="T774" s="5"/>
      <c r="U774" s="5"/>
      <c r="V774" s="4"/>
      <c r="W774" s="4"/>
      <c r="X774" s="4"/>
      <c r="Y774" s="4"/>
    </row>
    <row r="775">
      <c r="A775" s="5"/>
      <c r="B775" s="9"/>
      <c r="C775" s="5"/>
      <c r="D775" s="9"/>
      <c r="E775" s="9"/>
      <c r="F775" s="9"/>
      <c r="G775" s="9"/>
      <c r="H775" s="9"/>
      <c r="I775" s="9"/>
      <c r="J775" s="5"/>
      <c r="K775" s="4"/>
      <c r="L775" s="10"/>
      <c r="M775" s="10"/>
      <c r="N775" s="10"/>
      <c r="O775" s="10"/>
      <c r="P775" s="10"/>
      <c r="Q775" s="11"/>
      <c r="R775" s="9"/>
      <c r="S775" s="12"/>
      <c r="T775" s="5"/>
      <c r="U775" s="5"/>
      <c r="V775" s="4"/>
      <c r="W775" s="4"/>
      <c r="X775" s="4"/>
      <c r="Y775" s="4"/>
    </row>
    <row r="776">
      <c r="A776" s="5"/>
      <c r="B776" s="9"/>
      <c r="C776" s="5"/>
      <c r="D776" s="9"/>
      <c r="E776" s="9"/>
      <c r="F776" s="9"/>
      <c r="G776" s="9"/>
      <c r="H776" s="9"/>
      <c r="I776" s="9"/>
      <c r="J776" s="5"/>
      <c r="K776" s="4"/>
      <c r="L776" s="10"/>
      <c r="M776" s="10"/>
      <c r="N776" s="10"/>
      <c r="O776" s="10"/>
      <c r="P776" s="10"/>
      <c r="Q776" s="11"/>
      <c r="R776" s="9"/>
      <c r="S776" s="12"/>
      <c r="T776" s="5"/>
      <c r="U776" s="5"/>
      <c r="V776" s="4"/>
      <c r="W776" s="4"/>
      <c r="X776" s="4"/>
      <c r="Y776" s="4"/>
    </row>
    <row r="777">
      <c r="A777" s="5"/>
      <c r="B777" s="9"/>
      <c r="C777" s="5"/>
      <c r="D777" s="9"/>
      <c r="E777" s="9"/>
      <c r="F777" s="9"/>
      <c r="G777" s="9"/>
      <c r="H777" s="9"/>
      <c r="I777" s="9"/>
      <c r="J777" s="5"/>
      <c r="K777" s="4"/>
      <c r="L777" s="10"/>
      <c r="M777" s="10"/>
      <c r="N777" s="10"/>
      <c r="O777" s="10"/>
      <c r="P777" s="10"/>
      <c r="Q777" s="11"/>
      <c r="R777" s="9"/>
      <c r="S777" s="12"/>
      <c r="T777" s="5"/>
      <c r="U777" s="5"/>
      <c r="V777" s="4"/>
      <c r="W777" s="4"/>
      <c r="X777" s="4"/>
      <c r="Y777" s="4"/>
    </row>
    <row r="778">
      <c r="A778" s="5"/>
      <c r="B778" s="9"/>
      <c r="C778" s="5"/>
      <c r="D778" s="9"/>
      <c r="E778" s="9"/>
      <c r="F778" s="9"/>
      <c r="G778" s="9"/>
      <c r="H778" s="9"/>
      <c r="I778" s="9"/>
      <c r="J778" s="5"/>
      <c r="K778" s="4"/>
      <c r="L778" s="10"/>
      <c r="M778" s="10"/>
      <c r="N778" s="10"/>
      <c r="O778" s="10"/>
      <c r="P778" s="10"/>
      <c r="Q778" s="11"/>
      <c r="R778" s="9"/>
      <c r="S778" s="12"/>
      <c r="T778" s="5"/>
      <c r="U778" s="5"/>
      <c r="V778" s="4"/>
      <c r="W778" s="4"/>
      <c r="X778" s="4"/>
      <c r="Y778" s="4"/>
    </row>
    <row r="779">
      <c r="A779" s="5"/>
      <c r="B779" s="9"/>
      <c r="C779" s="5"/>
      <c r="D779" s="9"/>
      <c r="E779" s="9"/>
      <c r="F779" s="9"/>
      <c r="G779" s="9"/>
      <c r="H779" s="9"/>
      <c r="I779" s="9"/>
      <c r="J779" s="5"/>
      <c r="K779" s="4"/>
      <c r="L779" s="10"/>
      <c r="M779" s="10"/>
      <c r="N779" s="10"/>
      <c r="O779" s="10"/>
      <c r="P779" s="10"/>
      <c r="Q779" s="11"/>
      <c r="R779" s="9"/>
      <c r="S779" s="12"/>
      <c r="T779" s="5"/>
      <c r="U779" s="5"/>
      <c r="V779" s="4"/>
      <c r="W779" s="4"/>
      <c r="X779" s="4"/>
      <c r="Y779" s="4"/>
    </row>
    <row r="780">
      <c r="A780" s="5"/>
      <c r="B780" s="9"/>
      <c r="C780" s="5"/>
      <c r="D780" s="9"/>
      <c r="E780" s="9"/>
      <c r="F780" s="9"/>
      <c r="G780" s="9"/>
      <c r="H780" s="9"/>
      <c r="I780" s="9"/>
      <c r="J780" s="5"/>
      <c r="K780" s="4"/>
      <c r="L780" s="10"/>
      <c r="M780" s="10"/>
      <c r="N780" s="10"/>
      <c r="O780" s="10"/>
      <c r="P780" s="10"/>
      <c r="Q780" s="11"/>
      <c r="R780" s="9"/>
      <c r="S780" s="12"/>
      <c r="T780" s="5"/>
      <c r="U780" s="5"/>
      <c r="V780" s="4"/>
      <c r="W780" s="4"/>
      <c r="X780" s="4"/>
      <c r="Y780" s="4"/>
    </row>
    <row r="781">
      <c r="A781" s="5"/>
      <c r="B781" s="9"/>
      <c r="C781" s="5"/>
      <c r="D781" s="9"/>
      <c r="E781" s="9"/>
      <c r="F781" s="9"/>
      <c r="G781" s="9"/>
      <c r="H781" s="9"/>
      <c r="I781" s="9"/>
      <c r="J781" s="5"/>
      <c r="K781" s="4"/>
      <c r="L781" s="10"/>
      <c r="M781" s="10"/>
      <c r="N781" s="10"/>
      <c r="O781" s="10"/>
      <c r="P781" s="10"/>
      <c r="Q781" s="11"/>
      <c r="R781" s="9"/>
      <c r="S781" s="12"/>
      <c r="T781" s="5"/>
      <c r="U781" s="5"/>
      <c r="V781" s="4"/>
      <c r="W781" s="4"/>
      <c r="X781" s="4"/>
      <c r="Y781" s="4"/>
    </row>
    <row r="782">
      <c r="A782" s="5"/>
      <c r="B782" s="9"/>
      <c r="C782" s="5"/>
      <c r="D782" s="9"/>
      <c r="E782" s="9"/>
      <c r="F782" s="9"/>
      <c r="G782" s="9"/>
      <c r="H782" s="9"/>
      <c r="I782" s="9"/>
      <c r="J782" s="5"/>
      <c r="K782" s="4"/>
      <c r="L782" s="10"/>
      <c r="M782" s="10"/>
      <c r="N782" s="10"/>
      <c r="O782" s="10"/>
      <c r="P782" s="10"/>
      <c r="Q782" s="11"/>
      <c r="R782" s="9"/>
      <c r="S782" s="12"/>
      <c r="T782" s="5"/>
      <c r="U782" s="5"/>
      <c r="V782" s="4"/>
      <c r="W782" s="4"/>
      <c r="X782" s="4"/>
      <c r="Y782" s="4"/>
    </row>
    <row r="783">
      <c r="A783" s="5"/>
      <c r="B783" s="9"/>
      <c r="C783" s="5"/>
      <c r="D783" s="9"/>
      <c r="E783" s="9"/>
      <c r="F783" s="9"/>
      <c r="G783" s="9"/>
      <c r="H783" s="9"/>
      <c r="I783" s="9"/>
      <c r="J783" s="5"/>
      <c r="K783" s="4"/>
      <c r="L783" s="10"/>
      <c r="M783" s="10"/>
      <c r="N783" s="10"/>
      <c r="O783" s="10"/>
      <c r="P783" s="10"/>
      <c r="Q783" s="11"/>
      <c r="R783" s="9"/>
      <c r="S783" s="12"/>
      <c r="T783" s="5"/>
      <c r="U783" s="5"/>
      <c r="V783" s="4"/>
      <c r="W783" s="4"/>
      <c r="X783" s="4"/>
      <c r="Y783" s="4"/>
    </row>
    <row r="784">
      <c r="A784" s="5"/>
      <c r="B784" s="9"/>
      <c r="C784" s="5"/>
      <c r="D784" s="9"/>
      <c r="E784" s="9"/>
      <c r="F784" s="9"/>
      <c r="G784" s="9"/>
      <c r="H784" s="9"/>
      <c r="I784" s="9"/>
      <c r="J784" s="5"/>
      <c r="K784" s="4"/>
      <c r="L784" s="10"/>
      <c r="M784" s="10"/>
      <c r="N784" s="10"/>
      <c r="O784" s="10"/>
      <c r="P784" s="10"/>
      <c r="Q784" s="11"/>
      <c r="R784" s="9"/>
      <c r="S784" s="12"/>
      <c r="T784" s="5"/>
      <c r="U784" s="5"/>
      <c r="V784" s="4"/>
      <c r="W784" s="4"/>
      <c r="X784" s="4"/>
      <c r="Y784" s="4"/>
    </row>
    <row r="785">
      <c r="A785" s="5"/>
      <c r="B785" s="9"/>
      <c r="C785" s="5"/>
      <c r="D785" s="9"/>
      <c r="E785" s="9"/>
      <c r="F785" s="9"/>
      <c r="G785" s="9"/>
      <c r="H785" s="9"/>
      <c r="I785" s="9"/>
      <c r="J785" s="5"/>
      <c r="K785" s="4"/>
      <c r="L785" s="10"/>
      <c r="M785" s="10"/>
      <c r="N785" s="10"/>
      <c r="O785" s="10"/>
      <c r="P785" s="10"/>
      <c r="Q785" s="11"/>
      <c r="R785" s="9"/>
      <c r="S785" s="12"/>
      <c r="T785" s="5"/>
      <c r="U785" s="5"/>
      <c r="V785" s="4"/>
      <c r="W785" s="4"/>
      <c r="X785" s="4"/>
      <c r="Y785" s="4"/>
    </row>
    <row r="786">
      <c r="A786" s="5"/>
      <c r="B786" s="9"/>
      <c r="C786" s="5"/>
      <c r="D786" s="9"/>
      <c r="E786" s="9"/>
      <c r="F786" s="9"/>
      <c r="G786" s="9"/>
      <c r="H786" s="9"/>
      <c r="I786" s="9"/>
      <c r="J786" s="5"/>
      <c r="K786" s="4"/>
      <c r="L786" s="10"/>
      <c r="M786" s="10"/>
      <c r="N786" s="10"/>
      <c r="O786" s="10"/>
      <c r="P786" s="10"/>
      <c r="Q786" s="11"/>
      <c r="R786" s="9"/>
      <c r="S786" s="12"/>
      <c r="T786" s="5"/>
      <c r="U786" s="5"/>
      <c r="V786" s="4"/>
      <c r="W786" s="4"/>
      <c r="X786" s="4"/>
      <c r="Y786" s="4"/>
    </row>
    <row r="787">
      <c r="A787" s="5"/>
      <c r="B787" s="9"/>
      <c r="C787" s="5"/>
      <c r="D787" s="9"/>
      <c r="E787" s="9"/>
      <c r="F787" s="9"/>
      <c r="G787" s="9"/>
      <c r="H787" s="9"/>
      <c r="I787" s="9"/>
      <c r="J787" s="5"/>
      <c r="K787" s="4"/>
      <c r="L787" s="10"/>
      <c r="M787" s="10"/>
      <c r="N787" s="10"/>
      <c r="O787" s="10"/>
      <c r="P787" s="10"/>
      <c r="Q787" s="11"/>
      <c r="R787" s="9"/>
      <c r="S787" s="12"/>
      <c r="T787" s="5"/>
      <c r="U787" s="5"/>
      <c r="V787" s="4"/>
      <c r="W787" s="4"/>
      <c r="X787" s="4"/>
      <c r="Y787" s="4"/>
    </row>
    <row r="788">
      <c r="A788" s="5"/>
      <c r="B788" s="9"/>
      <c r="C788" s="5"/>
      <c r="D788" s="9"/>
      <c r="E788" s="9"/>
      <c r="F788" s="9"/>
      <c r="G788" s="9"/>
      <c r="H788" s="9"/>
      <c r="I788" s="9"/>
      <c r="J788" s="5"/>
      <c r="K788" s="4"/>
      <c r="L788" s="10"/>
      <c r="M788" s="10"/>
      <c r="N788" s="10"/>
      <c r="O788" s="10"/>
      <c r="P788" s="10"/>
      <c r="Q788" s="11"/>
      <c r="R788" s="9"/>
      <c r="S788" s="12"/>
      <c r="T788" s="5"/>
      <c r="U788" s="5"/>
      <c r="V788" s="4"/>
      <c r="W788" s="4"/>
      <c r="X788" s="4"/>
      <c r="Y788" s="4"/>
    </row>
    <row r="789">
      <c r="A789" s="5"/>
      <c r="B789" s="9"/>
      <c r="C789" s="5"/>
      <c r="D789" s="9"/>
      <c r="E789" s="9"/>
      <c r="F789" s="9"/>
      <c r="G789" s="9"/>
      <c r="H789" s="9"/>
      <c r="I789" s="9"/>
      <c r="J789" s="5"/>
      <c r="K789" s="4"/>
      <c r="L789" s="10"/>
      <c r="M789" s="10"/>
      <c r="N789" s="10"/>
      <c r="O789" s="10"/>
      <c r="P789" s="10"/>
      <c r="Q789" s="11"/>
      <c r="R789" s="9"/>
      <c r="S789" s="12"/>
      <c r="T789" s="5"/>
      <c r="U789" s="5"/>
      <c r="V789" s="4"/>
      <c r="W789" s="4"/>
      <c r="X789" s="4"/>
      <c r="Y789" s="4"/>
    </row>
    <row r="790">
      <c r="A790" s="5"/>
      <c r="B790" s="9"/>
      <c r="C790" s="5"/>
      <c r="D790" s="9"/>
      <c r="E790" s="9"/>
      <c r="F790" s="9"/>
      <c r="G790" s="9"/>
      <c r="H790" s="9"/>
      <c r="I790" s="9"/>
      <c r="J790" s="5"/>
      <c r="K790" s="4"/>
      <c r="L790" s="10"/>
      <c r="M790" s="10"/>
      <c r="N790" s="10"/>
      <c r="O790" s="10"/>
      <c r="P790" s="10"/>
      <c r="Q790" s="11"/>
      <c r="R790" s="9"/>
      <c r="S790" s="12"/>
      <c r="T790" s="5"/>
      <c r="U790" s="5"/>
      <c r="V790" s="4"/>
      <c r="W790" s="4"/>
      <c r="X790" s="4"/>
      <c r="Y790" s="4"/>
    </row>
    <row r="791">
      <c r="A791" s="5"/>
      <c r="B791" s="9"/>
      <c r="C791" s="5"/>
      <c r="D791" s="9"/>
      <c r="E791" s="9"/>
      <c r="F791" s="9"/>
      <c r="G791" s="9"/>
      <c r="H791" s="9"/>
      <c r="I791" s="9"/>
      <c r="J791" s="5"/>
      <c r="K791" s="4"/>
      <c r="L791" s="10"/>
      <c r="M791" s="10"/>
      <c r="N791" s="10"/>
      <c r="O791" s="10"/>
      <c r="P791" s="10"/>
      <c r="Q791" s="11"/>
      <c r="R791" s="9"/>
      <c r="S791" s="12"/>
      <c r="T791" s="5"/>
      <c r="U791" s="5"/>
      <c r="V791" s="4"/>
      <c r="W791" s="4"/>
      <c r="X791" s="4"/>
      <c r="Y791" s="4"/>
    </row>
    <row r="792">
      <c r="A792" s="5"/>
      <c r="B792" s="9"/>
      <c r="C792" s="5"/>
      <c r="D792" s="9"/>
      <c r="E792" s="9"/>
      <c r="F792" s="9"/>
      <c r="G792" s="9"/>
      <c r="H792" s="9"/>
      <c r="I792" s="9"/>
      <c r="J792" s="5"/>
      <c r="K792" s="4"/>
      <c r="L792" s="10"/>
      <c r="M792" s="10"/>
      <c r="N792" s="10"/>
      <c r="O792" s="10"/>
      <c r="P792" s="10"/>
      <c r="Q792" s="11"/>
      <c r="R792" s="9"/>
      <c r="S792" s="12"/>
      <c r="T792" s="5"/>
      <c r="U792" s="5"/>
      <c r="V792" s="4"/>
      <c r="W792" s="4"/>
      <c r="X792" s="4"/>
      <c r="Y792" s="4"/>
    </row>
    <row r="793">
      <c r="A793" s="5"/>
      <c r="B793" s="9"/>
      <c r="C793" s="5"/>
      <c r="D793" s="9"/>
      <c r="E793" s="9"/>
      <c r="F793" s="9"/>
      <c r="G793" s="9"/>
      <c r="H793" s="9"/>
      <c r="I793" s="9"/>
      <c r="J793" s="5"/>
      <c r="K793" s="4"/>
      <c r="L793" s="10"/>
      <c r="M793" s="10"/>
      <c r="N793" s="10"/>
      <c r="O793" s="10"/>
      <c r="P793" s="10"/>
      <c r="Q793" s="11"/>
      <c r="R793" s="9"/>
      <c r="S793" s="12"/>
      <c r="T793" s="5"/>
      <c r="U793" s="5"/>
      <c r="V793" s="4"/>
      <c r="W793" s="4"/>
      <c r="X793" s="4"/>
      <c r="Y793" s="4"/>
    </row>
    <row r="794">
      <c r="A794" s="5"/>
      <c r="B794" s="9"/>
      <c r="C794" s="5"/>
      <c r="D794" s="9"/>
      <c r="E794" s="9"/>
      <c r="F794" s="9"/>
      <c r="G794" s="9"/>
      <c r="H794" s="9"/>
      <c r="I794" s="9"/>
      <c r="J794" s="5"/>
      <c r="K794" s="4"/>
      <c r="L794" s="10"/>
      <c r="M794" s="10"/>
      <c r="N794" s="10"/>
      <c r="O794" s="10"/>
      <c r="P794" s="10"/>
      <c r="Q794" s="11"/>
      <c r="R794" s="9"/>
      <c r="S794" s="12"/>
      <c r="T794" s="5"/>
      <c r="U794" s="5"/>
      <c r="V794" s="4"/>
      <c r="W794" s="4"/>
      <c r="X794" s="4"/>
      <c r="Y794" s="4"/>
    </row>
    <row r="795">
      <c r="A795" s="5"/>
      <c r="B795" s="9"/>
      <c r="C795" s="5"/>
      <c r="D795" s="9"/>
      <c r="E795" s="9"/>
      <c r="F795" s="9"/>
      <c r="G795" s="9"/>
      <c r="H795" s="9"/>
      <c r="I795" s="9"/>
      <c r="J795" s="5"/>
      <c r="K795" s="4"/>
      <c r="L795" s="10"/>
      <c r="M795" s="10"/>
      <c r="N795" s="10"/>
      <c r="O795" s="10"/>
      <c r="P795" s="10"/>
      <c r="Q795" s="11"/>
      <c r="R795" s="9"/>
      <c r="S795" s="12"/>
      <c r="T795" s="5"/>
      <c r="U795" s="5"/>
      <c r="V795" s="4"/>
      <c r="W795" s="4"/>
      <c r="X795" s="4"/>
      <c r="Y795" s="4"/>
    </row>
    <row r="796">
      <c r="A796" s="5"/>
      <c r="B796" s="9"/>
      <c r="C796" s="5"/>
      <c r="D796" s="9"/>
      <c r="E796" s="9"/>
      <c r="F796" s="9"/>
      <c r="G796" s="9"/>
      <c r="H796" s="9"/>
      <c r="I796" s="9"/>
      <c r="J796" s="5"/>
      <c r="K796" s="4"/>
      <c r="L796" s="10"/>
      <c r="M796" s="10"/>
      <c r="N796" s="10"/>
      <c r="O796" s="10"/>
      <c r="P796" s="10"/>
      <c r="Q796" s="11"/>
      <c r="R796" s="9"/>
      <c r="S796" s="12"/>
      <c r="T796" s="5"/>
      <c r="U796" s="5"/>
      <c r="V796" s="4"/>
      <c r="W796" s="4"/>
      <c r="X796" s="4"/>
      <c r="Y796" s="4"/>
    </row>
    <row r="797">
      <c r="A797" s="5"/>
      <c r="B797" s="9"/>
      <c r="C797" s="5"/>
      <c r="D797" s="9"/>
      <c r="E797" s="9"/>
      <c r="F797" s="9"/>
      <c r="G797" s="9"/>
      <c r="H797" s="9"/>
      <c r="I797" s="9"/>
      <c r="J797" s="5"/>
      <c r="K797" s="4"/>
      <c r="L797" s="10"/>
      <c r="M797" s="10"/>
      <c r="N797" s="10"/>
      <c r="O797" s="10"/>
      <c r="P797" s="10"/>
      <c r="Q797" s="11"/>
      <c r="R797" s="9"/>
      <c r="S797" s="12"/>
      <c r="T797" s="5"/>
      <c r="U797" s="5"/>
      <c r="V797" s="4"/>
      <c r="W797" s="4"/>
      <c r="X797" s="4"/>
      <c r="Y797" s="4"/>
    </row>
    <row r="798">
      <c r="A798" s="5"/>
      <c r="B798" s="9"/>
      <c r="C798" s="5"/>
      <c r="D798" s="9"/>
      <c r="E798" s="9"/>
      <c r="F798" s="9"/>
      <c r="G798" s="9"/>
      <c r="H798" s="9"/>
      <c r="I798" s="9"/>
      <c r="J798" s="5"/>
      <c r="K798" s="4"/>
      <c r="L798" s="10"/>
      <c r="M798" s="10"/>
      <c r="N798" s="10"/>
      <c r="O798" s="10"/>
      <c r="P798" s="10"/>
      <c r="Q798" s="11"/>
      <c r="R798" s="9"/>
      <c r="S798" s="12"/>
      <c r="T798" s="5"/>
      <c r="U798" s="5"/>
      <c r="V798" s="4"/>
      <c r="W798" s="4"/>
      <c r="X798" s="4"/>
      <c r="Y798" s="4"/>
    </row>
    <row r="799">
      <c r="A799" s="5"/>
      <c r="B799" s="9"/>
      <c r="C799" s="5"/>
      <c r="D799" s="9"/>
      <c r="E799" s="9"/>
      <c r="F799" s="9"/>
      <c r="G799" s="9"/>
      <c r="H799" s="9"/>
      <c r="I799" s="9"/>
      <c r="J799" s="5"/>
      <c r="K799" s="4"/>
      <c r="L799" s="10"/>
      <c r="M799" s="10"/>
      <c r="N799" s="10"/>
      <c r="O799" s="10"/>
      <c r="P799" s="10"/>
      <c r="Q799" s="11"/>
      <c r="R799" s="9"/>
      <c r="S799" s="12"/>
      <c r="T799" s="5"/>
      <c r="U799" s="5"/>
      <c r="V799" s="4"/>
      <c r="W799" s="4"/>
      <c r="X799" s="4"/>
      <c r="Y799" s="4"/>
    </row>
    <row r="800">
      <c r="A800" s="5"/>
      <c r="B800" s="9"/>
      <c r="C800" s="5"/>
      <c r="D800" s="9"/>
      <c r="E800" s="9"/>
      <c r="F800" s="9"/>
      <c r="G800" s="9"/>
      <c r="H800" s="9"/>
      <c r="I800" s="9"/>
      <c r="J800" s="5"/>
      <c r="K800" s="4"/>
      <c r="L800" s="10"/>
      <c r="M800" s="10"/>
      <c r="N800" s="10"/>
      <c r="O800" s="10"/>
      <c r="P800" s="10"/>
      <c r="Q800" s="11"/>
      <c r="R800" s="9"/>
      <c r="S800" s="12"/>
      <c r="T800" s="5"/>
      <c r="U800" s="5"/>
      <c r="V800" s="4"/>
      <c r="W800" s="4"/>
      <c r="X800" s="4"/>
      <c r="Y800" s="4"/>
    </row>
    <row r="801">
      <c r="A801" s="5"/>
      <c r="B801" s="9"/>
      <c r="C801" s="5"/>
      <c r="D801" s="9"/>
      <c r="E801" s="9"/>
      <c r="F801" s="9"/>
      <c r="G801" s="9"/>
      <c r="H801" s="9"/>
      <c r="I801" s="9"/>
      <c r="J801" s="5"/>
      <c r="K801" s="4"/>
      <c r="L801" s="10"/>
      <c r="M801" s="10"/>
      <c r="N801" s="10"/>
      <c r="O801" s="10"/>
      <c r="P801" s="10"/>
      <c r="Q801" s="11"/>
      <c r="R801" s="9"/>
      <c r="S801" s="12"/>
      <c r="T801" s="5"/>
      <c r="U801" s="5"/>
      <c r="V801" s="4"/>
      <c r="W801" s="4"/>
      <c r="X801" s="4"/>
      <c r="Y801" s="4"/>
    </row>
    <row r="802">
      <c r="A802" s="5"/>
      <c r="B802" s="9"/>
      <c r="C802" s="5"/>
      <c r="D802" s="9"/>
      <c r="E802" s="9"/>
      <c r="F802" s="9"/>
      <c r="G802" s="9"/>
      <c r="H802" s="9"/>
      <c r="I802" s="9"/>
      <c r="J802" s="5"/>
      <c r="K802" s="4"/>
      <c r="L802" s="10"/>
      <c r="M802" s="10"/>
      <c r="N802" s="10"/>
      <c r="O802" s="10"/>
      <c r="P802" s="10"/>
      <c r="Q802" s="11"/>
      <c r="R802" s="9"/>
      <c r="S802" s="12"/>
      <c r="T802" s="5"/>
      <c r="U802" s="5"/>
      <c r="V802" s="4"/>
      <c r="W802" s="4"/>
      <c r="X802" s="4"/>
      <c r="Y802" s="4"/>
    </row>
    <row r="803">
      <c r="A803" s="5"/>
      <c r="B803" s="9"/>
      <c r="C803" s="5"/>
      <c r="D803" s="9"/>
      <c r="E803" s="9"/>
      <c r="F803" s="9"/>
      <c r="G803" s="9"/>
      <c r="H803" s="9"/>
      <c r="I803" s="9"/>
      <c r="J803" s="5"/>
      <c r="K803" s="4"/>
      <c r="L803" s="10"/>
      <c r="M803" s="10"/>
      <c r="N803" s="10"/>
      <c r="O803" s="10"/>
      <c r="P803" s="10"/>
      <c r="Q803" s="11"/>
      <c r="R803" s="9"/>
      <c r="S803" s="12"/>
      <c r="T803" s="5"/>
      <c r="U803" s="5"/>
      <c r="V803" s="4"/>
      <c r="W803" s="4"/>
      <c r="X803" s="4"/>
      <c r="Y803" s="4"/>
    </row>
    <row r="804">
      <c r="A804" s="5"/>
      <c r="B804" s="9"/>
      <c r="C804" s="5"/>
      <c r="D804" s="9"/>
      <c r="E804" s="9"/>
      <c r="F804" s="9"/>
      <c r="G804" s="9"/>
      <c r="H804" s="9"/>
      <c r="I804" s="9"/>
      <c r="J804" s="5"/>
      <c r="K804" s="4"/>
      <c r="L804" s="10"/>
      <c r="M804" s="10"/>
      <c r="N804" s="10"/>
      <c r="O804" s="10"/>
      <c r="P804" s="10"/>
      <c r="Q804" s="11"/>
      <c r="R804" s="9"/>
      <c r="S804" s="12"/>
      <c r="T804" s="5"/>
      <c r="U804" s="5"/>
      <c r="V804" s="4"/>
      <c r="W804" s="4"/>
      <c r="X804" s="4"/>
      <c r="Y804" s="4"/>
    </row>
    <row r="805">
      <c r="A805" s="5"/>
      <c r="B805" s="9"/>
      <c r="C805" s="5"/>
      <c r="D805" s="9"/>
      <c r="E805" s="9"/>
      <c r="F805" s="9"/>
      <c r="G805" s="9"/>
      <c r="H805" s="9"/>
      <c r="I805" s="9"/>
      <c r="J805" s="5"/>
      <c r="K805" s="4"/>
      <c r="L805" s="10"/>
      <c r="M805" s="10"/>
      <c r="N805" s="10"/>
      <c r="O805" s="10"/>
      <c r="P805" s="10"/>
      <c r="Q805" s="11"/>
      <c r="R805" s="9"/>
      <c r="S805" s="12"/>
      <c r="T805" s="5"/>
      <c r="U805" s="5"/>
      <c r="V805" s="4"/>
      <c r="W805" s="4"/>
      <c r="X805" s="4"/>
      <c r="Y805" s="4"/>
    </row>
    <row r="806">
      <c r="A806" s="5"/>
      <c r="B806" s="9"/>
      <c r="C806" s="5"/>
      <c r="D806" s="9"/>
      <c r="E806" s="9"/>
      <c r="F806" s="9"/>
      <c r="G806" s="9"/>
      <c r="H806" s="9"/>
      <c r="I806" s="9"/>
      <c r="J806" s="5"/>
      <c r="K806" s="4"/>
      <c r="L806" s="10"/>
      <c r="M806" s="10"/>
      <c r="N806" s="10"/>
      <c r="O806" s="10"/>
      <c r="P806" s="10"/>
      <c r="Q806" s="11"/>
      <c r="R806" s="9"/>
      <c r="S806" s="12"/>
      <c r="T806" s="5"/>
      <c r="U806" s="5"/>
      <c r="V806" s="4"/>
      <c r="W806" s="4"/>
      <c r="X806" s="4"/>
      <c r="Y806" s="4"/>
    </row>
    <row r="807">
      <c r="A807" s="5"/>
      <c r="B807" s="9"/>
      <c r="C807" s="5"/>
      <c r="D807" s="9"/>
      <c r="E807" s="9"/>
      <c r="F807" s="9"/>
      <c r="G807" s="9"/>
      <c r="H807" s="9"/>
      <c r="I807" s="9"/>
      <c r="J807" s="5"/>
      <c r="K807" s="4"/>
      <c r="L807" s="10"/>
      <c r="M807" s="10"/>
      <c r="N807" s="10"/>
      <c r="O807" s="10"/>
      <c r="P807" s="10"/>
      <c r="Q807" s="11"/>
      <c r="R807" s="9"/>
      <c r="S807" s="12"/>
      <c r="T807" s="5"/>
      <c r="U807" s="5"/>
      <c r="V807" s="4"/>
      <c r="W807" s="4"/>
      <c r="X807" s="4"/>
      <c r="Y807" s="4"/>
    </row>
    <row r="808">
      <c r="A808" s="5"/>
      <c r="B808" s="9"/>
      <c r="C808" s="5"/>
      <c r="D808" s="9"/>
      <c r="E808" s="9"/>
      <c r="F808" s="9"/>
      <c r="G808" s="9"/>
      <c r="H808" s="9"/>
      <c r="I808" s="9"/>
      <c r="J808" s="5"/>
      <c r="K808" s="4"/>
      <c r="L808" s="10"/>
      <c r="M808" s="10"/>
      <c r="N808" s="10"/>
      <c r="O808" s="10"/>
      <c r="P808" s="10"/>
      <c r="Q808" s="11"/>
      <c r="R808" s="9"/>
      <c r="S808" s="12"/>
      <c r="T808" s="5"/>
      <c r="U808" s="5"/>
      <c r="V808" s="4"/>
      <c r="W808" s="4"/>
      <c r="X808" s="4"/>
      <c r="Y808" s="4"/>
    </row>
    <row r="809">
      <c r="A809" s="5"/>
      <c r="B809" s="9"/>
      <c r="C809" s="5"/>
      <c r="D809" s="9"/>
      <c r="E809" s="9"/>
      <c r="F809" s="9"/>
      <c r="G809" s="9"/>
      <c r="H809" s="9"/>
      <c r="I809" s="9"/>
      <c r="J809" s="5"/>
      <c r="K809" s="4"/>
      <c r="L809" s="10"/>
      <c r="M809" s="10"/>
      <c r="N809" s="10"/>
      <c r="O809" s="10"/>
      <c r="P809" s="10"/>
      <c r="Q809" s="11"/>
      <c r="R809" s="9"/>
      <c r="S809" s="12"/>
      <c r="T809" s="5"/>
      <c r="U809" s="5"/>
      <c r="V809" s="4"/>
      <c r="W809" s="4"/>
      <c r="X809" s="4"/>
      <c r="Y809" s="4"/>
    </row>
    <row r="810">
      <c r="A810" s="5"/>
      <c r="B810" s="9"/>
      <c r="C810" s="5"/>
      <c r="D810" s="9"/>
      <c r="E810" s="9"/>
      <c r="F810" s="9"/>
      <c r="G810" s="9"/>
      <c r="H810" s="9"/>
      <c r="I810" s="9"/>
      <c r="J810" s="5"/>
      <c r="K810" s="4"/>
      <c r="L810" s="10"/>
      <c r="M810" s="10"/>
      <c r="N810" s="10"/>
      <c r="O810" s="10"/>
      <c r="P810" s="10"/>
      <c r="Q810" s="11"/>
      <c r="R810" s="9"/>
      <c r="S810" s="12"/>
      <c r="T810" s="5"/>
      <c r="U810" s="5"/>
      <c r="V810" s="4"/>
      <c r="W810" s="4"/>
      <c r="X810" s="4"/>
      <c r="Y810" s="4"/>
    </row>
    <row r="811">
      <c r="A811" s="5"/>
      <c r="B811" s="9"/>
      <c r="C811" s="5"/>
      <c r="D811" s="9"/>
      <c r="E811" s="9"/>
      <c r="F811" s="9"/>
      <c r="G811" s="9"/>
      <c r="H811" s="9"/>
      <c r="I811" s="9"/>
      <c r="J811" s="5"/>
      <c r="K811" s="4"/>
      <c r="L811" s="10"/>
      <c r="M811" s="10"/>
      <c r="N811" s="10"/>
      <c r="O811" s="10"/>
      <c r="P811" s="10"/>
      <c r="Q811" s="11"/>
      <c r="R811" s="9"/>
      <c r="S811" s="12"/>
      <c r="T811" s="5"/>
      <c r="U811" s="5"/>
      <c r="V811" s="4"/>
      <c r="W811" s="4"/>
      <c r="X811" s="4"/>
      <c r="Y811" s="4"/>
    </row>
    <row r="812">
      <c r="A812" s="5"/>
      <c r="B812" s="9"/>
      <c r="C812" s="5"/>
      <c r="D812" s="9"/>
      <c r="E812" s="9"/>
      <c r="F812" s="9"/>
      <c r="G812" s="9"/>
      <c r="H812" s="9"/>
      <c r="I812" s="9"/>
      <c r="J812" s="5"/>
      <c r="K812" s="4"/>
      <c r="L812" s="10"/>
      <c r="M812" s="10"/>
      <c r="N812" s="10"/>
      <c r="O812" s="10"/>
      <c r="P812" s="10"/>
      <c r="Q812" s="11"/>
      <c r="R812" s="9"/>
      <c r="S812" s="12"/>
      <c r="T812" s="5"/>
      <c r="U812" s="5"/>
      <c r="V812" s="4"/>
      <c r="W812" s="4"/>
      <c r="X812" s="4"/>
      <c r="Y812" s="4"/>
    </row>
    <row r="813">
      <c r="A813" s="5"/>
      <c r="B813" s="9"/>
      <c r="C813" s="5"/>
      <c r="D813" s="9"/>
      <c r="E813" s="9"/>
      <c r="F813" s="9"/>
      <c r="G813" s="9"/>
      <c r="H813" s="9"/>
      <c r="I813" s="9"/>
      <c r="J813" s="5"/>
      <c r="K813" s="4"/>
      <c r="L813" s="10"/>
      <c r="M813" s="10"/>
      <c r="N813" s="10"/>
      <c r="O813" s="10"/>
      <c r="P813" s="10"/>
      <c r="Q813" s="11"/>
      <c r="R813" s="9"/>
      <c r="S813" s="12"/>
      <c r="T813" s="5"/>
      <c r="U813" s="5"/>
      <c r="V813" s="4"/>
      <c r="W813" s="4"/>
      <c r="X813" s="4"/>
      <c r="Y813" s="4"/>
    </row>
    <row r="814">
      <c r="A814" s="5"/>
      <c r="B814" s="9"/>
      <c r="C814" s="5"/>
      <c r="D814" s="9"/>
      <c r="E814" s="9"/>
      <c r="F814" s="9"/>
      <c r="G814" s="9"/>
      <c r="H814" s="9"/>
      <c r="I814" s="9"/>
      <c r="J814" s="5"/>
      <c r="K814" s="4"/>
      <c r="L814" s="10"/>
      <c r="M814" s="10"/>
      <c r="N814" s="10"/>
      <c r="O814" s="10"/>
      <c r="P814" s="10"/>
      <c r="Q814" s="11"/>
      <c r="R814" s="9"/>
      <c r="S814" s="12"/>
      <c r="T814" s="5"/>
      <c r="U814" s="5"/>
      <c r="V814" s="4"/>
      <c r="W814" s="4"/>
      <c r="X814" s="4"/>
      <c r="Y814" s="4"/>
    </row>
    <row r="815">
      <c r="A815" s="5"/>
      <c r="B815" s="9"/>
      <c r="C815" s="5"/>
      <c r="D815" s="9"/>
      <c r="E815" s="9"/>
      <c r="F815" s="9"/>
      <c r="G815" s="9"/>
      <c r="H815" s="9"/>
      <c r="I815" s="9"/>
      <c r="J815" s="5"/>
      <c r="K815" s="4"/>
      <c r="L815" s="10"/>
      <c r="M815" s="10"/>
      <c r="N815" s="10"/>
      <c r="O815" s="10"/>
      <c r="P815" s="10"/>
      <c r="Q815" s="11"/>
      <c r="R815" s="9"/>
      <c r="S815" s="12"/>
      <c r="T815" s="5"/>
      <c r="U815" s="5"/>
      <c r="V815" s="4"/>
      <c r="W815" s="4"/>
      <c r="X815" s="4"/>
      <c r="Y815" s="4"/>
    </row>
    <row r="816">
      <c r="A816" s="5"/>
      <c r="B816" s="9"/>
      <c r="C816" s="5"/>
      <c r="D816" s="9"/>
      <c r="E816" s="9"/>
      <c r="F816" s="9"/>
      <c r="G816" s="9"/>
      <c r="H816" s="9"/>
      <c r="I816" s="9"/>
      <c r="J816" s="5"/>
      <c r="K816" s="4"/>
      <c r="L816" s="10"/>
      <c r="M816" s="10"/>
      <c r="N816" s="10"/>
      <c r="O816" s="10"/>
      <c r="P816" s="10"/>
      <c r="Q816" s="11"/>
      <c r="R816" s="9"/>
      <c r="S816" s="12"/>
      <c r="T816" s="5"/>
      <c r="U816" s="5"/>
      <c r="V816" s="4"/>
      <c r="W816" s="4"/>
      <c r="X816" s="4"/>
      <c r="Y816" s="4"/>
    </row>
    <row r="817">
      <c r="A817" s="5"/>
      <c r="B817" s="9"/>
      <c r="C817" s="5"/>
      <c r="D817" s="9"/>
      <c r="E817" s="9"/>
      <c r="F817" s="9"/>
      <c r="G817" s="9"/>
      <c r="H817" s="9"/>
      <c r="I817" s="9"/>
      <c r="J817" s="5"/>
      <c r="K817" s="4"/>
      <c r="L817" s="10"/>
      <c r="M817" s="10"/>
      <c r="N817" s="10"/>
      <c r="O817" s="10"/>
      <c r="P817" s="10"/>
      <c r="Q817" s="11"/>
      <c r="R817" s="9"/>
      <c r="S817" s="12"/>
      <c r="T817" s="5"/>
      <c r="U817" s="5"/>
      <c r="V817" s="4"/>
      <c r="W817" s="4"/>
      <c r="X817" s="4"/>
      <c r="Y817" s="4"/>
    </row>
    <row r="818">
      <c r="A818" s="5"/>
      <c r="B818" s="9"/>
      <c r="C818" s="5"/>
      <c r="D818" s="9"/>
      <c r="E818" s="9"/>
      <c r="F818" s="9"/>
      <c r="G818" s="9"/>
      <c r="H818" s="9"/>
      <c r="I818" s="9"/>
      <c r="J818" s="5"/>
      <c r="K818" s="4"/>
      <c r="L818" s="10"/>
      <c r="M818" s="10"/>
      <c r="N818" s="10"/>
      <c r="O818" s="10"/>
      <c r="P818" s="10"/>
      <c r="Q818" s="11"/>
      <c r="R818" s="9"/>
      <c r="S818" s="12"/>
      <c r="T818" s="5"/>
      <c r="U818" s="5"/>
      <c r="V818" s="4"/>
      <c r="W818" s="4"/>
      <c r="X818" s="4"/>
      <c r="Y818" s="4"/>
    </row>
    <row r="819">
      <c r="A819" s="5"/>
      <c r="B819" s="9"/>
      <c r="C819" s="5"/>
      <c r="D819" s="9"/>
      <c r="E819" s="9"/>
      <c r="F819" s="9"/>
      <c r="G819" s="9"/>
      <c r="H819" s="9"/>
      <c r="I819" s="9"/>
      <c r="J819" s="5"/>
      <c r="K819" s="4"/>
      <c r="L819" s="10"/>
      <c r="M819" s="10"/>
      <c r="N819" s="10"/>
      <c r="O819" s="10"/>
      <c r="P819" s="10"/>
      <c r="Q819" s="11"/>
      <c r="R819" s="9"/>
      <c r="S819" s="12"/>
      <c r="T819" s="5"/>
      <c r="U819" s="5"/>
      <c r="V819" s="4"/>
      <c r="W819" s="4"/>
      <c r="X819" s="4"/>
      <c r="Y819" s="4"/>
    </row>
    <row r="820">
      <c r="A820" s="5"/>
      <c r="B820" s="9"/>
      <c r="C820" s="5"/>
      <c r="D820" s="9"/>
      <c r="E820" s="9"/>
      <c r="F820" s="9"/>
      <c r="G820" s="9"/>
      <c r="H820" s="9"/>
      <c r="I820" s="9"/>
      <c r="J820" s="5"/>
      <c r="K820" s="4"/>
      <c r="L820" s="10"/>
      <c r="M820" s="10"/>
      <c r="N820" s="10"/>
      <c r="O820" s="10"/>
      <c r="P820" s="10"/>
      <c r="Q820" s="11"/>
      <c r="R820" s="9"/>
      <c r="S820" s="12"/>
      <c r="T820" s="5"/>
      <c r="U820" s="5"/>
      <c r="V820" s="4"/>
      <c r="W820" s="4"/>
      <c r="X820" s="4"/>
      <c r="Y820" s="4"/>
    </row>
    <row r="821">
      <c r="A821" s="5"/>
      <c r="B821" s="9"/>
      <c r="C821" s="5"/>
      <c r="D821" s="9"/>
      <c r="E821" s="9"/>
      <c r="F821" s="9"/>
      <c r="G821" s="9"/>
      <c r="H821" s="9"/>
      <c r="I821" s="9"/>
      <c r="J821" s="5"/>
      <c r="K821" s="4"/>
      <c r="L821" s="10"/>
      <c r="M821" s="10"/>
      <c r="N821" s="10"/>
      <c r="O821" s="10"/>
      <c r="P821" s="10"/>
      <c r="Q821" s="11"/>
      <c r="R821" s="9"/>
      <c r="S821" s="12"/>
      <c r="T821" s="5"/>
      <c r="U821" s="5"/>
      <c r="V821" s="4"/>
      <c r="W821" s="4"/>
      <c r="X821" s="4"/>
      <c r="Y821" s="4"/>
    </row>
    <row r="822">
      <c r="A822" s="5"/>
      <c r="B822" s="9"/>
      <c r="C822" s="5"/>
      <c r="D822" s="9"/>
      <c r="E822" s="9"/>
      <c r="F822" s="9"/>
      <c r="G822" s="9"/>
      <c r="H822" s="9"/>
      <c r="I822" s="9"/>
      <c r="J822" s="5"/>
      <c r="K822" s="4"/>
      <c r="L822" s="10"/>
      <c r="M822" s="10"/>
      <c r="N822" s="10"/>
      <c r="O822" s="10"/>
      <c r="P822" s="10"/>
      <c r="Q822" s="11"/>
      <c r="R822" s="9"/>
      <c r="S822" s="12"/>
      <c r="T822" s="5"/>
      <c r="U822" s="5"/>
      <c r="V822" s="4"/>
      <c r="W822" s="4"/>
      <c r="X822" s="4"/>
      <c r="Y822" s="4"/>
    </row>
    <row r="823">
      <c r="A823" s="5"/>
      <c r="B823" s="9"/>
      <c r="C823" s="5"/>
      <c r="D823" s="9"/>
      <c r="E823" s="9"/>
      <c r="F823" s="9"/>
      <c r="G823" s="9"/>
      <c r="H823" s="9"/>
      <c r="I823" s="9"/>
      <c r="J823" s="5"/>
      <c r="K823" s="4"/>
      <c r="L823" s="10"/>
      <c r="M823" s="10"/>
      <c r="N823" s="10"/>
      <c r="O823" s="10"/>
      <c r="P823" s="10"/>
      <c r="Q823" s="11"/>
      <c r="R823" s="9"/>
      <c r="S823" s="12"/>
      <c r="T823" s="5"/>
      <c r="U823" s="5"/>
      <c r="V823" s="4"/>
      <c r="W823" s="4"/>
      <c r="X823" s="4"/>
      <c r="Y823" s="4"/>
    </row>
    <row r="824">
      <c r="A824" s="5"/>
      <c r="B824" s="9"/>
      <c r="C824" s="5"/>
      <c r="D824" s="9"/>
      <c r="E824" s="9"/>
      <c r="F824" s="9"/>
      <c r="G824" s="9"/>
      <c r="H824" s="9"/>
      <c r="I824" s="9"/>
      <c r="J824" s="5"/>
      <c r="K824" s="4"/>
      <c r="L824" s="10"/>
      <c r="M824" s="10"/>
      <c r="N824" s="10"/>
      <c r="O824" s="10"/>
      <c r="P824" s="10"/>
      <c r="Q824" s="11"/>
      <c r="R824" s="9"/>
      <c r="S824" s="12"/>
      <c r="T824" s="5"/>
      <c r="U824" s="5"/>
      <c r="V824" s="4"/>
      <c r="W824" s="4"/>
      <c r="X824" s="4"/>
      <c r="Y824" s="4"/>
    </row>
    <row r="825">
      <c r="A825" s="5"/>
      <c r="B825" s="9"/>
      <c r="C825" s="5"/>
      <c r="D825" s="9"/>
      <c r="E825" s="9"/>
      <c r="F825" s="9"/>
      <c r="G825" s="9"/>
      <c r="H825" s="9"/>
      <c r="I825" s="9"/>
      <c r="J825" s="5"/>
      <c r="K825" s="4"/>
      <c r="L825" s="10"/>
      <c r="M825" s="10"/>
      <c r="N825" s="10"/>
      <c r="O825" s="10"/>
      <c r="P825" s="10"/>
      <c r="Q825" s="11"/>
      <c r="R825" s="9"/>
      <c r="S825" s="12"/>
      <c r="T825" s="5"/>
      <c r="U825" s="5"/>
      <c r="V825" s="4"/>
      <c r="W825" s="4"/>
      <c r="X825" s="4"/>
      <c r="Y825" s="4"/>
    </row>
    <row r="826">
      <c r="A826" s="5"/>
      <c r="B826" s="9"/>
      <c r="C826" s="5"/>
      <c r="D826" s="9"/>
      <c r="E826" s="9"/>
      <c r="F826" s="9"/>
      <c r="G826" s="9"/>
      <c r="H826" s="9"/>
      <c r="I826" s="9"/>
      <c r="J826" s="5"/>
      <c r="K826" s="4"/>
      <c r="L826" s="10"/>
      <c r="M826" s="10"/>
      <c r="N826" s="10"/>
      <c r="O826" s="10"/>
      <c r="P826" s="10"/>
      <c r="Q826" s="11"/>
      <c r="R826" s="9"/>
      <c r="S826" s="12"/>
      <c r="T826" s="5"/>
      <c r="U826" s="5"/>
      <c r="V826" s="4"/>
      <c r="W826" s="4"/>
      <c r="X826" s="4"/>
      <c r="Y826" s="4"/>
    </row>
    <row r="827">
      <c r="A827" s="5"/>
      <c r="B827" s="9"/>
      <c r="C827" s="5"/>
      <c r="D827" s="9"/>
      <c r="E827" s="9"/>
      <c r="F827" s="9"/>
      <c r="G827" s="9"/>
      <c r="H827" s="9"/>
      <c r="I827" s="9"/>
      <c r="J827" s="5"/>
      <c r="K827" s="4"/>
      <c r="L827" s="10"/>
      <c r="M827" s="10"/>
      <c r="N827" s="10"/>
      <c r="O827" s="10"/>
      <c r="P827" s="10"/>
      <c r="Q827" s="11"/>
      <c r="R827" s="9"/>
      <c r="S827" s="12"/>
      <c r="T827" s="5"/>
      <c r="U827" s="5"/>
      <c r="V827" s="4"/>
      <c r="W827" s="4"/>
      <c r="X827" s="4"/>
      <c r="Y827" s="4"/>
    </row>
    <row r="828">
      <c r="A828" s="5"/>
      <c r="B828" s="9"/>
      <c r="C828" s="5"/>
      <c r="D828" s="9"/>
      <c r="E828" s="9"/>
      <c r="F828" s="9"/>
      <c r="G828" s="9"/>
      <c r="H828" s="9"/>
      <c r="I828" s="9"/>
      <c r="J828" s="5"/>
      <c r="K828" s="4"/>
      <c r="L828" s="10"/>
      <c r="M828" s="10"/>
      <c r="N828" s="10"/>
      <c r="O828" s="10"/>
      <c r="P828" s="10"/>
      <c r="Q828" s="11"/>
      <c r="R828" s="9"/>
      <c r="S828" s="12"/>
      <c r="T828" s="5"/>
      <c r="U828" s="5"/>
      <c r="V828" s="4"/>
      <c r="W828" s="4"/>
      <c r="X828" s="4"/>
      <c r="Y828" s="4"/>
    </row>
    <row r="829">
      <c r="A829" s="5"/>
      <c r="B829" s="9"/>
      <c r="C829" s="5"/>
      <c r="D829" s="9"/>
      <c r="E829" s="9"/>
      <c r="F829" s="9"/>
      <c r="G829" s="9"/>
      <c r="H829" s="9"/>
      <c r="I829" s="9"/>
      <c r="J829" s="5"/>
      <c r="K829" s="4"/>
      <c r="L829" s="10"/>
      <c r="M829" s="10"/>
      <c r="N829" s="10"/>
      <c r="O829" s="10"/>
      <c r="P829" s="10"/>
      <c r="Q829" s="11"/>
      <c r="R829" s="9"/>
      <c r="S829" s="12"/>
      <c r="T829" s="5"/>
      <c r="U829" s="5"/>
      <c r="V829" s="4"/>
      <c r="W829" s="4"/>
      <c r="X829" s="4"/>
      <c r="Y829" s="4"/>
    </row>
    <row r="830">
      <c r="A830" s="5"/>
      <c r="B830" s="9"/>
      <c r="C830" s="5"/>
      <c r="D830" s="9"/>
      <c r="E830" s="9"/>
      <c r="F830" s="9"/>
      <c r="G830" s="9"/>
      <c r="H830" s="9"/>
      <c r="I830" s="9"/>
      <c r="J830" s="5"/>
      <c r="K830" s="4"/>
      <c r="L830" s="10"/>
      <c r="M830" s="10"/>
      <c r="N830" s="10"/>
      <c r="O830" s="10"/>
      <c r="P830" s="10"/>
      <c r="Q830" s="11"/>
      <c r="R830" s="9"/>
      <c r="S830" s="12"/>
      <c r="T830" s="5"/>
      <c r="U830" s="5"/>
      <c r="V830" s="4"/>
      <c r="W830" s="4"/>
      <c r="X830" s="4"/>
      <c r="Y830" s="4"/>
    </row>
    <row r="831">
      <c r="A831" s="5"/>
      <c r="B831" s="9"/>
      <c r="C831" s="5"/>
      <c r="D831" s="9"/>
      <c r="E831" s="9"/>
      <c r="F831" s="9"/>
      <c r="G831" s="9"/>
      <c r="H831" s="9"/>
      <c r="I831" s="9"/>
      <c r="J831" s="5"/>
      <c r="K831" s="4"/>
      <c r="L831" s="10"/>
      <c r="M831" s="10"/>
      <c r="N831" s="10"/>
      <c r="O831" s="10"/>
      <c r="P831" s="10"/>
      <c r="Q831" s="11"/>
      <c r="R831" s="9"/>
      <c r="S831" s="12"/>
      <c r="T831" s="5"/>
      <c r="U831" s="5"/>
      <c r="V831" s="4"/>
      <c r="W831" s="4"/>
      <c r="X831" s="4"/>
      <c r="Y831" s="4"/>
    </row>
    <row r="832">
      <c r="A832" s="5"/>
      <c r="B832" s="9"/>
      <c r="C832" s="5"/>
      <c r="D832" s="9"/>
      <c r="E832" s="9"/>
      <c r="F832" s="9"/>
      <c r="G832" s="9"/>
      <c r="H832" s="9"/>
      <c r="I832" s="9"/>
      <c r="J832" s="5"/>
      <c r="K832" s="4"/>
      <c r="L832" s="10"/>
      <c r="M832" s="10"/>
      <c r="N832" s="10"/>
      <c r="O832" s="10"/>
      <c r="P832" s="10"/>
      <c r="Q832" s="11"/>
      <c r="R832" s="9"/>
      <c r="S832" s="12"/>
      <c r="T832" s="5"/>
      <c r="U832" s="5"/>
      <c r="V832" s="4"/>
      <c r="W832" s="4"/>
      <c r="X832" s="4"/>
      <c r="Y832" s="4"/>
    </row>
    <row r="833">
      <c r="A833" s="5"/>
      <c r="B833" s="9"/>
      <c r="C833" s="5"/>
      <c r="D833" s="9"/>
      <c r="E833" s="9"/>
      <c r="F833" s="9"/>
      <c r="G833" s="9"/>
      <c r="H833" s="9"/>
      <c r="I833" s="9"/>
      <c r="J833" s="5"/>
      <c r="K833" s="4"/>
      <c r="L833" s="10"/>
      <c r="M833" s="10"/>
      <c r="N833" s="10"/>
      <c r="O833" s="10"/>
      <c r="P833" s="10"/>
      <c r="Q833" s="11"/>
      <c r="R833" s="9"/>
      <c r="S833" s="12"/>
      <c r="T833" s="5"/>
      <c r="U833" s="5"/>
      <c r="V833" s="4"/>
      <c r="W833" s="4"/>
      <c r="X833" s="4"/>
      <c r="Y833" s="4"/>
    </row>
    <row r="834">
      <c r="A834" s="5"/>
      <c r="B834" s="9"/>
      <c r="C834" s="5"/>
      <c r="D834" s="9"/>
      <c r="E834" s="9"/>
      <c r="F834" s="9"/>
      <c r="G834" s="9"/>
      <c r="H834" s="9"/>
      <c r="I834" s="9"/>
      <c r="J834" s="5"/>
      <c r="K834" s="4"/>
      <c r="L834" s="10"/>
      <c r="M834" s="10"/>
      <c r="N834" s="10"/>
      <c r="O834" s="10"/>
      <c r="P834" s="10"/>
      <c r="Q834" s="11"/>
      <c r="R834" s="9"/>
      <c r="S834" s="12"/>
      <c r="T834" s="5"/>
      <c r="U834" s="5"/>
      <c r="V834" s="4"/>
      <c r="W834" s="4"/>
      <c r="X834" s="4"/>
      <c r="Y834" s="4"/>
    </row>
    <row r="835">
      <c r="A835" s="5"/>
      <c r="B835" s="9"/>
      <c r="C835" s="5"/>
      <c r="D835" s="9"/>
      <c r="E835" s="9"/>
      <c r="F835" s="9"/>
      <c r="G835" s="9"/>
      <c r="H835" s="9"/>
      <c r="I835" s="9"/>
      <c r="J835" s="5"/>
      <c r="K835" s="4"/>
      <c r="L835" s="10"/>
      <c r="M835" s="10"/>
      <c r="N835" s="10"/>
      <c r="O835" s="10"/>
      <c r="P835" s="10"/>
      <c r="Q835" s="11"/>
      <c r="R835" s="9"/>
      <c r="S835" s="12"/>
      <c r="T835" s="5"/>
      <c r="U835" s="5"/>
      <c r="V835" s="4"/>
      <c r="W835" s="4"/>
      <c r="X835" s="4"/>
      <c r="Y835" s="4"/>
    </row>
    <row r="836">
      <c r="A836" s="5"/>
      <c r="B836" s="9"/>
      <c r="C836" s="5"/>
      <c r="D836" s="9"/>
      <c r="E836" s="9"/>
      <c r="F836" s="9"/>
      <c r="G836" s="9"/>
      <c r="H836" s="9"/>
      <c r="I836" s="9"/>
      <c r="J836" s="5"/>
      <c r="K836" s="4"/>
      <c r="L836" s="10"/>
      <c r="M836" s="10"/>
      <c r="N836" s="10"/>
      <c r="O836" s="10"/>
      <c r="P836" s="10"/>
      <c r="Q836" s="11"/>
      <c r="R836" s="9"/>
      <c r="S836" s="12"/>
      <c r="T836" s="5"/>
      <c r="U836" s="5"/>
      <c r="V836" s="4"/>
      <c r="W836" s="4"/>
      <c r="X836" s="4"/>
      <c r="Y836" s="4"/>
    </row>
    <row r="837">
      <c r="A837" s="5"/>
      <c r="B837" s="9"/>
      <c r="C837" s="5"/>
      <c r="D837" s="9"/>
      <c r="E837" s="9"/>
      <c r="F837" s="9"/>
      <c r="G837" s="9"/>
      <c r="H837" s="9"/>
      <c r="I837" s="9"/>
      <c r="J837" s="5"/>
      <c r="K837" s="4"/>
      <c r="L837" s="10"/>
      <c r="M837" s="10"/>
      <c r="N837" s="10"/>
      <c r="O837" s="10"/>
      <c r="P837" s="10"/>
      <c r="Q837" s="11"/>
      <c r="R837" s="9"/>
      <c r="S837" s="12"/>
      <c r="T837" s="5"/>
      <c r="U837" s="5"/>
      <c r="V837" s="4"/>
      <c r="W837" s="4"/>
      <c r="X837" s="4"/>
      <c r="Y837" s="4"/>
    </row>
    <row r="838">
      <c r="A838" s="5"/>
      <c r="B838" s="9"/>
      <c r="C838" s="5"/>
      <c r="D838" s="9"/>
      <c r="E838" s="9"/>
      <c r="F838" s="9"/>
      <c r="G838" s="9"/>
      <c r="H838" s="9"/>
      <c r="I838" s="9"/>
      <c r="J838" s="5"/>
      <c r="K838" s="4"/>
      <c r="L838" s="10"/>
      <c r="M838" s="10"/>
      <c r="N838" s="10"/>
      <c r="O838" s="10"/>
      <c r="P838" s="10"/>
      <c r="Q838" s="11"/>
      <c r="R838" s="9"/>
      <c r="S838" s="12"/>
      <c r="T838" s="5"/>
      <c r="U838" s="5"/>
      <c r="V838" s="4"/>
      <c r="W838" s="4"/>
      <c r="X838" s="4"/>
      <c r="Y838" s="4"/>
    </row>
    <row r="839">
      <c r="A839" s="5"/>
      <c r="B839" s="9"/>
      <c r="C839" s="5"/>
      <c r="D839" s="9"/>
      <c r="E839" s="9"/>
      <c r="F839" s="9"/>
      <c r="G839" s="9"/>
      <c r="H839" s="9"/>
      <c r="I839" s="9"/>
      <c r="J839" s="5"/>
      <c r="K839" s="4"/>
      <c r="L839" s="10"/>
      <c r="M839" s="10"/>
      <c r="N839" s="10"/>
      <c r="O839" s="10"/>
      <c r="P839" s="10"/>
      <c r="Q839" s="11"/>
      <c r="R839" s="9"/>
      <c r="S839" s="12"/>
      <c r="T839" s="5"/>
      <c r="U839" s="5"/>
      <c r="V839" s="4"/>
      <c r="W839" s="4"/>
      <c r="X839" s="4"/>
      <c r="Y839" s="4"/>
    </row>
    <row r="840">
      <c r="A840" s="5"/>
      <c r="B840" s="9"/>
      <c r="C840" s="5"/>
      <c r="D840" s="9"/>
      <c r="E840" s="9"/>
      <c r="F840" s="9"/>
      <c r="G840" s="9"/>
      <c r="H840" s="9"/>
      <c r="I840" s="9"/>
      <c r="J840" s="5"/>
      <c r="K840" s="4"/>
      <c r="L840" s="10"/>
      <c r="M840" s="10"/>
      <c r="N840" s="10"/>
      <c r="O840" s="10"/>
      <c r="P840" s="10"/>
      <c r="Q840" s="11"/>
      <c r="R840" s="9"/>
      <c r="S840" s="12"/>
      <c r="T840" s="5"/>
      <c r="U840" s="5"/>
      <c r="V840" s="4"/>
      <c r="W840" s="4"/>
      <c r="X840" s="4"/>
      <c r="Y840" s="4"/>
    </row>
    <row r="841">
      <c r="A841" s="5"/>
      <c r="B841" s="9"/>
      <c r="C841" s="5"/>
      <c r="D841" s="9"/>
      <c r="E841" s="9"/>
      <c r="F841" s="9"/>
      <c r="G841" s="9"/>
      <c r="H841" s="9"/>
      <c r="I841" s="9"/>
      <c r="J841" s="5"/>
      <c r="K841" s="4"/>
      <c r="L841" s="10"/>
      <c r="M841" s="10"/>
      <c r="N841" s="10"/>
      <c r="O841" s="10"/>
      <c r="P841" s="10"/>
      <c r="Q841" s="11"/>
      <c r="R841" s="9"/>
      <c r="S841" s="12"/>
      <c r="T841" s="5"/>
      <c r="U841" s="5"/>
      <c r="V841" s="4"/>
      <c r="W841" s="4"/>
      <c r="X841" s="4"/>
      <c r="Y841" s="4"/>
    </row>
    <row r="842">
      <c r="A842" s="5"/>
      <c r="B842" s="9"/>
      <c r="C842" s="5"/>
      <c r="D842" s="9"/>
      <c r="E842" s="9"/>
      <c r="F842" s="9"/>
      <c r="G842" s="9"/>
      <c r="H842" s="9"/>
      <c r="I842" s="9"/>
      <c r="J842" s="5"/>
      <c r="K842" s="4"/>
      <c r="L842" s="10"/>
      <c r="M842" s="10"/>
      <c r="N842" s="10"/>
      <c r="O842" s="10"/>
      <c r="P842" s="10"/>
      <c r="Q842" s="11"/>
      <c r="R842" s="9"/>
      <c r="S842" s="12"/>
      <c r="T842" s="5"/>
      <c r="U842" s="5"/>
      <c r="V842" s="4"/>
      <c r="W842" s="4"/>
      <c r="X842" s="4"/>
      <c r="Y842" s="4"/>
    </row>
    <row r="843">
      <c r="A843" s="5"/>
      <c r="B843" s="9"/>
      <c r="C843" s="5"/>
      <c r="D843" s="9"/>
      <c r="E843" s="9"/>
      <c r="F843" s="9"/>
      <c r="G843" s="9"/>
      <c r="H843" s="9"/>
      <c r="I843" s="9"/>
      <c r="J843" s="5"/>
      <c r="K843" s="4"/>
      <c r="L843" s="10"/>
      <c r="M843" s="10"/>
      <c r="N843" s="10"/>
      <c r="O843" s="10"/>
      <c r="P843" s="10"/>
      <c r="Q843" s="11"/>
      <c r="R843" s="9"/>
      <c r="S843" s="12"/>
      <c r="T843" s="5"/>
      <c r="U843" s="5"/>
      <c r="V843" s="4"/>
      <c r="W843" s="4"/>
      <c r="X843" s="4"/>
      <c r="Y843" s="4"/>
    </row>
    <row r="844">
      <c r="A844" s="5"/>
      <c r="B844" s="9"/>
      <c r="C844" s="5"/>
      <c r="D844" s="9"/>
      <c r="E844" s="9"/>
      <c r="F844" s="9"/>
      <c r="G844" s="9"/>
      <c r="H844" s="9"/>
      <c r="I844" s="9"/>
      <c r="J844" s="5"/>
      <c r="K844" s="4"/>
      <c r="L844" s="10"/>
      <c r="M844" s="10"/>
      <c r="N844" s="10"/>
      <c r="O844" s="10"/>
      <c r="P844" s="10"/>
      <c r="Q844" s="11"/>
      <c r="R844" s="9"/>
      <c r="S844" s="12"/>
      <c r="T844" s="5"/>
      <c r="U844" s="5"/>
      <c r="V844" s="4"/>
      <c r="W844" s="4"/>
      <c r="X844" s="4"/>
      <c r="Y844" s="4"/>
    </row>
    <row r="845">
      <c r="A845" s="5"/>
      <c r="B845" s="9"/>
      <c r="C845" s="5"/>
      <c r="D845" s="9"/>
      <c r="E845" s="9"/>
      <c r="F845" s="9"/>
      <c r="G845" s="9"/>
      <c r="H845" s="9"/>
      <c r="I845" s="9"/>
      <c r="J845" s="5"/>
      <c r="K845" s="4"/>
      <c r="L845" s="10"/>
      <c r="M845" s="10"/>
      <c r="N845" s="10"/>
      <c r="O845" s="10"/>
      <c r="P845" s="10"/>
      <c r="Q845" s="11"/>
      <c r="R845" s="9"/>
      <c r="S845" s="12"/>
      <c r="T845" s="5"/>
      <c r="U845" s="5"/>
      <c r="V845" s="4"/>
      <c r="W845" s="4"/>
      <c r="X845" s="4"/>
      <c r="Y845" s="4"/>
    </row>
    <row r="846">
      <c r="A846" s="5"/>
      <c r="B846" s="9"/>
      <c r="C846" s="5"/>
      <c r="D846" s="9"/>
      <c r="E846" s="9"/>
      <c r="F846" s="9"/>
      <c r="G846" s="9"/>
      <c r="H846" s="9"/>
      <c r="I846" s="9"/>
      <c r="J846" s="5"/>
      <c r="K846" s="4"/>
      <c r="L846" s="10"/>
      <c r="M846" s="10"/>
      <c r="N846" s="10"/>
      <c r="O846" s="10"/>
      <c r="P846" s="10"/>
      <c r="Q846" s="11"/>
      <c r="R846" s="9"/>
      <c r="S846" s="12"/>
      <c r="T846" s="5"/>
      <c r="U846" s="5"/>
      <c r="V846" s="4"/>
      <c r="W846" s="4"/>
      <c r="X846" s="4"/>
      <c r="Y846" s="4"/>
    </row>
    <row r="847">
      <c r="A847" s="5"/>
      <c r="B847" s="9"/>
      <c r="C847" s="5"/>
      <c r="D847" s="9"/>
      <c r="E847" s="9"/>
      <c r="F847" s="9"/>
      <c r="G847" s="9"/>
      <c r="H847" s="9"/>
      <c r="I847" s="9"/>
      <c r="J847" s="5"/>
      <c r="K847" s="4"/>
      <c r="L847" s="10"/>
      <c r="M847" s="10"/>
      <c r="N847" s="10"/>
      <c r="O847" s="10"/>
      <c r="P847" s="10"/>
      <c r="Q847" s="11"/>
      <c r="R847" s="9"/>
      <c r="S847" s="12"/>
      <c r="T847" s="5"/>
      <c r="U847" s="5"/>
      <c r="V847" s="4"/>
      <c r="W847" s="4"/>
      <c r="X847" s="4"/>
      <c r="Y847" s="4"/>
    </row>
    <row r="848">
      <c r="A848" s="5"/>
      <c r="B848" s="9"/>
      <c r="C848" s="5"/>
      <c r="D848" s="9"/>
      <c r="E848" s="9"/>
      <c r="F848" s="9"/>
      <c r="G848" s="9"/>
      <c r="H848" s="9"/>
      <c r="I848" s="9"/>
      <c r="J848" s="5"/>
      <c r="K848" s="4"/>
      <c r="L848" s="10"/>
      <c r="M848" s="10"/>
      <c r="N848" s="10"/>
      <c r="O848" s="10"/>
      <c r="P848" s="10"/>
      <c r="Q848" s="11"/>
      <c r="R848" s="9"/>
      <c r="S848" s="12"/>
      <c r="T848" s="5"/>
      <c r="U848" s="5"/>
      <c r="V848" s="4"/>
      <c r="W848" s="4"/>
      <c r="X848" s="4"/>
      <c r="Y848" s="4"/>
    </row>
    <row r="849">
      <c r="A849" s="5"/>
      <c r="B849" s="9"/>
      <c r="C849" s="5"/>
      <c r="D849" s="9"/>
      <c r="E849" s="9"/>
      <c r="F849" s="9"/>
      <c r="G849" s="9"/>
      <c r="H849" s="9"/>
      <c r="I849" s="9"/>
      <c r="J849" s="5"/>
      <c r="K849" s="4"/>
      <c r="L849" s="10"/>
      <c r="M849" s="10"/>
      <c r="N849" s="10"/>
      <c r="O849" s="10"/>
      <c r="P849" s="10"/>
      <c r="Q849" s="11"/>
      <c r="R849" s="9"/>
      <c r="S849" s="12"/>
      <c r="T849" s="5"/>
      <c r="U849" s="5"/>
      <c r="V849" s="4"/>
      <c r="W849" s="4"/>
      <c r="X849" s="4"/>
      <c r="Y849" s="4"/>
    </row>
    <row r="850">
      <c r="A850" s="5"/>
      <c r="B850" s="9"/>
      <c r="C850" s="5"/>
      <c r="D850" s="9"/>
      <c r="E850" s="9"/>
      <c r="F850" s="9"/>
      <c r="G850" s="9"/>
      <c r="H850" s="9"/>
      <c r="I850" s="9"/>
      <c r="J850" s="5"/>
      <c r="K850" s="4"/>
      <c r="L850" s="10"/>
      <c r="M850" s="10"/>
      <c r="N850" s="10"/>
      <c r="O850" s="10"/>
      <c r="P850" s="10"/>
      <c r="Q850" s="11"/>
      <c r="R850" s="9"/>
      <c r="S850" s="12"/>
      <c r="T850" s="5"/>
      <c r="U850" s="5"/>
      <c r="V850" s="4"/>
      <c r="W850" s="4"/>
      <c r="X850" s="4"/>
      <c r="Y850" s="4"/>
    </row>
    <row r="851">
      <c r="A851" s="5"/>
      <c r="B851" s="9"/>
      <c r="C851" s="5"/>
      <c r="D851" s="9"/>
      <c r="E851" s="9"/>
      <c r="F851" s="9"/>
      <c r="G851" s="9"/>
      <c r="H851" s="9"/>
      <c r="I851" s="9"/>
      <c r="J851" s="5"/>
      <c r="K851" s="4"/>
      <c r="L851" s="10"/>
      <c r="M851" s="10"/>
      <c r="N851" s="10"/>
      <c r="O851" s="10"/>
      <c r="P851" s="10"/>
      <c r="Q851" s="11"/>
      <c r="R851" s="9"/>
      <c r="S851" s="12"/>
      <c r="T851" s="5"/>
      <c r="U851" s="5"/>
      <c r="V851" s="4"/>
      <c r="W851" s="4"/>
      <c r="X851" s="4"/>
      <c r="Y851" s="4"/>
    </row>
    <row r="852">
      <c r="A852" s="5"/>
      <c r="B852" s="9"/>
      <c r="C852" s="5"/>
      <c r="D852" s="9"/>
      <c r="E852" s="9"/>
      <c r="F852" s="9"/>
      <c r="G852" s="9"/>
      <c r="H852" s="9"/>
      <c r="I852" s="9"/>
      <c r="J852" s="5"/>
      <c r="K852" s="4"/>
      <c r="L852" s="10"/>
      <c r="M852" s="10"/>
      <c r="N852" s="10"/>
      <c r="O852" s="10"/>
      <c r="P852" s="10"/>
      <c r="Q852" s="11"/>
      <c r="R852" s="9"/>
      <c r="S852" s="12"/>
      <c r="T852" s="5"/>
      <c r="U852" s="5"/>
      <c r="V852" s="4"/>
      <c r="W852" s="4"/>
      <c r="X852" s="4"/>
      <c r="Y852" s="4"/>
    </row>
    <row r="853">
      <c r="A853" s="5"/>
      <c r="B853" s="9"/>
      <c r="C853" s="5"/>
      <c r="D853" s="9"/>
      <c r="E853" s="9"/>
      <c r="F853" s="9"/>
      <c r="G853" s="9"/>
      <c r="H853" s="9"/>
      <c r="I853" s="9"/>
      <c r="J853" s="5"/>
      <c r="K853" s="4"/>
      <c r="L853" s="10"/>
      <c r="M853" s="10"/>
      <c r="N853" s="10"/>
      <c r="O853" s="10"/>
      <c r="P853" s="10"/>
      <c r="Q853" s="11"/>
      <c r="R853" s="9"/>
      <c r="S853" s="12"/>
      <c r="T853" s="5"/>
      <c r="U853" s="5"/>
      <c r="V853" s="4"/>
      <c r="W853" s="4"/>
      <c r="X853" s="4"/>
      <c r="Y853" s="4"/>
    </row>
    <row r="854">
      <c r="A854" s="5"/>
      <c r="B854" s="9"/>
      <c r="C854" s="5"/>
      <c r="D854" s="9"/>
      <c r="E854" s="9"/>
      <c r="F854" s="9"/>
      <c r="G854" s="9"/>
      <c r="H854" s="9"/>
      <c r="I854" s="9"/>
      <c r="J854" s="5"/>
      <c r="K854" s="4"/>
      <c r="L854" s="10"/>
      <c r="M854" s="10"/>
      <c r="N854" s="10"/>
      <c r="O854" s="10"/>
      <c r="P854" s="10"/>
      <c r="Q854" s="11"/>
      <c r="R854" s="9"/>
      <c r="S854" s="12"/>
      <c r="T854" s="5"/>
      <c r="U854" s="5"/>
      <c r="V854" s="4"/>
      <c r="W854" s="4"/>
      <c r="X854" s="4"/>
      <c r="Y854" s="4"/>
    </row>
    <row r="855">
      <c r="A855" s="5"/>
      <c r="B855" s="9"/>
      <c r="C855" s="5"/>
      <c r="D855" s="9"/>
      <c r="E855" s="9"/>
      <c r="F855" s="9"/>
      <c r="G855" s="9"/>
      <c r="H855" s="9"/>
      <c r="I855" s="9"/>
      <c r="J855" s="5"/>
      <c r="K855" s="4"/>
      <c r="L855" s="10"/>
      <c r="M855" s="10"/>
      <c r="N855" s="10"/>
      <c r="O855" s="10"/>
      <c r="P855" s="10"/>
      <c r="Q855" s="11"/>
      <c r="R855" s="9"/>
      <c r="S855" s="12"/>
      <c r="T855" s="5"/>
      <c r="U855" s="5"/>
      <c r="V855" s="4"/>
      <c r="W855" s="4"/>
      <c r="X855" s="4"/>
      <c r="Y855" s="4"/>
    </row>
    <row r="856">
      <c r="A856" s="5"/>
      <c r="B856" s="9"/>
      <c r="C856" s="5"/>
      <c r="D856" s="9"/>
      <c r="E856" s="9"/>
      <c r="F856" s="9"/>
      <c r="G856" s="9"/>
      <c r="H856" s="9"/>
      <c r="I856" s="9"/>
      <c r="J856" s="5"/>
      <c r="K856" s="4"/>
      <c r="L856" s="10"/>
      <c r="M856" s="10"/>
      <c r="N856" s="10"/>
      <c r="O856" s="10"/>
      <c r="P856" s="10"/>
      <c r="Q856" s="11"/>
      <c r="R856" s="9"/>
      <c r="S856" s="12"/>
      <c r="T856" s="5"/>
      <c r="U856" s="5"/>
      <c r="V856" s="4"/>
      <c r="W856" s="4"/>
      <c r="X856" s="4"/>
      <c r="Y856" s="4"/>
    </row>
    <row r="857">
      <c r="A857" s="5"/>
      <c r="B857" s="9"/>
      <c r="C857" s="5"/>
      <c r="D857" s="9"/>
      <c r="E857" s="9"/>
      <c r="F857" s="9"/>
      <c r="G857" s="9"/>
      <c r="H857" s="9"/>
      <c r="I857" s="9"/>
      <c r="J857" s="5"/>
      <c r="K857" s="4"/>
      <c r="L857" s="10"/>
      <c r="M857" s="10"/>
      <c r="N857" s="10"/>
      <c r="O857" s="10"/>
      <c r="P857" s="10"/>
      <c r="Q857" s="11"/>
      <c r="R857" s="9"/>
      <c r="S857" s="12"/>
      <c r="T857" s="5"/>
      <c r="U857" s="5"/>
      <c r="V857" s="4"/>
      <c r="W857" s="4"/>
      <c r="X857" s="4"/>
      <c r="Y857" s="4"/>
    </row>
    <row r="858">
      <c r="A858" s="5"/>
      <c r="B858" s="9"/>
      <c r="C858" s="5"/>
      <c r="D858" s="9"/>
      <c r="E858" s="9"/>
      <c r="F858" s="9"/>
      <c r="G858" s="9"/>
      <c r="H858" s="9"/>
      <c r="I858" s="9"/>
      <c r="J858" s="5"/>
      <c r="K858" s="4"/>
      <c r="L858" s="10"/>
      <c r="M858" s="10"/>
      <c r="N858" s="10"/>
      <c r="O858" s="10"/>
      <c r="P858" s="10"/>
      <c r="Q858" s="11"/>
      <c r="R858" s="9"/>
      <c r="S858" s="12"/>
      <c r="T858" s="5"/>
      <c r="U858" s="5"/>
      <c r="V858" s="4"/>
      <c r="W858" s="4"/>
      <c r="X858" s="4"/>
      <c r="Y858" s="4"/>
    </row>
    <row r="859">
      <c r="A859" s="5"/>
      <c r="B859" s="9"/>
      <c r="C859" s="5"/>
      <c r="D859" s="9"/>
      <c r="E859" s="9"/>
      <c r="F859" s="9"/>
      <c r="G859" s="9"/>
      <c r="H859" s="9"/>
      <c r="I859" s="9"/>
      <c r="J859" s="5"/>
      <c r="K859" s="4"/>
      <c r="L859" s="10"/>
      <c r="M859" s="10"/>
      <c r="N859" s="10"/>
      <c r="O859" s="10"/>
      <c r="P859" s="10"/>
      <c r="Q859" s="11"/>
      <c r="R859" s="9"/>
      <c r="S859" s="12"/>
      <c r="T859" s="5"/>
      <c r="U859" s="5"/>
      <c r="V859" s="4"/>
      <c r="W859" s="4"/>
      <c r="X859" s="4"/>
      <c r="Y859" s="4"/>
    </row>
    <row r="860">
      <c r="A860" s="5"/>
      <c r="B860" s="9"/>
      <c r="C860" s="5"/>
      <c r="D860" s="9"/>
      <c r="E860" s="9"/>
      <c r="F860" s="9"/>
      <c r="G860" s="9"/>
      <c r="H860" s="9"/>
      <c r="I860" s="9"/>
      <c r="J860" s="5"/>
      <c r="K860" s="4"/>
      <c r="L860" s="10"/>
      <c r="M860" s="10"/>
      <c r="N860" s="10"/>
      <c r="O860" s="10"/>
      <c r="P860" s="10"/>
      <c r="Q860" s="11"/>
      <c r="R860" s="9"/>
      <c r="S860" s="12"/>
      <c r="T860" s="5"/>
      <c r="U860" s="5"/>
      <c r="V860" s="4"/>
      <c r="W860" s="4"/>
      <c r="X860" s="4"/>
      <c r="Y860" s="4"/>
    </row>
    <row r="861">
      <c r="A861" s="5"/>
      <c r="B861" s="9"/>
      <c r="C861" s="5"/>
      <c r="D861" s="9"/>
      <c r="E861" s="9"/>
      <c r="F861" s="9"/>
      <c r="G861" s="9"/>
      <c r="H861" s="9"/>
      <c r="I861" s="9"/>
      <c r="J861" s="5"/>
      <c r="K861" s="4"/>
      <c r="L861" s="10"/>
      <c r="M861" s="10"/>
      <c r="N861" s="10"/>
      <c r="O861" s="10"/>
      <c r="P861" s="10"/>
      <c r="Q861" s="11"/>
      <c r="R861" s="9"/>
      <c r="S861" s="12"/>
      <c r="T861" s="5"/>
      <c r="U861" s="5"/>
      <c r="V861" s="4"/>
      <c r="W861" s="4"/>
      <c r="X861" s="4"/>
      <c r="Y861" s="4"/>
    </row>
    <row r="862">
      <c r="A862" s="5"/>
      <c r="B862" s="9"/>
      <c r="C862" s="5"/>
      <c r="D862" s="9"/>
      <c r="E862" s="9"/>
      <c r="F862" s="9"/>
      <c r="G862" s="9"/>
      <c r="H862" s="9"/>
      <c r="I862" s="9"/>
      <c r="J862" s="5"/>
      <c r="K862" s="4"/>
      <c r="L862" s="10"/>
      <c r="M862" s="10"/>
      <c r="N862" s="10"/>
      <c r="O862" s="10"/>
      <c r="P862" s="10"/>
      <c r="Q862" s="11"/>
      <c r="R862" s="9"/>
      <c r="S862" s="12"/>
      <c r="T862" s="5"/>
      <c r="U862" s="5"/>
      <c r="V862" s="4"/>
      <c r="W862" s="4"/>
      <c r="X862" s="4"/>
      <c r="Y862" s="4"/>
    </row>
    <row r="863">
      <c r="A863" s="5"/>
      <c r="B863" s="9"/>
      <c r="C863" s="5"/>
      <c r="D863" s="9"/>
      <c r="E863" s="9"/>
      <c r="F863" s="9"/>
      <c r="G863" s="9"/>
      <c r="H863" s="9"/>
      <c r="I863" s="9"/>
      <c r="J863" s="5"/>
      <c r="K863" s="4"/>
      <c r="L863" s="10"/>
      <c r="M863" s="10"/>
      <c r="N863" s="10"/>
      <c r="O863" s="10"/>
      <c r="P863" s="10"/>
      <c r="Q863" s="11"/>
      <c r="R863" s="9"/>
      <c r="S863" s="12"/>
      <c r="T863" s="5"/>
      <c r="U863" s="5"/>
      <c r="V863" s="4"/>
      <c r="W863" s="4"/>
      <c r="X863" s="4"/>
      <c r="Y863" s="4"/>
    </row>
    <row r="864">
      <c r="A864" s="5"/>
      <c r="B864" s="9"/>
      <c r="C864" s="5"/>
      <c r="D864" s="9"/>
      <c r="E864" s="9"/>
      <c r="F864" s="9"/>
      <c r="G864" s="9"/>
      <c r="H864" s="9"/>
      <c r="I864" s="9"/>
      <c r="J864" s="5"/>
      <c r="K864" s="4"/>
      <c r="L864" s="10"/>
      <c r="M864" s="10"/>
      <c r="N864" s="10"/>
      <c r="O864" s="10"/>
      <c r="P864" s="10"/>
      <c r="Q864" s="11"/>
      <c r="R864" s="9"/>
      <c r="S864" s="12"/>
      <c r="T864" s="5"/>
      <c r="U864" s="5"/>
      <c r="V864" s="4"/>
      <c r="W864" s="4"/>
      <c r="X864" s="4"/>
      <c r="Y864" s="4"/>
    </row>
    <row r="865">
      <c r="A865" s="5"/>
      <c r="B865" s="9"/>
      <c r="C865" s="5"/>
      <c r="D865" s="9"/>
      <c r="E865" s="9"/>
      <c r="F865" s="9"/>
      <c r="G865" s="9"/>
      <c r="H865" s="9"/>
      <c r="I865" s="9"/>
      <c r="J865" s="5"/>
      <c r="K865" s="4"/>
      <c r="L865" s="10"/>
      <c r="M865" s="10"/>
      <c r="N865" s="10"/>
      <c r="O865" s="10"/>
      <c r="P865" s="10"/>
      <c r="Q865" s="11"/>
      <c r="R865" s="9"/>
      <c r="S865" s="12"/>
      <c r="T865" s="5"/>
      <c r="U865" s="5"/>
      <c r="V865" s="4"/>
      <c r="W865" s="4"/>
      <c r="X865" s="4"/>
      <c r="Y865" s="4"/>
    </row>
    <row r="866">
      <c r="A866" s="5"/>
      <c r="B866" s="9"/>
      <c r="C866" s="5"/>
      <c r="D866" s="9"/>
      <c r="E866" s="9"/>
      <c r="F866" s="9"/>
      <c r="G866" s="9"/>
      <c r="H866" s="9"/>
      <c r="I866" s="9"/>
      <c r="J866" s="5"/>
      <c r="K866" s="4"/>
      <c r="L866" s="10"/>
      <c r="M866" s="10"/>
      <c r="N866" s="10"/>
      <c r="O866" s="10"/>
      <c r="P866" s="10"/>
      <c r="Q866" s="11"/>
      <c r="R866" s="9"/>
      <c r="S866" s="12"/>
      <c r="T866" s="5"/>
      <c r="U866" s="5"/>
      <c r="V866" s="4"/>
      <c r="W866" s="4"/>
      <c r="X866" s="4"/>
      <c r="Y866" s="4"/>
    </row>
    <row r="867">
      <c r="A867" s="5"/>
      <c r="B867" s="9"/>
      <c r="C867" s="5"/>
      <c r="D867" s="9"/>
      <c r="E867" s="9"/>
      <c r="F867" s="9"/>
      <c r="G867" s="9"/>
      <c r="H867" s="9"/>
      <c r="I867" s="9"/>
      <c r="J867" s="5"/>
      <c r="K867" s="4"/>
      <c r="L867" s="10"/>
      <c r="M867" s="10"/>
      <c r="N867" s="10"/>
      <c r="O867" s="10"/>
      <c r="P867" s="10"/>
      <c r="Q867" s="11"/>
      <c r="R867" s="9"/>
      <c r="S867" s="12"/>
      <c r="T867" s="5"/>
      <c r="U867" s="5"/>
      <c r="V867" s="4"/>
      <c r="W867" s="4"/>
      <c r="X867" s="4"/>
      <c r="Y867" s="4"/>
    </row>
    <row r="868">
      <c r="A868" s="5"/>
      <c r="B868" s="9"/>
      <c r="C868" s="5"/>
      <c r="D868" s="9"/>
      <c r="E868" s="9"/>
      <c r="F868" s="9"/>
      <c r="G868" s="9"/>
      <c r="H868" s="9"/>
      <c r="I868" s="9"/>
      <c r="J868" s="5"/>
      <c r="K868" s="4"/>
      <c r="L868" s="10"/>
      <c r="M868" s="10"/>
      <c r="N868" s="10"/>
      <c r="O868" s="10"/>
      <c r="P868" s="10"/>
      <c r="Q868" s="11"/>
      <c r="R868" s="9"/>
      <c r="S868" s="12"/>
      <c r="T868" s="5"/>
      <c r="U868" s="5"/>
      <c r="V868" s="4"/>
      <c r="W868" s="4"/>
      <c r="X868" s="4"/>
      <c r="Y868" s="4"/>
    </row>
    <row r="869">
      <c r="A869" s="5"/>
      <c r="B869" s="9"/>
      <c r="C869" s="5"/>
      <c r="D869" s="9"/>
      <c r="E869" s="9"/>
      <c r="F869" s="9"/>
      <c r="G869" s="9"/>
      <c r="H869" s="9"/>
      <c r="I869" s="9"/>
      <c r="J869" s="5"/>
      <c r="K869" s="4"/>
      <c r="L869" s="10"/>
      <c r="M869" s="10"/>
      <c r="N869" s="10"/>
      <c r="O869" s="10"/>
      <c r="P869" s="10"/>
      <c r="Q869" s="11"/>
      <c r="R869" s="9"/>
      <c r="S869" s="12"/>
      <c r="T869" s="5"/>
      <c r="U869" s="5"/>
      <c r="V869" s="4"/>
      <c r="W869" s="4"/>
      <c r="X869" s="4"/>
      <c r="Y869" s="4"/>
    </row>
    <row r="870">
      <c r="A870" s="5"/>
      <c r="B870" s="9"/>
      <c r="C870" s="5"/>
      <c r="D870" s="9"/>
      <c r="E870" s="9"/>
      <c r="F870" s="9"/>
      <c r="G870" s="9"/>
      <c r="H870" s="9"/>
      <c r="I870" s="9"/>
      <c r="J870" s="5"/>
      <c r="K870" s="4"/>
      <c r="L870" s="10"/>
      <c r="M870" s="10"/>
      <c r="N870" s="10"/>
      <c r="O870" s="10"/>
      <c r="P870" s="10"/>
      <c r="Q870" s="11"/>
      <c r="R870" s="9"/>
      <c r="S870" s="12"/>
      <c r="T870" s="5"/>
      <c r="U870" s="5"/>
      <c r="V870" s="4"/>
      <c r="W870" s="4"/>
      <c r="X870" s="4"/>
      <c r="Y870" s="4"/>
    </row>
    <row r="871">
      <c r="A871" s="5"/>
      <c r="B871" s="9"/>
      <c r="C871" s="5"/>
      <c r="D871" s="9"/>
      <c r="E871" s="9"/>
      <c r="F871" s="9"/>
      <c r="G871" s="9"/>
      <c r="H871" s="9"/>
      <c r="I871" s="9"/>
      <c r="J871" s="5"/>
      <c r="K871" s="4"/>
      <c r="L871" s="10"/>
      <c r="M871" s="10"/>
      <c r="N871" s="10"/>
      <c r="O871" s="10"/>
      <c r="P871" s="10"/>
      <c r="Q871" s="11"/>
      <c r="R871" s="9"/>
      <c r="S871" s="12"/>
      <c r="T871" s="5"/>
      <c r="U871" s="5"/>
      <c r="V871" s="4"/>
      <c r="W871" s="4"/>
      <c r="X871" s="4"/>
      <c r="Y871" s="4"/>
    </row>
    <row r="872">
      <c r="A872" s="5"/>
      <c r="B872" s="9"/>
      <c r="C872" s="5"/>
      <c r="D872" s="9"/>
      <c r="E872" s="9"/>
      <c r="F872" s="9"/>
      <c r="G872" s="9"/>
      <c r="H872" s="9"/>
      <c r="I872" s="9"/>
      <c r="J872" s="5"/>
      <c r="K872" s="4"/>
      <c r="L872" s="10"/>
      <c r="M872" s="10"/>
      <c r="N872" s="10"/>
      <c r="O872" s="10"/>
      <c r="P872" s="10"/>
      <c r="Q872" s="11"/>
      <c r="R872" s="9"/>
      <c r="S872" s="12"/>
      <c r="T872" s="5"/>
      <c r="U872" s="5"/>
      <c r="V872" s="4"/>
      <c r="W872" s="4"/>
      <c r="X872" s="4"/>
      <c r="Y872" s="4"/>
    </row>
    <row r="873">
      <c r="A873" s="5"/>
      <c r="B873" s="9"/>
      <c r="C873" s="5"/>
      <c r="D873" s="9"/>
      <c r="E873" s="9"/>
      <c r="F873" s="9"/>
      <c r="G873" s="9"/>
      <c r="H873" s="9"/>
      <c r="I873" s="9"/>
      <c r="J873" s="5"/>
      <c r="K873" s="4"/>
      <c r="L873" s="10"/>
      <c r="M873" s="10"/>
      <c r="N873" s="10"/>
      <c r="O873" s="10"/>
      <c r="P873" s="10"/>
      <c r="Q873" s="11"/>
      <c r="R873" s="9"/>
      <c r="S873" s="12"/>
      <c r="T873" s="5"/>
      <c r="U873" s="5"/>
      <c r="V873" s="4"/>
      <c r="W873" s="4"/>
      <c r="X873" s="4"/>
      <c r="Y873" s="4"/>
    </row>
    <row r="874">
      <c r="A874" s="5"/>
      <c r="B874" s="9"/>
      <c r="C874" s="5"/>
      <c r="D874" s="9"/>
      <c r="E874" s="9"/>
      <c r="F874" s="9"/>
      <c r="G874" s="9"/>
      <c r="H874" s="9"/>
      <c r="I874" s="9"/>
      <c r="J874" s="5"/>
      <c r="K874" s="4"/>
      <c r="L874" s="10"/>
      <c r="M874" s="10"/>
      <c r="N874" s="10"/>
      <c r="O874" s="10"/>
      <c r="P874" s="10"/>
      <c r="Q874" s="11"/>
      <c r="R874" s="9"/>
      <c r="S874" s="12"/>
      <c r="T874" s="5"/>
      <c r="U874" s="5"/>
      <c r="V874" s="4"/>
      <c r="W874" s="4"/>
      <c r="X874" s="4"/>
      <c r="Y874" s="4"/>
    </row>
    <row r="875">
      <c r="A875" s="5"/>
      <c r="B875" s="9"/>
      <c r="C875" s="5"/>
      <c r="D875" s="9"/>
      <c r="E875" s="9"/>
      <c r="F875" s="9"/>
      <c r="G875" s="9"/>
      <c r="H875" s="9"/>
      <c r="I875" s="9"/>
      <c r="J875" s="5"/>
      <c r="K875" s="4"/>
      <c r="L875" s="10"/>
      <c r="M875" s="10"/>
      <c r="N875" s="10"/>
      <c r="O875" s="10"/>
      <c r="P875" s="10"/>
      <c r="Q875" s="11"/>
      <c r="R875" s="9"/>
      <c r="S875" s="12"/>
      <c r="T875" s="5"/>
      <c r="U875" s="5"/>
      <c r="V875" s="4"/>
      <c r="W875" s="4"/>
      <c r="X875" s="4"/>
      <c r="Y875" s="4"/>
    </row>
    <row r="876">
      <c r="A876" s="5"/>
      <c r="B876" s="9"/>
      <c r="C876" s="5"/>
      <c r="D876" s="9"/>
      <c r="E876" s="9"/>
      <c r="F876" s="9"/>
      <c r="G876" s="9"/>
      <c r="H876" s="9"/>
      <c r="I876" s="9"/>
      <c r="J876" s="5"/>
      <c r="K876" s="4"/>
      <c r="L876" s="10"/>
      <c r="M876" s="10"/>
      <c r="N876" s="10"/>
      <c r="O876" s="10"/>
      <c r="P876" s="10"/>
      <c r="Q876" s="11"/>
      <c r="R876" s="9"/>
      <c r="S876" s="12"/>
      <c r="T876" s="5"/>
      <c r="U876" s="5"/>
      <c r="V876" s="4"/>
      <c r="W876" s="4"/>
      <c r="X876" s="4"/>
      <c r="Y876" s="4"/>
    </row>
    <row r="877">
      <c r="A877" s="5"/>
      <c r="B877" s="9"/>
      <c r="C877" s="5"/>
      <c r="D877" s="9"/>
      <c r="E877" s="9"/>
      <c r="F877" s="9"/>
      <c r="G877" s="9"/>
      <c r="H877" s="9"/>
      <c r="I877" s="9"/>
      <c r="J877" s="5"/>
      <c r="K877" s="4"/>
      <c r="L877" s="10"/>
      <c r="M877" s="10"/>
      <c r="N877" s="10"/>
      <c r="O877" s="10"/>
      <c r="P877" s="10"/>
      <c r="Q877" s="11"/>
      <c r="R877" s="9"/>
      <c r="S877" s="12"/>
      <c r="T877" s="5"/>
      <c r="U877" s="5"/>
      <c r="V877" s="4"/>
      <c r="W877" s="4"/>
      <c r="X877" s="4"/>
      <c r="Y877" s="4"/>
    </row>
    <row r="878">
      <c r="A878" s="5"/>
      <c r="B878" s="9"/>
      <c r="C878" s="5"/>
      <c r="D878" s="9"/>
      <c r="E878" s="9"/>
      <c r="F878" s="9"/>
      <c r="G878" s="9"/>
      <c r="H878" s="9"/>
      <c r="I878" s="9"/>
      <c r="J878" s="5"/>
      <c r="K878" s="4"/>
      <c r="L878" s="10"/>
      <c r="M878" s="10"/>
      <c r="N878" s="10"/>
      <c r="O878" s="10"/>
      <c r="P878" s="10"/>
      <c r="Q878" s="11"/>
      <c r="R878" s="9"/>
      <c r="S878" s="12"/>
      <c r="T878" s="5"/>
      <c r="U878" s="5"/>
      <c r="V878" s="4"/>
      <c r="W878" s="4"/>
      <c r="X878" s="4"/>
      <c r="Y878" s="4"/>
    </row>
    <row r="879">
      <c r="A879" s="5"/>
      <c r="B879" s="9"/>
      <c r="C879" s="5"/>
      <c r="D879" s="9"/>
      <c r="E879" s="9"/>
      <c r="F879" s="9"/>
      <c r="G879" s="9"/>
      <c r="H879" s="9"/>
      <c r="I879" s="9"/>
      <c r="J879" s="5"/>
      <c r="K879" s="4"/>
      <c r="L879" s="10"/>
      <c r="M879" s="10"/>
      <c r="N879" s="10"/>
      <c r="O879" s="10"/>
      <c r="P879" s="10"/>
      <c r="Q879" s="11"/>
      <c r="R879" s="9"/>
      <c r="S879" s="12"/>
      <c r="T879" s="5"/>
      <c r="U879" s="5"/>
      <c r="V879" s="4"/>
      <c r="W879" s="4"/>
      <c r="X879" s="4"/>
      <c r="Y879" s="4"/>
    </row>
    <row r="880">
      <c r="A880" s="5"/>
      <c r="B880" s="9"/>
      <c r="C880" s="5"/>
      <c r="D880" s="9"/>
      <c r="E880" s="9"/>
      <c r="F880" s="9"/>
      <c r="G880" s="9"/>
      <c r="H880" s="9"/>
      <c r="I880" s="9"/>
      <c r="J880" s="5"/>
      <c r="K880" s="4"/>
      <c r="L880" s="10"/>
      <c r="M880" s="10"/>
      <c r="N880" s="10"/>
      <c r="O880" s="10"/>
      <c r="P880" s="10"/>
      <c r="Q880" s="11"/>
      <c r="R880" s="9"/>
      <c r="S880" s="12"/>
      <c r="T880" s="5"/>
      <c r="U880" s="5"/>
      <c r="V880" s="4"/>
      <c r="W880" s="4"/>
      <c r="X880" s="4"/>
      <c r="Y880" s="4"/>
    </row>
    <row r="881">
      <c r="A881" s="5"/>
      <c r="B881" s="9"/>
      <c r="C881" s="5"/>
      <c r="D881" s="9"/>
      <c r="E881" s="9"/>
      <c r="F881" s="9"/>
      <c r="G881" s="9"/>
      <c r="H881" s="9"/>
      <c r="I881" s="9"/>
      <c r="J881" s="5"/>
      <c r="K881" s="4"/>
      <c r="L881" s="10"/>
      <c r="M881" s="10"/>
      <c r="N881" s="10"/>
      <c r="O881" s="10"/>
      <c r="P881" s="10"/>
      <c r="Q881" s="11"/>
      <c r="R881" s="9"/>
      <c r="S881" s="12"/>
      <c r="T881" s="5"/>
      <c r="U881" s="5"/>
      <c r="V881" s="4"/>
      <c r="W881" s="4"/>
      <c r="X881" s="4"/>
      <c r="Y881" s="4"/>
    </row>
    <row r="882">
      <c r="A882" s="5"/>
      <c r="B882" s="9"/>
      <c r="C882" s="5"/>
      <c r="D882" s="9"/>
      <c r="E882" s="9"/>
      <c r="F882" s="9"/>
      <c r="G882" s="9"/>
      <c r="H882" s="9"/>
      <c r="I882" s="9"/>
      <c r="J882" s="5"/>
      <c r="K882" s="4"/>
      <c r="L882" s="10"/>
      <c r="M882" s="10"/>
      <c r="N882" s="10"/>
      <c r="O882" s="10"/>
      <c r="P882" s="10"/>
      <c r="Q882" s="11"/>
      <c r="R882" s="9"/>
      <c r="S882" s="12"/>
      <c r="T882" s="5"/>
      <c r="U882" s="5"/>
      <c r="V882" s="4"/>
      <c r="W882" s="4"/>
      <c r="X882" s="4"/>
      <c r="Y882" s="4"/>
    </row>
    <row r="883">
      <c r="A883" s="5"/>
      <c r="B883" s="9"/>
      <c r="C883" s="5"/>
      <c r="D883" s="9"/>
      <c r="E883" s="9"/>
      <c r="F883" s="9"/>
      <c r="G883" s="9"/>
      <c r="H883" s="9"/>
      <c r="I883" s="9"/>
      <c r="J883" s="5"/>
      <c r="K883" s="4"/>
      <c r="L883" s="10"/>
      <c r="M883" s="10"/>
      <c r="N883" s="10"/>
      <c r="O883" s="10"/>
      <c r="P883" s="10"/>
      <c r="Q883" s="11"/>
      <c r="R883" s="9"/>
      <c r="S883" s="12"/>
      <c r="T883" s="5"/>
      <c r="U883" s="5"/>
      <c r="V883" s="4"/>
      <c r="W883" s="4"/>
      <c r="X883" s="4"/>
      <c r="Y883" s="4"/>
    </row>
    <row r="884">
      <c r="A884" s="5"/>
      <c r="B884" s="9"/>
      <c r="C884" s="5"/>
      <c r="D884" s="9"/>
      <c r="E884" s="9"/>
      <c r="F884" s="9"/>
      <c r="G884" s="9"/>
      <c r="H884" s="9"/>
      <c r="I884" s="9"/>
      <c r="J884" s="5"/>
      <c r="K884" s="4"/>
      <c r="L884" s="10"/>
      <c r="M884" s="10"/>
      <c r="N884" s="10"/>
      <c r="O884" s="10"/>
      <c r="P884" s="10"/>
      <c r="Q884" s="11"/>
      <c r="R884" s="9"/>
      <c r="S884" s="12"/>
      <c r="T884" s="5"/>
      <c r="U884" s="5"/>
      <c r="V884" s="4"/>
      <c r="W884" s="4"/>
      <c r="X884" s="4"/>
      <c r="Y884" s="4"/>
    </row>
    <row r="885">
      <c r="A885" s="5"/>
      <c r="B885" s="9"/>
      <c r="C885" s="5"/>
      <c r="D885" s="9"/>
      <c r="E885" s="9"/>
      <c r="F885" s="9"/>
      <c r="G885" s="9"/>
      <c r="H885" s="9"/>
      <c r="I885" s="9"/>
      <c r="J885" s="5"/>
      <c r="K885" s="4"/>
      <c r="L885" s="10"/>
      <c r="M885" s="10"/>
      <c r="N885" s="10"/>
      <c r="O885" s="10"/>
      <c r="P885" s="10"/>
      <c r="Q885" s="11"/>
      <c r="R885" s="9"/>
      <c r="S885" s="12"/>
      <c r="T885" s="5"/>
      <c r="U885" s="5"/>
      <c r="V885" s="4"/>
      <c r="W885" s="4"/>
      <c r="X885" s="4"/>
      <c r="Y885" s="4"/>
    </row>
    <row r="886">
      <c r="A886" s="5"/>
      <c r="B886" s="9"/>
      <c r="C886" s="5"/>
      <c r="D886" s="9"/>
      <c r="E886" s="9"/>
      <c r="F886" s="9"/>
      <c r="G886" s="9"/>
      <c r="H886" s="9"/>
      <c r="I886" s="9"/>
      <c r="J886" s="5"/>
      <c r="K886" s="4"/>
      <c r="L886" s="10"/>
      <c r="M886" s="10"/>
      <c r="N886" s="10"/>
      <c r="O886" s="10"/>
      <c r="P886" s="10"/>
      <c r="Q886" s="11"/>
      <c r="R886" s="9"/>
      <c r="S886" s="12"/>
      <c r="T886" s="5"/>
      <c r="U886" s="5"/>
      <c r="V886" s="4"/>
      <c r="W886" s="4"/>
      <c r="X886" s="4"/>
      <c r="Y886" s="4"/>
    </row>
    <row r="887">
      <c r="A887" s="5"/>
      <c r="B887" s="9"/>
      <c r="C887" s="5"/>
      <c r="D887" s="9"/>
      <c r="E887" s="9"/>
      <c r="F887" s="9"/>
      <c r="G887" s="9"/>
      <c r="H887" s="9"/>
      <c r="I887" s="9"/>
      <c r="J887" s="5"/>
      <c r="K887" s="4"/>
      <c r="L887" s="10"/>
      <c r="M887" s="10"/>
      <c r="N887" s="10"/>
      <c r="O887" s="10"/>
      <c r="P887" s="10"/>
      <c r="Q887" s="11"/>
      <c r="R887" s="9"/>
      <c r="S887" s="12"/>
      <c r="T887" s="5"/>
      <c r="U887" s="5"/>
      <c r="V887" s="4"/>
      <c r="W887" s="4"/>
      <c r="X887" s="4"/>
      <c r="Y887" s="4"/>
    </row>
    <row r="888">
      <c r="A888" s="5"/>
      <c r="B888" s="9"/>
      <c r="C888" s="5"/>
      <c r="D888" s="9"/>
      <c r="E888" s="9"/>
      <c r="F888" s="9"/>
      <c r="G888" s="9"/>
      <c r="H888" s="9"/>
      <c r="I888" s="9"/>
      <c r="J888" s="5"/>
      <c r="K888" s="4"/>
      <c r="L888" s="10"/>
      <c r="M888" s="10"/>
      <c r="N888" s="10"/>
      <c r="O888" s="10"/>
      <c r="P888" s="10"/>
      <c r="Q888" s="11"/>
      <c r="R888" s="9"/>
      <c r="S888" s="12"/>
      <c r="T888" s="5"/>
      <c r="U888" s="5"/>
      <c r="V888" s="4"/>
      <c r="W888" s="4"/>
      <c r="X888" s="4"/>
      <c r="Y888" s="4"/>
    </row>
    <row r="889">
      <c r="A889" s="5"/>
      <c r="B889" s="9"/>
      <c r="C889" s="5"/>
      <c r="D889" s="9"/>
      <c r="E889" s="9"/>
      <c r="F889" s="9"/>
      <c r="G889" s="9"/>
      <c r="H889" s="9"/>
      <c r="I889" s="9"/>
      <c r="J889" s="5"/>
      <c r="K889" s="4"/>
      <c r="L889" s="10"/>
      <c r="M889" s="10"/>
      <c r="N889" s="10"/>
      <c r="O889" s="10"/>
      <c r="P889" s="10"/>
      <c r="Q889" s="11"/>
      <c r="R889" s="9"/>
      <c r="S889" s="12"/>
      <c r="T889" s="5"/>
      <c r="U889" s="5"/>
      <c r="V889" s="4"/>
      <c r="W889" s="4"/>
      <c r="X889" s="4"/>
      <c r="Y889" s="4"/>
    </row>
    <row r="890">
      <c r="A890" s="5"/>
      <c r="B890" s="9"/>
      <c r="C890" s="5"/>
      <c r="D890" s="9"/>
      <c r="E890" s="9"/>
      <c r="F890" s="9"/>
      <c r="G890" s="9"/>
      <c r="H890" s="9"/>
      <c r="I890" s="9"/>
      <c r="J890" s="5"/>
      <c r="K890" s="4"/>
      <c r="L890" s="10"/>
      <c r="M890" s="10"/>
      <c r="N890" s="10"/>
      <c r="O890" s="10"/>
      <c r="P890" s="10"/>
      <c r="Q890" s="11"/>
      <c r="R890" s="9"/>
      <c r="S890" s="12"/>
      <c r="T890" s="5"/>
      <c r="U890" s="5"/>
      <c r="V890" s="4"/>
      <c r="W890" s="4"/>
      <c r="X890" s="4"/>
      <c r="Y890" s="4"/>
    </row>
    <row r="891">
      <c r="A891" s="5"/>
      <c r="B891" s="9"/>
      <c r="C891" s="5"/>
      <c r="D891" s="9"/>
      <c r="E891" s="9"/>
      <c r="F891" s="9"/>
      <c r="G891" s="9"/>
      <c r="H891" s="9"/>
      <c r="I891" s="9"/>
      <c r="J891" s="5"/>
      <c r="K891" s="4"/>
      <c r="L891" s="10"/>
      <c r="M891" s="10"/>
      <c r="N891" s="10"/>
      <c r="O891" s="10"/>
      <c r="P891" s="10"/>
      <c r="Q891" s="11"/>
      <c r="R891" s="9"/>
      <c r="S891" s="12"/>
      <c r="T891" s="5"/>
      <c r="U891" s="5"/>
      <c r="V891" s="4"/>
      <c r="W891" s="4"/>
      <c r="X891" s="4"/>
      <c r="Y891" s="4"/>
    </row>
    <row r="892">
      <c r="A892" s="5"/>
      <c r="B892" s="9"/>
      <c r="C892" s="5"/>
      <c r="D892" s="9"/>
      <c r="E892" s="9"/>
      <c r="F892" s="9"/>
      <c r="G892" s="9"/>
      <c r="H892" s="9"/>
      <c r="I892" s="9"/>
      <c r="J892" s="5"/>
      <c r="K892" s="4"/>
      <c r="L892" s="10"/>
      <c r="M892" s="10"/>
      <c r="N892" s="10"/>
      <c r="O892" s="10"/>
      <c r="P892" s="10"/>
      <c r="Q892" s="11"/>
      <c r="R892" s="9"/>
      <c r="S892" s="12"/>
      <c r="T892" s="5"/>
      <c r="U892" s="5"/>
      <c r="V892" s="4"/>
      <c r="W892" s="4"/>
      <c r="X892" s="4"/>
      <c r="Y892" s="4"/>
    </row>
    <row r="893">
      <c r="A893" s="5"/>
      <c r="B893" s="9"/>
      <c r="C893" s="5"/>
      <c r="D893" s="9"/>
      <c r="E893" s="9"/>
      <c r="F893" s="9"/>
      <c r="G893" s="9"/>
      <c r="H893" s="9"/>
      <c r="I893" s="9"/>
      <c r="J893" s="5"/>
      <c r="K893" s="4"/>
      <c r="L893" s="10"/>
      <c r="M893" s="10"/>
      <c r="N893" s="10"/>
      <c r="O893" s="10"/>
      <c r="P893" s="10"/>
      <c r="Q893" s="11"/>
      <c r="R893" s="9"/>
      <c r="S893" s="12"/>
      <c r="T893" s="5"/>
      <c r="U893" s="5"/>
      <c r="V893" s="4"/>
      <c r="W893" s="4"/>
      <c r="X893" s="4"/>
      <c r="Y893" s="4"/>
    </row>
    <row r="894">
      <c r="A894" s="5"/>
      <c r="B894" s="9"/>
      <c r="C894" s="5"/>
      <c r="D894" s="9"/>
      <c r="E894" s="9"/>
      <c r="F894" s="9"/>
      <c r="G894" s="9"/>
      <c r="H894" s="9"/>
      <c r="I894" s="9"/>
      <c r="J894" s="5"/>
      <c r="K894" s="4"/>
      <c r="L894" s="10"/>
      <c r="M894" s="10"/>
      <c r="N894" s="10"/>
      <c r="O894" s="10"/>
      <c r="P894" s="10"/>
      <c r="Q894" s="11"/>
      <c r="R894" s="9"/>
      <c r="S894" s="12"/>
      <c r="T894" s="5"/>
      <c r="U894" s="5"/>
      <c r="V894" s="4"/>
      <c r="W894" s="4"/>
      <c r="X894" s="4"/>
      <c r="Y894" s="4"/>
    </row>
    <row r="895">
      <c r="A895" s="5"/>
      <c r="B895" s="9"/>
      <c r="C895" s="5"/>
      <c r="D895" s="9"/>
      <c r="E895" s="9"/>
      <c r="F895" s="9"/>
      <c r="G895" s="9"/>
      <c r="H895" s="9"/>
      <c r="I895" s="9"/>
      <c r="J895" s="5"/>
      <c r="K895" s="4"/>
      <c r="L895" s="10"/>
      <c r="M895" s="10"/>
      <c r="N895" s="10"/>
      <c r="O895" s="10"/>
      <c r="P895" s="10"/>
      <c r="Q895" s="11"/>
      <c r="R895" s="9"/>
      <c r="S895" s="12"/>
      <c r="T895" s="5"/>
      <c r="U895" s="5"/>
      <c r="V895" s="4"/>
      <c r="W895" s="4"/>
      <c r="X895" s="4"/>
      <c r="Y895" s="4"/>
    </row>
    <row r="896">
      <c r="A896" s="5"/>
      <c r="B896" s="9"/>
      <c r="C896" s="5"/>
      <c r="D896" s="9"/>
      <c r="E896" s="9"/>
      <c r="F896" s="9"/>
      <c r="G896" s="9"/>
      <c r="H896" s="9"/>
      <c r="I896" s="9"/>
      <c r="J896" s="5"/>
      <c r="K896" s="4"/>
      <c r="L896" s="10"/>
      <c r="M896" s="10"/>
      <c r="N896" s="10"/>
      <c r="O896" s="10"/>
      <c r="P896" s="10"/>
      <c r="Q896" s="11"/>
      <c r="R896" s="9"/>
      <c r="S896" s="12"/>
      <c r="T896" s="5"/>
      <c r="U896" s="5"/>
      <c r="V896" s="4"/>
      <c r="W896" s="4"/>
      <c r="X896" s="4"/>
      <c r="Y896" s="4"/>
    </row>
    <row r="897">
      <c r="A897" s="5"/>
      <c r="B897" s="9"/>
      <c r="C897" s="5"/>
      <c r="D897" s="9"/>
      <c r="E897" s="9"/>
      <c r="F897" s="9"/>
      <c r="G897" s="9"/>
      <c r="H897" s="9"/>
      <c r="I897" s="9"/>
      <c r="J897" s="5"/>
      <c r="K897" s="4"/>
      <c r="L897" s="10"/>
      <c r="M897" s="10"/>
      <c r="N897" s="10"/>
      <c r="O897" s="10"/>
      <c r="P897" s="10"/>
      <c r="Q897" s="11"/>
      <c r="R897" s="9"/>
      <c r="S897" s="12"/>
      <c r="T897" s="5"/>
      <c r="U897" s="5"/>
      <c r="V897" s="4"/>
      <c r="W897" s="4"/>
      <c r="X897" s="4"/>
      <c r="Y897" s="4"/>
    </row>
    <row r="898">
      <c r="A898" s="5"/>
      <c r="B898" s="9"/>
      <c r="C898" s="5"/>
      <c r="D898" s="9"/>
      <c r="E898" s="9"/>
      <c r="F898" s="9"/>
      <c r="G898" s="9"/>
      <c r="H898" s="9"/>
      <c r="I898" s="9"/>
      <c r="J898" s="5"/>
      <c r="K898" s="4"/>
      <c r="L898" s="10"/>
      <c r="M898" s="10"/>
      <c r="N898" s="10"/>
      <c r="O898" s="10"/>
      <c r="P898" s="10"/>
      <c r="Q898" s="11"/>
      <c r="R898" s="9"/>
      <c r="S898" s="12"/>
      <c r="T898" s="5"/>
      <c r="U898" s="5"/>
      <c r="V898" s="4"/>
      <c r="W898" s="4"/>
      <c r="X898" s="4"/>
      <c r="Y898" s="4"/>
    </row>
    <row r="899">
      <c r="A899" s="5"/>
      <c r="B899" s="9"/>
      <c r="C899" s="5"/>
      <c r="D899" s="9"/>
      <c r="E899" s="9"/>
      <c r="F899" s="9"/>
      <c r="G899" s="9"/>
      <c r="H899" s="9"/>
      <c r="I899" s="9"/>
      <c r="J899" s="5"/>
      <c r="K899" s="4"/>
      <c r="L899" s="10"/>
      <c r="M899" s="10"/>
      <c r="N899" s="10"/>
      <c r="O899" s="10"/>
      <c r="P899" s="10"/>
      <c r="Q899" s="11"/>
      <c r="R899" s="9"/>
      <c r="S899" s="12"/>
      <c r="T899" s="5"/>
      <c r="U899" s="5"/>
      <c r="V899" s="4"/>
      <c r="W899" s="4"/>
      <c r="X899" s="4"/>
      <c r="Y899" s="4"/>
    </row>
    <row r="900">
      <c r="A900" s="5"/>
      <c r="B900" s="9"/>
      <c r="C900" s="5"/>
      <c r="D900" s="9"/>
      <c r="E900" s="9"/>
      <c r="F900" s="9"/>
      <c r="G900" s="9"/>
      <c r="H900" s="9"/>
      <c r="I900" s="9"/>
      <c r="J900" s="5"/>
      <c r="K900" s="4"/>
      <c r="L900" s="10"/>
      <c r="M900" s="10"/>
      <c r="N900" s="10"/>
      <c r="O900" s="10"/>
      <c r="P900" s="10"/>
      <c r="Q900" s="11"/>
      <c r="R900" s="9"/>
      <c r="S900" s="12"/>
      <c r="T900" s="5"/>
      <c r="U900" s="5"/>
      <c r="V900" s="4"/>
      <c r="W900" s="4"/>
      <c r="X900" s="4"/>
      <c r="Y900" s="4"/>
    </row>
    <row r="901">
      <c r="A901" s="5"/>
      <c r="B901" s="9"/>
      <c r="C901" s="5"/>
      <c r="D901" s="9"/>
      <c r="E901" s="9"/>
      <c r="F901" s="9"/>
      <c r="G901" s="9"/>
      <c r="H901" s="9"/>
      <c r="I901" s="9"/>
      <c r="J901" s="5"/>
      <c r="K901" s="4"/>
      <c r="L901" s="10"/>
      <c r="M901" s="10"/>
      <c r="N901" s="10"/>
      <c r="O901" s="10"/>
      <c r="P901" s="10"/>
      <c r="Q901" s="11"/>
      <c r="R901" s="9"/>
      <c r="S901" s="12"/>
      <c r="T901" s="5"/>
      <c r="U901" s="5"/>
      <c r="V901" s="4"/>
      <c r="W901" s="4"/>
      <c r="X901" s="4"/>
      <c r="Y901" s="4"/>
    </row>
    <row r="902">
      <c r="A902" s="5"/>
      <c r="B902" s="9"/>
      <c r="C902" s="5"/>
      <c r="D902" s="9"/>
      <c r="E902" s="9"/>
      <c r="F902" s="9"/>
      <c r="G902" s="9"/>
      <c r="H902" s="9"/>
      <c r="I902" s="9"/>
      <c r="J902" s="5"/>
      <c r="K902" s="4"/>
      <c r="L902" s="10"/>
      <c r="M902" s="10"/>
      <c r="N902" s="10"/>
      <c r="O902" s="10"/>
      <c r="P902" s="10"/>
      <c r="Q902" s="11"/>
      <c r="R902" s="9"/>
      <c r="S902" s="12"/>
      <c r="T902" s="5"/>
      <c r="U902" s="5"/>
      <c r="V902" s="4"/>
      <c r="W902" s="4"/>
      <c r="X902" s="4"/>
      <c r="Y902" s="4"/>
    </row>
    <row r="903">
      <c r="A903" s="5"/>
      <c r="B903" s="9"/>
      <c r="C903" s="5"/>
      <c r="D903" s="9"/>
      <c r="E903" s="9"/>
      <c r="F903" s="9"/>
      <c r="G903" s="9"/>
      <c r="H903" s="9"/>
      <c r="I903" s="9"/>
      <c r="J903" s="5"/>
      <c r="K903" s="4"/>
      <c r="L903" s="10"/>
      <c r="M903" s="10"/>
      <c r="N903" s="10"/>
      <c r="O903" s="10"/>
      <c r="P903" s="10"/>
      <c r="Q903" s="11"/>
      <c r="R903" s="9"/>
      <c r="S903" s="12"/>
      <c r="T903" s="5"/>
      <c r="U903" s="5"/>
      <c r="V903" s="4"/>
      <c r="W903" s="4"/>
      <c r="X903" s="4"/>
      <c r="Y903" s="4"/>
    </row>
    <row r="904">
      <c r="A904" s="5"/>
      <c r="B904" s="9"/>
      <c r="C904" s="5"/>
      <c r="D904" s="9"/>
      <c r="E904" s="9"/>
      <c r="F904" s="9"/>
      <c r="G904" s="9"/>
      <c r="H904" s="9"/>
      <c r="I904" s="9"/>
      <c r="J904" s="5"/>
      <c r="K904" s="4"/>
      <c r="L904" s="10"/>
      <c r="M904" s="10"/>
      <c r="N904" s="10"/>
      <c r="O904" s="10"/>
      <c r="P904" s="10"/>
      <c r="Q904" s="11"/>
      <c r="R904" s="9"/>
      <c r="S904" s="12"/>
      <c r="T904" s="5"/>
      <c r="U904" s="5"/>
      <c r="V904" s="4"/>
      <c r="W904" s="4"/>
      <c r="X904" s="4"/>
      <c r="Y904" s="4"/>
    </row>
    <row r="905">
      <c r="A905" s="5"/>
      <c r="B905" s="9"/>
      <c r="C905" s="5"/>
      <c r="D905" s="9"/>
      <c r="E905" s="9"/>
      <c r="F905" s="9"/>
      <c r="G905" s="9"/>
      <c r="H905" s="9"/>
      <c r="I905" s="9"/>
      <c r="J905" s="5"/>
      <c r="K905" s="4"/>
      <c r="L905" s="10"/>
      <c r="M905" s="10"/>
      <c r="N905" s="10"/>
      <c r="O905" s="10"/>
      <c r="P905" s="10"/>
      <c r="Q905" s="11"/>
      <c r="R905" s="9"/>
      <c r="S905" s="12"/>
      <c r="T905" s="5"/>
      <c r="U905" s="5"/>
      <c r="V905" s="4"/>
      <c r="W905" s="4"/>
      <c r="X905" s="4"/>
      <c r="Y905" s="4"/>
    </row>
    <row r="906">
      <c r="A906" s="5"/>
      <c r="B906" s="9"/>
      <c r="C906" s="5"/>
      <c r="D906" s="9"/>
      <c r="E906" s="9"/>
      <c r="F906" s="9"/>
      <c r="G906" s="9"/>
      <c r="H906" s="9"/>
      <c r="I906" s="9"/>
      <c r="J906" s="5"/>
      <c r="K906" s="4"/>
      <c r="L906" s="10"/>
      <c r="M906" s="10"/>
      <c r="N906" s="10"/>
      <c r="O906" s="10"/>
      <c r="P906" s="10"/>
      <c r="Q906" s="11"/>
      <c r="R906" s="9"/>
      <c r="S906" s="12"/>
      <c r="T906" s="5"/>
      <c r="U906" s="5"/>
      <c r="V906" s="4"/>
      <c r="W906" s="4"/>
      <c r="X906" s="4"/>
      <c r="Y906" s="4"/>
    </row>
    <row r="907">
      <c r="A907" s="5"/>
      <c r="B907" s="9"/>
      <c r="C907" s="5"/>
      <c r="D907" s="9"/>
      <c r="E907" s="9"/>
      <c r="F907" s="9"/>
      <c r="G907" s="9"/>
      <c r="H907" s="9"/>
      <c r="I907" s="9"/>
      <c r="J907" s="5"/>
      <c r="K907" s="4"/>
      <c r="L907" s="10"/>
      <c r="M907" s="10"/>
      <c r="N907" s="10"/>
      <c r="O907" s="10"/>
      <c r="P907" s="10"/>
      <c r="Q907" s="11"/>
      <c r="R907" s="9"/>
      <c r="S907" s="12"/>
      <c r="T907" s="5"/>
      <c r="U907" s="5"/>
      <c r="V907" s="4"/>
      <c r="W907" s="4"/>
      <c r="X907" s="4"/>
      <c r="Y907" s="4"/>
    </row>
    <row r="908">
      <c r="A908" s="5"/>
      <c r="B908" s="9"/>
      <c r="C908" s="5"/>
      <c r="D908" s="9"/>
      <c r="E908" s="9"/>
      <c r="F908" s="9"/>
      <c r="G908" s="9"/>
      <c r="H908" s="9"/>
      <c r="I908" s="9"/>
      <c r="J908" s="5"/>
      <c r="K908" s="4"/>
      <c r="L908" s="10"/>
      <c r="M908" s="10"/>
      <c r="N908" s="10"/>
      <c r="O908" s="10"/>
      <c r="P908" s="10"/>
      <c r="Q908" s="11"/>
      <c r="R908" s="9"/>
      <c r="S908" s="12"/>
      <c r="T908" s="5"/>
      <c r="U908" s="5"/>
      <c r="V908" s="4"/>
      <c r="W908" s="4"/>
      <c r="X908" s="4"/>
      <c r="Y908" s="4"/>
    </row>
    <row r="909">
      <c r="A909" s="5"/>
      <c r="B909" s="9"/>
      <c r="C909" s="5"/>
      <c r="D909" s="9"/>
      <c r="E909" s="9"/>
      <c r="F909" s="9"/>
      <c r="G909" s="9"/>
      <c r="H909" s="9"/>
      <c r="I909" s="9"/>
      <c r="J909" s="5"/>
      <c r="K909" s="4"/>
      <c r="L909" s="10"/>
      <c r="M909" s="10"/>
      <c r="N909" s="10"/>
      <c r="O909" s="10"/>
      <c r="P909" s="10"/>
      <c r="Q909" s="11"/>
      <c r="R909" s="9"/>
      <c r="S909" s="12"/>
      <c r="T909" s="5"/>
      <c r="U909" s="5"/>
      <c r="V909" s="4"/>
      <c r="W909" s="4"/>
      <c r="X909" s="4"/>
      <c r="Y909" s="4"/>
    </row>
    <row r="910">
      <c r="A910" s="5"/>
      <c r="B910" s="9"/>
      <c r="C910" s="5"/>
      <c r="D910" s="9"/>
      <c r="E910" s="9"/>
      <c r="F910" s="9"/>
      <c r="G910" s="9"/>
      <c r="H910" s="9"/>
      <c r="I910" s="9"/>
      <c r="J910" s="5"/>
      <c r="K910" s="4"/>
      <c r="L910" s="10"/>
      <c r="M910" s="10"/>
      <c r="N910" s="10"/>
      <c r="O910" s="10"/>
      <c r="P910" s="10"/>
      <c r="Q910" s="11"/>
      <c r="R910" s="9"/>
      <c r="S910" s="12"/>
      <c r="T910" s="5"/>
      <c r="U910" s="5"/>
      <c r="V910" s="4"/>
      <c r="W910" s="4"/>
      <c r="X910" s="4"/>
      <c r="Y910" s="4"/>
    </row>
    <row r="911">
      <c r="A911" s="5"/>
      <c r="B911" s="9"/>
      <c r="C911" s="5"/>
      <c r="D911" s="9"/>
      <c r="E911" s="9"/>
      <c r="F911" s="9"/>
      <c r="G911" s="9"/>
      <c r="H911" s="9"/>
      <c r="I911" s="9"/>
      <c r="J911" s="5"/>
      <c r="K911" s="4"/>
      <c r="L911" s="10"/>
      <c r="M911" s="10"/>
      <c r="N911" s="10"/>
      <c r="O911" s="10"/>
      <c r="P911" s="10"/>
      <c r="Q911" s="11"/>
      <c r="R911" s="9"/>
      <c r="S911" s="12"/>
      <c r="T911" s="5"/>
      <c r="U911" s="5"/>
      <c r="V911" s="4"/>
      <c r="W911" s="4"/>
      <c r="X911" s="4"/>
      <c r="Y911" s="4"/>
    </row>
    <row r="912">
      <c r="A912" s="5"/>
      <c r="B912" s="9"/>
      <c r="C912" s="5"/>
      <c r="D912" s="9"/>
      <c r="E912" s="9"/>
      <c r="F912" s="9"/>
      <c r="G912" s="9"/>
      <c r="H912" s="9"/>
      <c r="I912" s="9"/>
      <c r="J912" s="5"/>
      <c r="K912" s="4"/>
      <c r="L912" s="10"/>
      <c r="M912" s="10"/>
      <c r="N912" s="10"/>
      <c r="O912" s="10"/>
      <c r="P912" s="10"/>
      <c r="Q912" s="11"/>
      <c r="R912" s="9"/>
      <c r="S912" s="12"/>
      <c r="T912" s="5"/>
      <c r="U912" s="5"/>
      <c r="V912" s="4"/>
      <c r="W912" s="4"/>
      <c r="X912" s="4"/>
      <c r="Y912" s="4"/>
    </row>
    <row r="913">
      <c r="A913" s="5"/>
      <c r="B913" s="9"/>
      <c r="C913" s="5"/>
      <c r="D913" s="9"/>
      <c r="E913" s="9"/>
      <c r="F913" s="9"/>
      <c r="G913" s="9"/>
      <c r="H913" s="9"/>
      <c r="I913" s="9"/>
      <c r="J913" s="5"/>
      <c r="K913" s="4"/>
      <c r="L913" s="10"/>
      <c r="M913" s="10"/>
      <c r="N913" s="10"/>
      <c r="O913" s="10"/>
      <c r="P913" s="10"/>
      <c r="Q913" s="11"/>
      <c r="R913" s="9"/>
      <c r="S913" s="12"/>
      <c r="T913" s="5"/>
      <c r="U913" s="5"/>
      <c r="V913" s="4"/>
      <c r="W913" s="4"/>
      <c r="X913" s="4"/>
      <c r="Y913" s="4"/>
    </row>
    <row r="914">
      <c r="A914" s="5"/>
      <c r="B914" s="9"/>
      <c r="C914" s="5"/>
      <c r="D914" s="9"/>
      <c r="E914" s="9"/>
      <c r="F914" s="9"/>
      <c r="G914" s="9"/>
      <c r="H914" s="9"/>
      <c r="I914" s="9"/>
      <c r="J914" s="5"/>
      <c r="K914" s="4"/>
      <c r="L914" s="10"/>
      <c r="M914" s="10"/>
      <c r="N914" s="10"/>
      <c r="O914" s="10"/>
      <c r="P914" s="10"/>
      <c r="Q914" s="11"/>
      <c r="R914" s="9"/>
      <c r="S914" s="12"/>
      <c r="T914" s="5"/>
      <c r="U914" s="5"/>
      <c r="V914" s="4"/>
      <c r="W914" s="4"/>
      <c r="X914" s="4"/>
      <c r="Y914" s="4"/>
    </row>
    <row r="915">
      <c r="A915" s="5"/>
      <c r="B915" s="9"/>
      <c r="C915" s="5"/>
      <c r="D915" s="9"/>
      <c r="E915" s="9"/>
      <c r="F915" s="9"/>
      <c r="G915" s="9"/>
      <c r="H915" s="9"/>
      <c r="I915" s="9"/>
      <c r="J915" s="5"/>
      <c r="K915" s="4"/>
      <c r="L915" s="10"/>
      <c r="M915" s="10"/>
      <c r="N915" s="10"/>
      <c r="O915" s="10"/>
      <c r="P915" s="10"/>
      <c r="Q915" s="11"/>
      <c r="R915" s="9"/>
      <c r="S915" s="12"/>
      <c r="T915" s="5"/>
      <c r="U915" s="5"/>
      <c r="V915" s="4"/>
      <c r="W915" s="4"/>
      <c r="X915" s="4"/>
      <c r="Y915" s="4"/>
    </row>
    <row r="916">
      <c r="A916" s="5"/>
      <c r="B916" s="9"/>
      <c r="C916" s="5"/>
      <c r="D916" s="9"/>
      <c r="E916" s="9"/>
      <c r="F916" s="9"/>
      <c r="G916" s="9"/>
      <c r="H916" s="9"/>
      <c r="I916" s="9"/>
      <c r="J916" s="5"/>
      <c r="K916" s="4"/>
      <c r="L916" s="10"/>
      <c r="M916" s="10"/>
      <c r="N916" s="10"/>
      <c r="O916" s="10"/>
      <c r="P916" s="10"/>
      <c r="Q916" s="11"/>
      <c r="R916" s="9"/>
      <c r="S916" s="12"/>
      <c r="T916" s="5"/>
      <c r="U916" s="5"/>
      <c r="V916" s="4"/>
      <c r="W916" s="4"/>
      <c r="X916" s="4"/>
      <c r="Y916" s="4"/>
    </row>
    <row r="917">
      <c r="A917" s="5"/>
      <c r="B917" s="9"/>
      <c r="C917" s="5"/>
      <c r="D917" s="9"/>
      <c r="E917" s="9"/>
      <c r="F917" s="9"/>
      <c r="G917" s="9"/>
      <c r="H917" s="9"/>
      <c r="I917" s="9"/>
      <c r="J917" s="5"/>
      <c r="K917" s="4"/>
      <c r="L917" s="10"/>
      <c r="M917" s="10"/>
      <c r="N917" s="10"/>
      <c r="O917" s="10"/>
      <c r="P917" s="10"/>
      <c r="Q917" s="11"/>
      <c r="R917" s="9"/>
      <c r="S917" s="12"/>
      <c r="T917" s="5"/>
      <c r="U917" s="5"/>
      <c r="V917" s="4"/>
      <c r="W917" s="4"/>
      <c r="X917" s="4"/>
      <c r="Y917" s="4"/>
    </row>
    <row r="918">
      <c r="A918" s="5"/>
      <c r="B918" s="9"/>
      <c r="C918" s="5"/>
      <c r="D918" s="9"/>
      <c r="E918" s="9"/>
      <c r="F918" s="9"/>
      <c r="G918" s="9"/>
      <c r="H918" s="9"/>
      <c r="I918" s="9"/>
      <c r="J918" s="5"/>
      <c r="K918" s="4"/>
      <c r="L918" s="10"/>
      <c r="M918" s="10"/>
      <c r="N918" s="10"/>
      <c r="O918" s="10"/>
      <c r="P918" s="10"/>
      <c r="Q918" s="11"/>
      <c r="R918" s="9"/>
      <c r="S918" s="12"/>
      <c r="T918" s="5"/>
      <c r="U918" s="5"/>
      <c r="V918" s="4"/>
      <c r="W918" s="4"/>
      <c r="X918" s="4"/>
      <c r="Y918" s="4"/>
    </row>
    <row r="919">
      <c r="A919" s="5"/>
      <c r="B919" s="9"/>
      <c r="C919" s="5"/>
      <c r="D919" s="9"/>
      <c r="E919" s="9"/>
      <c r="F919" s="9"/>
      <c r="G919" s="9"/>
      <c r="H919" s="9"/>
      <c r="I919" s="9"/>
      <c r="J919" s="5"/>
      <c r="K919" s="4"/>
      <c r="L919" s="10"/>
      <c r="M919" s="10"/>
      <c r="N919" s="10"/>
      <c r="O919" s="10"/>
      <c r="P919" s="10"/>
      <c r="Q919" s="11"/>
      <c r="R919" s="9"/>
      <c r="S919" s="12"/>
      <c r="T919" s="5"/>
      <c r="U919" s="5"/>
      <c r="V919" s="4"/>
      <c r="W919" s="4"/>
      <c r="X919" s="4"/>
      <c r="Y919" s="4"/>
    </row>
    <row r="920">
      <c r="A920" s="5"/>
      <c r="B920" s="9"/>
      <c r="C920" s="5"/>
      <c r="D920" s="9"/>
      <c r="E920" s="9"/>
      <c r="F920" s="9"/>
      <c r="G920" s="9"/>
      <c r="H920" s="9"/>
      <c r="I920" s="9"/>
      <c r="J920" s="5"/>
      <c r="K920" s="4"/>
      <c r="L920" s="10"/>
      <c r="M920" s="10"/>
      <c r="N920" s="10"/>
      <c r="O920" s="10"/>
      <c r="P920" s="10"/>
      <c r="Q920" s="11"/>
      <c r="R920" s="9"/>
      <c r="S920" s="12"/>
      <c r="T920" s="5"/>
      <c r="U920" s="5"/>
      <c r="V920" s="4"/>
      <c r="W920" s="4"/>
      <c r="X920" s="4"/>
      <c r="Y920" s="4"/>
    </row>
    <row r="921">
      <c r="A921" s="5"/>
      <c r="B921" s="9"/>
      <c r="C921" s="5"/>
      <c r="D921" s="9"/>
      <c r="E921" s="9"/>
      <c r="F921" s="9"/>
      <c r="G921" s="9"/>
      <c r="H921" s="9"/>
      <c r="I921" s="9"/>
      <c r="J921" s="5"/>
      <c r="K921" s="4"/>
      <c r="L921" s="10"/>
      <c r="M921" s="10"/>
      <c r="N921" s="10"/>
      <c r="O921" s="10"/>
      <c r="P921" s="10"/>
      <c r="Q921" s="11"/>
      <c r="R921" s="9"/>
      <c r="S921" s="12"/>
      <c r="T921" s="5"/>
      <c r="U921" s="5"/>
      <c r="V921" s="4"/>
      <c r="W921" s="4"/>
      <c r="X921" s="4"/>
      <c r="Y921" s="4"/>
    </row>
    <row r="922">
      <c r="A922" s="5"/>
      <c r="B922" s="9"/>
      <c r="C922" s="5"/>
      <c r="D922" s="9"/>
      <c r="E922" s="9"/>
      <c r="F922" s="9"/>
      <c r="G922" s="9"/>
      <c r="H922" s="9"/>
      <c r="I922" s="9"/>
      <c r="J922" s="5"/>
      <c r="K922" s="4"/>
      <c r="L922" s="10"/>
      <c r="M922" s="10"/>
      <c r="N922" s="10"/>
      <c r="O922" s="10"/>
      <c r="P922" s="10"/>
      <c r="Q922" s="11"/>
      <c r="R922" s="9"/>
      <c r="S922" s="12"/>
      <c r="T922" s="5"/>
      <c r="U922" s="5"/>
      <c r="V922" s="4"/>
      <c r="W922" s="4"/>
      <c r="X922" s="4"/>
      <c r="Y922" s="4"/>
    </row>
    <row r="923">
      <c r="A923" s="5"/>
      <c r="B923" s="9"/>
      <c r="C923" s="5"/>
      <c r="D923" s="9"/>
      <c r="E923" s="9"/>
      <c r="F923" s="9"/>
      <c r="G923" s="9"/>
      <c r="H923" s="9"/>
      <c r="I923" s="9"/>
      <c r="J923" s="5"/>
      <c r="K923" s="4"/>
      <c r="L923" s="10"/>
      <c r="M923" s="10"/>
      <c r="N923" s="10"/>
      <c r="O923" s="10"/>
      <c r="P923" s="10"/>
      <c r="Q923" s="11"/>
      <c r="R923" s="9"/>
      <c r="S923" s="12"/>
      <c r="T923" s="5"/>
      <c r="U923" s="5"/>
      <c r="V923" s="4"/>
      <c r="W923" s="4"/>
      <c r="X923" s="4"/>
      <c r="Y923" s="4"/>
    </row>
    <row r="924">
      <c r="A924" s="5"/>
      <c r="B924" s="9"/>
      <c r="C924" s="5"/>
      <c r="D924" s="9"/>
      <c r="E924" s="9"/>
      <c r="F924" s="9"/>
      <c r="G924" s="9"/>
      <c r="H924" s="9"/>
      <c r="I924" s="9"/>
      <c r="J924" s="5"/>
      <c r="K924" s="4"/>
      <c r="L924" s="10"/>
      <c r="M924" s="10"/>
      <c r="N924" s="10"/>
      <c r="O924" s="10"/>
      <c r="P924" s="10"/>
      <c r="Q924" s="11"/>
      <c r="R924" s="9"/>
      <c r="S924" s="12"/>
      <c r="T924" s="5"/>
      <c r="U924" s="5"/>
      <c r="V924" s="4"/>
      <c r="W924" s="4"/>
      <c r="X924" s="4"/>
      <c r="Y924" s="4"/>
    </row>
    <row r="925">
      <c r="A925" s="5"/>
      <c r="B925" s="9"/>
      <c r="C925" s="5"/>
      <c r="D925" s="9"/>
      <c r="E925" s="9"/>
      <c r="F925" s="9"/>
      <c r="G925" s="9"/>
      <c r="H925" s="9"/>
      <c r="I925" s="9"/>
      <c r="J925" s="5"/>
      <c r="K925" s="4"/>
      <c r="L925" s="10"/>
      <c r="M925" s="10"/>
      <c r="N925" s="10"/>
      <c r="O925" s="10"/>
      <c r="P925" s="10"/>
      <c r="Q925" s="11"/>
      <c r="R925" s="9"/>
      <c r="S925" s="12"/>
      <c r="T925" s="5"/>
      <c r="U925" s="5"/>
      <c r="V925" s="4"/>
      <c r="W925" s="4"/>
      <c r="X925" s="4"/>
      <c r="Y925" s="4"/>
    </row>
    <row r="926">
      <c r="A926" s="5"/>
      <c r="B926" s="9"/>
      <c r="C926" s="5"/>
      <c r="D926" s="9"/>
      <c r="E926" s="9"/>
      <c r="F926" s="9"/>
      <c r="G926" s="9"/>
      <c r="H926" s="9"/>
      <c r="I926" s="9"/>
      <c r="J926" s="5"/>
      <c r="K926" s="4"/>
      <c r="L926" s="10"/>
      <c r="M926" s="10"/>
      <c r="N926" s="10"/>
      <c r="O926" s="10"/>
      <c r="P926" s="10"/>
      <c r="Q926" s="11"/>
      <c r="R926" s="9"/>
      <c r="S926" s="12"/>
      <c r="T926" s="5"/>
      <c r="U926" s="5"/>
      <c r="V926" s="4"/>
      <c r="W926" s="4"/>
      <c r="X926" s="4"/>
      <c r="Y926" s="4"/>
    </row>
    <row r="927">
      <c r="A927" s="5"/>
      <c r="B927" s="9"/>
      <c r="C927" s="5"/>
      <c r="D927" s="9"/>
      <c r="E927" s="9"/>
      <c r="F927" s="9"/>
      <c r="G927" s="9"/>
      <c r="H927" s="9"/>
      <c r="I927" s="9"/>
      <c r="J927" s="5"/>
      <c r="K927" s="4"/>
      <c r="L927" s="10"/>
      <c r="M927" s="10"/>
      <c r="N927" s="10"/>
      <c r="O927" s="10"/>
      <c r="P927" s="10"/>
      <c r="Q927" s="11"/>
      <c r="R927" s="9"/>
      <c r="S927" s="12"/>
      <c r="T927" s="5"/>
      <c r="U927" s="5"/>
      <c r="V927" s="4"/>
      <c r="W927" s="4"/>
      <c r="X927" s="4"/>
      <c r="Y927" s="4"/>
    </row>
    <row r="928">
      <c r="A928" s="5"/>
      <c r="B928" s="9"/>
      <c r="C928" s="5"/>
      <c r="D928" s="9"/>
      <c r="E928" s="9"/>
      <c r="F928" s="9"/>
      <c r="G928" s="9"/>
      <c r="H928" s="9"/>
      <c r="I928" s="9"/>
      <c r="J928" s="5"/>
      <c r="K928" s="4"/>
      <c r="L928" s="10"/>
      <c r="M928" s="10"/>
      <c r="N928" s="10"/>
      <c r="O928" s="10"/>
      <c r="P928" s="10"/>
      <c r="Q928" s="11"/>
      <c r="R928" s="9"/>
      <c r="S928" s="12"/>
      <c r="T928" s="5"/>
      <c r="U928" s="5"/>
      <c r="V928" s="4"/>
      <c r="W928" s="4"/>
      <c r="X928" s="4"/>
      <c r="Y928" s="4"/>
    </row>
    <row r="929">
      <c r="A929" s="5"/>
      <c r="B929" s="9"/>
      <c r="C929" s="5"/>
      <c r="D929" s="9"/>
      <c r="E929" s="9"/>
      <c r="F929" s="9"/>
      <c r="G929" s="9"/>
      <c r="H929" s="9"/>
      <c r="I929" s="9"/>
      <c r="J929" s="5"/>
      <c r="K929" s="4"/>
      <c r="L929" s="10"/>
      <c r="M929" s="10"/>
      <c r="N929" s="10"/>
      <c r="O929" s="10"/>
      <c r="P929" s="10"/>
      <c r="Q929" s="11"/>
      <c r="R929" s="9"/>
      <c r="S929" s="12"/>
      <c r="T929" s="5"/>
      <c r="U929" s="5"/>
      <c r="V929" s="4"/>
      <c r="W929" s="4"/>
      <c r="X929" s="4"/>
      <c r="Y929" s="4"/>
    </row>
    <row r="930">
      <c r="A930" s="5"/>
      <c r="B930" s="9"/>
      <c r="C930" s="5"/>
      <c r="D930" s="9"/>
      <c r="E930" s="9"/>
      <c r="F930" s="9"/>
      <c r="G930" s="9"/>
      <c r="H930" s="9"/>
      <c r="I930" s="9"/>
      <c r="J930" s="5"/>
      <c r="K930" s="4"/>
      <c r="L930" s="10"/>
      <c r="M930" s="10"/>
      <c r="N930" s="10"/>
      <c r="O930" s="10"/>
      <c r="P930" s="10"/>
      <c r="Q930" s="11"/>
      <c r="R930" s="9"/>
      <c r="S930" s="12"/>
      <c r="T930" s="5"/>
      <c r="U930" s="5"/>
      <c r="V930" s="4"/>
      <c r="W930" s="4"/>
      <c r="X930" s="4"/>
      <c r="Y930" s="4"/>
    </row>
    <row r="931">
      <c r="A931" s="5"/>
      <c r="B931" s="9"/>
      <c r="C931" s="5"/>
      <c r="D931" s="9"/>
      <c r="E931" s="9"/>
      <c r="F931" s="9"/>
      <c r="G931" s="9"/>
      <c r="H931" s="9"/>
      <c r="I931" s="9"/>
      <c r="J931" s="5"/>
      <c r="K931" s="4"/>
      <c r="L931" s="10"/>
      <c r="M931" s="10"/>
      <c r="N931" s="10"/>
      <c r="O931" s="10"/>
      <c r="P931" s="10"/>
      <c r="Q931" s="11"/>
      <c r="R931" s="9"/>
      <c r="S931" s="12"/>
      <c r="T931" s="5"/>
      <c r="U931" s="5"/>
      <c r="V931" s="4"/>
      <c r="W931" s="4"/>
      <c r="X931" s="4"/>
      <c r="Y931" s="4"/>
    </row>
    <row r="932">
      <c r="A932" s="5"/>
      <c r="B932" s="9"/>
      <c r="C932" s="5"/>
      <c r="D932" s="9"/>
      <c r="E932" s="9"/>
      <c r="F932" s="9"/>
      <c r="G932" s="9"/>
      <c r="H932" s="9"/>
      <c r="I932" s="9"/>
      <c r="J932" s="5"/>
      <c r="K932" s="4"/>
      <c r="L932" s="10"/>
      <c r="M932" s="10"/>
      <c r="N932" s="10"/>
      <c r="O932" s="10"/>
      <c r="P932" s="10"/>
      <c r="Q932" s="11"/>
      <c r="R932" s="9"/>
      <c r="S932" s="12"/>
      <c r="T932" s="5"/>
      <c r="U932" s="5"/>
      <c r="V932" s="4"/>
      <c r="W932" s="4"/>
      <c r="X932" s="4"/>
      <c r="Y932" s="4"/>
    </row>
    <row r="933">
      <c r="A933" s="5"/>
      <c r="B933" s="9"/>
      <c r="C933" s="5"/>
      <c r="D933" s="9"/>
      <c r="E933" s="9"/>
      <c r="F933" s="9"/>
      <c r="G933" s="9"/>
      <c r="H933" s="9"/>
      <c r="I933" s="9"/>
      <c r="J933" s="5"/>
      <c r="K933" s="4"/>
      <c r="L933" s="10"/>
      <c r="M933" s="10"/>
      <c r="N933" s="10"/>
      <c r="O933" s="10"/>
      <c r="P933" s="10"/>
      <c r="Q933" s="11"/>
      <c r="R933" s="9"/>
      <c r="S933" s="12"/>
      <c r="T933" s="5"/>
      <c r="U933" s="5"/>
      <c r="V933" s="4"/>
      <c r="W933" s="4"/>
      <c r="X933" s="4"/>
      <c r="Y933" s="4"/>
    </row>
    <row r="934">
      <c r="A934" s="5"/>
      <c r="B934" s="9"/>
      <c r="C934" s="5"/>
      <c r="D934" s="9"/>
      <c r="E934" s="9"/>
      <c r="F934" s="9"/>
      <c r="G934" s="9"/>
      <c r="H934" s="9"/>
      <c r="I934" s="9"/>
      <c r="J934" s="5"/>
      <c r="K934" s="4"/>
      <c r="L934" s="10"/>
      <c r="M934" s="10"/>
      <c r="N934" s="10"/>
      <c r="O934" s="10"/>
      <c r="P934" s="10"/>
      <c r="Q934" s="11"/>
      <c r="R934" s="9"/>
      <c r="S934" s="12"/>
      <c r="T934" s="5"/>
      <c r="U934" s="5"/>
      <c r="V934" s="4"/>
      <c r="W934" s="4"/>
      <c r="X934" s="4"/>
      <c r="Y934" s="4"/>
    </row>
    <row r="935">
      <c r="A935" s="5"/>
      <c r="B935" s="9"/>
      <c r="C935" s="5"/>
      <c r="D935" s="9"/>
      <c r="E935" s="9"/>
      <c r="F935" s="9"/>
      <c r="G935" s="9"/>
      <c r="H935" s="9"/>
      <c r="I935" s="9"/>
      <c r="J935" s="5"/>
      <c r="K935" s="4"/>
      <c r="L935" s="10"/>
      <c r="M935" s="10"/>
      <c r="N935" s="10"/>
      <c r="O935" s="10"/>
      <c r="P935" s="10"/>
      <c r="Q935" s="11"/>
      <c r="R935" s="9"/>
      <c r="S935" s="12"/>
      <c r="T935" s="5"/>
      <c r="U935" s="5"/>
      <c r="V935" s="4"/>
      <c r="W935" s="4"/>
      <c r="X935" s="4"/>
      <c r="Y935" s="4"/>
    </row>
    <row r="936">
      <c r="A936" s="5"/>
      <c r="B936" s="9"/>
      <c r="C936" s="5"/>
      <c r="D936" s="9"/>
      <c r="E936" s="9"/>
      <c r="F936" s="9"/>
      <c r="G936" s="9"/>
      <c r="H936" s="9"/>
      <c r="I936" s="9"/>
      <c r="J936" s="5"/>
      <c r="K936" s="4"/>
      <c r="L936" s="10"/>
      <c r="M936" s="10"/>
      <c r="N936" s="10"/>
      <c r="O936" s="10"/>
      <c r="P936" s="10"/>
      <c r="Q936" s="11"/>
      <c r="R936" s="9"/>
      <c r="S936" s="12"/>
      <c r="T936" s="5"/>
      <c r="U936" s="5"/>
      <c r="V936" s="4"/>
      <c r="W936" s="4"/>
      <c r="X936" s="4"/>
      <c r="Y936" s="4"/>
    </row>
    <row r="937">
      <c r="A937" s="5"/>
      <c r="B937" s="9"/>
      <c r="C937" s="5"/>
      <c r="D937" s="9"/>
      <c r="E937" s="9"/>
      <c r="F937" s="9"/>
      <c r="G937" s="9"/>
      <c r="H937" s="9"/>
      <c r="I937" s="9"/>
      <c r="J937" s="5"/>
      <c r="K937" s="4"/>
      <c r="L937" s="10"/>
      <c r="M937" s="10"/>
      <c r="N937" s="10"/>
      <c r="O937" s="10"/>
      <c r="P937" s="10"/>
      <c r="Q937" s="11"/>
      <c r="R937" s="9"/>
      <c r="S937" s="12"/>
      <c r="T937" s="5"/>
      <c r="U937" s="5"/>
      <c r="V937" s="4"/>
      <c r="W937" s="4"/>
      <c r="X937" s="4"/>
      <c r="Y937" s="4"/>
    </row>
    <row r="938">
      <c r="A938" s="5"/>
      <c r="B938" s="9"/>
      <c r="C938" s="5"/>
      <c r="D938" s="9"/>
      <c r="E938" s="9"/>
      <c r="F938" s="9"/>
      <c r="G938" s="9"/>
      <c r="H938" s="9"/>
      <c r="I938" s="9"/>
      <c r="J938" s="5"/>
      <c r="K938" s="4"/>
      <c r="L938" s="10"/>
      <c r="M938" s="10"/>
      <c r="N938" s="10"/>
      <c r="O938" s="10"/>
      <c r="P938" s="10"/>
      <c r="Q938" s="11"/>
      <c r="R938" s="9"/>
      <c r="S938" s="12"/>
      <c r="T938" s="5"/>
      <c r="U938" s="5"/>
      <c r="V938" s="4"/>
      <c r="W938" s="4"/>
      <c r="X938" s="4"/>
      <c r="Y938" s="4"/>
    </row>
    <row r="939">
      <c r="A939" s="5"/>
      <c r="B939" s="9"/>
      <c r="C939" s="5"/>
      <c r="D939" s="9"/>
      <c r="E939" s="9"/>
      <c r="F939" s="9"/>
      <c r="G939" s="9"/>
      <c r="H939" s="9"/>
      <c r="I939" s="9"/>
      <c r="J939" s="5"/>
      <c r="K939" s="4"/>
      <c r="L939" s="10"/>
      <c r="M939" s="10"/>
      <c r="N939" s="10"/>
      <c r="O939" s="10"/>
      <c r="P939" s="10"/>
      <c r="Q939" s="11"/>
      <c r="R939" s="9"/>
      <c r="S939" s="12"/>
      <c r="T939" s="5"/>
      <c r="U939" s="5"/>
      <c r="V939" s="4"/>
      <c r="W939" s="4"/>
      <c r="X939" s="4"/>
      <c r="Y939" s="4"/>
    </row>
    <row r="940">
      <c r="A940" s="5"/>
      <c r="B940" s="9"/>
      <c r="C940" s="5"/>
      <c r="D940" s="9"/>
      <c r="E940" s="9"/>
      <c r="F940" s="9"/>
      <c r="G940" s="9"/>
      <c r="H940" s="9"/>
      <c r="I940" s="9"/>
      <c r="J940" s="5"/>
      <c r="K940" s="4"/>
      <c r="L940" s="10"/>
      <c r="M940" s="10"/>
      <c r="N940" s="10"/>
      <c r="O940" s="10"/>
      <c r="P940" s="10"/>
      <c r="Q940" s="11"/>
      <c r="R940" s="9"/>
      <c r="S940" s="12"/>
      <c r="T940" s="5"/>
      <c r="U940" s="5"/>
      <c r="V940" s="4"/>
      <c r="W940" s="4"/>
      <c r="X940" s="4"/>
      <c r="Y940" s="4"/>
    </row>
    <row r="941">
      <c r="A941" s="5"/>
      <c r="B941" s="9"/>
      <c r="C941" s="5"/>
      <c r="D941" s="9"/>
      <c r="E941" s="9"/>
      <c r="F941" s="9"/>
      <c r="G941" s="9"/>
      <c r="H941" s="9"/>
      <c r="I941" s="9"/>
      <c r="J941" s="5"/>
      <c r="K941" s="4"/>
      <c r="L941" s="10"/>
      <c r="M941" s="10"/>
      <c r="N941" s="10"/>
      <c r="O941" s="10"/>
      <c r="P941" s="10"/>
      <c r="Q941" s="11"/>
      <c r="R941" s="9"/>
      <c r="S941" s="12"/>
      <c r="T941" s="5"/>
      <c r="U941" s="5"/>
      <c r="V941" s="4"/>
      <c r="W941" s="4"/>
      <c r="X941" s="4"/>
      <c r="Y941" s="4"/>
    </row>
    <row r="942">
      <c r="A942" s="5"/>
      <c r="B942" s="9"/>
      <c r="C942" s="5"/>
      <c r="D942" s="9"/>
      <c r="E942" s="9"/>
      <c r="F942" s="9"/>
      <c r="G942" s="9"/>
      <c r="H942" s="9"/>
      <c r="I942" s="9"/>
      <c r="J942" s="5"/>
      <c r="K942" s="4"/>
      <c r="L942" s="10"/>
      <c r="M942" s="10"/>
      <c r="N942" s="10"/>
      <c r="O942" s="10"/>
      <c r="P942" s="10"/>
      <c r="Q942" s="11"/>
      <c r="R942" s="9"/>
      <c r="S942" s="12"/>
      <c r="T942" s="5"/>
      <c r="U942" s="5"/>
      <c r="V942" s="4"/>
      <c r="W942" s="4"/>
      <c r="X942" s="4"/>
      <c r="Y942" s="4"/>
    </row>
    <row r="943">
      <c r="A943" s="5"/>
      <c r="B943" s="9"/>
      <c r="C943" s="5"/>
      <c r="D943" s="9"/>
      <c r="E943" s="9"/>
      <c r="F943" s="9"/>
      <c r="G943" s="9"/>
      <c r="H943" s="9"/>
      <c r="I943" s="9"/>
      <c r="J943" s="5"/>
      <c r="K943" s="4"/>
      <c r="L943" s="10"/>
      <c r="M943" s="10"/>
      <c r="N943" s="10"/>
      <c r="O943" s="10"/>
      <c r="P943" s="10"/>
      <c r="Q943" s="11"/>
      <c r="R943" s="9"/>
      <c r="S943" s="12"/>
      <c r="T943" s="5"/>
      <c r="U943" s="5"/>
      <c r="V943" s="4"/>
      <c r="W943" s="4"/>
      <c r="X943" s="4"/>
      <c r="Y943" s="4"/>
    </row>
    <row r="944">
      <c r="A944" s="5"/>
      <c r="B944" s="9"/>
      <c r="C944" s="5"/>
      <c r="D944" s="9"/>
      <c r="E944" s="9"/>
      <c r="F944" s="9"/>
      <c r="G944" s="9"/>
      <c r="H944" s="9"/>
      <c r="I944" s="9"/>
      <c r="J944" s="5"/>
      <c r="K944" s="4"/>
      <c r="L944" s="10"/>
      <c r="M944" s="10"/>
      <c r="N944" s="10"/>
      <c r="O944" s="10"/>
      <c r="P944" s="10"/>
      <c r="Q944" s="11"/>
      <c r="R944" s="9"/>
      <c r="S944" s="12"/>
      <c r="T944" s="5"/>
      <c r="U944" s="5"/>
      <c r="V944" s="4"/>
      <c r="W944" s="4"/>
      <c r="X944" s="4"/>
      <c r="Y944" s="4"/>
    </row>
    <row r="945">
      <c r="A945" s="5"/>
      <c r="B945" s="9"/>
      <c r="C945" s="5"/>
      <c r="D945" s="9"/>
      <c r="E945" s="9"/>
      <c r="F945" s="9"/>
      <c r="G945" s="9"/>
      <c r="H945" s="9"/>
      <c r="I945" s="9"/>
      <c r="J945" s="5"/>
      <c r="K945" s="4"/>
      <c r="L945" s="10"/>
      <c r="M945" s="10"/>
      <c r="N945" s="10"/>
      <c r="O945" s="10"/>
      <c r="P945" s="10"/>
      <c r="Q945" s="11"/>
      <c r="R945" s="9"/>
      <c r="S945" s="12"/>
      <c r="T945" s="5"/>
      <c r="U945" s="5"/>
      <c r="V945" s="4"/>
      <c r="W945" s="4"/>
      <c r="X945" s="4"/>
      <c r="Y945" s="4"/>
    </row>
    <row r="946">
      <c r="A946" s="5"/>
      <c r="B946" s="9"/>
      <c r="C946" s="5"/>
      <c r="D946" s="9"/>
      <c r="E946" s="9"/>
      <c r="F946" s="9"/>
      <c r="G946" s="9"/>
      <c r="H946" s="9"/>
      <c r="I946" s="9"/>
      <c r="J946" s="5"/>
      <c r="K946" s="4"/>
      <c r="L946" s="10"/>
      <c r="M946" s="10"/>
      <c r="N946" s="10"/>
      <c r="O946" s="10"/>
      <c r="P946" s="10"/>
      <c r="Q946" s="11"/>
      <c r="R946" s="9"/>
      <c r="S946" s="12"/>
      <c r="T946" s="5"/>
      <c r="U946" s="5"/>
      <c r="V946" s="4"/>
      <c r="W946" s="4"/>
      <c r="X946" s="4"/>
      <c r="Y946" s="4"/>
    </row>
    <row r="947">
      <c r="A947" s="5"/>
      <c r="B947" s="9"/>
      <c r="C947" s="5"/>
      <c r="D947" s="9"/>
      <c r="E947" s="9"/>
      <c r="F947" s="9"/>
      <c r="G947" s="9"/>
      <c r="H947" s="9"/>
      <c r="I947" s="9"/>
      <c r="J947" s="5"/>
      <c r="K947" s="4"/>
      <c r="L947" s="10"/>
      <c r="M947" s="10"/>
      <c r="N947" s="10"/>
      <c r="O947" s="10"/>
      <c r="P947" s="10"/>
      <c r="Q947" s="11"/>
      <c r="R947" s="9"/>
      <c r="S947" s="12"/>
      <c r="T947" s="5"/>
      <c r="U947" s="5"/>
      <c r="V947" s="4"/>
      <c r="W947" s="4"/>
      <c r="X947" s="4"/>
      <c r="Y947" s="4"/>
    </row>
    <row r="948">
      <c r="A948" s="5"/>
      <c r="B948" s="9"/>
      <c r="C948" s="5"/>
      <c r="D948" s="9"/>
      <c r="E948" s="9"/>
      <c r="F948" s="9"/>
      <c r="G948" s="9"/>
      <c r="H948" s="9"/>
      <c r="I948" s="9"/>
      <c r="J948" s="5"/>
      <c r="K948" s="4"/>
      <c r="L948" s="10"/>
      <c r="M948" s="10"/>
      <c r="N948" s="10"/>
      <c r="O948" s="10"/>
      <c r="P948" s="10"/>
      <c r="Q948" s="11"/>
      <c r="R948" s="9"/>
      <c r="S948" s="12"/>
      <c r="T948" s="5"/>
      <c r="U948" s="5"/>
      <c r="V948" s="4"/>
      <c r="W948" s="4"/>
      <c r="X948" s="4"/>
      <c r="Y948" s="4"/>
    </row>
    <row r="949">
      <c r="A949" s="5"/>
      <c r="B949" s="9"/>
      <c r="C949" s="5"/>
      <c r="D949" s="9"/>
      <c r="E949" s="9"/>
      <c r="F949" s="9"/>
      <c r="G949" s="9"/>
      <c r="H949" s="9"/>
      <c r="I949" s="9"/>
      <c r="J949" s="5"/>
      <c r="K949" s="4"/>
      <c r="L949" s="10"/>
      <c r="M949" s="10"/>
      <c r="N949" s="10"/>
      <c r="O949" s="10"/>
      <c r="P949" s="10"/>
      <c r="Q949" s="11"/>
      <c r="R949" s="9"/>
      <c r="S949" s="12"/>
      <c r="T949" s="5"/>
      <c r="U949" s="5"/>
      <c r="V949" s="4"/>
      <c r="W949" s="4"/>
      <c r="X949" s="4"/>
      <c r="Y949" s="4"/>
    </row>
    <row r="950">
      <c r="A950" s="5"/>
      <c r="B950" s="9"/>
      <c r="C950" s="5"/>
      <c r="D950" s="9"/>
      <c r="E950" s="9"/>
      <c r="F950" s="9"/>
      <c r="G950" s="9"/>
      <c r="H950" s="9"/>
      <c r="I950" s="9"/>
      <c r="J950" s="5"/>
      <c r="K950" s="4"/>
      <c r="L950" s="10"/>
      <c r="M950" s="10"/>
      <c r="N950" s="10"/>
      <c r="O950" s="10"/>
      <c r="P950" s="10"/>
      <c r="Q950" s="11"/>
      <c r="R950" s="9"/>
      <c r="S950" s="12"/>
      <c r="T950" s="5"/>
      <c r="U950" s="5"/>
      <c r="V950" s="4"/>
      <c r="W950" s="4"/>
      <c r="X950" s="4"/>
      <c r="Y950" s="4"/>
    </row>
    <row r="951">
      <c r="A951" s="5"/>
      <c r="B951" s="9"/>
      <c r="C951" s="5"/>
      <c r="D951" s="9"/>
      <c r="E951" s="9"/>
      <c r="F951" s="9"/>
      <c r="G951" s="9"/>
      <c r="H951" s="9"/>
      <c r="I951" s="9"/>
      <c r="J951" s="5"/>
      <c r="K951" s="4"/>
      <c r="L951" s="10"/>
      <c r="M951" s="10"/>
      <c r="N951" s="10"/>
      <c r="O951" s="10"/>
      <c r="P951" s="10"/>
      <c r="Q951" s="11"/>
      <c r="R951" s="9"/>
      <c r="S951" s="12"/>
      <c r="T951" s="5"/>
      <c r="U951" s="5"/>
      <c r="V951" s="4"/>
      <c r="W951" s="4"/>
      <c r="X951" s="4"/>
      <c r="Y951" s="4"/>
    </row>
    <row r="952">
      <c r="A952" s="5"/>
      <c r="B952" s="9"/>
      <c r="C952" s="5"/>
      <c r="D952" s="9"/>
      <c r="E952" s="9"/>
      <c r="F952" s="9"/>
      <c r="G952" s="9"/>
      <c r="H952" s="9"/>
      <c r="I952" s="9"/>
      <c r="J952" s="5"/>
      <c r="K952" s="4"/>
      <c r="L952" s="10"/>
      <c r="M952" s="10"/>
      <c r="N952" s="10"/>
      <c r="O952" s="10"/>
      <c r="P952" s="10"/>
      <c r="Q952" s="11"/>
      <c r="R952" s="9"/>
      <c r="S952" s="12"/>
      <c r="T952" s="5"/>
      <c r="U952" s="5"/>
      <c r="V952" s="4"/>
      <c r="W952" s="4"/>
      <c r="X952" s="4"/>
      <c r="Y952" s="4"/>
    </row>
    <row r="953">
      <c r="A953" s="5"/>
      <c r="B953" s="9"/>
      <c r="C953" s="5"/>
      <c r="D953" s="9"/>
      <c r="E953" s="9"/>
      <c r="F953" s="9"/>
      <c r="G953" s="9"/>
      <c r="H953" s="9"/>
      <c r="I953" s="9"/>
      <c r="J953" s="5"/>
      <c r="K953" s="4"/>
      <c r="L953" s="10"/>
      <c r="M953" s="10"/>
      <c r="N953" s="10"/>
      <c r="O953" s="10"/>
      <c r="P953" s="10"/>
      <c r="Q953" s="11"/>
      <c r="R953" s="9"/>
      <c r="S953" s="12"/>
      <c r="T953" s="5"/>
      <c r="U953" s="5"/>
      <c r="V953" s="4"/>
      <c r="W953" s="4"/>
      <c r="X953" s="4"/>
      <c r="Y953" s="4"/>
    </row>
    <row r="954">
      <c r="A954" s="5"/>
      <c r="B954" s="9"/>
      <c r="C954" s="5"/>
      <c r="D954" s="9"/>
      <c r="E954" s="9"/>
      <c r="F954" s="9"/>
      <c r="G954" s="9"/>
      <c r="H954" s="9"/>
      <c r="I954" s="9"/>
      <c r="J954" s="5"/>
      <c r="K954" s="4"/>
      <c r="L954" s="10"/>
      <c r="M954" s="10"/>
      <c r="N954" s="10"/>
      <c r="O954" s="10"/>
      <c r="P954" s="10"/>
      <c r="Q954" s="11"/>
      <c r="R954" s="9"/>
      <c r="S954" s="12"/>
      <c r="T954" s="5"/>
      <c r="U954" s="5"/>
      <c r="V954" s="4"/>
      <c r="W954" s="4"/>
      <c r="X954" s="4"/>
      <c r="Y954" s="4"/>
    </row>
    <row r="955">
      <c r="A955" s="5"/>
      <c r="B955" s="9"/>
      <c r="C955" s="5"/>
      <c r="D955" s="9"/>
      <c r="E955" s="9"/>
      <c r="F955" s="9"/>
      <c r="G955" s="9"/>
      <c r="H955" s="9"/>
      <c r="I955" s="9"/>
      <c r="J955" s="5"/>
      <c r="K955" s="4"/>
      <c r="L955" s="10"/>
      <c r="M955" s="10"/>
      <c r="N955" s="10"/>
      <c r="O955" s="10"/>
      <c r="P955" s="10"/>
      <c r="Q955" s="11"/>
      <c r="R955" s="9"/>
      <c r="S955" s="12"/>
      <c r="T955" s="5"/>
      <c r="U955" s="5"/>
      <c r="V955" s="4"/>
      <c r="W955" s="4"/>
      <c r="X955" s="4"/>
      <c r="Y955" s="4"/>
    </row>
    <row r="956">
      <c r="A956" s="5"/>
      <c r="B956" s="9"/>
      <c r="C956" s="5"/>
      <c r="D956" s="9"/>
      <c r="E956" s="9"/>
      <c r="F956" s="9"/>
      <c r="G956" s="9"/>
      <c r="H956" s="9"/>
      <c r="I956" s="9"/>
      <c r="J956" s="5"/>
      <c r="K956" s="4"/>
      <c r="L956" s="10"/>
      <c r="M956" s="10"/>
      <c r="N956" s="10"/>
      <c r="O956" s="10"/>
      <c r="P956" s="10"/>
      <c r="Q956" s="11"/>
      <c r="R956" s="9"/>
      <c r="S956" s="12"/>
      <c r="T956" s="5"/>
      <c r="U956" s="5"/>
      <c r="V956" s="4"/>
      <c r="W956" s="4"/>
      <c r="X956" s="4"/>
      <c r="Y956" s="4"/>
    </row>
    <row r="957">
      <c r="A957" s="5"/>
      <c r="B957" s="9"/>
      <c r="C957" s="5"/>
      <c r="D957" s="9"/>
      <c r="E957" s="9"/>
      <c r="F957" s="9"/>
      <c r="G957" s="9"/>
      <c r="H957" s="9"/>
      <c r="I957" s="9"/>
      <c r="J957" s="5"/>
      <c r="K957" s="4"/>
      <c r="L957" s="10"/>
      <c r="M957" s="10"/>
      <c r="N957" s="10"/>
      <c r="O957" s="10"/>
      <c r="P957" s="10"/>
      <c r="Q957" s="11"/>
      <c r="R957" s="9"/>
      <c r="S957" s="12"/>
      <c r="T957" s="5"/>
      <c r="U957" s="5"/>
      <c r="V957" s="4"/>
      <c r="W957" s="4"/>
      <c r="X957" s="4"/>
      <c r="Y957" s="4"/>
    </row>
    <row r="958">
      <c r="A958" s="5"/>
      <c r="B958" s="9"/>
      <c r="C958" s="5"/>
      <c r="D958" s="9"/>
      <c r="E958" s="9"/>
      <c r="F958" s="9"/>
      <c r="G958" s="9"/>
      <c r="H958" s="9"/>
      <c r="I958" s="9"/>
      <c r="J958" s="5"/>
      <c r="K958" s="4"/>
      <c r="L958" s="10"/>
      <c r="M958" s="10"/>
      <c r="N958" s="10"/>
      <c r="O958" s="10"/>
      <c r="P958" s="10"/>
      <c r="Q958" s="11"/>
      <c r="R958" s="9"/>
      <c r="S958" s="12"/>
      <c r="T958" s="5"/>
      <c r="U958" s="5"/>
      <c r="V958" s="4"/>
      <c r="W958" s="4"/>
      <c r="X958" s="4"/>
      <c r="Y958" s="4"/>
    </row>
    <row r="959">
      <c r="A959" s="5"/>
      <c r="B959" s="9"/>
      <c r="C959" s="5"/>
      <c r="D959" s="9"/>
      <c r="E959" s="9"/>
      <c r="F959" s="9"/>
      <c r="G959" s="9"/>
      <c r="H959" s="9"/>
      <c r="I959" s="9"/>
      <c r="J959" s="5"/>
      <c r="K959" s="4"/>
      <c r="L959" s="10"/>
      <c r="M959" s="10"/>
      <c r="N959" s="10"/>
      <c r="O959" s="10"/>
      <c r="P959" s="10"/>
      <c r="Q959" s="11"/>
      <c r="R959" s="9"/>
      <c r="S959" s="12"/>
      <c r="T959" s="5"/>
      <c r="U959" s="5"/>
      <c r="V959" s="4"/>
      <c r="W959" s="4"/>
      <c r="X959" s="4"/>
      <c r="Y959" s="4"/>
    </row>
    <row r="960">
      <c r="A960" s="5"/>
      <c r="B960" s="9"/>
      <c r="C960" s="5"/>
      <c r="D960" s="9"/>
      <c r="E960" s="9"/>
      <c r="F960" s="9"/>
      <c r="G960" s="9"/>
      <c r="H960" s="9"/>
      <c r="I960" s="9"/>
      <c r="J960" s="5"/>
      <c r="K960" s="4"/>
      <c r="L960" s="10"/>
      <c r="M960" s="10"/>
      <c r="N960" s="10"/>
      <c r="O960" s="10"/>
      <c r="P960" s="10"/>
      <c r="Q960" s="11"/>
      <c r="R960" s="9"/>
      <c r="S960" s="12"/>
      <c r="T960" s="5"/>
      <c r="U960" s="5"/>
      <c r="V960" s="4"/>
      <c r="W960" s="4"/>
      <c r="X960" s="4"/>
      <c r="Y960" s="4"/>
    </row>
    <row r="961">
      <c r="A961" s="5"/>
      <c r="B961" s="9"/>
      <c r="C961" s="5"/>
      <c r="D961" s="9"/>
      <c r="E961" s="9"/>
      <c r="F961" s="9"/>
      <c r="G961" s="9"/>
      <c r="H961" s="9"/>
      <c r="I961" s="9"/>
      <c r="J961" s="5"/>
      <c r="K961" s="4"/>
      <c r="L961" s="10"/>
      <c r="M961" s="10"/>
      <c r="N961" s="10"/>
      <c r="O961" s="10"/>
      <c r="P961" s="10"/>
      <c r="Q961" s="11"/>
      <c r="R961" s="9"/>
      <c r="S961" s="12"/>
      <c r="T961" s="5"/>
      <c r="U961" s="5"/>
      <c r="V961" s="4"/>
      <c r="W961" s="4"/>
      <c r="X961" s="4"/>
      <c r="Y961" s="4"/>
    </row>
    <row r="962">
      <c r="A962" s="5"/>
      <c r="B962" s="9"/>
      <c r="C962" s="5"/>
      <c r="D962" s="9"/>
      <c r="E962" s="9"/>
      <c r="F962" s="9"/>
      <c r="G962" s="9"/>
      <c r="H962" s="9"/>
      <c r="I962" s="9"/>
      <c r="J962" s="5"/>
      <c r="K962" s="4"/>
      <c r="L962" s="10"/>
      <c r="M962" s="10"/>
      <c r="N962" s="10"/>
      <c r="O962" s="10"/>
      <c r="P962" s="10"/>
      <c r="Q962" s="11"/>
      <c r="R962" s="9"/>
      <c r="S962" s="12"/>
      <c r="T962" s="5"/>
      <c r="U962" s="5"/>
      <c r="V962" s="4"/>
      <c r="W962" s="4"/>
      <c r="X962" s="4"/>
      <c r="Y962" s="4"/>
    </row>
    <row r="963">
      <c r="A963" s="5"/>
      <c r="B963" s="9"/>
      <c r="C963" s="5"/>
      <c r="D963" s="9"/>
      <c r="E963" s="9"/>
      <c r="F963" s="9"/>
      <c r="G963" s="9"/>
      <c r="H963" s="9"/>
      <c r="I963" s="9"/>
      <c r="J963" s="5"/>
      <c r="K963" s="4"/>
      <c r="L963" s="10"/>
      <c r="M963" s="10"/>
      <c r="N963" s="10"/>
      <c r="O963" s="10"/>
      <c r="P963" s="10"/>
      <c r="Q963" s="11"/>
      <c r="R963" s="9"/>
      <c r="S963" s="12"/>
      <c r="T963" s="5"/>
      <c r="U963" s="5"/>
      <c r="V963" s="4"/>
      <c r="W963" s="4"/>
      <c r="X963" s="4"/>
      <c r="Y963" s="4"/>
    </row>
    <row r="964">
      <c r="A964" s="5"/>
      <c r="B964" s="9"/>
      <c r="C964" s="5"/>
      <c r="D964" s="9"/>
      <c r="E964" s="9"/>
      <c r="F964" s="9"/>
      <c r="G964" s="9"/>
      <c r="H964" s="9"/>
      <c r="I964" s="9"/>
      <c r="J964" s="5"/>
      <c r="K964" s="4"/>
      <c r="L964" s="10"/>
      <c r="M964" s="10"/>
      <c r="N964" s="10"/>
      <c r="O964" s="10"/>
      <c r="P964" s="10"/>
      <c r="Q964" s="11"/>
      <c r="R964" s="9"/>
      <c r="S964" s="12"/>
      <c r="T964" s="5"/>
      <c r="U964" s="5"/>
      <c r="V964" s="4"/>
      <c r="W964" s="4"/>
      <c r="X964" s="4"/>
      <c r="Y964" s="4"/>
    </row>
    <row r="965">
      <c r="A965" s="5"/>
      <c r="B965" s="9"/>
      <c r="C965" s="5"/>
      <c r="D965" s="9"/>
      <c r="E965" s="9"/>
      <c r="F965" s="9"/>
      <c r="G965" s="9"/>
      <c r="H965" s="9"/>
      <c r="I965" s="9"/>
      <c r="J965" s="5"/>
      <c r="K965" s="4"/>
      <c r="L965" s="10"/>
      <c r="M965" s="10"/>
      <c r="N965" s="10"/>
      <c r="O965" s="10"/>
      <c r="P965" s="10"/>
      <c r="Q965" s="11"/>
      <c r="R965" s="9"/>
      <c r="S965" s="12"/>
      <c r="T965" s="5"/>
      <c r="U965" s="5"/>
      <c r="V965" s="4"/>
      <c r="W965" s="4"/>
      <c r="X965" s="4"/>
      <c r="Y965" s="4"/>
    </row>
    <row r="966">
      <c r="A966" s="5"/>
      <c r="B966" s="9"/>
      <c r="C966" s="5"/>
      <c r="D966" s="9"/>
      <c r="E966" s="9"/>
      <c r="F966" s="9"/>
      <c r="G966" s="9"/>
      <c r="H966" s="9"/>
      <c r="I966" s="9"/>
      <c r="J966" s="5"/>
      <c r="K966" s="4"/>
      <c r="L966" s="10"/>
      <c r="M966" s="10"/>
      <c r="N966" s="10"/>
      <c r="O966" s="10"/>
      <c r="P966" s="10"/>
      <c r="Q966" s="11"/>
      <c r="R966" s="9"/>
      <c r="S966" s="12"/>
      <c r="T966" s="5"/>
      <c r="U966" s="5"/>
      <c r="V966" s="4"/>
      <c r="W966" s="4"/>
      <c r="X966" s="4"/>
      <c r="Y966" s="4"/>
    </row>
    <row r="967">
      <c r="A967" s="5"/>
      <c r="B967" s="9"/>
      <c r="C967" s="5"/>
      <c r="D967" s="9"/>
      <c r="E967" s="9"/>
      <c r="F967" s="9"/>
      <c r="G967" s="9"/>
      <c r="H967" s="9"/>
      <c r="I967" s="9"/>
      <c r="J967" s="5"/>
      <c r="K967" s="4"/>
      <c r="L967" s="10"/>
      <c r="M967" s="10"/>
      <c r="N967" s="10"/>
      <c r="O967" s="10"/>
      <c r="P967" s="10"/>
      <c r="Q967" s="11"/>
      <c r="R967" s="9"/>
      <c r="S967" s="12"/>
      <c r="T967" s="5"/>
      <c r="U967" s="5"/>
      <c r="V967" s="4"/>
      <c r="W967" s="4"/>
      <c r="X967" s="4"/>
      <c r="Y967" s="4"/>
    </row>
    <row r="968">
      <c r="A968" s="5"/>
      <c r="B968" s="9"/>
      <c r="C968" s="5"/>
      <c r="D968" s="9"/>
      <c r="E968" s="9"/>
      <c r="F968" s="9"/>
      <c r="G968" s="9"/>
      <c r="H968" s="9"/>
      <c r="I968" s="9"/>
      <c r="J968" s="5"/>
      <c r="K968" s="4"/>
      <c r="L968" s="10"/>
      <c r="M968" s="10"/>
      <c r="N968" s="10"/>
      <c r="O968" s="10"/>
      <c r="P968" s="10"/>
      <c r="Q968" s="11"/>
      <c r="R968" s="9"/>
      <c r="S968" s="12"/>
      <c r="T968" s="5"/>
      <c r="U968" s="5"/>
      <c r="V968" s="4"/>
      <c r="W968" s="4"/>
      <c r="X968" s="4"/>
      <c r="Y968" s="4"/>
    </row>
    <row r="969">
      <c r="A969" s="5"/>
      <c r="B969" s="9"/>
      <c r="C969" s="5"/>
      <c r="D969" s="9"/>
      <c r="E969" s="9"/>
      <c r="F969" s="9"/>
      <c r="G969" s="9"/>
      <c r="H969" s="9"/>
      <c r="I969" s="9"/>
      <c r="J969" s="5"/>
      <c r="K969" s="4"/>
      <c r="L969" s="10"/>
      <c r="M969" s="10"/>
      <c r="N969" s="10"/>
      <c r="O969" s="10"/>
      <c r="P969" s="10"/>
      <c r="Q969" s="11"/>
      <c r="R969" s="9"/>
      <c r="S969" s="12"/>
      <c r="T969" s="5"/>
      <c r="U969" s="5"/>
      <c r="V969" s="4"/>
      <c r="W969" s="4"/>
      <c r="X969" s="4"/>
      <c r="Y969" s="4"/>
    </row>
    <row r="970">
      <c r="A970" s="5"/>
      <c r="B970" s="9"/>
      <c r="C970" s="5"/>
      <c r="D970" s="9"/>
      <c r="E970" s="9"/>
      <c r="F970" s="9"/>
      <c r="G970" s="9"/>
      <c r="H970" s="9"/>
      <c r="I970" s="9"/>
      <c r="J970" s="5"/>
      <c r="K970" s="4"/>
      <c r="L970" s="10"/>
      <c r="M970" s="10"/>
      <c r="N970" s="10"/>
      <c r="O970" s="10"/>
      <c r="P970" s="10"/>
      <c r="Q970" s="11"/>
      <c r="R970" s="9"/>
      <c r="S970" s="12"/>
      <c r="T970" s="5"/>
      <c r="U970" s="5"/>
      <c r="V970" s="4"/>
      <c r="W970" s="4"/>
      <c r="X970" s="4"/>
      <c r="Y970" s="4"/>
    </row>
    <row r="971">
      <c r="A971" s="5"/>
      <c r="B971" s="9"/>
      <c r="C971" s="5"/>
      <c r="D971" s="9"/>
      <c r="E971" s="9"/>
      <c r="F971" s="9"/>
      <c r="G971" s="9"/>
      <c r="H971" s="9"/>
      <c r="I971" s="9"/>
      <c r="J971" s="5"/>
      <c r="K971" s="4"/>
      <c r="L971" s="10"/>
      <c r="M971" s="10"/>
      <c r="N971" s="10"/>
      <c r="O971" s="10"/>
      <c r="P971" s="10"/>
      <c r="Q971" s="11"/>
      <c r="R971" s="9"/>
      <c r="S971" s="12"/>
      <c r="T971" s="5"/>
      <c r="U971" s="5"/>
      <c r="V971" s="4"/>
      <c r="W971" s="4"/>
      <c r="X971" s="4"/>
      <c r="Y971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9773</v>
      </c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46</v>
      </c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16.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4"/>
      <c r="X1" s="4"/>
      <c r="Y1" s="4"/>
    </row>
    <row r="2">
      <c r="A2" s="5" t="s">
        <v>24</v>
      </c>
      <c r="B2" s="9">
        <v>8.0</v>
      </c>
      <c r="C2" s="5">
        <v>0.0</v>
      </c>
      <c r="D2" s="9">
        <v>10.0</v>
      </c>
      <c r="E2" s="9">
        <v>5.0</v>
      </c>
      <c r="F2" s="9">
        <v>4.0</v>
      </c>
      <c r="G2" s="9">
        <v>4.0</v>
      </c>
      <c r="H2" s="9">
        <v>10.0</v>
      </c>
      <c r="I2" s="9">
        <v>6.0</v>
      </c>
      <c r="J2" s="5">
        <f t="shared" ref="J2:K2" si="1">B2+D2+F2+H2</f>
        <v>32</v>
      </c>
      <c r="K2" s="4">
        <f t="shared" si="1"/>
        <v>15</v>
      </c>
      <c r="L2" s="10">
        <f t="shared" ref="L2:L23" si="3">ROUND(IFERROR(J2/(J2+K2),0)*100,1)</f>
        <v>68.1</v>
      </c>
      <c r="M2" s="10">
        <f t="shared" ref="M2:M23" si="4">ROUND(IFERROR(B2/(B2+C2),0)*100,1)</f>
        <v>100</v>
      </c>
      <c r="N2" s="10">
        <f t="shared" ref="N2:N23" si="5">ROUND(IFERROR(D2/(D2+E2),0)*100,1)</f>
        <v>66.7</v>
      </c>
      <c r="O2" s="10">
        <f t="shared" ref="O2:O23" si="6">ROUND(IFERROR(F2/(F2+G2),0)*100,1)</f>
        <v>50</v>
      </c>
      <c r="P2" s="10">
        <f t="shared" ref="P2:P23" si="7">ROUND(IFERROR(H2/(I2+H2),0)*100,1)</f>
        <v>62.5</v>
      </c>
      <c r="Q2" s="11">
        <f t="shared" ref="Q2:Q23" si="8">ROW()-1</f>
        <v>1</v>
      </c>
      <c r="R2" s="9">
        <v>1472.0</v>
      </c>
      <c r="S2" s="12">
        <v>45887.01180555556</v>
      </c>
      <c r="T2" s="5" t="s">
        <v>25</v>
      </c>
      <c r="U2" s="5">
        <v>12.0</v>
      </c>
      <c r="V2" s="4" t="str">
        <f t="array" ref="V2">IFERROR(INDEX('사용자목록'!O:O, MATCH(A2, '사용자목록'!A:A, 0)),"아이언")</f>
        <v>마스터</v>
      </c>
      <c r="W2" s="4"/>
      <c r="X2" s="4"/>
      <c r="Y2" s="4"/>
    </row>
    <row r="3">
      <c r="A3" s="5" t="s">
        <v>27</v>
      </c>
      <c r="B3" s="5">
        <v>11.0</v>
      </c>
      <c r="C3" s="5">
        <v>11.0</v>
      </c>
      <c r="D3" s="5">
        <v>19.0</v>
      </c>
      <c r="E3" s="9">
        <v>14.0</v>
      </c>
      <c r="F3" s="9">
        <v>17.0</v>
      </c>
      <c r="G3" s="5">
        <v>5.0</v>
      </c>
      <c r="H3" s="9">
        <v>0.0</v>
      </c>
      <c r="I3" s="9">
        <v>0.0</v>
      </c>
      <c r="J3" s="5">
        <f t="shared" ref="J3:K3" si="2">B3+D3+F3+H3</f>
        <v>47</v>
      </c>
      <c r="K3" s="4">
        <f t="shared" si="2"/>
        <v>30</v>
      </c>
      <c r="L3" s="10">
        <f t="shared" si="3"/>
        <v>61</v>
      </c>
      <c r="M3" s="10">
        <f t="shared" si="4"/>
        <v>50</v>
      </c>
      <c r="N3" s="10">
        <f t="shared" si="5"/>
        <v>57.6</v>
      </c>
      <c r="O3" s="10">
        <f t="shared" si="6"/>
        <v>77.3</v>
      </c>
      <c r="P3" s="10">
        <f t="shared" si="7"/>
        <v>0</v>
      </c>
      <c r="Q3" s="11">
        <f t="shared" si="8"/>
        <v>2</v>
      </c>
      <c r="R3" s="9">
        <v>1455.0</v>
      </c>
      <c r="S3" s="12">
        <v>45887.01180555556</v>
      </c>
      <c r="T3" s="5" t="s">
        <v>25</v>
      </c>
      <c r="U3" s="5">
        <v>1.0</v>
      </c>
      <c r="V3" s="4" t="str">
        <f t="array" ref="V3">IFERROR(INDEX('사용자목록'!O:O, MATCH(A3, '사용자목록'!A:A, 0)),"아이언")</f>
        <v>마스터</v>
      </c>
      <c r="W3" s="4"/>
      <c r="X3" s="4"/>
      <c r="Y3" s="4"/>
    </row>
    <row r="4">
      <c r="A4" s="5" t="s">
        <v>31</v>
      </c>
      <c r="B4" s="5">
        <v>8.0</v>
      </c>
      <c r="C4" s="5">
        <v>4.0</v>
      </c>
      <c r="D4" s="9">
        <v>13.0</v>
      </c>
      <c r="E4" s="9">
        <v>8.0</v>
      </c>
      <c r="F4" s="9">
        <v>9.0</v>
      </c>
      <c r="G4" s="9">
        <v>3.0</v>
      </c>
      <c r="H4" s="9">
        <v>8.0</v>
      </c>
      <c r="I4" s="9">
        <v>12.0</v>
      </c>
      <c r="J4" s="5">
        <f t="shared" ref="J4:K4" si="9">B4+D4+F4+H4</f>
        <v>38</v>
      </c>
      <c r="K4" s="4">
        <f t="shared" si="9"/>
        <v>27</v>
      </c>
      <c r="L4" s="10">
        <f t="shared" si="3"/>
        <v>58.5</v>
      </c>
      <c r="M4" s="10">
        <f t="shared" si="4"/>
        <v>66.7</v>
      </c>
      <c r="N4" s="10">
        <f t="shared" si="5"/>
        <v>61.9</v>
      </c>
      <c r="O4" s="10">
        <f t="shared" si="6"/>
        <v>75</v>
      </c>
      <c r="P4" s="10">
        <f t="shared" si="7"/>
        <v>40</v>
      </c>
      <c r="Q4" s="11">
        <f t="shared" si="8"/>
        <v>3</v>
      </c>
      <c r="R4" s="9">
        <v>1425.0</v>
      </c>
      <c r="S4" s="12">
        <v>45887.01180555556</v>
      </c>
      <c r="T4" s="5" t="s">
        <v>25</v>
      </c>
      <c r="U4" s="5">
        <v>14.0</v>
      </c>
      <c r="V4" s="4" t="str">
        <f t="array" ref="V4">IFERROR(INDEX('사용자목록'!O:O, MATCH(A4, '사용자목록'!A:A, 0)),"아이언")</f>
        <v>마스터</v>
      </c>
      <c r="W4" s="4"/>
      <c r="X4" s="4"/>
      <c r="Y4" s="4"/>
    </row>
    <row r="5">
      <c r="A5" s="5" t="s">
        <v>29</v>
      </c>
      <c r="B5" s="9">
        <v>3.0</v>
      </c>
      <c r="C5" s="5">
        <v>2.0</v>
      </c>
      <c r="D5" s="9">
        <v>6.0</v>
      </c>
      <c r="E5" s="9">
        <v>5.0</v>
      </c>
      <c r="F5" s="9">
        <v>8.0</v>
      </c>
      <c r="G5" s="9">
        <v>3.0</v>
      </c>
      <c r="H5" s="9">
        <v>6.0</v>
      </c>
      <c r="I5" s="9">
        <v>4.0</v>
      </c>
      <c r="J5" s="5">
        <f t="shared" ref="J5:K5" si="10">B5+D5+F5+H5</f>
        <v>23</v>
      </c>
      <c r="K5" s="4">
        <f t="shared" si="10"/>
        <v>14</v>
      </c>
      <c r="L5" s="10">
        <f t="shared" si="3"/>
        <v>62.2</v>
      </c>
      <c r="M5" s="10">
        <f t="shared" si="4"/>
        <v>60</v>
      </c>
      <c r="N5" s="10">
        <f t="shared" si="5"/>
        <v>54.5</v>
      </c>
      <c r="O5" s="10">
        <f t="shared" si="6"/>
        <v>72.7</v>
      </c>
      <c r="P5" s="10">
        <f t="shared" si="7"/>
        <v>60</v>
      </c>
      <c r="Q5" s="11">
        <f t="shared" si="8"/>
        <v>4</v>
      </c>
      <c r="R5" s="9">
        <v>1414.0</v>
      </c>
      <c r="S5" s="12">
        <v>45887.01180555556</v>
      </c>
      <c r="T5" s="5" t="s">
        <v>25</v>
      </c>
      <c r="U5" s="5">
        <v>12.0</v>
      </c>
      <c r="V5" s="4" t="str">
        <f t="array" ref="V5">IFERROR(INDEX('사용자목록'!O:O, MATCH(A5, '사용자목록'!A:A, 0)),"아이언")</f>
        <v>아이언</v>
      </c>
      <c r="W5" s="4"/>
      <c r="X5" s="4"/>
      <c r="Y5" s="4"/>
    </row>
    <row r="6">
      <c r="A6" s="5" t="s">
        <v>26</v>
      </c>
      <c r="B6" s="9">
        <v>8.0</v>
      </c>
      <c r="C6" s="5">
        <v>7.0</v>
      </c>
      <c r="D6" s="9">
        <v>11.0</v>
      </c>
      <c r="E6" s="9">
        <v>9.0</v>
      </c>
      <c r="F6" s="9">
        <v>6.0</v>
      </c>
      <c r="G6" s="9">
        <v>4.0</v>
      </c>
      <c r="H6" s="9">
        <v>7.0</v>
      </c>
      <c r="I6" s="5">
        <v>10.0</v>
      </c>
      <c r="J6" s="5">
        <f t="shared" ref="J6:K6" si="11">B6+D6+F6+H6</f>
        <v>32</v>
      </c>
      <c r="K6" s="4">
        <f t="shared" si="11"/>
        <v>30</v>
      </c>
      <c r="L6" s="10">
        <f t="shared" si="3"/>
        <v>51.6</v>
      </c>
      <c r="M6" s="10">
        <f t="shared" si="4"/>
        <v>53.3</v>
      </c>
      <c r="N6" s="10">
        <f t="shared" si="5"/>
        <v>55</v>
      </c>
      <c r="O6" s="10">
        <f t="shared" si="6"/>
        <v>60</v>
      </c>
      <c r="P6" s="10">
        <f t="shared" si="7"/>
        <v>41.2</v>
      </c>
      <c r="Q6" s="11">
        <f t="shared" si="8"/>
        <v>5</v>
      </c>
      <c r="R6" s="9">
        <v>1385.0</v>
      </c>
      <c r="S6" s="12">
        <v>45887.01180555556</v>
      </c>
      <c r="T6" s="5" t="s">
        <v>25</v>
      </c>
      <c r="U6" s="5">
        <v>10.0</v>
      </c>
      <c r="V6" s="4" t="str">
        <f t="array" ref="V6">IFERROR(INDEX('사용자목록'!O:O, MATCH(A6, '사용자목록'!A:A, 0)),"아이언")</f>
        <v>다이아</v>
      </c>
      <c r="W6" s="4"/>
      <c r="X6" s="4"/>
      <c r="Y6" s="4"/>
    </row>
    <row r="7">
      <c r="A7" s="5" t="s">
        <v>42</v>
      </c>
      <c r="B7" s="5">
        <v>13.0</v>
      </c>
      <c r="C7" s="5">
        <v>7.0</v>
      </c>
      <c r="D7" s="9">
        <v>15.0</v>
      </c>
      <c r="E7" s="9">
        <v>14.0</v>
      </c>
      <c r="F7" s="5">
        <v>6.0</v>
      </c>
      <c r="G7" s="5">
        <v>6.0</v>
      </c>
      <c r="H7" s="9">
        <v>1.0</v>
      </c>
      <c r="I7" s="9">
        <v>3.0</v>
      </c>
      <c r="J7" s="5">
        <f t="shared" ref="J7:K7" si="12">B7+D7+F7+H7</f>
        <v>35</v>
      </c>
      <c r="K7" s="4">
        <f t="shared" si="12"/>
        <v>30</v>
      </c>
      <c r="L7" s="10">
        <f t="shared" si="3"/>
        <v>53.8</v>
      </c>
      <c r="M7" s="10">
        <f t="shared" si="4"/>
        <v>65</v>
      </c>
      <c r="N7" s="10">
        <f t="shared" si="5"/>
        <v>51.7</v>
      </c>
      <c r="O7" s="10">
        <f t="shared" si="6"/>
        <v>50</v>
      </c>
      <c r="P7" s="10">
        <f t="shared" si="7"/>
        <v>25</v>
      </c>
      <c r="Q7" s="11">
        <f t="shared" si="8"/>
        <v>6</v>
      </c>
      <c r="R7" s="9">
        <v>1313.0</v>
      </c>
      <c r="S7" s="12">
        <v>45887.01180555556</v>
      </c>
      <c r="T7" s="5" t="s">
        <v>25</v>
      </c>
      <c r="U7" s="5">
        <v>7.0</v>
      </c>
      <c r="V7" s="4" t="str">
        <f t="array" ref="V7">IFERROR(INDEX('사용자목록'!O:O, MATCH(A7, '사용자목록'!A:A, 0)),"아이언")</f>
        <v>다이아</v>
      </c>
      <c r="W7" s="4"/>
      <c r="X7" s="4"/>
      <c r="Y7" s="4"/>
    </row>
    <row r="8">
      <c r="A8" s="5" t="s">
        <v>36</v>
      </c>
      <c r="B8" s="9">
        <v>6.0</v>
      </c>
      <c r="C8" s="5">
        <v>17.0</v>
      </c>
      <c r="D8" s="9">
        <v>0.0</v>
      </c>
      <c r="E8" s="9">
        <v>0.0</v>
      </c>
      <c r="F8" s="9">
        <v>6.0</v>
      </c>
      <c r="G8" s="5">
        <v>13.0</v>
      </c>
      <c r="H8" s="5">
        <v>19.0</v>
      </c>
      <c r="I8" s="5">
        <v>11.0</v>
      </c>
      <c r="J8" s="5">
        <f t="shared" ref="J8:K8" si="13">B8+D8+F8+H8</f>
        <v>31</v>
      </c>
      <c r="K8" s="4">
        <f t="shared" si="13"/>
        <v>41</v>
      </c>
      <c r="L8" s="10">
        <f t="shared" si="3"/>
        <v>43.1</v>
      </c>
      <c r="M8" s="10">
        <f t="shared" si="4"/>
        <v>26.1</v>
      </c>
      <c r="N8" s="10">
        <f t="shared" si="5"/>
        <v>0</v>
      </c>
      <c r="O8" s="10">
        <f t="shared" si="6"/>
        <v>31.6</v>
      </c>
      <c r="P8" s="10">
        <f t="shared" si="7"/>
        <v>63.3</v>
      </c>
      <c r="Q8" s="11">
        <f t="shared" si="8"/>
        <v>7</v>
      </c>
      <c r="R8" s="9">
        <v>1243.0</v>
      </c>
      <c r="S8" s="12">
        <v>45886.961805555555</v>
      </c>
      <c r="T8" s="5" t="s">
        <v>25</v>
      </c>
      <c r="U8" s="5">
        <v>0.0</v>
      </c>
      <c r="V8" s="4" t="str">
        <f t="array" ref="V8">IFERROR(INDEX('사용자목록'!O:O, MATCH(A8, '사용자목록'!A:A, 0)),"아이언")</f>
        <v>골드</v>
      </c>
      <c r="W8" s="4"/>
      <c r="X8" s="4"/>
      <c r="Y8" s="4"/>
    </row>
    <row r="9">
      <c r="A9" s="5" t="s">
        <v>30</v>
      </c>
      <c r="B9" s="5">
        <v>7.0</v>
      </c>
      <c r="C9" s="5">
        <v>7.0</v>
      </c>
      <c r="D9" s="9">
        <v>3.0</v>
      </c>
      <c r="E9" s="5">
        <v>6.0</v>
      </c>
      <c r="F9" s="9">
        <v>8.0</v>
      </c>
      <c r="G9" s="9">
        <v>15.0</v>
      </c>
      <c r="H9" s="9">
        <v>16.0</v>
      </c>
      <c r="I9" s="9">
        <v>23.0</v>
      </c>
      <c r="J9" s="5">
        <f t="shared" ref="J9:K9" si="14">B9+D9+F9+H9</f>
        <v>34</v>
      </c>
      <c r="K9" s="4">
        <f t="shared" si="14"/>
        <v>51</v>
      </c>
      <c r="L9" s="10">
        <f t="shared" si="3"/>
        <v>40</v>
      </c>
      <c r="M9" s="10">
        <f t="shared" si="4"/>
        <v>50</v>
      </c>
      <c r="N9" s="10">
        <f t="shared" si="5"/>
        <v>33.3</v>
      </c>
      <c r="O9" s="10">
        <f t="shared" si="6"/>
        <v>34.8</v>
      </c>
      <c r="P9" s="10">
        <f t="shared" si="7"/>
        <v>41</v>
      </c>
      <c r="Q9" s="11">
        <f t="shared" si="8"/>
        <v>8</v>
      </c>
      <c r="R9" s="9">
        <v>1241.0</v>
      </c>
      <c r="S9" s="12">
        <v>45887.01180555556</v>
      </c>
      <c r="T9" s="5" t="s">
        <v>25</v>
      </c>
      <c r="U9" s="5">
        <v>5.0</v>
      </c>
      <c r="V9" s="4" t="str">
        <f t="array" ref="V9">IFERROR(INDEX('사용자목록'!O:O, MATCH(A9, '사용자목록'!A:A, 0)),"아이언")</f>
        <v>골드</v>
      </c>
      <c r="W9" s="4"/>
      <c r="X9" s="4"/>
      <c r="Y9" s="4"/>
    </row>
    <row r="10">
      <c r="A10" s="5" t="s">
        <v>40</v>
      </c>
      <c r="B10" s="9">
        <v>2.0</v>
      </c>
      <c r="C10" s="5">
        <v>6.0</v>
      </c>
      <c r="D10" s="5">
        <v>0.0</v>
      </c>
      <c r="E10" s="5">
        <v>2.0</v>
      </c>
      <c r="F10" s="9">
        <v>8.0</v>
      </c>
      <c r="G10" s="9">
        <v>8.0</v>
      </c>
      <c r="H10" s="9">
        <v>8.0</v>
      </c>
      <c r="I10" s="9">
        <v>7.0</v>
      </c>
      <c r="J10" s="5">
        <f t="shared" ref="J10:K10" si="15">B10+D10+F10+H10</f>
        <v>18</v>
      </c>
      <c r="K10" s="4">
        <f t="shared" si="15"/>
        <v>23</v>
      </c>
      <c r="L10" s="10">
        <f t="shared" si="3"/>
        <v>43.9</v>
      </c>
      <c r="M10" s="10">
        <f t="shared" si="4"/>
        <v>25</v>
      </c>
      <c r="N10" s="10">
        <f t="shared" si="5"/>
        <v>0</v>
      </c>
      <c r="O10" s="10">
        <f t="shared" si="6"/>
        <v>50</v>
      </c>
      <c r="P10" s="10">
        <f t="shared" si="7"/>
        <v>53.3</v>
      </c>
      <c r="Q10" s="11">
        <f t="shared" si="8"/>
        <v>9</v>
      </c>
      <c r="R10" s="9">
        <v>1204.0</v>
      </c>
      <c r="S10" s="12">
        <v>45879.93680555555</v>
      </c>
      <c r="T10" s="5" t="s">
        <v>25</v>
      </c>
      <c r="U10" s="5">
        <v>0.0</v>
      </c>
      <c r="V10" s="4" t="str">
        <f t="array" ref="V10">IFERROR(INDEX('사용자목록'!O:O, MATCH(A10, '사용자목록'!A:A, 0)),"아이언")</f>
        <v>아이언</v>
      </c>
      <c r="W10" s="4"/>
      <c r="X10" s="4"/>
      <c r="Y10" s="4"/>
    </row>
    <row r="11">
      <c r="A11" s="5" t="s">
        <v>34</v>
      </c>
      <c r="B11" s="9">
        <v>13.0</v>
      </c>
      <c r="C11" s="5">
        <v>15.0</v>
      </c>
      <c r="D11" s="9">
        <v>0.0</v>
      </c>
      <c r="E11" s="9">
        <v>9.0</v>
      </c>
      <c r="F11" s="5">
        <v>13.0</v>
      </c>
      <c r="G11" s="9">
        <v>18.0</v>
      </c>
      <c r="H11" s="5">
        <v>1.0</v>
      </c>
      <c r="I11" s="5">
        <v>3.0</v>
      </c>
      <c r="J11" s="5">
        <f t="shared" ref="J11:K11" si="16">B11+D11+F11+H11</f>
        <v>27</v>
      </c>
      <c r="K11" s="4">
        <f t="shared" si="16"/>
        <v>45</v>
      </c>
      <c r="L11" s="10">
        <f t="shared" si="3"/>
        <v>37.5</v>
      </c>
      <c r="M11" s="10">
        <f t="shared" si="4"/>
        <v>46.4</v>
      </c>
      <c r="N11" s="10">
        <f t="shared" si="5"/>
        <v>0</v>
      </c>
      <c r="O11" s="10">
        <f t="shared" si="6"/>
        <v>41.9</v>
      </c>
      <c r="P11" s="10">
        <f t="shared" si="7"/>
        <v>25</v>
      </c>
      <c r="Q11" s="11">
        <f t="shared" si="8"/>
        <v>10</v>
      </c>
      <c r="R11" s="9">
        <v>1188.0</v>
      </c>
      <c r="S11" s="12">
        <v>45887.01180555556</v>
      </c>
      <c r="T11" s="5" t="s">
        <v>25</v>
      </c>
      <c r="U11" s="5">
        <v>3.0</v>
      </c>
      <c r="V11" s="4" t="str">
        <f t="array" ref="V11">IFERROR(INDEX('사용자목록'!O:O, MATCH(A11, '사용자목록'!A:A, 0)),"아이언")</f>
        <v>실버</v>
      </c>
      <c r="W11" s="4"/>
      <c r="X11" s="4"/>
      <c r="Y11" s="4"/>
    </row>
    <row r="12">
      <c r="A12" s="5" t="s">
        <v>35</v>
      </c>
      <c r="B12" s="9">
        <v>1.0</v>
      </c>
      <c r="C12" s="5">
        <v>1.0</v>
      </c>
      <c r="D12" s="9">
        <v>5.0</v>
      </c>
      <c r="E12" s="9">
        <v>2.0</v>
      </c>
      <c r="F12" s="9">
        <v>2.0</v>
      </c>
      <c r="G12" s="9">
        <v>3.0</v>
      </c>
      <c r="H12" s="9">
        <v>0.0</v>
      </c>
      <c r="I12" s="9">
        <v>0.0</v>
      </c>
      <c r="J12" s="5">
        <f t="shared" ref="J12:K12" si="17">B12+D12+F12+H12</f>
        <v>8</v>
      </c>
      <c r="K12" s="4">
        <f t="shared" si="17"/>
        <v>6</v>
      </c>
      <c r="L12" s="10">
        <f t="shared" si="3"/>
        <v>57.1</v>
      </c>
      <c r="M12" s="10">
        <f t="shared" si="4"/>
        <v>50</v>
      </c>
      <c r="N12" s="10">
        <f t="shared" si="5"/>
        <v>71.4</v>
      </c>
      <c r="O12" s="10">
        <f t="shared" si="6"/>
        <v>40</v>
      </c>
      <c r="P12" s="10">
        <f t="shared" si="7"/>
        <v>0</v>
      </c>
      <c r="Q12" s="11">
        <f t="shared" si="8"/>
        <v>11</v>
      </c>
      <c r="R12" s="9">
        <v>0.0</v>
      </c>
      <c r="S12" s="12">
        <v>45879.93680555555</v>
      </c>
      <c r="T12" s="5" t="s">
        <v>25</v>
      </c>
      <c r="U12" s="5">
        <v>0.0</v>
      </c>
      <c r="V12" s="4" t="str">
        <f t="array" ref="V12">IFERROR(INDEX('사용자목록'!O:O, MATCH(A12, '사용자목록'!A:A, 0)),"아이언")</f>
        <v>골드</v>
      </c>
      <c r="W12" s="4"/>
      <c r="X12" s="4"/>
      <c r="Y12" s="4"/>
    </row>
    <row r="13">
      <c r="A13" s="5" t="s">
        <v>38</v>
      </c>
      <c r="B13" s="9">
        <v>2.0</v>
      </c>
      <c r="C13" s="5">
        <v>0.0</v>
      </c>
      <c r="D13" s="9">
        <v>2.0</v>
      </c>
      <c r="E13" s="9">
        <v>3.0</v>
      </c>
      <c r="F13" s="9">
        <v>0.0</v>
      </c>
      <c r="G13" s="9">
        <v>0.0</v>
      </c>
      <c r="H13" s="9">
        <v>3.0</v>
      </c>
      <c r="I13" s="9">
        <v>1.0</v>
      </c>
      <c r="J13" s="5">
        <f t="shared" ref="J13:K13" si="18">B13+D13+F13+H13</f>
        <v>7</v>
      </c>
      <c r="K13" s="4">
        <f t="shared" si="18"/>
        <v>4</v>
      </c>
      <c r="L13" s="10">
        <f t="shared" si="3"/>
        <v>63.6</v>
      </c>
      <c r="M13" s="10">
        <f t="shared" si="4"/>
        <v>100</v>
      </c>
      <c r="N13" s="10">
        <f t="shared" si="5"/>
        <v>40</v>
      </c>
      <c r="O13" s="10">
        <f t="shared" si="6"/>
        <v>0</v>
      </c>
      <c r="P13" s="10">
        <f t="shared" si="7"/>
        <v>75</v>
      </c>
      <c r="Q13" s="11">
        <f t="shared" si="8"/>
        <v>12</v>
      </c>
      <c r="R13" s="9">
        <v>0.0</v>
      </c>
      <c r="S13" s="12">
        <v>45875.02638888889</v>
      </c>
      <c r="T13" s="5" t="s">
        <v>25</v>
      </c>
      <c r="U13" s="5">
        <v>0.0</v>
      </c>
      <c r="V13" s="4" t="str">
        <f t="array" ref="V13">IFERROR(INDEX('사용자목록'!O:O, MATCH(A13, '사용자목록'!A:A, 0)),"아이언")</f>
        <v>아이언</v>
      </c>
      <c r="W13" s="4"/>
      <c r="X13" s="4"/>
      <c r="Y13" s="4"/>
    </row>
    <row r="14">
      <c r="A14" s="5" t="s">
        <v>53</v>
      </c>
      <c r="B14" s="5">
        <v>2.0</v>
      </c>
      <c r="C14" s="5">
        <v>0.0</v>
      </c>
      <c r="D14" s="5">
        <v>3.0</v>
      </c>
      <c r="E14" s="5">
        <v>0.0</v>
      </c>
      <c r="F14" s="9">
        <v>0.0</v>
      </c>
      <c r="G14" s="9">
        <v>0.0</v>
      </c>
      <c r="H14" s="9">
        <v>1.0</v>
      </c>
      <c r="I14" s="9">
        <v>0.0</v>
      </c>
      <c r="J14" s="5">
        <f t="shared" ref="J14:K14" si="19">B14+D14+F14+H14</f>
        <v>6</v>
      </c>
      <c r="K14" s="4">
        <f t="shared" si="19"/>
        <v>0</v>
      </c>
      <c r="L14" s="10">
        <f t="shared" si="3"/>
        <v>100</v>
      </c>
      <c r="M14" s="10">
        <f t="shared" si="4"/>
        <v>100</v>
      </c>
      <c r="N14" s="10">
        <f t="shared" si="5"/>
        <v>100</v>
      </c>
      <c r="O14" s="10">
        <f t="shared" si="6"/>
        <v>0</v>
      </c>
      <c r="P14" s="10">
        <f t="shared" si="7"/>
        <v>100</v>
      </c>
      <c r="Q14" s="11">
        <f t="shared" si="8"/>
        <v>13</v>
      </c>
      <c r="R14" s="9">
        <v>0.0</v>
      </c>
      <c r="S14" s="12">
        <v>45854.97777777778</v>
      </c>
      <c r="T14" s="5" t="s">
        <v>25</v>
      </c>
      <c r="U14" s="5">
        <v>6.0</v>
      </c>
      <c r="V14" s="4" t="str">
        <f t="array" ref="V14">IFERROR(INDEX('사용자목록'!O:O, MATCH(A14, '사용자목록'!A:A, 0)),"아이언")</f>
        <v>아이언</v>
      </c>
      <c r="W14" s="4"/>
      <c r="X14" s="4"/>
      <c r="Y14" s="4"/>
    </row>
    <row r="15">
      <c r="A15" s="5" t="s">
        <v>39</v>
      </c>
      <c r="B15" s="9">
        <v>2.0</v>
      </c>
      <c r="C15" s="5">
        <v>4.0</v>
      </c>
      <c r="D15" s="9">
        <v>2.0</v>
      </c>
      <c r="E15" s="9">
        <v>5.0</v>
      </c>
      <c r="F15" s="9">
        <v>0.0</v>
      </c>
      <c r="G15" s="9">
        <v>1.0</v>
      </c>
      <c r="H15" s="9">
        <v>2.0</v>
      </c>
      <c r="I15" s="9">
        <v>3.0</v>
      </c>
      <c r="J15" s="5">
        <f t="shared" ref="J15:K15" si="20">B15+D15+F15+H15</f>
        <v>6</v>
      </c>
      <c r="K15" s="4">
        <f t="shared" si="20"/>
        <v>13</v>
      </c>
      <c r="L15" s="10">
        <f t="shared" si="3"/>
        <v>31.6</v>
      </c>
      <c r="M15" s="10">
        <f t="shared" si="4"/>
        <v>33.3</v>
      </c>
      <c r="N15" s="10">
        <f t="shared" si="5"/>
        <v>28.6</v>
      </c>
      <c r="O15" s="10">
        <f t="shared" si="6"/>
        <v>0</v>
      </c>
      <c r="P15" s="10">
        <f t="shared" si="7"/>
        <v>40</v>
      </c>
      <c r="Q15" s="11">
        <f t="shared" si="8"/>
        <v>14</v>
      </c>
      <c r="R15" s="9">
        <v>0.0</v>
      </c>
      <c r="S15" s="12">
        <v>45880.029861111114</v>
      </c>
      <c r="T15" s="5" t="s">
        <v>25</v>
      </c>
      <c r="U15" s="5">
        <v>6.0</v>
      </c>
      <c r="V15" s="4" t="str">
        <f t="array" ref="V15">IFERROR(INDEX('사용자목록'!O:O, MATCH(A15, '사용자목록'!A:A, 0)),"아이언")</f>
        <v>다이아</v>
      </c>
      <c r="W15" s="4"/>
      <c r="X15" s="4"/>
      <c r="Y15" s="4"/>
    </row>
    <row r="16">
      <c r="A16" s="5" t="s">
        <v>9694</v>
      </c>
      <c r="B16" s="9">
        <v>1.0</v>
      </c>
      <c r="C16" s="5">
        <v>0.0</v>
      </c>
      <c r="D16" s="9">
        <v>0.0</v>
      </c>
      <c r="E16" s="9">
        <v>0.0</v>
      </c>
      <c r="F16" s="5">
        <v>0.0</v>
      </c>
      <c r="G16" s="5">
        <v>1.0</v>
      </c>
      <c r="H16" s="9">
        <v>3.0</v>
      </c>
      <c r="I16" s="9">
        <v>1.0</v>
      </c>
      <c r="J16" s="5">
        <f t="shared" ref="J16:K16" si="21">B16+D16+F16+H16</f>
        <v>4</v>
      </c>
      <c r="K16" s="4">
        <f t="shared" si="21"/>
        <v>2</v>
      </c>
      <c r="L16" s="10">
        <f t="shared" si="3"/>
        <v>66.7</v>
      </c>
      <c r="M16" s="10">
        <f t="shared" si="4"/>
        <v>100</v>
      </c>
      <c r="N16" s="10">
        <f t="shared" si="5"/>
        <v>0</v>
      </c>
      <c r="O16" s="10">
        <f t="shared" si="6"/>
        <v>0</v>
      </c>
      <c r="P16" s="10">
        <f t="shared" si="7"/>
        <v>75</v>
      </c>
      <c r="Q16" s="11">
        <f t="shared" si="8"/>
        <v>15</v>
      </c>
      <c r="R16" s="9">
        <v>0.0</v>
      </c>
      <c r="S16" s="12">
        <v>45861.95625</v>
      </c>
      <c r="T16" s="5" t="s">
        <v>25</v>
      </c>
      <c r="U16" s="5">
        <v>0.0</v>
      </c>
      <c r="V16" s="4" t="str">
        <f t="array" ref="V16">IFERROR(INDEX('사용자목록'!O:O, MATCH(A16, '사용자목록'!A:A, 0)),"아이언")</f>
        <v>아이언</v>
      </c>
      <c r="W16" s="4"/>
      <c r="X16" s="4"/>
      <c r="Y16" s="4"/>
    </row>
    <row r="17">
      <c r="A17" s="5" t="s">
        <v>50</v>
      </c>
      <c r="B17" s="9">
        <v>1.0</v>
      </c>
      <c r="C17" s="5">
        <v>3.0</v>
      </c>
      <c r="D17" s="9">
        <v>1.0</v>
      </c>
      <c r="E17" s="9">
        <v>4.0</v>
      </c>
      <c r="F17" s="9">
        <v>1.0</v>
      </c>
      <c r="G17" s="9">
        <v>0.0</v>
      </c>
      <c r="H17" s="9">
        <v>0.0</v>
      </c>
      <c r="I17" s="9">
        <v>0.0</v>
      </c>
      <c r="J17" s="5">
        <f t="shared" ref="J17:K17" si="22">B17+D17+F17+H17</f>
        <v>3</v>
      </c>
      <c r="K17" s="4">
        <f t="shared" si="22"/>
        <v>7</v>
      </c>
      <c r="L17" s="10">
        <f t="shared" si="3"/>
        <v>30</v>
      </c>
      <c r="M17" s="10">
        <f t="shared" si="4"/>
        <v>25</v>
      </c>
      <c r="N17" s="10">
        <f t="shared" si="5"/>
        <v>20</v>
      </c>
      <c r="O17" s="10">
        <f t="shared" si="6"/>
        <v>100</v>
      </c>
      <c r="P17" s="10">
        <f t="shared" si="7"/>
        <v>0</v>
      </c>
      <c r="Q17" s="11">
        <f t="shared" si="8"/>
        <v>16</v>
      </c>
      <c r="R17" s="9">
        <v>0.0</v>
      </c>
      <c r="S17" s="12">
        <v>45886.91388888889</v>
      </c>
      <c r="T17" s="5" t="s">
        <v>25</v>
      </c>
      <c r="U17" s="5">
        <v>0.0</v>
      </c>
      <c r="V17" s="4" t="str">
        <f t="array" ref="V17">IFERROR(INDEX('사용자목록'!O:O, MATCH(A17, '사용자목록'!A:A, 0)),"아이언")</f>
        <v>아이언</v>
      </c>
      <c r="W17" s="4"/>
      <c r="X17" s="4"/>
      <c r="Y17" s="4"/>
    </row>
    <row r="18">
      <c r="A18" s="5" t="s">
        <v>28</v>
      </c>
      <c r="B18" s="9">
        <v>0.0</v>
      </c>
      <c r="C18" s="5">
        <v>0.0</v>
      </c>
      <c r="D18" s="9">
        <v>0.0</v>
      </c>
      <c r="E18" s="9">
        <v>0.0</v>
      </c>
      <c r="F18" s="9">
        <v>0.0</v>
      </c>
      <c r="G18" s="9">
        <v>0.0</v>
      </c>
      <c r="H18" s="9">
        <v>2.0</v>
      </c>
      <c r="I18" s="9">
        <v>1.0</v>
      </c>
      <c r="J18" s="5">
        <f t="shared" ref="J18:K18" si="23">B18+D18+F18+H18</f>
        <v>2</v>
      </c>
      <c r="K18" s="4">
        <f t="shared" si="23"/>
        <v>1</v>
      </c>
      <c r="L18" s="10">
        <f t="shared" si="3"/>
        <v>66.7</v>
      </c>
      <c r="M18" s="10">
        <f t="shared" si="4"/>
        <v>0</v>
      </c>
      <c r="N18" s="10">
        <f t="shared" si="5"/>
        <v>0</v>
      </c>
      <c r="O18" s="10">
        <f t="shared" si="6"/>
        <v>0</v>
      </c>
      <c r="P18" s="10">
        <f t="shared" si="7"/>
        <v>66.7</v>
      </c>
      <c r="Q18" s="11">
        <f t="shared" si="8"/>
        <v>17</v>
      </c>
      <c r="R18" s="9">
        <v>0.0</v>
      </c>
      <c r="S18" s="12">
        <v>45869.89236111111</v>
      </c>
      <c r="T18" s="5" t="s">
        <v>25</v>
      </c>
      <c r="U18" s="5">
        <v>0.0</v>
      </c>
      <c r="V18" s="4" t="str">
        <f t="array" ref="V18">IFERROR(INDEX('사용자목록'!O:O, MATCH(A18, '사용자목록'!A:A, 0)),"아이언")</f>
        <v>마스터</v>
      </c>
      <c r="W18" s="4"/>
      <c r="X18" s="4"/>
      <c r="Y18" s="4"/>
    </row>
    <row r="19">
      <c r="A19" s="5" t="s">
        <v>33</v>
      </c>
      <c r="B19" s="5">
        <v>1.0</v>
      </c>
      <c r="C19" s="5">
        <v>0.0</v>
      </c>
      <c r="D19" s="9">
        <v>0.0</v>
      </c>
      <c r="E19" s="9">
        <v>0.0</v>
      </c>
      <c r="F19" s="9">
        <v>0.0</v>
      </c>
      <c r="G19" s="9">
        <v>0.0</v>
      </c>
      <c r="H19" s="5">
        <v>1.0</v>
      </c>
      <c r="I19" s="9">
        <v>0.0</v>
      </c>
      <c r="J19" s="5">
        <f t="shared" ref="J19:K19" si="24">B19+D19+F19+H19</f>
        <v>2</v>
      </c>
      <c r="K19" s="4">
        <f t="shared" si="24"/>
        <v>0</v>
      </c>
      <c r="L19" s="10">
        <f t="shared" si="3"/>
        <v>100</v>
      </c>
      <c r="M19" s="10">
        <f t="shared" si="4"/>
        <v>100</v>
      </c>
      <c r="N19" s="10">
        <f t="shared" si="5"/>
        <v>0</v>
      </c>
      <c r="O19" s="10">
        <f t="shared" si="6"/>
        <v>0</v>
      </c>
      <c r="P19" s="10">
        <f t="shared" si="7"/>
        <v>100</v>
      </c>
      <c r="Q19" s="11">
        <f t="shared" si="8"/>
        <v>18</v>
      </c>
      <c r="R19" s="9">
        <v>0.0</v>
      </c>
      <c r="S19" s="12">
        <v>45876.01388888889</v>
      </c>
      <c r="T19" s="5" t="s">
        <v>25</v>
      </c>
      <c r="U19" s="5">
        <v>3.0</v>
      </c>
      <c r="V19" s="4" t="str">
        <f t="array" ref="V19">IFERROR(INDEX('사용자목록'!O:O, MATCH(A19, '사용자목록'!A:A, 0)),"아이언")</f>
        <v>플래티넘</v>
      </c>
      <c r="W19" s="4"/>
      <c r="X19" s="4"/>
      <c r="Y19" s="4"/>
    </row>
    <row r="20">
      <c r="A20" s="5" t="s">
        <v>9750</v>
      </c>
      <c r="B20" s="9">
        <v>0.0</v>
      </c>
      <c r="C20" s="5">
        <v>1.0</v>
      </c>
      <c r="D20" s="9">
        <v>0.0</v>
      </c>
      <c r="E20" s="9">
        <v>0.0</v>
      </c>
      <c r="F20" s="9">
        <v>1.0</v>
      </c>
      <c r="G20" s="9">
        <v>1.0</v>
      </c>
      <c r="H20" s="9">
        <v>0.0</v>
      </c>
      <c r="I20" s="9">
        <v>1.0</v>
      </c>
      <c r="J20" s="5">
        <f t="shared" ref="J20:K20" si="25">B20+D20+F20+H20</f>
        <v>1</v>
      </c>
      <c r="K20" s="4">
        <f t="shared" si="25"/>
        <v>3</v>
      </c>
      <c r="L20" s="10">
        <f t="shared" si="3"/>
        <v>25</v>
      </c>
      <c r="M20" s="10">
        <f t="shared" si="4"/>
        <v>0</v>
      </c>
      <c r="N20" s="10">
        <f t="shared" si="5"/>
        <v>0</v>
      </c>
      <c r="O20" s="10">
        <f t="shared" si="6"/>
        <v>50</v>
      </c>
      <c r="P20" s="10">
        <f t="shared" si="7"/>
        <v>0</v>
      </c>
      <c r="Q20" s="11">
        <f t="shared" si="8"/>
        <v>19</v>
      </c>
      <c r="R20" s="9">
        <v>0.0</v>
      </c>
      <c r="S20" s="12">
        <v>45856.01875</v>
      </c>
      <c r="T20" s="5" t="s">
        <v>25</v>
      </c>
      <c r="U20" s="5">
        <v>0.0</v>
      </c>
      <c r="V20" s="4" t="str">
        <f t="array" ref="V20">IFERROR(INDEX('사용자목록'!O:O, MATCH(A20, '사용자목록'!A:A, 0)),"아이언")</f>
        <v>아이언</v>
      </c>
      <c r="W20" s="4"/>
      <c r="X20" s="4"/>
      <c r="Y20" s="4"/>
    </row>
    <row r="21">
      <c r="A21" s="5" t="s">
        <v>46</v>
      </c>
      <c r="B21" s="9">
        <v>0.0</v>
      </c>
      <c r="C21" s="5">
        <v>0.0</v>
      </c>
      <c r="D21" s="9">
        <v>0.0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5">
        <f t="shared" ref="J21:K21" si="26">B21+D21+F21+H21</f>
        <v>0</v>
      </c>
      <c r="K21" s="4">
        <f t="shared" si="26"/>
        <v>0</v>
      </c>
      <c r="L21" s="10">
        <f t="shared" si="3"/>
        <v>0</v>
      </c>
      <c r="M21" s="10">
        <f t="shared" si="4"/>
        <v>0</v>
      </c>
      <c r="N21" s="10">
        <f t="shared" si="5"/>
        <v>0</v>
      </c>
      <c r="O21" s="10">
        <f t="shared" si="6"/>
        <v>0</v>
      </c>
      <c r="P21" s="10">
        <f t="shared" si="7"/>
        <v>0</v>
      </c>
      <c r="Q21" s="11">
        <f t="shared" si="8"/>
        <v>20</v>
      </c>
      <c r="R21" s="9">
        <v>0.0</v>
      </c>
      <c r="S21" s="12">
        <v>45829.01597222222</v>
      </c>
      <c r="T21" s="5" t="s">
        <v>47</v>
      </c>
      <c r="U21" s="5">
        <v>0.0</v>
      </c>
      <c r="V21" s="4" t="str">
        <f t="array" ref="V21">IFERROR(INDEX('사용자목록'!O:O, MATCH(A21, '사용자목록'!A:A, 0)),"아이언")</f>
        <v>아이언</v>
      </c>
      <c r="W21" s="4"/>
      <c r="X21" s="4"/>
      <c r="Y21" s="4"/>
    </row>
    <row r="22">
      <c r="A22" s="5" t="s">
        <v>48</v>
      </c>
      <c r="B22" s="9">
        <v>0.0</v>
      </c>
      <c r="C22" s="5">
        <v>3.0</v>
      </c>
      <c r="D22" s="9">
        <v>0.0</v>
      </c>
      <c r="E22" s="9">
        <v>1.0</v>
      </c>
      <c r="F22" s="9">
        <v>0.0</v>
      </c>
      <c r="G22" s="9">
        <v>1.0</v>
      </c>
      <c r="H22" s="9">
        <v>0.0</v>
      </c>
      <c r="I22" s="9">
        <v>0.0</v>
      </c>
      <c r="J22" s="5">
        <f t="shared" ref="J22:K22" si="27">B22+D22+F22+H22</f>
        <v>0</v>
      </c>
      <c r="K22" s="4">
        <f t="shared" si="27"/>
        <v>5</v>
      </c>
      <c r="L22" s="10">
        <f t="shared" si="3"/>
        <v>0</v>
      </c>
      <c r="M22" s="10">
        <f t="shared" si="4"/>
        <v>0</v>
      </c>
      <c r="N22" s="10">
        <f t="shared" si="5"/>
        <v>0</v>
      </c>
      <c r="O22" s="10">
        <f t="shared" si="6"/>
        <v>0</v>
      </c>
      <c r="P22" s="10">
        <f t="shared" si="7"/>
        <v>0</v>
      </c>
      <c r="Q22" s="11">
        <f t="shared" si="8"/>
        <v>21</v>
      </c>
      <c r="R22" s="9">
        <v>0.0</v>
      </c>
      <c r="S22" s="12">
        <v>45882.978472222225</v>
      </c>
      <c r="T22" s="5" t="s">
        <v>25</v>
      </c>
      <c r="U22" s="5">
        <v>0.0</v>
      </c>
      <c r="V22" s="4" t="str">
        <f t="array" ref="V22">IFERROR(INDEX('사용자목록'!O:O, MATCH(A22, '사용자목록'!A:A, 0)),"아이언")</f>
        <v>아이언</v>
      </c>
      <c r="W22" s="4"/>
      <c r="X22" s="4"/>
      <c r="Y22" s="4"/>
    </row>
    <row r="23">
      <c r="A23" s="5" t="s">
        <v>44</v>
      </c>
      <c r="B23" s="9">
        <v>0.0</v>
      </c>
      <c r="C23" s="5">
        <v>0.0</v>
      </c>
      <c r="D23" s="9">
        <v>0.0</v>
      </c>
      <c r="E23" s="9">
        <v>0.0</v>
      </c>
      <c r="F23" s="9">
        <v>0.0</v>
      </c>
      <c r="G23" s="9">
        <v>1.0</v>
      </c>
      <c r="H23" s="9">
        <v>0.0</v>
      </c>
      <c r="I23" s="9">
        <v>1.0</v>
      </c>
      <c r="J23" s="5">
        <f t="shared" ref="J23:K23" si="28">B23+D23+F23+H23</f>
        <v>0</v>
      </c>
      <c r="K23" s="4">
        <f t="shared" si="28"/>
        <v>2</v>
      </c>
      <c r="L23" s="10">
        <f t="shared" si="3"/>
        <v>0</v>
      </c>
      <c r="M23" s="10">
        <f t="shared" si="4"/>
        <v>0</v>
      </c>
      <c r="N23" s="10">
        <f t="shared" si="5"/>
        <v>0</v>
      </c>
      <c r="O23" s="10">
        <f t="shared" si="6"/>
        <v>0</v>
      </c>
      <c r="P23" s="10">
        <f t="shared" si="7"/>
        <v>0</v>
      </c>
      <c r="Q23" s="11">
        <f t="shared" si="8"/>
        <v>22</v>
      </c>
      <c r="R23" s="9">
        <v>0.0</v>
      </c>
      <c r="S23" s="12">
        <v>45886.868055555555</v>
      </c>
      <c r="T23" s="5" t="s">
        <v>25</v>
      </c>
      <c r="U23" s="5">
        <v>0.0</v>
      </c>
      <c r="V23" s="4" t="str">
        <f t="array" ref="V23">IFERROR(INDEX('사용자목록'!O:O, MATCH(A23, '사용자목록'!A:A, 0)),"아이언")</f>
        <v>아이언</v>
      </c>
      <c r="W23" s="4"/>
      <c r="X23" s="4"/>
      <c r="Y23" s="4"/>
    </row>
    <row r="24">
      <c r="A24" s="5"/>
      <c r="B24" s="9"/>
      <c r="C24" s="5"/>
      <c r="D24" s="9"/>
      <c r="E24" s="9"/>
      <c r="F24" s="9"/>
      <c r="G24" s="9"/>
      <c r="H24" s="9"/>
      <c r="I24" s="9"/>
      <c r="J24" s="5"/>
      <c r="K24" s="4"/>
      <c r="L24" s="10"/>
      <c r="M24" s="10"/>
      <c r="N24" s="10"/>
      <c r="O24" s="10"/>
      <c r="P24" s="10"/>
      <c r="Q24" s="11"/>
      <c r="R24" s="9"/>
      <c r="S24" s="12"/>
      <c r="T24" s="5"/>
      <c r="U24" s="5"/>
      <c r="V24" s="4"/>
      <c r="W24" s="4"/>
      <c r="X24" s="4"/>
      <c r="Y24" s="4"/>
    </row>
    <row r="25">
      <c r="A25" s="5"/>
      <c r="B25" s="9"/>
      <c r="C25" s="5"/>
      <c r="D25" s="9"/>
      <c r="E25" s="9"/>
      <c r="F25" s="9"/>
      <c r="G25" s="9"/>
      <c r="H25" s="9"/>
      <c r="I25" s="9"/>
      <c r="J25" s="5"/>
      <c r="K25" s="4"/>
      <c r="L25" s="10"/>
      <c r="M25" s="10"/>
      <c r="N25" s="10"/>
      <c r="O25" s="10"/>
      <c r="P25" s="10"/>
      <c r="Q25" s="11"/>
      <c r="R25" s="9"/>
      <c r="S25" s="12"/>
      <c r="T25" s="5"/>
      <c r="U25" s="5"/>
      <c r="V25" s="4"/>
      <c r="W25" s="4"/>
      <c r="X25" s="4"/>
      <c r="Y25" s="4"/>
    </row>
    <row r="26">
      <c r="A26" s="5"/>
      <c r="B26" s="9"/>
      <c r="C26" s="5"/>
      <c r="D26" s="9"/>
      <c r="E26" s="9"/>
      <c r="F26" s="9"/>
      <c r="G26" s="9"/>
      <c r="H26" s="9"/>
      <c r="I26" s="9"/>
      <c r="J26" s="5"/>
      <c r="K26" s="4"/>
      <c r="L26" s="10"/>
      <c r="M26" s="10"/>
      <c r="N26" s="10"/>
      <c r="O26" s="10"/>
      <c r="P26" s="10"/>
      <c r="Q26" s="11"/>
      <c r="R26" s="9"/>
      <c r="S26" s="12"/>
      <c r="T26" s="5"/>
      <c r="U26" s="5"/>
      <c r="V26" s="4"/>
      <c r="W26" s="4"/>
      <c r="X26" s="4"/>
      <c r="Y26" s="4"/>
    </row>
    <row r="27">
      <c r="A27" s="5"/>
      <c r="B27" s="9"/>
      <c r="C27" s="5"/>
      <c r="D27" s="9"/>
      <c r="E27" s="9"/>
      <c r="F27" s="9"/>
      <c r="G27" s="9"/>
      <c r="H27" s="9"/>
      <c r="I27" s="9"/>
      <c r="J27" s="5"/>
      <c r="K27" s="4"/>
      <c r="L27" s="10"/>
      <c r="M27" s="10"/>
      <c r="N27" s="10"/>
      <c r="O27" s="10"/>
      <c r="P27" s="10"/>
      <c r="Q27" s="11"/>
      <c r="R27" s="9"/>
      <c r="S27" s="12"/>
      <c r="T27" s="5"/>
      <c r="U27" s="5"/>
      <c r="V27" s="4"/>
      <c r="W27" s="4"/>
      <c r="X27" s="4"/>
      <c r="Y27" s="4"/>
    </row>
    <row r="28">
      <c r="A28" s="5"/>
      <c r="B28" s="9"/>
      <c r="C28" s="5"/>
      <c r="D28" s="9"/>
      <c r="E28" s="9"/>
      <c r="F28" s="9"/>
      <c r="G28" s="9"/>
      <c r="H28" s="9"/>
      <c r="I28" s="9"/>
      <c r="J28" s="5"/>
      <c r="K28" s="4"/>
      <c r="L28" s="10"/>
      <c r="M28" s="10"/>
      <c r="N28" s="10"/>
      <c r="O28" s="10"/>
      <c r="P28" s="10"/>
      <c r="Q28" s="11"/>
      <c r="R28" s="9"/>
      <c r="S28" s="12"/>
      <c r="T28" s="5"/>
      <c r="U28" s="5"/>
      <c r="V28" s="4"/>
      <c r="W28" s="4"/>
      <c r="X28" s="4"/>
      <c r="Y28" s="4"/>
    </row>
    <row r="29">
      <c r="A29" s="5"/>
      <c r="B29" s="9"/>
      <c r="C29" s="5"/>
      <c r="D29" s="9"/>
      <c r="E29" s="9"/>
      <c r="F29" s="9"/>
      <c r="G29" s="9"/>
      <c r="H29" s="9"/>
      <c r="I29" s="9"/>
      <c r="J29" s="5"/>
      <c r="K29" s="4"/>
      <c r="L29" s="10"/>
      <c r="M29" s="10"/>
      <c r="N29" s="10"/>
      <c r="O29" s="10"/>
      <c r="P29" s="10"/>
      <c r="Q29" s="11"/>
      <c r="R29" s="9"/>
      <c r="S29" s="12"/>
      <c r="T29" s="5"/>
      <c r="U29" s="5"/>
      <c r="V29" s="4"/>
      <c r="W29" s="4"/>
      <c r="X29" s="4"/>
      <c r="Y29" s="4"/>
    </row>
    <row r="30">
      <c r="A30" s="5"/>
      <c r="B30" s="9"/>
      <c r="C30" s="5"/>
      <c r="D30" s="9"/>
      <c r="E30" s="9"/>
      <c r="F30" s="9"/>
      <c r="G30" s="9"/>
      <c r="H30" s="9"/>
      <c r="I30" s="9"/>
      <c r="J30" s="5"/>
      <c r="K30" s="4"/>
      <c r="L30" s="10"/>
      <c r="M30" s="10"/>
      <c r="N30" s="10"/>
      <c r="O30" s="10"/>
      <c r="P30" s="10"/>
      <c r="Q30" s="11"/>
      <c r="R30" s="9"/>
      <c r="S30" s="12"/>
      <c r="T30" s="5"/>
      <c r="U30" s="5"/>
      <c r="V30" s="4"/>
      <c r="W30" s="4"/>
      <c r="X30" s="4"/>
      <c r="Y30" s="4"/>
    </row>
    <row r="31">
      <c r="A31" s="5"/>
      <c r="B31" s="9"/>
      <c r="C31" s="5"/>
      <c r="D31" s="9"/>
      <c r="E31" s="9"/>
      <c r="F31" s="9"/>
      <c r="G31" s="9"/>
      <c r="H31" s="9"/>
      <c r="I31" s="9"/>
      <c r="J31" s="5"/>
      <c r="K31" s="4"/>
      <c r="L31" s="10"/>
      <c r="M31" s="10"/>
      <c r="N31" s="10"/>
      <c r="O31" s="10"/>
      <c r="P31" s="10"/>
      <c r="Q31" s="11"/>
      <c r="R31" s="9"/>
      <c r="S31" s="12"/>
      <c r="T31" s="5"/>
      <c r="U31" s="5"/>
      <c r="V31" s="4"/>
      <c r="W31" s="4"/>
      <c r="X31" s="4"/>
      <c r="Y31" s="4"/>
    </row>
    <row r="32">
      <c r="A32" s="5"/>
      <c r="B32" s="9"/>
      <c r="C32" s="5"/>
      <c r="D32" s="9"/>
      <c r="E32" s="9"/>
      <c r="F32" s="9"/>
      <c r="G32" s="9"/>
      <c r="H32" s="9"/>
      <c r="I32" s="9"/>
      <c r="J32" s="5"/>
      <c r="K32" s="4"/>
      <c r="L32" s="10"/>
      <c r="M32" s="10"/>
      <c r="N32" s="10"/>
      <c r="O32" s="10"/>
      <c r="P32" s="10"/>
      <c r="Q32" s="11"/>
      <c r="R32" s="9"/>
      <c r="S32" s="12"/>
      <c r="T32" s="5"/>
      <c r="U32" s="5"/>
      <c r="V32" s="4"/>
      <c r="W32" s="4"/>
      <c r="X32" s="4"/>
      <c r="Y32" s="4"/>
    </row>
    <row r="33">
      <c r="A33" s="5"/>
      <c r="B33" s="9"/>
      <c r="C33" s="5"/>
      <c r="D33" s="9"/>
      <c r="E33" s="9"/>
      <c r="F33" s="9"/>
      <c r="G33" s="9"/>
      <c r="H33" s="9"/>
      <c r="I33" s="9"/>
      <c r="J33" s="5"/>
      <c r="K33" s="4"/>
      <c r="L33" s="10"/>
      <c r="M33" s="10"/>
      <c r="N33" s="10"/>
      <c r="O33" s="10"/>
      <c r="P33" s="10"/>
      <c r="Q33" s="11"/>
      <c r="R33" s="9"/>
      <c r="S33" s="12"/>
      <c r="T33" s="5"/>
      <c r="U33" s="5"/>
      <c r="V33" s="4"/>
      <c r="W33" s="4"/>
      <c r="X33" s="4"/>
      <c r="Y33" s="4"/>
    </row>
    <row r="34">
      <c r="A34" s="5"/>
      <c r="B34" s="9"/>
      <c r="C34" s="5"/>
      <c r="D34" s="9"/>
      <c r="E34" s="9"/>
      <c r="F34" s="9"/>
      <c r="G34" s="9"/>
      <c r="H34" s="9"/>
      <c r="I34" s="9"/>
      <c r="J34" s="5"/>
      <c r="K34" s="4"/>
      <c r="L34" s="10"/>
      <c r="M34" s="10"/>
      <c r="N34" s="10"/>
      <c r="O34" s="10"/>
      <c r="P34" s="10"/>
      <c r="Q34" s="11"/>
      <c r="R34" s="9"/>
      <c r="S34" s="12"/>
      <c r="T34" s="5"/>
      <c r="U34" s="5"/>
      <c r="V34" s="4"/>
      <c r="W34" s="4"/>
      <c r="X34" s="4"/>
      <c r="Y34" s="4"/>
    </row>
    <row r="35">
      <c r="A35" s="5"/>
      <c r="B35" s="9"/>
      <c r="C35" s="5"/>
      <c r="D35" s="9"/>
      <c r="E35" s="9"/>
      <c r="F35" s="9"/>
      <c r="G35" s="9"/>
      <c r="H35" s="9"/>
      <c r="I35" s="9"/>
      <c r="J35" s="5"/>
      <c r="K35" s="4"/>
      <c r="L35" s="10"/>
      <c r="M35" s="10"/>
      <c r="N35" s="10"/>
      <c r="O35" s="10"/>
      <c r="P35" s="10"/>
      <c r="Q35" s="11"/>
      <c r="R35" s="9"/>
      <c r="S35" s="12"/>
      <c r="T35" s="5"/>
      <c r="U35" s="5"/>
      <c r="V35" s="4"/>
      <c r="W35" s="4"/>
      <c r="X35" s="4"/>
      <c r="Y35" s="4"/>
    </row>
    <row r="36">
      <c r="A36" s="5"/>
      <c r="B36" s="9"/>
      <c r="C36" s="5"/>
      <c r="D36" s="9"/>
      <c r="E36" s="9"/>
      <c r="F36" s="9"/>
      <c r="G36" s="9"/>
      <c r="H36" s="9"/>
      <c r="I36" s="9"/>
      <c r="J36" s="5"/>
      <c r="K36" s="4"/>
      <c r="L36" s="10"/>
      <c r="M36" s="10"/>
      <c r="N36" s="10"/>
      <c r="O36" s="10"/>
      <c r="P36" s="10"/>
      <c r="Q36" s="11"/>
      <c r="R36" s="9"/>
      <c r="S36" s="12"/>
      <c r="T36" s="5"/>
      <c r="U36" s="5"/>
      <c r="V36" s="4"/>
      <c r="W36" s="4"/>
      <c r="X36" s="4"/>
      <c r="Y36" s="4"/>
    </row>
    <row r="37">
      <c r="A37" s="5"/>
      <c r="B37" s="9"/>
      <c r="C37" s="5"/>
      <c r="D37" s="9"/>
      <c r="E37" s="9"/>
      <c r="F37" s="9"/>
      <c r="G37" s="9"/>
      <c r="H37" s="9"/>
      <c r="I37" s="9"/>
      <c r="J37" s="5"/>
      <c r="K37" s="4"/>
      <c r="L37" s="10"/>
      <c r="M37" s="10"/>
      <c r="N37" s="10"/>
      <c r="O37" s="10"/>
      <c r="P37" s="10"/>
      <c r="Q37" s="11"/>
      <c r="R37" s="9"/>
      <c r="S37" s="12"/>
      <c r="T37" s="5"/>
      <c r="U37" s="5"/>
      <c r="V37" s="4"/>
      <c r="W37" s="4"/>
      <c r="X37" s="4"/>
      <c r="Y37" s="4"/>
    </row>
    <row r="38">
      <c r="A38" s="5"/>
      <c r="B38" s="9"/>
      <c r="C38" s="5"/>
      <c r="D38" s="9"/>
      <c r="E38" s="9"/>
      <c r="F38" s="9"/>
      <c r="G38" s="9"/>
      <c r="H38" s="9"/>
      <c r="I38" s="9"/>
      <c r="J38" s="5"/>
      <c r="K38" s="4"/>
      <c r="L38" s="10"/>
      <c r="M38" s="10"/>
      <c r="N38" s="10"/>
      <c r="O38" s="10"/>
      <c r="P38" s="10"/>
      <c r="Q38" s="11"/>
      <c r="R38" s="9"/>
      <c r="S38" s="12"/>
      <c r="T38" s="5"/>
      <c r="U38" s="5"/>
      <c r="V38" s="4"/>
      <c r="W38" s="4"/>
      <c r="X38" s="4"/>
      <c r="Y38" s="4"/>
    </row>
    <row r="39">
      <c r="A39" s="5"/>
      <c r="B39" s="9"/>
      <c r="C39" s="5"/>
      <c r="D39" s="9"/>
      <c r="E39" s="9"/>
      <c r="F39" s="9"/>
      <c r="G39" s="9"/>
      <c r="H39" s="9"/>
      <c r="I39" s="9"/>
      <c r="J39" s="5"/>
      <c r="K39" s="4"/>
      <c r="L39" s="10"/>
      <c r="M39" s="10"/>
      <c r="N39" s="10"/>
      <c r="O39" s="10"/>
      <c r="P39" s="10"/>
      <c r="Q39" s="11"/>
      <c r="R39" s="9"/>
      <c r="S39" s="12"/>
      <c r="T39" s="5"/>
      <c r="U39" s="5"/>
      <c r="V39" s="4"/>
      <c r="W39" s="4"/>
      <c r="X39" s="4"/>
      <c r="Y39" s="4"/>
    </row>
    <row r="40">
      <c r="A40" s="5"/>
      <c r="B40" s="9"/>
      <c r="C40" s="5"/>
      <c r="D40" s="9"/>
      <c r="E40" s="9"/>
      <c r="F40" s="9"/>
      <c r="G40" s="9"/>
      <c r="H40" s="9"/>
      <c r="I40" s="9"/>
      <c r="J40" s="5"/>
      <c r="K40" s="4"/>
      <c r="L40" s="10"/>
      <c r="M40" s="10"/>
      <c r="N40" s="10"/>
      <c r="O40" s="10"/>
      <c r="P40" s="10"/>
      <c r="Q40" s="11"/>
      <c r="R40" s="9"/>
      <c r="S40" s="12"/>
      <c r="T40" s="5"/>
      <c r="U40" s="5"/>
      <c r="V40" s="4"/>
      <c r="W40" s="4"/>
      <c r="X40" s="4"/>
      <c r="Y40" s="4"/>
    </row>
    <row r="41">
      <c r="A41" s="5"/>
      <c r="B41" s="9"/>
      <c r="C41" s="5"/>
      <c r="D41" s="9"/>
      <c r="E41" s="9"/>
      <c r="F41" s="9"/>
      <c r="G41" s="9"/>
      <c r="H41" s="9"/>
      <c r="I41" s="9"/>
      <c r="J41" s="5"/>
      <c r="K41" s="4"/>
      <c r="L41" s="10"/>
      <c r="M41" s="10"/>
      <c r="N41" s="10"/>
      <c r="O41" s="10"/>
      <c r="P41" s="10"/>
      <c r="Q41" s="11"/>
      <c r="R41" s="9"/>
      <c r="S41" s="12"/>
      <c r="T41" s="5"/>
      <c r="U41" s="5"/>
      <c r="V41" s="4"/>
      <c r="W41" s="4"/>
      <c r="X41" s="4"/>
      <c r="Y41" s="4"/>
    </row>
    <row r="42">
      <c r="A42" s="5"/>
      <c r="B42" s="9"/>
      <c r="C42" s="5"/>
      <c r="D42" s="9"/>
      <c r="E42" s="9"/>
      <c r="F42" s="9"/>
      <c r="G42" s="9"/>
      <c r="H42" s="9"/>
      <c r="I42" s="9"/>
      <c r="J42" s="5"/>
      <c r="K42" s="4"/>
      <c r="L42" s="10"/>
      <c r="M42" s="10"/>
      <c r="N42" s="10"/>
      <c r="O42" s="10"/>
      <c r="P42" s="10"/>
      <c r="Q42" s="11"/>
      <c r="R42" s="9"/>
      <c r="S42" s="12"/>
      <c r="T42" s="5"/>
      <c r="U42" s="5"/>
      <c r="V42" s="4"/>
      <c r="W42" s="4"/>
      <c r="X42" s="4"/>
      <c r="Y42" s="4"/>
    </row>
    <row r="43">
      <c r="A43" s="5"/>
      <c r="B43" s="9"/>
      <c r="C43" s="5"/>
      <c r="D43" s="9"/>
      <c r="E43" s="9"/>
      <c r="F43" s="9"/>
      <c r="G43" s="9"/>
      <c r="H43" s="9"/>
      <c r="I43" s="9"/>
      <c r="J43" s="5"/>
      <c r="K43" s="4"/>
      <c r="L43" s="10"/>
      <c r="M43" s="10"/>
      <c r="N43" s="10"/>
      <c r="O43" s="10"/>
      <c r="P43" s="10"/>
      <c r="Q43" s="11"/>
      <c r="R43" s="9"/>
      <c r="S43" s="12"/>
      <c r="T43" s="5"/>
      <c r="U43" s="5"/>
      <c r="V43" s="4"/>
      <c r="W43" s="4"/>
      <c r="X43" s="4"/>
      <c r="Y43" s="4"/>
    </row>
    <row r="44">
      <c r="A44" s="5"/>
      <c r="B44" s="9"/>
      <c r="C44" s="5"/>
      <c r="D44" s="9"/>
      <c r="E44" s="9"/>
      <c r="F44" s="9"/>
      <c r="G44" s="9"/>
      <c r="H44" s="9"/>
      <c r="I44" s="9"/>
      <c r="J44" s="5"/>
      <c r="K44" s="4"/>
      <c r="L44" s="10"/>
      <c r="M44" s="10"/>
      <c r="N44" s="10"/>
      <c r="O44" s="10"/>
      <c r="P44" s="10"/>
      <c r="Q44" s="11"/>
      <c r="R44" s="9"/>
      <c r="S44" s="12"/>
      <c r="T44" s="5"/>
      <c r="U44" s="5"/>
      <c r="V44" s="4"/>
      <c r="W44" s="4"/>
      <c r="X44" s="4"/>
      <c r="Y44" s="4"/>
    </row>
    <row r="45">
      <c r="A45" s="5"/>
      <c r="B45" s="9"/>
      <c r="C45" s="5"/>
      <c r="D45" s="9"/>
      <c r="E45" s="9"/>
      <c r="F45" s="9"/>
      <c r="G45" s="9"/>
      <c r="H45" s="9"/>
      <c r="I45" s="9"/>
      <c r="J45" s="5"/>
      <c r="K45" s="4"/>
      <c r="L45" s="10"/>
      <c r="M45" s="10"/>
      <c r="N45" s="10"/>
      <c r="O45" s="10"/>
      <c r="P45" s="10"/>
      <c r="Q45" s="11"/>
      <c r="R45" s="9"/>
      <c r="S45" s="12"/>
      <c r="T45" s="5"/>
      <c r="U45" s="5"/>
      <c r="V45" s="4"/>
      <c r="W45" s="4"/>
      <c r="X45" s="4"/>
      <c r="Y45" s="4"/>
    </row>
    <row r="46">
      <c r="A46" s="5"/>
      <c r="B46" s="9"/>
      <c r="C46" s="5"/>
      <c r="D46" s="9"/>
      <c r="E46" s="9"/>
      <c r="F46" s="9"/>
      <c r="G46" s="9"/>
      <c r="H46" s="9"/>
      <c r="I46" s="9"/>
      <c r="J46" s="5"/>
      <c r="K46" s="4"/>
      <c r="L46" s="10"/>
      <c r="M46" s="10"/>
      <c r="N46" s="10"/>
      <c r="O46" s="10"/>
      <c r="P46" s="10"/>
      <c r="Q46" s="11"/>
      <c r="R46" s="9"/>
      <c r="S46" s="12"/>
      <c r="T46" s="5"/>
      <c r="U46" s="5"/>
      <c r="V46" s="4"/>
      <c r="W46" s="4"/>
      <c r="X46" s="4"/>
      <c r="Y46" s="4"/>
    </row>
    <row r="47">
      <c r="A47" s="5"/>
      <c r="B47" s="9"/>
      <c r="C47" s="5"/>
      <c r="D47" s="9"/>
      <c r="E47" s="9"/>
      <c r="F47" s="9"/>
      <c r="G47" s="9"/>
      <c r="H47" s="9"/>
      <c r="I47" s="9"/>
      <c r="J47" s="5"/>
      <c r="K47" s="4"/>
      <c r="L47" s="10"/>
      <c r="M47" s="10"/>
      <c r="N47" s="10"/>
      <c r="O47" s="10"/>
      <c r="P47" s="10"/>
      <c r="Q47" s="11"/>
      <c r="R47" s="9"/>
      <c r="S47" s="12"/>
      <c r="T47" s="5"/>
      <c r="U47" s="5"/>
      <c r="V47" s="4"/>
      <c r="W47" s="4"/>
      <c r="X47" s="4"/>
      <c r="Y47" s="4"/>
    </row>
    <row r="48">
      <c r="A48" s="5"/>
      <c r="B48" s="9"/>
      <c r="C48" s="5"/>
      <c r="D48" s="9"/>
      <c r="E48" s="9"/>
      <c r="F48" s="9"/>
      <c r="G48" s="9"/>
      <c r="H48" s="9"/>
      <c r="I48" s="9"/>
      <c r="J48" s="5"/>
      <c r="K48" s="4"/>
      <c r="L48" s="10"/>
      <c r="M48" s="10"/>
      <c r="N48" s="10"/>
      <c r="O48" s="10"/>
      <c r="P48" s="10"/>
      <c r="Q48" s="11"/>
      <c r="R48" s="9"/>
      <c r="S48" s="12"/>
      <c r="T48" s="5"/>
      <c r="U48" s="5"/>
      <c r="V48" s="4"/>
      <c r="W48" s="4"/>
      <c r="X48" s="4"/>
      <c r="Y48" s="4"/>
    </row>
    <row r="49">
      <c r="A49" s="5"/>
      <c r="B49" s="9"/>
      <c r="C49" s="5"/>
      <c r="D49" s="9"/>
      <c r="E49" s="9"/>
      <c r="F49" s="9"/>
      <c r="G49" s="9"/>
      <c r="H49" s="9"/>
      <c r="I49" s="9"/>
      <c r="J49" s="5"/>
      <c r="K49" s="4"/>
      <c r="L49" s="10"/>
      <c r="M49" s="10"/>
      <c r="N49" s="10"/>
      <c r="O49" s="10"/>
      <c r="P49" s="10"/>
      <c r="Q49" s="11"/>
      <c r="R49" s="9"/>
      <c r="S49" s="12"/>
      <c r="T49" s="5"/>
      <c r="U49" s="5"/>
      <c r="V49" s="4"/>
      <c r="W49" s="4"/>
      <c r="X49" s="4"/>
      <c r="Y49" s="4"/>
    </row>
    <row r="50">
      <c r="A50" s="5"/>
      <c r="B50" s="9"/>
      <c r="C50" s="5"/>
      <c r="D50" s="9"/>
      <c r="E50" s="9"/>
      <c r="F50" s="9"/>
      <c r="G50" s="9"/>
      <c r="H50" s="9"/>
      <c r="I50" s="9"/>
      <c r="J50" s="5"/>
      <c r="K50" s="4"/>
      <c r="L50" s="10"/>
      <c r="M50" s="10"/>
      <c r="N50" s="10"/>
      <c r="O50" s="10"/>
      <c r="P50" s="10"/>
      <c r="Q50" s="11"/>
      <c r="R50" s="9"/>
      <c r="S50" s="12"/>
      <c r="T50" s="5"/>
      <c r="U50" s="5"/>
      <c r="V50" s="4"/>
      <c r="W50" s="4"/>
      <c r="X50" s="4"/>
      <c r="Y50" s="4"/>
    </row>
    <row r="51">
      <c r="A51" s="5"/>
      <c r="B51" s="9"/>
      <c r="C51" s="5"/>
      <c r="D51" s="9"/>
      <c r="E51" s="9"/>
      <c r="F51" s="9"/>
      <c r="G51" s="9"/>
      <c r="H51" s="9"/>
      <c r="I51" s="9"/>
      <c r="J51" s="5"/>
      <c r="K51" s="4"/>
      <c r="L51" s="10"/>
      <c r="M51" s="10"/>
      <c r="N51" s="10"/>
      <c r="O51" s="10"/>
      <c r="P51" s="10"/>
      <c r="Q51" s="11"/>
      <c r="R51" s="9"/>
      <c r="S51" s="12"/>
      <c r="T51" s="5"/>
      <c r="U51" s="5"/>
      <c r="V51" s="4"/>
      <c r="W51" s="4"/>
      <c r="X51" s="4"/>
      <c r="Y51" s="4"/>
    </row>
    <row r="52">
      <c r="A52" s="5"/>
      <c r="B52" s="9"/>
      <c r="C52" s="5"/>
      <c r="D52" s="9"/>
      <c r="E52" s="9"/>
      <c r="F52" s="9"/>
      <c r="G52" s="9"/>
      <c r="H52" s="9"/>
      <c r="I52" s="9"/>
      <c r="J52" s="5"/>
      <c r="K52" s="4"/>
      <c r="L52" s="10"/>
      <c r="M52" s="10"/>
      <c r="N52" s="10"/>
      <c r="O52" s="10"/>
      <c r="P52" s="10"/>
      <c r="Q52" s="11"/>
      <c r="R52" s="9"/>
      <c r="S52" s="12"/>
      <c r="T52" s="5"/>
      <c r="U52" s="5"/>
      <c r="V52" s="4"/>
      <c r="W52" s="4"/>
      <c r="X52" s="4"/>
      <c r="Y52" s="4"/>
    </row>
    <row r="53">
      <c r="A53" s="5"/>
      <c r="B53" s="9"/>
      <c r="C53" s="5"/>
      <c r="D53" s="9"/>
      <c r="E53" s="9"/>
      <c r="F53" s="9"/>
      <c r="G53" s="9"/>
      <c r="H53" s="9"/>
      <c r="I53" s="9"/>
      <c r="J53" s="5"/>
      <c r="K53" s="4"/>
      <c r="L53" s="10"/>
      <c r="M53" s="10"/>
      <c r="N53" s="10"/>
      <c r="O53" s="10"/>
      <c r="P53" s="10"/>
      <c r="Q53" s="11"/>
      <c r="R53" s="9"/>
      <c r="S53" s="12"/>
      <c r="T53" s="5"/>
      <c r="U53" s="5"/>
      <c r="V53" s="4"/>
      <c r="W53" s="4"/>
      <c r="X53" s="4"/>
      <c r="Y53" s="4"/>
    </row>
    <row r="54">
      <c r="A54" s="5"/>
      <c r="B54" s="9"/>
      <c r="C54" s="5"/>
      <c r="D54" s="9"/>
      <c r="E54" s="9"/>
      <c r="F54" s="9"/>
      <c r="G54" s="9"/>
      <c r="H54" s="9"/>
      <c r="I54" s="9"/>
      <c r="J54" s="5"/>
      <c r="K54" s="4"/>
      <c r="L54" s="10"/>
      <c r="M54" s="10"/>
      <c r="N54" s="10"/>
      <c r="O54" s="10"/>
      <c r="P54" s="10"/>
      <c r="Q54" s="11"/>
      <c r="R54" s="9"/>
      <c r="S54" s="12"/>
      <c r="T54" s="5"/>
      <c r="U54" s="5"/>
      <c r="V54" s="4"/>
      <c r="W54" s="4"/>
      <c r="X54" s="4"/>
      <c r="Y54" s="4"/>
    </row>
    <row r="55">
      <c r="A55" s="5"/>
      <c r="B55" s="9"/>
      <c r="C55" s="5"/>
      <c r="D55" s="9"/>
      <c r="E55" s="9"/>
      <c r="F55" s="9"/>
      <c r="G55" s="9"/>
      <c r="H55" s="9"/>
      <c r="I55" s="9"/>
      <c r="J55" s="5"/>
      <c r="K55" s="4"/>
      <c r="L55" s="10"/>
      <c r="M55" s="10"/>
      <c r="N55" s="10"/>
      <c r="O55" s="10"/>
      <c r="P55" s="10"/>
      <c r="Q55" s="11"/>
      <c r="R55" s="9"/>
      <c r="S55" s="12"/>
      <c r="T55" s="5"/>
      <c r="U55" s="5"/>
      <c r="V55" s="4"/>
      <c r="W55" s="4"/>
      <c r="X55" s="4"/>
      <c r="Y55" s="4"/>
    </row>
    <row r="56">
      <c r="A56" s="5"/>
      <c r="B56" s="9"/>
      <c r="C56" s="5"/>
      <c r="D56" s="9"/>
      <c r="E56" s="9"/>
      <c r="F56" s="9"/>
      <c r="G56" s="9"/>
      <c r="H56" s="9"/>
      <c r="I56" s="9"/>
      <c r="J56" s="5"/>
      <c r="K56" s="4"/>
      <c r="L56" s="10"/>
      <c r="M56" s="10"/>
      <c r="N56" s="10"/>
      <c r="O56" s="10"/>
      <c r="P56" s="10"/>
      <c r="Q56" s="11"/>
      <c r="R56" s="9"/>
      <c r="S56" s="12"/>
      <c r="T56" s="5"/>
      <c r="U56" s="5"/>
      <c r="V56" s="4"/>
      <c r="W56" s="4"/>
      <c r="X56" s="4"/>
      <c r="Y56" s="4"/>
    </row>
    <row r="57">
      <c r="A57" s="5"/>
      <c r="B57" s="9"/>
      <c r="C57" s="5"/>
      <c r="D57" s="9"/>
      <c r="E57" s="9"/>
      <c r="F57" s="9"/>
      <c r="G57" s="9"/>
      <c r="H57" s="9"/>
      <c r="I57" s="9"/>
      <c r="J57" s="5"/>
      <c r="K57" s="4"/>
      <c r="L57" s="10"/>
      <c r="M57" s="10"/>
      <c r="N57" s="10"/>
      <c r="O57" s="10"/>
      <c r="P57" s="10"/>
      <c r="Q57" s="11"/>
      <c r="R57" s="9"/>
      <c r="S57" s="12"/>
      <c r="T57" s="5"/>
      <c r="U57" s="5"/>
      <c r="V57" s="4"/>
      <c r="W57" s="4"/>
      <c r="X57" s="4"/>
      <c r="Y57" s="4"/>
    </row>
    <row r="58">
      <c r="A58" s="5"/>
      <c r="B58" s="9"/>
      <c r="C58" s="5"/>
      <c r="D58" s="9"/>
      <c r="E58" s="9"/>
      <c r="F58" s="9"/>
      <c r="G58" s="9"/>
      <c r="H58" s="9"/>
      <c r="I58" s="9"/>
      <c r="J58" s="5"/>
      <c r="K58" s="4"/>
      <c r="L58" s="10"/>
      <c r="M58" s="10"/>
      <c r="N58" s="10"/>
      <c r="O58" s="10"/>
      <c r="P58" s="10"/>
      <c r="Q58" s="11"/>
      <c r="R58" s="9"/>
      <c r="S58" s="12"/>
      <c r="T58" s="5"/>
      <c r="U58" s="5"/>
      <c r="V58" s="4"/>
      <c r="W58" s="4"/>
      <c r="X58" s="4"/>
      <c r="Y58" s="4"/>
    </row>
    <row r="59">
      <c r="A59" s="5"/>
      <c r="B59" s="9"/>
      <c r="C59" s="5"/>
      <c r="D59" s="9"/>
      <c r="E59" s="9"/>
      <c r="F59" s="9"/>
      <c r="G59" s="9"/>
      <c r="H59" s="9"/>
      <c r="I59" s="9"/>
      <c r="J59" s="5"/>
      <c r="K59" s="4"/>
      <c r="L59" s="10"/>
      <c r="M59" s="10"/>
      <c r="N59" s="10"/>
      <c r="O59" s="10"/>
      <c r="P59" s="10"/>
      <c r="Q59" s="11"/>
      <c r="R59" s="9"/>
      <c r="S59" s="12"/>
      <c r="T59" s="5"/>
      <c r="U59" s="5"/>
      <c r="V59" s="4"/>
      <c r="W59" s="4"/>
      <c r="X59" s="4"/>
      <c r="Y59" s="4"/>
    </row>
    <row r="60">
      <c r="A60" s="5"/>
      <c r="B60" s="9"/>
      <c r="C60" s="5"/>
      <c r="D60" s="9"/>
      <c r="E60" s="9"/>
      <c r="F60" s="9"/>
      <c r="G60" s="9"/>
      <c r="H60" s="9"/>
      <c r="I60" s="9"/>
      <c r="J60" s="5"/>
      <c r="K60" s="4"/>
      <c r="L60" s="10"/>
      <c r="M60" s="10"/>
      <c r="N60" s="10"/>
      <c r="O60" s="10"/>
      <c r="P60" s="10"/>
      <c r="Q60" s="11"/>
      <c r="R60" s="9"/>
      <c r="S60" s="12"/>
      <c r="T60" s="5"/>
      <c r="U60" s="5"/>
      <c r="V60" s="4"/>
      <c r="W60" s="4"/>
      <c r="X60" s="4"/>
      <c r="Y60" s="4"/>
    </row>
    <row r="61">
      <c r="A61" s="5"/>
      <c r="B61" s="9"/>
      <c r="C61" s="5"/>
      <c r="D61" s="9"/>
      <c r="E61" s="9"/>
      <c r="F61" s="9"/>
      <c r="G61" s="9"/>
      <c r="H61" s="9"/>
      <c r="I61" s="9"/>
      <c r="J61" s="5"/>
      <c r="K61" s="4"/>
      <c r="L61" s="10"/>
      <c r="M61" s="10"/>
      <c r="N61" s="10"/>
      <c r="O61" s="10"/>
      <c r="P61" s="10"/>
      <c r="Q61" s="11"/>
      <c r="R61" s="9"/>
      <c r="S61" s="12"/>
      <c r="T61" s="5"/>
      <c r="U61" s="5"/>
      <c r="V61" s="4"/>
      <c r="W61" s="4"/>
      <c r="X61" s="4"/>
      <c r="Y61" s="4"/>
    </row>
    <row r="62">
      <c r="A62" s="5"/>
      <c r="B62" s="9"/>
      <c r="C62" s="5"/>
      <c r="D62" s="9"/>
      <c r="E62" s="9"/>
      <c r="F62" s="9"/>
      <c r="G62" s="9"/>
      <c r="H62" s="9"/>
      <c r="I62" s="9"/>
      <c r="J62" s="5"/>
      <c r="K62" s="4"/>
      <c r="L62" s="10"/>
      <c r="M62" s="10"/>
      <c r="N62" s="10"/>
      <c r="O62" s="10"/>
      <c r="P62" s="10"/>
      <c r="Q62" s="11"/>
      <c r="R62" s="9"/>
      <c r="S62" s="12"/>
      <c r="T62" s="5"/>
      <c r="U62" s="5"/>
      <c r="V62" s="4"/>
      <c r="W62" s="4"/>
      <c r="X62" s="4"/>
      <c r="Y62" s="4"/>
    </row>
    <row r="63">
      <c r="A63" s="5"/>
      <c r="B63" s="9"/>
      <c r="C63" s="5"/>
      <c r="D63" s="9"/>
      <c r="E63" s="9"/>
      <c r="F63" s="9"/>
      <c r="G63" s="9"/>
      <c r="H63" s="9"/>
      <c r="I63" s="9"/>
      <c r="J63" s="5"/>
      <c r="K63" s="4"/>
      <c r="L63" s="10"/>
      <c r="M63" s="10"/>
      <c r="N63" s="10"/>
      <c r="O63" s="10"/>
      <c r="P63" s="10"/>
      <c r="Q63" s="11"/>
      <c r="R63" s="9"/>
      <c r="S63" s="12"/>
      <c r="T63" s="5"/>
      <c r="U63" s="5"/>
      <c r="V63" s="4"/>
      <c r="W63" s="4"/>
      <c r="X63" s="4"/>
      <c r="Y63" s="4"/>
    </row>
    <row r="64">
      <c r="A64" s="5"/>
      <c r="B64" s="9"/>
      <c r="C64" s="5"/>
      <c r="D64" s="9"/>
      <c r="E64" s="9"/>
      <c r="F64" s="9"/>
      <c r="G64" s="9"/>
      <c r="H64" s="9"/>
      <c r="I64" s="9"/>
      <c r="J64" s="5"/>
      <c r="K64" s="4"/>
      <c r="L64" s="10"/>
      <c r="M64" s="10"/>
      <c r="N64" s="10"/>
      <c r="O64" s="10"/>
      <c r="P64" s="10"/>
      <c r="Q64" s="11"/>
      <c r="R64" s="9"/>
      <c r="S64" s="12"/>
      <c r="T64" s="5"/>
      <c r="U64" s="5"/>
      <c r="V64" s="4"/>
      <c r="W64" s="4"/>
      <c r="X64" s="4"/>
      <c r="Y64" s="4"/>
    </row>
    <row r="65">
      <c r="A65" s="5"/>
      <c r="B65" s="9"/>
      <c r="C65" s="5"/>
      <c r="D65" s="9"/>
      <c r="E65" s="9"/>
      <c r="F65" s="9"/>
      <c r="G65" s="9"/>
      <c r="H65" s="9"/>
      <c r="I65" s="9"/>
      <c r="J65" s="5"/>
      <c r="K65" s="4"/>
      <c r="L65" s="10"/>
      <c r="M65" s="10"/>
      <c r="N65" s="10"/>
      <c r="O65" s="10"/>
      <c r="P65" s="10"/>
      <c r="Q65" s="11"/>
      <c r="R65" s="9"/>
      <c r="S65" s="12"/>
      <c r="T65" s="5"/>
      <c r="U65" s="5"/>
      <c r="V65" s="4"/>
      <c r="W65" s="4"/>
      <c r="X65" s="4"/>
      <c r="Y65" s="4"/>
    </row>
    <row r="66">
      <c r="A66" s="5"/>
      <c r="B66" s="9"/>
      <c r="C66" s="5"/>
      <c r="D66" s="9"/>
      <c r="E66" s="9"/>
      <c r="F66" s="9"/>
      <c r="G66" s="9"/>
      <c r="H66" s="9"/>
      <c r="I66" s="9"/>
      <c r="J66" s="5"/>
      <c r="K66" s="4"/>
      <c r="L66" s="10"/>
      <c r="M66" s="10"/>
      <c r="N66" s="10"/>
      <c r="O66" s="10"/>
      <c r="P66" s="10"/>
      <c r="Q66" s="11"/>
      <c r="R66" s="9"/>
      <c r="S66" s="12"/>
      <c r="T66" s="5"/>
      <c r="U66" s="5"/>
      <c r="V66" s="4"/>
      <c r="W66" s="4"/>
      <c r="X66" s="4"/>
      <c r="Y66" s="4"/>
    </row>
    <row r="67">
      <c r="A67" s="5"/>
      <c r="B67" s="9"/>
      <c r="C67" s="5"/>
      <c r="D67" s="9"/>
      <c r="E67" s="9"/>
      <c r="F67" s="9"/>
      <c r="G67" s="9"/>
      <c r="H67" s="9"/>
      <c r="I67" s="9"/>
      <c r="J67" s="5"/>
      <c r="K67" s="4"/>
      <c r="L67" s="10"/>
      <c r="M67" s="10"/>
      <c r="N67" s="10"/>
      <c r="O67" s="10"/>
      <c r="P67" s="10"/>
      <c r="Q67" s="11"/>
      <c r="R67" s="9"/>
      <c r="S67" s="12"/>
      <c r="T67" s="5"/>
      <c r="U67" s="5"/>
      <c r="V67" s="4"/>
      <c r="W67" s="4"/>
      <c r="X67" s="4"/>
      <c r="Y67" s="4"/>
    </row>
    <row r="68">
      <c r="A68" s="5"/>
      <c r="B68" s="9"/>
      <c r="C68" s="5"/>
      <c r="D68" s="9"/>
      <c r="E68" s="9"/>
      <c r="F68" s="9"/>
      <c r="G68" s="9"/>
      <c r="H68" s="9"/>
      <c r="I68" s="9"/>
      <c r="J68" s="5"/>
      <c r="K68" s="4"/>
      <c r="L68" s="10"/>
      <c r="M68" s="10"/>
      <c r="N68" s="10"/>
      <c r="O68" s="10"/>
      <c r="P68" s="10"/>
      <c r="Q68" s="11"/>
      <c r="R68" s="9"/>
      <c r="S68" s="12"/>
      <c r="T68" s="5"/>
      <c r="U68" s="5"/>
      <c r="V68" s="4"/>
      <c r="W68" s="4"/>
      <c r="X68" s="4"/>
      <c r="Y68" s="4"/>
    </row>
    <row r="69">
      <c r="A69" s="5"/>
      <c r="B69" s="9"/>
      <c r="C69" s="5"/>
      <c r="D69" s="9"/>
      <c r="E69" s="9"/>
      <c r="F69" s="9"/>
      <c r="G69" s="9"/>
      <c r="H69" s="9"/>
      <c r="I69" s="9"/>
      <c r="J69" s="5"/>
      <c r="K69" s="4"/>
      <c r="L69" s="10"/>
      <c r="M69" s="10"/>
      <c r="N69" s="10"/>
      <c r="O69" s="10"/>
      <c r="P69" s="10"/>
      <c r="Q69" s="11"/>
      <c r="R69" s="9"/>
      <c r="S69" s="12"/>
      <c r="T69" s="5"/>
      <c r="U69" s="5"/>
      <c r="V69" s="4"/>
      <c r="W69" s="4"/>
      <c r="X69" s="4"/>
      <c r="Y69" s="4"/>
    </row>
    <row r="70">
      <c r="A70" s="5"/>
      <c r="B70" s="9"/>
      <c r="C70" s="5"/>
      <c r="D70" s="9"/>
      <c r="E70" s="9"/>
      <c r="F70" s="9"/>
      <c r="G70" s="9"/>
      <c r="H70" s="9"/>
      <c r="I70" s="9"/>
      <c r="J70" s="5"/>
      <c r="K70" s="4"/>
      <c r="L70" s="10"/>
      <c r="M70" s="10"/>
      <c r="N70" s="10"/>
      <c r="O70" s="10"/>
      <c r="P70" s="10"/>
      <c r="Q70" s="11"/>
      <c r="R70" s="9"/>
      <c r="S70" s="12"/>
      <c r="T70" s="5"/>
      <c r="U70" s="5"/>
      <c r="V70" s="4"/>
      <c r="W70" s="4"/>
      <c r="X70" s="4"/>
      <c r="Y70" s="4"/>
    </row>
    <row r="71">
      <c r="A71" s="5"/>
      <c r="B71" s="9"/>
      <c r="C71" s="5"/>
      <c r="D71" s="9"/>
      <c r="E71" s="9"/>
      <c r="F71" s="9"/>
      <c r="G71" s="9"/>
      <c r="H71" s="9"/>
      <c r="I71" s="9"/>
      <c r="J71" s="5"/>
      <c r="K71" s="4"/>
      <c r="L71" s="10"/>
      <c r="M71" s="10"/>
      <c r="N71" s="10"/>
      <c r="O71" s="10"/>
      <c r="P71" s="10"/>
      <c r="Q71" s="11"/>
      <c r="R71" s="9"/>
      <c r="S71" s="12"/>
      <c r="T71" s="5"/>
      <c r="U71" s="5"/>
      <c r="V71" s="4"/>
      <c r="W71" s="4"/>
      <c r="X71" s="4"/>
      <c r="Y71" s="4"/>
    </row>
    <row r="72">
      <c r="A72" s="5"/>
      <c r="B72" s="9"/>
      <c r="C72" s="5"/>
      <c r="D72" s="9"/>
      <c r="E72" s="9"/>
      <c r="F72" s="9"/>
      <c r="G72" s="9"/>
      <c r="H72" s="9"/>
      <c r="I72" s="9"/>
      <c r="J72" s="5"/>
      <c r="K72" s="4"/>
      <c r="L72" s="10"/>
      <c r="M72" s="10"/>
      <c r="N72" s="10"/>
      <c r="O72" s="10"/>
      <c r="P72" s="10"/>
      <c r="Q72" s="11"/>
      <c r="R72" s="9"/>
      <c r="S72" s="12"/>
      <c r="T72" s="5"/>
      <c r="U72" s="5"/>
      <c r="V72" s="4"/>
      <c r="W72" s="4"/>
      <c r="X72" s="4"/>
      <c r="Y72" s="4"/>
    </row>
    <row r="73">
      <c r="A73" s="5"/>
      <c r="B73" s="9"/>
      <c r="C73" s="5"/>
      <c r="D73" s="9"/>
      <c r="E73" s="9"/>
      <c r="F73" s="9"/>
      <c r="G73" s="9"/>
      <c r="H73" s="9"/>
      <c r="I73" s="9"/>
      <c r="J73" s="5"/>
      <c r="K73" s="4"/>
      <c r="L73" s="10"/>
      <c r="M73" s="10"/>
      <c r="N73" s="10"/>
      <c r="O73" s="10"/>
      <c r="P73" s="10"/>
      <c r="Q73" s="11"/>
      <c r="R73" s="9"/>
      <c r="S73" s="12"/>
      <c r="T73" s="5"/>
      <c r="U73" s="5"/>
      <c r="V73" s="4"/>
      <c r="W73" s="4"/>
      <c r="X73" s="4"/>
      <c r="Y73" s="4"/>
    </row>
    <row r="74">
      <c r="A74" s="5"/>
      <c r="B74" s="9"/>
      <c r="C74" s="5"/>
      <c r="D74" s="9"/>
      <c r="E74" s="9"/>
      <c r="F74" s="9"/>
      <c r="G74" s="9"/>
      <c r="H74" s="9"/>
      <c r="I74" s="9"/>
      <c r="J74" s="5"/>
      <c r="K74" s="4"/>
      <c r="L74" s="10"/>
      <c r="M74" s="10"/>
      <c r="N74" s="10"/>
      <c r="O74" s="10"/>
      <c r="P74" s="10"/>
      <c r="Q74" s="11"/>
      <c r="R74" s="9"/>
      <c r="S74" s="12"/>
      <c r="T74" s="5"/>
      <c r="U74" s="5"/>
      <c r="V74" s="4"/>
      <c r="W74" s="4"/>
      <c r="X74" s="4"/>
      <c r="Y74" s="4"/>
    </row>
    <row r="75">
      <c r="A75" s="5"/>
      <c r="B75" s="9"/>
      <c r="C75" s="5"/>
      <c r="D75" s="9"/>
      <c r="E75" s="9"/>
      <c r="F75" s="9"/>
      <c r="G75" s="9"/>
      <c r="H75" s="9"/>
      <c r="I75" s="9"/>
      <c r="J75" s="5"/>
      <c r="K75" s="4"/>
      <c r="L75" s="10"/>
      <c r="M75" s="10"/>
      <c r="N75" s="10"/>
      <c r="O75" s="10"/>
      <c r="P75" s="10"/>
      <c r="Q75" s="11"/>
      <c r="R75" s="9"/>
      <c r="S75" s="12"/>
      <c r="T75" s="5"/>
      <c r="U75" s="5"/>
      <c r="V75" s="4"/>
      <c r="W75" s="4"/>
      <c r="X75" s="4"/>
      <c r="Y75" s="4"/>
    </row>
    <row r="76">
      <c r="A76" s="5"/>
      <c r="B76" s="9"/>
      <c r="C76" s="5"/>
      <c r="D76" s="9"/>
      <c r="E76" s="9"/>
      <c r="F76" s="9"/>
      <c r="G76" s="9"/>
      <c r="H76" s="9"/>
      <c r="I76" s="9"/>
      <c r="J76" s="5"/>
      <c r="K76" s="4"/>
      <c r="L76" s="10"/>
      <c r="M76" s="10"/>
      <c r="N76" s="10"/>
      <c r="O76" s="10"/>
      <c r="P76" s="10"/>
      <c r="Q76" s="11"/>
      <c r="R76" s="9"/>
      <c r="S76" s="12"/>
      <c r="T76" s="5"/>
      <c r="U76" s="5"/>
      <c r="V76" s="4"/>
      <c r="W76" s="4"/>
      <c r="X76" s="4"/>
      <c r="Y76" s="4"/>
    </row>
    <row r="77">
      <c r="A77" s="5"/>
      <c r="B77" s="9"/>
      <c r="C77" s="5"/>
      <c r="D77" s="9"/>
      <c r="E77" s="9"/>
      <c r="F77" s="9"/>
      <c r="G77" s="9"/>
      <c r="H77" s="9"/>
      <c r="I77" s="9"/>
      <c r="J77" s="5"/>
      <c r="K77" s="4"/>
      <c r="L77" s="10"/>
      <c r="M77" s="10"/>
      <c r="N77" s="10"/>
      <c r="O77" s="10"/>
      <c r="P77" s="10"/>
      <c r="Q77" s="11"/>
      <c r="R77" s="9"/>
      <c r="S77" s="12"/>
      <c r="T77" s="5"/>
      <c r="U77" s="5"/>
      <c r="V77" s="4"/>
      <c r="W77" s="4"/>
      <c r="X77" s="4"/>
      <c r="Y77" s="4"/>
    </row>
    <row r="78">
      <c r="A78" s="5"/>
      <c r="B78" s="9"/>
      <c r="C78" s="5"/>
      <c r="D78" s="9"/>
      <c r="E78" s="9"/>
      <c r="F78" s="9"/>
      <c r="G78" s="9"/>
      <c r="H78" s="9"/>
      <c r="I78" s="9"/>
      <c r="J78" s="5"/>
      <c r="K78" s="4"/>
      <c r="L78" s="10"/>
      <c r="M78" s="10"/>
      <c r="N78" s="10"/>
      <c r="O78" s="10"/>
      <c r="P78" s="10"/>
      <c r="Q78" s="11"/>
      <c r="R78" s="9"/>
      <c r="S78" s="12"/>
      <c r="T78" s="5"/>
      <c r="U78" s="5"/>
      <c r="V78" s="4"/>
      <c r="W78" s="4"/>
      <c r="X78" s="4"/>
      <c r="Y78" s="4"/>
    </row>
    <row r="79">
      <c r="A79" s="5"/>
      <c r="B79" s="9"/>
      <c r="C79" s="5"/>
      <c r="D79" s="9"/>
      <c r="E79" s="9"/>
      <c r="F79" s="9"/>
      <c r="G79" s="9"/>
      <c r="H79" s="9"/>
      <c r="I79" s="9"/>
      <c r="J79" s="5"/>
      <c r="K79" s="4"/>
      <c r="L79" s="10"/>
      <c r="M79" s="10"/>
      <c r="N79" s="10"/>
      <c r="O79" s="10"/>
      <c r="P79" s="10"/>
      <c r="Q79" s="11"/>
      <c r="R79" s="9"/>
      <c r="S79" s="12"/>
      <c r="T79" s="5"/>
      <c r="U79" s="5"/>
      <c r="V79" s="4"/>
      <c r="W79" s="4"/>
      <c r="X79" s="4"/>
      <c r="Y79" s="4"/>
    </row>
    <row r="80">
      <c r="A80" s="5"/>
      <c r="B80" s="9"/>
      <c r="C80" s="5"/>
      <c r="D80" s="9"/>
      <c r="E80" s="9"/>
      <c r="F80" s="9"/>
      <c r="G80" s="9"/>
      <c r="H80" s="9"/>
      <c r="I80" s="9"/>
      <c r="J80" s="5"/>
      <c r="K80" s="4"/>
      <c r="L80" s="10"/>
      <c r="M80" s="10"/>
      <c r="N80" s="10"/>
      <c r="O80" s="10"/>
      <c r="P80" s="10"/>
      <c r="Q80" s="11"/>
      <c r="R80" s="9"/>
      <c r="S80" s="12"/>
      <c r="T80" s="5"/>
      <c r="U80" s="5"/>
      <c r="V80" s="4"/>
      <c r="W80" s="4"/>
      <c r="X80" s="4"/>
      <c r="Y80" s="4"/>
    </row>
    <row r="81">
      <c r="A81" s="5"/>
      <c r="B81" s="9"/>
      <c r="C81" s="5"/>
      <c r="D81" s="9"/>
      <c r="E81" s="9"/>
      <c r="F81" s="9"/>
      <c r="G81" s="9"/>
      <c r="H81" s="9"/>
      <c r="I81" s="9"/>
      <c r="J81" s="5"/>
      <c r="K81" s="4"/>
      <c r="L81" s="10"/>
      <c r="M81" s="10"/>
      <c r="N81" s="10"/>
      <c r="O81" s="10"/>
      <c r="P81" s="10"/>
      <c r="Q81" s="11"/>
      <c r="R81" s="9"/>
      <c r="S81" s="12"/>
      <c r="T81" s="5"/>
      <c r="U81" s="5"/>
      <c r="V81" s="4"/>
      <c r="W81" s="4"/>
      <c r="X81" s="4"/>
      <c r="Y81" s="4"/>
    </row>
    <row r="82">
      <c r="A82" s="5"/>
      <c r="B82" s="9"/>
      <c r="C82" s="5"/>
      <c r="D82" s="9"/>
      <c r="E82" s="9"/>
      <c r="F82" s="9"/>
      <c r="G82" s="9"/>
      <c r="H82" s="9"/>
      <c r="I82" s="9"/>
      <c r="J82" s="5"/>
      <c r="K82" s="4"/>
      <c r="L82" s="10"/>
      <c r="M82" s="10"/>
      <c r="N82" s="10"/>
      <c r="O82" s="10"/>
      <c r="P82" s="10"/>
      <c r="Q82" s="11"/>
      <c r="R82" s="9"/>
      <c r="S82" s="12"/>
      <c r="T82" s="5"/>
      <c r="U82" s="5"/>
      <c r="V82" s="4"/>
      <c r="W82" s="4"/>
      <c r="X82" s="4"/>
      <c r="Y82" s="4"/>
    </row>
    <row r="83">
      <c r="A83" s="5"/>
      <c r="B83" s="9"/>
      <c r="C83" s="5"/>
      <c r="D83" s="9"/>
      <c r="E83" s="9"/>
      <c r="F83" s="9"/>
      <c r="G83" s="9"/>
      <c r="H83" s="9"/>
      <c r="I83" s="9"/>
      <c r="J83" s="5"/>
      <c r="K83" s="4"/>
      <c r="L83" s="10"/>
      <c r="M83" s="10"/>
      <c r="N83" s="10"/>
      <c r="O83" s="10"/>
      <c r="P83" s="10"/>
      <c r="Q83" s="11"/>
      <c r="R83" s="9"/>
      <c r="S83" s="12"/>
      <c r="T83" s="5"/>
      <c r="U83" s="5"/>
      <c r="V83" s="4"/>
      <c r="W83" s="4"/>
      <c r="X83" s="4"/>
      <c r="Y83" s="4"/>
    </row>
    <row r="84">
      <c r="A84" s="5"/>
      <c r="B84" s="9"/>
      <c r="C84" s="5"/>
      <c r="D84" s="9"/>
      <c r="E84" s="9"/>
      <c r="F84" s="9"/>
      <c r="G84" s="9"/>
      <c r="H84" s="9"/>
      <c r="I84" s="9"/>
      <c r="J84" s="5"/>
      <c r="K84" s="4"/>
      <c r="L84" s="10"/>
      <c r="M84" s="10"/>
      <c r="N84" s="10"/>
      <c r="O84" s="10"/>
      <c r="P84" s="10"/>
      <c r="Q84" s="11"/>
      <c r="R84" s="9"/>
      <c r="S84" s="12"/>
      <c r="T84" s="5"/>
      <c r="U84" s="5"/>
      <c r="V84" s="4"/>
      <c r="W84" s="4"/>
      <c r="X84" s="4"/>
      <c r="Y84" s="4"/>
    </row>
    <row r="85">
      <c r="A85" s="5"/>
      <c r="B85" s="9"/>
      <c r="C85" s="5"/>
      <c r="D85" s="9"/>
      <c r="E85" s="9"/>
      <c r="F85" s="9"/>
      <c r="G85" s="9"/>
      <c r="H85" s="9"/>
      <c r="I85" s="9"/>
      <c r="J85" s="5"/>
      <c r="K85" s="4"/>
      <c r="L85" s="10"/>
      <c r="M85" s="10"/>
      <c r="N85" s="10"/>
      <c r="O85" s="10"/>
      <c r="P85" s="10"/>
      <c r="Q85" s="11"/>
      <c r="R85" s="9"/>
      <c r="S85" s="12"/>
      <c r="T85" s="5"/>
      <c r="U85" s="5"/>
      <c r="V85" s="4"/>
      <c r="W85" s="4"/>
      <c r="X85" s="4"/>
      <c r="Y85" s="4"/>
    </row>
    <row r="86">
      <c r="A86" s="5"/>
      <c r="B86" s="9"/>
      <c r="C86" s="5"/>
      <c r="D86" s="9"/>
      <c r="E86" s="9"/>
      <c r="F86" s="9"/>
      <c r="G86" s="9"/>
      <c r="H86" s="9"/>
      <c r="I86" s="9"/>
      <c r="J86" s="5"/>
      <c r="K86" s="4"/>
      <c r="L86" s="10"/>
      <c r="M86" s="10"/>
      <c r="N86" s="10"/>
      <c r="O86" s="10"/>
      <c r="P86" s="10"/>
      <c r="Q86" s="11"/>
      <c r="R86" s="9"/>
      <c r="S86" s="12"/>
      <c r="T86" s="5"/>
      <c r="U86" s="5"/>
      <c r="V86" s="4"/>
      <c r="W86" s="4"/>
      <c r="X86" s="4"/>
      <c r="Y86" s="4"/>
    </row>
    <row r="87">
      <c r="A87" s="5"/>
      <c r="B87" s="9"/>
      <c r="C87" s="5"/>
      <c r="D87" s="9"/>
      <c r="E87" s="9"/>
      <c r="F87" s="9"/>
      <c r="G87" s="9"/>
      <c r="H87" s="9"/>
      <c r="I87" s="9"/>
      <c r="J87" s="5"/>
      <c r="K87" s="4"/>
      <c r="L87" s="10"/>
      <c r="M87" s="10"/>
      <c r="N87" s="10"/>
      <c r="O87" s="10"/>
      <c r="P87" s="10"/>
      <c r="Q87" s="11"/>
      <c r="R87" s="9"/>
      <c r="S87" s="12"/>
      <c r="T87" s="5"/>
      <c r="U87" s="5"/>
      <c r="V87" s="4"/>
      <c r="W87" s="4"/>
      <c r="X87" s="4"/>
      <c r="Y87" s="4"/>
    </row>
    <row r="88">
      <c r="A88" s="5"/>
      <c r="B88" s="9"/>
      <c r="C88" s="5"/>
      <c r="D88" s="9"/>
      <c r="E88" s="9"/>
      <c r="F88" s="9"/>
      <c r="G88" s="9"/>
      <c r="H88" s="9"/>
      <c r="I88" s="9"/>
      <c r="J88" s="5"/>
      <c r="K88" s="4"/>
      <c r="L88" s="10"/>
      <c r="M88" s="10"/>
      <c r="N88" s="10"/>
      <c r="O88" s="10"/>
      <c r="P88" s="10"/>
      <c r="Q88" s="11"/>
      <c r="R88" s="9"/>
      <c r="S88" s="12"/>
      <c r="T88" s="5"/>
      <c r="U88" s="5"/>
      <c r="V88" s="4"/>
      <c r="W88" s="4"/>
      <c r="X88" s="4"/>
      <c r="Y88" s="4"/>
    </row>
    <row r="89">
      <c r="A89" s="5"/>
      <c r="B89" s="9"/>
      <c r="C89" s="5"/>
      <c r="D89" s="9"/>
      <c r="E89" s="9"/>
      <c r="F89" s="9"/>
      <c r="G89" s="9"/>
      <c r="H89" s="9"/>
      <c r="I89" s="9"/>
      <c r="J89" s="5"/>
      <c r="K89" s="4"/>
      <c r="L89" s="10"/>
      <c r="M89" s="10"/>
      <c r="N89" s="10"/>
      <c r="O89" s="10"/>
      <c r="P89" s="10"/>
      <c r="Q89" s="11"/>
      <c r="R89" s="9"/>
      <c r="S89" s="12"/>
      <c r="T89" s="5"/>
      <c r="U89" s="5"/>
      <c r="V89" s="4"/>
      <c r="W89" s="4"/>
      <c r="X89" s="4"/>
      <c r="Y89" s="4"/>
    </row>
    <row r="90">
      <c r="A90" s="5"/>
      <c r="B90" s="9"/>
      <c r="C90" s="5"/>
      <c r="D90" s="9"/>
      <c r="E90" s="9"/>
      <c r="F90" s="9"/>
      <c r="G90" s="9"/>
      <c r="H90" s="9"/>
      <c r="I90" s="9"/>
      <c r="J90" s="5"/>
      <c r="K90" s="4"/>
      <c r="L90" s="10"/>
      <c r="M90" s="10"/>
      <c r="N90" s="10"/>
      <c r="O90" s="10"/>
      <c r="P90" s="10"/>
      <c r="Q90" s="11"/>
      <c r="R90" s="9"/>
      <c r="S90" s="12"/>
      <c r="T90" s="5"/>
      <c r="U90" s="5"/>
      <c r="V90" s="4"/>
      <c r="W90" s="4"/>
      <c r="X90" s="4"/>
      <c r="Y90" s="4"/>
    </row>
    <row r="91">
      <c r="A91" s="5"/>
      <c r="B91" s="9"/>
      <c r="C91" s="5"/>
      <c r="D91" s="9"/>
      <c r="E91" s="9"/>
      <c r="F91" s="9"/>
      <c r="G91" s="9"/>
      <c r="H91" s="9"/>
      <c r="I91" s="9"/>
      <c r="J91" s="5"/>
      <c r="K91" s="4"/>
      <c r="L91" s="10"/>
      <c r="M91" s="10"/>
      <c r="N91" s="10"/>
      <c r="O91" s="10"/>
      <c r="P91" s="10"/>
      <c r="Q91" s="11"/>
      <c r="R91" s="9"/>
      <c r="S91" s="12"/>
      <c r="T91" s="5"/>
      <c r="U91" s="5"/>
      <c r="V91" s="4"/>
      <c r="W91" s="4"/>
      <c r="X91" s="4"/>
      <c r="Y91" s="4"/>
    </row>
    <row r="92">
      <c r="A92" s="5"/>
      <c r="B92" s="9"/>
      <c r="C92" s="5"/>
      <c r="D92" s="9"/>
      <c r="E92" s="9"/>
      <c r="F92" s="9"/>
      <c r="G92" s="9"/>
      <c r="H92" s="9"/>
      <c r="I92" s="9"/>
      <c r="J92" s="5"/>
      <c r="K92" s="4"/>
      <c r="L92" s="10"/>
      <c r="M92" s="10"/>
      <c r="N92" s="10"/>
      <c r="O92" s="10"/>
      <c r="P92" s="10"/>
      <c r="Q92" s="11"/>
      <c r="R92" s="9"/>
      <c r="S92" s="12"/>
      <c r="T92" s="5"/>
      <c r="U92" s="5"/>
      <c r="V92" s="4"/>
      <c r="W92" s="4"/>
      <c r="X92" s="4"/>
      <c r="Y92" s="4"/>
    </row>
    <row r="93">
      <c r="A93" s="5"/>
      <c r="B93" s="9"/>
      <c r="C93" s="5"/>
      <c r="D93" s="9"/>
      <c r="E93" s="9"/>
      <c r="F93" s="9"/>
      <c r="G93" s="9"/>
      <c r="H93" s="9"/>
      <c r="I93" s="9"/>
      <c r="J93" s="5"/>
      <c r="K93" s="4"/>
      <c r="L93" s="10"/>
      <c r="M93" s="10"/>
      <c r="N93" s="10"/>
      <c r="O93" s="10"/>
      <c r="P93" s="10"/>
      <c r="Q93" s="11"/>
      <c r="R93" s="9"/>
      <c r="S93" s="12"/>
      <c r="T93" s="5"/>
      <c r="U93" s="5"/>
      <c r="V93" s="4"/>
      <c r="W93" s="4"/>
      <c r="X93" s="4"/>
      <c r="Y93" s="4"/>
    </row>
    <row r="94">
      <c r="A94" s="5"/>
      <c r="B94" s="9"/>
      <c r="C94" s="5"/>
      <c r="D94" s="9"/>
      <c r="E94" s="9"/>
      <c r="F94" s="9"/>
      <c r="G94" s="9"/>
      <c r="H94" s="9"/>
      <c r="I94" s="9"/>
      <c r="J94" s="5"/>
      <c r="K94" s="4"/>
      <c r="L94" s="10"/>
      <c r="M94" s="10"/>
      <c r="N94" s="10"/>
      <c r="O94" s="10"/>
      <c r="P94" s="10"/>
      <c r="Q94" s="11"/>
      <c r="R94" s="9"/>
      <c r="S94" s="12"/>
      <c r="T94" s="5"/>
      <c r="U94" s="5"/>
      <c r="V94" s="4"/>
      <c r="W94" s="4"/>
      <c r="X94" s="4"/>
      <c r="Y94" s="4"/>
    </row>
    <row r="95">
      <c r="A95" s="5"/>
      <c r="B95" s="9"/>
      <c r="C95" s="5"/>
      <c r="D95" s="9"/>
      <c r="E95" s="9"/>
      <c r="F95" s="9"/>
      <c r="G95" s="9"/>
      <c r="H95" s="9"/>
      <c r="I95" s="9"/>
      <c r="J95" s="5"/>
      <c r="K95" s="4"/>
      <c r="L95" s="10"/>
      <c r="M95" s="10"/>
      <c r="N95" s="10"/>
      <c r="O95" s="10"/>
      <c r="P95" s="10"/>
      <c r="Q95" s="11"/>
      <c r="R95" s="9"/>
      <c r="S95" s="12"/>
      <c r="T95" s="5"/>
      <c r="U95" s="5"/>
      <c r="V95" s="4"/>
      <c r="W95" s="4"/>
      <c r="X95" s="4"/>
      <c r="Y95" s="4"/>
    </row>
    <row r="96">
      <c r="A96" s="5"/>
      <c r="B96" s="9"/>
      <c r="C96" s="5"/>
      <c r="D96" s="9"/>
      <c r="E96" s="9"/>
      <c r="F96" s="9"/>
      <c r="G96" s="9"/>
      <c r="H96" s="9"/>
      <c r="I96" s="9"/>
      <c r="J96" s="5"/>
      <c r="K96" s="4"/>
      <c r="L96" s="10"/>
      <c r="M96" s="10"/>
      <c r="N96" s="10"/>
      <c r="O96" s="10"/>
      <c r="P96" s="10"/>
      <c r="Q96" s="11"/>
      <c r="R96" s="9"/>
      <c r="S96" s="12"/>
      <c r="T96" s="5"/>
      <c r="U96" s="5"/>
      <c r="V96" s="4"/>
      <c r="W96" s="4"/>
      <c r="X96" s="4"/>
      <c r="Y96" s="4"/>
    </row>
    <row r="97">
      <c r="A97" s="5"/>
      <c r="B97" s="9"/>
      <c r="C97" s="5"/>
      <c r="D97" s="9"/>
      <c r="E97" s="9"/>
      <c r="F97" s="9"/>
      <c r="G97" s="9"/>
      <c r="H97" s="9"/>
      <c r="I97" s="9"/>
      <c r="J97" s="5"/>
      <c r="K97" s="4"/>
      <c r="L97" s="10"/>
      <c r="M97" s="10"/>
      <c r="N97" s="10"/>
      <c r="O97" s="10"/>
      <c r="P97" s="10"/>
      <c r="Q97" s="11"/>
      <c r="R97" s="9"/>
      <c r="S97" s="12"/>
      <c r="T97" s="5"/>
      <c r="U97" s="5"/>
      <c r="V97" s="4"/>
      <c r="W97" s="4"/>
      <c r="X97" s="4"/>
      <c r="Y97" s="4"/>
    </row>
    <row r="98">
      <c r="A98" s="5"/>
      <c r="B98" s="9"/>
      <c r="C98" s="5"/>
      <c r="D98" s="9"/>
      <c r="E98" s="9"/>
      <c r="F98" s="9"/>
      <c r="G98" s="9"/>
      <c r="H98" s="9"/>
      <c r="I98" s="9"/>
      <c r="J98" s="5"/>
      <c r="K98" s="4"/>
      <c r="L98" s="10"/>
      <c r="M98" s="10"/>
      <c r="N98" s="10"/>
      <c r="O98" s="10"/>
      <c r="P98" s="10"/>
      <c r="Q98" s="11"/>
      <c r="R98" s="9"/>
      <c r="S98" s="12"/>
      <c r="T98" s="5"/>
      <c r="U98" s="5"/>
      <c r="V98" s="4"/>
      <c r="W98" s="4"/>
      <c r="X98" s="4"/>
      <c r="Y98" s="4"/>
    </row>
    <row r="99">
      <c r="A99" s="5"/>
      <c r="B99" s="9"/>
      <c r="C99" s="5"/>
      <c r="D99" s="9"/>
      <c r="E99" s="9"/>
      <c r="F99" s="9"/>
      <c r="G99" s="9"/>
      <c r="H99" s="9"/>
      <c r="I99" s="9"/>
      <c r="J99" s="5"/>
      <c r="K99" s="4"/>
      <c r="L99" s="10"/>
      <c r="M99" s="10"/>
      <c r="N99" s="10"/>
      <c r="O99" s="10"/>
      <c r="P99" s="10"/>
      <c r="Q99" s="11"/>
      <c r="R99" s="9"/>
      <c r="S99" s="12"/>
      <c r="T99" s="5"/>
      <c r="U99" s="5"/>
      <c r="V99" s="4"/>
      <c r="W99" s="4"/>
      <c r="X99" s="4"/>
      <c r="Y99" s="4"/>
    </row>
    <row r="100">
      <c r="A100" s="5"/>
      <c r="B100" s="9"/>
      <c r="C100" s="5"/>
      <c r="D100" s="9"/>
      <c r="E100" s="9"/>
      <c r="F100" s="9"/>
      <c r="G100" s="9"/>
      <c r="H100" s="9"/>
      <c r="I100" s="9"/>
      <c r="J100" s="5"/>
      <c r="K100" s="4"/>
      <c r="L100" s="10"/>
      <c r="M100" s="10"/>
      <c r="N100" s="10"/>
      <c r="O100" s="10"/>
      <c r="P100" s="10"/>
      <c r="Q100" s="11"/>
      <c r="R100" s="9"/>
      <c r="S100" s="12"/>
      <c r="T100" s="5"/>
      <c r="U100" s="5"/>
      <c r="V100" s="4"/>
      <c r="W100" s="4"/>
      <c r="X100" s="4"/>
      <c r="Y100" s="4"/>
    </row>
    <row r="101">
      <c r="A101" s="5"/>
      <c r="B101" s="9"/>
      <c r="C101" s="5"/>
      <c r="D101" s="9"/>
      <c r="E101" s="9"/>
      <c r="F101" s="9"/>
      <c r="G101" s="9"/>
      <c r="H101" s="9"/>
      <c r="I101" s="9"/>
      <c r="J101" s="5"/>
      <c r="K101" s="4"/>
      <c r="L101" s="10"/>
      <c r="M101" s="10"/>
      <c r="N101" s="10"/>
      <c r="O101" s="10"/>
      <c r="P101" s="10"/>
      <c r="Q101" s="11"/>
      <c r="R101" s="9"/>
      <c r="S101" s="12"/>
      <c r="T101" s="5"/>
      <c r="U101" s="5"/>
      <c r="V101" s="4"/>
      <c r="W101" s="4"/>
      <c r="X101" s="4"/>
      <c r="Y101" s="4"/>
    </row>
    <row r="102">
      <c r="A102" s="5"/>
      <c r="B102" s="9"/>
      <c r="C102" s="5"/>
      <c r="D102" s="9"/>
      <c r="E102" s="9"/>
      <c r="F102" s="9"/>
      <c r="G102" s="9"/>
      <c r="H102" s="9"/>
      <c r="I102" s="9"/>
      <c r="J102" s="5"/>
      <c r="K102" s="4"/>
      <c r="L102" s="10"/>
      <c r="M102" s="10"/>
      <c r="N102" s="10"/>
      <c r="O102" s="10"/>
      <c r="P102" s="10"/>
      <c r="Q102" s="11"/>
      <c r="R102" s="9"/>
      <c r="S102" s="12"/>
      <c r="T102" s="5"/>
      <c r="U102" s="5"/>
      <c r="V102" s="4"/>
      <c r="W102" s="4"/>
      <c r="X102" s="4"/>
      <c r="Y102" s="4"/>
    </row>
    <row r="103">
      <c r="A103" s="5"/>
      <c r="B103" s="9"/>
      <c r="C103" s="5"/>
      <c r="D103" s="9"/>
      <c r="E103" s="9"/>
      <c r="F103" s="9"/>
      <c r="G103" s="9"/>
      <c r="H103" s="9"/>
      <c r="I103" s="9"/>
      <c r="J103" s="5"/>
      <c r="K103" s="4"/>
      <c r="L103" s="10"/>
      <c r="M103" s="10"/>
      <c r="N103" s="10"/>
      <c r="O103" s="10"/>
      <c r="P103" s="10"/>
      <c r="Q103" s="11"/>
      <c r="R103" s="9"/>
      <c r="S103" s="12"/>
      <c r="T103" s="5"/>
      <c r="U103" s="5"/>
      <c r="V103" s="4"/>
      <c r="W103" s="4"/>
      <c r="X103" s="4"/>
      <c r="Y103" s="4"/>
    </row>
    <row r="104">
      <c r="A104" s="5"/>
      <c r="B104" s="9"/>
      <c r="C104" s="5"/>
      <c r="D104" s="9"/>
      <c r="E104" s="9"/>
      <c r="F104" s="9"/>
      <c r="G104" s="9"/>
      <c r="H104" s="9"/>
      <c r="I104" s="9"/>
      <c r="J104" s="5"/>
      <c r="K104" s="4"/>
      <c r="L104" s="10"/>
      <c r="M104" s="10"/>
      <c r="N104" s="10"/>
      <c r="O104" s="10"/>
      <c r="P104" s="10"/>
      <c r="Q104" s="11"/>
      <c r="R104" s="9"/>
      <c r="S104" s="12"/>
      <c r="T104" s="5"/>
      <c r="U104" s="5"/>
      <c r="V104" s="4"/>
      <c r="W104" s="4"/>
      <c r="X104" s="4"/>
      <c r="Y104" s="4"/>
    </row>
    <row r="105">
      <c r="A105" s="5"/>
      <c r="B105" s="9"/>
      <c r="C105" s="5"/>
      <c r="D105" s="9"/>
      <c r="E105" s="9"/>
      <c r="F105" s="9"/>
      <c r="G105" s="9"/>
      <c r="H105" s="9"/>
      <c r="I105" s="9"/>
      <c r="J105" s="5"/>
      <c r="K105" s="4"/>
      <c r="L105" s="10"/>
      <c r="M105" s="10"/>
      <c r="N105" s="10"/>
      <c r="O105" s="10"/>
      <c r="P105" s="10"/>
      <c r="Q105" s="11"/>
      <c r="R105" s="9"/>
      <c r="S105" s="12"/>
      <c r="T105" s="5"/>
      <c r="U105" s="5"/>
      <c r="V105" s="4"/>
      <c r="W105" s="4"/>
      <c r="X105" s="4"/>
      <c r="Y105" s="4"/>
    </row>
    <row r="106">
      <c r="A106" s="5"/>
      <c r="B106" s="9"/>
      <c r="C106" s="5"/>
      <c r="D106" s="9"/>
      <c r="E106" s="9"/>
      <c r="F106" s="9"/>
      <c r="G106" s="9"/>
      <c r="H106" s="9"/>
      <c r="I106" s="9"/>
      <c r="J106" s="5"/>
      <c r="K106" s="4"/>
      <c r="L106" s="10"/>
      <c r="M106" s="10"/>
      <c r="N106" s="10"/>
      <c r="O106" s="10"/>
      <c r="P106" s="10"/>
      <c r="Q106" s="11"/>
      <c r="R106" s="9"/>
      <c r="S106" s="12"/>
      <c r="T106" s="5"/>
      <c r="U106" s="5"/>
      <c r="V106" s="4"/>
      <c r="W106" s="4"/>
      <c r="X106" s="4"/>
      <c r="Y106" s="4"/>
    </row>
    <row r="107">
      <c r="A107" s="5"/>
      <c r="B107" s="9"/>
      <c r="C107" s="5"/>
      <c r="D107" s="9"/>
      <c r="E107" s="9"/>
      <c r="F107" s="9"/>
      <c r="G107" s="9"/>
      <c r="H107" s="9"/>
      <c r="I107" s="9"/>
      <c r="J107" s="5"/>
      <c r="K107" s="4"/>
      <c r="L107" s="10"/>
      <c r="M107" s="10"/>
      <c r="N107" s="10"/>
      <c r="O107" s="10"/>
      <c r="P107" s="10"/>
      <c r="Q107" s="11"/>
      <c r="R107" s="9"/>
      <c r="S107" s="12"/>
      <c r="T107" s="5"/>
      <c r="U107" s="5"/>
      <c r="V107" s="4"/>
      <c r="W107" s="4"/>
      <c r="X107" s="4"/>
      <c r="Y107" s="4"/>
    </row>
    <row r="108">
      <c r="A108" s="5"/>
      <c r="B108" s="9"/>
      <c r="C108" s="5"/>
      <c r="D108" s="9"/>
      <c r="E108" s="9"/>
      <c r="F108" s="9"/>
      <c r="G108" s="9"/>
      <c r="H108" s="9"/>
      <c r="I108" s="9"/>
      <c r="J108" s="5"/>
      <c r="K108" s="4"/>
      <c r="L108" s="10"/>
      <c r="M108" s="10"/>
      <c r="N108" s="10"/>
      <c r="O108" s="10"/>
      <c r="P108" s="10"/>
      <c r="Q108" s="11"/>
      <c r="R108" s="9"/>
      <c r="S108" s="12"/>
      <c r="T108" s="5"/>
      <c r="U108" s="5"/>
      <c r="V108" s="4"/>
      <c r="W108" s="4"/>
      <c r="X108" s="4"/>
      <c r="Y108" s="4"/>
    </row>
    <row r="109">
      <c r="A109" s="5"/>
      <c r="B109" s="9"/>
      <c r="C109" s="5"/>
      <c r="D109" s="9"/>
      <c r="E109" s="9"/>
      <c r="F109" s="9"/>
      <c r="G109" s="9"/>
      <c r="H109" s="9"/>
      <c r="I109" s="9"/>
      <c r="J109" s="5"/>
      <c r="K109" s="4"/>
      <c r="L109" s="10"/>
      <c r="M109" s="10"/>
      <c r="N109" s="10"/>
      <c r="O109" s="10"/>
      <c r="P109" s="10"/>
      <c r="Q109" s="11"/>
      <c r="R109" s="9"/>
      <c r="S109" s="12"/>
      <c r="T109" s="5"/>
      <c r="U109" s="5"/>
      <c r="V109" s="4"/>
      <c r="W109" s="4"/>
      <c r="X109" s="4"/>
      <c r="Y109" s="4"/>
    </row>
    <row r="110">
      <c r="A110" s="5"/>
      <c r="B110" s="9"/>
      <c r="C110" s="5"/>
      <c r="D110" s="9"/>
      <c r="E110" s="9"/>
      <c r="F110" s="9"/>
      <c r="G110" s="9"/>
      <c r="H110" s="9"/>
      <c r="I110" s="9"/>
      <c r="J110" s="5"/>
      <c r="K110" s="4"/>
      <c r="L110" s="10"/>
      <c r="M110" s="10"/>
      <c r="N110" s="10"/>
      <c r="O110" s="10"/>
      <c r="P110" s="10"/>
      <c r="Q110" s="11"/>
      <c r="R110" s="9"/>
      <c r="S110" s="12"/>
      <c r="T110" s="5"/>
      <c r="U110" s="5"/>
      <c r="V110" s="4"/>
      <c r="W110" s="4"/>
      <c r="X110" s="4"/>
      <c r="Y110" s="4"/>
    </row>
    <row r="111">
      <c r="A111" s="5"/>
      <c r="B111" s="9"/>
      <c r="C111" s="5"/>
      <c r="D111" s="9"/>
      <c r="E111" s="9"/>
      <c r="F111" s="9"/>
      <c r="G111" s="9"/>
      <c r="H111" s="9"/>
      <c r="I111" s="9"/>
      <c r="J111" s="5"/>
      <c r="K111" s="4"/>
      <c r="L111" s="10"/>
      <c r="M111" s="10"/>
      <c r="N111" s="10"/>
      <c r="O111" s="10"/>
      <c r="P111" s="10"/>
      <c r="Q111" s="11"/>
      <c r="R111" s="9"/>
      <c r="S111" s="12"/>
      <c r="T111" s="5"/>
      <c r="U111" s="5"/>
      <c r="V111" s="4"/>
      <c r="W111" s="4"/>
      <c r="X111" s="4"/>
      <c r="Y111" s="4"/>
    </row>
    <row r="112">
      <c r="A112" s="5"/>
      <c r="B112" s="9"/>
      <c r="C112" s="5"/>
      <c r="D112" s="9"/>
      <c r="E112" s="9"/>
      <c r="F112" s="9"/>
      <c r="G112" s="9"/>
      <c r="H112" s="9"/>
      <c r="I112" s="9"/>
      <c r="J112" s="5"/>
      <c r="K112" s="4"/>
      <c r="L112" s="10"/>
      <c r="M112" s="10"/>
      <c r="N112" s="10"/>
      <c r="O112" s="10"/>
      <c r="P112" s="10"/>
      <c r="Q112" s="11"/>
      <c r="R112" s="9"/>
      <c r="S112" s="12"/>
      <c r="T112" s="5"/>
      <c r="U112" s="5"/>
      <c r="V112" s="4"/>
      <c r="W112" s="4"/>
      <c r="X112" s="4"/>
      <c r="Y112" s="4"/>
    </row>
    <row r="113">
      <c r="A113" s="5"/>
      <c r="B113" s="9"/>
      <c r="C113" s="5"/>
      <c r="D113" s="9"/>
      <c r="E113" s="9"/>
      <c r="F113" s="9"/>
      <c r="G113" s="9"/>
      <c r="H113" s="9"/>
      <c r="I113" s="9"/>
      <c r="J113" s="5"/>
      <c r="K113" s="4"/>
      <c r="L113" s="10"/>
      <c r="M113" s="10"/>
      <c r="N113" s="10"/>
      <c r="O113" s="10"/>
      <c r="P113" s="10"/>
      <c r="Q113" s="11"/>
      <c r="R113" s="9"/>
      <c r="S113" s="12"/>
      <c r="T113" s="5"/>
      <c r="U113" s="5"/>
      <c r="V113" s="4"/>
      <c r="W113" s="4"/>
      <c r="X113" s="4"/>
      <c r="Y113" s="4"/>
    </row>
    <row r="114">
      <c r="A114" s="5"/>
      <c r="B114" s="9"/>
      <c r="C114" s="5"/>
      <c r="D114" s="9"/>
      <c r="E114" s="9"/>
      <c r="F114" s="9"/>
      <c r="G114" s="9"/>
      <c r="H114" s="9"/>
      <c r="I114" s="9"/>
      <c r="J114" s="5"/>
      <c r="K114" s="4"/>
      <c r="L114" s="10"/>
      <c r="M114" s="10"/>
      <c r="N114" s="10"/>
      <c r="O114" s="10"/>
      <c r="P114" s="10"/>
      <c r="Q114" s="11"/>
      <c r="R114" s="9"/>
      <c r="S114" s="12"/>
      <c r="T114" s="5"/>
      <c r="U114" s="5"/>
      <c r="V114" s="4"/>
      <c r="W114" s="4"/>
      <c r="X114" s="4"/>
      <c r="Y114" s="4"/>
    </row>
    <row r="115">
      <c r="A115" s="5"/>
      <c r="B115" s="9"/>
      <c r="C115" s="5"/>
      <c r="D115" s="9"/>
      <c r="E115" s="9"/>
      <c r="F115" s="9"/>
      <c r="G115" s="9"/>
      <c r="H115" s="9"/>
      <c r="I115" s="9"/>
      <c r="J115" s="5"/>
      <c r="K115" s="4"/>
      <c r="L115" s="10"/>
      <c r="M115" s="10"/>
      <c r="N115" s="10"/>
      <c r="O115" s="10"/>
      <c r="P115" s="10"/>
      <c r="Q115" s="11"/>
      <c r="R115" s="9"/>
      <c r="S115" s="12"/>
      <c r="T115" s="5"/>
      <c r="U115" s="5"/>
      <c r="V115" s="4"/>
      <c r="W115" s="4"/>
      <c r="X115" s="4"/>
      <c r="Y115" s="4"/>
    </row>
    <row r="116">
      <c r="A116" s="5"/>
      <c r="B116" s="9"/>
      <c r="C116" s="5"/>
      <c r="D116" s="9"/>
      <c r="E116" s="9"/>
      <c r="F116" s="9"/>
      <c r="G116" s="9"/>
      <c r="H116" s="9"/>
      <c r="I116" s="9"/>
      <c r="J116" s="5"/>
      <c r="K116" s="4"/>
      <c r="L116" s="10"/>
      <c r="M116" s="10"/>
      <c r="N116" s="10"/>
      <c r="O116" s="10"/>
      <c r="P116" s="10"/>
      <c r="Q116" s="11"/>
      <c r="R116" s="9"/>
      <c r="S116" s="12"/>
      <c r="T116" s="5"/>
      <c r="U116" s="5"/>
      <c r="V116" s="4"/>
      <c r="W116" s="4"/>
      <c r="X116" s="4"/>
      <c r="Y116" s="4"/>
    </row>
    <row r="117">
      <c r="A117" s="5"/>
      <c r="B117" s="9"/>
      <c r="C117" s="5"/>
      <c r="D117" s="9"/>
      <c r="E117" s="9"/>
      <c r="F117" s="9"/>
      <c r="G117" s="9"/>
      <c r="H117" s="9"/>
      <c r="I117" s="9"/>
      <c r="J117" s="5"/>
      <c r="K117" s="4"/>
      <c r="L117" s="10"/>
      <c r="M117" s="10"/>
      <c r="N117" s="10"/>
      <c r="O117" s="10"/>
      <c r="P117" s="10"/>
      <c r="Q117" s="11"/>
      <c r="R117" s="9"/>
      <c r="S117" s="12"/>
      <c r="T117" s="5"/>
      <c r="U117" s="5"/>
      <c r="V117" s="4"/>
      <c r="W117" s="4"/>
      <c r="X117" s="4"/>
      <c r="Y117" s="4"/>
    </row>
    <row r="118">
      <c r="A118" s="5"/>
      <c r="B118" s="9"/>
      <c r="C118" s="5"/>
      <c r="D118" s="9"/>
      <c r="E118" s="9"/>
      <c r="F118" s="9"/>
      <c r="G118" s="9"/>
      <c r="H118" s="9"/>
      <c r="I118" s="9"/>
      <c r="J118" s="5"/>
      <c r="K118" s="4"/>
      <c r="L118" s="10"/>
      <c r="M118" s="10"/>
      <c r="N118" s="10"/>
      <c r="O118" s="10"/>
      <c r="P118" s="10"/>
      <c r="Q118" s="11"/>
      <c r="R118" s="9"/>
      <c r="S118" s="12"/>
      <c r="T118" s="5"/>
      <c r="U118" s="5"/>
      <c r="V118" s="4"/>
      <c r="W118" s="4"/>
      <c r="X118" s="4"/>
      <c r="Y118" s="4"/>
    </row>
    <row r="119">
      <c r="A119" s="5"/>
      <c r="B119" s="9"/>
      <c r="C119" s="5"/>
      <c r="D119" s="9"/>
      <c r="E119" s="9"/>
      <c r="F119" s="9"/>
      <c r="G119" s="9"/>
      <c r="H119" s="9"/>
      <c r="I119" s="9"/>
      <c r="J119" s="5"/>
      <c r="K119" s="4"/>
      <c r="L119" s="10"/>
      <c r="M119" s="10"/>
      <c r="N119" s="10"/>
      <c r="O119" s="10"/>
      <c r="P119" s="10"/>
      <c r="Q119" s="11"/>
      <c r="R119" s="9"/>
      <c r="S119" s="12"/>
      <c r="T119" s="5"/>
      <c r="U119" s="5"/>
      <c r="V119" s="4"/>
      <c r="W119" s="4"/>
      <c r="X119" s="4"/>
      <c r="Y119" s="4"/>
    </row>
    <row r="120">
      <c r="A120" s="5"/>
      <c r="B120" s="9"/>
      <c r="C120" s="5"/>
      <c r="D120" s="9"/>
      <c r="E120" s="9"/>
      <c r="F120" s="9"/>
      <c r="G120" s="9"/>
      <c r="H120" s="9"/>
      <c r="I120" s="9"/>
      <c r="J120" s="5"/>
      <c r="K120" s="4"/>
      <c r="L120" s="10"/>
      <c r="M120" s="10"/>
      <c r="N120" s="10"/>
      <c r="O120" s="10"/>
      <c r="P120" s="10"/>
      <c r="Q120" s="11"/>
      <c r="R120" s="9"/>
      <c r="S120" s="12"/>
      <c r="T120" s="5"/>
      <c r="U120" s="5"/>
      <c r="V120" s="4"/>
      <c r="W120" s="4"/>
      <c r="X120" s="4"/>
      <c r="Y120" s="4"/>
    </row>
    <row r="121">
      <c r="A121" s="5"/>
      <c r="B121" s="9"/>
      <c r="C121" s="5"/>
      <c r="D121" s="9"/>
      <c r="E121" s="9"/>
      <c r="F121" s="9"/>
      <c r="G121" s="9"/>
      <c r="H121" s="9"/>
      <c r="I121" s="9"/>
      <c r="J121" s="5"/>
      <c r="K121" s="4"/>
      <c r="L121" s="10"/>
      <c r="M121" s="10"/>
      <c r="N121" s="10"/>
      <c r="O121" s="10"/>
      <c r="P121" s="10"/>
      <c r="Q121" s="11"/>
      <c r="R121" s="9"/>
      <c r="S121" s="12"/>
      <c r="T121" s="5"/>
      <c r="U121" s="5"/>
      <c r="V121" s="4"/>
      <c r="W121" s="4"/>
      <c r="X121" s="4"/>
      <c r="Y121" s="4"/>
    </row>
    <row r="122">
      <c r="A122" s="5"/>
      <c r="B122" s="9"/>
      <c r="C122" s="5"/>
      <c r="D122" s="9"/>
      <c r="E122" s="9"/>
      <c r="F122" s="9"/>
      <c r="G122" s="9"/>
      <c r="H122" s="9"/>
      <c r="I122" s="9"/>
      <c r="J122" s="5"/>
      <c r="K122" s="4"/>
      <c r="L122" s="10"/>
      <c r="M122" s="10"/>
      <c r="N122" s="10"/>
      <c r="O122" s="10"/>
      <c r="P122" s="10"/>
      <c r="Q122" s="11"/>
      <c r="R122" s="9"/>
      <c r="S122" s="12"/>
      <c r="T122" s="5"/>
      <c r="U122" s="5"/>
      <c r="V122" s="4"/>
      <c r="W122" s="4"/>
      <c r="X122" s="4"/>
      <c r="Y122" s="4"/>
    </row>
    <row r="123">
      <c r="A123" s="5"/>
      <c r="B123" s="9"/>
      <c r="C123" s="5"/>
      <c r="D123" s="9"/>
      <c r="E123" s="9"/>
      <c r="F123" s="9"/>
      <c r="G123" s="9"/>
      <c r="H123" s="9"/>
      <c r="I123" s="9"/>
      <c r="J123" s="5"/>
      <c r="K123" s="4"/>
      <c r="L123" s="10"/>
      <c r="M123" s="10"/>
      <c r="N123" s="10"/>
      <c r="O123" s="10"/>
      <c r="P123" s="10"/>
      <c r="Q123" s="11"/>
      <c r="R123" s="9"/>
      <c r="S123" s="12"/>
      <c r="T123" s="5"/>
      <c r="U123" s="5"/>
      <c r="V123" s="4"/>
      <c r="W123" s="4"/>
      <c r="X123" s="4"/>
      <c r="Y123" s="4"/>
    </row>
    <row r="124">
      <c r="A124" s="5"/>
      <c r="B124" s="9"/>
      <c r="C124" s="5"/>
      <c r="D124" s="9"/>
      <c r="E124" s="9"/>
      <c r="F124" s="9"/>
      <c r="G124" s="9"/>
      <c r="H124" s="9"/>
      <c r="I124" s="9"/>
      <c r="J124" s="5"/>
      <c r="K124" s="4"/>
      <c r="L124" s="10"/>
      <c r="M124" s="10"/>
      <c r="N124" s="10"/>
      <c r="O124" s="10"/>
      <c r="P124" s="10"/>
      <c r="Q124" s="11"/>
      <c r="R124" s="9"/>
      <c r="S124" s="12"/>
      <c r="T124" s="5"/>
      <c r="U124" s="5"/>
      <c r="V124" s="4"/>
      <c r="W124" s="4"/>
      <c r="X124" s="4"/>
      <c r="Y124" s="4"/>
    </row>
    <row r="125">
      <c r="A125" s="5"/>
      <c r="B125" s="9"/>
      <c r="C125" s="5"/>
      <c r="D125" s="9"/>
      <c r="E125" s="9"/>
      <c r="F125" s="9"/>
      <c r="G125" s="9"/>
      <c r="H125" s="9"/>
      <c r="I125" s="9"/>
      <c r="J125" s="5"/>
      <c r="K125" s="4"/>
      <c r="L125" s="10"/>
      <c r="M125" s="10"/>
      <c r="N125" s="10"/>
      <c r="O125" s="10"/>
      <c r="P125" s="10"/>
      <c r="Q125" s="11"/>
      <c r="R125" s="9"/>
      <c r="S125" s="12"/>
      <c r="T125" s="5"/>
      <c r="U125" s="5"/>
      <c r="V125" s="4"/>
      <c r="W125" s="4"/>
      <c r="X125" s="4"/>
      <c r="Y125" s="4"/>
    </row>
    <row r="126">
      <c r="A126" s="5"/>
      <c r="B126" s="9"/>
      <c r="C126" s="5"/>
      <c r="D126" s="9"/>
      <c r="E126" s="9"/>
      <c r="F126" s="9"/>
      <c r="G126" s="9"/>
      <c r="H126" s="9"/>
      <c r="I126" s="9"/>
      <c r="J126" s="5"/>
      <c r="K126" s="4"/>
      <c r="L126" s="10"/>
      <c r="M126" s="10"/>
      <c r="N126" s="10"/>
      <c r="O126" s="10"/>
      <c r="P126" s="10"/>
      <c r="Q126" s="11"/>
      <c r="R126" s="9"/>
      <c r="S126" s="12"/>
      <c r="T126" s="5"/>
      <c r="U126" s="5"/>
      <c r="V126" s="4"/>
      <c r="W126" s="4"/>
      <c r="X126" s="4"/>
      <c r="Y126" s="4"/>
    </row>
    <row r="127">
      <c r="A127" s="5"/>
      <c r="B127" s="9"/>
      <c r="C127" s="5"/>
      <c r="D127" s="9"/>
      <c r="E127" s="9"/>
      <c r="F127" s="9"/>
      <c r="G127" s="9"/>
      <c r="H127" s="9"/>
      <c r="I127" s="9"/>
      <c r="J127" s="5"/>
      <c r="K127" s="4"/>
      <c r="L127" s="10"/>
      <c r="M127" s="10"/>
      <c r="N127" s="10"/>
      <c r="O127" s="10"/>
      <c r="P127" s="10"/>
      <c r="Q127" s="11"/>
      <c r="R127" s="9"/>
      <c r="S127" s="12"/>
      <c r="T127" s="5"/>
      <c r="U127" s="5"/>
      <c r="V127" s="4"/>
      <c r="W127" s="4"/>
      <c r="X127" s="4"/>
      <c r="Y127" s="4"/>
    </row>
    <row r="128">
      <c r="A128" s="5"/>
      <c r="B128" s="9"/>
      <c r="C128" s="5"/>
      <c r="D128" s="9"/>
      <c r="E128" s="9"/>
      <c r="F128" s="9"/>
      <c r="G128" s="9"/>
      <c r="H128" s="9"/>
      <c r="I128" s="9"/>
      <c r="J128" s="5"/>
      <c r="K128" s="4"/>
      <c r="L128" s="10"/>
      <c r="M128" s="10"/>
      <c r="N128" s="10"/>
      <c r="O128" s="10"/>
      <c r="P128" s="10"/>
      <c r="Q128" s="11"/>
      <c r="R128" s="9"/>
      <c r="S128" s="12"/>
      <c r="T128" s="5"/>
      <c r="U128" s="5"/>
      <c r="V128" s="4"/>
      <c r="W128" s="4"/>
      <c r="X128" s="4"/>
      <c r="Y128" s="4"/>
    </row>
    <row r="129">
      <c r="A129" s="5"/>
      <c r="B129" s="9"/>
      <c r="C129" s="5"/>
      <c r="D129" s="9"/>
      <c r="E129" s="9"/>
      <c r="F129" s="9"/>
      <c r="G129" s="9"/>
      <c r="H129" s="9"/>
      <c r="I129" s="9"/>
      <c r="J129" s="5"/>
      <c r="K129" s="4"/>
      <c r="L129" s="10"/>
      <c r="M129" s="10"/>
      <c r="N129" s="10"/>
      <c r="O129" s="10"/>
      <c r="P129" s="10"/>
      <c r="Q129" s="11"/>
      <c r="R129" s="9"/>
      <c r="S129" s="12"/>
      <c r="T129" s="5"/>
      <c r="U129" s="5"/>
      <c r="V129" s="4"/>
      <c r="W129" s="4"/>
      <c r="X129" s="4"/>
      <c r="Y129" s="4"/>
    </row>
    <row r="130">
      <c r="A130" s="5"/>
      <c r="B130" s="9"/>
      <c r="C130" s="5"/>
      <c r="D130" s="9"/>
      <c r="E130" s="9"/>
      <c r="F130" s="9"/>
      <c r="G130" s="9"/>
      <c r="H130" s="9"/>
      <c r="I130" s="9"/>
      <c r="J130" s="5"/>
      <c r="K130" s="4"/>
      <c r="L130" s="10"/>
      <c r="M130" s="10"/>
      <c r="N130" s="10"/>
      <c r="O130" s="10"/>
      <c r="P130" s="10"/>
      <c r="Q130" s="11"/>
      <c r="R130" s="9"/>
      <c r="S130" s="12"/>
      <c r="T130" s="5"/>
      <c r="U130" s="5"/>
      <c r="V130" s="4"/>
      <c r="W130" s="4"/>
      <c r="X130" s="4"/>
      <c r="Y130" s="4"/>
    </row>
    <row r="131">
      <c r="A131" s="5"/>
      <c r="B131" s="9"/>
      <c r="C131" s="5"/>
      <c r="D131" s="9"/>
      <c r="E131" s="9"/>
      <c r="F131" s="9"/>
      <c r="G131" s="9"/>
      <c r="H131" s="9"/>
      <c r="I131" s="9"/>
      <c r="J131" s="5"/>
      <c r="K131" s="4"/>
      <c r="L131" s="10"/>
      <c r="M131" s="10"/>
      <c r="N131" s="10"/>
      <c r="O131" s="10"/>
      <c r="P131" s="10"/>
      <c r="Q131" s="11"/>
      <c r="R131" s="9"/>
      <c r="S131" s="12"/>
      <c r="T131" s="5"/>
      <c r="U131" s="5"/>
      <c r="V131" s="4"/>
      <c r="W131" s="4"/>
      <c r="X131" s="4"/>
      <c r="Y131" s="4"/>
    </row>
    <row r="132">
      <c r="A132" s="5"/>
      <c r="B132" s="9"/>
      <c r="C132" s="5"/>
      <c r="D132" s="9"/>
      <c r="E132" s="9"/>
      <c r="F132" s="9"/>
      <c r="G132" s="9"/>
      <c r="H132" s="9"/>
      <c r="I132" s="9"/>
      <c r="J132" s="5"/>
      <c r="K132" s="4"/>
      <c r="L132" s="10"/>
      <c r="M132" s="10"/>
      <c r="N132" s="10"/>
      <c r="O132" s="10"/>
      <c r="P132" s="10"/>
      <c r="Q132" s="11"/>
      <c r="R132" s="9"/>
      <c r="S132" s="12"/>
      <c r="T132" s="5"/>
      <c r="U132" s="5"/>
      <c r="V132" s="4"/>
      <c r="W132" s="4"/>
      <c r="X132" s="4"/>
      <c r="Y132" s="4"/>
    </row>
    <row r="133">
      <c r="A133" s="5"/>
      <c r="B133" s="9"/>
      <c r="C133" s="5"/>
      <c r="D133" s="9"/>
      <c r="E133" s="9"/>
      <c r="F133" s="9"/>
      <c r="G133" s="9"/>
      <c r="H133" s="9"/>
      <c r="I133" s="9"/>
      <c r="J133" s="5"/>
      <c r="K133" s="4"/>
      <c r="L133" s="10"/>
      <c r="M133" s="10"/>
      <c r="N133" s="10"/>
      <c r="O133" s="10"/>
      <c r="P133" s="10"/>
      <c r="Q133" s="11"/>
      <c r="R133" s="9"/>
      <c r="S133" s="12"/>
      <c r="T133" s="5"/>
      <c r="U133" s="5"/>
      <c r="V133" s="4"/>
      <c r="W133" s="4"/>
      <c r="X133" s="4"/>
      <c r="Y133" s="4"/>
    </row>
    <row r="134">
      <c r="A134" s="5"/>
      <c r="B134" s="9"/>
      <c r="C134" s="5"/>
      <c r="D134" s="9"/>
      <c r="E134" s="9"/>
      <c r="F134" s="9"/>
      <c r="G134" s="9"/>
      <c r="H134" s="9"/>
      <c r="I134" s="9"/>
      <c r="J134" s="5"/>
      <c r="K134" s="4"/>
      <c r="L134" s="10"/>
      <c r="M134" s="10"/>
      <c r="N134" s="10"/>
      <c r="O134" s="10"/>
      <c r="P134" s="10"/>
      <c r="Q134" s="11"/>
      <c r="R134" s="9"/>
      <c r="S134" s="12"/>
      <c r="T134" s="5"/>
      <c r="U134" s="5"/>
      <c r="V134" s="4"/>
      <c r="W134" s="4"/>
      <c r="X134" s="4"/>
      <c r="Y134" s="4"/>
    </row>
    <row r="135">
      <c r="A135" s="5"/>
      <c r="B135" s="9"/>
      <c r="C135" s="5"/>
      <c r="D135" s="9"/>
      <c r="E135" s="9"/>
      <c r="F135" s="9"/>
      <c r="G135" s="9"/>
      <c r="H135" s="9"/>
      <c r="I135" s="9"/>
      <c r="J135" s="5"/>
      <c r="K135" s="4"/>
      <c r="L135" s="10"/>
      <c r="M135" s="10"/>
      <c r="N135" s="10"/>
      <c r="O135" s="10"/>
      <c r="P135" s="10"/>
      <c r="Q135" s="11"/>
      <c r="R135" s="9"/>
      <c r="S135" s="12"/>
      <c r="T135" s="5"/>
      <c r="U135" s="5"/>
      <c r="V135" s="4"/>
      <c r="W135" s="4"/>
      <c r="X135" s="4"/>
      <c r="Y135" s="4"/>
    </row>
    <row r="136">
      <c r="A136" s="5"/>
      <c r="B136" s="9"/>
      <c r="C136" s="5"/>
      <c r="D136" s="9"/>
      <c r="E136" s="9"/>
      <c r="F136" s="9"/>
      <c r="G136" s="9"/>
      <c r="H136" s="9"/>
      <c r="I136" s="9"/>
      <c r="J136" s="5"/>
      <c r="K136" s="4"/>
      <c r="L136" s="10"/>
      <c r="M136" s="10"/>
      <c r="N136" s="10"/>
      <c r="O136" s="10"/>
      <c r="P136" s="10"/>
      <c r="Q136" s="11"/>
      <c r="R136" s="9"/>
      <c r="S136" s="12"/>
      <c r="T136" s="5"/>
      <c r="U136" s="5"/>
      <c r="V136" s="4"/>
      <c r="W136" s="4"/>
      <c r="X136" s="4"/>
      <c r="Y136" s="4"/>
    </row>
    <row r="137">
      <c r="A137" s="5"/>
      <c r="B137" s="9"/>
      <c r="C137" s="5"/>
      <c r="D137" s="9"/>
      <c r="E137" s="9"/>
      <c r="F137" s="9"/>
      <c r="G137" s="9"/>
      <c r="H137" s="9"/>
      <c r="I137" s="9"/>
      <c r="J137" s="5"/>
      <c r="K137" s="4"/>
      <c r="L137" s="10"/>
      <c r="M137" s="10"/>
      <c r="N137" s="10"/>
      <c r="O137" s="10"/>
      <c r="P137" s="10"/>
      <c r="Q137" s="11"/>
      <c r="R137" s="9"/>
      <c r="S137" s="12"/>
      <c r="T137" s="5"/>
      <c r="U137" s="5"/>
      <c r="V137" s="4"/>
      <c r="W137" s="4"/>
      <c r="X137" s="4"/>
      <c r="Y137" s="4"/>
    </row>
    <row r="138">
      <c r="A138" s="5"/>
      <c r="B138" s="9"/>
      <c r="C138" s="5"/>
      <c r="D138" s="9"/>
      <c r="E138" s="9"/>
      <c r="F138" s="9"/>
      <c r="G138" s="9"/>
      <c r="H138" s="9"/>
      <c r="I138" s="9"/>
      <c r="J138" s="5"/>
      <c r="K138" s="4"/>
      <c r="L138" s="10"/>
      <c r="M138" s="10"/>
      <c r="N138" s="10"/>
      <c r="O138" s="10"/>
      <c r="P138" s="10"/>
      <c r="Q138" s="11"/>
      <c r="R138" s="9"/>
      <c r="S138" s="12"/>
      <c r="T138" s="5"/>
      <c r="U138" s="5"/>
      <c r="V138" s="4"/>
      <c r="W138" s="4"/>
      <c r="X138" s="4"/>
      <c r="Y138" s="4"/>
    </row>
    <row r="139">
      <c r="A139" s="5"/>
      <c r="B139" s="9"/>
      <c r="C139" s="5"/>
      <c r="D139" s="9"/>
      <c r="E139" s="9"/>
      <c r="F139" s="9"/>
      <c r="G139" s="9"/>
      <c r="H139" s="9"/>
      <c r="I139" s="9"/>
      <c r="J139" s="5"/>
      <c r="K139" s="4"/>
      <c r="L139" s="10"/>
      <c r="M139" s="10"/>
      <c r="N139" s="10"/>
      <c r="O139" s="10"/>
      <c r="P139" s="10"/>
      <c r="Q139" s="11"/>
      <c r="R139" s="9"/>
      <c r="S139" s="12"/>
      <c r="T139" s="5"/>
      <c r="U139" s="5"/>
      <c r="V139" s="4"/>
      <c r="W139" s="4"/>
      <c r="X139" s="4"/>
      <c r="Y139" s="4"/>
    </row>
    <row r="140">
      <c r="A140" s="5"/>
      <c r="B140" s="9"/>
      <c r="C140" s="5"/>
      <c r="D140" s="9"/>
      <c r="E140" s="9"/>
      <c r="F140" s="9"/>
      <c r="G140" s="9"/>
      <c r="H140" s="9"/>
      <c r="I140" s="9"/>
      <c r="J140" s="5"/>
      <c r="K140" s="4"/>
      <c r="L140" s="10"/>
      <c r="M140" s="10"/>
      <c r="N140" s="10"/>
      <c r="O140" s="10"/>
      <c r="P140" s="10"/>
      <c r="Q140" s="11"/>
      <c r="R140" s="9"/>
      <c r="S140" s="12"/>
      <c r="T140" s="5"/>
      <c r="U140" s="5"/>
      <c r="V140" s="4"/>
      <c r="W140" s="4"/>
      <c r="X140" s="4"/>
      <c r="Y140" s="4"/>
    </row>
    <row r="141">
      <c r="A141" s="5"/>
      <c r="B141" s="9"/>
      <c r="C141" s="5"/>
      <c r="D141" s="9"/>
      <c r="E141" s="9"/>
      <c r="F141" s="9"/>
      <c r="G141" s="9"/>
      <c r="H141" s="9"/>
      <c r="I141" s="9"/>
      <c r="J141" s="5"/>
      <c r="K141" s="4"/>
      <c r="L141" s="10"/>
      <c r="M141" s="10"/>
      <c r="N141" s="10"/>
      <c r="O141" s="10"/>
      <c r="P141" s="10"/>
      <c r="Q141" s="11"/>
      <c r="R141" s="9"/>
      <c r="S141" s="12"/>
      <c r="T141" s="5"/>
      <c r="U141" s="5"/>
      <c r="V141" s="4"/>
      <c r="W141" s="4"/>
      <c r="X141" s="4"/>
      <c r="Y141" s="4"/>
    </row>
    <row r="142">
      <c r="A142" s="5"/>
      <c r="B142" s="9"/>
      <c r="C142" s="5"/>
      <c r="D142" s="9"/>
      <c r="E142" s="9"/>
      <c r="F142" s="9"/>
      <c r="G142" s="9"/>
      <c r="H142" s="9"/>
      <c r="I142" s="9"/>
      <c r="J142" s="5"/>
      <c r="K142" s="4"/>
      <c r="L142" s="10"/>
      <c r="M142" s="10"/>
      <c r="N142" s="10"/>
      <c r="O142" s="10"/>
      <c r="P142" s="10"/>
      <c r="Q142" s="11"/>
      <c r="R142" s="9"/>
      <c r="S142" s="12"/>
      <c r="T142" s="5"/>
      <c r="U142" s="5"/>
      <c r="V142" s="4"/>
      <c r="W142" s="4"/>
      <c r="X142" s="4"/>
      <c r="Y142" s="4"/>
    </row>
    <row r="143">
      <c r="A143" s="5"/>
      <c r="B143" s="9"/>
      <c r="C143" s="5"/>
      <c r="D143" s="9"/>
      <c r="E143" s="9"/>
      <c r="F143" s="9"/>
      <c r="G143" s="9"/>
      <c r="H143" s="9"/>
      <c r="I143" s="9"/>
      <c r="J143" s="5"/>
      <c r="K143" s="4"/>
      <c r="L143" s="10"/>
      <c r="M143" s="10"/>
      <c r="N143" s="10"/>
      <c r="O143" s="10"/>
      <c r="P143" s="10"/>
      <c r="Q143" s="11"/>
      <c r="R143" s="9"/>
      <c r="S143" s="12"/>
      <c r="T143" s="5"/>
      <c r="U143" s="5"/>
      <c r="V143" s="4"/>
      <c r="W143" s="4"/>
      <c r="X143" s="4"/>
      <c r="Y143" s="4"/>
    </row>
    <row r="144">
      <c r="A144" s="5"/>
      <c r="B144" s="9"/>
      <c r="C144" s="5"/>
      <c r="D144" s="9"/>
      <c r="E144" s="9"/>
      <c r="F144" s="9"/>
      <c r="G144" s="9"/>
      <c r="H144" s="9"/>
      <c r="I144" s="9"/>
      <c r="J144" s="5"/>
      <c r="K144" s="4"/>
      <c r="L144" s="10"/>
      <c r="M144" s="10"/>
      <c r="N144" s="10"/>
      <c r="O144" s="10"/>
      <c r="P144" s="10"/>
      <c r="Q144" s="11"/>
      <c r="R144" s="9"/>
      <c r="S144" s="12"/>
      <c r="T144" s="5"/>
      <c r="U144" s="5"/>
      <c r="V144" s="4"/>
      <c r="W144" s="4"/>
      <c r="X144" s="4"/>
      <c r="Y144" s="4"/>
    </row>
    <row r="145">
      <c r="A145" s="5"/>
      <c r="B145" s="9"/>
      <c r="C145" s="5"/>
      <c r="D145" s="9"/>
      <c r="E145" s="9"/>
      <c r="F145" s="9"/>
      <c r="G145" s="9"/>
      <c r="H145" s="9"/>
      <c r="I145" s="9"/>
      <c r="J145" s="5"/>
      <c r="K145" s="4"/>
      <c r="L145" s="10"/>
      <c r="M145" s="10"/>
      <c r="N145" s="10"/>
      <c r="O145" s="10"/>
      <c r="P145" s="10"/>
      <c r="Q145" s="11"/>
      <c r="R145" s="9"/>
      <c r="S145" s="12"/>
      <c r="T145" s="5"/>
      <c r="U145" s="5"/>
      <c r="V145" s="4"/>
      <c r="W145" s="4"/>
      <c r="X145" s="4"/>
      <c r="Y145" s="4"/>
    </row>
    <row r="146">
      <c r="A146" s="5"/>
      <c r="B146" s="9"/>
      <c r="C146" s="5"/>
      <c r="D146" s="9"/>
      <c r="E146" s="9"/>
      <c r="F146" s="9"/>
      <c r="G146" s="9"/>
      <c r="H146" s="9"/>
      <c r="I146" s="9"/>
      <c r="J146" s="5"/>
      <c r="K146" s="4"/>
      <c r="L146" s="10"/>
      <c r="M146" s="10"/>
      <c r="N146" s="10"/>
      <c r="O146" s="10"/>
      <c r="P146" s="10"/>
      <c r="Q146" s="11"/>
      <c r="R146" s="9"/>
      <c r="S146" s="12"/>
      <c r="T146" s="5"/>
      <c r="U146" s="5"/>
      <c r="V146" s="4"/>
      <c r="W146" s="4"/>
      <c r="X146" s="4"/>
      <c r="Y146" s="4"/>
    </row>
    <row r="147">
      <c r="A147" s="5"/>
      <c r="B147" s="9"/>
      <c r="C147" s="5"/>
      <c r="D147" s="9"/>
      <c r="E147" s="9"/>
      <c r="F147" s="9"/>
      <c r="G147" s="9"/>
      <c r="H147" s="9"/>
      <c r="I147" s="9"/>
      <c r="J147" s="5"/>
      <c r="K147" s="4"/>
      <c r="L147" s="10"/>
      <c r="M147" s="10"/>
      <c r="N147" s="10"/>
      <c r="O147" s="10"/>
      <c r="P147" s="10"/>
      <c r="Q147" s="11"/>
      <c r="R147" s="9"/>
      <c r="S147" s="12"/>
      <c r="T147" s="5"/>
      <c r="U147" s="5"/>
      <c r="V147" s="4"/>
      <c r="W147" s="4"/>
      <c r="X147" s="4"/>
      <c r="Y147" s="4"/>
    </row>
    <row r="148">
      <c r="A148" s="5"/>
      <c r="B148" s="9"/>
      <c r="C148" s="5"/>
      <c r="D148" s="9"/>
      <c r="E148" s="9"/>
      <c r="F148" s="9"/>
      <c r="G148" s="9"/>
      <c r="H148" s="9"/>
      <c r="I148" s="9"/>
      <c r="J148" s="5"/>
      <c r="K148" s="4"/>
      <c r="L148" s="10"/>
      <c r="M148" s="10"/>
      <c r="N148" s="10"/>
      <c r="O148" s="10"/>
      <c r="P148" s="10"/>
      <c r="Q148" s="11"/>
      <c r="R148" s="9"/>
      <c r="S148" s="12"/>
      <c r="T148" s="5"/>
      <c r="U148" s="5"/>
      <c r="V148" s="4"/>
      <c r="W148" s="4"/>
      <c r="X148" s="4"/>
      <c r="Y148" s="4"/>
    </row>
    <row r="149">
      <c r="A149" s="5"/>
      <c r="B149" s="9"/>
      <c r="C149" s="5"/>
      <c r="D149" s="9"/>
      <c r="E149" s="9"/>
      <c r="F149" s="9"/>
      <c r="G149" s="9"/>
      <c r="H149" s="9"/>
      <c r="I149" s="9"/>
      <c r="J149" s="5"/>
      <c r="K149" s="4"/>
      <c r="L149" s="10"/>
      <c r="M149" s="10"/>
      <c r="N149" s="10"/>
      <c r="O149" s="10"/>
      <c r="P149" s="10"/>
      <c r="Q149" s="11"/>
      <c r="R149" s="9"/>
      <c r="S149" s="12"/>
      <c r="T149" s="5"/>
      <c r="U149" s="5"/>
      <c r="V149" s="4"/>
      <c r="W149" s="4"/>
      <c r="X149" s="4"/>
      <c r="Y149" s="4"/>
    </row>
    <row r="150">
      <c r="A150" s="5"/>
      <c r="B150" s="9"/>
      <c r="C150" s="5"/>
      <c r="D150" s="9"/>
      <c r="E150" s="9"/>
      <c r="F150" s="9"/>
      <c r="G150" s="9"/>
      <c r="H150" s="9"/>
      <c r="I150" s="9"/>
      <c r="J150" s="5"/>
      <c r="K150" s="4"/>
      <c r="L150" s="10"/>
      <c r="M150" s="10"/>
      <c r="N150" s="10"/>
      <c r="O150" s="10"/>
      <c r="P150" s="10"/>
      <c r="Q150" s="11"/>
      <c r="R150" s="9"/>
      <c r="S150" s="12"/>
      <c r="T150" s="5"/>
      <c r="U150" s="5"/>
      <c r="V150" s="4"/>
      <c r="W150" s="4"/>
      <c r="X150" s="4"/>
      <c r="Y150" s="4"/>
    </row>
    <row r="151">
      <c r="A151" s="5"/>
      <c r="B151" s="9"/>
      <c r="C151" s="5"/>
      <c r="D151" s="9"/>
      <c r="E151" s="9"/>
      <c r="F151" s="9"/>
      <c r="G151" s="9"/>
      <c r="H151" s="9"/>
      <c r="I151" s="9"/>
      <c r="J151" s="5"/>
      <c r="K151" s="4"/>
      <c r="L151" s="10"/>
      <c r="M151" s="10"/>
      <c r="N151" s="10"/>
      <c r="O151" s="10"/>
      <c r="P151" s="10"/>
      <c r="Q151" s="11"/>
      <c r="R151" s="9"/>
      <c r="S151" s="12"/>
      <c r="T151" s="5"/>
      <c r="U151" s="5"/>
      <c r="V151" s="4"/>
      <c r="W151" s="4"/>
      <c r="X151" s="4"/>
      <c r="Y151" s="4"/>
    </row>
    <row r="152">
      <c r="A152" s="5"/>
      <c r="B152" s="9"/>
      <c r="C152" s="5"/>
      <c r="D152" s="9"/>
      <c r="E152" s="9"/>
      <c r="F152" s="9"/>
      <c r="G152" s="9"/>
      <c r="H152" s="9"/>
      <c r="I152" s="9"/>
      <c r="J152" s="5"/>
      <c r="K152" s="4"/>
      <c r="L152" s="10"/>
      <c r="M152" s="10"/>
      <c r="N152" s="10"/>
      <c r="O152" s="10"/>
      <c r="P152" s="10"/>
      <c r="Q152" s="11"/>
      <c r="R152" s="9"/>
      <c r="S152" s="12"/>
      <c r="T152" s="5"/>
      <c r="U152" s="5"/>
      <c r="V152" s="4"/>
      <c r="W152" s="4"/>
      <c r="X152" s="4"/>
      <c r="Y152" s="4"/>
    </row>
    <row r="153">
      <c r="A153" s="5"/>
      <c r="B153" s="9"/>
      <c r="C153" s="5"/>
      <c r="D153" s="9"/>
      <c r="E153" s="9"/>
      <c r="F153" s="9"/>
      <c r="G153" s="9"/>
      <c r="H153" s="9"/>
      <c r="I153" s="9"/>
      <c r="J153" s="5"/>
      <c r="K153" s="4"/>
      <c r="L153" s="10"/>
      <c r="M153" s="10"/>
      <c r="N153" s="10"/>
      <c r="O153" s="10"/>
      <c r="P153" s="10"/>
      <c r="Q153" s="11"/>
      <c r="R153" s="9"/>
      <c r="S153" s="12"/>
      <c r="T153" s="5"/>
      <c r="U153" s="5"/>
      <c r="V153" s="4"/>
      <c r="W153" s="4"/>
      <c r="X153" s="4"/>
      <c r="Y153" s="4"/>
    </row>
    <row r="154">
      <c r="A154" s="5"/>
      <c r="B154" s="9"/>
      <c r="C154" s="5"/>
      <c r="D154" s="9"/>
      <c r="E154" s="9"/>
      <c r="F154" s="9"/>
      <c r="G154" s="9"/>
      <c r="H154" s="9"/>
      <c r="I154" s="9"/>
      <c r="J154" s="5"/>
      <c r="K154" s="4"/>
      <c r="L154" s="10"/>
      <c r="M154" s="10"/>
      <c r="N154" s="10"/>
      <c r="O154" s="10"/>
      <c r="P154" s="10"/>
      <c r="Q154" s="11"/>
      <c r="R154" s="9"/>
      <c r="S154" s="12"/>
      <c r="T154" s="5"/>
      <c r="U154" s="5"/>
      <c r="V154" s="4"/>
      <c r="W154" s="4"/>
      <c r="X154" s="4"/>
      <c r="Y154" s="4"/>
    </row>
    <row r="155">
      <c r="A155" s="5"/>
      <c r="B155" s="9"/>
      <c r="C155" s="5"/>
      <c r="D155" s="9"/>
      <c r="E155" s="9"/>
      <c r="F155" s="9"/>
      <c r="G155" s="9"/>
      <c r="H155" s="9"/>
      <c r="I155" s="9"/>
      <c r="J155" s="5"/>
      <c r="K155" s="4"/>
      <c r="L155" s="10"/>
      <c r="M155" s="10"/>
      <c r="N155" s="10"/>
      <c r="O155" s="10"/>
      <c r="P155" s="10"/>
      <c r="Q155" s="11"/>
      <c r="R155" s="9"/>
      <c r="S155" s="12"/>
      <c r="T155" s="5"/>
      <c r="U155" s="5"/>
      <c r="V155" s="4"/>
      <c r="W155" s="4"/>
      <c r="X155" s="4"/>
      <c r="Y155" s="4"/>
    </row>
    <row r="156">
      <c r="A156" s="5"/>
      <c r="B156" s="9"/>
      <c r="C156" s="5"/>
      <c r="D156" s="9"/>
      <c r="E156" s="9"/>
      <c r="F156" s="9"/>
      <c r="G156" s="9"/>
      <c r="H156" s="9"/>
      <c r="I156" s="9"/>
      <c r="J156" s="5"/>
      <c r="K156" s="4"/>
      <c r="L156" s="10"/>
      <c r="M156" s="10"/>
      <c r="N156" s="10"/>
      <c r="O156" s="10"/>
      <c r="P156" s="10"/>
      <c r="Q156" s="11"/>
      <c r="R156" s="9"/>
      <c r="S156" s="12"/>
      <c r="T156" s="5"/>
      <c r="U156" s="5"/>
      <c r="V156" s="4"/>
      <c r="W156" s="4"/>
      <c r="X156" s="4"/>
      <c r="Y156" s="4"/>
    </row>
    <row r="157">
      <c r="A157" s="5"/>
      <c r="B157" s="9"/>
      <c r="C157" s="5"/>
      <c r="D157" s="9"/>
      <c r="E157" s="9"/>
      <c r="F157" s="9"/>
      <c r="G157" s="9"/>
      <c r="H157" s="9"/>
      <c r="I157" s="9"/>
      <c r="J157" s="5"/>
      <c r="K157" s="4"/>
      <c r="L157" s="10"/>
      <c r="M157" s="10"/>
      <c r="N157" s="10"/>
      <c r="O157" s="10"/>
      <c r="P157" s="10"/>
      <c r="Q157" s="11"/>
      <c r="R157" s="9"/>
      <c r="S157" s="12"/>
      <c r="T157" s="5"/>
      <c r="U157" s="5"/>
      <c r="V157" s="4"/>
      <c r="W157" s="4"/>
      <c r="X157" s="4"/>
      <c r="Y157" s="4"/>
    </row>
    <row r="158">
      <c r="A158" s="5"/>
      <c r="B158" s="9"/>
      <c r="C158" s="5"/>
      <c r="D158" s="9"/>
      <c r="E158" s="9"/>
      <c r="F158" s="9"/>
      <c r="G158" s="9"/>
      <c r="H158" s="9"/>
      <c r="I158" s="9"/>
      <c r="J158" s="5"/>
      <c r="K158" s="4"/>
      <c r="L158" s="10"/>
      <c r="M158" s="10"/>
      <c r="N158" s="10"/>
      <c r="O158" s="10"/>
      <c r="P158" s="10"/>
      <c r="Q158" s="11"/>
      <c r="R158" s="9"/>
      <c r="S158" s="12"/>
      <c r="T158" s="5"/>
      <c r="U158" s="5"/>
      <c r="V158" s="4"/>
      <c r="W158" s="4"/>
      <c r="X158" s="4"/>
      <c r="Y158" s="4"/>
    </row>
    <row r="159">
      <c r="A159" s="5"/>
      <c r="B159" s="9"/>
      <c r="C159" s="5"/>
      <c r="D159" s="9"/>
      <c r="E159" s="9"/>
      <c r="F159" s="9"/>
      <c r="G159" s="9"/>
      <c r="H159" s="9"/>
      <c r="I159" s="9"/>
      <c r="J159" s="5"/>
      <c r="K159" s="4"/>
      <c r="L159" s="10"/>
      <c r="M159" s="10"/>
      <c r="N159" s="10"/>
      <c r="O159" s="10"/>
      <c r="P159" s="10"/>
      <c r="Q159" s="11"/>
      <c r="R159" s="9"/>
      <c r="S159" s="12"/>
      <c r="T159" s="5"/>
      <c r="U159" s="5"/>
      <c r="V159" s="4"/>
      <c r="W159" s="4"/>
      <c r="X159" s="4"/>
      <c r="Y159" s="4"/>
    </row>
    <row r="160">
      <c r="A160" s="5"/>
      <c r="B160" s="9"/>
      <c r="C160" s="5"/>
      <c r="D160" s="9"/>
      <c r="E160" s="9"/>
      <c r="F160" s="9"/>
      <c r="G160" s="9"/>
      <c r="H160" s="9"/>
      <c r="I160" s="9"/>
      <c r="J160" s="5"/>
      <c r="K160" s="4"/>
      <c r="L160" s="10"/>
      <c r="M160" s="10"/>
      <c r="N160" s="10"/>
      <c r="O160" s="10"/>
      <c r="P160" s="10"/>
      <c r="Q160" s="11"/>
      <c r="R160" s="9"/>
      <c r="S160" s="12"/>
      <c r="T160" s="5"/>
      <c r="U160" s="5"/>
      <c r="V160" s="4"/>
      <c r="W160" s="4"/>
      <c r="X160" s="4"/>
      <c r="Y160" s="4"/>
    </row>
    <row r="161">
      <c r="A161" s="5"/>
      <c r="B161" s="9"/>
      <c r="C161" s="5"/>
      <c r="D161" s="9"/>
      <c r="E161" s="9"/>
      <c r="F161" s="9"/>
      <c r="G161" s="9"/>
      <c r="H161" s="9"/>
      <c r="I161" s="9"/>
      <c r="J161" s="5"/>
      <c r="K161" s="4"/>
      <c r="L161" s="10"/>
      <c r="M161" s="10"/>
      <c r="N161" s="10"/>
      <c r="O161" s="10"/>
      <c r="P161" s="10"/>
      <c r="Q161" s="11"/>
      <c r="R161" s="9"/>
      <c r="S161" s="12"/>
      <c r="T161" s="5"/>
      <c r="U161" s="5"/>
      <c r="V161" s="4"/>
      <c r="W161" s="4"/>
      <c r="X161" s="4"/>
      <c r="Y161" s="4"/>
    </row>
    <row r="162">
      <c r="A162" s="5"/>
      <c r="B162" s="9"/>
      <c r="C162" s="5"/>
      <c r="D162" s="9"/>
      <c r="E162" s="9"/>
      <c r="F162" s="9"/>
      <c r="G162" s="9"/>
      <c r="H162" s="9"/>
      <c r="I162" s="9"/>
      <c r="J162" s="5"/>
      <c r="K162" s="4"/>
      <c r="L162" s="10"/>
      <c r="M162" s="10"/>
      <c r="N162" s="10"/>
      <c r="O162" s="10"/>
      <c r="P162" s="10"/>
      <c r="Q162" s="11"/>
      <c r="R162" s="9"/>
      <c r="S162" s="12"/>
      <c r="T162" s="5"/>
      <c r="U162" s="5"/>
      <c r="V162" s="4"/>
      <c r="W162" s="4"/>
      <c r="X162" s="4"/>
      <c r="Y162" s="4"/>
    </row>
    <row r="163">
      <c r="A163" s="5"/>
      <c r="B163" s="9"/>
      <c r="C163" s="5"/>
      <c r="D163" s="9"/>
      <c r="E163" s="9"/>
      <c r="F163" s="9"/>
      <c r="G163" s="9"/>
      <c r="H163" s="9"/>
      <c r="I163" s="9"/>
      <c r="J163" s="5"/>
      <c r="K163" s="4"/>
      <c r="L163" s="10"/>
      <c r="M163" s="10"/>
      <c r="N163" s="10"/>
      <c r="O163" s="10"/>
      <c r="P163" s="10"/>
      <c r="Q163" s="11"/>
      <c r="R163" s="9"/>
      <c r="S163" s="12"/>
      <c r="T163" s="5"/>
      <c r="U163" s="5"/>
      <c r="V163" s="4"/>
      <c r="W163" s="4"/>
      <c r="X163" s="4"/>
      <c r="Y163" s="4"/>
    </row>
    <row r="164">
      <c r="A164" s="5"/>
      <c r="B164" s="9"/>
      <c r="C164" s="5"/>
      <c r="D164" s="9"/>
      <c r="E164" s="9"/>
      <c r="F164" s="9"/>
      <c r="G164" s="9"/>
      <c r="H164" s="9"/>
      <c r="I164" s="9"/>
      <c r="J164" s="5"/>
      <c r="K164" s="4"/>
      <c r="L164" s="10"/>
      <c r="M164" s="10"/>
      <c r="N164" s="10"/>
      <c r="O164" s="10"/>
      <c r="P164" s="10"/>
      <c r="Q164" s="11"/>
      <c r="R164" s="9"/>
      <c r="S164" s="12"/>
      <c r="T164" s="5"/>
      <c r="U164" s="5"/>
      <c r="V164" s="4"/>
      <c r="W164" s="4"/>
      <c r="X164" s="4"/>
      <c r="Y164" s="4"/>
    </row>
    <row r="165">
      <c r="A165" s="5"/>
      <c r="B165" s="9"/>
      <c r="C165" s="5"/>
      <c r="D165" s="9"/>
      <c r="E165" s="9"/>
      <c r="F165" s="9"/>
      <c r="G165" s="9"/>
      <c r="H165" s="9"/>
      <c r="I165" s="9"/>
      <c r="J165" s="5"/>
      <c r="K165" s="4"/>
      <c r="L165" s="10"/>
      <c r="M165" s="10"/>
      <c r="N165" s="10"/>
      <c r="O165" s="10"/>
      <c r="P165" s="10"/>
      <c r="Q165" s="11"/>
      <c r="R165" s="9"/>
      <c r="S165" s="12"/>
      <c r="T165" s="5"/>
      <c r="U165" s="5"/>
      <c r="V165" s="4"/>
      <c r="W165" s="4"/>
      <c r="X165" s="4"/>
      <c r="Y165" s="4"/>
    </row>
    <row r="166">
      <c r="A166" s="5"/>
      <c r="B166" s="9"/>
      <c r="C166" s="5"/>
      <c r="D166" s="9"/>
      <c r="E166" s="9"/>
      <c r="F166" s="9"/>
      <c r="G166" s="9"/>
      <c r="H166" s="9"/>
      <c r="I166" s="9"/>
      <c r="J166" s="5"/>
      <c r="K166" s="4"/>
      <c r="L166" s="10"/>
      <c r="M166" s="10"/>
      <c r="N166" s="10"/>
      <c r="O166" s="10"/>
      <c r="P166" s="10"/>
      <c r="Q166" s="11"/>
      <c r="R166" s="9"/>
      <c r="S166" s="12"/>
      <c r="T166" s="5"/>
      <c r="U166" s="5"/>
      <c r="V166" s="4"/>
      <c r="W166" s="4"/>
      <c r="X166" s="4"/>
      <c r="Y166" s="4"/>
    </row>
    <row r="167">
      <c r="A167" s="5"/>
      <c r="B167" s="9"/>
      <c r="C167" s="5"/>
      <c r="D167" s="9"/>
      <c r="E167" s="9"/>
      <c r="F167" s="9"/>
      <c r="G167" s="9"/>
      <c r="H167" s="9"/>
      <c r="I167" s="9"/>
      <c r="J167" s="5"/>
      <c r="K167" s="4"/>
      <c r="L167" s="10"/>
      <c r="M167" s="10"/>
      <c r="N167" s="10"/>
      <c r="O167" s="10"/>
      <c r="P167" s="10"/>
      <c r="Q167" s="11"/>
      <c r="R167" s="9"/>
      <c r="S167" s="12"/>
      <c r="T167" s="5"/>
      <c r="U167" s="5"/>
      <c r="V167" s="4"/>
      <c r="W167" s="4"/>
      <c r="X167" s="4"/>
      <c r="Y167" s="4"/>
    </row>
    <row r="168">
      <c r="A168" s="5"/>
      <c r="B168" s="9"/>
      <c r="C168" s="5"/>
      <c r="D168" s="9"/>
      <c r="E168" s="9"/>
      <c r="F168" s="9"/>
      <c r="G168" s="9"/>
      <c r="H168" s="9"/>
      <c r="I168" s="9"/>
      <c r="J168" s="5"/>
      <c r="K168" s="4"/>
      <c r="L168" s="10"/>
      <c r="M168" s="10"/>
      <c r="N168" s="10"/>
      <c r="O168" s="10"/>
      <c r="P168" s="10"/>
      <c r="Q168" s="11"/>
      <c r="R168" s="9"/>
      <c r="S168" s="12"/>
      <c r="T168" s="5"/>
      <c r="U168" s="5"/>
      <c r="V168" s="4"/>
      <c r="W168" s="4"/>
      <c r="X168" s="4"/>
      <c r="Y168" s="4"/>
    </row>
    <row r="169">
      <c r="A169" s="5"/>
      <c r="B169" s="9"/>
      <c r="C169" s="5"/>
      <c r="D169" s="9"/>
      <c r="E169" s="9"/>
      <c r="F169" s="9"/>
      <c r="G169" s="9"/>
      <c r="H169" s="9"/>
      <c r="I169" s="9"/>
      <c r="J169" s="5"/>
      <c r="K169" s="4"/>
      <c r="L169" s="10"/>
      <c r="M169" s="10"/>
      <c r="N169" s="10"/>
      <c r="O169" s="10"/>
      <c r="P169" s="10"/>
      <c r="Q169" s="11"/>
      <c r="R169" s="9"/>
      <c r="S169" s="12"/>
      <c r="T169" s="5"/>
      <c r="U169" s="5"/>
      <c r="V169" s="4"/>
      <c r="W169" s="4"/>
      <c r="X169" s="4"/>
      <c r="Y169" s="4"/>
    </row>
    <row r="170">
      <c r="A170" s="5"/>
      <c r="B170" s="9"/>
      <c r="C170" s="5"/>
      <c r="D170" s="9"/>
      <c r="E170" s="9"/>
      <c r="F170" s="9"/>
      <c r="G170" s="9"/>
      <c r="H170" s="9"/>
      <c r="I170" s="9"/>
      <c r="J170" s="5"/>
      <c r="K170" s="4"/>
      <c r="L170" s="10"/>
      <c r="M170" s="10"/>
      <c r="N170" s="10"/>
      <c r="O170" s="10"/>
      <c r="P170" s="10"/>
      <c r="Q170" s="11"/>
      <c r="R170" s="9"/>
      <c r="S170" s="12"/>
      <c r="T170" s="5"/>
      <c r="U170" s="5"/>
      <c r="V170" s="4"/>
      <c r="W170" s="4"/>
      <c r="X170" s="4"/>
      <c r="Y170" s="4"/>
    </row>
    <row r="171">
      <c r="A171" s="5"/>
      <c r="B171" s="9"/>
      <c r="C171" s="5"/>
      <c r="D171" s="9"/>
      <c r="E171" s="9"/>
      <c r="F171" s="9"/>
      <c r="G171" s="9"/>
      <c r="H171" s="9"/>
      <c r="I171" s="9"/>
      <c r="J171" s="5"/>
      <c r="K171" s="4"/>
      <c r="L171" s="10"/>
      <c r="M171" s="10"/>
      <c r="N171" s="10"/>
      <c r="O171" s="10"/>
      <c r="P171" s="10"/>
      <c r="Q171" s="11"/>
      <c r="R171" s="9"/>
      <c r="S171" s="12"/>
      <c r="T171" s="5"/>
      <c r="U171" s="5"/>
      <c r="V171" s="4"/>
      <c r="W171" s="4"/>
      <c r="X171" s="4"/>
      <c r="Y171" s="4"/>
    </row>
    <row r="172">
      <c r="A172" s="5"/>
      <c r="B172" s="9"/>
      <c r="C172" s="5"/>
      <c r="D172" s="9"/>
      <c r="E172" s="9"/>
      <c r="F172" s="9"/>
      <c r="G172" s="9"/>
      <c r="H172" s="9"/>
      <c r="I172" s="9"/>
      <c r="J172" s="5"/>
      <c r="K172" s="4"/>
      <c r="L172" s="10"/>
      <c r="M172" s="10"/>
      <c r="N172" s="10"/>
      <c r="O172" s="10"/>
      <c r="P172" s="10"/>
      <c r="Q172" s="11"/>
      <c r="R172" s="9"/>
      <c r="S172" s="12"/>
      <c r="T172" s="5"/>
      <c r="U172" s="5"/>
      <c r="V172" s="4"/>
      <c r="W172" s="4"/>
      <c r="X172" s="4"/>
      <c r="Y172" s="4"/>
    </row>
    <row r="173">
      <c r="A173" s="5"/>
      <c r="B173" s="9"/>
      <c r="C173" s="5"/>
      <c r="D173" s="9"/>
      <c r="E173" s="9"/>
      <c r="F173" s="9"/>
      <c r="G173" s="9"/>
      <c r="H173" s="9"/>
      <c r="I173" s="9"/>
      <c r="J173" s="5"/>
      <c r="K173" s="4"/>
      <c r="L173" s="10"/>
      <c r="M173" s="10"/>
      <c r="N173" s="10"/>
      <c r="O173" s="10"/>
      <c r="P173" s="10"/>
      <c r="Q173" s="11"/>
      <c r="R173" s="9"/>
      <c r="S173" s="12"/>
      <c r="T173" s="5"/>
      <c r="U173" s="5"/>
      <c r="V173" s="4"/>
      <c r="W173" s="4"/>
      <c r="X173" s="4"/>
      <c r="Y173" s="4"/>
    </row>
    <row r="174">
      <c r="A174" s="5"/>
      <c r="B174" s="9"/>
      <c r="C174" s="5"/>
      <c r="D174" s="9"/>
      <c r="E174" s="9"/>
      <c r="F174" s="9"/>
      <c r="G174" s="9"/>
      <c r="H174" s="9"/>
      <c r="I174" s="9"/>
      <c r="J174" s="5"/>
      <c r="K174" s="4"/>
      <c r="L174" s="10"/>
      <c r="M174" s="10"/>
      <c r="N174" s="10"/>
      <c r="O174" s="10"/>
      <c r="P174" s="10"/>
      <c r="Q174" s="11"/>
      <c r="R174" s="9"/>
      <c r="S174" s="12"/>
      <c r="T174" s="5"/>
      <c r="U174" s="5"/>
      <c r="V174" s="4"/>
      <c r="W174" s="4"/>
      <c r="X174" s="4"/>
      <c r="Y174" s="4"/>
    </row>
    <row r="175">
      <c r="A175" s="5"/>
      <c r="B175" s="9"/>
      <c r="C175" s="5"/>
      <c r="D175" s="9"/>
      <c r="E175" s="9"/>
      <c r="F175" s="9"/>
      <c r="G175" s="9"/>
      <c r="H175" s="9"/>
      <c r="I175" s="9"/>
      <c r="J175" s="5"/>
      <c r="K175" s="4"/>
      <c r="L175" s="10"/>
      <c r="M175" s="10"/>
      <c r="N175" s="10"/>
      <c r="O175" s="10"/>
      <c r="P175" s="10"/>
      <c r="Q175" s="11"/>
      <c r="R175" s="9"/>
      <c r="S175" s="12"/>
      <c r="T175" s="5"/>
      <c r="U175" s="5"/>
      <c r="V175" s="4"/>
      <c r="W175" s="4"/>
      <c r="X175" s="4"/>
      <c r="Y175" s="4"/>
    </row>
    <row r="176">
      <c r="A176" s="5"/>
      <c r="B176" s="9"/>
      <c r="C176" s="5"/>
      <c r="D176" s="9"/>
      <c r="E176" s="9"/>
      <c r="F176" s="9"/>
      <c r="G176" s="9"/>
      <c r="H176" s="9"/>
      <c r="I176" s="9"/>
      <c r="J176" s="5"/>
      <c r="K176" s="4"/>
      <c r="L176" s="10"/>
      <c r="M176" s="10"/>
      <c r="N176" s="10"/>
      <c r="O176" s="10"/>
      <c r="P176" s="10"/>
      <c r="Q176" s="11"/>
      <c r="R176" s="9"/>
      <c r="S176" s="12"/>
      <c r="T176" s="5"/>
      <c r="U176" s="5"/>
      <c r="V176" s="4"/>
      <c r="W176" s="4"/>
      <c r="X176" s="4"/>
      <c r="Y176" s="4"/>
    </row>
    <row r="177">
      <c r="A177" s="5"/>
      <c r="B177" s="9"/>
      <c r="C177" s="5"/>
      <c r="D177" s="9"/>
      <c r="E177" s="9"/>
      <c r="F177" s="9"/>
      <c r="G177" s="9"/>
      <c r="H177" s="9"/>
      <c r="I177" s="9"/>
      <c r="J177" s="5"/>
      <c r="K177" s="4"/>
      <c r="L177" s="10"/>
      <c r="M177" s="10"/>
      <c r="N177" s="10"/>
      <c r="O177" s="10"/>
      <c r="P177" s="10"/>
      <c r="Q177" s="11"/>
      <c r="R177" s="9"/>
      <c r="S177" s="12"/>
      <c r="T177" s="5"/>
      <c r="U177" s="5"/>
      <c r="V177" s="4"/>
      <c r="W177" s="4"/>
      <c r="X177" s="4"/>
      <c r="Y177" s="4"/>
    </row>
    <row r="178">
      <c r="A178" s="5"/>
      <c r="B178" s="9"/>
      <c r="C178" s="5"/>
      <c r="D178" s="9"/>
      <c r="E178" s="9"/>
      <c r="F178" s="9"/>
      <c r="G178" s="9"/>
      <c r="H178" s="9"/>
      <c r="I178" s="9"/>
      <c r="J178" s="5"/>
      <c r="K178" s="4"/>
      <c r="L178" s="10"/>
      <c r="M178" s="10"/>
      <c r="N178" s="10"/>
      <c r="O178" s="10"/>
      <c r="P178" s="10"/>
      <c r="Q178" s="11"/>
      <c r="R178" s="9"/>
      <c r="S178" s="12"/>
      <c r="T178" s="5"/>
      <c r="U178" s="5"/>
      <c r="V178" s="4"/>
      <c r="W178" s="4"/>
      <c r="X178" s="4"/>
      <c r="Y178" s="4"/>
    </row>
    <row r="179">
      <c r="A179" s="5"/>
      <c r="B179" s="9"/>
      <c r="C179" s="5"/>
      <c r="D179" s="9"/>
      <c r="E179" s="9"/>
      <c r="F179" s="9"/>
      <c r="G179" s="9"/>
      <c r="H179" s="9"/>
      <c r="I179" s="9"/>
      <c r="J179" s="5"/>
      <c r="K179" s="4"/>
      <c r="L179" s="10"/>
      <c r="M179" s="10"/>
      <c r="N179" s="10"/>
      <c r="O179" s="10"/>
      <c r="P179" s="10"/>
      <c r="Q179" s="11"/>
      <c r="R179" s="9"/>
      <c r="S179" s="12"/>
      <c r="T179" s="5"/>
      <c r="U179" s="5"/>
      <c r="V179" s="4"/>
      <c r="W179" s="4"/>
      <c r="X179" s="4"/>
      <c r="Y179" s="4"/>
    </row>
    <row r="180">
      <c r="A180" s="5"/>
      <c r="B180" s="9"/>
      <c r="C180" s="5"/>
      <c r="D180" s="9"/>
      <c r="E180" s="9"/>
      <c r="F180" s="9"/>
      <c r="G180" s="9"/>
      <c r="H180" s="9"/>
      <c r="I180" s="9"/>
      <c r="J180" s="5"/>
      <c r="K180" s="4"/>
      <c r="L180" s="10"/>
      <c r="M180" s="10"/>
      <c r="N180" s="10"/>
      <c r="O180" s="10"/>
      <c r="P180" s="10"/>
      <c r="Q180" s="11"/>
      <c r="R180" s="9"/>
      <c r="S180" s="12"/>
      <c r="T180" s="5"/>
      <c r="U180" s="5"/>
      <c r="V180" s="4"/>
      <c r="W180" s="4"/>
      <c r="X180" s="4"/>
      <c r="Y180" s="4"/>
    </row>
    <row r="181">
      <c r="A181" s="5"/>
      <c r="B181" s="9"/>
      <c r="C181" s="5"/>
      <c r="D181" s="9"/>
      <c r="E181" s="9"/>
      <c r="F181" s="9"/>
      <c r="G181" s="9"/>
      <c r="H181" s="9"/>
      <c r="I181" s="9"/>
      <c r="J181" s="5"/>
      <c r="K181" s="4"/>
      <c r="L181" s="10"/>
      <c r="M181" s="10"/>
      <c r="N181" s="10"/>
      <c r="O181" s="10"/>
      <c r="P181" s="10"/>
      <c r="Q181" s="11"/>
      <c r="R181" s="9"/>
      <c r="S181" s="12"/>
      <c r="T181" s="5"/>
      <c r="U181" s="5"/>
      <c r="V181" s="4"/>
      <c r="W181" s="4"/>
      <c r="X181" s="4"/>
      <c r="Y181" s="4"/>
    </row>
    <row r="182">
      <c r="A182" s="5"/>
      <c r="B182" s="9"/>
      <c r="C182" s="5"/>
      <c r="D182" s="9"/>
      <c r="E182" s="9"/>
      <c r="F182" s="9"/>
      <c r="G182" s="9"/>
      <c r="H182" s="9"/>
      <c r="I182" s="9"/>
      <c r="J182" s="5"/>
      <c r="K182" s="4"/>
      <c r="L182" s="10"/>
      <c r="M182" s="10"/>
      <c r="N182" s="10"/>
      <c r="O182" s="10"/>
      <c r="P182" s="10"/>
      <c r="Q182" s="11"/>
      <c r="R182" s="9"/>
      <c r="S182" s="12"/>
      <c r="T182" s="5"/>
      <c r="U182" s="5"/>
      <c r="V182" s="4"/>
      <c r="W182" s="4"/>
      <c r="X182" s="4"/>
      <c r="Y182" s="4"/>
    </row>
    <row r="183">
      <c r="A183" s="5"/>
      <c r="B183" s="9"/>
      <c r="C183" s="5"/>
      <c r="D183" s="9"/>
      <c r="E183" s="9"/>
      <c r="F183" s="9"/>
      <c r="G183" s="9"/>
      <c r="H183" s="9"/>
      <c r="I183" s="9"/>
      <c r="J183" s="5"/>
      <c r="K183" s="4"/>
      <c r="L183" s="10"/>
      <c r="M183" s="10"/>
      <c r="N183" s="10"/>
      <c r="O183" s="10"/>
      <c r="P183" s="10"/>
      <c r="Q183" s="11"/>
      <c r="R183" s="9"/>
      <c r="S183" s="12"/>
      <c r="T183" s="5"/>
      <c r="U183" s="5"/>
      <c r="V183" s="4"/>
      <c r="W183" s="4"/>
      <c r="X183" s="4"/>
      <c r="Y183" s="4"/>
    </row>
    <row r="184">
      <c r="A184" s="5"/>
      <c r="B184" s="9"/>
      <c r="C184" s="5"/>
      <c r="D184" s="9"/>
      <c r="E184" s="9"/>
      <c r="F184" s="9"/>
      <c r="G184" s="9"/>
      <c r="H184" s="9"/>
      <c r="I184" s="9"/>
      <c r="J184" s="5"/>
      <c r="K184" s="4"/>
      <c r="L184" s="10"/>
      <c r="M184" s="10"/>
      <c r="N184" s="10"/>
      <c r="O184" s="10"/>
      <c r="P184" s="10"/>
      <c r="Q184" s="11"/>
      <c r="R184" s="9"/>
      <c r="S184" s="12"/>
      <c r="T184" s="5"/>
      <c r="U184" s="5"/>
      <c r="V184" s="4"/>
      <c r="W184" s="4"/>
      <c r="X184" s="4"/>
      <c r="Y184" s="4"/>
    </row>
    <row r="185">
      <c r="A185" s="5"/>
      <c r="B185" s="9"/>
      <c r="C185" s="5"/>
      <c r="D185" s="9"/>
      <c r="E185" s="9"/>
      <c r="F185" s="9"/>
      <c r="G185" s="9"/>
      <c r="H185" s="9"/>
      <c r="I185" s="9"/>
      <c r="J185" s="5"/>
      <c r="K185" s="4"/>
      <c r="L185" s="10"/>
      <c r="M185" s="10"/>
      <c r="N185" s="10"/>
      <c r="O185" s="10"/>
      <c r="P185" s="10"/>
      <c r="Q185" s="11"/>
      <c r="R185" s="9"/>
      <c r="S185" s="12"/>
      <c r="T185" s="5"/>
      <c r="U185" s="5"/>
      <c r="V185" s="4"/>
      <c r="W185" s="4"/>
      <c r="X185" s="4"/>
      <c r="Y185" s="4"/>
    </row>
    <row r="186">
      <c r="A186" s="5"/>
      <c r="B186" s="9"/>
      <c r="C186" s="5"/>
      <c r="D186" s="9"/>
      <c r="E186" s="9"/>
      <c r="F186" s="9"/>
      <c r="G186" s="9"/>
      <c r="H186" s="9"/>
      <c r="I186" s="9"/>
      <c r="J186" s="5"/>
      <c r="K186" s="4"/>
      <c r="L186" s="10"/>
      <c r="M186" s="10"/>
      <c r="N186" s="10"/>
      <c r="O186" s="10"/>
      <c r="P186" s="10"/>
      <c r="Q186" s="11"/>
      <c r="R186" s="9"/>
      <c r="S186" s="12"/>
      <c r="T186" s="5"/>
      <c r="U186" s="5"/>
      <c r="V186" s="4"/>
      <c r="W186" s="4"/>
      <c r="X186" s="4"/>
      <c r="Y186" s="4"/>
    </row>
    <row r="187">
      <c r="A187" s="5"/>
      <c r="B187" s="9"/>
      <c r="C187" s="5"/>
      <c r="D187" s="9"/>
      <c r="E187" s="9"/>
      <c r="F187" s="9"/>
      <c r="G187" s="9"/>
      <c r="H187" s="9"/>
      <c r="I187" s="9"/>
      <c r="J187" s="5"/>
      <c r="K187" s="4"/>
      <c r="L187" s="10"/>
      <c r="M187" s="10"/>
      <c r="N187" s="10"/>
      <c r="O187" s="10"/>
      <c r="P187" s="10"/>
      <c r="Q187" s="11"/>
      <c r="R187" s="9"/>
      <c r="S187" s="12"/>
      <c r="T187" s="5"/>
      <c r="U187" s="5"/>
      <c r="V187" s="4"/>
      <c r="W187" s="4"/>
      <c r="X187" s="4"/>
      <c r="Y187" s="4"/>
    </row>
    <row r="188">
      <c r="A188" s="5"/>
      <c r="B188" s="9"/>
      <c r="C188" s="5"/>
      <c r="D188" s="9"/>
      <c r="E188" s="9"/>
      <c r="F188" s="9"/>
      <c r="G188" s="9"/>
      <c r="H188" s="9"/>
      <c r="I188" s="9"/>
      <c r="J188" s="5"/>
      <c r="K188" s="4"/>
      <c r="L188" s="10"/>
      <c r="M188" s="10"/>
      <c r="N188" s="10"/>
      <c r="O188" s="10"/>
      <c r="P188" s="10"/>
      <c r="Q188" s="11"/>
      <c r="R188" s="9"/>
      <c r="S188" s="12"/>
      <c r="T188" s="5"/>
      <c r="U188" s="5"/>
      <c r="V188" s="4"/>
      <c r="W188" s="4"/>
      <c r="X188" s="4"/>
      <c r="Y188" s="4"/>
    </row>
    <row r="189">
      <c r="A189" s="5"/>
      <c r="B189" s="9"/>
      <c r="C189" s="5"/>
      <c r="D189" s="9"/>
      <c r="E189" s="9"/>
      <c r="F189" s="9"/>
      <c r="G189" s="9"/>
      <c r="H189" s="9"/>
      <c r="I189" s="9"/>
      <c r="J189" s="5"/>
      <c r="K189" s="4"/>
      <c r="L189" s="10"/>
      <c r="M189" s="10"/>
      <c r="N189" s="10"/>
      <c r="O189" s="10"/>
      <c r="P189" s="10"/>
      <c r="Q189" s="11"/>
      <c r="R189" s="9"/>
      <c r="S189" s="12"/>
      <c r="T189" s="5"/>
      <c r="U189" s="5"/>
      <c r="V189" s="4"/>
      <c r="W189" s="4"/>
      <c r="X189" s="4"/>
      <c r="Y189" s="4"/>
    </row>
    <row r="190">
      <c r="A190" s="5"/>
      <c r="B190" s="9"/>
      <c r="C190" s="5"/>
      <c r="D190" s="9"/>
      <c r="E190" s="9"/>
      <c r="F190" s="9"/>
      <c r="G190" s="9"/>
      <c r="H190" s="9"/>
      <c r="I190" s="9"/>
      <c r="J190" s="5"/>
      <c r="K190" s="4"/>
      <c r="L190" s="10"/>
      <c r="M190" s="10"/>
      <c r="N190" s="10"/>
      <c r="O190" s="10"/>
      <c r="P190" s="10"/>
      <c r="Q190" s="11"/>
      <c r="R190" s="9"/>
      <c r="S190" s="12"/>
      <c r="T190" s="5"/>
      <c r="U190" s="5"/>
      <c r="V190" s="4"/>
      <c r="W190" s="4"/>
      <c r="X190" s="4"/>
      <c r="Y190" s="4"/>
    </row>
    <row r="191">
      <c r="A191" s="5"/>
      <c r="B191" s="9"/>
      <c r="C191" s="5"/>
      <c r="D191" s="9"/>
      <c r="E191" s="9"/>
      <c r="F191" s="9"/>
      <c r="G191" s="9"/>
      <c r="H191" s="9"/>
      <c r="I191" s="9"/>
      <c r="J191" s="5"/>
      <c r="K191" s="4"/>
      <c r="L191" s="10"/>
      <c r="M191" s="10"/>
      <c r="N191" s="10"/>
      <c r="O191" s="10"/>
      <c r="P191" s="10"/>
      <c r="Q191" s="11"/>
      <c r="R191" s="9"/>
      <c r="S191" s="12"/>
      <c r="T191" s="5"/>
      <c r="U191" s="5"/>
      <c r="V191" s="4"/>
      <c r="W191" s="4"/>
      <c r="X191" s="4"/>
      <c r="Y191" s="4"/>
    </row>
    <row r="192">
      <c r="A192" s="5"/>
      <c r="B192" s="9"/>
      <c r="C192" s="5"/>
      <c r="D192" s="9"/>
      <c r="E192" s="9"/>
      <c r="F192" s="9"/>
      <c r="G192" s="9"/>
      <c r="H192" s="9"/>
      <c r="I192" s="9"/>
      <c r="J192" s="5"/>
      <c r="K192" s="4"/>
      <c r="L192" s="10"/>
      <c r="M192" s="10"/>
      <c r="N192" s="10"/>
      <c r="O192" s="10"/>
      <c r="P192" s="10"/>
      <c r="Q192" s="11"/>
      <c r="R192" s="9"/>
      <c r="S192" s="12"/>
      <c r="T192" s="5"/>
      <c r="U192" s="5"/>
      <c r="V192" s="4"/>
      <c r="W192" s="4"/>
      <c r="X192" s="4"/>
      <c r="Y192" s="4"/>
    </row>
    <row r="193">
      <c r="A193" s="5"/>
      <c r="B193" s="9"/>
      <c r="C193" s="5"/>
      <c r="D193" s="9"/>
      <c r="E193" s="9"/>
      <c r="F193" s="9"/>
      <c r="G193" s="9"/>
      <c r="H193" s="9"/>
      <c r="I193" s="9"/>
      <c r="J193" s="5"/>
      <c r="K193" s="4"/>
      <c r="L193" s="10"/>
      <c r="M193" s="10"/>
      <c r="N193" s="10"/>
      <c r="O193" s="10"/>
      <c r="P193" s="10"/>
      <c r="Q193" s="11"/>
      <c r="R193" s="9"/>
      <c r="S193" s="12"/>
      <c r="T193" s="5"/>
      <c r="U193" s="5"/>
      <c r="V193" s="4"/>
      <c r="W193" s="4"/>
      <c r="X193" s="4"/>
      <c r="Y193" s="4"/>
    </row>
    <row r="194">
      <c r="A194" s="5"/>
      <c r="B194" s="9"/>
      <c r="C194" s="5"/>
      <c r="D194" s="9"/>
      <c r="E194" s="9"/>
      <c r="F194" s="9"/>
      <c r="G194" s="9"/>
      <c r="H194" s="9"/>
      <c r="I194" s="9"/>
      <c r="J194" s="5"/>
      <c r="K194" s="4"/>
      <c r="L194" s="10"/>
      <c r="M194" s="10"/>
      <c r="N194" s="10"/>
      <c r="O194" s="10"/>
      <c r="P194" s="10"/>
      <c r="Q194" s="11"/>
      <c r="R194" s="9"/>
      <c r="S194" s="12"/>
      <c r="T194" s="5"/>
      <c r="U194" s="5"/>
      <c r="V194" s="4"/>
      <c r="W194" s="4"/>
      <c r="X194" s="4"/>
      <c r="Y194" s="4"/>
    </row>
    <row r="195">
      <c r="A195" s="5"/>
      <c r="B195" s="9"/>
      <c r="C195" s="5"/>
      <c r="D195" s="9"/>
      <c r="E195" s="9"/>
      <c r="F195" s="9"/>
      <c r="G195" s="9"/>
      <c r="H195" s="9"/>
      <c r="I195" s="9"/>
      <c r="J195" s="5"/>
      <c r="K195" s="4"/>
      <c r="L195" s="10"/>
      <c r="M195" s="10"/>
      <c r="N195" s="10"/>
      <c r="O195" s="10"/>
      <c r="P195" s="10"/>
      <c r="Q195" s="11"/>
      <c r="R195" s="9"/>
      <c r="S195" s="12"/>
      <c r="T195" s="5"/>
      <c r="U195" s="5"/>
      <c r="V195" s="4"/>
      <c r="W195" s="4"/>
      <c r="X195" s="4"/>
      <c r="Y195" s="4"/>
    </row>
    <row r="196">
      <c r="A196" s="5"/>
      <c r="B196" s="9"/>
      <c r="C196" s="5"/>
      <c r="D196" s="9"/>
      <c r="E196" s="9"/>
      <c r="F196" s="9"/>
      <c r="G196" s="9"/>
      <c r="H196" s="9"/>
      <c r="I196" s="9"/>
      <c r="J196" s="5"/>
      <c r="K196" s="4"/>
      <c r="L196" s="10"/>
      <c r="M196" s="10"/>
      <c r="N196" s="10"/>
      <c r="O196" s="10"/>
      <c r="P196" s="10"/>
      <c r="Q196" s="11"/>
      <c r="R196" s="9"/>
      <c r="S196" s="12"/>
      <c r="T196" s="5"/>
      <c r="U196" s="5"/>
      <c r="V196" s="4"/>
      <c r="W196" s="4"/>
      <c r="X196" s="4"/>
      <c r="Y196" s="4"/>
    </row>
    <row r="197">
      <c r="A197" s="5"/>
      <c r="B197" s="9"/>
      <c r="C197" s="5"/>
      <c r="D197" s="9"/>
      <c r="E197" s="9"/>
      <c r="F197" s="9"/>
      <c r="G197" s="9"/>
      <c r="H197" s="9"/>
      <c r="I197" s="9"/>
      <c r="J197" s="5"/>
      <c r="K197" s="4"/>
      <c r="L197" s="10"/>
      <c r="M197" s="10"/>
      <c r="N197" s="10"/>
      <c r="O197" s="10"/>
      <c r="P197" s="10"/>
      <c r="Q197" s="11"/>
      <c r="R197" s="9"/>
      <c r="S197" s="12"/>
      <c r="T197" s="5"/>
      <c r="U197" s="5"/>
      <c r="V197" s="4"/>
      <c r="W197" s="4"/>
      <c r="X197" s="4"/>
      <c r="Y197" s="4"/>
    </row>
    <row r="198">
      <c r="A198" s="5"/>
      <c r="B198" s="9"/>
      <c r="C198" s="5"/>
      <c r="D198" s="9"/>
      <c r="E198" s="9"/>
      <c r="F198" s="9"/>
      <c r="G198" s="9"/>
      <c r="H198" s="9"/>
      <c r="I198" s="9"/>
      <c r="J198" s="5"/>
      <c r="K198" s="4"/>
      <c r="L198" s="10"/>
      <c r="M198" s="10"/>
      <c r="N198" s="10"/>
      <c r="O198" s="10"/>
      <c r="P198" s="10"/>
      <c r="Q198" s="11"/>
      <c r="R198" s="9"/>
      <c r="S198" s="12"/>
      <c r="T198" s="5"/>
      <c r="U198" s="5"/>
      <c r="V198" s="4"/>
      <c r="W198" s="4"/>
      <c r="X198" s="4"/>
      <c r="Y198" s="4"/>
    </row>
    <row r="199">
      <c r="A199" s="5"/>
      <c r="B199" s="9"/>
      <c r="C199" s="5"/>
      <c r="D199" s="9"/>
      <c r="E199" s="9"/>
      <c r="F199" s="9"/>
      <c r="G199" s="9"/>
      <c r="H199" s="9"/>
      <c r="I199" s="9"/>
      <c r="J199" s="5"/>
      <c r="K199" s="4"/>
      <c r="L199" s="10"/>
      <c r="M199" s="10"/>
      <c r="N199" s="10"/>
      <c r="O199" s="10"/>
      <c r="P199" s="10"/>
      <c r="Q199" s="11"/>
      <c r="R199" s="9"/>
      <c r="S199" s="12"/>
      <c r="T199" s="5"/>
      <c r="U199" s="5"/>
      <c r="V199" s="4"/>
      <c r="W199" s="4"/>
      <c r="X199" s="4"/>
      <c r="Y199" s="4"/>
    </row>
    <row r="200">
      <c r="A200" s="5"/>
      <c r="B200" s="9"/>
      <c r="C200" s="5"/>
      <c r="D200" s="9"/>
      <c r="E200" s="9"/>
      <c r="F200" s="9"/>
      <c r="G200" s="9"/>
      <c r="H200" s="9"/>
      <c r="I200" s="9"/>
      <c r="J200" s="5"/>
      <c r="K200" s="4"/>
      <c r="L200" s="10"/>
      <c r="M200" s="10"/>
      <c r="N200" s="10"/>
      <c r="O200" s="10"/>
      <c r="P200" s="10"/>
      <c r="Q200" s="11"/>
      <c r="R200" s="9"/>
      <c r="S200" s="12"/>
      <c r="T200" s="5"/>
      <c r="U200" s="5"/>
      <c r="V200" s="4"/>
      <c r="W200" s="4"/>
      <c r="X200" s="4"/>
      <c r="Y200" s="4"/>
    </row>
    <row r="201">
      <c r="A201" s="5"/>
      <c r="B201" s="9"/>
      <c r="C201" s="5"/>
      <c r="D201" s="9"/>
      <c r="E201" s="9"/>
      <c r="F201" s="9"/>
      <c r="G201" s="9"/>
      <c r="H201" s="9"/>
      <c r="I201" s="9"/>
      <c r="J201" s="5"/>
      <c r="K201" s="4"/>
      <c r="L201" s="10"/>
      <c r="M201" s="10"/>
      <c r="N201" s="10"/>
      <c r="O201" s="10"/>
      <c r="P201" s="10"/>
      <c r="Q201" s="11"/>
      <c r="R201" s="9"/>
      <c r="S201" s="12"/>
      <c r="T201" s="5"/>
      <c r="U201" s="5"/>
      <c r="V201" s="4"/>
      <c r="W201" s="4"/>
      <c r="X201" s="4"/>
      <c r="Y201" s="4"/>
    </row>
    <row r="202">
      <c r="A202" s="5"/>
      <c r="B202" s="9"/>
      <c r="C202" s="5"/>
      <c r="D202" s="9"/>
      <c r="E202" s="9"/>
      <c r="F202" s="9"/>
      <c r="G202" s="9"/>
      <c r="H202" s="9"/>
      <c r="I202" s="9"/>
      <c r="J202" s="5"/>
      <c r="K202" s="4"/>
      <c r="L202" s="10"/>
      <c r="M202" s="10"/>
      <c r="N202" s="10"/>
      <c r="O202" s="10"/>
      <c r="P202" s="10"/>
      <c r="Q202" s="11"/>
      <c r="R202" s="9"/>
      <c r="S202" s="12"/>
      <c r="T202" s="5"/>
      <c r="U202" s="5"/>
      <c r="V202" s="4"/>
      <c r="W202" s="4"/>
      <c r="X202" s="4"/>
      <c r="Y202" s="4"/>
    </row>
    <row r="203">
      <c r="A203" s="5"/>
      <c r="B203" s="9"/>
      <c r="C203" s="5"/>
      <c r="D203" s="9"/>
      <c r="E203" s="9"/>
      <c r="F203" s="9"/>
      <c r="G203" s="9"/>
      <c r="H203" s="9"/>
      <c r="I203" s="9"/>
      <c r="J203" s="5"/>
      <c r="K203" s="4"/>
      <c r="L203" s="10"/>
      <c r="M203" s="10"/>
      <c r="N203" s="10"/>
      <c r="O203" s="10"/>
      <c r="P203" s="10"/>
      <c r="Q203" s="11"/>
      <c r="R203" s="9"/>
      <c r="S203" s="12"/>
      <c r="T203" s="5"/>
      <c r="U203" s="5"/>
      <c r="V203" s="4"/>
      <c r="W203" s="4"/>
      <c r="X203" s="4"/>
      <c r="Y203" s="4"/>
    </row>
    <row r="204">
      <c r="A204" s="5"/>
      <c r="B204" s="9"/>
      <c r="C204" s="5"/>
      <c r="D204" s="9"/>
      <c r="E204" s="9"/>
      <c r="F204" s="9"/>
      <c r="G204" s="9"/>
      <c r="H204" s="9"/>
      <c r="I204" s="9"/>
      <c r="J204" s="5"/>
      <c r="K204" s="4"/>
      <c r="L204" s="10"/>
      <c r="M204" s="10"/>
      <c r="N204" s="10"/>
      <c r="O204" s="10"/>
      <c r="P204" s="10"/>
      <c r="Q204" s="11"/>
      <c r="R204" s="9"/>
      <c r="S204" s="12"/>
      <c r="T204" s="5"/>
      <c r="U204" s="5"/>
      <c r="V204" s="4"/>
      <c r="W204" s="4"/>
      <c r="X204" s="4"/>
      <c r="Y204" s="4"/>
    </row>
    <row r="205">
      <c r="A205" s="5"/>
      <c r="B205" s="9"/>
      <c r="C205" s="5"/>
      <c r="D205" s="9"/>
      <c r="E205" s="9"/>
      <c r="F205" s="9"/>
      <c r="G205" s="9"/>
      <c r="H205" s="9"/>
      <c r="I205" s="9"/>
      <c r="J205" s="5"/>
      <c r="K205" s="4"/>
      <c r="L205" s="10"/>
      <c r="M205" s="10"/>
      <c r="N205" s="10"/>
      <c r="O205" s="10"/>
      <c r="P205" s="10"/>
      <c r="Q205" s="11"/>
      <c r="R205" s="9"/>
      <c r="S205" s="12"/>
      <c r="T205" s="5"/>
      <c r="U205" s="5"/>
      <c r="V205" s="4"/>
      <c r="W205" s="4"/>
      <c r="X205" s="4"/>
      <c r="Y205" s="4"/>
    </row>
    <row r="206">
      <c r="A206" s="5"/>
      <c r="B206" s="9"/>
      <c r="C206" s="5"/>
      <c r="D206" s="9"/>
      <c r="E206" s="9"/>
      <c r="F206" s="9"/>
      <c r="G206" s="9"/>
      <c r="H206" s="9"/>
      <c r="I206" s="9"/>
      <c r="J206" s="5"/>
      <c r="K206" s="4"/>
      <c r="L206" s="10"/>
      <c r="M206" s="10"/>
      <c r="N206" s="10"/>
      <c r="O206" s="10"/>
      <c r="P206" s="10"/>
      <c r="Q206" s="11"/>
      <c r="R206" s="9"/>
      <c r="S206" s="12"/>
      <c r="T206" s="5"/>
      <c r="U206" s="5"/>
      <c r="V206" s="4"/>
      <c r="W206" s="4"/>
      <c r="X206" s="4"/>
      <c r="Y206" s="4"/>
    </row>
    <row r="207">
      <c r="A207" s="5"/>
      <c r="B207" s="9"/>
      <c r="C207" s="5"/>
      <c r="D207" s="9"/>
      <c r="E207" s="9"/>
      <c r="F207" s="9"/>
      <c r="G207" s="9"/>
      <c r="H207" s="9"/>
      <c r="I207" s="9"/>
      <c r="J207" s="5"/>
      <c r="K207" s="4"/>
      <c r="L207" s="10"/>
      <c r="M207" s="10"/>
      <c r="N207" s="10"/>
      <c r="O207" s="10"/>
      <c r="P207" s="10"/>
      <c r="Q207" s="11"/>
      <c r="R207" s="9"/>
      <c r="S207" s="12"/>
      <c r="T207" s="5"/>
      <c r="U207" s="5"/>
      <c r="V207" s="4"/>
      <c r="W207" s="4"/>
      <c r="X207" s="4"/>
      <c r="Y207" s="4"/>
    </row>
    <row r="208">
      <c r="A208" s="5"/>
      <c r="B208" s="9"/>
      <c r="C208" s="5"/>
      <c r="D208" s="9"/>
      <c r="E208" s="9"/>
      <c r="F208" s="9"/>
      <c r="G208" s="9"/>
      <c r="H208" s="9"/>
      <c r="I208" s="9"/>
      <c r="J208" s="5"/>
      <c r="K208" s="4"/>
      <c r="L208" s="10"/>
      <c r="M208" s="10"/>
      <c r="N208" s="10"/>
      <c r="O208" s="10"/>
      <c r="P208" s="10"/>
      <c r="Q208" s="11"/>
      <c r="R208" s="9"/>
      <c r="S208" s="12"/>
      <c r="T208" s="5"/>
      <c r="U208" s="5"/>
      <c r="V208" s="4"/>
      <c r="W208" s="4"/>
      <c r="X208" s="4"/>
      <c r="Y208" s="4"/>
    </row>
    <row r="209">
      <c r="A209" s="5"/>
      <c r="B209" s="9"/>
      <c r="C209" s="5"/>
      <c r="D209" s="9"/>
      <c r="E209" s="9"/>
      <c r="F209" s="9"/>
      <c r="G209" s="9"/>
      <c r="H209" s="9"/>
      <c r="I209" s="9"/>
      <c r="J209" s="5"/>
      <c r="K209" s="4"/>
      <c r="L209" s="10"/>
      <c r="M209" s="10"/>
      <c r="N209" s="10"/>
      <c r="O209" s="10"/>
      <c r="P209" s="10"/>
      <c r="Q209" s="11"/>
      <c r="R209" s="9"/>
      <c r="S209" s="12"/>
      <c r="T209" s="5"/>
      <c r="U209" s="5"/>
      <c r="V209" s="4"/>
      <c r="W209" s="4"/>
      <c r="X209" s="4"/>
      <c r="Y209" s="4"/>
    </row>
    <row r="210">
      <c r="A210" s="5"/>
      <c r="B210" s="9"/>
      <c r="C210" s="5"/>
      <c r="D210" s="9"/>
      <c r="E210" s="9"/>
      <c r="F210" s="9"/>
      <c r="G210" s="9"/>
      <c r="H210" s="9"/>
      <c r="I210" s="9"/>
      <c r="J210" s="5"/>
      <c r="K210" s="4"/>
      <c r="L210" s="10"/>
      <c r="M210" s="10"/>
      <c r="N210" s="10"/>
      <c r="O210" s="10"/>
      <c r="P210" s="10"/>
      <c r="Q210" s="11"/>
      <c r="R210" s="9"/>
      <c r="S210" s="12"/>
      <c r="T210" s="5"/>
      <c r="U210" s="5"/>
      <c r="V210" s="4"/>
      <c r="W210" s="4"/>
      <c r="X210" s="4"/>
      <c r="Y210" s="4"/>
    </row>
    <row r="211">
      <c r="A211" s="5"/>
      <c r="B211" s="9"/>
      <c r="C211" s="5"/>
      <c r="D211" s="9"/>
      <c r="E211" s="9"/>
      <c r="F211" s="9"/>
      <c r="G211" s="9"/>
      <c r="H211" s="9"/>
      <c r="I211" s="9"/>
      <c r="J211" s="5"/>
      <c r="K211" s="4"/>
      <c r="L211" s="10"/>
      <c r="M211" s="10"/>
      <c r="N211" s="10"/>
      <c r="O211" s="10"/>
      <c r="P211" s="10"/>
      <c r="Q211" s="11"/>
      <c r="R211" s="9"/>
      <c r="S211" s="12"/>
      <c r="T211" s="5"/>
      <c r="U211" s="5"/>
      <c r="V211" s="4"/>
      <c r="W211" s="4"/>
      <c r="X211" s="4"/>
      <c r="Y211" s="4"/>
    </row>
    <row r="212">
      <c r="A212" s="5"/>
      <c r="B212" s="9"/>
      <c r="C212" s="5"/>
      <c r="D212" s="9"/>
      <c r="E212" s="9"/>
      <c r="F212" s="9"/>
      <c r="G212" s="9"/>
      <c r="H212" s="9"/>
      <c r="I212" s="9"/>
      <c r="J212" s="5"/>
      <c r="K212" s="4"/>
      <c r="L212" s="10"/>
      <c r="M212" s="10"/>
      <c r="N212" s="10"/>
      <c r="O212" s="10"/>
      <c r="P212" s="10"/>
      <c r="Q212" s="11"/>
      <c r="R212" s="9"/>
      <c r="S212" s="12"/>
      <c r="T212" s="5"/>
      <c r="U212" s="5"/>
      <c r="V212" s="4"/>
      <c r="W212" s="4"/>
      <c r="X212" s="4"/>
      <c r="Y212" s="4"/>
    </row>
    <row r="213">
      <c r="A213" s="5"/>
      <c r="B213" s="9"/>
      <c r="C213" s="5"/>
      <c r="D213" s="9"/>
      <c r="E213" s="9"/>
      <c r="F213" s="9"/>
      <c r="G213" s="9"/>
      <c r="H213" s="9"/>
      <c r="I213" s="9"/>
      <c r="J213" s="5"/>
      <c r="K213" s="4"/>
      <c r="L213" s="10"/>
      <c r="M213" s="10"/>
      <c r="N213" s="10"/>
      <c r="O213" s="10"/>
      <c r="P213" s="10"/>
      <c r="Q213" s="11"/>
      <c r="R213" s="9"/>
      <c r="S213" s="12"/>
      <c r="T213" s="5"/>
      <c r="U213" s="5"/>
      <c r="V213" s="4"/>
      <c r="W213" s="4"/>
      <c r="X213" s="4"/>
      <c r="Y213" s="4"/>
    </row>
    <row r="214">
      <c r="A214" s="5"/>
      <c r="B214" s="9"/>
      <c r="C214" s="5"/>
      <c r="D214" s="9"/>
      <c r="E214" s="9"/>
      <c r="F214" s="9"/>
      <c r="G214" s="9"/>
      <c r="H214" s="9"/>
      <c r="I214" s="9"/>
      <c r="J214" s="5"/>
      <c r="K214" s="4"/>
      <c r="L214" s="10"/>
      <c r="M214" s="10"/>
      <c r="N214" s="10"/>
      <c r="O214" s="10"/>
      <c r="P214" s="10"/>
      <c r="Q214" s="11"/>
      <c r="R214" s="9"/>
      <c r="S214" s="12"/>
      <c r="T214" s="5"/>
      <c r="U214" s="5"/>
      <c r="V214" s="4"/>
      <c r="W214" s="4"/>
      <c r="X214" s="4"/>
      <c r="Y214" s="4"/>
    </row>
    <row r="215">
      <c r="A215" s="5"/>
      <c r="B215" s="9"/>
      <c r="C215" s="5"/>
      <c r="D215" s="9"/>
      <c r="E215" s="9"/>
      <c r="F215" s="9"/>
      <c r="G215" s="9"/>
      <c r="H215" s="9"/>
      <c r="I215" s="9"/>
      <c r="J215" s="5"/>
      <c r="K215" s="4"/>
      <c r="L215" s="10"/>
      <c r="M215" s="10"/>
      <c r="N215" s="10"/>
      <c r="O215" s="10"/>
      <c r="P215" s="10"/>
      <c r="Q215" s="11"/>
      <c r="R215" s="9"/>
      <c r="S215" s="12"/>
      <c r="T215" s="5"/>
      <c r="U215" s="5"/>
      <c r="V215" s="4"/>
      <c r="W215" s="4"/>
      <c r="X215" s="4"/>
      <c r="Y215" s="4"/>
    </row>
    <row r="216">
      <c r="A216" s="5"/>
      <c r="B216" s="9"/>
      <c r="C216" s="5"/>
      <c r="D216" s="9"/>
      <c r="E216" s="9"/>
      <c r="F216" s="9"/>
      <c r="G216" s="9"/>
      <c r="H216" s="9"/>
      <c r="I216" s="9"/>
      <c r="J216" s="5"/>
      <c r="K216" s="4"/>
      <c r="L216" s="10"/>
      <c r="M216" s="10"/>
      <c r="N216" s="10"/>
      <c r="O216" s="10"/>
      <c r="P216" s="10"/>
      <c r="Q216" s="11"/>
      <c r="R216" s="9"/>
      <c r="S216" s="12"/>
      <c r="T216" s="5"/>
      <c r="U216" s="5"/>
      <c r="V216" s="4"/>
      <c r="W216" s="4"/>
      <c r="X216" s="4"/>
      <c r="Y216" s="4"/>
    </row>
    <row r="217">
      <c r="A217" s="5"/>
      <c r="B217" s="9"/>
      <c r="C217" s="5"/>
      <c r="D217" s="9"/>
      <c r="E217" s="9"/>
      <c r="F217" s="9"/>
      <c r="G217" s="9"/>
      <c r="H217" s="9"/>
      <c r="I217" s="9"/>
      <c r="J217" s="5"/>
      <c r="K217" s="4"/>
      <c r="L217" s="10"/>
      <c r="M217" s="10"/>
      <c r="N217" s="10"/>
      <c r="O217" s="10"/>
      <c r="P217" s="10"/>
      <c r="Q217" s="11"/>
      <c r="R217" s="9"/>
      <c r="S217" s="12"/>
      <c r="T217" s="5"/>
      <c r="U217" s="5"/>
      <c r="V217" s="4"/>
      <c r="W217" s="4"/>
      <c r="X217" s="4"/>
      <c r="Y217" s="4"/>
    </row>
    <row r="218">
      <c r="A218" s="5"/>
      <c r="B218" s="9"/>
      <c r="C218" s="5"/>
      <c r="D218" s="9"/>
      <c r="E218" s="9"/>
      <c r="F218" s="9"/>
      <c r="G218" s="9"/>
      <c r="H218" s="9"/>
      <c r="I218" s="9"/>
      <c r="J218" s="5"/>
      <c r="K218" s="4"/>
      <c r="L218" s="10"/>
      <c r="M218" s="10"/>
      <c r="N218" s="10"/>
      <c r="O218" s="10"/>
      <c r="P218" s="10"/>
      <c r="Q218" s="11"/>
      <c r="R218" s="9"/>
      <c r="S218" s="12"/>
      <c r="T218" s="5"/>
      <c r="U218" s="5"/>
      <c r="V218" s="4"/>
      <c r="W218" s="4"/>
      <c r="X218" s="4"/>
      <c r="Y218" s="4"/>
    </row>
    <row r="219">
      <c r="A219" s="5"/>
      <c r="B219" s="9"/>
      <c r="C219" s="5"/>
      <c r="D219" s="9"/>
      <c r="E219" s="9"/>
      <c r="F219" s="9"/>
      <c r="G219" s="9"/>
      <c r="H219" s="9"/>
      <c r="I219" s="9"/>
      <c r="J219" s="5"/>
      <c r="K219" s="4"/>
      <c r="L219" s="10"/>
      <c r="M219" s="10"/>
      <c r="N219" s="10"/>
      <c r="O219" s="10"/>
      <c r="P219" s="10"/>
      <c r="Q219" s="11"/>
      <c r="R219" s="9"/>
      <c r="S219" s="12"/>
      <c r="T219" s="5"/>
      <c r="U219" s="5"/>
      <c r="V219" s="4"/>
      <c r="W219" s="4"/>
      <c r="X219" s="4"/>
      <c r="Y219" s="4"/>
    </row>
    <row r="220">
      <c r="A220" s="5"/>
      <c r="B220" s="9"/>
      <c r="C220" s="5"/>
      <c r="D220" s="9"/>
      <c r="E220" s="9"/>
      <c r="F220" s="9"/>
      <c r="G220" s="9"/>
      <c r="H220" s="9"/>
      <c r="I220" s="9"/>
      <c r="J220" s="5"/>
      <c r="K220" s="4"/>
      <c r="L220" s="10"/>
      <c r="M220" s="10"/>
      <c r="N220" s="10"/>
      <c r="O220" s="10"/>
      <c r="P220" s="10"/>
      <c r="Q220" s="11"/>
      <c r="R220" s="9"/>
      <c r="S220" s="12"/>
      <c r="T220" s="5"/>
      <c r="U220" s="5"/>
      <c r="V220" s="4"/>
      <c r="W220" s="4"/>
      <c r="X220" s="4"/>
      <c r="Y220" s="4"/>
    </row>
    <row r="221">
      <c r="A221" s="5"/>
      <c r="B221" s="9"/>
      <c r="C221" s="5"/>
      <c r="D221" s="9"/>
      <c r="E221" s="9"/>
      <c r="F221" s="9"/>
      <c r="G221" s="9"/>
      <c r="H221" s="9"/>
      <c r="I221" s="9"/>
      <c r="J221" s="5"/>
      <c r="K221" s="4"/>
      <c r="L221" s="10"/>
      <c r="M221" s="10"/>
      <c r="N221" s="10"/>
      <c r="O221" s="10"/>
      <c r="P221" s="10"/>
      <c r="Q221" s="11"/>
      <c r="R221" s="9"/>
      <c r="S221" s="12"/>
      <c r="T221" s="5"/>
      <c r="U221" s="5"/>
      <c r="V221" s="4"/>
      <c r="W221" s="4"/>
      <c r="X221" s="4"/>
      <c r="Y221" s="4"/>
    </row>
    <row r="222">
      <c r="A222" s="5"/>
      <c r="B222" s="9"/>
      <c r="C222" s="5"/>
      <c r="D222" s="9"/>
      <c r="E222" s="9"/>
      <c r="F222" s="9"/>
      <c r="G222" s="9"/>
      <c r="H222" s="9"/>
      <c r="I222" s="9"/>
      <c r="J222" s="5"/>
      <c r="K222" s="4"/>
      <c r="L222" s="10"/>
      <c r="M222" s="10"/>
      <c r="N222" s="10"/>
      <c r="O222" s="10"/>
      <c r="P222" s="10"/>
      <c r="Q222" s="11"/>
      <c r="R222" s="9"/>
      <c r="S222" s="12"/>
      <c r="T222" s="5"/>
      <c r="U222" s="5"/>
      <c r="V222" s="4"/>
      <c r="W222" s="4"/>
      <c r="X222" s="4"/>
      <c r="Y222" s="4"/>
    </row>
    <row r="223">
      <c r="A223" s="5"/>
      <c r="B223" s="9"/>
      <c r="C223" s="5"/>
      <c r="D223" s="9"/>
      <c r="E223" s="9"/>
      <c r="F223" s="9"/>
      <c r="G223" s="9"/>
      <c r="H223" s="9"/>
      <c r="I223" s="9"/>
      <c r="J223" s="5"/>
      <c r="K223" s="4"/>
      <c r="L223" s="10"/>
      <c r="M223" s="10"/>
      <c r="N223" s="10"/>
      <c r="O223" s="10"/>
      <c r="P223" s="10"/>
      <c r="Q223" s="11"/>
      <c r="R223" s="9"/>
      <c r="S223" s="12"/>
      <c r="T223" s="5"/>
      <c r="U223" s="5"/>
      <c r="V223" s="4"/>
      <c r="W223" s="4"/>
      <c r="X223" s="4"/>
      <c r="Y223" s="4"/>
    </row>
    <row r="224">
      <c r="A224" s="5"/>
      <c r="B224" s="9"/>
      <c r="C224" s="5"/>
      <c r="D224" s="9"/>
      <c r="E224" s="9"/>
      <c r="F224" s="9"/>
      <c r="G224" s="9"/>
      <c r="H224" s="9"/>
      <c r="I224" s="9"/>
      <c r="J224" s="5"/>
      <c r="K224" s="4"/>
      <c r="L224" s="10"/>
      <c r="M224" s="10"/>
      <c r="N224" s="10"/>
      <c r="O224" s="10"/>
      <c r="P224" s="10"/>
      <c r="Q224" s="11"/>
      <c r="R224" s="9"/>
      <c r="S224" s="12"/>
      <c r="T224" s="5"/>
      <c r="U224" s="5"/>
      <c r="V224" s="4"/>
      <c r="W224" s="4"/>
      <c r="X224" s="4"/>
      <c r="Y224" s="4"/>
    </row>
    <row r="225">
      <c r="A225" s="5"/>
      <c r="B225" s="9"/>
      <c r="C225" s="5"/>
      <c r="D225" s="9"/>
      <c r="E225" s="9"/>
      <c r="F225" s="9"/>
      <c r="G225" s="9"/>
      <c r="H225" s="9"/>
      <c r="I225" s="9"/>
      <c r="J225" s="5"/>
      <c r="K225" s="4"/>
      <c r="L225" s="10"/>
      <c r="M225" s="10"/>
      <c r="N225" s="10"/>
      <c r="O225" s="10"/>
      <c r="P225" s="10"/>
      <c r="Q225" s="11"/>
      <c r="R225" s="9"/>
      <c r="S225" s="12"/>
      <c r="T225" s="5"/>
      <c r="U225" s="5"/>
      <c r="V225" s="4"/>
      <c r="W225" s="4"/>
      <c r="X225" s="4"/>
      <c r="Y225" s="4"/>
    </row>
    <row r="226">
      <c r="A226" s="5"/>
      <c r="B226" s="9"/>
      <c r="C226" s="5"/>
      <c r="D226" s="9"/>
      <c r="E226" s="9"/>
      <c r="F226" s="9"/>
      <c r="G226" s="9"/>
      <c r="H226" s="9"/>
      <c r="I226" s="9"/>
      <c r="J226" s="5"/>
      <c r="K226" s="4"/>
      <c r="L226" s="10"/>
      <c r="M226" s="10"/>
      <c r="N226" s="10"/>
      <c r="O226" s="10"/>
      <c r="P226" s="10"/>
      <c r="Q226" s="11"/>
      <c r="R226" s="9"/>
      <c r="S226" s="12"/>
      <c r="T226" s="5"/>
      <c r="U226" s="5"/>
      <c r="V226" s="4"/>
      <c r="W226" s="4"/>
      <c r="X226" s="4"/>
      <c r="Y226" s="4"/>
    </row>
    <row r="227">
      <c r="A227" s="5"/>
      <c r="B227" s="9"/>
      <c r="C227" s="5"/>
      <c r="D227" s="9"/>
      <c r="E227" s="9"/>
      <c r="F227" s="9"/>
      <c r="G227" s="9"/>
      <c r="H227" s="9"/>
      <c r="I227" s="9"/>
      <c r="J227" s="5"/>
      <c r="K227" s="4"/>
      <c r="L227" s="10"/>
      <c r="M227" s="10"/>
      <c r="N227" s="10"/>
      <c r="O227" s="10"/>
      <c r="P227" s="10"/>
      <c r="Q227" s="11"/>
      <c r="R227" s="9"/>
      <c r="S227" s="12"/>
      <c r="T227" s="5"/>
      <c r="U227" s="5"/>
      <c r="V227" s="4"/>
      <c r="W227" s="4"/>
      <c r="X227" s="4"/>
      <c r="Y227" s="4"/>
    </row>
    <row r="228">
      <c r="A228" s="5"/>
      <c r="B228" s="9"/>
      <c r="C228" s="5"/>
      <c r="D228" s="9"/>
      <c r="E228" s="9"/>
      <c r="F228" s="9"/>
      <c r="G228" s="9"/>
      <c r="H228" s="9"/>
      <c r="I228" s="9"/>
      <c r="J228" s="5"/>
      <c r="K228" s="4"/>
      <c r="L228" s="10"/>
      <c r="M228" s="10"/>
      <c r="N228" s="10"/>
      <c r="O228" s="10"/>
      <c r="P228" s="10"/>
      <c r="Q228" s="11"/>
      <c r="R228" s="9"/>
      <c r="S228" s="12"/>
      <c r="T228" s="5"/>
      <c r="U228" s="5"/>
      <c r="V228" s="4"/>
      <c r="W228" s="4"/>
      <c r="X228" s="4"/>
      <c r="Y228" s="4"/>
    </row>
    <row r="229">
      <c r="A229" s="5"/>
      <c r="B229" s="9"/>
      <c r="C229" s="5"/>
      <c r="D229" s="9"/>
      <c r="E229" s="9"/>
      <c r="F229" s="9"/>
      <c r="G229" s="9"/>
      <c r="H229" s="9"/>
      <c r="I229" s="9"/>
      <c r="J229" s="5"/>
      <c r="K229" s="4"/>
      <c r="L229" s="10"/>
      <c r="M229" s="10"/>
      <c r="N229" s="10"/>
      <c r="O229" s="10"/>
      <c r="P229" s="10"/>
      <c r="Q229" s="11"/>
      <c r="R229" s="9"/>
      <c r="S229" s="12"/>
      <c r="T229" s="5"/>
      <c r="U229" s="5"/>
      <c r="V229" s="4"/>
      <c r="W229" s="4"/>
      <c r="X229" s="4"/>
      <c r="Y229" s="4"/>
    </row>
    <row r="230">
      <c r="A230" s="5"/>
      <c r="B230" s="9"/>
      <c r="C230" s="5"/>
      <c r="D230" s="9"/>
      <c r="E230" s="9"/>
      <c r="F230" s="9"/>
      <c r="G230" s="9"/>
      <c r="H230" s="9"/>
      <c r="I230" s="9"/>
      <c r="J230" s="5"/>
      <c r="K230" s="4"/>
      <c r="L230" s="10"/>
      <c r="M230" s="10"/>
      <c r="N230" s="10"/>
      <c r="O230" s="10"/>
      <c r="P230" s="10"/>
      <c r="Q230" s="11"/>
      <c r="R230" s="9"/>
      <c r="S230" s="12"/>
      <c r="T230" s="5"/>
      <c r="U230" s="5"/>
      <c r="V230" s="4"/>
      <c r="W230" s="4"/>
      <c r="X230" s="4"/>
      <c r="Y230" s="4"/>
    </row>
    <row r="231">
      <c r="A231" s="5"/>
      <c r="B231" s="9"/>
      <c r="C231" s="5"/>
      <c r="D231" s="9"/>
      <c r="E231" s="9"/>
      <c r="F231" s="9"/>
      <c r="G231" s="9"/>
      <c r="H231" s="9"/>
      <c r="I231" s="9"/>
      <c r="J231" s="5"/>
      <c r="K231" s="4"/>
      <c r="L231" s="10"/>
      <c r="M231" s="10"/>
      <c r="N231" s="10"/>
      <c r="O231" s="10"/>
      <c r="P231" s="10"/>
      <c r="Q231" s="11"/>
      <c r="R231" s="9"/>
      <c r="S231" s="12"/>
      <c r="T231" s="5"/>
      <c r="U231" s="5"/>
      <c r="V231" s="4"/>
      <c r="W231" s="4"/>
      <c r="X231" s="4"/>
      <c r="Y231" s="4"/>
    </row>
    <row r="232">
      <c r="A232" s="5"/>
      <c r="B232" s="9"/>
      <c r="C232" s="5"/>
      <c r="D232" s="9"/>
      <c r="E232" s="9"/>
      <c r="F232" s="9"/>
      <c r="G232" s="9"/>
      <c r="H232" s="9"/>
      <c r="I232" s="9"/>
      <c r="J232" s="5"/>
      <c r="K232" s="4"/>
      <c r="L232" s="10"/>
      <c r="M232" s="10"/>
      <c r="N232" s="10"/>
      <c r="O232" s="10"/>
      <c r="P232" s="10"/>
      <c r="Q232" s="11"/>
      <c r="R232" s="9"/>
      <c r="S232" s="12"/>
      <c r="T232" s="5"/>
      <c r="U232" s="5"/>
      <c r="V232" s="4"/>
      <c r="W232" s="4"/>
      <c r="X232" s="4"/>
      <c r="Y232" s="4"/>
    </row>
    <row r="233">
      <c r="A233" s="5"/>
      <c r="B233" s="9"/>
      <c r="C233" s="5"/>
      <c r="D233" s="9"/>
      <c r="E233" s="9"/>
      <c r="F233" s="9"/>
      <c r="G233" s="9"/>
      <c r="H233" s="9"/>
      <c r="I233" s="9"/>
      <c r="J233" s="5"/>
      <c r="K233" s="4"/>
      <c r="L233" s="10"/>
      <c r="M233" s="10"/>
      <c r="N233" s="10"/>
      <c r="O233" s="10"/>
      <c r="P233" s="10"/>
      <c r="Q233" s="11"/>
      <c r="R233" s="9"/>
      <c r="S233" s="12"/>
      <c r="T233" s="5"/>
      <c r="U233" s="5"/>
      <c r="V233" s="4"/>
      <c r="W233" s="4"/>
      <c r="X233" s="4"/>
      <c r="Y233" s="4"/>
    </row>
    <row r="234">
      <c r="A234" s="5"/>
      <c r="B234" s="9"/>
      <c r="C234" s="5"/>
      <c r="D234" s="9"/>
      <c r="E234" s="9"/>
      <c r="F234" s="9"/>
      <c r="G234" s="9"/>
      <c r="H234" s="9"/>
      <c r="I234" s="9"/>
      <c r="J234" s="5"/>
      <c r="K234" s="4"/>
      <c r="L234" s="10"/>
      <c r="M234" s="10"/>
      <c r="N234" s="10"/>
      <c r="O234" s="10"/>
      <c r="P234" s="10"/>
      <c r="Q234" s="11"/>
      <c r="R234" s="9"/>
      <c r="S234" s="12"/>
      <c r="T234" s="5"/>
      <c r="U234" s="5"/>
      <c r="V234" s="4"/>
      <c r="W234" s="4"/>
      <c r="X234" s="4"/>
      <c r="Y234" s="4"/>
    </row>
    <row r="235">
      <c r="A235" s="5"/>
      <c r="B235" s="9"/>
      <c r="C235" s="5"/>
      <c r="D235" s="9"/>
      <c r="E235" s="9"/>
      <c r="F235" s="9"/>
      <c r="G235" s="9"/>
      <c r="H235" s="9"/>
      <c r="I235" s="9"/>
      <c r="J235" s="5"/>
      <c r="K235" s="4"/>
      <c r="L235" s="10"/>
      <c r="M235" s="10"/>
      <c r="N235" s="10"/>
      <c r="O235" s="10"/>
      <c r="P235" s="10"/>
      <c r="Q235" s="11"/>
      <c r="R235" s="9"/>
      <c r="S235" s="12"/>
      <c r="T235" s="5"/>
      <c r="U235" s="5"/>
      <c r="V235" s="4"/>
      <c r="W235" s="4"/>
      <c r="X235" s="4"/>
      <c r="Y235" s="4"/>
    </row>
    <row r="236">
      <c r="A236" s="5"/>
      <c r="B236" s="9"/>
      <c r="C236" s="5"/>
      <c r="D236" s="9"/>
      <c r="E236" s="9"/>
      <c r="F236" s="9"/>
      <c r="G236" s="9"/>
      <c r="H236" s="9"/>
      <c r="I236" s="9"/>
      <c r="J236" s="5"/>
      <c r="K236" s="4"/>
      <c r="L236" s="10"/>
      <c r="M236" s="10"/>
      <c r="N236" s="10"/>
      <c r="O236" s="10"/>
      <c r="P236" s="10"/>
      <c r="Q236" s="11"/>
      <c r="R236" s="9"/>
      <c r="S236" s="12"/>
      <c r="T236" s="5"/>
      <c r="U236" s="5"/>
      <c r="V236" s="4"/>
      <c r="W236" s="4"/>
      <c r="X236" s="4"/>
      <c r="Y236" s="4"/>
    </row>
    <row r="237">
      <c r="A237" s="5"/>
      <c r="B237" s="9"/>
      <c r="C237" s="5"/>
      <c r="D237" s="9"/>
      <c r="E237" s="9"/>
      <c r="F237" s="9"/>
      <c r="G237" s="9"/>
      <c r="H237" s="9"/>
      <c r="I237" s="9"/>
      <c r="J237" s="5"/>
      <c r="K237" s="4"/>
      <c r="L237" s="10"/>
      <c r="M237" s="10"/>
      <c r="N237" s="10"/>
      <c r="O237" s="10"/>
      <c r="P237" s="10"/>
      <c r="Q237" s="11"/>
      <c r="R237" s="9"/>
      <c r="S237" s="12"/>
      <c r="T237" s="5"/>
      <c r="U237" s="5"/>
      <c r="V237" s="4"/>
      <c r="W237" s="4"/>
      <c r="X237" s="4"/>
      <c r="Y237" s="4"/>
    </row>
    <row r="238">
      <c r="A238" s="5"/>
      <c r="B238" s="9"/>
      <c r="C238" s="5"/>
      <c r="D238" s="9"/>
      <c r="E238" s="9"/>
      <c r="F238" s="9"/>
      <c r="G238" s="9"/>
      <c r="H238" s="9"/>
      <c r="I238" s="9"/>
      <c r="J238" s="5"/>
      <c r="K238" s="4"/>
      <c r="L238" s="10"/>
      <c r="M238" s="10"/>
      <c r="N238" s="10"/>
      <c r="O238" s="10"/>
      <c r="P238" s="10"/>
      <c r="Q238" s="11"/>
      <c r="R238" s="9"/>
      <c r="S238" s="12"/>
      <c r="T238" s="5"/>
      <c r="U238" s="5"/>
      <c r="V238" s="4"/>
      <c r="W238" s="4"/>
      <c r="X238" s="4"/>
      <c r="Y238" s="4"/>
    </row>
    <row r="239">
      <c r="A239" s="5"/>
      <c r="B239" s="9"/>
      <c r="C239" s="5"/>
      <c r="D239" s="9"/>
      <c r="E239" s="9"/>
      <c r="F239" s="9"/>
      <c r="G239" s="9"/>
      <c r="H239" s="9"/>
      <c r="I239" s="9"/>
      <c r="J239" s="5"/>
      <c r="K239" s="4"/>
      <c r="L239" s="10"/>
      <c r="M239" s="10"/>
      <c r="N239" s="10"/>
      <c r="O239" s="10"/>
      <c r="P239" s="10"/>
      <c r="Q239" s="11"/>
      <c r="R239" s="9"/>
      <c r="S239" s="12"/>
      <c r="T239" s="5"/>
      <c r="U239" s="5"/>
      <c r="V239" s="4"/>
      <c r="W239" s="4"/>
      <c r="X239" s="4"/>
      <c r="Y239" s="4"/>
    </row>
    <row r="240">
      <c r="A240" s="5"/>
      <c r="B240" s="9"/>
      <c r="C240" s="5"/>
      <c r="D240" s="9"/>
      <c r="E240" s="9"/>
      <c r="F240" s="9"/>
      <c r="G240" s="9"/>
      <c r="H240" s="9"/>
      <c r="I240" s="9"/>
      <c r="J240" s="5"/>
      <c r="K240" s="4"/>
      <c r="L240" s="10"/>
      <c r="M240" s="10"/>
      <c r="N240" s="10"/>
      <c r="O240" s="10"/>
      <c r="P240" s="10"/>
      <c r="Q240" s="11"/>
      <c r="R240" s="9"/>
      <c r="S240" s="12"/>
      <c r="T240" s="5"/>
      <c r="U240" s="5"/>
      <c r="V240" s="4"/>
      <c r="W240" s="4"/>
      <c r="X240" s="4"/>
      <c r="Y240" s="4"/>
    </row>
    <row r="241">
      <c r="A241" s="5"/>
      <c r="B241" s="9"/>
      <c r="C241" s="5"/>
      <c r="D241" s="9"/>
      <c r="E241" s="9"/>
      <c r="F241" s="9"/>
      <c r="G241" s="9"/>
      <c r="H241" s="9"/>
      <c r="I241" s="9"/>
      <c r="J241" s="5"/>
      <c r="K241" s="4"/>
      <c r="L241" s="10"/>
      <c r="M241" s="10"/>
      <c r="N241" s="10"/>
      <c r="O241" s="10"/>
      <c r="P241" s="10"/>
      <c r="Q241" s="11"/>
      <c r="R241" s="9"/>
      <c r="S241" s="12"/>
      <c r="T241" s="5"/>
      <c r="U241" s="5"/>
      <c r="V241" s="4"/>
      <c r="W241" s="4"/>
      <c r="X241" s="4"/>
      <c r="Y241" s="4"/>
    </row>
    <row r="242">
      <c r="A242" s="5"/>
      <c r="B242" s="9"/>
      <c r="C242" s="5"/>
      <c r="D242" s="9"/>
      <c r="E242" s="9"/>
      <c r="F242" s="9"/>
      <c r="G242" s="9"/>
      <c r="H242" s="9"/>
      <c r="I242" s="9"/>
      <c r="J242" s="5"/>
      <c r="K242" s="4"/>
      <c r="L242" s="10"/>
      <c r="M242" s="10"/>
      <c r="N242" s="10"/>
      <c r="O242" s="10"/>
      <c r="P242" s="10"/>
      <c r="Q242" s="11"/>
      <c r="R242" s="9"/>
      <c r="S242" s="12"/>
      <c r="T242" s="5"/>
      <c r="U242" s="5"/>
      <c r="V242" s="4"/>
      <c r="W242" s="4"/>
      <c r="X242" s="4"/>
      <c r="Y242" s="4"/>
    </row>
    <row r="243">
      <c r="A243" s="5"/>
      <c r="B243" s="9"/>
      <c r="C243" s="5"/>
      <c r="D243" s="9"/>
      <c r="E243" s="9"/>
      <c r="F243" s="9"/>
      <c r="G243" s="9"/>
      <c r="H243" s="9"/>
      <c r="I243" s="9"/>
      <c r="J243" s="5"/>
      <c r="K243" s="4"/>
      <c r="L243" s="10"/>
      <c r="M243" s="10"/>
      <c r="N243" s="10"/>
      <c r="O243" s="10"/>
      <c r="P243" s="10"/>
      <c r="Q243" s="11"/>
      <c r="R243" s="9"/>
      <c r="S243" s="12"/>
      <c r="T243" s="5"/>
      <c r="U243" s="5"/>
      <c r="V243" s="4"/>
      <c r="W243" s="4"/>
      <c r="X243" s="4"/>
      <c r="Y243" s="4"/>
    </row>
    <row r="244">
      <c r="A244" s="5"/>
      <c r="B244" s="9"/>
      <c r="C244" s="5"/>
      <c r="D244" s="9"/>
      <c r="E244" s="9"/>
      <c r="F244" s="9"/>
      <c r="G244" s="9"/>
      <c r="H244" s="9"/>
      <c r="I244" s="9"/>
      <c r="J244" s="5"/>
      <c r="K244" s="4"/>
      <c r="L244" s="10"/>
      <c r="M244" s="10"/>
      <c r="N244" s="10"/>
      <c r="O244" s="10"/>
      <c r="P244" s="10"/>
      <c r="Q244" s="11"/>
      <c r="R244" s="9"/>
      <c r="S244" s="12"/>
      <c r="T244" s="5"/>
      <c r="U244" s="5"/>
      <c r="V244" s="4"/>
      <c r="W244" s="4"/>
      <c r="X244" s="4"/>
      <c r="Y244" s="4"/>
    </row>
    <row r="245">
      <c r="A245" s="5"/>
      <c r="B245" s="9"/>
      <c r="C245" s="5"/>
      <c r="D245" s="9"/>
      <c r="E245" s="9"/>
      <c r="F245" s="9"/>
      <c r="G245" s="9"/>
      <c r="H245" s="9"/>
      <c r="I245" s="9"/>
      <c r="J245" s="5"/>
      <c r="K245" s="4"/>
      <c r="L245" s="10"/>
      <c r="M245" s="10"/>
      <c r="N245" s="10"/>
      <c r="O245" s="10"/>
      <c r="P245" s="10"/>
      <c r="Q245" s="11"/>
      <c r="R245" s="9"/>
      <c r="S245" s="12"/>
      <c r="T245" s="5"/>
      <c r="U245" s="5"/>
      <c r="V245" s="4"/>
      <c r="W245" s="4"/>
      <c r="X245" s="4"/>
      <c r="Y245" s="4"/>
    </row>
    <row r="246">
      <c r="A246" s="5"/>
      <c r="B246" s="9"/>
      <c r="C246" s="5"/>
      <c r="D246" s="9"/>
      <c r="E246" s="9"/>
      <c r="F246" s="9"/>
      <c r="G246" s="9"/>
      <c r="H246" s="9"/>
      <c r="I246" s="9"/>
      <c r="J246" s="5"/>
      <c r="K246" s="4"/>
      <c r="L246" s="10"/>
      <c r="M246" s="10"/>
      <c r="N246" s="10"/>
      <c r="O246" s="10"/>
      <c r="P246" s="10"/>
      <c r="Q246" s="11"/>
      <c r="R246" s="9"/>
      <c r="S246" s="12"/>
      <c r="T246" s="5"/>
      <c r="U246" s="5"/>
      <c r="V246" s="4"/>
      <c r="W246" s="4"/>
      <c r="X246" s="4"/>
      <c r="Y246" s="4"/>
    </row>
    <row r="247">
      <c r="A247" s="5"/>
      <c r="B247" s="9"/>
      <c r="C247" s="5"/>
      <c r="D247" s="9"/>
      <c r="E247" s="9"/>
      <c r="F247" s="9"/>
      <c r="G247" s="9"/>
      <c r="H247" s="9"/>
      <c r="I247" s="9"/>
      <c r="J247" s="5"/>
      <c r="K247" s="4"/>
      <c r="L247" s="10"/>
      <c r="M247" s="10"/>
      <c r="N247" s="10"/>
      <c r="O247" s="10"/>
      <c r="P247" s="10"/>
      <c r="Q247" s="11"/>
      <c r="R247" s="9"/>
      <c r="S247" s="12"/>
      <c r="T247" s="5"/>
      <c r="U247" s="5"/>
      <c r="V247" s="4"/>
      <c r="W247" s="4"/>
      <c r="X247" s="4"/>
      <c r="Y247" s="4"/>
    </row>
    <row r="248">
      <c r="A248" s="5"/>
      <c r="B248" s="9"/>
      <c r="C248" s="5"/>
      <c r="D248" s="9"/>
      <c r="E248" s="9"/>
      <c r="F248" s="9"/>
      <c r="G248" s="9"/>
      <c r="H248" s="9"/>
      <c r="I248" s="9"/>
      <c r="J248" s="5"/>
      <c r="K248" s="4"/>
      <c r="L248" s="10"/>
      <c r="M248" s="10"/>
      <c r="N248" s="10"/>
      <c r="O248" s="10"/>
      <c r="P248" s="10"/>
      <c r="Q248" s="11"/>
      <c r="R248" s="9"/>
      <c r="S248" s="12"/>
      <c r="T248" s="5"/>
      <c r="U248" s="5"/>
      <c r="V248" s="4"/>
      <c r="W248" s="4"/>
      <c r="X248" s="4"/>
      <c r="Y248" s="4"/>
    </row>
    <row r="249">
      <c r="A249" s="5"/>
      <c r="B249" s="9"/>
      <c r="C249" s="5"/>
      <c r="D249" s="9"/>
      <c r="E249" s="9"/>
      <c r="F249" s="9"/>
      <c r="G249" s="9"/>
      <c r="H249" s="9"/>
      <c r="I249" s="9"/>
      <c r="J249" s="5"/>
      <c r="K249" s="4"/>
      <c r="L249" s="10"/>
      <c r="M249" s="10"/>
      <c r="N249" s="10"/>
      <c r="O249" s="10"/>
      <c r="P249" s="10"/>
      <c r="Q249" s="11"/>
      <c r="R249" s="9"/>
      <c r="S249" s="12"/>
      <c r="T249" s="5"/>
      <c r="U249" s="5"/>
      <c r="V249" s="4"/>
      <c r="W249" s="4"/>
      <c r="X249" s="4"/>
      <c r="Y249" s="4"/>
    </row>
    <row r="250">
      <c r="A250" s="5"/>
      <c r="B250" s="9"/>
      <c r="C250" s="5"/>
      <c r="D250" s="9"/>
      <c r="E250" s="9"/>
      <c r="F250" s="9"/>
      <c r="G250" s="9"/>
      <c r="H250" s="9"/>
      <c r="I250" s="9"/>
      <c r="J250" s="5"/>
      <c r="K250" s="4"/>
      <c r="L250" s="10"/>
      <c r="M250" s="10"/>
      <c r="N250" s="10"/>
      <c r="O250" s="10"/>
      <c r="P250" s="10"/>
      <c r="Q250" s="11"/>
      <c r="R250" s="9"/>
      <c r="S250" s="12"/>
      <c r="T250" s="5"/>
      <c r="U250" s="5"/>
      <c r="V250" s="4"/>
      <c r="W250" s="4"/>
      <c r="X250" s="4"/>
      <c r="Y250" s="4"/>
    </row>
    <row r="251">
      <c r="A251" s="5"/>
      <c r="B251" s="9"/>
      <c r="C251" s="5"/>
      <c r="D251" s="9"/>
      <c r="E251" s="9"/>
      <c r="F251" s="9"/>
      <c r="G251" s="9"/>
      <c r="H251" s="9"/>
      <c r="I251" s="9"/>
      <c r="J251" s="5"/>
      <c r="K251" s="4"/>
      <c r="L251" s="10"/>
      <c r="M251" s="10"/>
      <c r="N251" s="10"/>
      <c r="O251" s="10"/>
      <c r="P251" s="10"/>
      <c r="Q251" s="11"/>
      <c r="R251" s="9"/>
      <c r="S251" s="12"/>
      <c r="T251" s="5"/>
      <c r="U251" s="5"/>
      <c r="V251" s="4"/>
      <c r="W251" s="4"/>
      <c r="X251" s="4"/>
      <c r="Y251" s="4"/>
    </row>
    <row r="252">
      <c r="A252" s="5"/>
      <c r="B252" s="9"/>
      <c r="C252" s="5"/>
      <c r="D252" s="9"/>
      <c r="E252" s="9"/>
      <c r="F252" s="9"/>
      <c r="G252" s="9"/>
      <c r="H252" s="9"/>
      <c r="I252" s="9"/>
      <c r="J252" s="5"/>
      <c r="K252" s="4"/>
      <c r="L252" s="10"/>
      <c r="M252" s="10"/>
      <c r="N252" s="10"/>
      <c r="O252" s="10"/>
      <c r="P252" s="10"/>
      <c r="Q252" s="11"/>
      <c r="R252" s="9"/>
      <c r="S252" s="12"/>
      <c r="T252" s="5"/>
      <c r="U252" s="5"/>
      <c r="V252" s="4"/>
      <c r="W252" s="4"/>
      <c r="X252" s="4"/>
      <c r="Y252" s="4"/>
    </row>
    <row r="253">
      <c r="A253" s="5"/>
      <c r="B253" s="9"/>
      <c r="C253" s="5"/>
      <c r="D253" s="9"/>
      <c r="E253" s="9"/>
      <c r="F253" s="9"/>
      <c r="G253" s="9"/>
      <c r="H253" s="9"/>
      <c r="I253" s="9"/>
      <c r="J253" s="5"/>
      <c r="K253" s="4"/>
      <c r="L253" s="10"/>
      <c r="M253" s="10"/>
      <c r="N253" s="10"/>
      <c r="O253" s="10"/>
      <c r="P253" s="10"/>
      <c r="Q253" s="11"/>
      <c r="R253" s="9"/>
      <c r="S253" s="12"/>
      <c r="T253" s="5"/>
      <c r="U253" s="5"/>
      <c r="V253" s="4"/>
      <c r="W253" s="4"/>
      <c r="X253" s="4"/>
      <c r="Y253" s="4"/>
    </row>
    <row r="254">
      <c r="A254" s="5"/>
      <c r="B254" s="9"/>
      <c r="C254" s="5"/>
      <c r="D254" s="9"/>
      <c r="E254" s="9"/>
      <c r="F254" s="9"/>
      <c r="G254" s="9"/>
      <c r="H254" s="9"/>
      <c r="I254" s="9"/>
      <c r="J254" s="5"/>
      <c r="K254" s="4"/>
      <c r="L254" s="10"/>
      <c r="M254" s="10"/>
      <c r="N254" s="10"/>
      <c r="O254" s="10"/>
      <c r="P254" s="10"/>
      <c r="Q254" s="11"/>
      <c r="R254" s="9"/>
      <c r="S254" s="12"/>
      <c r="T254" s="5"/>
      <c r="U254" s="5"/>
      <c r="V254" s="4"/>
      <c r="W254" s="4"/>
      <c r="X254" s="4"/>
      <c r="Y254" s="4"/>
    </row>
    <row r="255">
      <c r="A255" s="5"/>
      <c r="B255" s="9"/>
      <c r="C255" s="5"/>
      <c r="D255" s="9"/>
      <c r="E255" s="9"/>
      <c r="F255" s="9"/>
      <c r="G255" s="9"/>
      <c r="H255" s="9"/>
      <c r="I255" s="9"/>
      <c r="J255" s="5"/>
      <c r="K255" s="4"/>
      <c r="L255" s="10"/>
      <c r="M255" s="10"/>
      <c r="N255" s="10"/>
      <c r="O255" s="10"/>
      <c r="P255" s="10"/>
      <c r="Q255" s="11"/>
      <c r="R255" s="9"/>
      <c r="S255" s="12"/>
      <c r="T255" s="5"/>
      <c r="U255" s="5"/>
      <c r="V255" s="4"/>
      <c r="W255" s="4"/>
      <c r="X255" s="4"/>
      <c r="Y255" s="4"/>
    </row>
    <row r="256">
      <c r="A256" s="5"/>
      <c r="B256" s="9"/>
      <c r="C256" s="5"/>
      <c r="D256" s="9"/>
      <c r="E256" s="9"/>
      <c r="F256" s="9"/>
      <c r="G256" s="9"/>
      <c r="H256" s="9"/>
      <c r="I256" s="9"/>
      <c r="J256" s="5"/>
      <c r="K256" s="4"/>
      <c r="L256" s="10"/>
      <c r="M256" s="10"/>
      <c r="N256" s="10"/>
      <c r="O256" s="10"/>
      <c r="P256" s="10"/>
      <c r="Q256" s="11"/>
      <c r="R256" s="9"/>
      <c r="S256" s="12"/>
      <c r="T256" s="5"/>
      <c r="U256" s="5"/>
      <c r="V256" s="4"/>
      <c r="W256" s="4"/>
      <c r="X256" s="4"/>
      <c r="Y256" s="4"/>
    </row>
    <row r="257">
      <c r="A257" s="5"/>
      <c r="B257" s="9"/>
      <c r="C257" s="5"/>
      <c r="D257" s="9"/>
      <c r="E257" s="9"/>
      <c r="F257" s="9"/>
      <c r="G257" s="9"/>
      <c r="H257" s="9"/>
      <c r="I257" s="9"/>
      <c r="J257" s="5"/>
      <c r="K257" s="4"/>
      <c r="L257" s="10"/>
      <c r="M257" s="10"/>
      <c r="N257" s="10"/>
      <c r="O257" s="10"/>
      <c r="P257" s="10"/>
      <c r="Q257" s="11"/>
      <c r="R257" s="9"/>
      <c r="S257" s="12"/>
      <c r="T257" s="5"/>
      <c r="U257" s="5"/>
      <c r="V257" s="4"/>
      <c r="W257" s="4"/>
      <c r="X257" s="4"/>
      <c r="Y257" s="4"/>
    </row>
    <row r="258">
      <c r="A258" s="5"/>
      <c r="B258" s="9"/>
      <c r="C258" s="5"/>
      <c r="D258" s="9"/>
      <c r="E258" s="9"/>
      <c r="F258" s="9"/>
      <c r="G258" s="9"/>
      <c r="H258" s="9"/>
      <c r="I258" s="9"/>
      <c r="J258" s="5"/>
      <c r="K258" s="4"/>
      <c r="L258" s="10"/>
      <c r="M258" s="10"/>
      <c r="N258" s="10"/>
      <c r="O258" s="10"/>
      <c r="P258" s="10"/>
      <c r="Q258" s="11"/>
      <c r="R258" s="9"/>
      <c r="S258" s="12"/>
      <c r="T258" s="5"/>
      <c r="U258" s="5"/>
      <c r="V258" s="4"/>
      <c r="W258" s="4"/>
      <c r="X258" s="4"/>
      <c r="Y258" s="4"/>
    </row>
    <row r="259">
      <c r="A259" s="5"/>
      <c r="B259" s="9"/>
      <c r="C259" s="5"/>
      <c r="D259" s="9"/>
      <c r="E259" s="9"/>
      <c r="F259" s="9"/>
      <c r="G259" s="9"/>
      <c r="H259" s="9"/>
      <c r="I259" s="9"/>
      <c r="J259" s="5"/>
      <c r="K259" s="4"/>
      <c r="L259" s="10"/>
      <c r="M259" s="10"/>
      <c r="N259" s="10"/>
      <c r="O259" s="10"/>
      <c r="P259" s="10"/>
      <c r="Q259" s="11"/>
      <c r="R259" s="9"/>
      <c r="S259" s="12"/>
      <c r="T259" s="5"/>
      <c r="U259" s="5"/>
      <c r="V259" s="4"/>
      <c r="W259" s="4"/>
      <c r="X259" s="4"/>
      <c r="Y259" s="4"/>
    </row>
    <row r="260">
      <c r="A260" s="5"/>
      <c r="B260" s="9"/>
      <c r="C260" s="5"/>
      <c r="D260" s="9"/>
      <c r="E260" s="9"/>
      <c r="F260" s="9"/>
      <c r="G260" s="9"/>
      <c r="H260" s="9"/>
      <c r="I260" s="9"/>
      <c r="J260" s="5"/>
      <c r="K260" s="4"/>
      <c r="L260" s="10"/>
      <c r="M260" s="10"/>
      <c r="N260" s="10"/>
      <c r="O260" s="10"/>
      <c r="P260" s="10"/>
      <c r="Q260" s="11"/>
      <c r="R260" s="9"/>
      <c r="S260" s="12"/>
      <c r="T260" s="5"/>
      <c r="U260" s="5"/>
      <c r="V260" s="4"/>
      <c r="W260" s="4"/>
      <c r="X260" s="4"/>
      <c r="Y260" s="4"/>
    </row>
    <row r="261">
      <c r="A261" s="5"/>
      <c r="B261" s="9"/>
      <c r="C261" s="5"/>
      <c r="D261" s="9"/>
      <c r="E261" s="9"/>
      <c r="F261" s="9"/>
      <c r="G261" s="9"/>
      <c r="H261" s="9"/>
      <c r="I261" s="9"/>
      <c r="J261" s="5"/>
      <c r="K261" s="4"/>
      <c r="L261" s="10"/>
      <c r="M261" s="10"/>
      <c r="N261" s="10"/>
      <c r="O261" s="10"/>
      <c r="P261" s="10"/>
      <c r="Q261" s="11"/>
      <c r="R261" s="9"/>
      <c r="S261" s="12"/>
      <c r="T261" s="5"/>
      <c r="U261" s="5"/>
      <c r="V261" s="4"/>
      <c r="W261" s="4"/>
      <c r="X261" s="4"/>
      <c r="Y261" s="4"/>
    </row>
    <row r="262">
      <c r="A262" s="5"/>
      <c r="B262" s="9"/>
      <c r="C262" s="5"/>
      <c r="D262" s="9"/>
      <c r="E262" s="9"/>
      <c r="F262" s="9"/>
      <c r="G262" s="9"/>
      <c r="H262" s="9"/>
      <c r="I262" s="9"/>
      <c r="J262" s="5"/>
      <c r="K262" s="4"/>
      <c r="L262" s="10"/>
      <c r="M262" s="10"/>
      <c r="N262" s="10"/>
      <c r="O262" s="10"/>
      <c r="P262" s="10"/>
      <c r="Q262" s="11"/>
      <c r="R262" s="9"/>
      <c r="S262" s="12"/>
      <c r="T262" s="5"/>
      <c r="U262" s="5"/>
      <c r="V262" s="4"/>
      <c r="W262" s="4"/>
      <c r="X262" s="4"/>
      <c r="Y262" s="4"/>
    </row>
    <row r="263">
      <c r="A263" s="5"/>
      <c r="B263" s="9"/>
      <c r="C263" s="5"/>
      <c r="D263" s="9"/>
      <c r="E263" s="9"/>
      <c r="F263" s="9"/>
      <c r="G263" s="9"/>
      <c r="H263" s="9"/>
      <c r="I263" s="9"/>
      <c r="J263" s="5"/>
      <c r="K263" s="4"/>
      <c r="L263" s="10"/>
      <c r="M263" s="10"/>
      <c r="N263" s="10"/>
      <c r="O263" s="10"/>
      <c r="P263" s="10"/>
      <c r="Q263" s="11"/>
      <c r="R263" s="9"/>
      <c r="S263" s="12"/>
      <c r="T263" s="5"/>
      <c r="U263" s="5"/>
      <c r="V263" s="4"/>
      <c r="W263" s="4"/>
      <c r="X263" s="4"/>
      <c r="Y263" s="4"/>
    </row>
    <row r="264">
      <c r="A264" s="5"/>
      <c r="B264" s="9"/>
      <c r="C264" s="5"/>
      <c r="D264" s="9"/>
      <c r="E264" s="9"/>
      <c r="F264" s="9"/>
      <c r="G264" s="9"/>
      <c r="H264" s="9"/>
      <c r="I264" s="9"/>
      <c r="J264" s="5"/>
      <c r="K264" s="4"/>
      <c r="L264" s="10"/>
      <c r="M264" s="10"/>
      <c r="N264" s="10"/>
      <c r="O264" s="10"/>
      <c r="P264" s="10"/>
      <c r="Q264" s="11"/>
      <c r="R264" s="9"/>
      <c r="S264" s="12"/>
      <c r="T264" s="5"/>
      <c r="U264" s="5"/>
      <c r="V264" s="4"/>
      <c r="W264" s="4"/>
      <c r="X264" s="4"/>
      <c r="Y264" s="4"/>
    </row>
    <row r="265">
      <c r="A265" s="5"/>
      <c r="B265" s="9"/>
      <c r="C265" s="5"/>
      <c r="D265" s="9"/>
      <c r="E265" s="9"/>
      <c r="F265" s="9"/>
      <c r="G265" s="9"/>
      <c r="H265" s="9"/>
      <c r="I265" s="9"/>
      <c r="J265" s="5"/>
      <c r="K265" s="4"/>
      <c r="L265" s="10"/>
      <c r="M265" s="10"/>
      <c r="N265" s="10"/>
      <c r="O265" s="10"/>
      <c r="P265" s="10"/>
      <c r="Q265" s="11"/>
      <c r="R265" s="9"/>
      <c r="S265" s="12"/>
      <c r="T265" s="5"/>
      <c r="U265" s="5"/>
      <c r="V265" s="4"/>
      <c r="W265" s="4"/>
      <c r="X265" s="4"/>
      <c r="Y265" s="4"/>
    </row>
    <row r="266">
      <c r="A266" s="5"/>
      <c r="B266" s="9"/>
      <c r="C266" s="5"/>
      <c r="D266" s="9"/>
      <c r="E266" s="9"/>
      <c r="F266" s="9"/>
      <c r="G266" s="9"/>
      <c r="H266" s="9"/>
      <c r="I266" s="9"/>
      <c r="J266" s="5"/>
      <c r="K266" s="4"/>
      <c r="L266" s="10"/>
      <c r="M266" s="10"/>
      <c r="N266" s="10"/>
      <c r="O266" s="10"/>
      <c r="P266" s="10"/>
      <c r="Q266" s="11"/>
      <c r="R266" s="9"/>
      <c r="S266" s="12"/>
      <c r="T266" s="5"/>
      <c r="U266" s="5"/>
      <c r="V266" s="4"/>
      <c r="W266" s="4"/>
      <c r="X266" s="4"/>
      <c r="Y266" s="4"/>
    </row>
    <row r="267">
      <c r="A267" s="5"/>
      <c r="B267" s="9"/>
      <c r="C267" s="5"/>
      <c r="D267" s="9"/>
      <c r="E267" s="9"/>
      <c r="F267" s="9"/>
      <c r="G267" s="9"/>
      <c r="H267" s="9"/>
      <c r="I267" s="9"/>
      <c r="J267" s="5"/>
      <c r="K267" s="4"/>
      <c r="L267" s="10"/>
      <c r="M267" s="10"/>
      <c r="N267" s="10"/>
      <c r="O267" s="10"/>
      <c r="P267" s="10"/>
      <c r="Q267" s="11"/>
      <c r="R267" s="9"/>
      <c r="S267" s="12"/>
      <c r="T267" s="5"/>
      <c r="U267" s="5"/>
      <c r="V267" s="4"/>
      <c r="W267" s="4"/>
      <c r="X267" s="4"/>
      <c r="Y267" s="4"/>
    </row>
    <row r="268">
      <c r="A268" s="5"/>
      <c r="B268" s="9"/>
      <c r="C268" s="5"/>
      <c r="D268" s="9"/>
      <c r="E268" s="9"/>
      <c r="F268" s="9"/>
      <c r="G268" s="9"/>
      <c r="H268" s="9"/>
      <c r="I268" s="9"/>
      <c r="J268" s="5"/>
      <c r="K268" s="4"/>
      <c r="L268" s="10"/>
      <c r="M268" s="10"/>
      <c r="N268" s="10"/>
      <c r="O268" s="10"/>
      <c r="P268" s="10"/>
      <c r="Q268" s="11"/>
      <c r="R268" s="9"/>
      <c r="S268" s="12"/>
      <c r="T268" s="5"/>
      <c r="U268" s="5"/>
      <c r="V268" s="4"/>
      <c r="W268" s="4"/>
      <c r="X268" s="4"/>
      <c r="Y268" s="4"/>
    </row>
    <row r="269">
      <c r="A269" s="5"/>
      <c r="B269" s="9"/>
      <c r="C269" s="5"/>
      <c r="D269" s="9"/>
      <c r="E269" s="9"/>
      <c r="F269" s="9"/>
      <c r="G269" s="9"/>
      <c r="H269" s="9"/>
      <c r="I269" s="9"/>
      <c r="J269" s="5"/>
      <c r="K269" s="4"/>
      <c r="L269" s="10"/>
      <c r="M269" s="10"/>
      <c r="N269" s="10"/>
      <c r="O269" s="10"/>
      <c r="P269" s="10"/>
      <c r="Q269" s="11"/>
      <c r="R269" s="9"/>
      <c r="S269" s="12"/>
      <c r="T269" s="5"/>
      <c r="U269" s="5"/>
      <c r="V269" s="4"/>
      <c r="W269" s="4"/>
      <c r="X269" s="4"/>
      <c r="Y269" s="4"/>
    </row>
    <row r="270">
      <c r="A270" s="5"/>
      <c r="B270" s="9"/>
      <c r="C270" s="5"/>
      <c r="D270" s="9"/>
      <c r="E270" s="9"/>
      <c r="F270" s="9"/>
      <c r="G270" s="9"/>
      <c r="H270" s="9"/>
      <c r="I270" s="9"/>
      <c r="J270" s="5"/>
      <c r="K270" s="4"/>
      <c r="L270" s="10"/>
      <c r="M270" s="10"/>
      <c r="N270" s="10"/>
      <c r="O270" s="10"/>
      <c r="P270" s="10"/>
      <c r="Q270" s="11"/>
      <c r="R270" s="9"/>
      <c r="S270" s="12"/>
      <c r="T270" s="5"/>
      <c r="U270" s="5"/>
      <c r="V270" s="4"/>
      <c r="W270" s="4"/>
      <c r="X270" s="4"/>
      <c r="Y270" s="4"/>
    </row>
    <row r="271">
      <c r="A271" s="5"/>
      <c r="B271" s="9"/>
      <c r="C271" s="5"/>
      <c r="D271" s="9"/>
      <c r="E271" s="9"/>
      <c r="F271" s="9"/>
      <c r="G271" s="9"/>
      <c r="H271" s="9"/>
      <c r="I271" s="9"/>
      <c r="J271" s="5"/>
      <c r="K271" s="4"/>
      <c r="L271" s="10"/>
      <c r="M271" s="10"/>
      <c r="N271" s="10"/>
      <c r="O271" s="10"/>
      <c r="P271" s="10"/>
      <c r="Q271" s="11"/>
      <c r="R271" s="9"/>
      <c r="S271" s="12"/>
      <c r="T271" s="5"/>
      <c r="U271" s="5"/>
      <c r="V271" s="4"/>
      <c r="W271" s="4"/>
      <c r="X271" s="4"/>
      <c r="Y271" s="4"/>
    </row>
    <row r="272">
      <c r="A272" s="5"/>
      <c r="B272" s="9"/>
      <c r="C272" s="5"/>
      <c r="D272" s="9"/>
      <c r="E272" s="9"/>
      <c r="F272" s="9"/>
      <c r="G272" s="9"/>
      <c r="H272" s="9"/>
      <c r="I272" s="9"/>
      <c r="J272" s="5"/>
      <c r="K272" s="4"/>
      <c r="L272" s="10"/>
      <c r="M272" s="10"/>
      <c r="N272" s="10"/>
      <c r="O272" s="10"/>
      <c r="P272" s="10"/>
      <c r="Q272" s="11"/>
      <c r="R272" s="9"/>
      <c r="S272" s="12"/>
      <c r="T272" s="5"/>
      <c r="U272" s="5"/>
      <c r="V272" s="4"/>
      <c r="W272" s="4"/>
      <c r="X272" s="4"/>
      <c r="Y272" s="4"/>
    </row>
    <row r="273">
      <c r="A273" s="5"/>
      <c r="B273" s="9"/>
      <c r="C273" s="5"/>
      <c r="D273" s="9"/>
      <c r="E273" s="9"/>
      <c r="F273" s="9"/>
      <c r="G273" s="9"/>
      <c r="H273" s="9"/>
      <c r="I273" s="9"/>
      <c r="J273" s="5"/>
      <c r="K273" s="4"/>
      <c r="L273" s="10"/>
      <c r="M273" s="10"/>
      <c r="N273" s="10"/>
      <c r="O273" s="10"/>
      <c r="P273" s="10"/>
      <c r="Q273" s="11"/>
      <c r="R273" s="9"/>
      <c r="S273" s="12"/>
      <c r="T273" s="5"/>
      <c r="U273" s="5"/>
      <c r="V273" s="4"/>
      <c r="W273" s="4"/>
      <c r="X273" s="4"/>
      <c r="Y273" s="4"/>
    </row>
    <row r="274">
      <c r="A274" s="5"/>
      <c r="B274" s="9"/>
      <c r="C274" s="5"/>
      <c r="D274" s="9"/>
      <c r="E274" s="9"/>
      <c r="F274" s="9"/>
      <c r="G274" s="9"/>
      <c r="H274" s="9"/>
      <c r="I274" s="9"/>
      <c r="J274" s="5"/>
      <c r="K274" s="4"/>
      <c r="L274" s="10"/>
      <c r="M274" s="10"/>
      <c r="N274" s="10"/>
      <c r="O274" s="10"/>
      <c r="P274" s="10"/>
      <c r="Q274" s="11"/>
      <c r="R274" s="9"/>
      <c r="S274" s="12"/>
      <c r="T274" s="5"/>
      <c r="U274" s="5"/>
      <c r="V274" s="4"/>
      <c r="W274" s="4"/>
      <c r="X274" s="4"/>
      <c r="Y274" s="4"/>
    </row>
    <row r="275">
      <c r="A275" s="5"/>
      <c r="B275" s="9"/>
      <c r="C275" s="5"/>
      <c r="D275" s="9"/>
      <c r="E275" s="9"/>
      <c r="F275" s="9"/>
      <c r="G275" s="9"/>
      <c r="H275" s="9"/>
      <c r="I275" s="9"/>
      <c r="J275" s="5"/>
      <c r="K275" s="4"/>
      <c r="L275" s="10"/>
      <c r="M275" s="10"/>
      <c r="N275" s="10"/>
      <c r="O275" s="10"/>
      <c r="P275" s="10"/>
      <c r="Q275" s="11"/>
      <c r="R275" s="9"/>
      <c r="S275" s="12"/>
      <c r="T275" s="5"/>
      <c r="U275" s="5"/>
      <c r="V275" s="4"/>
      <c r="W275" s="4"/>
      <c r="X275" s="4"/>
      <c r="Y275" s="4"/>
    </row>
    <row r="276">
      <c r="A276" s="5"/>
      <c r="B276" s="9"/>
      <c r="C276" s="5"/>
      <c r="D276" s="9"/>
      <c r="E276" s="9"/>
      <c r="F276" s="9"/>
      <c r="G276" s="9"/>
      <c r="H276" s="9"/>
      <c r="I276" s="9"/>
      <c r="J276" s="5"/>
      <c r="K276" s="4"/>
      <c r="L276" s="10"/>
      <c r="M276" s="10"/>
      <c r="N276" s="10"/>
      <c r="O276" s="10"/>
      <c r="P276" s="10"/>
      <c r="Q276" s="11"/>
      <c r="R276" s="9"/>
      <c r="S276" s="12"/>
      <c r="T276" s="5"/>
      <c r="U276" s="5"/>
      <c r="V276" s="4"/>
      <c r="W276" s="4"/>
      <c r="X276" s="4"/>
      <c r="Y276" s="4"/>
    </row>
    <row r="277">
      <c r="A277" s="5"/>
      <c r="B277" s="9"/>
      <c r="C277" s="5"/>
      <c r="D277" s="9"/>
      <c r="E277" s="9"/>
      <c r="F277" s="9"/>
      <c r="G277" s="9"/>
      <c r="H277" s="9"/>
      <c r="I277" s="9"/>
      <c r="J277" s="5"/>
      <c r="K277" s="4"/>
      <c r="L277" s="10"/>
      <c r="M277" s="10"/>
      <c r="N277" s="10"/>
      <c r="O277" s="10"/>
      <c r="P277" s="10"/>
      <c r="Q277" s="11"/>
      <c r="R277" s="9"/>
      <c r="S277" s="12"/>
      <c r="T277" s="5"/>
      <c r="U277" s="5"/>
      <c r="V277" s="4"/>
      <c r="W277" s="4"/>
      <c r="X277" s="4"/>
      <c r="Y277" s="4"/>
    </row>
    <row r="278">
      <c r="A278" s="5"/>
      <c r="B278" s="9"/>
      <c r="C278" s="5"/>
      <c r="D278" s="9"/>
      <c r="E278" s="9"/>
      <c r="F278" s="9"/>
      <c r="G278" s="9"/>
      <c r="H278" s="9"/>
      <c r="I278" s="9"/>
      <c r="J278" s="5"/>
      <c r="K278" s="4"/>
      <c r="L278" s="10"/>
      <c r="M278" s="10"/>
      <c r="N278" s="10"/>
      <c r="O278" s="10"/>
      <c r="P278" s="10"/>
      <c r="Q278" s="11"/>
      <c r="R278" s="9"/>
      <c r="S278" s="12"/>
      <c r="T278" s="5"/>
      <c r="U278" s="5"/>
      <c r="V278" s="4"/>
      <c r="W278" s="4"/>
      <c r="X278" s="4"/>
      <c r="Y278" s="4"/>
    </row>
    <row r="279">
      <c r="A279" s="5"/>
      <c r="B279" s="9"/>
      <c r="C279" s="5"/>
      <c r="D279" s="9"/>
      <c r="E279" s="9"/>
      <c r="F279" s="9"/>
      <c r="G279" s="9"/>
      <c r="H279" s="9"/>
      <c r="I279" s="9"/>
      <c r="J279" s="5"/>
      <c r="K279" s="4"/>
      <c r="L279" s="10"/>
      <c r="M279" s="10"/>
      <c r="N279" s="10"/>
      <c r="O279" s="10"/>
      <c r="P279" s="10"/>
      <c r="Q279" s="11"/>
      <c r="R279" s="9"/>
      <c r="S279" s="12"/>
      <c r="T279" s="5"/>
      <c r="U279" s="5"/>
      <c r="V279" s="4"/>
      <c r="W279" s="4"/>
      <c r="X279" s="4"/>
      <c r="Y279" s="4"/>
    </row>
    <row r="280">
      <c r="A280" s="5"/>
      <c r="B280" s="9"/>
      <c r="C280" s="5"/>
      <c r="D280" s="9"/>
      <c r="E280" s="9"/>
      <c r="F280" s="9"/>
      <c r="G280" s="9"/>
      <c r="H280" s="9"/>
      <c r="I280" s="9"/>
      <c r="J280" s="5"/>
      <c r="K280" s="4"/>
      <c r="L280" s="10"/>
      <c r="M280" s="10"/>
      <c r="N280" s="10"/>
      <c r="O280" s="10"/>
      <c r="P280" s="10"/>
      <c r="Q280" s="11"/>
      <c r="R280" s="9"/>
      <c r="S280" s="12"/>
      <c r="T280" s="5"/>
      <c r="U280" s="5"/>
      <c r="V280" s="4"/>
      <c r="W280" s="4"/>
      <c r="X280" s="4"/>
      <c r="Y280" s="4"/>
    </row>
    <row r="281">
      <c r="A281" s="5"/>
      <c r="B281" s="9"/>
      <c r="C281" s="5"/>
      <c r="D281" s="9"/>
      <c r="E281" s="9"/>
      <c r="F281" s="9"/>
      <c r="G281" s="9"/>
      <c r="H281" s="9"/>
      <c r="I281" s="9"/>
      <c r="J281" s="5"/>
      <c r="K281" s="4"/>
      <c r="L281" s="10"/>
      <c r="M281" s="10"/>
      <c r="N281" s="10"/>
      <c r="O281" s="10"/>
      <c r="P281" s="10"/>
      <c r="Q281" s="11"/>
      <c r="R281" s="9"/>
      <c r="S281" s="12"/>
      <c r="T281" s="5"/>
      <c r="U281" s="5"/>
      <c r="V281" s="4"/>
      <c r="W281" s="4"/>
      <c r="X281" s="4"/>
      <c r="Y281" s="4"/>
    </row>
    <row r="282">
      <c r="A282" s="5"/>
      <c r="B282" s="9"/>
      <c r="C282" s="5"/>
      <c r="D282" s="9"/>
      <c r="E282" s="9"/>
      <c r="F282" s="9"/>
      <c r="G282" s="9"/>
      <c r="H282" s="9"/>
      <c r="I282" s="9"/>
      <c r="J282" s="5"/>
      <c r="K282" s="4"/>
      <c r="L282" s="10"/>
      <c r="M282" s="10"/>
      <c r="N282" s="10"/>
      <c r="O282" s="10"/>
      <c r="P282" s="10"/>
      <c r="Q282" s="11"/>
      <c r="R282" s="9"/>
      <c r="S282" s="12"/>
      <c r="T282" s="5"/>
      <c r="U282" s="5"/>
      <c r="V282" s="4"/>
      <c r="W282" s="4"/>
      <c r="X282" s="4"/>
      <c r="Y282" s="4"/>
    </row>
    <row r="283">
      <c r="A283" s="5"/>
      <c r="B283" s="9"/>
      <c r="C283" s="5"/>
      <c r="D283" s="9"/>
      <c r="E283" s="9"/>
      <c r="F283" s="9"/>
      <c r="G283" s="9"/>
      <c r="H283" s="9"/>
      <c r="I283" s="9"/>
      <c r="J283" s="5"/>
      <c r="K283" s="4"/>
      <c r="L283" s="10"/>
      <c r="M283" s="10"/>
      <c r="N283" s="10"/>
      <c r="O283" s="10"/>
      <c r="P283" s="10"/>
      <c r="Q283" s="11"/>
      <c r="R283" s="9"/>
      <c r="S283" s="12"/>
      <c r="T283" s="5"/>
      <c r="U283" s="5"/>
      <c r="V283" s="4"/>
      <c r="W283" s="4"/>
      <c r="X283" s="4"/>
      <c r="Y283" s="4"/>
    </row>
    <row r="284">
      <c r="A284" s="5"/>
      <c r="B284" s="9"/>
      <c r="C284" s="5"/>
      <c r="D284" s="9"/>
      <c r="E284" s="9"/>
      <c r="F284" s="9"/>
      <c r="G284" s="9"/>
      <c r="H284" s="9"/>
      <c r="I284" s="9"/>
      <c r="J284" s="5"/>
      <c r="K284" s="4"/>
      <c r="L284" s="10"/>
      <c r="M284" s="10"/>
      <c r="N284" s="10"/>
      <c r="O284" s="10"/>
      <c r="P284" s="10"/>
      <c r="Q284" s="11"/>
      <c r="R284" s="9"/>
      <c r="S284" s="12"/>
      <c r="T284" s="5"/>
      <c r="U284" s="5"/>
      <c r="V284" s="4"/>
      <c r="W284" s="4"/>
      <c r="X284" s="4"/>
      <c r="Y284" s="4"/>
    </row>
    <row r="285">
      <c r="A285" s="5"/>
      <c r="B285" s="9"/>
      <c r="C285" s="5"/>
      <c r="D285" s="9"/>
      <c r="E285" s="9"/>
      <c r="F285" s="9"/>
      <c r="G285" s="9"/>
      <c r="H285" s="9"/>
      <c r="I285" s="9"/>
      <c r="J285" s="5"/>
      <c r="K285" s="4"/>
      <c r="L285" s="10"/>
      <c r="M285" s="10"/>
      <c r="N285" s="10"/>
      <c r="O285" s="10"/>
      <c r="P285" s="10"/>
      <c r="Q285" s="11"/>
      <c r="R285" s="9"/>
      <c r="S285" s="12"/>
      <c r="T285" s="5"/>
      <c r="U285" s="5"/>
      <c r="V285" s="4"/>
      <c r="W285" s="4"/>
      <c r="X285" s="4"/>
      <c r="Y285" s="4"/>
    </row>
    <row r="286">
      <c r="A286" s="5"/>
      <c r="B286" s="9"/>
      <c r="C286" s="5"/>
      <c r="D286" s="9"/>
      <c r="E286" s="9"/>
      <c r="F286" s="9"/>
      <c r="G286" s="9"/>
      <c r="H286" s="9"/>
      <c r="I286" s="9"/>
      <c r="J286" s="5"/>
      <c r="K286" s="4"/>
      <c r="L286" s="10"/>
      <c r="M286" s="10"/>
      <c r="N286" s="10"/>
      <c r="O286" s="10"/>
      <c r="P286" s="10"/>
      <c r="Q286" s="11"/>
      <c r="R286" s="9"/>
      <c r="S286" s="12"/>
      <c r="T286" s="5"/>
      <c r="U286" s="5"/>
      <c r="V286" s="4"/>
      <c r="W286" s="4"/>
      <c r="X286" s="4"/>
      <c r="Y286" s="4"/>
    </row>
    <row r="287">
      <c r="A287" s="5"/>
      <c r="B287" s="9"/>
      <c r="C287" s="5"/>
      <c r="D287" s="9"/>
      <c r="E287" s="9"/>
      <c r="F287" s="9"/>
      <c r="G287" s="9"/>
      <c r="H287" s="9"/>
      <c r="I287" s="9"/>
      <c r="J287" s="5"/>
      <c r="K287" s="4"/>
      <c r="L287" s="10"/>
      <c r="M287" s="10"/>
      <c r="N287" s="10"/>
      <c r="O287" s="10"/>
      <c r="P287" s="10"/>
      <c r="Q287" s="11"/>
      <c r="R287" s="9"/>
      <c r="S287" s="12"/>
      <c r="T287" s="5"/>
      <c r="U287" s="5"/>
      <c r="V287" s="4"/>
      <c r="W287" s="4"/>
      <c r="X287" s="4"/>
      <c r="Y287" s="4"/>
    </row>
    <row r="288">
      <c r="A288" s="5"/>
      <c r="B288" s="9"/>
      <c r="C288" s="5"/>
      <c r="D288" s="9"/>
      <c r="E288" s="9"/>
      <c r="F288" s="9"/>
      <c r="G288" s="9"/>
      <c r="H288" s="9"/>
      <c r="I288" s="9"/>
      <c r="J288" s="5"/>
      <c r="K288" s="4"/>
      <c r="L288" s="10"/>
      <c r="M288" s="10"/>
      <c r="N288" s="10"/>
      <c r="O288" s="10"/>
      <c r="P288" s="10"/>
      <c r="Q288" s="11"/>
      <c r="R288" s="9"/>
      <c r="S288" s="12"/>
      <c r="T288" s="5"/>
      <c r="U288" s="5"/>
      <c r="V288" s="4"/>
      <c r="W288" s="4"/>
      <c r="X288" s="4"/>
      <c r="Y288" s="4"/>
    </row>
    <row r="289">
      <c r="A289" s="5"/>
      <c r="B289" s="9"/>
      <c r="C289" s="5"/>
      <c r="D289" s="9"/>
      <c r="E289" s="9"/>
      <c r="F289" s="9"/>
      <c r="G289" s="9"/>
      <c r="H289" s="9"/>
      <c r="I289" s="9"/>
      <c r="J289" s="5"/>
      <c r="K289" s="4"/>
      <c r="L289" s="10"/>
      <c r="M289" s="10"/>
      <c r="N289" s="10"/>
      <c r="O289" s="10"/>
      <c r="P289" s="10"/>
      <c r="Q289" s="11"/>
      <c r="R289" s="9"/>
      <c r="S289" s="12"/>
      <c r="T289" s="5"/>
      <c r="U289" s="5"/>
      <c r="V289" s="4"/>
      <c r="W289" s="4"/>
      <c r="X289" s="4"/>
      <c r="Y289" s="4"/>
    </row>
    <row r="290">
      <c r="A290" s="5"/>
      <c r="B290" s="9"/>
      <c r="C290" s="5"/>
      <c r="D290" s="9"/>
      <c r="E290" s="9"/>
      <c r="F290" s="9"/>
      <c r="G290" s="9"/>
      <c r="H290" s="9"/>
      <c r="I290" s="9"/>
      <c r="J290" s="5"/>
      <c r="K290" s="4"/>
      <c r="L290" s="10"/>
      <c r="M290" s="10"/>
      <c r="N290" s="10"/>
      <c r="O290" s="10"/>
      <c r="P290" s="10"/>
      <c r="Q290" s="11"/>
      <c r="R290" s="9"/>
      <c r="S290" s="12"/>
      <c r="T290" s="5"/>
      <c r="U290" s="5"/>
      <c r="V290" s="4"/>
      <c r="W290" s="4"/>
      <c r="X290" s="4"/>
      <c r="Y290" s="4"/>
    </row>
    <row r="291">
      <c r="A291" s="5"/>
      <c r="B291" s="9"/>
      <c r="C291" s="5"/>
      <c r="D291" s="9"/>
      <c r="E291" s="9"/>
      <c r="F291" s="9"/>
      <c r="G291" s="9"/>
      <c r="H291" s="9"/>
      <c r="I291" s="9"/>
      <c r="J291" s="5"/>
      <c r="K291" s="4"/>
      <c r="L291" s="10"/>
      <c r="M291" s="10"/>
      <c r="N291" s="10"/>
      <c r="O291" s="10"/>
      <c r="P291" s="10"/>
      <c r="Q291" s="11"/>
      <c r="R291" s="9"/>
      <c r="S291" s="12"/>
      <c r="T291" s="5"/>
      <c r="U291" s="5"/>
      <c r="V291" s="4"/>
      <c r="W291" s="4"/>
      <c r="X291" s="4"/>
      <c r="Y291" s="4"/>
    </row>
    <row r="292">
      <c r="A292" s="5"/>
      <c r="B292" s="9"/>
      <c r="C292" s="5"/>
      <c r="D292" s="9"/>
      <c r="E292" s="9"/>
      <c r="F292" s="9"/>
      <c r="G292" s="9"/>
      <c r="H292" s="9"/>
      <c r="I292" s="9"/>
      <c r="J292" s="5"/>
      <c r="K292" s="4"/>
      <c r="L292" s="10"/>
      <c r="M292" s="10"/>
      <c r="N292" s="10"/>
      <c r="O292" s="10"/>
      <c r="P292" s="10"/>
      <c r="Q292" s="11"/>
      <c r="R292" s="9"/>
      <c r="S292" s="12"/>
      <c r="T292" s="5"/>
      <c r="U292" s="5"/>
      <c r="V292" s="4"/>
      <c r="W292" s="4"/>
      <c r="X292" s="4"/>
      <c r="Y292" s="4"/>
    </row>
    <row r="293">
      <c r="A293" s="5"/>
      <c r="B293" s="9"/>
      <c r="C293" s="5"/>
      <c r="D293" s="9"/>
      <c r="E293" s="9"/>
      <c r="F293" s="9"/>
      <c r="G293" s="9"/>
      <c r="H293" s="9"/>
      <c r="I293" s="9"/>
      <c r="J293" s="5"/>
      <c r="K293" s="4"/>
      <c r="L293" s="10"/>
      <c r="M293" s="10"/>
      <c r="N293" s="10"/>
      <c r="O293" s="10"/>
      <c r="P293" s="10"/>
      <c r="Q293" s="11"/>
      <c r="R293" s="9"/>
      <c r="S293" s="12"/>
      <c r="T293" s="5"/>
      <c r="U293" s="5"/>
      <c r="V293" s="4"/>
      <c r="W293" s="4"/>
      <c r="X293" s="4"/>
      <c r="Y293" s="4"/>
    </row>
    <row r="294">
      <c r="A294" s="5"/>
      <c r="B294" s="9"/>
      <c r="C294" s="5"/>
      <c r="D294" s="9"/>
      <c r="E294" s="9"/>
      <c r="F294" s="9"/>
      <c r="G294" s="9"/>
      <c r="H294" s="9"/>
      <c r="I294" s="9"/>
      <c r="J294" s="5"/>
      <c r="K294" s="4"/>
      <c r="L294" s="10"/>
      <c r="M294" s="10"/>
      <c r="N294" s="10"/>
      <c r="O294" s="10"/>
      <c r="P294" s="10"/>
      <c r="Q294" s="11"/>
      <c r="R294" s="9"/>
      <c r="S294" s="12"/>
      <c r="T294" s="5"/>
      <c r="U294" s="5"/>
      <c r="V294" s="4"/>
      <c r="W294" s="4"/>
      <c r="X294" s="4"/>
      <c r="Y294" s="4"/>
    </row>
    <row r="295">
      <c r="A295" s="5"/>
      <c r="B295" s="9"/>
      <c r="C295" s="5"/>
      <c r="D295" s="9"/>
      <c r="E295" s="9"/>
      <c r="F295" s="9"/>
      <c r="G295" s="9"/>
      <c r="H295" s="9"/>
      <c r="I295" s="9"/>
      <c r="J295" s="5"/>
      <c r="K295" s="4"/>
      <c r="L295" s="10"/>
      <c r="M295" s="10"/>
      <c r="N295" s="10"/>
      <c r="O295" s="10"/>
      <c r="P295" s="10"/>
      <c r="Q295" s="11"/>
      <c r="R295" s="9"/>
      <c r="S295" s="12"/>
      <c r="T295" s="5"/>
      <c r="U295" s="5"/>
      <c r="V295" s="4"/>
      <c r="W295" s="4"/>
      <c r="X295" s="4"/>
      <c r="Y295" s="4"/>
    </row>
    <row r="296">
      <c r="A296" s="5"/>
      <c r="B296" s="9"/>
      <c r="C296" s="5"/>
      <c r="D296" s="9"/>
      <c r="E296" s="9"/>
      <c r="F296" s="9"/>
      <c r="G296" s="9"/>
      <c r="H296" s="9"/>
      <c r="I296" s="9"/>
      <c r="J296" s="5"/>
      <c r="K296" s="4"/>
      <c r="L296" s="10"/>
      <c r="M296" s="10"/>
      <c r="N296" s="10"/>
      <c r="O296" s="10"/>
      <c r="P296" s="10"/>
      <c r="Q296" s="11"/>
      <c r="R296" s="9"/>
      <c r="S296" s="12"/>
      <c r="T296" s="5"/>
      <c r="U296" s="5"/>
      <c r="V296" s="4"/>
      <c r="W296" s="4"/>
      <c r="X296" s="4"/>
      <c r="Y296" s="4"/>
    </row>
    <row r="297">
      <c r="A297" s="5"/>
      <c r="B297" s="9"/>
      <c r="C297" s="5"/>
      <c r="D297" s="9"/>
      <c r="E297" s="9"/>
      <c r="F297" s="9"/>
      <c r="G297" s="9"/>
      <c r="H297" s="9"/>
      <c r="I297" s="9"/>
      <c r="J297" s="5"/>
      <c r="K297" s="4"/>
      <c r="L297" s="10"/>
      <c r="M297" s="10"/>
      <c r="N297" s="10"/>
      <c r="O297" s="10"/>
      <c r="P297" s="10"/>
      <c r="Q297" s="11"/>
      <c r="R297" s="9"/>
      <c r="S297" s="12"/>
      <c r="T297" s="5"/>
      <c r="U297" s="5"/>
      <c r="V297" s="4"/>
      <c r="W297" s="4"/>
      <c r="X297" s="4"/>
      <c r="Y297" s="4"/>
    </row>
    <row r="298">
      <c r="A298" s="5"/>
      <c r="B298" s="9"/>
      <c r="C298" s="5"/>
      <c r="D298" s="9"/>
      <c r="E298" s="9"/>
      <c r="F298" s="9"/>
      <c r="G298" s="9"/>
      <c r="H298" s="9"/>
      <c r="I298" s="9"/>
      <c r="J298" s="5"/>
      <c r="K298" s="4"/>
      <c r="L298" s="10"/>
      <c r="M298" s="10"/>
      <c r="N298" s="10"/>
      <c r="O298" s="10"/>
      <c r="P298" s="10"/>
      <c r="Q298" s="11"/>
      <c r="R298" s="9"/>
      <c r="S298" s="12"/>
      <c r="T298" s="5"/>
      <c r="U298" s="5"/>
      <c r="V298" s="4"/>
      <c r="W298" s="4"/>
      <c r="X298" s="4"/>
      <c r="Y298" s="4"/>
    </row>
    <row r="299">
      <c r="A299" s="5"/>
      <c r="B299" s="9"/>
      <c r="C299" s="5"/>
      <c r="D299" s="9"/>
      <c r="E299" s="9"/>
      <c r="F299" s="9"/>
      <c r="G299" s="9"/>
      <c r="H299" s="9"/>
      <c r="I299" s="9"/>
      <c r="J299" s="5"/>
      <c r="K299" s="4"/>
      <c r="L299" s="10"/>
      <c r="M299" s="10"/>
      <c r="N299" s="10"/>
      <c r="O299" s="10"/>
      <c r="P299" s="10"/>
      <c r="Q299" s="11"/>
      <c r="R299" s="9"/>
      <c r="S299" s="12"/>
      <c r="T299" s="5"/>
      <c r="U299" s="5"/>
      <c r="V299" s="4"/>
      <c r="W299" s="4"/>
      <c r="X299" s="4"/>
      <c r="Y299" s="4"/>
    </row>
    <row r="300">
      <c r="A300" s="5"/>
      <c r="B300" s="9"/>
      <c r="C300" s="5"/>
      <c r="D300" s="9"/>
      <c r="E300" s="9"/>
      <c r="F300" s="9"/>
      <c r="G300" s="9"/>
      <c r="H300" s="9"/>
      <c r="I300" s="9"/>
      <c r="J300" s="5"/>
      <c r="K300" s="4"/>
      <c r="L300" s="10"/>
      <c r="M300" s="10"/>
      <c r="N300" s="10"/>
      <c r="O300" s="10"/>
      <c r="P300" s="10"/>
      <c r="Q300" s="11"/>
      <c r="R300" s="9"/>
      <c r="S300" s="12"/>
      <c r="T300" s="5"/>
      <c r="U300" s="5"/>
      <c r="V300" s="4"/>
      <c r="W300" s="4"/>
      <c r="X300" s="4"/>
      <c r="Y300" s="4"/>
    </row>
    <row r="301">
      <c r="A301" s="5"/>
      <c r="B301" s="9"/>
      <c r="C301" s="5"/>
      <c r="D301" s="9"/>
      <c r="E301" s="9"/>
      <c r="F301" s="9"/>
      <c r="G301" s="9"/>
      <c r="H301" s="9"/>
      <c r="I301" s="9"/>
      <c r="J301" s="5"/>
      <c r="K301" s="4"/>
      <c r="L301" s="10"/>
      <c r="M301" s="10"/>
      <c r="N301" s="10"/>
      <c r="O301" s="10"/>
      <c r="P301" s="10"/>
      <c r="Q301" s="11"/>
      <c r="R301" s="9"/>
      <c r="S301" s="12"/>
      <c r="T301" s="5"/>
      <c r="U301" s="5"/>
      <c r="V301" s="4"/>
      <c r="W301" s="4"/>
      <c r="X301" s="4"/>
      <c r="Y301" s="4"/>
    </row>
    <row r="302">
      <c r="A302" s="5"/>
      <c r="B302" s="9"/>
      <c r="C302" s="5"/>
      <c r="D302" s="9"/>
      <c r="E302" s="9"/>
      <c r="F302" s="9"/>
      <c r="G302" s="9"/>
      <c r="H302" s="9"/>
      <c r="I302" s="9"/>
      <c r="J302" s="5"/>
      <c r="K302" s="4"/>
      <c r="L302" s="10"/>
      <c r="M302" s="10"/>
      <c r="N302" s="10"/>
      <c r="O302" s="10"/>
      <c r="P302" s="10"/>
      <c r="Q302" s="11"/>
      <c r="R302" s="9"/>
      <c r="S302" s="12"/>
      <c r="T302" s="5"/>
      <c r="U302" s="5"/>
      <c r="V302" s="4"/>
      <c r="W302" s="4"/>
      <c r="X302" s="4"/>
      <c r="Y302" s="4"/>
    </row>
    <row r="303">
      <c r="A303" s="5"/>
      <c r="B303" s="9"/>
      <c r="C303" s="5"/>
      <c r="D303" s="9"/>
      <c r="E303" s="9"/>
      <c r="F303" s="9"/>
      <c r="G303" s="9"/>
      <c r="H303" s="9"/>
      <c r="I303" s="9"/>
      <c r="J303" s="5"/>
      <c r="K303" s="4"/>
      <c r="L303" s="10"/>
      <c r="M303" s="10"/>
      <c r="N303" s="10"/>
      <c r="O303" s="10"/>
      <c r="P303" s="10"/>
      <c r="Q303" s="11"/>
      <c r="R303" s="9"/>
      <c r="S303" s="12"/>
      <c r="T303" s="5"/>
      <c r="U303" s="5"/>
      <c r="V303" s="4"/>
      <c r="W303" s="4"/>
      <c r="X303" s="4"/>
      <c r="Y303" s="4"/>
    </row>
    <row r="304">
      <c r="A304" s="5"/>
      <c r="B304" s="9"/>
      <c r="C304" s="5"/>
      <c r="D304" s="9"/>
      <c r="E304" s="9"/>
      <c r="F304" s="9"/>
      <c r="G304" s="9"/>
      <c r="H304" s="9"/>
      <c r="I304" s="9"/>
      <c r="J304" s="5"/>
      <c r="K304" s="4"/>
      <c r="L304" s="10"/>
      <c r="M304" s="10"/>
      <c r="N304" s="10"/>
      <c r="O304" s="10"/>
      <c r="P304" s="10"/>
      <c r="Q304" s="11"/>
      <c r="R304" s="9"/>
      <c r="S304" s="12"/>
      <c r="T304" s="5"/>
      <c r="U304" s="5"/>
      <c r="V304" s="4"/>
      <c r="W304" s="4"/>
      <c r="X304" s="4"/>
      <c r="Y304" s="4"/>
    </row>
    <row r="305">
      <c r="A305" s="5"/>
      <c r="B305" s="9"/>
      <c r="C305" s="5"/>
      <c r="D305" s="9"/>
      <c r="E305" s="9"/>
      <c r="F305" s="9"/>
      <c r="G305" s="9"/>
      <c r="H305" s="9"/>
      <c r="I305" s="9"/>
      <c r="J305" s="5"/>
      <c r="K305" s="4"/>
      <c r="L305" s="10"/>
      <c r="M305" s="10"/>
      <c r="N305" s="10"/>
      <c r="O305" s="10"/>
      <c r="P305" s="10"/>
      <c r="Q305" s="11"/>
      <c r="R305" s="9"/>
      <c r="S305" s="12"/>
      <c r="T305" s="5"/>
      <c r="U305" s="5"/>
      <c r="V305" s="4"/>
      <c r="W305" s="4"/>
      <c r="X305" s="4"/>
      <c r="Y305" s="4"/>
    </row>
    <row r="306">
      <c r="A306" s="5"/>
      <c r="B306" s="9"/>
      <c r="C306" s="5"/>
      <c r="D306" s="9"/>
      <c r="E306" s="9"/>
      <c r="F306" s="9"/>
      <c r="G306" s="9"/>
      <c r="H306" s="9"/>
      <c r="I306" s="9"/>
      <c r="J306" s="5"/>
      <c r="K306" s="4"/>
      <c r="L306" s="10"/>
      <c r="M306" s="10"/>
      <c r="N306" s="10"/>
      <c r="O306" s="10"/>
      <c r="P306" s="10"/>
      <c r="Q306" s="11"/>
      <c r="R306" s="9"/>
      <c r="S306" s="12"/>
      <c r="T306" s="5"/>
      <c r="U306" s="5"/>
      <c r="V306" s="4"/>
      <c r="W306" s="4"/>
      <c r="X306" s="4"/>
      <c r="Y306" s="4"/>
    </row>
    <row r="307">
      <c r="A307" s="5"/>
      <c r="B307" s="9"/>
      <c r="C307" s="5"/>
      <c r="D307" s="9"/>
      <c r="E307" s="9"/>
      <c r="F307" s="9"/>
      <c r="G307" s="9"/>
      <c r="H307" s="9"/>
      <c r="I307" s="9"/>
      <c r="J307" s="5"/>
      <c r="K307" s="4"/>
      <c r="L307" s="10"/>
      <c r="M307" s="10"/>
      <c r="N307" s="10"/>
      <c r="O307" s="10"/>
      <c r="P307" s="10"/>
      <c r="Q307" s="11"/>
      <c r="R307" s="9"/>
      <c r="S307" s="12"/>
      <c r="T307" s="5"/>
      <c r="U307" s="5"/>
      <c r="V307" s="4"/>
      <c r="W307" s="4"/>
      <c r="X307" s="4"/>
      <c r="Y307" s="4"/>
    </row>
    <row r="308">
      <c r="A308" s="5"/>
      <c r="B308" s="9"/>
      <c r="C308" s="5"/>
      <c r="D308" s="9"/>
      <c r="E308" s="9"/>
      <c r="F308" s="9"/>
      <c r="G308" s="9"/>
      <c r="H308" s="9"/>
      <c r="I308" s="9"/>
      <c r="J308" s="5"/>
      <c r="K308" s="4"/>
      <c r="L308" s="10"/>
      <c r="M308" s="10"/>
      <c r="N308" s="10"/>
      <c r="O308" s="10"/>
      <c r="P308" s="10"/>
      <c r="Q308" s="11"/>
      <c r="R308" s="9"/>
      <c r="S308" s="12"/>
      <c r="T308" s="5"/>
      <c r="U308" s="5"/>
      <c r="V308" s="4"/>
      <c r="W308" s="4"/>
      <c r="X308" s="4"/>
      <c r="Y308" s="4"/>
    </row>
    <row r="309">
      <c r="A309" s="5"/>
      <c r="B309" s="9"/>
      <c r="C309" s="5"/>
      <c r="D309" s="9"/>
      <c r="E309" s="9"/>
      <c r="F309" s="9"/>
      <c r="G309" s="9"/>
      <c r="H309" s="9"/>
      <c r="I309" s="9"/>
      <c r="J309" s="5"/>
      <c r="K309" s="4"/>
      <c r="L309" s="10"/>
      <c r="M309" s="10"/>
      <c r="N309" s="10"/>
      <c r="O309" s="10"/>
      <c r="P309" s="10"/>
      <c r="Q309" s="11"/>
      <c r="R309" s="9"/>
      <c r="S309" s="12"/>
      <c r="T309" s="5"/>
      <c r="U309" s="5"/>
      <c r="V309" s="4"/>
      <c r="W309" s="4"/>
      <c r="X309" s="4"/>
      <c r="Y309" s="4"/>
    </row>
    <row r="310">
      <c r="A310" s="5"/>
      <c r="B310" s="9"/>
      <c r="C310" s="5"/>
      <c r="D310" s="9"/>
      <c r="E310" s="9"/>
      <c r="F310" s="9"/>
      <c r="G310" s="9"/>
      <c r="H310" s="9"/>
      <c r="I310" s="9"/>
      <c r="J310" s="5"/>
      <c r="K310" s="4"/>
      <c r="L310" s="10"/>
      <c r="M310" s="10"/>
      <c r="N310" s="10"/>
      <c r="O310" s="10"/>
      <c r="P310" s="10"/>
      <c r="Q310" s="11"/>
      <c r="R310" s="9"/>
      <c r="S310" s="12"/>
      <c r="T310" s="5"/>
      <c r="U310" s="5"/>
      <c r="V310" s="4"/>
      <c r="W310" s="4"/>
      <c r="X310" s="4"/>
      <c r="Y310" s="4"/>
    </row>
    <row r="311">
      <c r="A311" s="5"/>
      <c r="B311" s="9"/>
      <c r="C311" s="5"/>
      <c r="D311" s="9"/>
      <c r="E311" s="9"/>
      <c r="F311" s="9"/>
      <c r="G311" s="9"/>
      <c r="H311" s="9"/>
      <c r="I311" s="9"/>
      <c r="J311" s="5"/>
      <c r="K311" s="4"/>
      <c r="L311" s="10"/>
      <c r="M311" s="10"/>
      <c r="N311" s="10"/>
      <c r="O311" s="10"/>
      <c r="P311" s="10"/>
      <c r="Q311" s="11"/>
      <c r="R311" s="9"/>
      <c r="S311" s="12"/>
      <c r="T311" s="5"/>
      <c r="U311" s="5"/>
      <c r="V311" s="4"/>
      <c r="W311" s="4"/>
      <c r="X311" s="4"/>
      <c r="Y311" s="4"/>
    </row>
    <row r="312">
      <c r="A312" s="5"/>
      <c r="B312" s="9"/>
      <c r="C312" s="5"/>
      <c r="D312" s="9"/>
      <c r="E312" s="9"/>
      <c r="F312" s="9"/>
      <c r="G312" s="9"/>
      <c r="H312" s="9"/>
      <c r="I312" s="9"/>
      <c r="J312" s="5"/>
      <c r="K312" s="4"/>
      <c r="L312" s="10"/>
      <c r="M312" s="10"/>
      <c r="N312" s="10"/>
      <c r="O312" s="10"/>
      <c r="P312" s="10"/>
      <c r="Q312" s="11"/>
      <c r="R312" s="9"/>
      <c r="S312" s="12"/>
      <c r="T312" s="5"/>
      <c r="U312" s="5"/>
      <c r="V312" s="4"/>
      <c r="W312" s="4"/>
      <c r="X312" s="4"/>
      <c r="Y312" s="4"/>
    </row>
    <row r="313">
      <c r="A313" s="5"/>
      <c r="B313" s="9"/>
      <c r="C313" s="5"/>
      <c r="D313" s="9"/>
      <c r="E313" s="9"/>
      <c r="F313" s="9"/>
      <c r="G313" s="9"/>
      <c r="H313" s="9"/>
      <c r="I313" s="9"/>
      <c r="J313" s="5"/>
      <c r="K313" s="4"/>
      <c r="L313" s="10"/>
      <c r="M313" s="10"/>
      <c r="N313" s="10"/>
      <c r="O313" s="10"/>
      <c r="P313" s="10"/>
      <c r="Q313" s="11"/>
      <c r="R313" s="9"/>
      <c r="S313" s="12"/>
      <c r="T313" s="5"/>
      <c r="U313" s="5"/>
      <c r="V313" s="4"/>
      <c r="W313" s="4"/>
      <c r="X313" s="4"/>
      <c r="Y313" s="4"/>
    </row>
    <row r="314">
      <c r="A314" s="5"/>
      <c r="B314" s="9"/>
      <c r="C314" s="5"/>
      <c r="D314" s="9"/>
      <c r="E314" s="9"/>
      <c r="F314" s="9"/>
      <c r="G314" s="9"/>
      <c r="H314" s="9"/>
      <c r="I314" s="9"/>
      <c r="J314" s="5"/>
      <c r="K314" s="4"/>
      <c r="L314" s="10"/>
      <c r="M314" s="10"/>
      <c r="N314" s="10"/>
      <c r="O314" s="10"/>
      <c r="P314" s="10"/>
      <c r="Q314" s="11"/>
      <c r="R314" s="9"/>
      <c r="S314" s="12"/>
      <c r="T314" s="5"/>
      <c r="U314" s="5"/>
      <c r="V314" s="4"/>
      <c r="W314" s="4"/>
      <c r="X314" s="4"/>
      <c r="Y314" s="4"/>
    </row>
    <row r="315">
      <c r="A315" s="5"/>
      <c r="B315" s="9"/>
      <c r="C315" s="5"/>
      <c r="D315" s="9"/>
      <c r="E315" s="9"/>
      <c r="F315" s="9"/>
      <c r="G315" s="9"/>
      <c r="H315" s="9"/>
      <c r="I315" s="9"/>
      <c r="J315" s="5"/>
      <c r="K315" s="4"/>
      <c r="L315" s="10"/>
      <c r="M315" s="10"/>
      <c r="N315" s="10"/>
      <c r="O315" s="10"/>
      <c r="P315" s="10"/>
      <c r="Q315" s="11"/>
      <c r="R315" s="9"/>
      <c r="S315" s="12"/>
      <c r="T315" s="5"/>
      <c r="U315" s="5"/>
      <c r="V315" s="4"/>
      <c r="W315" s="4"/>
      <c r="X315" s="4"/>
      <c r="Y315" s="4"/>
    </row>
    <row r="316">
      <c r="A316" s="5"/>
      <c r="B316" s="9"/>
      <c r="C316" s="5"/>
      <c r="D316" s="9"/>
      <c r="E316" s="9"/>
      <c r="F316" s="9"/>
      <c r="G316" s="9"/>
      <c r="H316" s="9"/>
      <c r="I316" s="9"/>
      <c r="J316" s="5"/>
      <c r="K316" s="4"/>
      <c r="L316" s="10"/>
      <c r="M316" s="10"/>
      <c r="N316" s="10"/>
      <c r="O316" s="10"/>
      <c r="P316" s="10"/>
      <c r="Q316" s="11"/>
      <c r="R316" s="9"/>
      <c r="S316" s="12"/>
      <c r="T316" s="5"/>
      <c r="U316" s="5"/>
      <c r="V316" s="4"/>
      <c r="W316" s="4"/>
      <c r="X316" s="4"/>
      <c r="Y316" s="4"/>
    </row>
    <row r="317">
      <c r="A317" s="5"/>
      <c r="B317" s="9"/>
      <c r="C317" s="5"/>
      <c r="D317" s="9"/>
      <c r="E317" s="9"/>
      <c r="F317" s="9"/>
      <c r="G317" s="9"/>
      <c r="H317" s="9"/>
      <c r="I317" s="9"/>
      <c r="J317" s="5"/>
      <c r="K317" s="4"/>
      <c r="L317" s="10"/>
      <c r="M317" s="10"/>
      <c r="N317" s="10"/>
      <c r="O317" s="10"/>
      <c r="P317" s="10"/>
      <c r="Q317" s="11"/>
      <c r="R317" s="9"/>
      <c r="S317" s="12"/>
      <c r="T317" s="5"/>
      <c r="U317" s="5"/>
      <c r="V317" s="4"/>
      <c r="W317" s="4"/>
      <c r="X317" s="4"/>
      <c r="Y317" s="4"/>
    </row>
    <row r="318">
      <c r="A318" s="5"/>
      <c r="B318" s="9"/>
      <c r="C318" s="5"/>
      <c r="D318" s="9"/>
      <c r="E318" s="9"/>
      <c r="F318" s="9"/>
      <c r="G318" s="9"/>
      <c r="H318" s="9"/>
      <c r="I318" s="9"/>
      <c r="J318" s="5"/>
      <c r="K318" s="4"/>
      <c r="L318" s="10"/>
      <c r="M318" s="10"/>
      <c r="N318" s="10"/>
      <c r="O318" s="10"/>
      <c r="P318" s="10"/>
      <c r="Q318" s="11"/>
      <c r="R318" s="9"/>
      <c r="S318" s="12"/>
      <c r="T318" s="5"/>
      <c r="U318" s="5"/>
      <c r="V318" s="4"/>
      <c r="W318" s="4"/>
      <c r="X318" s="4"/>
      <c r="Y318" s="4"/>
    </row>
    <row r="319">
      <c r="A319" s="5"/>
      <c r="B319" s="9"/>
      <c r="C319" s="5"/>
      <c r="D319" s="9"/>
      <c r="E319" s="9"/>
      <c r="F319" s="9"/>
      <c r="G319" s="9"/>
      <c r="H319" s="9"/>
      <c r="I319" s="9"/>
      <c r="J319" s="5"/>
      <c r="K319" s="4"/>
      <c r="L319" s="10"/>
      <c r="M319" s="10"/>
      <c r="N319" s="10"/>
      <c r="O319" s="10"/>
      <c r="P319" s="10"/>
      <c r="Q319" s="11"/>
      <c r="R319" s="9"/>
      <c r="S319" s="12"/>
      <c r="T319" s="5"/>
      <c r="U319" s="5"/>
      <c r="V319" s="4"/>
      <c r="W319" s="4"/>
      <c r="X319" s="4"/>
      <c r="Y319" s="4"/>
    </row>
    <row r="320">
      <c r="A320" s="5"/>
      <c r="B320" s="9"/>
      <c r="C320" s="5"/>
      <c r="D320" s="9"/>
      <c r="E320" s="9"/>
      <c r="F320" s="9"/>
      <c r="G320" s="9"/>
      <c r="H320" s="9"/>
      <c r="I320" s="9"/>
      <c r="J320" s="5"/>
      <c r="K320" s="4"/>
      <c r="L320" s="10"/>
      <c r="M320" s="10"/>
      <c r="N320" s="10"/>
      <c r="O320" s="10"/>
      <c r="P320" s="10"/>
      <c r="Q320" s="11"/>
      <c r="R320" s="9"/>
      <c r="S320" s="12"/>
      <c r="T320" s="5"/>
      <c r="U320" s="5"/>
      <c r="V320" s="4"/>
      <c r="W320" s="4"/>
      <c r="X320" s="4"/>
      <c r="Y320" s="4"/>
    </row>
    <row r="321">
      <c r="A321" s="5"/>
      <c r="B321" s="9"/>
      <c r="C321" s="5"/>
      <c r="D321" s="9"/>
      <c r="E321" s="9"/>
      <c r="F321" s="9"/>
      <c r="G321" s="9"/>
      <c r="H321" s="9"/>
      <c r="I321" s="9"/>
      <c r="J321" s="5"/>
      <c r="K321" s="4"/>
      <c r="L321" s="10"/>
      <c r="M321" s="10"/>
      <c r="N321" s="10"/>
      <c r="O321" s="10"/>
      <c r="P321" s="10"/>
      <c r="Q321" s="11"/>
      <c r="R321" s="9"/>
      <c r="S321" s="12"/>
      <c r="T321" s="5"/>
      <c r="U321" s="5"/>
      <c r="V321" s="4"/>
      <c r="W321" s="4"/>
      <c r="X321" s="4"/>
      <c r="Y321" s="4"/>
    </row>
    <row r="322">
      <c r="A322" s="5"/>
      <c r="B322" s="9"/>
      <c r="C322" s="5"/>
      <c r="D322" s="9"/>
      <c r="E322" s="9"/>
      <c r="F322" s="9"/>
      <c r="G322" s="9"/>
      <c r="H322" s="9"/>
      <c r="I322" s="9"/>
      <c r="J322" s="5"/>
      <c r="K322" s="4"/>
      <c r="L322" s="10"/>
      <c r="M322" s="10"/>
      <c r="N322" s="10"/>
      <c r="O322" s="10"/>
      <c r="P322" s="10"/>
      <c r="Q322" s="11"/>
      <c r="R322" s="9"/>
      <c r="S322" s="12"/>
      <c r="T322" s="5"/>
      <c r="U322" s="5"/>
      <c r="V322" s="4"/>
      <c r="W322" s="4"/>
      <c r="X322" s="4"/>
      <c r="Y322" s="4"/>
    </row>
    <row r="323">
      <c r="A323" s="5"/>
      <c r="B323" s="9"/>
      <c r="C323" s="5"/>
      <c r="D323" s="9"/>
      <c r="E323" s="9"/>
      <c r="F323" s="9"/>
      <c r="G323" s="9"/>
      <c r="H323" s="9"/>
      <c r="I323" s="9"/>
      <c r="J323" s="5"/>
      <c r="K323" s="4"/>
      <c r="L323" s="10"/>
      <c r="M323" s="10"/>
      <c r="N323" s="10"/>
      <c r="O323" s="10"/>
      <c r="P323" s="10"/>
      <c r="Q323" s="11"/>
      <c r="R323" s="9"/>
      <c r="S323" s="12"/>
      <c r="T323" s="5"/>
      <c r="U323" s="5"/>
      <c r="V323" s="4"/>
      <c r="W323" s="4"/>
      <c r="X323" s="4"/>
      <c r="Y323" s="4"/>
    </row>
    <row r="324">
      <c r="A324" s="5"/>
      <c r="B324" s="9"/>
      <c r="C324" s="5"/>
      <c r="D324" s="9"/>
      <c r="E324" s="9"/>
      <c r="F324" s="9"/>
      <c r="G324" s="9"/>
      <c r="H324" s="9"/>
      <c r="I324" s="9"/>
      <c r="J324" s="5"/>
      <c r="K324" s="4"/>
      <c r="L324" s="10"/>
      <c r="M324" s="10"/>
      <c r="N324" s="10"/>
      <c r="O324" s="10"/>
      <c r="P324" s="10"/>
      <c r="Q324" s="11"/>
      <c r="R324" s="9"/>
      <c r="S324" s="12"/>
      <c r="T324" s="5"/>
      <c r="U324" s="5"/>
      <c r="V324" s="4"/>
      <c r="W324" s="4"/>
      <c r="X324" s="4"/>
      <c r="Y324" s="4"/>
    </row>
    <row r="325">
      <c r="A325" s="5"/>
      <c r="B325" s="9"/>
      <c r="C325" s="5"/>
      <c r="D325" s="9"/>
      <c r="E325" s="9"/>
      <c r="F325" s="9"/>
      <c r="G325" s="9"/>
      <c r="H325" s="9"/>
      <c r="I325" s="9"/>
      <c r="J325" s="5"/>
      <c r="K325" s="4"/>
      <c r="L325" s="10"/>
      <c r="M325" s="10"/>
      <c r="N325" s="10"/>
      <c r="O325" s="10"/>
      <c r="P325" s="10"/>
      <c r="Q325" s="11"/>
      <c r="R325" s="9"/>
      <c r="S325" s="12"/>
      <c r="T325" s="5"/>
      <c r="U325" s="5"/>
      <c r="V325" s="4"/>
      <c r="W325" s="4"/>
      <c r="X325" s="4"/>
      <c r="Y325" s="4"/>
    </row>
    <row r="326">
      <c r="A326" s="5"/>
      <c r="B326" s="9"/>
      <c r="C326" s="5"/>
      <c r="D326" s="9"/>
      <c r="E326" s="9"/>
      <c r="F326" s="9"/>
      <c r="G326" s="9"/>
      <c r="H326" s="9"/>
      <c r="I326" s="9"/>
      <c r="J326" s="5"/>
      <c r="K326" s="4"/>
      <c r="L326" s="10"/>
      <c r="M326" s="10"/>
      <c r="N326" s="10"/>
      <c r="O326" s="10"/>
      <c r="P326" s="10"/>
      <c r="Q326" s="11"/>
      <c r="R326" s="9"/>
      <c r="S326" s="12"/>
      <c r="T326" s="5"/>
      <c r="U326" s="5"/>
      <c r="V326" s="4"/>
      <c r="W326" s="4"/>
      <c r="X326" s="4"/>
      <c r="Y326" s="4"/>
    </row>
    <row r="327">
      <c r="A327" s="5"/>
      <c r="B327" s="9"/>
      <c r="C327" s="5"/>
      <c r="D327" s="9"/>
      <c r="E327" s="9"/>
      <c r="F327" s="9"/>
      <c r="G327" s="9"/>
      <c r="H327" s="9"/>
      <c r="I327" s="9"/>
      <c r="J327" s="5"/>
      <c r="K327" s="4"/>
      <c r="L327" s="10"/>
      <c r="M327" s="10"/>
      <c r="N327" s="10"/>
      <c r="O327" s="10"/>
      <c r="P327" s="10"/>
      <c r="Q327" s="11"/>
      <c r="R327" s="9"/>
      <c r="S327" s="12"/>
      <c r="T327" s="5"/>
      <c r="U327" s="5"/>
      <c r="V327" s="4"/>
      <c r="W327" s="4"/>
      <c r="X327" s="4"/>
      <c r="Y327" s="4"/>
    </row>
    <row r="328">
      <c r="A328" s="5"/>
      <c r="B328" s="9"/>
      <c r="C328" s="5"/>
      <c r="D328" s="9"/>
      <c r="E328" s="9"/>
      <c r="F328" s="9"/>
      <c r="G328" s="9"/>
      <c r="H328" s="9"/>
      <c r="I328" s="9"/>
      <c r="J328" s="5"/>
      <c r="K328" s="4"/>
      <c r="L328" s="10"/>
      <c r="M328" s="10"/>
      <c r="N328" s="10"/>
      <c r="O328" s="10"/>
      <c r="P328" s="10"/>
      <c r="Q328" s="11"/>
      <c r="R328" s="9"/>
      <c r="S328" s="12"/>
      <c r="T328" s="5"/>
      <c r="U328" s="5"/>
      <c r="V328" s="4"/>
      <c r="W328" s="4"/>
      <c r="X328" s="4"/>
      <c r="Y328" s="4"/>
    </row>
    <row r="329">
      <c r="A329" s="5"/>
      <c r="B329" s="9"/>
      <c r="C329" s="5"/>
      <c r="D329" s="9"/>
      <c r="E329" s="9"/>
      <c r="F329" s="9"/>
      <c r="G329" s="9"/>
      <c r="H329" s="9"/>
      <c r="I329" s="9"/>
      <c r="J329" s="5"/>
      <c r="K329" s="4"/>
      <c r="L329" s="10"/>
      <c r="M329" s="10"/>
      <c r="N329" s="10"/>
      <c r="O329" s="10"/>
      <c r="P329" s="10"/>
      <c r="Q329" s="11"/>
      <c r="R329" s="9"/>
      <c r="S329" s="12"/>
      <c r="T329" s="5"/>
      <c r="U329" s="5"/>
      <c r="V329" s="4"/>
      <c r="W329" s="4"/>
      <c r="X329" s="4"/>
      <c r="Y329" s="4"/>
    </row>
    <row r="330">
      <c r="A330" s="5"/>
      <c r="B330" s="9"/>
      <c r="C330" s="5"/>
      <c r="D330" s="9"/>
      <c r="E330" s="9"/>
      <c r="F330" s="9"/>
      <c r="G330" s="9"/>
      <c r="H330" s="9"/>
      <c r="I330" s="9"/>
      <c r="J330" s="5"/>
      <c r="K330" s="4"/>
      <c r="L330" s="10"/>
      <c r="M330" s="10"/>
      <c r="N330" s="10"/>
      <c r="O330" s="10"/>
      <c r="P330" s="10"/>
      <c r="Q330" s="11"/>
      <c r="R330" s="9"/>
      <c r="S330" s="12"/>
      <c r="T330" s="5"/>
      <c r="U330" s="5"/>
      <c r="V330" s="4"/>
      <c r="W330" s="4"/>
      <c r="X330" s="4"/>
      <c r="Y330" s="4"/>
    </row>
    <row r="331">
      <c r="A331" s="5"/>
      <c r="B331" s="9"/>
      <c r="C331" s="5"/>
      <c r="D331" s="9"/>
      <c r="E331" s="9"/>
      <c r="F331" s="9"/>
      <c r="G331" s="9"/>
      <c r="H331" s="9"/>
      <c r="I331" s="9"/>
      <c r="J331" s="5"/>
      <c r="K331" s="4"/>
      <c r="L331" s="10"/>
      <c r="M331" s="10"/>
      <c r="N331" s="10"/>
      <c r="O331" s="10"/>
      <c r="P331" s="10"/>
      <c r="Q331" s="11"/>
      <c r="R331" s="9"/>
      <c r="S331" s="12"/>
      <c r="T331" s="5"/>
      <c r="U331" s="5"/>
      <c r="V331" s="4"/>
      <c r="W331" s="4"/>
      <c r="X331" s="4"/>
      <c r="Y331" s="4"/>
    </row>
    <row r="332">
      <c r="A332" s="5"/>
      <c r="B332" s="9"/>
      <c r="C332" s="5"/>
      <c r="D332" s="9"/>
      <c r="E332" s="9"/>
      <c r="F332" s="9"/>
      <c r="G332" s="9"/>
      <c r="H332" s="9"/>
      <c r="I332" s="9"/>
      <c r="J332" s="5"/>
      <c r="K332" s="4"/>
      <c r="L332" s="10"/>
      <c r="M332" s="10"/>
      <c r="N332" s="10"/>
      <c r="O332" s="10"/>
      <c r="P332" s="10"/>
      <c r="Q332" s="11"/>
      <c r="R332" s="9"/>
      <c r="S332" s="12"/>
      <c r="T332" s="5"/>
      <c r="U332" s="5"/>
      <c r="V332" s="4"/>
      <c r="W332" s="4"/>
      <c r="X332" s="4"/>
      <c r="Y332" s="4"/>
    </row>
    <row r="333">
      <c r="A333" s="5"/>
      <c r="B333" s="9"/>
      <c r="C333" s="5"/>
      <c r="D333" s="9"/>
      <c r="E333" s="9"/>
      <c r="F333" s="9"/>
      <c r="G333" s="9"/>
      <c r="H333" s="9"/>
      <c r="I333" s="9"/>
      <c r="J333" s="5"/>
      <c r="K333" s="4"/>
      <c r="L333" s="10"/>
      <c r="M333" s="10"/>
      <c r="N333" s="10"/>
      <c r="O333" s="10"/>
      <c r="P333" s="10"/>
      <c r="Q333" s="11"/>
      <c r="R333" s="9"/>
      <c r="S333" s="12"/>
      <c r="T333" s="5"/>
      <c r="U333" s="5"/>
      <c r="V333" s="4"/>
      <c r="W333" s="4"/>
      <c r="X333" s="4"/>
      <c r="Y333" s="4"/>
    </row>
    <row r="334">
      <c r="A334" s="5"/>
      <c r="B334" s="9"/>
      <c r="C334" s="5"/>
      <c r="D334" s="9"/>
      <c r="E334" s="9"/>
      <c r="F334" s="9"/>
      <c r="G334" s="9"/>
      <c r="H334" s="9"/>
      <c r="I334" s="9"/>
      <c r="J334" s="5"/>
      <c r="K334" s="4"/>
      <c r="L334" s="10"/>
      <c r="M334" s="10"/>
      <c r="N334" s="10"/>
      <c r="O334" s="10"/>
      <c r="P334" s="10"/>
      <c r="Q334" s="11"/>
      <c r="R334" s="9"/>
      <c r="S334" s="12"/>
      <c r="T334" s="5"/>
      <c r="U334" s="5"/>
      <c r="V334" s="4"/>
      <c r="W334" s="4"/>
      <c r="X334" s="4"/>
      <c r="Y334" s="4"/>
    </row>
    <row r="335">
      <c r="A335" s="5"/>
      <c r="B335" s="9"/>
      <c r="C335" s="5"/>
      <c r="D335" s="9"/>
      <c r="E335" s="9"/>
      <c r="F335" s="9"/>
      <c r="G335" s="9"/>
      <c r="H335" s="9"/>
      <c r="I335" s="9"/>
      <c r="J335" s="5"/>
      <c r="K335" s="4"/>
      <c r="L335" s="10"/>
      <c r="M335" s="10"/>
      <c r="N335" s="10"/>
      <c r="O335" s="10"/>
      <c r="P335" s="10"/>
      <c r="Q335" s="11"/>
      <c r="R335" s="9"/>
      <c r="S335" s="12"/>
      <c r="T335" s="5"/>
      <c r="U335" s="5"/>
      <c r="V335" s="4"/>
      <c r="W335" s="4"/>
      <c r="X335" s="4"/>
      <c r="Y335" s="4"/>
    </row>
    <row r="336">
      <c r="A336" s="5"/>
      <c r="B336" s="9"/>
      <c r="C336" s="5"/>
      <c r="D336" s="9"/>
      <c r="E336" s="9"/>
      <c r="F336" s="9"/>
      <c r="G336" s="9"/>
      <c r="H336" s="9"/>
      <c r="I336" s="9"/>
      <c r="J336" s="5"/>
      <c r="K336" s="4"/>
      <c r="L336" s="10"/>
      <c r="M336" s="10"/>
      <c r="N336" s="10"/>
      <c r="O336" s="10"/>
      <c r="P336" s="10"/>
      <c r="Q336" s="11"/>
      <c r="R336" s="9"/>
      <c r="S336" s="12"/>
      <c r="T336" s="5"/>
      <c r="U336" s="5"/>
      <c r="V336" s="4"/>
      <c r="W336" s="4"/>
      <c r="X336" s="4"/>
      <c r="Y336" s="4"/>
    </row>
    <row r="337">
      <c r="A337" s="5"/>
      <c r="B337" s="9"/>
      <c r="C337" s="5"/>
      <c r="D337" s="9"/>
      <c r="E337" s="9"/>
      <c r="F337" s="9"/>
      <c r="G337" s="9"/>
      <c r="H337" s="9"/>
      <c r="I337" s="9"/>
      <c r="J337" s="5"/>
      <c r="K337" s="4"/>
      <c r="L337" s="10"/>
      <c r="M337" s="10"/>
      <c r="N337" s="10"/>
      <c r="O337" s="10"/>
      <c r="P337" s="10"/>
      <c r="Q337" s="11"/>
      <c r="R337" s="9"/>
      <c r="S337" s="12"/>
      <c r="T337" s="5"/>
      <c r="U337" s="5"/>
      <c r="V337" s="4"/>
      <c r="W337" s="4"/>
      <c r="X337" s="4"/>
      <c r="Y337" s="4"/>
    </row>
    <row r="338">
      <c r="A338" s="5"/>
      <c r="B338" s="9"/>
      <c r="C338" s="5"/>
      <c r="D338" s="9"/>
      <c r="E338" s="9"/>
      <c r="F338" s="9"/>
      <c r="G338" s="9"/>
      <c r="H338" s="9"/>
      <c r="I338" s="9"/>
      <c r="J338" s="5"/>
      <c r="K338" s="4"/>
      <c r="L338" s="10"/>
      <c r="M338" s="10"/>
      <c r="N338" s="10"/>
      <c r="O338" s="10"/>
      <c r="P338" s="10"/>
      <c r="Q338" s="11"/>
      <c r="R338" s="9"/>
      <c r="S338" s="12"/>
      <c r="T338" s="5"/>
      <c r="U338" s="5"/>
      <c r="V338" s="4"/>
      <c r="W338" s="4"/>
      <c r="X338" s="4"/>
      <c r="Y338" s="4"/>
    </row>
    <row r="339">
      <c r="A339" s="5"/>
      <c r="B339" s="9"/>
      <c r="C339" s="5"/>
      <c r="D339" s="9"/>
      <c r="E339" s="9"/>
      <c r="F339" s="9"/>
      <c r="G339" s="9"/>
      <c r="H339" s="9"/>
      <c r="I339" s="9"/>
      <c r="J339" s="5"/>
      <c r="K339" s="4"/>
      <c r="L339" s="10"/>
      <c r="M339" s="10"/>
      <c r="N339" s="10"/>
      <c r="O339" s="10"/>
      <c r="P339" s="10"/>
      <c r="Q339" s="11"/>
      <c r="R339" s="9"/>
      <c r="S339" s="12"/>
      <c r="T339" s="5"/>
      <c r="U339" s="5"/>
      <c r="V339" s="4"/>
      <c r="W339" s="4"/>
      <c r="X339" s="4"/>
      <c r="Y339" s="4"/>
    </row>
    <row r="340">
      <c r="A340" s="5"/>
      <c r="B340" s="9"/>
      <c r="C340" s="5"/>
      <c r="D340" s="9"/>
      <c r="E340" s="9"/>
      <c r="F340" s="9"/>
      <c r="G340" s="9"/>
      <c r="H340" s="9"/>
      <c r="I340" s="9"/>
      <c r="J340" s="5"/>
      <c r="K340" s="4"/>
      <c r="L340" s="10"/>
      <c r="M340" s="10"/>
      <c r="N340" s="10"/>
      <c r="O340" s="10"/>
      <c r="P340" s="10"/>
      <c r="Q340" s="11"/>
      <c r="R340" s="9"/>
      <c r="S340" s="12"/>
      <c r="T340" s="5"/>
      <c r="U340" s="5"/>
      <c r="V340" s="4"/>
      <c r="W340" s="4"/>
      <c r="X340" s="4"/>
      <c r="Y340" s="4"/>
    </row>
    <row r="341">
      <c r="A341" s="5"/>
      <c r="B341" s="9"/>
      <c r="C341" s="5"/>
      <c r="D341" s="9"/>
      <c r="E341" s="9"/>
      <c r="F341" s="9"/>
      <c r="G341" s="9"/>
      <c r="H341" s="9"/>
      <c r="I341" s="9"/>
      <c r="J341" s="5"/>
      <c r="K341" s="4"/>
      <c r="L341" s="10"/>
      <c r="M341" s="10"/>
      <c r="N341" s="10"/>
      <c r="O341" s="10"/>
      <c r="P341" s="10"/>
      <c r="Q341" s="11"/>
      <c r="R341" s="9"/>
      <c r="S341" s="12"/>
      <c r="T341" s="5"/>
      <c r="U341" s="5"/>
      <c r="V341" s="4"/>
      <c r="W341" s="4"/>
      <c r="X341" s="4"/>
      <c r="Y341" s="4"/>
    </row>
    <row r="342">
      <c r="A342" s="5"/>
      <c r="B342" s="9"/>
      <c r="C342" s="5"/>
      <c r="D342" s="9"/>
      <c r="E342" s="9"/>
      <c r="F342" s="9"/>
      <c r="G342" s="9"/>
      <c r="H342" s="9"/>
      <c r="I342" s="9"/>
      <c r="J342" s="5"/>
      <c r="K342" s="4"/>
      <c r="L342" s="10"/>
      <c r="M342" s="10"/>
      <c r="N342" s="10"/>
      <c r="O342" s="10"/>
      <c r="P342" s="10"/>
      <c r="Q342" s="11"/>
      <c r="R342" s="9"/>
      <c r="S342" s="12"/>
      <c r="T342" s="5"/>
      <c r="U342" s="5"/>
      <c r="V342" s="4"/>
      <c r="W342" s="4"/>
      <c r="X342" s="4"/>
      <c r="Y342" s="4"/>
    </row>
    <row r="343">
      <c r="A343" s="5"/>
      <c r="B343" s="9"/>
      <c r="C343" s="5"/>
      <c r="D343" s="9"/>
      <c r="E343" s="9"/>
      <c r="F343" s="9"/>
      <c r="G343" s="9"/>
      <c r="H343" s="9"/>
      <c r="I343" s="9"/>
      <c r="J343" s="5"/>
      <c r="K343" s="4"/>
      <c r="L343" s="10"/>
      <c r="M343" s="10"/>
      <c r="N343" s="10"/>
      <c r="O343" s="10"/>
      <c r="P343" s="10"/>
      <c r="Q343" s="11"/>
      <c r="R343" s="9"/>
      <c r="S343" s="12"/>
      <c r="T343" s="5"/>
      <c r="U343" s="5"/>
      <c r="V343" s="4"/>
      <c r="W343" s="4"/>
      <c r="X343" s="4"/>
      <c r="Y343" s="4"/>
    </row>
    <row r="344">
      <c r="A344" s="5"/>
      <c r="B344" s="9"/>
      <c r="C344" s="5"/>
      <c r="D344" s="9"/>
      <c r="E344" s="9"/>
      <c r="F344" s="9"/>
      <c r="G344" s="9"/>
      <c r="H344" s="9"/>
      <c r="I344" s="9"/>
      <c r="J344" s="5"/>
      <c r="K344" s="4"/>
      <c r="L344" s="10"/>
      <c r="M344" s="10"/>
      <c r="N344" s="10"/>
      <c r="O344" s="10"/>
      <c r="P344" s="10"/>
      <c r="Q344" s="11"/>
      <c r="R344" s="9"/>
      <c r="S344" s="12"/>
      <c r="T344" s="5"/>
      <c r="U344" s="5"/>
      <c r="V344" s="4"/>
      <c r="W344" s="4"/>
      <c r="X344" s="4"/>
      <c r="Y344" s="4"/>
    </row>
    <row r="345">
      <c r="A345" s="5"/>
      <c r="B345" s="9"/>
      <c r="C345" s="5"/>
      <c r="D345" s="9"/>
      <c r="E345" s="9"/>
      <c r="F345" s="9"/>
      <c r="G345" s="9"/>
      <c r="H345" s="9"/>
      <c r="I345" s="9"/>
      <c r="J345" s="5"/>
      <c r="K345" s="4"/>
      <c r="L345" s="10"/>
      <c r="M345" s="10"/>
      <c r="N345" s="10"/>
      <c r="O345" s="10"/>
      <c r="P345" s="10"/>
      <c r="Q345" s="11"/>
      <c r="R345" s="9"/>
      <c r="S345" s="12"/>
      <c r="T345" s="5"/>
      <c r="U345" s="5"/>
      <c r="V345" s="4"/>
      <c r="W345" s="4"/>
      <c r="X345" s="4"/>
      <c r="Y345" s="4"/>
    </row>
    <row r="346">
      <c r="A346" s="5"/>
      <c r="B346" s="9"/>
      <c r="C346" s="5"/>
      <c r="D346" s="9"/>
      <c r="E346" s="9"/>
      <c r="F346" s="9"/>
      <c r="G346" s="9"/>
      <c r="H346" s="9"/>
      <c r="I346" s="9"/>
      <c r="J346" s="5"/>
      <c r="K346" s="4"/>
      <c r="L346" s="10"/>
      <c r="M346" s="10"/>
      <c r="N346" s="10"/>
      <c r="O346" s="10"/>
      <c r="P346" s="10"/>
      <c r="Q346" s="11"/>
      <c r="R346" s="9"/>
      <c r="S346" s="12"/>
      <c r="T346" s="5"/>
      <c r="U346" s="5"/>
      <c r="V346" s="4"/>
      <c r="W346" s="4"/>
      <c r="X346" s="4"/>
      <c r="Y346" s="4"/>
    </row>
    <row r="347">
      <c r="A347" s="5"/>
      <c r="B347" s="9"/>
      <c r="C347" s="5"/>
      <c r="D347" s="9"/>
      <c r="E347" s="9"/>
      <c r="F347" s="9"/>
      <c r="G347" s="9"/>
      <c r="H347" s="9"/>
      <c r="I347" s="9"/>
      <c r="J347" s="5"/>
      <c r="K347" s="4"/>
      <c r="L347" s="10"/>
      <c r="M347" s="10"/>
      <c r="N347" s="10"/>
      <c r="O347" s="10"/>
      <c r="P347" s="10"/>
      <c r="Q347" s="11"/>
      <c r="R347" s="9"/>
      <c r="S347" s="12"/>
      <c r="T347" s="5"/>
      <c r="U347" s="5"/>
      <c r="V347" s="4"/>
      <c r="W347" s="4"/>
      <c r="X347" s="4"/>
      <c r="Y347" s="4"/>
    </row>
    <row r="348">
      <c r="A348" s="5"/>
      <c r="B348" s="9"/>
      <c r="C348" s="5"/>
      <c r="D348" s="9"/>
      <c r="E348" s="9"/>
      <c r="F348" s="9"/>
      <c r="G348" s="9"/>
      <c r="H348" s="9"/>
      <c r="I348" s="9"/>
      <c r="J348" s="5"/>
      <c r="K348" s="4"/>
      <c r="L348" s="10"/>
      <c r="M348" s="10"/>
      <c r="N348" s="10"/>
      <c r="O348" s="10"/>
      <c r="P348" s="10"/>
      <c r="Q348" s="11"/>
      <c r="R348" s="9"/>
      <c r="S348" s="12"/>
      <c r="T348" s="5"/>
      <c r="U348" s="5"/>
      <c r="V348" s="4"/>
      <c r="W348" s="4"/>
      <c r="X348" s="4"/>
      <c r="Y348" s="4"/>
    </row>
    <row r="349">
      <c r="A349" s="5"/>
      <c r="B349" s="9"/>
      <c r="C349" s="5"/>
      <c r="D349" s="9"/>
      <c r="E349" s="9"/>
      <c r="F349" s="9"/>
      <c r="G349" s="9"/>
      <c r="H349" s="9"/>
      <c r="I349" s="9"/>
      <c r="J349" s="5"/>
      <c r="K349" s="4"/>
      <c r="L349" s="10"/>
      <c r="M349" s="10"/>
      <c r="N349" s="10"/>
      <c r="O349" s="10"/>
      <c r="P349" s="10"/>
      <c r="Q349" s="11"/>
      <c r="R349" s="9"/>
      <c r="S349" s="12"/>
      <c r="T349" s="5"/>
      <c r="U349" s="5"/>
      <c r="V349" s="4"/>
      <c r="W349" s="4"/>
      <c r="X349" s="4"/>
      <c r="Y349" s="4"/>
    </row>
    <row r="350">
      <c r="A350" s="5"/>
      <c r="B350" s="9"/>
      <c r="C350" s="5"/>
      <c r="D350" s="9"/>
      <c r="E350" s="9"/>
      <c r="F350" s="9"/>
      <c r="G350" s="9"/>
      <c r="H350" s="9"/>
      <c r="I350" s="9"/>
      <c r="J350" s="5"/>
      <c r="K350" s="4"/>
      <c r="L350" s="10"/>
      <c r="M350" s="10"/>
      <c r="N350" s="10"/>
      <c r="O350" s="10"/>
      <c r="P350" s="10"/>
      <c r="Q350" s="11"/>
      <c r="R350" s="9"/>
      <c r="S350" s="12"/>
      <c r="T350" s="5"/>
      <c r="U350" s="5"/>
      <c r="V350" s="4"/>
      <c r="W350" s="4"/>
      <c r="X350" s="4"/>
      <c r="Y350" s="4"/>
    </row>
    <row r="351">
      <c r="A351" s="5"/>
      <c r="B351" s="9"/>
      <c r="C351" s="5"/>
      <c r="D351" s="9"/>
      <c r="E351" s="9"/>
      <c r="F351" s="9"/>
      <c r="G351" s="9"/>
      <c r="H351" s="9"/>
      <c r="I351" s="9"/>
      <c r="J351" s="5"/>
      <c r="K351" s="4"/>
      <c r="L351" s="10"/>
      <c r="M351" s="10"/>
      <c r="N351" s="10"/>
      <c r="O351" s="10"/>
      <c r="P351" s="10"/>
      <c r="Q351" s="11"/>
      <c r="R351" s="9"/>
      <c r="S351" s="12"/>
      <c r="T351" s="5"/>
      <c r="U351" s="5"/>
      <c r="V351" s="4"/>
      <c r="W351" s="4"/>
      <c r="X351" s="4"/>
      <c r="Y351" s="4"/>
    </row>
    <row r="352">
      <c r="A352" s="5"/>
      <c r="B352" s="9"/>
      <c r="C352" s="5"/>
      <c r="D352" s="9"/>
      <c r="E352" s="9"/>
      <c r="F352" s="9"/>
      <c r="G352" s="9"/>
      <c r="H352" s="9"/>
      <c r="I352" s="9"/>
      <c r="J352" s="5"/>
      <c r="K352" s="4"/>
      <c r="L352" s="10"/>
      <c r="M352" s="10"/>
      <c r="N352" s="10"/>
      <c r="O352" s="10"/>
      <c r="P352" s="10"/>
      <c r="Q352" s="11"/>
      <c r="R352" s="9"/>
      <c r="S352" s="12"/>
      <c r="T352" s="5"/>
      <c r="U352" s="5"/>
      <c r="V352" s="4"/>
      <c r="W352" s="4"/>
      <c r="X352" s="4"/>
      <c r="Y352" s="4"/>
    </row>
    <row r="353">
      <c r="A353" s="5"/>
      <c r="B353" s="9"/>
      <c r="C353" s="5"/>
      <c r="D353" s="9"/>
      <c r="E353" s="9"/>
      <c r="F353" s="9"/>
      <c r="G353" s="9"/>
      <c r="H353" s="9"/>
      <c r="I353" s="9"/>
      <c r="J353" s="5"/>
      <c r="K353" s="4"/>
      <c r="L353" s="10"/>
      <c r="M353" s="10"/>
      <c r="N353" s="10"/>
      <c r="O353" s="10"/>
      <c r="P353" s="10"/>
      <c r="Q353" s="11"/>
      <c r="R353" s="9"/>
      <c r="S353" s="12"/>
      <c r="T353" s="5"/>
      <c r="U353" s="5"/>
      <c r="V353" s="4"/>
      <c r="W353" s="4"/>
      <c r="X353" s="4"/>
      <c r="Y353" s="4"/>
    </row>
    <row r="354">
      <c r="A354" s="5"/>
      <c r="B354" s="9"/>
      <c r="C354" s="5"/>
      <c r="D354" s="9"/>
      <c r="E354" s="9"/>
      <c r="F354" s="9"/>
      <c r="G354" s="9"/>
      <c r="H354" s="9"/>
      <c r="I354" s="9"/>
      <c r="J354" s="5"/>
      <c r="K354" s="4"/>
      <c r="L354" s="10"/>
      <c r="M354" s="10"/>
      <c r="N354" s="10"/>
      <c r="O354" s="10"/>
      <c r="P354" s="10"/>
      <c r="Q354" s="11"/>
      <c r="R354" s="9"/>
      <c r="S354" s="12"/>
      <c r="T354" s="5"/>
      <c r="U354" s="5"/>
      <c r="V354" s="4"/>
      <c r="W354" s="4"/>
      <c r="X354" s="4"/>
      <c r="Y354" s="4"/>
    </row>
    <row r="355">
      <c r="A355" s="5"/>
      <c r="B355" s="9"/>
      <c r="C355" s="5"/>
      <c r="D355" s="9"/>
      <c r="E355" s="9"/>
      <c r="F355" s="9"/>
      <c r="G355" s="9"/>
      <c r="H355" s="9"/>
      <c r="I355" s="9"/>
      <c r="J355" s="5"/>
      <c r="K355" s="4"/>
      <c r="L355" s="10"/>
      <c r="M355" s="10"/>
      <c r="N355" s="10"/>
      <c r="O355" s="10"/>
      <c r="P355" s="10"/>
      <c r="Q355" s="11"/>
      <c r="R355" s="9"/>
      <c r="S355" s="12"/>
      <c r="T355" s="5"/>
      <c r="U355" s="5"/>
      <c r="V355" s="4"/>
      <c r="W355" s="4"/>
      <c r="X355" s="4"/>
      <c r="Y355" s="4"/>
    </row>
    <row r="356">
      <c r="A356" s="5"/>
      <c r="B356" s="9"/>
      <c r="C356" s="5"/>
      <c r="D356" s="9"/>
      <c r="E356" s="9"/>
      <c r="F356" s="9"/>
      <c r="G356" s="9"/>
      <c r="H356" s="9"/>
      <c r="I356" s="9"/>
      <c r="J356" s="5"/>
      <c r="K356" s="4"/>
      <c r="L356" s="10"/>
      <c r="M356" s="10"/>
      <c r="N356" s="10"/>
      <c r="O356" s="10"/>
      <c r="P356" s="10"/>
      <c r="Q356" s="11"/>
      <c r="R356" s="9"/>
      <c r="S356" s="12"/>
      <c r="T356" s="5"/>
      <c r="U356" s="5"/>
      <c r="V356" s="4"/>
      <c r="W356" s="4"/>
      <c r="X356" s="4"/>
      <c r="Y356" s="4"/>
    </row>
    <row r="357">
      <c r="A357" s="5"/>
      <c r="B357" s="9"/>
      <c r="C357" s="5"/>
      <c r="D357" s="9"/>
      <c r="E357" s="9"/>
      <c r="F357" s="9"/>
      <c r="G357" s="9"/>
      <c r="H357" s="9"/>
      <c r="I357" s="9"/>
      <c r="J357" s="5"/>
      <c r="K357" s="4"/>
      <c r="L357" s="10"/>
      <c r="M357" s="10"/>
      <c r="N357" s="10"/>
      <c r="O357" s="10"/>
      <c r="P357" s="10"/>
      <c r="Q357" s="11"/>
      <c r="R357" s="9"/>
      <c r="S357" s="12"/>
      <c r="T357" s="5"/>
      <c r="U357" s="5"/>
      <c r="V357" s="4"/>
      <c r="W357" s="4"/>
      <c r="X357" s="4"/>
      <c r="Y357" s="4"/>
    </row>
    <row r="358">
      <c r="A358" s="5"/>
      <c r="B358" s="9"/>
      <c r="C358" s="5"/>
      <c r="D358" s="9"/>
      <c r="E358" s="9"/>
      <c r="F358" s="9"/>
      <c r="G358" s="9"/>
      <c r="H358" s="9"/>
      <c r="I358" s="9"/>
      <c r="J358" s="5"/>
      <c r="K358" s="4"/>
      <c r="L358" s="10"/>
      <c r="M358" s="10"/>
      <c r="N358" s="10"/>
      <c r="O358" s="10"/>
      <c r="P358" s="10"/>
      <c r="Q358" s="11"/>
      <c r="R358" s="9"/>
      <c r="S358" s="12"/>
      <c r="T358" s="5"/>
      <c r="U358" s="5"/>
      <c r="V358" s="4"/>
      <c r="W358" s="4"/>
      <c r="X358" s="4"/>
      <c r="Y358" s="4"/>
    </row>
    <row r="359">
      <c r="A359" s="5"/>
      <c r="B359" s="9"/>
      <c r="C359" s="5"/>
      <c r="D359" s="9"/>
      <c r="E359" s="9"/>
      <c r="F359" s="9"/>
      <c r="G359" s="9"/>
      <c r="H359" s="9"/>
      <c r="I359" s="9"/>
      <c r="J359" s="5"/>
      <c r="K359" s="4"/>
      <c r="L359" s="10"/>
      <c r="M359" s="10"/>
      <c r="N359" s="10"/>
      <c r="O359" s="10"/>
      <c r="P359" s="10"/>
      <c r="Q359" s="11"/>
      <c r="R359" s="9"/>
      <c r="S359" s="12"/>
      <c r="T359" s="5"/>
      <c r="U359" s="5"/>
      <c r="V359" s="4"/>
      <c r="W359" s="4"/>
      <c r="X359" s="4"/>
      <c r="Y359" s="4"/>
    </row>
    <row r="360">
      <c r="A360" s="5"/>
      <c r="B360" s="9"/>
      <c r="C360" s="5"/>
      <c r="D360" s="9"/>
      <c r="E360" s="9"/>
      <c r="F360" s="9"/>
      <c r="G360" s="9"/>
      <c r="H360" s="9"/>
      <c r="I360" s="9"/>
      <c r="J360" s="5"/>
      <c r="K360" s="4"/>
      <c r="L360" s="10"/>
      <c r="M360" s="10"/>
      <c r="N360" s="10"/>
      <c r="O360" s="10"/>
      <c r="P360" s="10"/>
      <c r="Q360" s="11"/>
      <c r="R360" s="9"/>
      <c r="S360" s="12"/>
      <c r="T360" s="5"/>
      <c r="U360" s="5"/>
      <c r="V360" s="4"/>
      <c r="W360" s="4"/>
      <c r="X360" s="4"/>
      <c r="Y360" s="4"/>
    </row>
    <row r="361">
      <c r="A361" s="5"/>
      <c r="B361" s="9"/>
      <c r="C361" s="5"/>
      <c r="D361" s="9"/>
      <c r="E361" s="9"/>
      <c r="F361" s="9"/>
      <c r="G361" s="9"/>
      <c r="H361" s="9"/>
      <c r="I361" s="9"/>
      <c r="J361" s="5"/>
      <c r="K361" s="4"/>
      <c r="L361" s="10"/>
      <c r="M361" s="10"/>
      <c r="N361" s="10"/>
      <c r="O361" s="10"/>
      <c r="P361" s="10"/>
      <c r="Q361" s="11"/>
      <c r="R361" s="9"/>
      <c r="S361" s="12"/>
      <c r="T361" s="5"/>
      <c r="U361" s="5"/>
      <c r="V361" s="4"/>
      <c r="W361" s="4"/>
      <c r="X361" s="4"/>
      <c r="Y361" s="4"/>
    </row>
    <row r="362">
      <c r="A362" s="5"/>
      <c r="B362" s="9"/>
      <c r="C362" s="5"/>
      <c r="D362" s="9"/>
      <c r="E362" s="9"/>
      <c r="F362" s="9"/>
      <c r="G362" s="9"/>
      <c r="H362" s="9"/>
      <c r="I362" s="9"/>
      <c r="J362" s="5"/>
      <c r="K362" s="4"/>
      <c r="L362" s="10"/>
      <c r="M362" s="10"/>
      <c r="N362" s="10"/>
      <c r="O362" s="10"/>
      <c r="P362" s="10"/>
      <c r="Q362" s="11"/>
      <c r="R362" s="9"/>
      <c r="S362" s="12"/>
      <c r="T362" s="5"/>
      <c r="U362" s="5"/>
      <c r="V362" s="4"/>
      <c r="W362" s="4"/>
      <c r="X362" s="4"/>
      <c r="Y362" s="4"/>
    </row>
    <row r="363">
      <c r="A363" s="5"/>
      <c r="B363" s="9"/>
      <c r="C363" s="5"/>
      <c r="D363" s="9"/>
      <c r="E363" s="9"/>
      <c r="F363" s="9"/>
      <c r="G363" s="9"/>
      <c r="H363" s="9"/>
      <c r="I363" s="9"/>
      <c r="J363" s="5"/>
      <c r="K363" s="4"/>
      <c r="L363" s="10"/>
      <c r="M363" s="10"/>
      <c r="N363" s="10"/>
      <c r="O363" s="10"/>
      <c r="P363" s="10"/>
      <c r="Q363" s="11"/>
      <c r="R363" s="9"/>
      <c r="S363" s="12"/>
      <c r="T363" s="5"/>
      <c r="U363" s="5"/>
      <c r="V363" s="4"/>
      <c r="W363" s="4"/>
      <c r="X363" s="4"/>
      <c r="Y363" s="4"/>
    </row>
    <row r="364">
      <c r="A364" s="5"/>
      <c r="B364" s="9"/>
      <c r="C364" s="5"/>
      <c r="D364" s="9"/>
      <c r="E364" s="9"/>
      <c r="F364" s="9"/>
      <c r="G364" s="9"/>
      <c r="H364" s="9"/>
      <c r="I364" s="9"/>
      <c r="J364" s="5"/>
      <c r="K364" s="4"/>
      <c r="L364" s="10"/>
      <c r="M364" s="10"/>
      <c r="N364" s="10"/>
      <c r="O364" s="10"/>
      <c r="P364" s="10"/>
      <c r="Q364" s="11"/>
      <c r="R364" s="9"/>
      <c r="S364" s="12"/>
      <c r="T364" s="5"/>
      <c r="U364" s="5"/>
      <c r="V364" s="4"/>
      <c r="W364" s="4"/>
      <c r="X364" s="4"/>
      <c r="Y364" s="4"/>
    </row>
    <row r="365">
      <c r="A365" s="5"/>
      <c r="B365" s="9"/>
      <c r="C365" s="5"/>
      <c r="D365" s="9"/>
      <c r="E365" s="9"/>
      <c r="F365" s="9"/>
      <c r="G365" s="9"/>
      <c r="H365" s="9"/>
      <c r="I365" s="9"/>
      <c r="J365" s="5"/>
      <c r="K365" s="4"/>
      <c r="L365" s="10"/>
      <c r="M365" s="10"/>
      <c r="N365" s="10"/>
      <c r="O365" s="10"/>
      <c r="P365" s="10"/>
      <c r="Q365" s="11"/>
      <c r="R365" s="9"/>
      <c r="S365" s="12"/>
      <c r="T365" s="5"/>
      <c r="U365" s="5"/>
      <c r="V365" s="4"/>
      <c r="W365" s="4"/>
      <c r="X365" s="4"/>
      <c r="Y365" s="4"/>
    </row>
    <row r="366">
      <c r="A366" s="5"/>
      <c r="B366" s="9"/>
      <c r="C366" s="5"/>
      <c r="D366" s="9"/>
      <c r="E366" s="9"/>
      <c r="F366" s="9"/>
      <c r="G366" s="9"/>
      <c r="H366" s="9"/>
      <c r="I366" s="9"/>
      <c r="J366" s="5"/>
      <c r="K366" s="4"/>
      <c r="L366" s="10"/>
      <c r="M366" s="10"/>
      <c r="N366" s="10"/>
      <c r="O366" s="10"/>
      <c r="P366" s="10"/>
      <c r="Q366" s="11"/>
      <c r="R366" s="9"/>
      <c r="S366" s="12"/>
      <c r="T366" s="5"/>
      <c r="U366" s="5"/>
      <c r="V366" s="4"/>
      <c r="W366" s="4"/>
      <c r="X366" s="4"/>
      <c r="Y366" s="4"/>
    </row>
    <row r="367">
      <c r="A367" s="5"/>
      <c r="B367" s="9"/>
      <c r="C367" s="5"/>
      <c r="D367" s="9"/>
      <c r="E367" s="9"/>
      <c r="F367" s="9"/>
      <c r="G367" s="9"/>
      <c r="H367" s="9"/>
      <c r="I367" s="9"/>
      <c r="J367" s="5"/>
      <c r="K367" s="4"/>
      <c r="L367" s="10"/>
      <c r="M367" s="10"/>
      <c r="N367" s="10"/>
      <c r="O367" s="10"/>
      <c r="P367" s="10"/>
      <c r="Q367" s="11"/>
      <c r="R367" s="9"/>
      <c r="S367" s="12"/>
      <c r="T367" s="5"/>
      <c r="U367" s="5"/>
      <c r="V367" s="4"/>
      <c r="W367" s="4"/>
      <c r="X367" s="4"/>
      <c r="Y367" s="4"/>
    </row>
    <row r="368">
      <c r="A368" s="5"/>
      <c r="B368" s="9"/>
      <c r="C368" s="5"/>
      <c r="D368" s="9"/>
      <c r="E368" s="9"/>
      <c r="F368" s="9"/>
      <c r="G368" s="9"/>
      <c r="H368" s="9"/>
      <c r="I368" s="9"/>
      <c r="J368" s="5"/>
      <c r="K368" s="4"/>
      <c r="L368" s="10"/>
      <c r="M368" s="10"/>
      <c r="N368" s="10"/>
      <c r="O368" s="10"/>
      <c r="P368" s="10"/>
      <c r="Q368" s="11"/>
      <c r="R368" s="9"/>
      <c r="S368" s="12"/>
      <c r="T368" s="5"/>
      <c r="U368" s="5"/>
      <c r="V368" s="4"/>
      <c r="W368" s="4"/>
      <c r="X368" s="4"/>
      <c r="Y368" s="4"/>
    </row>
    <row r="369">
      <c r="A369" s="5"/>
      <c r="B369" s="9"/>
      <c r="C369" s="5"/>
      <c r="D369" s="9"/>
      <c r="E369" s="9"/>
      <c r="F369" s="9"/>
      <c r="G369" s="9"/>
      <c r="H369" s="9"/>
      <c r="I369" s="9"/>
      <c r="J369" s="5"/>
      <c r="K369" s="4"/>
      <c r="L369" s="10"/>
      <c r="M369" s="10"/>
      <c r="N369" s="10"/>
      <c r="O369" s="10"/>
      <c r="P369" s="10"/>
      <c r="Q369" s="11"/>
      <c r="R369" s="9"/>
      <c r="S369" s="12"/>
      <c r="T369" s="5"/>
      <c r="U369" s="5"/>
      <c r="V369" s="4"/>
      <c r="W369" s="4"/>
      <c r="X369" s="4"/>
      <c r="Y369" s="4"/>
    </row>
    <row r="370">
      <c r="A370" s="5"/>
      <c r="B370" s="9"/>
      <c r="C370" s="5"/>
      <c r="D370" s="9"/>
      <c r="E370" s="9"/>
      <c r="F370" s="9"/>
      <c r="G370" s="9"/>
      <c r="H370" s="9"/>
      <c r="I370" s="9"/>
      <c r="J370" s="5"/>
      <c r="K370" s="4"/>
      <c r="L370" s="10"/>
      <c r="M370" s="10"/>
      <c r="N370" s="10"/>
      <c r="O370" s="10"/>
      <c r="P370" s="10"/>
      <c r="Q370" s="11"/>
      <c r="R370" s="9"/>
      <c r="S370" s="12"/>
      <c r="T370" s="5"/>
      <c r="U370" s="5"/>
      <c r="V370" s="4"/>
      <c r="W370" s="4"/>
      <c r="X370" s="4"/>
      <c r="Y370" s="4"/>
    </row>
    <row r="371">
      <c r="A371" s="5"/>
      <c r="B371" s="9"/>
      <c r="C371" s="5"/>
      <c r="D371" s="9"/>
      <c r="E371" s="9"/>
      <c r="F371" s="9"/>
      <c r="G371" s="9"/>
      <c r="H371" s="9"/>
      <c r="I371" s="9"/>
      <c r="J371" s="5"/>
      <c r="K371" s="4"/>
      <c r="L371" s="10"/>
      <c r="M371" s="10"/>
      <c r="N371" s="10"/>
      <c r="O371" s="10"/>
      <c r="P371" s="10"/>
      <c r="Q371" s="11"/>
      <c r="R371" s="9"/>
      <c r="S371" s="12"/>
      <c r="T371" s="5"/>
      <c r="U371" s="5"/>
      <c r="V371" s="4"/>
      <c r="W371" s="4"/>
      <c r="X371" s="4"/>
      <c r="Y371" s="4"/>
    </row>
    <row r="372">
      <c r="A372" s="5"/>
      <c r="B372" s="9"/>
      <c r="C372" s="5"/>
      <c r="D372" s="9"/>
      <c r="E372" s="9"/>
      <c r="F372" s="9"/>
      <c r="G372" s="9"/>
      <c r="H372" s="9"/>
      <c r="I372" s="9"/>
      <c r="J372" s="5"/>
      <c r="K372" s="4"/>
      <c r="L372" s="10"/>
      <c r="M372" s="10"/>
      <c r="N372" s="10"/>
      <c r="O372" s="10"/>
      <c r="P372" s="10"/>
      <c r="Q372" s="11"/>
      <c r="R372" s="9"/>
      <c r="S372" s="12"/>
      <c r="T372" s="5"/>
      <c r="U372" s="5"/>
      <c r="V372" s="4"/>
      <c r="W372" s="4"/>
      <c r="X372" s="4"/>
      <c r="Y372" s="4"/>
    </row>
    <row r="373">
      <c r="A373" s="5"/>
      <c r="B373" s="9"/>
      <c r="C373" s="5"/>
      <c r="D373" s="9"/>
      <c r="E373" s="9"/>
      <c r="F373" s="9"/>
      <c r="G373" s="9"/>
      <c r="H373" s="9"/>
      <c r="I373" s="9"/>
      <c r="J373" s="5"/>
      <c r="K373" s="4"/>
      <c r="L373" s="10"/>
      <c r="M373" s="10"/>
      <c r="N373" s="10"/>
      <c r="O373" s="10"/>
      <c r="P373" s="10"/>
      <c r="Q373" s="11"/>
      <c r="R373" s="9"/>
      <c r="S373" s="12"/>
      <c r="T373" s="5"/>
      <c r="U373" s="5"/>
      <c r="V373" s="4"/>
      <c r="W373" s="4"/>
      <c r="X373" s="4"/>
      <c r="Y373" s="4"/>
    </row>
    <row r="374">
      <c r="A374" s="5"/>
      <c r="B374" s="9"/>
      <c r="C374" s="5"/>
      <c r="D374" s="9"/>
      <c r="E374" s="9"/>
      <c r="F374" s="9"/>
      <c r="G374" s="9"/>
      <c r="H374" s="9"/>
      <c r="I374" s="9"/>
      <c r="J374" s="5"/>
      <c r="K374" s="4"/>
      <c r="L374" s="10"/>
      <c r="M374" s="10"/>
      <c r="N374" s="10"/>
      <c r="O374" s="10"/>
      <c r="P374" s="10"/>
      <c r="Q374" s="11"/>
      <c r="R374" s="9"/>
      <c r="S374" s="12"/>
      <c r="T374" s="5"/>
      <c r="U374" s="5"/>
      <c r="V374" s="4"/>
      <c r="W374" s="4"/>
      <c r="X374" s="4"/>
      <c r="Y374" s="4"/>
    </row>
    <row r="375">
      <c r="A375" s="5"/>
      <c r="B375" s="9"/>
      <c r="C375" s="5"/>
      <c r="D375" s="9"/>
      <c r="E375" s="9"/>
      <c r="F375" s="9"/>
      <c r="G375" s="9"/>
      <c r="H375" s="9"/>
      <c r="I375" s="9"/>
      <c r="J375" s="5"/>
      <c r="K375" s="4"/>
      <c r="L375" s="10"/>
      <c r="M375" s="10"/>
      <c r="N375" s="10"/>
      <c r="O375" s="10"/>
      <c r="P375" s="10"/>
      <c r="Q375" s="11"/>
      <c r="R375" s="9"/>
      <c r="S375" s="12"/>
      <c r="T375" s="5"/>
      <c r="U375" s="5"/>
      <c r="V375" s="4"/>
      <c r="W375" s="4"/>
      <c r="X375" s="4"/>
      <c r="Y375" s="4"/>
    </row>
    <row r="376">
      <c r="A376" s="5"/>
      <c r="B376" s="9"/>
      <c r="C376" s="5"/>
      <c r="D376" s="9"/>
      <c r="E376" s="9"/>
      <c r="F376" s="9"/>
      <c r="G376" s="9"/>
      <c r="H376" s="9"/>
      <c r="I376" s="9"/>
      <c r="J376" s="5"/>
      <c r="K376" s="4"/>
      <c r="L376" s="10"/>
      <c r="M376" s="10"/>
      <c r="N376" s="10"/>
      <c r="O376" s="10"/>
      <c r="P376" s="10"/>
      <c r="Q376" s="11"/>
      <c r="R376" s="9"/>
      <c r="S376" s="12"/>
      <c r="T376" s="5"/>
      <c r="U376" s="5"/>
      <c r="V376" s="4"/>
      <c r="W376" s="4"/>
      <c r="X376" s="4"/>
      <c r="Y376" s="4"/>
    </row>
    <row r="377">
      <c r="A377" s="5"/>
      <c r="B377" s="9"/>
      <c r="C377" s="5"/>
      <c r="D377" s="9"/>
      <c r="E377" s="9"/>
      <c r="F377" s="9"/>
      <c r="G377" s="9"/>
      <c r="H377" s="9"/>
      <c r="I377" s="9"/>
      <c r="J377" s="5"/>
      <c r="K377" s="4"/>
      <c r="L377" s="10"/>
      <c r="M377" s="10"/>
      <c r="N377" s="10"/>
      <c r="O377" s="10"/>
      <c r="P377" s="10"/>
      <c r="Q377" s="11"/>
      <c r="R377" s="9"/>
      <c r="S377" s="12"/>
      <c r="T377" s="5"/>
      <c r="U377" s="5"/>
      <c r="V377" s="4"/>
      <c r="W377" s="4"/>
      <c r="X377" s="4"/>
      <c r="Y377" s="4"/>
    </row>
    <row r="378">
      <c r="A378" s="5"/>
      <c r="B378" s="9"/>
      <c r="C378" s="5"/>
      <c r="D378" s="9"/>
      <c r="E378" s="9"/>
      <c r="F378" s="9"/>
      <c r="G378" s="9"/>
      <c r="H378" s="9"/>
      <c r="I378" s="9"/>
      <c r="J378" s="5"/>
      <c r="K378" s="4"/>
      <c r="L378" s="10"/>
      <c r="M378" s="10"/>
      <c r="N378" s="10"/>
      <c r="O378" s="10"/>
      <c r="P378" s="10"/>
      <c r="Q378" s="11"/>
      <c r="R378" s="9"/>
      <c r="S378" s="12"/>
      <c r="T378" s="5"/>
      <c r="U378" s="5"/>
      <c r="V378" s="4"/>
      <c r="W378" s="4"/>
      <c r="X378" s="4"/>
      <c r="Y378" s="4"/>
    </row>
    <row r="379">
      <c r="A379" s="5"/>
      <c r="B379" s="9"/>
      <c r="C379" s="5"/>
      <c r="D379" s="9"/>
      <c r="E379" s="9"/>
      <c r="F379" s="9"/>
      <c r="G379" s="9"/>
      <c r="H379" s="9"/>
      <c r="I379" s="9"/>
      <c r="J379" s="5"/>
      <c r="K379" s="4"/>
      <c r="L379" s="10"/>
      <c r="M379" s="10"/>
      <c r="N379" s="10"/>
      <c r="O379" s="10"/>
      <c r="P379" s="10"/>
      <c r="Q379" s="11"/>
      <c r="R379" s="9"/>
      <c r="S379" s="12"/>
      <c r="T379" s="5"/>
      <c r="U379" s="5"/>
      <c r="V379" s="4"/>
      <c r="W379" s="4"/>
      <c r="X379" s="4"/>
      <c r="Y379" s="4"/>
    </row>
    <row r="380">
      <c r="A380" s="5"/>
      <c r="B380" s="9"/>
      <c r="C380" s="5"/>
      <c r="D380" s="9"/>
      <c r="E380" s="9"/>
      <c r="F380" s="9"/>
      <c r="G380" s="9"/>
      <c r="H380" s="9"/>
      <c r="I380" s="9"/>
      <c r="J380" s="5"/>
      <c r="K380" s="4"/>
      <c r="L380" s="10"/>
      <c r="M380" s="10"/>
      <c r="N380" s="10"/>
      <c r="O380" s="10"/>
      <c r="P380" s="10"/>
      <c r="Q380" s="11"/>
      <c r="R380" s="9"/>
      <c r="S380" s="12"/>
      <c r="T380" s="5"/>
      <c r="U380" s="5"/>
      <c r="V380" s="4"/>
      <c r="W380" s="4"/>
      <c r="X380" s="4"/>
      <c r="Y380" s="4"/>
    </row>
    <row r="381">
      <c r="A381" s="5"/>
      <c r="B381" s="9"/>
      <c r="C381" s="5"/>
      <c r="D381" s="9"/>
      <c r="E381" s="9"/>
      <c r="F381" s="9"/>
      <c r="G381" s="9"/>
      <c r="H381" s="9"/>
      <c r="I381" s="9"/>
      <c r="J381" s="5"/>
      <c r="K381" s="4"/>
      <c r="L381" s="10"/>
      <c r="M381" s="10"/>
      <c r="N381" s="10"/>
      <c r="O381" s="10"/>
      <c r="P381" s="10"/>
      <c r="Q381" s="11"/>
      <c r="R381" s="9"/>
      <c r="S381" s="12"/>
      <c r="T381" s="5"/>
      <c r="U381" s="5"/>
      <c r="V381" s="4"/>
      <c r="W381" s="4"/>
      <c r="X381" s="4"/>
      <c r="Y381" s="4"/>
    </row>
    <row r="382">
      <c r="A382" s="5"/>
      <c r="B382" s="9"/>
      <c r="C382" s="5"/>
      <c r="D382" s="9"/>
      <c r="E382" s="9"/>
      <c r="F382" s="9"/>
      <c r="G382" s="9"/>
      <c r="H382" s="9"/>
      <c r="I382" s="9"/>
      <c r="J382" s="5"/>
      <c r="K382" s="4"/>
      <c r="L382" s="10"/>
      <c r="M382" s="10"/>
      <c r="N382" s="10"/>
      <c r="O382" s="10"/>
      <c r="P382" s="10"/>
      <c r="Q382" s="11"/>
      <c r="R382" s="9"/>
      <c r="S382" s="12"/>
      <c r="T382" s="5"/>
      <c r="U382" s="5"/>
      <c r="V382" s="4"/>
      <c r="W382" s="4"/>
      <c r="X382" s="4"/>
      <c r="Y382" s="4"/>
    </row>
    <row r="383">
      <c r="A383" s="5"/>
      <c r="B383" s="9"/>
      <c r="C383" s="5"/>
      <c r="D383" s="9"/>
      <c r="E383" s="9"/>
      <c r="F383" s="9"/>
      <c r="G383" s="9"/>
      <c r="H383" s="9"/>
      <c r="I383" s="9"/>
      <c r="J383" s="5"/>
      <c r="K383" s="4"/>
      <c r="L383" s="10"/>
      <c r="M383" s="10"/>
      <c r="N383" s="10"/>
      <c r="O383" s="10"/>
      <c r="P383" s="10"/>
      <c r="Q383" s="11"/>
      <c r="R383" s="9"/>
      <c r="S383" s="12"/>
      <c r="T383" s="5"/>
      <c r="U383" s="5"/>
      <c r="V383" s="4"/>
      <c r="W383" s="4"/>
      <c r="X383" s="4"/>
      <c r="Y383" s="4"/>
    </row>
    <row r="384">
      <c r="A384" s="5"/>
      <c r="B384" s="9"/>
      <c r="C384" s="5"/>
      <c r="D384" s="9"/>
      <c r="E384" s="9"/>
      <c r="F384" s="9"/>
      <c r="G384" s="9"/>
      <c r="H384" s="9"/>
      <c r="I384" s="9"/>
      <c r="J384" s="5"/>
      <c r="K384" s="4"/>
      <c r="L384" s="10"/>
      <c r="M384" s="10"/>
      <c r="N384" s="10"/>
      <c r="O384" s="10"/>
      <c r="P384" s="10"/>
      <c r="Q384" s="11"/>
      <c r="R384" s="9"/>
      <c r="S384" s="12"/>
      <c r="T384" s="5"/>
      <c r="U384" s="5"/>
      <c r="V384" s="4"/>
      <c r="W384" s="4"/>
      <c r="X384" s="4"/>
      <c r="Y384" s="4"/>
    </row>
    <row r="385">
      <c r="A385" s="5"/>
      <c r="B385" s="9"/>
      <c r="C385" s="5"/>
      <c r="D385" s="9"/>
      <c r="E385" s="9"/>
      <c r="F385" s="9"/>
      <c r="G385" s="9"/>
      <c r="H385" s="9"/>
      <c r="I385" s="9"/>
      <c r="J385" s="5"/>
      <c r="K385" s="4"/>
      <c r="L385" s="10"/>
      <c r="M385" s="10"/>
      <c r="N385" s="10"/>
      <c r="O385" s="10"/>
      <c r="P385" s="10"/>
      <c r="Q385" s="11"/>
      <c r="R385" s="9"/>
      <c r="S385" s="12"/>
      <c r="T385" s="5"/>
      <c r="U385" s="5"/>
      <c r="V385" s="4"/>
      <c r="W385" s="4"/>
      <c r="X385" s="4"/>
      <c r="Y385" s="4"/>
    </row>
    <row r="386">
      <c r="A386" s="5"/>
      <c r="B386" s="9"/>
      <c r="C386" s="5"/>
      <c r="D386" s="9"/>
      <c r="E386" s="9"/>
      <c r="F386" s="9"/>
      <c r="G386" s="9"/>
      <c r="H386" s="9"/>
      <c r="I386" s="9"/>
      <c r="J386" s="5"/>
      <c r="K386" s="4"/>
      <c r="L386" s="10"/>
      <c r="M386" s="10"/>
      <c r="N386" s="10"/>
      <c r="O386" s="10"/>
      <c r="P386" s="10"/>
      <c r="Q386" s="11"/>
      <c r="R386" s="9"/>
      <c r="S386" s="12"/>
      <c r="T386" s="5"/>
      <c r="U386" s="5"/>
      <c r="V386" s="4"/>
      <c r="W386" s="4"/>
      <c r="X386" s="4"/>
      <c r="Y386" s="4"/>
    </row>
    <row r="387">
      <c r="A387" s="5"/>
      <c r="B387" s="9"/>
      <c r="C387" s="5"/>
      <c r="D387" s="9"/>
      <c r="E387" s="9"/>
      <c r="F387" s="9"/>
      <c r="G387" s="9"/>
      <c r="H387" s="9"/>
      <c r="I387" s="9"/>
      <c r="J387" s="5"/>
      <c r="K387" s="4"/>
      <c r="L387" s="10"/>
      <c r="M387" s="10"/>
      <c r="N387" s="10"/>
      <c r="O387" s="10"/>
      <c r="P387" s="10"/>
      <c r="Q387" s="11"/>
      <c r="R387" s="9"/>
      <c r="S387" s="12"/>
      <c r="T387" s="5"/>
      <c r="U387" s="5"/>
      <c r="V387" s="4"/>
      <c r="W387" s="4"/>
      <c r="X387" s="4"/>
      <c r="Y387" s="4"/>
    </row>
    <row r="388">
      <c r="A388" s="5"/>
      <c r="B388" s="9"/>
      <c r="C388" s="5"/>
      <c r="D388" s="9"/>
      <c r="E388" s="9"/>
      <c r="F388" s="9"/>
      <c r="G388" s="9"/>
      <c r="H388" s="9"/>
      <c r="I388" s="9"/>
      <c r="J388" s="5"/>
      <c r="K388" s="4"/>
      <c r="L388" s="10"/>
      <c r="M388" s="10"/>
      <c r="N388" s="10"/>
      <c r="O388" s="10"/>
      <c r="P388" s="10"/>
      <c r="Q388" s="11"/>
      <c r="R388" s="9"/>
      <c r="S388" s="12"/>
      <c r="T388" s="5"/>
      <c r="U388" s="5"/>
      <c r="V388" s="4"/>
      <c r="W388" s="4"/>
      <c r="X388" s="4"/>
      <c r="Y388" s="4"/>
    </row>
    <row r="389">
      <c r="A389" s="5"/>
      <c r="B389" s="9"/>
      <c r="C389" s="5"/>
      <c r="D389" s="9"/>
      <c r="E389" s="9"/>
      <c r="F389" s="9"/>
      <c r="G389" s="9"/>
      <c r="H389" s="9"/>
      <c r="I389" s="9"/>
      <c r="J389" s="5"/>
      <c r="K389" s="4"/>
      <c r="L389" s="10"/>
      <c r="M389" s="10"/>
      <c r="N389" s="10"/>
      <c r="O389" s="10"/>
      <c r="P389" s="10"/>
      <c r="Q389" s="11"/>
      <c r="R389" s="9"/>
      <c r="S389" s="12"/>
      <c r="T389" s="5"/>
      <c r="U389" s="5"/>
      <c r="V389" s="4"/>
      <c r="W389" s="4"/>
      <c r="X389" s="4"/>
      <c r="Y389" s="4"/>
    </row>
    <row r="390">
      <c r="A390" s="5"/>
      <c r="B390" s="9"/>
      <c r="C390" s="5"/>
      <c r="D390" s="9"/>
      <c r="E390" s="9"/>
      <c r="F390" s="9"/>
      <c r="G390" s="9"/>
      <c r="H390" s="9"/>
      <c r="I390" s="9"/>
      <c r="J390" s="5"/>
      <c r="K390" s="4"/>
      <c r="L390" s="10"/>
      <c r="M390" s="10"/>
      <c r="N390" s="10"/>
      <c r="O390" s="10"/>
      <c r="P390" s="10"/>
      <c r="Q390" s="11"/>
      <c r="R390" s="9"/>
      <c r="S390" s="12"/>
      <c r="T390" s="5"/>
      <c r="U390" s="5"/>
      <c r="V390" s="4"/>
      <c r="W390" s="4"/>
      <c r="X390" s="4"/>
      <c r="Y390" s="4"/>
    </row>
    <row r="391">
      <c r="A391" s="5"/>
      <c r="B391" s="9"/>
      <c r="C391" s="5"/>
      <c r="D391" s="9"/>
      <c r="E391" s="9"/>
      <c r="F391" s="9"/>
      <c r="G391" s="9"/>
      <c r="H391" s="9"/>
      <c r="I391" s="9"/>
      <c r="J391" s="5"/>
      <c r="K391" s="4"/>
      <c r="L391" s="10"/>
      <c r="M391" s="10"/>
      <c r="N391" s="10"/>
      <c r="O391" s="10"/>
      <c r="P391" s="10"/>
      <c r="Q391" s="11"/>
      <c r="R391" s="9"/>
      <c r="S391" s="12"/>
      <c r="T391" s="5"/>
      <c r="U391" s="5"/>
      <c r="V391" s="4"/>
      <c r="W391" s="4"/>
      <c r="X391" s="4"/>
      <c r="Y391" s="4"/>
    </row>
    <row r="392">
      <c r="A392" s="5"/>
      <c r="B392" s="9"/>
      <c r="C392" s="5"/>
      <c r="D392" s="9"/>
      <c r="E392" s="9"/>
      <c r="F392" s="9"/>
      <c r="G392" s="9"/>
      <c r="H392" s="9"/>
      <c r="I392" s="9"/>
      <c r="J392" s="5"/>
      <c r="K392" s="4"/>
      <c r="L392" s="10"/>
      <c r="M392" s="10"/>
      <c r="N392" s="10"/>
      <c r="O392" s="10"/>
      <c r="P392" s="10"/>
      <c r="Q392" s="11"/>
      <c r="R392" s="9"/>
      <c r="S392" s="12"/>
      <c r="T392" s="5"/>
      <c r="U392" s="5"/>
      <c r="V392" s="4"/>
      <c r="W392" s="4"/>
      <c r="X392" s="4"/>
      <c r="Y392" s="4"/>
    </row>
    <row r="393">
      <c r="A393" s="5"/>
      <c r="B393" s="9"/>
      <c r="C393" s="5"/>
      <c r="D393" s="9"/>
      <c r="E393" s="9"/>
      <c r="F393" s="9"/>
      <c r="G393" s="9"/>
      <c r="H393" s="9"/>
      <c r="I393" s="9"/>
      <c r="J393" s="5"/>
      <c r="K393" s="4"/>
      <c r="L393" s="10"/>
      <c r="M393" s="10"/>
      <c r="N393" s="10"/>
      <c r="O393" s="10"/>
      <c r="P393" s="10"/>
      <c r="Q393" s="11"/>
      <c r="R393" s="9"/>
      <c r="S393" s="12"/>
      <c r="T393" s="5"/>
      <c r="U393" s="5"/>
      <c r="V393" s="4"/>
      <c r="W393" s="4"/>
      <c r="X393" s="4"/>
      <c r="Y393" s="4"/>
    </row>
    <row r="394">
      <c r="A394" s="5"/>
      <c r="B394" s="9"/>
      <c r="C394" s="5"/>
      <c r="D394" s="9"/>
      <c r="E394" s="9"/>
      <c r="F394" s="9"/>
      <c r="G394" s="9"/>
      <c r="H394" s="9"/>
      <c r="I394" s="9"/>
      <c r="J394" s="5"/>
      <c r="K394" s="4"/>
      <c r="L394" s="10"/>
      <c r="M394" s="10"/>
      <c r="N394" s="10"/>
      <c r="O394" s="10"/>
      <c r="P394" s="10"/>
      <c r="Q394" s="11"/>
      <c r="R394" s="9"/>
      <c r="S394" s="12"/>
      <c r="T394" s="5"/>
      <c r="U394" s="5"/>
      <c r="V394" s="4"/>
      <c r="W394" s="4"/>
      <c r="X394" s="4"/>
      <c r="Y394" s="4"/>
    </row>
    <row r="395">
      <c r="A395" s="5"/>
      <c r="B395" s="9"/>
      <c r="C395" s="5"/>
      <c r="D395" s="9"/>
      <c r="E395" s="9"/>
      <c r="F395" s="9"/>
      <c r="G395" s="9"/>
      <c r="H395" s="9"/>
      <c r="I395" s="9"/>
      <c r="J395" s="5"/>
      <c r="K395" s="4"/>
      <c r="L395" s="10"/>
      <c r="M395" s="10"/>
      <c r="N395" s="10"/>
      <c r="O395" s="10"/>
      <c r="P395" s="10"/>
      <c r="Q395" s="11"/>
      <c r="R395" s="9"/>
      <c r="S395" s="12"/>
      <c r="T395" s="5"/>
      <c r="U395" s="5"/>
      <c r="V395" s="4"/>
      <c r="W395" s="4"/>
      <c r="X395" s="4"/>
      <c r="Y395" s="4"/>
    </row>
    <row r="396">
      <c r="A396" s="5"/>
      <c r="B396" s="9"/>
      <c r="C396" s="5"/>
      <c r="D396" s="9"/>
      <c r="E396" s="9"/>
      <c r="F396" s="9"/>
      <c r="G396" s="9"/>
      <c r="H396" s="9"/>
      <c r="I396" s="9"/>
      <c r="J396" s="5"/>
      <c r="K396" s="4"/>
      <c r="L396" s="10"/>
      <c r="M396" s="10"/>
      <c r="N396" s="10"/>
      <c r="O396" s="10"/>
      <c r="P396" s="10"/>
      <c r="Q396" s="11"/>
      <c r="R396" s="9"/>
      <c r="S396" s="12"/>
      <c r="T396" s="5"/>
      <c r="U396" s="5"/>
      <c r="V396" s="4"/>
      <c r="W396" s="4"/>
      <c r="X396" s="4"/>
      <c r="Y396" s="4"/>
    </row>
    <row r="397">
      <c r="A397" s="5"/>
      <c r="B397" s="9"/>
      <c r="C397" s="5"/>
      <c r="D397" s="9"/>
      <c r="E397" s="9"/>
      <c r="F397" s="9"/>
      <c r="G397" s="9"/>
      <c r="H397" s="9"/>
      <c r="I397" s="9"/>
      <c r="J397" s="5"/>
      <c r="K397" s="4"/>
      <c r="L397" s="10"/>
      <c r="M397" s="10"/>
      <c r="N397" s="10"/>
      <c r="O397" s="10"/>
      <c r="P397" s="10"/>
      <c r="Q397" s="11"/>
      <c r="R397" s="9"/>
      <c r="S397" s="12"/>
      <c r="T397" s="5"/>
      <c r="U397" s="5"/>
      <c r="V397" s="4"/>
      <c r="W397" s="4"/>
      <c r="X397" s="4"/>
      <c r="Y397" s="4"/>
    </row>
    <row r="398">
      <c r="A398" s="5"/>
      <c r="B398" s="9"/>
      <c r="C398" s="5"/>
      <c r="D398" s="9"/>
      <c r="E398" s="9"/>
      <c r="F398" s="9"/>
      <c r="G398" s="9"/>
      <c r="H398" s="9"/>
      <c r="I398" s="9"/>
      <c r="J398" s="5"/>
      <c r="K398" s="4"/>
      <c r="L398" s="10"/>
      <c r="M398" s="10"/>
      <c r="N398" s="10"/>
      <c r="O398" s="10"/>
      <c r="P398" s="10"/>
      <c r="Q398" s="11"/>
      <c r="R398" s="9"/>
      <c r="S398" s="12"/>
      <c r="T398" s="5"/>
      <c r="U398" s="5"/>
      <c r="V398" s="4"/>
      <c r="W398" s="4"/>
      <c r="X398" s="4"/>
      <c r="Y398" s="4"/>
    </row>
    <row r="399">
      <c r="A399" s="5"/>
      <c r="B399" s="9"/>
      <c r="C399" s="5"/>
      <c r="D399" s="9"/>
      <c r="E399" s="9"/>
      <c r="F399" s="9"/>
      <c r="G399" s="9"/>
      <c r="H399" s="9"/>
      <c r="I399" s="9"/>
      <c r="J399" s="5"/>
      <c r="K399" s="4"/>
      <c r="L399" s="10"/>
      <c r="M399" s="10"/>
      <c r="N399" s="10"/>
      <c r="O399" s="10"/>
      <c r="P399" s="10"/>
      <c r="Q399" s="11"/>
      <c r="R399" s="9"/>
      <c r="S399" s="12"/>
      <c r="T399" s="5"/>
      <c r="U399" s="5"/>
      <c r="V399" s="4"/>
      <c r="W399" s="4"/>
      <c r="X399" s="4"/>
      <c r="Y399" s="4"/>
    </row>
    <row r="400">
      <c r="A400" s="5"/>
      <c r="B400" s="9"/>
      <c r="C400" s="5"/>
      <c r="D400" s="9"/>
      <c r="E400" s="9"/>
      <c r="F400" s="9"/>
      <c r="G400" s="9"/>
      <c r="H400" s="9"/>
      <c r="I400" s="9"/>
      <c r="J400" s="5"/>
      <c r="K400" s="4"/>
      <c r="L400" s="10"/>
      <c r="M400" s="10"/>
      <c r="N400" s="10"/>
      <c r="O400" s="10"/>
      <c r="P400" s="10"/>
      <c r="Q400" s="11"/>
      <c r="R400" s="9"/>
      <c r="S400" s="12"/>
      <c r="T400" s="5"/>
      <c r="U400" s="5"/>
      <c r="V400" s="4"/>
      <c r="W400" s="4"/>
      <c r="X400" s="4"/>
      <c r="Y400" s="4"/>
    </row>
    <row r="401">
      <c r="A401" s="5"/>
      <c r="B401" s="9"/>
      <c r="C401" s="5"/>
      <c r="D401" s="9"/>
      <c r="E401" s="9"/>
      <c r="F401" s="9"/>
      <c r="G401" s="9"/>
      <c r="H401" s="9"/>
      <c r="I401" s="9"/>
      <c r="J401" s="5"/>
      <c r="K401" s="4"/>
      <c r="L401" s="10"/>
      <c r="M401" s="10"/>
      <c r="N401" s="10"/>
      <c r="O401" s="10"/>
      <c r="P401" s="10"/>
      <c r="Q401" s="11"/>
      <c r="R401" s="9"/>
      <c r="S401" s="12"/>
      <c r="T401" s="5"/>
      <c r="U401" s="5"/>
      <c r="V401" s="4"/>
      <c r="W401" s="4"/>
      <c r="X401" s="4"/>
      <c r="Y401" s="4"/>
    </row>
    <row r="402">
      <c r="A402" s="5"/>
      <c r="B402" s="9"/>
      <c r="C402" s="5"/>
      <c r="D402" s="9"/>
      <c r="E402" s="9"/>
      <c r="F402" s="9"/>
      <c r="G402" s="9"/>
      <c r="H402" s="9"/>
      <c r="I402" s="9"/>
      <c r="J402" s="5"/>
      <c r="K402" s="4"/>
      <c r="L402" s="10"/>
      <c r="M402" s="10"/>
      <c r="N402" s="10"/>
      <c r="O402" s="10"/>
      <c r="P402" s="10"/>
      <c r="Q402" s="11"/>
      <c r="R402" s="9"/>
      <c r="S402" s="12"/>
      <c r="T402" s="5"/>
      <c r="U402" s="5"/>
      <c r="V402" s="4"/>
      <c r="W402" s="4"/>
      <c r="X402" s="4"/>
      <c r="Y402" s="4"/>
    </row>
    <row r="403">
      <c r="A403" s="5"/>
      <c r="B403" s="9"/>
      <c r="C403" s="5"/>
      <c r="D403" s="9"/>
      <c r="E403" s="9"/>
      <c r="F403" s="9"/>
      <c r="G403" s="9"/>
      <c r="H403" s="9"/>
      <c r="I403" s="9"/>
      <c r="J403" s="5"/>
      <c r="K403" s="4"/>
      <c r="L403" s="10"/>
      <c r="M403" s="10"/>
      <c r="N403" s="10"/>
      <c r="O403" s="10"/>
      <c r="P403" s="10"/>
      <c r="Q403" s="11"/>
      <c r="R403" s="9"/>
      <c r="S403" s="12"/>
      <c r="T403" s="5"/>
      <c r="U403" s="5"/>
      <c r="V403" s="4"/>
      <c r="W403" s="4"/>
      <c r="X403" s="4"/>
      <c r="Y403" s="4"/>
    </row>
    <row r="404">
      <c r="A404" s="5"/>
      <c r="B404" s="9"/>
      <c r="C404" s="5"/>
      <c r="D404" s="9"/>
      <c r="E404" s="9"/>
      <c r="F404" s="9"/>
      <c r="G404" s="9"/>
      <c r="H404" s="9"/>
      <c r="I404" s="9"/>
      <c r="J404" s="5"/>
      <c r="K404" s="4"/>
      <c r="L404" s="10"/>
      <c r="M404" s="10"/>
      <c r="N404" s="10"/>
      <c r="O404" s="10"/>
      <c r="P404" s="10"/>
      <c r="Q404" s="11"/>
      <c r="R404" s="9"/>
      <c r="S404" s="12"/>
      <c r="T404" s="5"/>
      <c r="U404" s="5"/>
      <c r="V404" s="4"/>
      <c r="W404" s="4"/>
      <c r="X404" s="4"/>
      <c r="Y404" s="4"/>
    </row>
    <row r="405">
      <c r="A405" s="5"/>
      <c r="B405" s="9"/>
      <c r="C405" s="5"/>
      <c r="D405" s="9"/>
      <c r="E405" s="9"/>
      <c r="F405" s="9"/>
      <c r="G405" s="9"/>
      <c r="H405" s="9"/>
      <c r="I405" s="9"/>
      <c r="J405" s="5"/>
      <c r="K405" s="4"/>
      <c r="L405" s="10"/>
      <c r="M405" s="10"/>
      <c r="N405" s="10"/>
      <c r="O405" s="10"/>
      <c r="P405" s="10"/>
      <c r="Q405" s="11"/>
      <c r="R405" s="9"/>
      <c r="S405" s="12"/>
      <c r="T405" s="5"/>
      <c r="U405" s="5"/>
      <c r="V405" s="4"/>
      <c r="W405" s="4"/>
      <c r="X405" s="4"/>
      <c r="Y405" s="4"/>
    </row>
    <row r="406">
      <c r="A406" s="5"/>
      <c r="B406" s="9"/>
      <c r="C406" s="5"/>
      <c r="D406" s="9"/>
      <c r="E406" s="9"/>
      <c r="F406" s="9"/>
      <c r="G406" s="9"/>
      <c r="H406" s="9"/>
      <c r="I406" s="9"/>
      <c r="J406" s="5"/>
      <c r="K406" s="4"/>
      <c r="L406" s="10"/>
      <c r="M406" s="10"/>
      <c r="N406" s="10"/>
      <c r="O406" s="10"/>
      <c r="P406" s="10"/>
      <c r="Q406" s="11"/>
      <c r="R406" s="9"/>
      <c r="S406" s="12"/>
      <c r="T406" s="5"/>
      <c r="U406" s="5"/>
      <c r="V406" s="4"/>
      <c r="W406" s="4"/>
      <c r="X406" s="4"/>
      <c r="Y406" s="4"/>
    </row>
    <row r="407">
      <c r="A407" s="5"/>
      <c r="B407" s="9"/>
      <c r="C407" s="5"/>
      <c r="D407" s="9"/>
      <c r="E407" s="9"/>
      <c r="F407" s="9"/>
      <c r="G407" s="9"/>
      <c r="H407" s="9"/>
      <c r="I407" s="9"/>
      <c r="J407" s="5"/>
      <c r="K407" s="4"/>
      <c r="L407" s="10"/>
      <c r="M407" s="10"/>
      <c r="N407" s="10"/>
      <c r="O407" s="10"/>
      <c r="P407" s="10"/>
      <c r="Q407" s="11"/>
      <c r="R407" s="9"/>
      <c r="S407" s="12"/>
      <c r="T407" s="5"/>
      <c r="U407" s="5"/>
      <c r="V407" s="4"/>
      <c r="W407" s="4"/>
      <c r="X407" s="4"/>
      <c r="Y407" s="4"/>
    </row>
    <row r="408">
      <c r="A408" s="5"/>
      <c r="B408" s="9"/>
      <c r="C408" s="5"/>
      <c r="D408" s="9"/>
      <c r="E408" s="9"/>
      <c r="F408" s="9"/>
      <c r="G408" s="9"/>
      <c r="H408" s="9"/>
      <c r="I408" s="9"/>
      <c r="J408" s="5"/>
      <c r="K408" s="4"/>
      <c r="L408" s="10"/>
      <c r="M408" s="10"/>
      <c r="N408" s="10"/>
      <c r="O408" s="10"/>
      <c r="P408" s="10"/>
      <c r="Q408" s="11"/>
      <c r="R408" s="9"/>
      <c r="S408" s="12"/>
      <c r="T408" s="5"/>
      <c r="U408" s="5"/>
      <c r="V408" s="4"/>
      <c r="W408" s="4"/>
      <c r="X408" s="4"/>
      <c r="Y408" s="4"/>
    </row>
    <row r="409">
      <c r="A409" s="5"/>
      <c r="B409" s="9"/>
      <c r="C409" s="5"/>
      <c r="D409" s="9"/>
      <c r="E409" s="9"/>
      <c r="F409" s="9"/>
      <c r="G409" s="9"/>
      <c r="H409" s="9"/>
      <c r="I409" s="9"/>
      <c r="J409" s="5"/>
      <c r="K409" s="4"/>
      <c r="L409" s="10"/>
      <c r="M409" s="10"/>
      <c r="N409" s="10"/>
      <c r="O409" s="10"/>
      <c r="P409" s="10"/>
      <c r="Q409" s="11"/>
      <c r="R409" s="9"/>
      <c r="S409" s="12"/>
      <c r="T409" s="5"/>
      <c r="U409" s="5"/>
      <c r="V409" s="4"/>
      <c r="W409" s="4"/>
      <c r="X409" s="4"/>
      <c r="Y409" s="4"/>
    </row>
    <row r="410">
      <c r="A410" s="5"/>
      <c r="B410" s="9"/>
      <c r="C410" s="5"/>
      <c r="D410" s="9"/>
      <c r="E410" s="9"/>
      <c r="F410" s="9"/>
      <c r="G410" s="9"/>
      <c r="H410" s="9"/>
      <c r="I410" s="9"/>
      <c r="J410" s="5"/>
      <c r="K410" s="4"/>
      <c r="L410" s="10"/>
      <c r="M410" s="10"/>
      <c r="N410" s="10"/>
      <c r="O410" s="10"/>
      <c r="P410" s="10"/>
      <c r="Q410" s="11"/>
      <c r="R410" s="9"/>
      <c r="S410" s="12"/>
      <c r="T410" s="5"/>
      <c r="U410" s="5"/>
      <c r="V410" s="4"/>
      <c r="W410" s="4"/>
      <c r="X410" s="4"/>
      <c r="Y410" s="4"/>
    </row>
    <row r="411">
      <c r="A411" s="5"/>
      <c r="B411" s="9"/>
      <c r="C411" s="5"/>
      <c r="D411" s="9"/>
      <c r="E411" s="9"/>
      <c r="F411" s="9"/>
      <c r="G411" s="9"/>
      <c r="H411" s="9"/>
      <c r="I411" s="9"/>
      <c r="J411" s="5"/>
      <c r="K411" s="4"/>
      <c r="L411" s="10"/>
      <c r="M411" s="10"/>
      <c r="N411" s="10"/>
      <c r="O411" s="10"/>
      <c r="P411" s="10"/>
      <c r="Q411" s="11"/>
      <c r="R411" s="9"/>
      <c r="S411" s="12"/>
      <c r="T411" s="5"/>
      <c r="U411" s="5"/>
      <c r="V411" s="4"/>
      <c r="W411" s="4"/>
      <c r="X411" s="4"/>
      <c r="Y411" s="4"/>
    </row>
    <row r="412">
      <c r="A412" s="5"/>
      <c r="B412" s="9"/>
      <c r="C412" s="5"/>
      <c r="D412" s="9"/>
      <c r="E412" s="9"/>
      <c r="F412" s="9"/>
      <c r="G412" s="9"/>
      <c r="H412" s="9"/>
      <c r="I412" s="9"/>
      <c r="J412" s="5"/>
      <c r="K412" s="4"/>
      <c r="L412" s="10"/>
      <c r="M412" s="10"/>
      <c r="N412" s="10"/>
      <c r="O412" s="10"/>
      <c r="P412" s="10"/>
      <c r="Q412" s="11"/>
      <c r="R412" s="9"/>
      <c r="S412" s="12"/>
      <c r="T412" s="5"/>
      <c r="U412" s="5"/>
      <c r="V412" s="4"/>
      <c r="W412" s="4"/>
      <c r="X412" s="4"/>
      <c r="Y412" s="4"/>
    </row>
    <row r="413">
      <c r="A413" s="5"/>
      <c r="B413" s="9"/>
      <c r="C413" s="5"/>
      <c r="D413" s="9"/>
      <c r="E413" s="9"/>
      <c r="F413" s="9"/>
      <c r="G413" s="9"/>
      <c r="H413" s="9"/>
      <c r="I413" s="9"/>
      <c r="J413" s="5"/>
      <c r="K413" s="4"/>
      <c r="L413" s="10"/>
      <c r="M413" s="10"/>
      <c r="N413" s="10"/>
      <c r="O413" s="10"/>
      <c r="P413" s="10"/>
      <c r="Q413" s="11"/>
      <c r="R413" s="9"/>
      <c r="S413" s="12"/>
      <c r="T413" s="5"/>
      <c r="U413" s="5"/>
      <c r="V413" s="4"/>
      <c r="W413" s="4"/>
      <c r="X413" s="4"/>
      <c r="Y413" s="4"/>
    </row>
    <row r="414">
      <c r="A414" s="5"/>
      <c r="B414" s="9"/>
      <c r="C414" s="5"/>
      <c r="D414" s="9"/>
      <c r="E414" s="9"/>
      <c r="F414" s="9"/>
      <c r="G414" s="9"/>
      <c r="H414" s="9"/>
      <c r="I414" s="9"/>
      <c r="J414" s="5"/>
      <c r="K414" s="4"/>
      <c r="L414" s="10"/>
      <c r="M414" s="10"/>
      <c r="N414" s="10"/>
      <c r="O414" s="10"/>
      <c r="P414" s="10"/>
      <c r="Q414" s="11"/>
      <c r="R414" s="9"/>
      <c r="S414" s="12"/>
      <c r="T414" s="5"/>
      <c r="U414" s="5"/>
      <c r="V414" s="4"/>
      <c r="W414" s="4"/>
      <c r="X414" s="4"/>
      <c r="Y414" s="4"/>
    </row>
    <row r="415">
      <c r="A415" s="5"/>
      <c r="B415" s="9"/>
      <c r="C415" s="5"/>
      <c r="D415" s="9"/>
      <c r="E415" s="9"/>
      <c r="F415" s="9"/>
      <c r="G415" s="9"/>
      <c r="H415" s="9"/>
      <c r="I415" s="9"/>
      <c r="J415" s="5"/>
      <c r="K415" s="4"/>
      <c r="L415" s="10"/>
      <c r="M415" s="10"/>
      <c r="N415" s="10"/>
      <c r="O415" s="10"/>
      <c r="P415" s="10"/>
      <c r="Q415" s="11"/>
      <c r="R415" s="9"/>
      <c r="S415" s="12"/>
      <c r="T415" s="5"/>
      <c r="U415" s="5"/>
      <c r="V415" s="4"/>
      <c r="W415" s="4"/>
      <c r="X415" s="4"/>
      <c r="Y415" s="4"/>
    </row>
    <row r="416">
      <c r="A416" s="5"/>
      <c r="B416" s="9"/>
      <c r="C416" s="5"/>
      <c r="D416" s="9"/>
      <c r="E416" s="9"/>
      <c r="F416" s="9"/>
      <c r="G416" s="9"/>
      <c r="H416" s="9"/>
      <c r="I416" s="9"/>
      <c r="J416" s="5"/>
      <c r="K416" s="4"/>
      <c r="L416" s="10"/>
      <c r="M416" s="10"/>
      <c r="N416" s="10"/>
      <c r="O416" s="10"/>
      <c r="P416" s="10"/>
      <c r="Q416" s="11"/>
      <c r="R416" s="9"/>
      <c r="S416" s="12"/>
      <c r="T416" s="5"/>
      <c r="U416" s="5"/>
      <c r="V416" s="4"/>
      <c r="W416" s="4"/>
      <c r="X416" s="4"/>
      <c r="Y416" s="4"/>
    </row>
    <row r="417">
      <c r="A417" s="5"/>
      <c r="B417" s="9"/>
      <c r="C417" s="5"/>
      <c r="D417" s="9"/>
      <c r="E417" s="9"/>
      <c r="F417" s="9"/>
      <c r="G417" s="9"/>
      <c r="H417" s="9"/>
      <c r="I417" s="9"/>
      <c r="J417" s="5"/>
      <c r="K417" s="4"/>
      <c r="L417" s="10"/>
      <c r="M417" s="10"/>
      <c r="N417" s="10"/>
      <c r="O417" s="10"/>
      <c r="P417" s="10"/>
      <c r="Q417" s="11"/>
      <c r="R417" s="9"/>
      <c r="S417" s="12"/>
      <c r="T417" s="5"/>
      <c r="U417" s="5"/>
      <c r="V417" s="4"/>
      <c r="W417" s="4"/>
      <c r="X417" s="4"/>
      <c r="Y417" s="4"/>
    </row>
    <row r="418">
      <c r="A418" s="5"/>
      <c r="B418" s="9"/>
      <c r="C418" s="5"/>
      <c r="D418" s="9"/>
      <c r="E418" s="9"/>
      <c r="F418" s="9"/>
      <c r="G418" s="9"/>
      <c r="H418" s="9"/>
      <c r="I418" s="9"/>
      <c r="J418" s="5"/>
      <c r="K418" s="4"/>
      <c r="L418" s="10"/>
      <c r="M418" s="10"/>
      <c r="N418" s="10"/>
      <c r="O418" s="10"/>
      <c r="P418" s="10"/>
      <c r="Q418" s="11"/>
      <c r="R418" s="9"/>
      <c r="S418" s="12"/>
      <c r="T418" s="5"/>
      <c r="U418" s="5"/>
      <c r="V418" s="4"/>
      <c r="W418" s="4"/>
      <c r="X418" s="4"/>
      <c r="Y418" s="4"/>
    </row>
    <row r="419">
      <c r="A419" s="5"/>
      <c r="B419" s="9"/>
      <c r="C419" s="5"/>
      <c r="D419" s="9"/>
      <c r="E419" s="9"/>
      <c r="F419" s="9"/>
      <c r="G419" s="9"/>
      <c r="H419" s="9"/>
      <c r="I419" s="9"/>
      <c r="J419" s="5"/>
      <c r="K419" s="4"/>
      <c r="L419" s="10"/>
      <c r="M419" s="10"/>
      <c r="N419" s="10"/>
      <c r="O419" s="10"/>
      <c r="P419" s="10"/>
      <c r="Q419" s="11"/>
      <c r="R419" s="9"/>
      <c r="S419" s="12"/>
      <c r="T419" s="5"/>
      <c r="U419" s="5"/>
      <c r="V419" s="4"/>
      <c r="W419" s="4"/>
      <c r="X419" s="4"/>
      <c r="Y419" s="4"/>
    </row>
    <row r="420">
      <c r="A420" s="5"/>
      <c r="B420" s="9"/>
      <c r="C420" s="5"/>
      <c r="D420" s="9"/>
      <c r="E420" s="9"/>
      <c r="F420" s="9"/>
      <c r="G420" s="9"/>
      <c r="H420" s="9"/>
      <c r="I420" s="9"/>
      <c r="J420" s="5"/>
      <c r="K420" s="4"/>
      <c r="L420" s="10"/>
      <c r="M420" s="10"/>
      <c r="N420" s="10"/>
      <c r="O420" s="10"/>
      <c r="P420" s="10"/>
      <c r="Q420" s="11"/>
      <c r="R420" s="9"/>
      <c r="S420" s="12"/>
      <c r="T420" s="5"/>
      <c r="U420" s="5"/>
      <c r="V420" s="4"/>
      <c r="W420" s="4"/>
      <c r="X420" s="4"/>
      <c r="Y420" s="4"/>
    </row>
    <row r="421">
      <c r="A421" s="5"/>
      <c r="B421" s="9"/>
      <c r="C421" s="5"/>
      <c r="D421" s="9"/>
      <c r="E421" s="9"/>
      <c r="F421" s="9"/>
      <c r="G421" s="9"/>
      <c r="H421" s="9"/>
      <c r="I421" s="9"/>
      <c r="J421" s="5"/>
      <c r="K421" s="4"/>
      <c r="L421" s="10"/>
      <c r="M421" s="10"/>
      <c r="N421" s="10"/>
      <c r="O421" s="10"/>
      <c r="P421" s="10"/>
      <c r="Q421" s="11"/>
      <c r="R421" s="9"/>
      <c r="S421" s="12"/>
      <c r="T421" s="5"/>
      <c r="U421" s="5"/>
      <c r="V421" s="4"/>
      <c r="W421" s="4"/>
      <c r="X421" s="4"/>
      <c r="Y421" s="4"/>
    </row>
    <row r="422">
      <c r="A422" s="5"/>
      <c r="B422" s="9"/>
      <c r="C422" s="5"/>
      <c r="D422" s="9"/>
      <c r="E422" s="9"/>
      <c r="F422" s="9"/>
      <c r="G422" s="9"/>
      <c r="H422" s="9"/>
      <c r="I422" s="9"/>
      <c r="J422" s="5"/>
      <c r="K422" s="4"/>
      <c r="L422" s="10"/>
      <c r="M422" s="10"/>
      <c r="N422" s="10"/>
      <c r="O422" s="10"/>
      <c r="P422" s="10"/>
      <c r="Q422" s="11"/>
      <c r="R422" s="9"/>
      <c r="S422" s="12"/>
      <c r="T422" s="5"/>
      <c r="U422" s="5"/>
      <c r="V422" s="4"/>
      <c r="W422" s="4"/>
      <c r="X422" s="4"/>
      <c r="Y422" s="4"/>
    </row>
    <row r="423">
      <c r="A423" s="5"/>
      <c r="B423" s="9"/>
      <c r="C423" s="5"/>
      <c r="D423" s="9"/>
      <c r="E423" s="9"/>
      <c r="F423" s="9"/>
      <c r="G423" s="9"/>
      <c r="H423" s="9"/>
      <c r="I423" s="9"/>
      <c r="J423" s="5"/>
      <c r="K423" s="4"/>
      <c r="L423" s="10"/>
      <c r="M423" s="10"/>
      <c r="N423" s="10"/>
      <c r="O423" s="10"/>
      <c r="P423" s="10"/>
      <c r="Q423" s="11"/>
      <c r="R423" s="9"/>
      <c r="S423" s="12"/>
      <c r="T423" s="5"/>
      <c r="U423" s="5"/>
      <c r="V423" s="4"/>
      <c r="W423" s="4"/>
      <c r="X423" s="4"/>
      <c r="Y423" s="4"/>
    </row>
    <row r="424">
      <c r="A424" s="5"/>
      <c r="B424" s="9"/>
      <c r="C424" s="5"/>
      <c r="D424" s="9"/>
      <c r="E424" s="9"/>
      <c r="F424" s="9"/>
      <c r="G424" s="9"/>
      <c r="H424" s="9"/>
      <c r="I424" s="9"/>
      <c r="J424" s="5"/>
      <c r="K424" s="4"/>
      <c r="L424" s="10"/>
      <c r="M424" s="10"/>
      <c r="N424" s="10"/>
      <c r="O424" s="10"/>
      <c r="P424" s="10"/>
      <c r="Q424" s="11"/>
      <c r="R424" s="9"/>
      <c r="S424" s="12"/>
      <c r="T424" s="5"/>
      <c r="U424" s="5"/>
      <c r="V424" s="4"/>
      <c r="W424" s="4"/>
      <c r="X424" s="4"/>
      <c r="Y424" s="4"/>
    </row>
    <row r="425">
      <c r="A425" s="5"/>
      <c r="B425" s="9"/>
      <c r="C425" s="5"/>
      <c r="D425" s="9"/>
      <c r="E425" s="9"/>
      <c r="F425" s="9"/>
      <c r="G425" s="9"/>
      <c r="H425" s="9"/>
      <c r="I425" s="9"/>
      <c r="J425" s="5"/>
      <c r="K425" s="4"/>
      <c r="L425" s="10"/>
      <c r="M425" s="10"/>
      <c r="N425" s="10"/>
      <c r="O425" s="10"/>
      <c r="P425" s="10"/>
      <c r="Q425" s="11"/>
      <c r="R425" s="9"/>
      <c r="S425" s="12"/>
      <c r="T425" s="5"/>
      <c r="U425" s="5"/>
      <c r="V425" s="4"/>
      <c r="W425" s="4"/>
      <c r="X425" s="4"/>
      <c r="Y425" s="4"/>
    </row>
    <row r="426">
      <c r="A426" s="5"/>
      <c r="B426" s="9"/>
      <c r="C426" s="5"/>
      <c r="D426" s="9"/>
      <c r="E426" s="9"/>
      <c r="F426" s="9"/>
      <c r="G426" s="9"/>
      <c r="H426" s="9"/>
      <c r="I426" s="9"/>
      <c r="J426" s="5"/>
      <c r="K426" s="4"/>
      <c r="L426" s="10"/>
      <c r="M426" s="10"/>
      <c r="N426" s="10"/>
      <c r="O426" s="10"/>
      <c r="P426" s="10"/>
      <c r="Q426" s="11"/>
      <c r="R426" s="9"/>
      <c r="S426" s="12"/>
      <c r="T426" s="5"/>
      <c r="U426" s="5"/>
      <c r="V426" s="4"/>
      <c r="W426" s="4"/>
      <c r="X426" s="4"/>
      <c r="Y426" s="4"/>
    </row>
    <row r="427">
      <c r="A427" s="5"/>
      <c r="B427" s="9"/>
      <c r="C427" s="5"/>
      <c r="D427" s="9"/>
      <c r="E427" s="9"/>
      <c r="F427" s="9"/>
      <c r="G427" s="9"/>
      <c r="H427" s="9"/>
      <c r="I427" s="9"/>
      <c r="J427" s="5"/>
      <c r="K427" s="4"/>
      <c r="L427" s="10"/>
      <c r="M427" s="10"/>
      <c r="N427" s="10"/>
      <c r="O427" s="10"/>
      <c r="P427" s="10"/>
      <c r="Q427" s="11"/>
      <c r="R427" s="9"/>
      <c r="S427" s="12"/>
      <c r="T427" s="5"/>
      <c r="U427" s="5"/>
      <c r="V427" s="4"/>
      <c r="W427" s="4"/>
      <c r="X427" s="4"/>
      <c r="Y427" s="4"/>
    </row>
    <row r="428">
      <c r="A428" s="5"/>
      <c r="B428" s="9"/>
      <c r="C428" s="5"/>
      <c r="D428" s="9"/>
      <c r="E428" s="9"/>
      <c r="F428" s="9"/>
      <c r="G428" s="9"/>
      <c r="H428" s="9"/>
      <c r="I428" s="9"/>
      <c r="J428" s="5"/>
      <c r="K428" s="4"/>
      <c r="L428" s="10"/>
      <c r="M428" s="10"/>
      <c r="N428" s="10"/>
      <c r="O428" s="10"/>
      <c r="P428" s="10"/>
      <c r="Q428" s="11"/>
      <c r="R428" s="9"/>
      <c r="S428" s="12"/>
      <c r="T428" s="5"/>
      <c r="U428" s="5"/>
      <c r="V428" s="4"/>
      <c r="W428" s="4"/>
      <c r="X428" s="4"/>
      <c r="Y428" s="4"/>
    </row>
    <row r="429">
      <c r="A429" s="5"/>
      <c r="B429" s="9"/>
      <c r="C429" s="5"/>
      <c r="D429" s="9"/>
      <c r="E429" s="9"/>
      <c r="F429" s="9"/>
      <c r="G429" s="9"/>
      <c r="H429" s="9"/>
      <c r="I429" s="9"/>
      <c r="J429" s="5"/>
      <c r="K429" s="4"/>
      <c r="L429" s="10"/>
      <c r="M429" s="10"/>
      <c r="N429" s="10"/>
      <c r="O429" s="10"/>
      <c r="P429" s="10"/>
      <c r="Q429" s="11"/>
      <c r="R429" s="9"/>
      <c r="S429" s="12"/>
      <c r="T429" s="5"/>
      <c r="U429" s="5"/>
      <c r="V429" s="4"/>
      <c r="W429" s="4"/>
      <c r="X429" s="4"/>
      <c r="Y429" s="4"/>
    </row>
    <row r="430">
      <c r="A430" s="5"/>
      <c r="B430" s="9"/>
      <c r="C430" s="5"/>
      <c r="D430" s="9"/>
      <c r="E430" s="9"/>
      <c r="F430" s="9"/>
      <c r="G430" s="9"/>
      <c r="H430" s="9"/>
      <c r="I430" s="9"/>
      <c r="J430" s="5"/>
      <c r="K430" s="4"/>
      <c r="L430" s="10"/>
      <c r="M430" s="10"/>
      <c r="N430" s="10"/>
      <c r="O430" s="10"/>
      <c r="P430" s="10"/>
      <c r="Q430" s="11"/>
      <c r="R430" s="9"/>
      <c r="S430" s="12"/>
      <c r="T430" s="5"/>
      <c r="U430" s="5"/>
      <c r="V430" s="4"/>
      <c r="W430" s="4"/>
      <c r="X430" s="4"/>
      <c r="Y430" s="4"/>
    </row>
    <row r="431">
      <c r="A431" s="5"/>
      <c r="B431" s="9"/>
      <c r="C431" s="5"/>
      <c r="D431" s="9"/>
      <c r="E431" s="9"/>
      <c r="F431" s="9"/>
      <c r="G431" s="9"/>
      <c r="H431" s="9"/>
      <c r="I431" s="9"/>
      <c r="J431" s="5"/>
      <c r="K431" s="4"/>
      <c r="L431" s="10"/>
      <c r="M431" s="10"/>
      <c r="N431" s="10"/>
      <c r="O431" s="10"/>
      <c r="P431" s="10"/>
      <c r="Q431" s="11"/>
      <c r="R431" s="9"/>
      <c r="S431" s="12"/>
      <c r="T431" s="5"/>
      <c r="U431" s="5"/>
      <c r="V431" s="4"/>
      <c r="W431" s="4"/>
      <c r="X431" s="4"/>
      <c r="Y431" s="4"/>
    </row>
    <row r="432">
      <c r="A432" s="5"/>
      <c r="B432" s="9"/>
      <c r="C432" s="5"/>
      <c r="D432" s="9"/>
      <c r="E432" s="9"/>
      <c r="F432" s="9"/>
      <c r="G432" s="9"/>
      <c r="H432" s="9"/>
      <c r="I432" s="9"/>
      <c r="J432" s="5"/>
      <c r="K432" s="4"/>
      <c r="L432" s="10"/>
      <c r="M432" s="10"/>
      <c r="N432" s="10"/>
      <c r="O432" s="10"/>
      <c r="P432" s="10"/>
      <c r="Q432" s="11"/>
      <c r="R432" s="9"/>
      <c r="S432" s="12"/>
      <c r="T432" s="5"/>
      <c r="U432" s="5"/>
      <c r="V432" s="4"/>
      <c r="W432" s="4"/>
      <c r="X432" s="4"/>
      <c r="Y432" s="4"/>
    </row>
    <row r="433">
      <c r="A433" s="5"/>
      <c r="B433" s="9"/>
      <c r="C433" s="5"/>
      <c r="D433" s="9"/>
      <c r="E433" s="9"/>
      <c r="F433" s="9"/>
      <c r="G433" s="9"/>
      <c r="H433" s="9"/>
      <c r="I433" s="9"/>
      <c r="J433" s="5"/>
      <c r="K433" s="4"/>
      <c r="L433" s="10"/>
      <c r="M433" s="10"/>
      <c r="N433" s="10"/>
      <c r="O433" s="10"/>
      <c r="P433" s="10"/>
      <c r="Q433" s="11"/>
      <c r="R433" s="9"/>
      <c r="S433" s="12"/>
      <c r="T433" s="5"/>
      <c r="U433" s="5"/>
      <c r="V433" s="4"/>
      <c r="W433" s="4"/>
      <c r="X433" s="4"/>
      <c r="Y433" s="4"/>
    </row>
    <row r="434">
      <c r="A434" s="5"/>
      <c r="B434" s="9"/>
      <c r="C434" s="5"/>
      <c r="D434" s="9"/>
      <c r="E434" s="9"/>
      <c r="F434" s="9"/>
      <c r="G434" s="9"/>
      <c r="H434" s="9"/>
      <c r="I434" s="9"/>
      <c r="J434" s="5"/>
      <c r="K434" s="4"/>
      <c r="L434" s="10"/>
      <c r="M434" s="10"/>
      <c r="N434" s="10"/>
      <c r="O434" s="10"/>
      <c r="P434" s="10"/>
      <c r="Q434" s="11"/>
      <c r="R434" s="9"/>
      <c r="S434" s="12"/>
      <c r="T434" s="5"/>
      <c r="U434" s="5"/>
      <c r="V434" s="4"/>
      <c r="W434" s="4"/>
      <c r="X434" s="4"/>
      <c r="Y434" s="4"/>
    </row>
    <row r="435">
      <c r="A435" s="5"/>
      <c r="B435" s="9"/>
      <c r="C435" s="5"/>
      <c r="D435" s="9"/>
      <c r="E435" s="9"/>
      <c r="F435" s="9"/>
      <c r="G435" s="9"/>
      <c r="H435" s="9"/>
      <c r="I435" s="9"/>
      <c r="J435" s="5"/>
      <c r="K435" s="4"/>
      <c r="L435" s="10"/>
      <c r="M435" s="10"/>
      <c r="N435" s="10"/>
      <c r="O435" s="10"/>
      <c r="P435" s="10"/>
      <c r="Q435" s="11"/>
      <c r="R435" s="9"/>
      <c r="S435" s="12"/>
      <c r="T435" s="5"/>
      <c r="U435" s="5"/>
      <c r="V435" s="4"/>
      <c r="W435" s="4"/>
      <c r="X435" s="4"/>
      <c r="Y435" s="4"/>
    </row>
    <row r="436">
      <c r="A436" s="5"/>
      <c r="B436" s="9"/>
      <c r="C436" s="5"/>
      <c r="D436" s="9"/>
      <c r="E436" s="9"/>
      <c r="F436" s="9"/>
      <c r="G436" s="9"/>
      <c r="H436" s="9"/>
      <c r="I436" s="9"/>
      <c r="J436" s="5"/>
      <c r="K436" s="4"/>
      <c r="L436" s="10"/>
      <c r="M436" s="10"/>
      <c r="N436" s="10"/>
      <c r="O436" s="10"/>
      <c r="P436" s="10"/>
      <c r="Q436" s="11"/>
      <c r="R436" s="9"/>
      <c r="S436" s="12"/>
      <c r="T436" s="5"/>
      <c r="U436" s="5"/>
      <c r="V436" s="4"/>
      <c r="W436" s="4"/>
      <c r="X436" s="4"/>
      <c r="Y436" s="4"/>
    </row>
    <row r="437">
      <c r="A437" s="5"/>
      <c r="B437" s="9"/>
      <c r="C437" s="5"/>
      <c r="D437" s="9"/>
      <c r="E437" s="9"/>
      <c r="F437" s="9"/>
      <c r="G437" s="9"/>
      <c r="H437" s="9"/>
      <c r="I437" s="9"/>
      <c r="J437" s="5"/>
      <c r="K437" s="4"/>
      <c r="L437" s="10"/>
      <c r="M437" s="10"/>
      <c r="N437" s="10"/>
      <c r="O437" s="10"/>
      <c r="P437" s="10"/>
      <c r="Q437" s="11"/>
      <c r="R437" s="9"/>
      <c r="S437" s="12"/>
      <c r="T437" s="5"/>
      <c r="U437" s="5"/>
      <c r="V437" s="4"/>
      <c r="W437" s="4"/>
      <c r="X437" s="4"/>
      <c r="Y437" s="4"/>
    </row>
    <row r="438">
      <c r="A438" s="5"/>
      <c r="B438" s="9"/>
      <c r="C438" s="5"/>
      <c r="D438" s="9"/>
      <c r="E438" s="9"/>
      <c r="F438" s="9"/>
      <c r="G438" s="9"/>
      <c r="H438" s="9"/>
      <c r="I438" s="9"/>
      <c r="J438" s="5"/>
      <c r="K438" s="4"/>
      <c r="L438" s="10"/>
      <c r="M438" s="10"/>
      <c r="N438" s="10"/>
      <c r="O438" s="10"/>
      <c r="P438" s="10"/>
      <c r="Q438" s="11"/>
      <c r="R438" s="9"/>
      <c r="S438" s="12"/>
      <c r="T438" s="5"/>
      <c r="U438" s="5"/>
      <c r="V438" s="4"/>
      <c r="W438" s="4"/>
      <c r="X438" s="4"/>
      <c r="Y438" s="4"/>
    </row>
    <row r="439">
      <c r="A439" s="5"/>
      <c r="B439" s="9"/>
      <c r="C439" s="5"/>
      <c r="D439" s="9"/>
      <c r="E439" s="9"/>
      <c r="F439" s="9"/>
      <c r="G439" s="9"/>
      <c r="H439" s="9"/>
      <c r="I439" s="9"/>
      <c r="J439" s="5"/>
      <c r="K439" s="4"/>
      <c r="L439" s="10"/>
      <c r="M439" s="10"/>
      <c r="N439" s="10"/>
      <c r="O439" s="10"/>
      <c r="P439" s="10"/>
      <c r="Q439" s="11"/>
      <c r="R439" s="9"/>
      <c r="S439" s="12"/>
      <c r="T439" s="5"/>
      <c r="U439" s="5"/>
      <c r="V439" s="4"/>
      <c r="W439" s="4"/>
      <c r="X439" s="4"/>
      <c r="Y439" s="4"/>
    </row>
    <row r="440">
      <c r="A440" s="5"/>
      <c r="B440" s="9"/>
      <c r="C440" s="5"/>
      <c r="D440" s="9"/>
      <c r="E440" s="9"/>
      <c r="F440" s="9"/>
      <c r="G440" s="9"/>
      <c r="H440" s="9"/>
      <c r="I440" s="9"/>
      <c r="J440" s="5"/>
      <c r="K440" s="4"/>
      <c r="L440" s="10"/>
      <c r="M440" s="10"/>
      <c r="N440" s="10"/>
      <c r="O440" s="10"/>
      <c r="P440" s="10"/>
      <c r="Q440" s="11"/>
      <c r="R440" s="9"/>
      <c r="S440" s="12"/>
      <c r="T440" s="5"/>
      <c r="U440" s="5"/>
      <c r="V440" s="4"/>
      <c r="W440" s="4"/>
      <c r="X440" s="4"/>
      <c r="Y440" s="4"/>
    </row>
    <row r="441">
      <c r="A441" s="5"/>
      <c r="B441" s="9"/>
      <c r="C441" s="5"/>
      <c r="D441" s="9"/>
      <c r="E441" s="9"/>
      <c r="F441" s="9"/>
      <c r="G441" s="9"/>
      <c r="H441" s="9"/>
      <c r="I441" s="9"/>
      <c r="J441" s="5"/>
      <c r="K441" s="4"/>
      <c r="L441" s="10"/>
      <c r="M441" s="10"/>
      <c r="N441" s="10"/>
      <c r="O441" s="10"/>
      <c r="P441" s="10"/>
      <c r="Q441" s="11"/>
      <c r="R441" s="9"/>
      <c r="S441" s="12"/>
      <c r="T441" s="5"/>
      <c r="U441" s="5"/>
      <c r="V441" s="4"/>
      <c r="W441" s="4"/>
      <c r="X441" s="4"/>
      <c r="Y441" s="4"/>
    </row>
    <row r="442">
      <c r="A442" s="5"/>
      <c r="B442" s="9"/>
      <c r="C442" s="5"/>
      <c r="D442" s="9"/>
      <c r="E442" s="9"/>
      <c r="F442" s="9"/>
      <c r="G442" s="9"/>
      <c r="H442" s="9"/>
      <c r="I442" s="9"/>
      <c r="J442" s="5"/>
      <c r="K442" s="4"/>
      <c r="L442" s="10"/>
      <c r="M442" s="10"/>
      <c r="N442" s="10"/>
      <c r="O442" s="10"/>
      <c r="P442" s="10"/>
      <c r="Q442" s="11"/>
      <c r="R442" s="9"/>
      <c r="S442" s="12"/>
      <c r="T442" s="5"/>
      <c r="U442" s="5"/>
      <c r="V442" s="4"/>
      <c r="W442" s="4"/>
      <c r="X442" s="4"/>
      <c r="Y442" s="4"/>
    </row>
    <row r="443">
      <c r="A443" s="5"/>
      <c r="B443" s="9"/>
      <c r="C443" s="5"/>
      <c r="D443" s="9"/>
      <c r="E443" s="9"/>
      <c r="F443" s="9"/>
      <c r="G443" s="9"/>
      <c r="H443" s="9"/>
      <c r="I443" s="9"/>
      <c r="J443" s="5"/>
      <c r="K443" s="4"/>
      <c r="L443" s="10"/>
      <c r="M443" s="10"/>
      <c r="N443" s="10"/>
      <c r="O443" s="10"/>
      <c r="P443" s="10"/>
      <c r="Q443" s="11"/>
      <c r="R443" s="9"/>
      <c r="S443" s="12"/>
      <c r="T443" s="5"/>
      <c r="U443" s="5"/>
      <c r="V443" s="4"/>
      <c r="W443" s="4"/>
      <c r="X443" s="4"/>
      <c r="Y443" s="4"/>
    </row>
    <row r="444">
      <c r="A444" s="5"/>
      <c r="B444" s="9"/>
      <c r="C444" s="5"/>
      <c r="D444" s="9"/>
      <c r="E444" s="9"/>
      <c r="F444" s="9"/>
      <c r="G444" s="9"/>
      <c r="H444" s="9"/>
      <c r="I444" s="9"/>
      <c r="J444" s="5"/>
      <c r="K444" s="4"/>
      <c r="L444" s="10"/>
      <c r="M444" s="10"/>
      <c r="N444" s="10"/>
      <c r="O444" s="10"/>
      <c r="P444" s="10"/>
      <c r="Q444" s="11"/>
      <c r="R444" s="9"/>
      <c r="S444" s="12"/>
      <c r="T444" s="5"/>
      <c r="U444" s="5"/>
      <c r="V444" s="4"/>
      <c r="W444" s="4"/>
      <c r="X444" s="4"/>
      <c r="Y444" s="4"/>
    </row>
    <row r="445">
      <c r="A445" s="5"/>
      <c r="B445" s="9"/>
      <c r="C445" s="5"/>
      <c r="D445" s="9"/>
      <c r="E445" s="9"/>
      <c r="F445" s="9"/>
      <c r="G445" s="9"/>
      <c r="H445" s="9"/>
      <c r="I445" s="9"/>
      <c r="J445" s="5"/>
      <c r="K445" s="4"/>
      <c r="L445" s="10"/>
      <c r="M445" s="10"/>
      <c r="N445" s="10"/>
      <c r="O445" s="10"/>
      <c r="P445" s="10"/>
      <c r="Q445" s="11"/>
      <c r="R445" s="9"/>
      <c r="S445" s="12"/>
      <c r="T445" s="5"/>
      <c r="U445" s="5"/>
      <c r="V445" s="4"/>
      <c r="W445" s="4"/>
      <c r="X445" s="4"/>
      <c r="Y445" s="4"/>
    </row>
    <row r="446">
      <c r="A446" s="5"/>
      <c r="B446" s="9"/>
      <c r="C446" s="5"/>
      <c r="D446" s="9"/>
      <c r="E446" s="9"/>
      <c r="F446" s="9"/>
      <c r="G446" s="9"/>
      <c r="H446" s="9"/>
      <c r="I446" s="9"/>
      <c r="J446" s="5"/>
      <c r="K446" s="4"/>
      <c r="L446" s="10"/>
      <c r="M446" s="10"/>
      <c r="N446" s="10"/>
      <c r="O446" s="10"/>
      <c r="P446" s="10"/>
      <c r="Q446" s="11"/>
      <c r="R446" s="9"/>
      <c r="S446" s="12"/>
      <c r="T446" s="5"/>
      <c r="U446" s="5"/>
      <c r="V446" s="4"/>
      <c r="W446" s="4"/>
      <c r="X446" s="4"/>
      <c r="Y446" s="4"/>
    </row>
    <row r="447">
      <c r="A447" s="5"/>
      <c r="B447" s="9"/>
      <c r="C447" s="5"/>
      <c r="D447" s="9"/>
      <c r="E447" s="9"/>
      <c r="F447" s="9"/>
      <c r="G447" s="9"/>
      <c r="H447" s="9"/>
      <c r="I447" s="9"/>
      <c r="J447" s="5"/>
      <c r="K447" s="4"/>
      <c r="L447" s="10"/>
      <c r="M447" s="10"/>
      <c r="N447" s="10"/>
      <c r="O447" s="10"/>
      <c r="P447" s="10"/>
      <c r="Q447" s="11"/>
      <c r="R447" s="9"/>
      <c r="S447" s="12"/>
      <c r="T447" s="5"/>
      <c r="U447" s="5"/>
      <c r="V447" s="4"/>
      <c r="W447" s="4"/>
      <c r="X447" s="4"/>
      <c r="Y447" s="4"/>
    </row>
    <row r="448">
      <c r="A448" s="5"/>
      <c r="B448" s="9"/>
      <c r="C448" s="5"/>
      <c r="D448" s="9"/>
      <c r="E448" s="9"/>
      <c r="F448" s="9"/>
      <c r="G448" s="9"/>
      <c r="H448" s="9"/>
      <c r="I448" s="9"/>
      <c r="J448" s="5"/>
      <c r="K448" s="4"/>
      <c r="L448" s="10"/>
      <c r="M448" s="10"/>
      <c r="N448" s="10"/>
      <c r="O448" s="10"/>
      <c r="P448" s="10"/>
      <c r="Q448" s="11"/>
      <c r="R448" s="9"/>
      <c r="S448" s="12"/>
      <c r="T448" s="5"/>
      <c r="U448" s="5"/>
      <c r="V448" s="4"/>
      <c r="W448" s="4"/>
      <c r="X448" s="4"/>
      <c r="Y448" s="4"/>
    </row>
    <row r="449">
      <c r="A449" s="5"/>
      <c r="B449" s="9"/>
      <c r="C449" s="5"/>
      <c r="D449" s="9"/>
      <c r="E449" s="9"/>
      <c r="F449" s="9"/>
      <c r="G449" s="9"/>
      <c r="H449" s="9"/>
      <c r="I449" s="9"/>
      <c r="J449" s="5"/>
      <c r="K449" s="4"/>
      <c r="L449" s="10"/>
      <c r="M449" s="10"/>
      <c r="N449" s="10"/>
      <c r="O449" s="10"/>
      <c r="P449" s="10"/>
      <c r="Q449" s="11"/>
      <c r="R449" s="9"/>
      <c r="S449" s="12"/>
      <c r="T449" s="5"/>
      <c r="U449" s="5"/>
      <c r="V449" s="4"/>
      <c r="W449" s="4"/>
      <c r="X449" s="4"/>
      <c r="Y449" s="4"/>
    </row>
    <row r="450">
      <c r="A450" s="5"/>
      <c r="B450" s="9"/>
      <c r="C450" s="5"/>
      <c r="D450" s="9"/>
      <c r="E450" s="9"/>
      <c r="F450" s="9"/>
      <c r="G450" s="9"/>
      <c r="H450" s="9"/>
      <c r="I450" s="9"/>
      <c r="J450" s="5"/>
      <c r="K450" s="4"/>
      <c r="L450" s="10"/>
      <c r="M450" s="10"/>
      <c r="N450" s="10"/>
      <c r="O450" s="10"/>
      <c r="P450" s="10"/>
      <c r="Q450" s="11"/>
      <c r="R450" s="9"/>
      <c r="S450" s="12"/>
      <c r="T450" s="5"/>
      <c r="U450" s="5"/>
      <c r="V450" s="4"/>
      <c r="W450" s="4"/>
      <c r="X450" s="4"/>
      <c r="Y450" s="4"/>
    </row>
    <row r="451">
      <c r="A451" s="5"/>
      <c r="B451" s="9"/>
      <c r="C451" s="5"/>
      <c r="D451" s="9"/>
      <c r="E451" s="9"/>
      <c r="F451" s="9"/>
      <c r="G451" s="9"/>
      <c r="H451" s="9"/>
      <c r="I451" s="9"/>
      <c r="J451" s="5"/>
      <c r="K451" s="4"/>
      <c r="L451" s="10"/>
      <c r="M451" s="10"/>
      <c r="N451" s="10"/>
      <c r="O451" s="10"/>
      <c r="P451" s="10"/>
      <c r="Q451" s="11"/>
      <c r="R451" s="9"/>
      <c r="S451" s="12"/>
      <c r="T451" s="5"/>
      <c r="U451" s="5"/>
      <c r="V451" s="4"/>
      <c r="W451" s="4"/>
      <c r="X451" s="4"/>
      <c r="Y451" s="4"/>
    </row>
    <row r="452">
      <c r="A452" s="5"/>
      <c r="B452" s="9"/>
      <c r="C452" s="5"/>
      <c r="D452" s="9"/>
      <c r="E452" s="9"/>
      <c r="F452" s="9"/>
      <c r="G452" s="9"/>
      <c r="H452" s="9"/>
      <c r="I452" s="9"/>
      <c r="J452" s="5"/>
      <c r="K452" s="4"/>
      <c r="L452" s="10"/>
      <c r="M452" s="10"/>
      <c r="N452" s="10"/>
      <c r="O452" s="10"/>
      <c r="P452" s="10"/>
      <c r="Q452" s="11"/>
      <c r="R452" s="9"/>
      <c r="S452" s="12"/>
      <c r="T452" s="5"/>
      <c r="U452" s="5"/>
      <c r="V452" s="4"/>
      <c r="W452" s="4"/>
      <c r="X452" s="4"/>
      <c r="Y452" s="4"/>
    </row>
    <row r="453">
      <c r="A453" s="5"/>
      <c r="B453" s="9"/>
      <c r="C453" s="5"/>
      <c r="D453" s="9"/>
      <c r="E453" s="9"/>
      <c r="F453" s="9"/>
      <c r="G453" s="9"/>
      <c r="H453" s="9"/>
      <c r="I453" s="9"/>
      <c r="J453" s="5"/>
      <c r="K453" s="4"/>
      <c r="L453" s="10"/>
      <c r="M453" s="10"/>
      <c r="N453" s="10"/>
      <c r="O453" s="10"/>
      <c r="P453" s="10"/>
      <c r="Q453" s="11"/>
      <c r="R453" s="9"/>
      <c r="S453" s="12"/>
      <c r="T453" s="5"/>
      <c r="U453" s="5"/>
      <c r="V453" s="4"/>
      <c r="W453" s="4"/>
      <c r="X453" s="4"/>
      <c r="Y453" s="4"/>
    </row>
    <row r="454">
      <c r="A454" s="5"/>
      <c r="B454" s="9"/>
      <c r="C454" s="5"/>
      <c r="D454" s="9"/>
      <c r="E454" s="9"/>
      <c r="F454" s="9"/>
      <c r="G454" s="9"/>
      <c r="H454" s="9"/>
      <c r="I454" s="9"/>
      <c r="J454" s="5"/>
      <c r="K454" s="4"/>
      <c r="L454" s="10"/>
      <c r="M454" s="10"/>
      <c r="N454" s="10"/>
      <c r="O454" s="10"/>
      <c r="P454" s="10"/>
      <c r="Q454" s="11"/>
      <c r="R454" s="9"/>
      <c r="S454" s="12"/>
      <c r="T454" s="5"/>
      <c r="U454" s="5"/>
      <c r="V454" s="4"/>
      <c r="W454" s="4"/>
      <c r="X454" s="4"/>
      <c r="Y454" s="4"/>
    </row>
    <row r="455">
      <c r="A455" s="5"/>
      <c r="B455" s="9"/>
      <c r="C455" s="5"/>
      <c r="D455" s="9"/>
      <c r="E455" s="9"/>
      <c r="F455" s="9"/>
      <c r="G455" s="9"/>
      <c r="H455" s="9"/>
      <c r="I455" s="9"/>
      <c r="J455" s="5"/>
      <c r="K455" s="4"/>
      <c r="L455" s="10"/>
      <c r="M455" s="10"/>
      <c r="N455" s="10"/>
      <c r="O455" s="10"/>
      <c r="P455" s="10"/>
      <c r="Q455" s="11"/>
      <c r="R455" s="9"/>
      <c r="S455" s="12"/>
      <c r="T455" s="5"/>
      <c r="U455" s="5"/>
      <c r="V455" s="4"/>
      <c r="W455" s="4"/>
      <c r="X455" s="4"/>
      <c r="Y455" s="4"/>
    </row>
    <row r="456">
      <c r="A456" s="5"/>
      <c r="B456" s="9"/>
      <c r="C456" s="5"/>
      <c r="D456" s="9"/>
      <c r="E456" s="9"/>
      <c r="F456" s="9"/>
      <c r="G456" s="9"/>
      <c r="H456" s="9"/>
      <c r="I456" s="9"/>
      <c r="J456" s="5"/>
      <c r="K456" s="4"/>
      <c r="L456" s="10"/>
      <c r="M456" s="10"/>
      <c r="N456" s="10"/>
      <c r="O456" s="10"/>
      <c r="P456" s="10"/>
      <c r="Q456" s="11"/>
      <c r="R456" s="9"/>
      <c r="S456" s="12"/>
      <c r="T456" s="5"/>
      <c r="U456" s="5"/>
      <c r="V456" s="4"/>
      <c r="W456" s="4"/>
      <c r="X456" s="4"/>
      <c r="Y456" s="4"/>
    </row>
    <row r="457">
      <c r="A457" s="5"/>
      <c r="B457" s="9"/>
      <c r="C457" s="5"/>
      <c r="D457" s="9"/>
      <c r="E457" s="9"/>
      <c r="F457" s="9"/>
      <c r="G457" s="9"/>
      <c r="H457" s="9"/>
      <c r="I457" s="9"/>
      <c r="J457" s="5"/>
      <c r="K457" s="4"/>
      <c r="L457" s="10"/>
      <c r="M457" s="10"/>
      <c r="N457" s="10"/>
      <c r="O457" s="10"/>
      <c r="P457" s="10"/>
      <c r="Q457" s="11"/>
      <c r="R457" s="9"/>
      <c r="S457" s="12"/>
      <c r="T457" s="5"/>
      <c r="U457" s="5"/>
      <c r="V457" s="4"/>
      <c r="W457" s="4"/>
      <c r="X457" s="4"/>
      <c r="Y457" s="4"/>
    </row>
    <row r="458">
      <c r="A458" s="5"/>
      <c r="B458" s="9"/>
      <c r="C458" s="5"/>
      <c r="D458" s="9"/>
      <c r="E458" s="9"/>
      <c r="F458" s="9"/>
      <c r="G458" s="9"/>
      <c r="H458" s="9"/>
      <c r="I458" s="9"/>
      <c r="J458" s="5"/>
      <c r="K458" s="4"/>
      <c r="L458" s="10"/>
      <c r="M458" s="10"/>
      <c r="N458" s="10"/>
      <c r="O458" s="10"/>
      <c r="P458" s="10"/>
      <c r="Q458" s="11"/>
      <c r="R458" s="9"/>
      <c r="S458" s="12"/>
      <c r="T458" s="5"/>
      <c r="U458" s="5"/>
      <c r="V458" s="4"/>
      <c r="W458" s="4"/>
      <c r="X458" s="4"/>
      <c r="Y458" s="4"/>
    </row>
    <row r="459">
      <c r="A459" s="5"/>
      <c r="B459" s="9"/>
      <c r="C459" s="5"/>
      <c r="D459" s="9"/>
      <c r="E459" s="9"/>
      <c r="F459" s="9"/>
      <c r="G459" s="9"/>
      <c r="H459" s="9"/>
      <c r="I459" s="9"/>
      <c r="J459" s="5"/>
      <c r="K459" s="4"/>
      <c r="L459" s="10"/>
      <c r="M459" s="10"/>
      <c r="N459" s="10"/>
      <c r="O459" s="10"/>
      <c r="P459" s="10"/>
      <c r="Q459" s="11"/>
      <c r="R459" s="9"/>
      <c r="S459" s="12"/>
      <c r="T459" s="5"/>
      <c r="U459" s="5"/>
      <c r="V459" s="4"/>
      <c r="W459" s="4"/>
      <c r="X459" s="4"/>
      <c r="Y459" s="4"/>
    </row>
    <row r="460">
      <c r="A460" s="5"/>
      <c r="B460" s="9"/>
      <c r="C460" s="5"/>
      <c r="D460" s="9"/>
      <c r="E460" s="9"/>
      <c r="F460" s="9"/>
      <c r="G460" s="9"/>
      <c r="H460" s="9"/>
      <c r="I460" s="9"/>
      <c r="J460" s="5"/>
      <c r="K460" s="4"/>
      <c r="L460" s="10"/>
      <c r="M460" s="10"/>
      <c r="N460" s="10"/>
      <c r="O460" s="10"/>
      <c r="P460" s="10"/>
      <c r="Q460" s="11"/>
      <c r="R460" s="9"/>
      <c r="S460" s="12"/>
      <c r="T460" s="5"/>
      <c r="U460" s="5"/>
      <c r="V460" s="4"/>
      <c r="W460" s="4"/>
      <c r="X460" s="4"/>
      <c r="Y460" s="4"/>
    </row>
    <row r="461">
      <c r="A461" s="5"/>
      <c r="B461" s="9"/>
      <c r="C461" s="5"/>
      <c r="D461" s="9"/>
      <c r="E461" s="9"/>
      <c r="F461" s="9"/>
      <c r="G461" s="9"/>
      <c r="H461" s="9"/>
      <c r="I461" s="9"/>
      <c r="J461" s="5"/>
      <c r="K461" s="4"/>
      <c r="L461" s="10"/>
      <c r="M461" s="10"/>
      <c r="N461" s="10"/>
      <c r="O461" s="10"/>
      <c r="P461" s="10"/>
      <c r="Q461" s="11"/>
      <c r="R461" s="9"/>
      <c r="S461" s="12"/>
      <c r="T461" s="5"/>
      <c r="U461" s="5"/>
      <c r="V461" s="4"/>
      <c r="W461" s="4"/>
      <c r="X461" s="4"/>
      <c r="Y461" s="4"/>
    </row>
    <row r="462">
      <c r="A462" s="5"/>
      <c r="B462" s="9"/>
      <c r="C462" s="5"/>
      <c r="D462" s="9"/>
      <c r="E462" s="9"/>
      <c r="F462" s="9"/>
      <c r="G462" s="9"/>
      <c r="H462" s="9"/>
      <c r="I462" s="9"/>
      <c r="J462" s="5"/>
      <c r="K462" s="4"/>
      <c r="L462" s="10"/>
      <c r="M462" s="10"/>
      <c r="N462" s="10"/>
      <c r="O462" s="10"/>
      <c r="P462" s="10"/>
      <c r="Q462" s="11"/>
      <c r="R462" s="9"/>
      <c r="S462" s="12"/>
      <c r="T462" s="5"/>
      <c r="U462" s="5"/>
      <c r="V462" s="4"/>
      <c r="W462" s="4"/>
      <c r="X462" s="4"/>
      <c r="Y462" s="4"/>
    </row>
    <row r="463">
      <c r="A463" s="5"/>
      <c r="B463" s="9"/>
      <c r="C463" s="5"/>
      <c r="D463" s="9"/>
      <c r="E463" s="9"/>
      <c r="F463" s="9"/>
      <c r="G463" s="9"/>
      <c r="H463" s="9"/>
      <c r="I463" s="9"/>
      <c r="J463" s="5"/>
      <c r="K463" s="4"/>
      <c r="L463" s="10"/>
      <c r="M463" s="10"/>
      <c r="N463" s="10"/>
      <c r="O463" s="10"/>
      <c r="P463" s="10"/>
      <c r="Q463" s="11"/>
      <c r="R463" s="9"/>
      <c r="S463" s="12"/>
      <c r="T463" s="5"/>
      <c r="U463" s="5"/>
      <c r="V463" s="4"/>
      <c r="W463" s="4"/>
      <c r="X463" s="4"/>
      <c r="Y463" s="4"/>
    </row>
    <row r="464">
      <c r="A464" s="5"/>
      <c r="B464" s="9"/>
      <c r="C464" s="5"/>
      <c r="D464" s="9"/>
      <c r="E464" s="9"/>
      <c r="F464" s="9"/>
      <c r="G464" s="9"/>
      <c r="H464" s="9"/>
      <c r="I464" s="9"/>
      <c r="J464" s="5"/>
      <c r="K464" s="4"/>
      <c r="L464" s="10"/>
      <c r="M464" s="10"/>
      <c r="N464" s="10"/>
      <c r="O464" s="10"/>
      <c r="P464" s="10"/>
      <c r="Q464" s="11"/>
      <c r="R464" s="9"/>
      <c r="S464" s="12"/>
      <c r="T464" s="5"/>
      <c r="U464" s="5"/>
      <c r="V464" s="4"/>
      <c r="W464" s="4"/>
      <c r="X464" s="4"/>
      <c r="Y464" s="4"/>
    </row>
    <row r="465">
      <c r="A465" s="5"/>
      <c r="B465" s="9"/>
      <c r="C465" s="5"/>
      <c r="D465" s="9"/>
      <c r="E465" s="9"/>
      <c r="F465" s="9"/>
      <c r="G465" s="9"/>
      <c r="H465" s="9"/>
      <c r="I465" s="9"/>
      <c r="J465" s="5"/>
      <c r="K465" s="4"/>
      <c r="L465" s="10"/>
      <c r="M465" s="10"/>
      <c r="N465" s="10"/>
      <c r="O465" s="10"/>
      <c r="P465" s="10"/>
      <c r="Q465" s="11"/>
      <c r="R465" s="9"/>
      <c r="S465" s="12"/>
      <c r="T465" s="5"/>
      <c r="U465" s="5"/>
      <c r="V465" s="4"/>
      <c r="W465" s="4"/>
      <c r="X465" s="4"/>
      <c r="Y465" s="4"/>
    </row>
    <row r="466">
      <c r="A466" s="5"/>
      <c r="B466" s="9"/>
      <c r="C466" s="5"/>
      <c r="D466" s="9"/>
      <c r="E466" s="9"/>
      <c r="F466" s="9"/>
      <c r="G466" s="9"/>
      <c r="H466" s="9"/>
      <c r="I466" s="9"/>
      <c r="J466" s="5"/>
      <c r="K466" s="4"/>
      <c r="L466" s="10"/>
      <c r="M466" s="10"/>
      <c r="N466" s="10"/>
      <c r="O466" s="10"/>
      <c r="P466" s="10"/>
      <c r="Q466" s="11"/>
      <c r="R466" s="9"/>
      <c r="S466" s="12"/>
      <c r="T466" s="5"/>
      <c r="U466" s="5"/>
      <c r="V466" s="4"/>
      <c r="W466" s="4"/>
      <c r="X466" s="4"/>
      <c r="Y466" s="4"/>
    </row>
    <row r="467">
      <c r="A467" s="5"/>
      <c r="B467" s="9"/>
      <c r="C467" s="5"/>
      <c r="D467" s="9"/>
      <c r="E467" s="9"/>
      <c r="F467" s="9"/>
      <c r="G467" s="9"/>
      <c r="H467" s="9"/>
      <c r="I467" s="9"/>
      <c r="J467" s="5"/>
      <c r="K467" s="4"/>
      <c r="L467" s="10"/>
      <c r="M467" s="10"/>
      <c r="N467" s="10"/>
      <c r="O467" s="10"/>
      <c r="P467" s="10"/>
      <c r="Q467" s="11"/>
      <c r="R467" s="9"/>
      <c r="S467" s="12"/>
      <c r="T467" s="5"/>
      <c r="U467" s="5"/>
      <c r="V467" s="4"/>
      <c r="W467" s="4"/>
      <c r="X467" s="4"/>
      <c r="Y467" s="4"/>
    </row>
    <row r="468">
      <c r="A468" s="5"/>
      <c r="B468" s="9"/>
      <c r="C468" s="5"/>
      <c r="D468" s="9"/>
      <c r="E468" s="9"/>
      <c r="F468" s="9"/>
      <c r="G468" s="9"/>
      <c r="H468" s="9"/>
      <c r="I468" s="9"/>
      <c r="J468" s="5"/>
      <c r="K468" s="4"/>
      <c r="L468" s="10"/>
      <c r="M468" s="10"/>
      <c r="N468" s="10"/>
      <c r="O468" s="10"/>
      <c r="P468" s="10"/>
      <c r="Q468" s="11"/>
      <c r="R468" s="9"/>
      <c r="S468" s="12"/>
      <c r="T468" s="5"/>
      <c r="U468" s="5"/>
      <c r="V468" s="4"/>
      <c r="W468" s="4"/>
      <c r="X468" s="4"/>
      <c r="Y468" s="4"/>
    </row>
    <row r="469">
      <c r="A469" s="5"/>
      <c r="B469" s="9"/>
      <c r="C469" s="5"/>
      <c r="D469" s="9"/>
      <c r="E469" s="9"/>
      <c r="F469" s="9"/>
      <c r="G469" s="9"/>
      <c r="H469" s="9"/>
      <c r="I469" s="9"/>
      <c r="J469" s="5"/>
      <c r="K469" s="4"/>
      <c r="L469" s="10"/>
      <c r="M469" s="10"/>
      <c r="N469" s="10"/>
      <c r="O469" s="10"/>
      <c r="P469" s="10"/>
      <c r="Q469" s="11"/>
      <c r="R469" s="9"/>
      <c r="S469" s="12"/>
      <c r="T469" s="5"/>
      <c r="U469" s="5"/>
      <c r="V469" s="4"/>
      <c r="W469" s="4"/>
      <c r="X469" s="4"/>
      <c r="Y469" s="4"/>
    </row>
    <row r="470">
      <c r="A470" s="5"/>
      <c r="B470" s="9"/>
      <c r="C470" s="5"/>
      <c r="D470" s="9"/>
      <c r="E470" s="9"/>
      <c r="F470" s="9"/>
      <c r="G470" s="9"/>
      <c r="H470" s="9"/>
      <c r="I470" s="9"/>
      <c r="J470" s="5"/>
      <c r="K470" s="4"/>
      <c r="L470" s="10"/>
      <c r="M470" s="10"/>
      <c r="N470" s="10"/>
      <c r="O470" s="10"/>
      <c r="P470" s="10"/>
      <c r="Q470" s="11"/>
      <c r="R470" s="9"/>
      <c r="S470" s="12"/>
      <c r="T470" s="5"/>
      <c r="U470" s="5"/>
      <c r="V470" s="4"/>
      <c r="W470" s="4"/>
      <c r="X470" s="4"/>
      <c r="Y470" s="4"/>
    </row>
    <row r="471">
      <c r="A471" s="5"/>
      <c r="B471" s="9"/>
      <c r="C471" s="5"/>
      <c r="D471" s="9"/>
      <c r="E471" s="9"/>
      <c r="F471" s="9"/>
      <c r="G471" s="9"/>
      <c r="H471" s="9"/>
      <c r="I471" s="9"/>
      <c r="J471" s="5"/>
      <c r="K471" s="4"/>
      <c r="L471" s="10"/>
      <c r="M471" s="10"/>
      <c r="N471" s="10"/>
      <c r="O471" s="10"/>
      <c r="P471" s="10"/>
      <c r="Q471" s="11"/>
      <c r="R471" s="9"/>
      <c r="S471" s="12"/>
      <c r="T471" s="5"/>
      <c r="U471" s="5"/>
      <c r="V471" s="4"/>
      <c r="W471" s="4"/>
      <c r="X471" s="4"/>
      <c r="Y471" s="4"/>
    </row>
    <row r="472">
      <c r="A472" s="5"/>
      <c r="B472" s="9"/>
      <c r="C472" s="5"/>
      <c r="D472" s="9"/>
      <c r="E472" s="9"/>
      <c r="F472" s="9"/>
      <c r="G472" s="9"/>
      <c r="H472" s="9"/>
      <c r="I472" s="9"/>
      <c r="J472" s="5"/>
      <c r="K472" s="4"/>
      <c r="L472" s="10"/>
      <c r="M472" s="10"/>
      <c r="N472" s="10"/>
      <c r="O472" s="10"/>
      <c r="P472" s="10"/>
      <c r="Q472" s="11"/>
      <c r="R472" s="9"/>
      <c r="S472" s="12"/>
      <c r="T472" s="5"/>
      <c r="U472" s="5"/>
      <c r="V472" s="4"/>
      <c r="W472" s="4"/>
      <c r="X472" s="4"/>
      <c r="Y472" s="4"/>
    </row>
    <row r="473">
      <c r="A473" s="5"/>
      <c r="B473" s="9"/>
      <c r="C473" s="5"/>
      <c r="D473" s="9"/>
      <c r="E473" s="9"/>
      <c r="F473" s="9"/>
      <c r="G473" s="9"/>
      <c r="H473" s="9"/>
      <c r="I473" s="9"/>
      <c r="J473" s="5"/>
      <c r="K473" s="4"/>
      <c r="L473" s="10"/>
      <c r="M473" s="10"/>
      <c r="N473" s="10"/>
      <c r="O473" s="10"/>
      <c r="P473" s="10"/>
      <c r="Q473" s="11"/>
      <c r="R473" s="9"/>
      <c r="S473" s="12"/>
      <c r="T473" s="5"/>
      <c r="U473" s="5"/>
      <c r="V473" s="4"/>
      <c r="W473" s="4"/>
      <c r="X473" s="4"/>
      <c r="Y473" s="4"/>
    </row>
    <row r="474">
      <c r="A474" s="5"/>
      <c r="B474" s="9"/>
      <c r="C474" s="5"/>
      <c r="D474" s="9"/>
      <c r="E474" s="9"/>
      <c r="F474" s="9"/>
      <c r="G474" s="9"/>
      <c r="H474" s="9"/>
      <c r="I474" s="9"/>
      <c r="J474" s="5"/>
      <c r="K474" s="4"/>
      <c r="L474" s="10"/>
      <c r="M474" s="10"/>
      <c r="N474" s="10"/>
      <c r="O474" s="10"/>
      <c r="P474" s="10"/>
      <c r="Q474" s="11"/>
      <c r="R474" s="9"/>
      <c r="S474" s="12"/>
      <c r="T474" s="5"/>
      <c r="U474" s="5"/>
      <c r="V474" s="4"/>
      <c r="W474" s="4"/>
      <c r="X474" s="4"/>
      <c r="Y474" s="4"/>
    </row>
    <row r="475">
      <c r="A475" s="5"/>
      <c r="B475" s="9"/>
      <c r="C475" s="5"/>
      <c r="D475" s="9"/>
      <c r="E475" s="9"/>
      <c r="F475" s="9"/>
      <c r="G475" s="9"/>
      <c r="H475" s="9"/>
      <c r="I475" s="9"/>
      <c r="J475" s="5"/>
      <c r="K475" s="4"/>
      <c r="L475" s="10"/>
      <c r="M475" s="10"/>
      <c r="N475" s="10"/>
      <c r="O475" s="10"/>
      <c r="P475" s="10"/>
      <c r="Q475" s="11"/>
      <c r="R475" s="9"/>
      <c r="S475" s="12"/>
      <c r="T475" s="5"/>
      <c r="U475" s="5"/>
      <c r="V475" s="4"/>
      <c r="W475" s="4"/>
      <c r="X475" s="4"/>
      <c r="Y475" s="4"/>
    </row>
    <row r="476">
      <c r="A476" s="5"/>
      <c r="B476" s="9"/>
      <c r="C476" s="5"/>
      <c r="D476" s="9"/>
      <c r="E476" s="9"/>
      <c r="F476" s="9"/>
      <c r="G476" s="9"/>
      <c r="H476" s="9"/>
      <c r="I476" s="9"/>
      <c r="J476" s="5"/>
      <c r="K476" s="4"/>
      <c r="L476" s="10"/>
      <c r="M476" s="10"/>
      <c r="N476" s="10"/>
      <c r="O476" s="10"/>
      <c r="P476" s="10"/>
      <c r="Q476" s="11"/>
      <c r="R476" s="9"/>
      <c r="S476" s="12"/>
      <c r="T476" s="5"/>
      <c r="U476" s="5"/>
      <c r="V476" s="4"/>
      <c r="W476" s="4"/>
      <c r="X476" s="4"/>
      <c r="Y476" s="4"/>
    </row>
    <row r="477">
      <c r="A477" s="5"/>
      <c r="B477" s="9"/>
      <c r="C477" s="5"/>
      <c r="D477" s="9"/>
      <c r="E477" s="9"/>
      <c r="F477" s="9"/>
      <c r="G477" s="9"/>
      <c r="H477" s="9"/>
      <c r="I477" s="9"/>
      <c r="J477" s="5"/>
      <c r="K477" s="4"/>
      <c r="L477" s="10"/>
      <c r="M477" s="10"/>
      <c r="N477" s="10"/>
      <c r="O477" s="10"/>
      <c r="P477" s="10"/>
      <c r="Q477" s="11"/>
      <c r="R477" s="9"/>
      <c r="S477" s="12"/>
      <c r="T477" s="5"/>
      <c r="U477" s="5"/>
      <c r="V477" s="4"/>
      <c r="W477" s="4"/>
      <c r="X477" s="4"/>
      <c r="Y477" s="4"/>
    </row>
    <row r="478">
      <c r="A478" s="5"/>
      <c r="B478" s="9"/>
      <c r="C478" s="5"/>
      <c r="D478" s="9"/>
      <c r="E478" s="9"/>
      <c r="F478" s="9"/>
      <c r="G478" s="9"/>
      <c r="H478" s="9"/>
      <c r="I478" s="9"/>
      <c r="J478" s="5"/>
      <c r="K478" s="4"/>
      <c r="L478" s="10"/>
      <c r="M478" s="10"/>
      <c r="N478" s="10"/>
      <c r="O478" s="10"/>
      <c r="P478" s="10"/>
      <c r="Q478" s="11"/>
      <c r="R478" s="9"/>
      <c r="S478" s="12"/>
      <c r="T478" s="5"/>
      <c r="U478" s="5"/>
      <c r="V478" s="4"/>
      <c r="W478" s="4"/>
      <c r="X478" s="4"/>
      <c r="Y478" s="4"/>
    </row>
    <row r="479">
      <c r="A479" s="5"/>
      <c r="B479" s="9"/>
      <c r="C479" s="5"/>
      <c r="D479" s="9"/>
      <c r="E479" s="9"/>
      <c r="F479" s="9"/>
      <c r="G479" s="9"/>
      <c r="H479" s="9"/>
      <c r="I479" s="9"/>
      <c r="J479" s="5"/>
      <c r="K479" s="4"/>
      <c r="L479" s="10"/>
      <c r="M479" s="10"/>
      <c r="N479" s="10"/>
      <c r="O479" s="10"/>
      <c r="P479" s="10"/>
      <c r="Q479" s="11"/>
      <c r="R479" s="9"/>
      <c r="S479" s="12"/>
      <c r="T479" s="5"/>
      <c r="U479" s="5"/>
      <c r="V479" s="4"/>
      <c r="W479" s="4"/>
      <c r="X479" s="4"/>
      <c r="Y479" s="4"/>
    </row>
    <row r="480">
      <c r="A480" s="5"/>
      <c r="B480" s="9"/>
      <c r="C480" s="5"/>
      <c r="D480" s="9"/>
      <c r="E480" s="9"/>
      <c r="F480" s="9"/>
      <c r="G480" s="9"/>
      <c r="H480" s="9"/>
      <c r="I480" s="9"/>
      <c r="J480" s="5"/>
      <c r="K480" s="4"/>
      <c r="L480" s="10"/>
      <c r="M480" s="10"/>
      <c r="N480" s="10"/>
      <c r="O480" s="10"/>
      <c r="P480" s="10"/>
      <c r="Q480" s="11"/>
      <c r="R480" s="9"/>
      <c r="S480" s="12"/>
      <c r="T480" s="5"/>
      <c r="U480" s="5"/>
      <c r="V480" s="4"/>
      <c r="W480" s="4"/>
      <c r="X480" s="4"/>
      <c r="Y480" s="4"/>
    </row>
    <row r="481">
      <c r="A481" s="5"/>
      <c r="B481" s="9"/>
      <c r="C481" s="5"/>
      <c r="D481" s="9"/>
      <c r="E481" s="9"/>
      <c r="F481" s="9"/>
      <c r="G481" s="9"/>
      <c r="H481" s="9"/>
      <c r="I481" s="9"/>
      <c r="J481" s="5"/>
      <c r="K481" s="4"/>
      <c r="L481" s="10"/>
      <c r="M481" s="10"/>
      <c r="N481" s="10"/>
      <c r="O481" s="10"/>
      <c r="P481" s="10"/>
      <c r="Q481" s="11"/>
      <c r="R481" s="9"/>
      <c r="S481" s="12"/>
      <c r="T481" s="5"/>
      <c r="U481" s="5"/>
      <c r="V481" s="4"/>
      <c r="W481" s="4"/>
      <c r="X481" s="4"/>
      <c r="Y481" s="4"/>
    </row>
    <row r="482">
      <c r="A482" s="5"/>
      <c r="B482" s="9"/>
      <c r="C482" s="5"/>
      <c r="D482" s="9"/>
      <c r="E482" s="9"/>
      <c r="F482" s="9"/>
      <c r="G482" s="9"/>
      <c r="H482" s="9"/>
      <c r="I482" s="9"/>
      <c r="J482" s="5"/>
      <c r="K482" s="4"/>
      <c r="L482" s="10"/>
      <c r="M482" s="10"/>
      <c r="N482" s="10"/>
      <c r="O482" s="10"/>
      <c r="P482" s="10"/>
      <c r="Q482" s="11"/>
      <c r="R482" s="9"/>
      <c r="S482" s="12"/>
      <c r="T482" s="5"/>
      <c r="U482" s="5"/>
      <c r="V482" s="4"/>
      <c r="W482" s="4"/>
      <c r="X482" s="4"/>
      <c r="Y482" s="4"/>
    </row>
    <row r="483">
      <c r="A483" s="5"/>
      <c r="B483" s="9"/>
      <c r="C483" s="5"/>
      <c r="D483" s="9"/>
      <c r="E483" s="9"/>
      <c r="F483" s="9"/>
      <c r="G483" s="9"/>
      <c r="H483" s="9"/>
      <c r="I483" s="9"/>
      <c r="J483" s="5"/>
      <c r="K483" s="4"/>
      <c r="L483" s="10"/>
      <c r="M483" s="10"/>
      <c r="N483" s="10"/>
      <c r="O483" s="10"/>
      <c r="P483" s="10"/>
      <c r="Q483" s="11"/>
      <c r="R483" s="9"/>
      <c r="S483" s="12"/>
      <c r="T483" s="5"/>
      <c r="U483" s="5"/>
      <c r="V483" s="4"/>
      <c r="W483" s="4"/>
      <c r="X483" s="4"/>
      <c r="Y483" s="4"/>
    </row>
    <row r="484">
      <c r="A484" s="5"/>
      <c r="B484" s="9"/>
      <c r="C484" s="5"/>
      <c r="D484" s="9"/>
      <c r="E484" s="9"/>
      <c r="F484" s="9"/>
      <c r="G484" s="9"/>
      <c r="H484" s="9"/>
      <c r="I484" s="9"/>
      <c r="J484" s="5"/>
      <c r="K484" s="4"/>
      <c r="L484" s="10"/>
      <c r="M484" s="10"/>
      <c r="N484" s="10"/>
      <c r="O484" s="10"/>
      <c r="P484" s="10"/>
      <c r="Q484" s="11"/>
      <c r="R484" s="9"/>
      <c r="S484" s="12"/>
      <c r="T484" s="5"/>
      <c r="U484" s="5"/>
      <c r="V484" s="4"/>
      <c r="W484" s="4"/>
      <c r="X484" s="4"/>
      <c r="Y484" s="4"/>
    </row>
    <row r="485">
      <c r="A485" s="5"/>
      <c r="B485" s="9"/>
      <c r="C485" s="5"/>
      <c r="D485" s="9"/>
      <c r="E485" s="9"/>
      <c r="F485" s="9"/>
      <c r="G485" s="9"/>
      <c r="H485" s="9"/>
      <c r="I485" s="9"/>
      <c r="J485" s="5"/>
      <c r="K485" s="4"/>
      <c r="L485" s="10"/>
      <c r="M485" s="10"/>
      <c r="N485" s="10"/>
      <c r="O485" s="10"/>
      <c r="P485" s="10"/>
      <c r="Q485" s="11"/>
      <c r="R485" s="9"/>
      <c r="S485" s="12"/>
      <c r="T485" s="5"/>
      <c r="U485" s="5"/>
      <c r="V485" s="4"/>
      <c r="W485" s="4"/>
      <c r="X485" s="4"/>
      <c r="Y485" s="4"/>
    </row>
    <row r="486">
      <c r="A486" s="5"/>
      <c r="B486" s="9"/>
      <c r="C486" s="5"/>
      <c r="D486" s="9"/>
      <c r="E486" s="9"/>
      <c r="F486" s="9"/>
      <c r="G486" s="9"/>
      <c r="H486" s="9"/>
      <c r="I486" s="9"/>
      <c r="J486" s="5"/>
      <c r="K486" s="4"/>
      <c r="L486" s="10"/>
      <c r="M486" s="10"/>
      <c r="N486" s="10"/>
      <c r="O486" s="10"/>
      <c r="P486" s="10"/>
      <c r="Q486" s="11"/>
      <c r="R486" s="9"/>
      <c r="S486" s="12"/>
      <c r="T486" s="5"/>
      <c r="U486" s="5"/>
      <c r="V486" s="4"/>
      <c r="W486" s="4"/>
      <c r="X486" s="4"/>
      <c r="Y486" s="4"/>
    </row>
    <row r="487">
      <c r="A487" s="5"/>
      <c r="B487" s="9"/>
      <c r="C487" s="5"/>
      <c r="D487" s="9"/>
      <c r="E487" s="9"/>
      <c r="F487" s="9"/>
      <c r="G487" s="9"/>
      <c r="H487" s="9"/>
      <c r="I487" s="9"/>
      <c r="J487" s="5"/>
      <c r="K487" s="4"/>
      <c r="L487" s="10"/>
      <c r="M487" s="10"/>
      <c r="N487" s="10"/>
      <c r="O487" s="10"/>
      <c r="P487" s="10"/>
      <c r="Q487" s="11"/>
      <c r="R487" s="9"/>
      <c r="S487" s="12"/>
      <c r="T487" s="5"/>
      <c r="U487" s="5"/>
      <c r="V487" s="4"/>
      <c r="W487" s="4"/>
      <c r="X487" s="4"/>
      <c r="Y487" s="4"/>
    </row>
    <row r="488">
      <c r="A488" s="5"/>
      <c r="B488" s="9"/>
      <c r="C488" s="5"/>
      <c r="D488" s="9"/>
      <c r="E488" s="9"/>
      <c r="F488" s="9"/>
      <c r="G488" s="9"/>
      <c r="H488" s="9"/>
      <c r="I488" s="9"/>
      <c r="J488" s="5"/>
      <c r="K488" s="4"/>
      <c r="L488" s="10"/>
      <c r="M488" s="10"/>
      <c r="N488" s="10"/>
      <c r="O488" s="10"/>
      <c r="P488" s="10"/>
      <c r="Q488" s="11"/>
      <c r="R488" s="9"/>
      <c r="S488" s="12"/>
      <c r="T488" s="5"/>
      <c r="U488" s="5"/>
      <c r="V488" s="4"/>
      <c r="W488" s="4"/>
      <c r="X488" s="4"/>
      <c r="Y488" s="4"/>
    </row>
    <row r="489">
      <c r="A489" s="5"/>
      <c r="B489" s="9"/>
      <c r="C489" s="5"/>
      <c r="D489" s="9"/>
      <c r="E489" s="9"/>
      <c r="F489" s="9"/>
      <c r="G489" s="9"/>
      <c r="H489" s="9"/>
      <c r="I489" s="9"/>
      <c r="J489" s="5"/>
      <c r="K489" s="4"/>
      <c r="L489" s="10"/>
      <c r="M489" s="10"/>
      <c r="N489" s="10"/>
      <c r="O489" s="10"/>
      <c r="P489" s="10"/>
      <c r="Q489" s="11"/>
      <c r="R489" s="9"/>
      <c r="S489" s="12"/>
      <c r="T489" s="5"/>
      <c r="U489" s="5"/>
      <c r="V489" s="4"/>
      <c r="W489" s="4"/>
      <c r="X489" s="4"/>
      <c r="Y489" s="4"/>
    </row>
    <row r="490">
      <c r="A490" s="5"/>
      <c r="B490" s="9"/>
      <c r="C490" s="5"/>
      <c r="D490" s="9"/>
      <c r="E490" s="9"/>
      <c r="F490" s="9"/>
      <c r="G490" s="9"/>
      <c r="H490" s="9"/>
      <c r="I490" s="9"/>
      <c r="J490" s="5"/>
      <c r="K490" s="4"/>
      <c r="L490" s="10"/>
      <c r="M490" s="10"/>
      <c r="N490" s="10"/>
      <c r="O490" s="10"/>
      <c r="P490" s="10"/>
      <c r="Q490" s="11"/>
      <c r="R490" s="9"/>
      <c r="S490" s="12"/>
      <c r="T490" s="5"/>
      <c r="U490" s="5"/>
      <c r="V490" s="4"/>
      <c r="W490" s="4"/>
      <c r="X490" s="4"/>
      <c r="Y490" s="4"/>
    </row>
    <row r="491">
      <c r="A491" s="5"/>
      <c r="B491" s="9"/>
      <c r="C491" s="5"/>
      <c r="D491" s="9"/>
      <c r="E491" s="9"/>
      <c r="F491" s="9"/>
      <c r="G491" s="9"/>
      <c r="H491" s="9"/>
      <c r="I491" s="9"/>
      <c r="J491" s="5"/>
      <c r="K491" s="4"/>
      <c r="L491" s="10"/>
      <c r="M491" s="10"/>
      <c r="N491" s="10"/>
      <c r="O491" s="10"/>
      <c r="P491" s="10"/>
      <c r="Q491" s="11"/>
      <c r="R491" s="9"/>
      <c r="S491" s="12"/>
      <c r="T491" s="5"/>
      <c r="U491" s="5"/>
      <c r="V491" s="4"/>
      <c r="W491" s="4"/>
      <c r="X491" s="4"/>
      <c r="Y491" s="4"/>
    </row>
    <row r="492">
      <c r="A492" s="5"/>
      <c r="B492" s="9"/>
      <c r="C492" s="5"/>
      <c r="D492" s="9"/>
      <c r="E492" s="9"/>
      <c r="F492" s="9"/>
      <c r="G492" s="9"/>
      <c r="H492" s="9"/>
      <c r="I492" s="9"/>
      <c r="J492" s="5"/>
      <c r="K492" s="4"/>
      <c r="L492" s="10"/>
      <c r="M492" s="10"/>
      <c r="N492" s="10"/>
      <c r="O492" s="10"/>
      <c r="P492" s="10"/>
      <c r="Q492" s="11"/>
      <c r="R492" s="9"/>
      <c r="S492" s="12"/>
      <c r="T492" s="5"/>
      <c r="U492" s="5"/>
      <c r="V492" s="4"/>
      <c r="W492" s="4"/>
      <c r="X492" s="4"/>
      <c r="Y492" s="4"/>
    </row>
    <row r="493">
      <c r="A493" s="5"/>
      <c r="B493" s="9"/>
      <c r="C493" s="5"/>
      <c r="D493" s="9"/>
      <c r="E493" s="9"/>
      <c r="F493" s="9"/>
      <c r="G493" s="9"/>
      <c r="H493" s="9"/>
      <c r="I493" s="9"/>
      <c r="J493" s="5"/>
      <c r="K493" s="4"/>
      <c r="L493" s="10"/>
      <c r="M493" s="10"/>
      <c r="N493" s="10"/>
      <c r="O493" s="10"/>
      <c r="P493" s="10"/>
      <c r="Q493" s="11"/>
      <c r="R493" s="9"/>
      <c r="S493" s="12"/>
      <c r="T493" s="5"/>
      <c r="U493" s="5"/>
      <c r="V493" s="4"/>
      <c r="W493" s="4"/>
      <c r="X493" s="4"/>
      <c r="Y493" s="4"/>
    </row>
    <row r="494">
      <c r="A494" s="5"/>
      <c r="B494" s="9"/>
      <c r="C494" s="5"/>
      <c r="D494" s="9"/>
      <c r="E494" s="9"/>
      <c r="F494" s="9"/>
      <c r="G494" s="9"/>
      <c r="H494" s="9"/>
      <c r="I494" s="9"/>
      <c r="J494" s="5"/>
      <c r="K494" s="4"/>
      <c r="L494" s="10"/>
      <c r="M494" s="10"/>
      <c r="N494" s="10"/>
      <c r="O494" s="10"/>
      <c r="P494" s="10"/>
      <c r="Q494" s="11"/>
      <c r="R494" s="9"/>
      <c r="S494" s="12"/>
      <c r="T494" s="5"/>
      <c r="U494" s="5"/>
      <c r="V494" s="4"/>
      <c r="W494" s="4"/>
      <c r="X494" s="4"/>
      <c r="Y494" s="4"/>
    </row>
    <row r="495">
      <c r="A495" s="5"/>
      <c r="B495" s="9"/>
      <c r="C495" s="5"/>
      <c r="D495" s="9"/>
      <c r="E495" s="9"/>
      <c r="F495" s="9"/>
      <c r="G495" s="9"/>
      <c r="H495" s="9"/>
      <c r="I495" s="9"/>
      <c r="J495" s="5"/>
      <c r="K495" s="4"/>
      <c r="L495" s="10"/>
      <c r="M495" s="10"/>
      <c r="N495" s="10"/>
      <c r="O495" s="10"/>
      <c r="P495" s="10"/>
      <c r="Q495" s="11"/>
      <c r="R495" s="9"/>
      <c r="S495" s="12"/>
      <c r="T495" s="5"/>
      <c r="U495" s="5"/>
      <c r="V495" s="4"/>
      <c r="W495" s="4"/>
      <c r="X495" s="4"/>
      <c r="Y495" s="4"/>
    </row>
    <row r="496">
      <c r="A496" s="5"/>
      <c r="B496" s="9"/>
      <c r="C496" s="5"/>
      <c r="D496" s="9"/>
      <c r="E496" s="9"/>
      <c r="F496" s="9"/>
      <c r="G496" s="9"/>
      <c r="H496" s="9"/>
      <c r="I496" s="9"/>
      <c r="J496" s="5"/>
      <c r="K496" s="4"/>
      <c r="L496" s="10"/>
      <c r="M496" s="10"/>
      <c r="N496" s="10"/>
      <c r="O496" s="10"/>
      <c r="P496" s="10"/>
      <c r="Q496" s="11"/>
      <c r="R496" s="9"/>
      <c r="S496" s="12"/>
      <c r="T496" s="5"/>
      <c r="U496" s="5"/>
      <c r="V496" s="4"/>
      <c r="W496" s="4"/>
      <c r="X496" s="4"/>
      <c r="Y496" s="4"/>
    </row>
    <row r="497">
      <c r="A497" s="5"/>
      <c r="B497" s="9"/>
      <c r="C497" s="5"/>
      <c r="D497" s="9"/>
      <c r="E497" s="9"/>
      <c r="F497" s="9"/>
      <c r="G497" s="9"/>
      <c r="H497" s="9"/>
      <c r="I497" s="9"/>
      <c r="J497" s="5"/>
      <c r="K497" s="4"/>
      <c r="L497" s="10"/>
      <c r="M497" s="10"/>
      <c r="N497" s="10"/>
      <c r="O497" s="10"/>
      <c r="P497" s="10"/>
      <c r="Q497" s="11"/>
      <c r="R497" s="9"/>
      <c r="S497" s="12"/>
      <c r="T497" s="5"/>
      <c r="U497" s="5"/>
      <c r="V497" s="4"/>
      <c r="W497" s="4"/>
      <c r="X497" s="4"/>
      <c r="Y497" s="4"/>
    </row>
    <row r="498">
      <c r="A498" s="5"/>
      <c r="B498" s="9"/>
      <c r="C498" s="5"/>
      <c r="D498" s="9"/>
      <c r="E498" s="9"/>
      <c r="F498" s="9"/>
      <c r="G498" s="9"/>
      <c r="H498" s="9"/>
      <c r="I498" s="9"/>
      <c r="J498" s="5"/>
      <c r="K498" s="4"/>
      <c r="L498" s="10"/>
      <c r="M498" s="10"/>
      <c r="N498" s="10"/>
      <c r="O498" s="10"/>
      <c r="P498" s="10"/>
      <c r="Q498" s="11"/>
      <c r="R498" s="9"/>
      <c r="S498" s="12"/>
      <c r="T498" s="5"/>
      <c r="U498" s="5"/>
      <c r="V498" s="4"/>
      <c r="W498" s="4"/>
      <c r="X498" s="4"/>
      <c r="Y498" s="4"/>
    </row>
    <row r="499">
      <c r="A499" s="5"/>
      <c r="B499" s="9"/>
      <c r="C499" s="5"/>
      <c r="D499" s="9"/>
      <c r="E499" s="9"/>
      <c r="F499" s="9"/>
      <c r="G499" s="9"/>
      <c r="H499" s="9"/>
      <c r="I499" s="9"/>
      <c r="J499" s="5"/>
      <c r="K499" s="4"/>
      <c r="L499" s="10"/>
      <c r="M499" s="10"/>
      <c r="N499" s="10"/>
      <c r="O499" s="10"/>
      <c r="P499" s="10"/>
      <c r="Q499" s="11"/>
      <c r="R499" s="9"/>
      <c r="S499" s="12"/>
      <c r="T499" s="5"/>
      <c r="U499" s="5"/>
      <c r="V499" s="4"/>
      <c r="W499" s="4"/>
      <c r="X499" s="4"/>
      <c r="Y499" s="4"/>
    </row>
    <row r="500">
      <c r="A500" s="5"/>
      <c r="B500" s="9"/>
      <c r="C500" s="5"/>
      <c r="D500" s="9"/>
      <c r="E500" s="9"/>
      <c r="F500" s="9"/>
      <c r="G500" s="9"/>
      <c r="H500" s="9"/>
      <c r="I500" s="9"/>
      <c r="J500" s="5"/>
      <c r="K500" s="4"/>
      <c r="L500" s="10"/>
      <c r="M500" s="10"/>
      <c r="N500" s="10"/>
      <c r="O500" s="10"/>
      <c r="P500" s="10"/>
      <c r="Q500" s="11"/>
      <c r="R500" s="9"/>
      <c r="S500" s="12"/>
      <c r="T500" s="5"/>
      <c r="U500" s="5"/>
      <c r="V500" s="4"/>
      <c r="W500" s="4"/>
      <c r="X500" s="4"/>
      <c r="Y500" s="4"/>
    </row>
    <row r="501">
      <c r="A501" s="5"/>
      <c r="B501" s="9"/>
      <c r="C501" s="5"/>
      <c r="D501" s="9"/>
      <c r="E501" s="9"/>
      <c r="F501" s="9"/>
      <c r="G501" s="9"/>
      <c r="H501" s="9"/>
      <c r="I501" s="9"/>
      <c r="J501" s="5"/>
      <c r="K501" s="4"/>
      <c r="L501" s="10"/>
      <c r="M501" s="10"/>
      <c r="N501" s="10"/>
      <c r="O501" s="10"/>
      <c r="P501" s="10"/>
      <c r="Q501" s="11"/>
      <c r="R501" s="9"/>
      <c r="S501" s="12"/>
      <c r="T501" s="5"/>
      <c r="U501" s="5"/>
      <c r="V501" s="4"/>
      <c r="W501" s="4"/>
      <c r="X501" s="4"/>
      <c r="Y501" s="4"/>
    </row>
    <row r="502">
      <c r="A502" s="5"/>
      <c r="B502" s="9"/>
      <c r="C502" s="5"/>
      <c r="D502" s="9"/>
      <c r="E502" s="9"/>
      <c r="F502" s="9"/>
      <c r="G502" s="9"/>
      <c r="H502" s="9"/>
      <c r="I502" s="9"/>
      <c r="J502" s="5"/>
      <c r="K502" s="4"/>
      <c r="L502" s="10"/>
      <c r="M502" s="10"/>
      <c r="N502" s="10"/>
      <c r="O502" s="10"/>
      <c r="P502" s="10"/>
      <c r="Q502" s="11"/>
      <c r="R502" s="9"/>
      <c r="S502" s="12"/>
      <c r="T502" s="5"/>
      <c r="U502" s="5"/>
      <c r="V502" s="4"/>
      <c r="W502" s="4"/>
      <c r="X502" s="4"/>
      <c r="Y502" s="4"/>
    </row>
    <row r="503">
      <c r="A503" s="5"/>
      <c r="B503" s="9"/>
      <c r="C503" s="5"/>
      <c r="D503" s="9"/>
      <c r="E503" s="9"/>
      <c r="F503" s="9"/>
      <c r="G503" s="9"/>
      <c r="H503" s="9"/>
      <c r="I503" s="9"/>
      <c r="J503" s="5"/>
      <c r="K503" s="4"/>
      <c r="L503" s="10"/>
      <c r="M503" s="10"/>
      <c r="N503" s="10"/>
      <c r="O503" s="10"/>
      <c r="P503" s="10"/>
      <c r="Q503" s="11"/>
      <c r="R503" s="9"/>
      <c r="S503" s="12"/>
      <c r="T503" s="5"/>
      <c r="U503" s="5"/>
      <c r="V503" s="4"/>
      <c r="W503" s="4"/>
      <c r="X503" s="4"/>
      <c r="Y503" s="4"/>
    </row>
    <row r="504">
      <c r="A504" s="5"/>
      <c r="B504" s="9"/>
      <c r="C504" s="5"/>
      <c r="D504" s="9"/>
      <c r="E504" s="9"/>
      <c r="F504" s="9"/>
      <c r="G504" s="9"/>
      <c r="H504" s="9"/>
      <c r="I504" s="9"/>
      <c r="J504" s="5"/>
      <c r="K504" s="4"/>
      <c r="L504" s="10"/>
      <c r="M504" s="10"/>
      <c r="N504" s="10"/>
      <c r="O504" s="10"/>
      <c r="P504" s="10"/>
      <c r="Q504" s="11"/>
      <c r="R504" s="9"/>
      <c r="S504" s="12"/>
      <c r="T504" s="5"/>
      <c r="U504" s="5"/>
      <c r="V504" s="4"/>
      <c r="W504" s="4"/>
      <c r="X504" s="4"/>
      <c r="Y504" s="4"/>
    </row>
    <row r="505">
      <c r="A505" s="5"/>
      <c r="B505" s="9"/>
      <c r="C505" s="5"/>
      <c r="D505" s="9"/>
      <c r="E505" s="9"/>
      <c r="F505" s="9"/>
      <c r="G505" s="9"/>
      <c r="H505" s="9"/>
      <c r="I505" s="9"/>
      <c r="J505" s="5"/>
      <c r="K505" s="4"/>
      <c r="L505" s="10"/>
      <c r="M505" s="10"/>
      <c r="N505" s="10"/>
      <c r="O505" s="10"/>
      <c r="P505" s="10"/>
      <c r="Q505" s="11"/>
      <c r="R505" s="9"/>
      <c r="S505" s="12"/>
      <c r="T505" s="5"/>
      <c r="U505" s="5"/>
      <c r="V505" s="4"/>
      <c r="W505" s="4"/>
      <c r="X505" s="4"/>
      <c r="Y505" s="4"/>
    </row>
    <row r="506">
      <c r="A506" s="5"/>
      <c r="B506" s="9"/>
      <c r="C506" s="5"/>
      <c r="D506" s="9"/>
      <c r="E506" s="9"/>
      <c r="F506" s="9"/>
      <c r="G506" s="9"/>
      <c r="H506" s="9"/>
      <c r="I506" s="9"/>
      <c r="J506" s="5"/>
      <c r="K506" s="4"/>
      <c r="L506" s="10"/>
      <c r="M506" s="10"/>
      <c r="N506" s="10"/>
      <c r="O506" s="10"/>
      <c r="P506" s="10"/>
      <c r="Q506" s="11"/>
      <c r="R506" s="9"/>
      <c r="S506" s="12"/>
      <c r="T506" s="5"/>
      <c r="U506" s="5"/>
      <c r="V506" s="4"/>
      <c r="W506" s="4"/>
      <c r="X506" s="4"/>
      <c r="Y506" s="4"/>
    </row>
    <row r="507">
      <c r="A507" s="5"/>
      <c r="B507" s="9"/>
      <c r="C507" s="5"/>
      <c r="D507" s="9"/>
      <c r="E507" s="9"/>
      <c r="F507" s="9"/>
      <c r="G507" s="9"/>
      <c r="H507" s="9"/>
      <c r="I507" s="9"/>
      <c r="J507" s="5"/>
      <c r="K507" s="4"/>
      <c r="L507" s="10"/>
      <c r="M507" s="10"/>
      <c r="N507" s="10"/>
      <c r="O507" s="10"/>
      <c r="P507" s="10"/>
      <c r="Q507" s="11"/>
      <c r="R507" s="9"/>
      <c r="S507" s="12"/>
      <c r="T507" s="5"/>
      <c r="U507" s="5"/>
      <c r="V507" s="4"/>
      <c r="W507" s="4"/>
      <c r="X507" s="4"/>
      <c r="Y507" s="4"/>
    </row>
    <row r="508">
      <c r="A508" s="5"/>
      <c r="B508" s="9"/>
      <c r="C508" s="5"/>
      <c r="D508" s="9"/>
      <c r="E508" s="9"/>
      <c r="F508" s="9"/>
      <c r="G508" s="9"/>
      <c r="H508" s="9"/>
      <c r="I508" s="9"/>
      <c r="J508" s="5"/>
      <c r="K508" s="4"/>
      <c r="L508" s="10"/>
      <c r="M508" s="10"/>
      <c r="N508" s="10"/>
      <c r="O508" s="10"/>
      <c r="P508" s="10"/>
      <c r="Q508" s="11"/>
      <c r="R508" s="9"/>
      <c r="S508" s="12"/>
      <c r="T508" s="5"/>
      <c r="U508" s="5"/>
      <c r="V508" s="4"/>
      <c r="W508" s="4"/>
      <c r="X508" s="4"/>
      <c r="Y508" s="4"/>
    </row>
    <row r="509">
      <c r="A509" s="5"/>
      <c r="B509" s="9"/>
      <c r="C509" s="5"/>
      <c r="D509" s="9"/>
      <c r="E509" s="9"/>
      <c r="F509" s="9"/>
      <c r="G509" s="9"/>
      <c r="H509" s="9"/>
      <c r="I509" s="9"/>
      <c r="J509" s="5"/>
      <c r="K509" s="4"/>
      <c r="L509" s="10"/>
      <c r="M509" s="10"/>
      <c r="N509" s="10"/>
      <c r="O509" s="10"/>
      <c r="P509" s="10"/>
      <c r="Q509" s="11"/>
      <c r="R509" s="9"/>
      <c r="S509" s="12"/>
      <c r="T509" s="5"/>
      <c r="U509" s="5"/>
      <c r="V509" s="4"/>
      <c r="W509" s="4"/>
      <c r="X509" s="4"/>
      <c r="Y509" s="4"/>
    </row>
    <row r="510">
      <c r="A510" s="5"/>
      <c r="B510" s="9"/>
      <c r="C510" s="5"/>
      <c r="D510" s="9"/>
      <c r="E510" s="9"/>
      <c r="F510" s="9"/>
      <c r="G510" s="9"/>
      <c r="H510" s="9"/>
      <c r="I510" s="9"/>
      <c r="J510" s="5"/>
      <c r="K510" s="4"/>
      <c r="L510" s="10"/>
      <c r="M510" s="10"/>
      <c r="N510" s="10"/>
      <c r="O510" s="10"/>
      <c r="P510" s="10"/>
      <c r="Q510" s="11"/>
      <c r="R510" s="9"/>
      <c r="S510" s="12"/>
      <c r="T510" s="5"/>
      <c r="U510" s="5"/>
      <c r="V510" s="4"/>
      <c r="W510" s="4"/>
      <c r="X510" s="4"/>
      <c r="Y510" s="4"/>
    </row>
    <row r="511">
      <c r="A511" s="5"/>
      <c r="B511" s="9"/>
      <c r="C511" s="5"/>
      <c r="D511" s="9"/>
      <c r="E511" s="9"/>
      <c r="F511" s="9"/>
      <c r="G511" s="9"/>
      <c r="H511" s="9"/>
      <c r="I511" s="9"/>
      <c r="J511" s="5"/>
      <c r="K511" s="4"/>
      <c r="L511" s="10"/>
      <c r="M511" s="10"/>
      <c r="N511" s="10"/>
      <c r="O511" s="10"/>
      <c r="P511" s="10"/>
      <c r="Q511" s="11"/>
      <c r="R511" s="9"/>
      <c r="S511" s="12"/>
      <c r="T511" s="5"/>
      <c r="U511" s="5"/>
      <c r="V511" s="4"/>
      <c r="W511" s="4"/>
      <c r="X511" s="4"/>
      <c r="Y511" s="4"/>
    </row>
    <row r="512">
      <c r="A512" s="5"/>
      <c r="B512" s="9"/>
      <c r="C512" s="5"/>
      <c r="D512" s="9"/>
      <c r="E512" s="9"/>
      <c r="F512" s="9"/>
      <c r="G512" s="9"/>
      <c r="H512" s="9"/>
      <c r="I512" s="9"/>
      <c r="J512" s="5"/>
      <c r="K512" s="4"/>
      <c r="L512" s="10"/>
      <c r="M512" s="10"/>
      <c r="N512" s="10"/>
      <c r="O512" s="10"/>
      <c r="P512" s="10"/>
      <c r="Q512" s="11"/>
      <c r="R512" s="9"/>
      <c r="S512" s="12"/>
      <c r="T512" s="5"/>
      <c r="U512" s="5"/>
      <c r="V512" s="4"/>
      <c r="W512" s="4"/>
      <c r="X512" s="4"/>
      <c r="Y512" s="4"/>
    </row>
    <row r="513">
      <c r="A513" s="5"/>
      <c r="B513" s="9"/>
      <c r="C513" s="5"/>
      <c r="D513" s="9"/>
      <c r="E513" s="9"/>
      <c r="F513" s="9"/>
      <c r="G513" s="9"/>
      <c r="H513" s="9"/>
      <c r="I513" s="9"/>
      <c r="J513" s="5"/>
      <c r="K513" s="4"/>
      <c r="L513" s="10"/>
      <c r="M513" s="10"/>
      <c r="N513" s="10"/>
      <c r="O513" s="10"/>
      <c r="P513" s="10"/>
      <c r="Q513" s="11"/>
      <c r="R513" s="9"/>
      <c r="S513" s="12"/>
      <c r="T513" s="5"/>
      <c r="U513" s="5"/>
      <c r="V513" s="4"/>
      <c r="W513" s="4"/>
      <c r="X513" s="4"/>
      <c r="Y513" s="4"/>
    </row>
    <row r="514">
      <c r="A514" s="5"/>
      <c r="B514" s="9"/>
      <c r="C514" s="5"/>
      <c r="D514" s="9"/>
      <c r="E514" s="9"/>
      <c r="F514" s="9"/>
      <c r="G514" s="9"/>
      <c r="H514" s="9"/>
      <c r="I514" s="9"/>
      <c r="J514" s="5"/>
      <c r="K514" s="4"/>
      <c r="L514" s="10"/>
      <c r="M514" s="10"/>
      <c r="N514" s="10"/>
      <c r="O514" s="10"/>
      <c r="P514" s="10"/>
      <c r="Q514" s="11"/>
      <c r="R514" s="9"/>
      <c r="S514" s="12"/>
      <c r="T514" s="5"/>
      <c r="U514" s="5"/>
      <c r="V514" s="4"/>
      <c r="W514" s="4"/>
      <c r="X514" s="4"/>
      <c r="Y514" s="4"/>
    </row>
    <row r="515">
      <c r="A515" s="5"/>
      <c r="B515" s="9"/>
      <c r="C515" s="5"/>
      <c r="D515" s="9"/>
      <c r="E515" s="9"/>
      <c r="F515" s="9"/>
      <c r="G515" s="9"/>
      <c r="H515" s="9"/>
      <c r="I515" s="9"/>
      <c r="J515" s="5"/>
      <c r="K515" s="4"/>
      <c r="L515" s="10"/>
      <c r="M515" s="10"/>
      <c r="N515" s="10"/>
      <c r="O515" s="10"/>
      <c r="P515" s="10"/>
      <c r="Q515" s="11"/>
      <c r="R515" s="9"/>
      <c r="S515" s="12"/>
      <c r="T515" s="5"/>
      <c r="U515" s="5"/>
      <c r="V515" s="4"/>
      <c r="W515" s="4"/>
      <c r="X515" s="4"/>
      <c r="Y515" s="4"/>
    </row>
    <row r="516">
      <c r="A516" s="5"/>
      <c r="B516" s="9"/>
      <c r="C516" s="5"/>
      <c r="D516" s="9"/>
      <c r="E516" s="9"/>
      <c r="F516" s="9"/>
      <c r="G516" s="9"/>
      <c r="H516" s="9"/>
      <c r="I516" s="9"/>
      <c r="J516" s="5"/>
      <c r="K516" s="4"/>
      <c r="L516" s="10"/>
      <c r="M516" s="10"/>
      <c r="N516" s="10"/>
      <c r="O516" s="10"/>
      <c r="P516" s="10"/>
      <c r="Q516" s="11"/>
      <c r="R516" s="9"/>
      <c r="S516" s="12"/>
      <c r="T516" s="5"/>
      <c r="U516" s="5"/>
      <c r="V516" s="4"/>
      <c r="W516" s="4"/>
      <c r="X516" s="4"/>
      <c r="Y516" s="4"/>
    </row>
    <row r="517">
      <c r="A517" s="5"/>
      <c r="B517" s="9"/>
      <c r="C517" s="5"/>
      <c r="D517" s="9"/>
      <c r="E517" s="9"/>
      <c r="F517" s="9"/>
      <c r="G517" s="9"/>
      <c r="H517" s="9"/>
      <c r="I517" s="9"/>
      <c r="J517" s="5"/>
      <c r="K517" s="4"/>
      <c r="L517" s="10"/>
      <c r="M517" s="10"/>
      <c r="N517" s="10"/>
      <c r="O517" s="10"/>
      <c r="P517" s="10"/>
      <c r="Q517" s="11"/>
      <c r="R517" s="9"/>
      <c r="S517" s="12"/>
      <c r="T517" s="5"/>
      <c r="U517" s="5"/>
      <c r="V517" s="4"/>
      <c r="W517" s="4"/>
      <c r="X517" s="4"/>
      <c r="Y517" s="4"/>
    </row>
    <row r="518">
      <c r="A518" s="5"/>
      <c r="B518" s="9"/>
      <c r="C518" s="5"/>
      <c r="D518" s="9"/>
      <c r="E518" s="9"/>
      <c r="F518" s="9"/>
      <c r="G518" s="9"/>
      <c r="H518" s="9"/>
      <c r="I518" s="9"/>
      <c r="J518" s="5"/>
      <c r="K518" s="4"/>
      <c r="L518" s="10"/>
      <c r="M518" s="10"/>
      <c r="N518" s="10"/>
      <c r="O518" s="10"/>
      <c r="P518" s="10"/>
      <c r="Q518" s="11"/>
      <c r="R518" s="9"/>
      <c r="S518" s="12"/>
      <c r="T518" s="5"/>
      <c r="U518" s="5"/>
      <c r="V518" s="4"/>
      <c r="W518" s="4"/>
      <c r="X518" s="4"/>
      <c r="Y518" s="4"/>
    </row>
    <row r="519">
      <c r="A519" s="5"/>
      <c r="B519" s="9"/>
      <c r="C519" s="5"/>
      <c r="D519" s="9"/>
      <c r="E519" s="9"/>
      <c r="F519" s="9"/>
      <c r="G519" s="9"/>
      <c r="H519" s="9"/>
      <c r="I519" s="9"/>
      <c r="J519" s="5"/>
      <c r="K519" s="4"/>
      <c r="L519" s="10"/>
      <c r="M519" s="10"/>
      <c r="N519" s="10"/>
      <c r="O519" s="10"/>
      <c r="P519" s="10"/>
      <c r="Q519" s="11"/>
      <c r="R519" s="9"/>
      <c r="S519" s="12"/>
      <c r="T519" s="5"/>
      <c r="U519" s="5"/>
      <c r="V519" s="4"/>
      <c r="W519" s="4"/>
      <c r="X519" s="4"/>
      <c r="Y519" s="4"/>
    </row>
    <row r="520">
      <c r="A520" s="5"/>
      <c r="B520" s="9"/>
      <c r="C520" s="5"/>
      <c r="D520" s="9"/>
      <c r="E520" s="9"/>
      <c r="F520" s="9"/>
      <c r="G520" s="9"/>
      <c r="H520" s="9"/>
      <c r="I520" s="9"/>
      <c r="J520" s="5"/>
      <c r="K520" s="4"/>
      <c r="L520" s="10"/>
      <c r="M520" s="10"/>
      <c r="N520" s="10"/>
      <c r="O520" s="10"/>
      <c r="P520" s="10"/>
      <c r="Q520" s="11"/>
      <c r="R520" s="9"/>
      <c r="S520" s="12"/>
      <c r="T520" s="5"/>
      <c r="U520" s="5"/>
      <c r="V520" s="4"/>
      <c r="W520" s="4"/>
      <c r="X520" s="4"/>
      <c r="Y520" s="4"/>
    </row>
    <row r="521">
      <c r="A521" s="5"/>
      <c r="B521" s="9"/>
      <c r="C521" s="5"/>
      <c r="D521" s="9"/>
      <c r="E521" s="9"/>
      <c r="F521" s="9"/>
      <c r="G521" s="9"/>
      <c r="H521" s="9"/>
      <c r="I521" s="9"/>
      <c r="J521" s="5"/>
      <c r="K521" s="4"/>
      <c r="L521" s="10"/>
      <c r="M521" s="10"/>
      <c r="N521" s="10"/>
      <c r="O521" s="10"/>
      <c r="P521" s="10"/>
      <c r="Q521" s="11"/>
      <c r="R521" s="9"/>
      <c r="S521" s="12"/>
      <c r="T521" s="5"/>
      <c r="U521" s="5"/>
      <c r="V521" s="4"/>
      <c r="W521" s="4"/>
      <c r="X521" s="4"/>
      <c r="Y521" s="4"/>
    </row>
    <row r="522">
      <c r="A522" s="5"/>
      <c r="B522" s="9"/>
      <c r="C522" s="5"/>
      <c r="D522" s="9"/>
      <c r="E522" s="9"/>
      <c r="F522" s="9"/>
      <c r="G522" s="9"/>
      <c r="H522" s="9"/>
      <c r="I522" s="9"/>
      <c r="J522" s="5"/>
      <c r="K522" s="4"/>
      <c r="L522" s="10"/>
      <c r="M522" s="10"/>
      <c r="N522" s="10"/>
      <c r="O522" s="10"/>
      <c r="P522" s="10"/>
      <c r="Q522" s="11"/>
      <c r="R522" s="9"/>
      <c r="S522" s="12"/>
      <c r="T522" s="5"/>
      <c r="U522" s="5"/>
      <c r="V522" s="4"/>
      <c r="W522" s="4"/>
      <c r="X522" s="4"/>
      <c r="Y522" s="4"/>
    </row>
    <row r="523">
      <c r="A523" s="5"/>
      <c r="B523" s="9"/>
      <c r="C523" s="5"/>
      <c r="D523" s="9"/>
      <c r="E523" s="9"/>
      <c r="F523" s="9"/>
      <c r="G523" s="9"/>
      <c r="H523" s="9"/>
      <c r="I523" s="9"/>
      <c r="J523" s="5"/>
      <c r="K523" s="4"/>
      <c r="L523" s="10"/>
      <c r="M523" s="10"/>
      <c r="N523" s="10"/>
      <c r="O523" s="10"/>
      <c r="P523" s="10"/>
      <c r="Q523" s="11"/>
      <c r="R523" s="9"/>
      <c r="S523" s="12"/>
      <c r="T523" s="5"/>
      <c r="U523" s="5"/>
      <c r="V523" s="4"/>
      <c r="W523" s="4"/>
      <c r="X523" s="4"/>
      <c r="Y523" s="4"/>
    </row>
    <row r="524">
      <c r="A524" s="5"/>
      <c r="B524" s="9"/>
      <c r="C524" s="5"/>
      <c r="D524" s="9"/>
      <c r="E524" s="9"/>
      <c r="F524" s="9"/>
      <c r="G524" s="9"/>
      <c r="H524" s="9"/>
      <c r="I524" s="9"/>
      <c r="J524" s="5"/>
      <c r="K524" s="4"/>
      <c r="L524" s="10"/>
      <c r="M524" s="10"/>
      <c r="N524" s="10"/>
      <c r="O524" s="10"/>
      <c r="P524" s="10"/>
      <c r="Q524" s="11"/>
      <c r="R524" s="9"/>
      <c r="S524" s="12"/>
      <c r="T524" s="5"/>
      <c r="U524" s="5"/>
      <c r="V524" s="4"/>
      <c r="W524" s="4"/>
      <c r="X524" s="4"/>
      <c r="Y524" s="4"/>
    </row>
    <row r="525">
      <c r="A525" s="5"/>
      <c r="B525" s="9"/>
      <c r="C525" s="5"/>
      <c r="D525" s="9"/>
      <c r="E525" s="9"/>
      <c r="F525" s="9"/>
      <c r="G525" s="9"/>
      <c r="H525" s="9"/>
      <c r="I525" s="9"/>
      <c r="J525" s="5"/>
      <c r="K525" s="4"/>
      <c r="L525" s="10"/>
      <c r="M525" s="10"/>
      <c r="N525" s="10"/>
      <c r="O525" s="10"/>
      <c r="P525" s="10"/>
      <c r="Q525" s="11"/>
      <c r="R525" s="9"/>
      <c r="S525" s="12"/>
      <c r="T525" s="5"/>
      <c r="U525" s="5"/>
      <c r="V525" s="4"/>
      <c r="W525" s="4"/>
      <c r="X525" s="4"/>
      <c r="Y525" s="4"/>
    </row>
    <row r="526">
      <c r="A526" s="5"/>
      <c r="B526" s="9"/>
      <c r="C526" s="5"/>
      <c r="D526" s="9"/>
      <c r="E526" s="9"/>
      <c r="F526" s="9"/>
      <c r="G526" s="9"/>
      <c r="H526" s="9"/>
      <c r="I526" s="9"/>
      <c r="J526" s="5"/>
      <c r="K526" s="4"/>
      <c r="L526" s="10"/>
      <c r="M526" s="10"/>
      <c r="N526" s="10"/>
      <c r="O526" s="10"/>
      <c r="P526" s="10"/>
      <c r="Q526" s="11"/>
      <c r="R526" s="9"/>
      <c r="S526" s="12"/>
      <c r="T526" s="5"/>
      <c r="U526" s="5"/>
      <c r="V526" s="4"/>
      <c r="W526" s="4"/>
      <c r="X526" s="4"/>
      <c r="Y526" s="4"/>
    </row>
    <row r="527">
      <c r="A527" s="5"/>
      <c r="B527" s="9"/>
      <c r="C527" s="5"/>
      <c r="D527" s="9"/>
      <c r="E527" s="9"/>
      <c r="F527" s="9"/>
      <c r="G527" s="9"/>
      <c r="H527" s="9"/>
      <c r="I527" s="9"/>
      <c r="J527" s="5"/>
      <c r="K527" s="4"/>
      <c r="L527" s="10"/>
      <c r="M527" s="10"/>
      <c r="N527" s="10"/>
      <c r="O527" s="10"/>
      <c r="P527" s="10"/>
      <c r="Q527" s="11"/>
      <c r="R527" s="9"/>
      <c r="S527" s="12"/>
      <c r="T527" s="5"/>
      <c r="U527" s="5"/>
      <c r="V527" s="4"/>
      <c r="W527" s="4"/>
      <c r="X527" s="4"/>
      <c r="Y527" s="4"/>
    </row>
    <row r="528">
      <c r="A528" s="5"/>
      <c r="B528" s="9"/>
      <c r="C528" s="5"/>
      <c r="D528" s="9"/>
      <c r="E528" s="9"/>
      <c r="F528" s="9"/>
      <c r="G528" s="9"/>
      <c r="H528" s="9"/>
      <c r="I528" s="9"/>
      <c r="J528" s="5"/>
      <c r="K528" s="4"/>
      <c r="L528" s="10"/>
      <c r="M528" s="10"/>
      <c r="N528" s="10"/>
      <c r="O528" s="10"/>
      <c r="P528" s="10"/>
      <c r="Q528" s="11"/>
      <c r="R528" s="9"/>
      <c r="S528" s="12"/>
      <c r="T528" s="5"/>
      <c r="U528" s="5"/>
      <c r="V528" s="4"/>
      <c r="W528" s="4"/>
      <c r="X528" s="4"/>
      <c r="Y528" s="4"/>
    </row>
    <row r="529">
      <c r="A529" s="5"/>
      <c r="B529" s="9"/>
      <c r="C529" s="5"/>
      <c r="D529" s="9"/>
      <c r="E529" s="9"/>
      <c r="F529" s="9"/>
      <c r="G529" s="9"/>
      <c r="H529" s="9"/>
      <c r="I529" s="9"/>
      <c r="J529" s="5"/>
      <c r="K529" s="4"/>
      <c r="L529" s="10"/>
      <c r="M529" s="10"/>
      <c r="N529" s="10"/>
      <c r="O529" s="10"/>
      <c r="P529" s="10"/>
      <c r="Q529" s="11"/>
      <c r="R529" s="9"/>
      <c r="S529" s="12"/>
      <c r="T529" s="5"/>
      <c r="U529" s="5"/>
      <c r="V529" s="4"/>
      <c r="W529" s="4"/>
      <c r="X529" s="4"/>
      <c r="Y529" s="4"/>
    </row>
    <row r="530">
      <c r="A530" s="5"/>
      <c r="B530" s="9"/>
      <c r="C530" s="5"/>
      <c r="D530" s="9"/>
      <c r="E530" s="9"/>
      <c r="F530" s="9"/>
      <c r="G530" s="9"/>
      <c r="H530" s="9"/>
      <c r="I530" s="9"/>
      <c r="J530" s="5"/>
      <c r="K530" s="4"/>
      <c r="L530" s="10"/>
      <c r="M530" s="10"/>
      <c r="N530" s="10"/>
      <c r="O530" s="10"/>
      <c r="P530" s="10"/>
      <c r="Q530" s="11"/>
      <c r="R530" s="9"/>
      <c r="S530" s="12"/>
      <c r="T530" s="5"/>
      <c r="U530" s="5"/>
      <c r="V530" s="4"/>
      <c r="W530" s="4"/>
      <c r="X530" s="4"/>
      <c r="Y530" s="4"/>
    </row>
    <row r="531">
      <c r="A531" s="5"/>
      <c r="B531" s="9"/>
      <c r="C531" s="5"/>
      <c r="D531" s="9"/>
      <c r="E531" s="9"/>
      <c r="F531" s="9"/>
      <c r="G531" s="9"/>
      <c r="H531" s="9"/>
      <c r="I531" s="9"/>
      <c r="J531" s="5"/>
      <c r="K531" s="4"/>
      <c r="L531" s="10"/>
      <c r="M531" s="10"/>
      <c r="N531" s="10"/>
      <c r="O531" s="10"/>
      <c r="P531" s="10"/>
      <c r="Q531" s="11"/>
      <c r="R531" s="9"/>
      <c r="S531" s="12"/>
      <c r="T531" s="5"/>
      <c r="U531" s="5"/>
      <c r="V531" s="4"/>
      <c r="W531" s="4"/>
      <c r="X531" s="4"/>
      <c r="Y531" s="4"/>
    </row>
    <row r="532">
      <c r="A532" s="5"/>
      <c r="B532" s="9"/>
      <c r="C532" s="5"/>
      <c r="D532" s="9"/>
      <c r="E532" s="9"/>
      <c r="F532" s="9"/>
      <c r="G532" s="9"/>
      <c r="H532" s="9"/>
      <c r="I532" s="9"/>
      <c r="J532" s="5"/>
      <c r="K532" s="4"/>
      <c r="L532" s="10"/>
      <c r="M532" s="10"/>
      <c r="N532" s="10"/>
      <c r="O532" s="10"/>
      <c r="P532" s="10"/>
      <c r="Q532" s="11"/>
      <c r="R532" s="9"/>
      <c r="S532" s="12"/>
      <c r="T532" s="5"/>
      <c r="U532" s="5"/>
      <c r="V532" s="4"/>
      <c r="W532" s="4"/>
      <c r="X532" s="4"/>
      <c r="Y532" s="4"/>
    </row>
    <row r="533">
      <c r="A533" s="5"/>
      <c r="B533" s="9"/>
      <c r="C533" s="5"/>
      <c r="D533" s="9"/>
      <c r="E533" s="9"/>
      <c r="F533" s="9"/>
      <c r="G533" s="9"/>
      <c r="H533" s="9"/>
      <c r="I533" s="9"/>
      <c r="J533" s="5"/>
      <c r="K533" s="4"/>
      <c r="L533" s="10"/>
      <c r="M533" s="10"/>
      <c r="N533" s="10"/>
      <c r="O533" s="10"/>
      <c r="P533" s="10"/>
      <c r="Q533" s="11"/>
      <c r="R533" s="9"/>
      <c r="S533" s="12"/>
      <c r="T533" s="5"/>
      <c r="U533" s="5"/>
      <c r="V533" s="4"/>
      <c r="W533" s="4"/>
      <c r="X533" s="4"/>
      <c r="Y533" s="4"/>
    </row>
    <row r="534">
      <c r="A534" s="5"/>
      <c r="B534" s="9"/>
      <c r="C534" s="5"/>
      <c r="D534" s="9"/>
      <c r="E534" s="9"/>
      <c r="F534" s="9"/>
      <c r="G534" s="9"/>
      <c r="H534" s="9"/>
      <c r="I534" s="9"/>
      <c r="J534" s="5"/>
      <c r="K534" s="4"/>
      <c r="L534" s="10"/>
      <c r="M534" s="10"/>
      <c r="N534" s="10"/>
      <c r="O534" s="10"/>
      <c r="P534" s="10"/>
      <c r="Q534" s="11"/>
      <c r="R534" s="9"/>
      <c r="S534" s="12"/>
      <c r="T534" s="5"/>
      <c r="U534" s="5"/>
      <c r="V534" s="4"/>
      <c r="W534" s="4"/>
      <c r="X534" s="4"/>
      <c r="Y534" s="4"/>
    </row>
    <row r="535">
      <c r="A535" s="5"/>
      <c r="B535" s="9"/>
      <c r="C535" s="5"/>
      <c r="D535" s="9"/>
      <c r="E535" s="9"/>
      <c r="F535" s="9"/>
      <c r="G535" s="9"/>
      <c r="H535" s="9"/>
      <c r="I535" s="9"/>
      <c r="J535" s="5"/>
      <c r="K535" s="4"/>
      <c r="L535" s="10"/>
      <c r="M535" s="10"/>
      <c r="N535" s="10"/>
      <c r="O535" s="10"/>
      <c r="P535" s="10"/>
      <c r="Q535" s="11"/>
      <c r="R535" s="9"/>
      <c r="S535" s="12"/>
      <c r="T535" s="5"/>
      <c r="U535" s="5"/>
      <c r="V535" s="4"/>
      <c r="W535" s="4"/>
      <c r="X535" s="4"/>
      <c r="Y535" s="4"/>
    </row>
    <row r="536">
      <c r="A536" s="5"/>
      <c r="B536" s="9"/>
      <c r="C536" s="5"/>
      <c r="D536" s="9"/>
      <c r="E536" s="9"/>
      <c r="F536" s="9"/>
      <c r="G536" s="9"/>
      <c r="H536" s="9"/>
      <c r="I536" s="9"/>
      <c r="J536" s="5"/>
      <c r="K536" s="4"/>
      <c r="L536" s="10"/>
      <c r="M536" s="10"/>
      <c r="N536" s="10"/>
      <c r="O536" s="10"/>
      <c r="P536" s="10"/>
      <c r="Q536" s="11"/>
      <c r="R536" s="9"/>
      <c r="S536" s="12"/>
      <c r="T536" s="5"/>
      <c r="U536" s="5"/>
      <c r="V536" s="4"/>
      <c r="W536" s="4"/>
      <c r="X536" s="4"/>
      <c r="Y536" s="4"/>
    </row>
    <row r="537">
      <c r="A537" s="5"/>
      <c r="B537" s="9"/>
      <c r="C537" s="5"/>
      <c r="D537" s="9"/>
      <c r="E537" s="9"/>
      <c r="F537" s="9"/>
      <c r="G537" s="9"/>
      <c r="H537" s="9"/>
      <c r="I537" s="9"/>
      <c r="J537" s="5"/>
      <c r="K537" s="4"/>
      <c r="L537" s="10"/>
      <c r="M537" s="10"/>
      <c r="N537" s="10"/>
      <c r="O537" s="10"/>
      <c r="P537" s="10"/>
      <c r="Q537" s="11"/>
      <c r="R537" s="9"/>
      <c r="S537" s="12"/>
      <c r="T537" s="5"/>
      <c r="U537" s="5"/>
      <c r="V537" s="4"/>
      <c r="W537" s="4"/>
      <c r="X537" s="4"/>
      <c r="Y537" s="4"/>
    </row>
    <row r="538">
      <c r="A538" s="5"/>
      <c r="B538" s="9"/>
      <c r="C538" s="5"/>
      <c r="D538" s="9"/>
      <c r="E538" s="9"/>
      <c r="F538" s="9"/>
      <c r="G538" s="9"/>
      <c r="H538" s="9"/>
      <c r="I538" s="9"/>
      <c r="J538" s="5"/>
      <c r="K538" s="4"/>
      <c r="L538" s="10"/>
      <c r="M538" s="10"/>
      <c r="N538" s="10"/>
      <c r="O538" s="10"/>
      <c r="P538" s="10"/>
      <c r="Q538" s="11"/>
      <c r="R538" s="9"/>
      <c r="S538" s="12"/>
      <c r="T538" s="5"/>
      <c r="U538" s="5"/>
      <c r="V538" s="4"/>
      <c r="W538" s="4"/>
      <c r="X538" s="4"/>
      <c r="Y538" s="4"/>
    </row>
    <row r="539">
      <c r="A539" s="5"/>
      <c r="B539" s="9"/>
      <c r="C539" s="5"/>
      <c r="D539" s="9"/>
      <c r="E539" s="9"/>
      <c r="F539" s="9"/>
      <c r="G539" s="9"/>
      <c r="H539" s="9"/>
      <c r="I539" s="9"/>
      <c r="J539" s="5"/>
      <c r="K539" s="4"/>
      <c r="L539" s="10"/>
      <c r="M539" s="10"/>
      <c r="N539" s="10"/>
      <c r="O539" s="10"/>
      <c r="P539" s="10"/>
      <c r="Q539" s="11"/>
      <c r="R539" s="9"/>
      <c r="S539" s="12"/>
      <c r="T539" s="5"/>
      <c r="U539" s="5"/>
      <c r="V539" s="4"/>
      <c r="W539" s="4"/>
      <c r="X539" s="4"/>
      <c r="Y539" s="4"/>
    </row>
    <row r="540">
      <c r="A540" s="5"/>
      <c r="B540" s="9"/>
      <c r="C540" s="5"/>
      <c r="D540" s="9"/>
      <c r="E540" s="9"/>
      <c r="F540" s="9"/>
      <c r="G540" s="9"/>
      <c r="H540" s="9"/>
      <c r="I540" s="9"/>
      <c r="J540" s="5"/>
      <c r="K540" s="4"/>
      <c r="L540" s="10"/>
      <c r="M540" s="10"/>
      <c r="N540" s="10"/>
      <c r="O540" s="10"/>
      <c r="P540" s="10"/>
      <c r="Q540" s="11"/>
      <c r="R540" s="9"/>
      <c r="S540" s="12"/>
      <c r="T540" s="5"/>
      <c r="U540" s="5"/>
      <c r="V540" s="4"/>
      <c r="W540" s="4"/>
      <c r="X540" s="4"/>
      <c r="Y540" s="4"/>
    </row>
    <row r="541">
      <c r="A541" s="5"/>
      <c r="B541" s="9"/>
      <c r="C541" s="5"/>
      <c r="D541" s="9"/>
      <c r="E541" s="9"/>
      <c r="F541" s="9"/>
      <c r="G541" s="9"/>
      <c r="H541" s="9"/>
      <c r="I541" s="9"/>
      <c r="J541" s="5"/>
      <c r="K541" s="4"/>
      <c r="L541" s="10"/>
      <c r="M541" s="10"/>
      <c r="N541" s="10"/>
      <c r="O541" s="10"/>
      <c r="P541" s="10"/>
      <c r="Q541" s="11"/>
      <c r="R541" s="9"/>
      <c r="S541" s="12"/>
      <c r="T541" s="5"/>
      <c r="U541" s="5"/>
      <c r="V541" s="4"/>
      <c r="W541" s="4"/>
      <c r="X541" s="4"/>
      <c r="Y541" s="4"/>
    </row>
    <row r="542">
      <c r="A542" s="5"/>
      <c r="B542" s="9"/>
      <c r="C542" s="5"/>
      <c r="D542" s="9"/>
      <c r="E542" s="9"/>
      <c r="F542" s="9"/>
      <c r="G542" s="9"/>
      <c r="H542" s="9"/>
      <c r="I542" s="9"/>
      <c r="J542" s="5"/>
      <c r="K542" s="4"/>
      <c r="L542" s="10"/>
      <c r="M542" s="10"/>
      <c r="N542" s="10"/>
      <c r="O542" s="10"/>
      <c r="P542" s="10"/>
      <c r="Q542" s="11"/>
      <c r="R542" s="9"/>
      <c r="S542" s="12"/>
      <c r="T542" s="5"/>
      <c r="U542" s="5"/>
      <c r="V542" s="4"/>
      <c r="W542" s="4"/>
      <c r="X542" s="4"/>
      <c r="Y542" s="4"/>
    </row>
    <row r="543">
      <c r="A543" s="5"/>
      <c r="B543" s="9"/>
      <c r="C543" s="5"/>
      <c r="D543" s="9"/>
      <c r="E543" s="9"/>
      <c r="F543" s="9"/>
      <c r="G543" s="9"/>
      <c r="H543" s="9"/>
      <c r="I543" s="9"/>
      <c r="J543" s="5"/>
      <c r="K543" s="4"/>
      <c r="L543" s="10"/>
      <c r="M543" s="10"/>
      <c r="N543" s="10"/>
      <c r="O543" s="10"/>
      <c r="P543" s="10"/>
      <c r="Q543" s="11"/>
      <c r="R543" s="9"/>
      <c r="S543" s="12"/>
      <c r="T543" s="5"/>
      <c r="U543" s="5"/>
      <c r="V543" s="4"/>
      <c r="W543" s="4"/>
      <c r="X543" s="4"/>
      <c r="Y543" s="4"/>
    </row>
    <row r="544">
      <c r="A544" s="5"/>
      <c r="B544" s="9"/>
      <c r="C544" s="5"/>
      <c r="D544" s="9"/>
      <c r="E544" s="9"/>
      <c r="F544" s="9"/>
      <c r="G544" s="9"/>
      <c r="H544" s="9"/>
      <c r="I544" s="9"/>
      <c r="J544" s="5"/>
      <c r="K544" s="4"/>
      <c r="L544" s="10"/>
      <c r="M544" s="10"/>
      <c r="N544" s="10"/>
      <c r="O544" s="10"/>
      <c r="P544" s="10"/>
      <c r="Q544" s="11"/>
      <c r="R544" s="9"/>
      <c r="S544" s="12"/>
      <c r="T544" s="5"/>
      <c r="U544" s="5"/>
      <c r="V544" s="4"/>
      <c r="W544" s="4"/>
      <c r="X544" s="4"/>
      <c r="Y544" s="4"/>
    </row>
    <row r="545">
      <c r="A545" s="5"/>
      <c r="B545" s="9"/>
      <c r="C545" s="5"/>
      <c r="D545" s="9"/>
      <c r="E545" s="9"/>
      <c r="F545" s="9"/>
      <c r="G545" s="9"/>
      <c r="H545" s="9"/>
      <c r="I545" s="9"/>
      <c r="J545" s="5"/>
      <c r="K545" s="4"/>
      <c r="L545" s="10"/>
      <c r="M545" s="10"/>
      <c r="N545" s="10"/>
      <c r="O545" s="10"/>
      <c r="P545" s="10"/>
      <c r="Q545" s="11"/>
      <c r="R545" s="9"/>
      <c r="S545" s="12"/>
      <c r="T545" s="5"/>
      <c r="U545" s="5"/>
      <c r="V545" s="4"/>
      <c r="W545" s="4"/>
      <c r="X545" s="4"/>
      <c r="Y545" s="4"/>
    </row>
    <row r="546">
      <c r="A546" s="5"/>
      <c r="B546" s="9"/>
      <c r="C546" s="5"/>
      <c r="D546" s="9"/>
      <c r="E546" s="9"/>
      <c r="F546" s="9"/>
      <c r="G546" s="9"/>
      <c r="H546" s="9"/>
      <c r="I546" s="9"/>
      <c r="J546" s="5"/>
      <c r="K546" s="4"/>
      <c r="L546" s="10"/>
      <c r="M546" s="10"/>
      <c r="N546" s="10"/>
      <c r="O546" s="10"/>
      <c r="P546" s="10"/>
      <c r="Q546" s="11"/>
      <c r="R546" s="9"/>
      <c r="S546" s="12"/>
      <c r="T546" s="5"/>
      <c r="U546" s="5"/>
      <c r="V546" s="4"/>
      <c r="W546" s="4"/>
      <c r="X546" s="4"/>
      <c r="Y546" s="4"/>
    </row>
    <row r="547">
      <c r="A547" s="5"/>
      <c r="B547" s="9"/>
      <c r="C547" s="5"/>
      <c r="D547" s="9"/>
      <c r="E547" s="9"/>
      <c r="F547" s="9"/>
      <c r="G547" s="9"/>
      <c r="H547" s="9"/>
      <c r="I547" s="9"/>
      <c r="J547" s="5"/>
      <c r="K547" s="4"/>
      <c r="L547" s="10"/>
      <c r="M547" s="10"/>
      <c r="N547" s="10"/>
      <c r="O547" s="10"/>
      <c r="P547" s="10"/>
      <c r="Q547" s="11"/>
      <c r="R547" s="9"/>
      <c r="S547" s="12"/>
      <c r="T547" s="5"/>
      <c r="U547" s="5"/>
      <c r="V547" s="4"/>
      <c r="W547" s="4"/>
      <c r="X547" s="4"/>
      <c r="Y547" s="4"/>
    </row>
    <row r="548">
      <c r="A548" s="5"/>
      <c r="B548" s="9"/>
      <c r="C548" s="5"/>
      <c r="D548" s="9"/>
      <c r="E548" s="9"/>
      <c r="F548" s="9"/>
      <c r="G548" s="9"/>
      <c r="H548" s="9"/>
      <c r="I548" s="9"/>
      <c r="J548" s="5"/>
      <c r="K548" s="4"/>
      <c r="L548" s="10"/>
      <c r="M548" s="10"/>
      <c r="N548" s="10"/>
      <c r="O548" s="10"/>
      <c r="P548" s="10"/>
      <c r="Q548" s="11"/>
      <c r="R548" s="9"/>
      <c r="S548" s="12"/>
      <c r="T548" s="5"/>
      <c r="U548" s="5"/>
      <c r="V548" s="4"/>
      <c r="W548" s="4"/>
      <c r="X548" s="4"/>
      <c r="Y548" s="4"/>
    </row>
    <row r="549">
      <c r="A549" s="5"/>
      <c r="B549" s="9"/>
      <c r="C549" s="5"/>
      <c r="D549" s="9"/>
      <c r="E549" s="9"/>
      <c r="F549" s="9"/>
      <c r="G549" s="9"/>
      <c r="H549" s="9"/>
      <c r="I549" s="9"/>
      <c r="J549" s="5"/>
      <c r="K549" s="4"/>
      <c r="L549" s="10"/>
      <c r="M549" s="10"/>
      <c r="N549" s="10"/>
      <c r="O549" s="10"/>
      <c r="P549" s="10"/>
      <c r="Q549" s="11"/>
      <c r="R549" s="9"/>
      <c r="S549" s="12"/>
      <c r="T549" s="5"/>
      <c r="U549" s="5"/>
      <c r="V549" s="4"/>
      <c r="W549" s="4"/>
      <c r="X549" s="4"/>
      <c r="Y549" s="4"/>
    </row>
    <row r="550">
      <c r="A550" s="5"/>
      <c r="B550" s="9"/>
      <c r="C550" s="5"/>
      <c r="D550" s="9"/>
      <c r="E550" s="9"/>
      <c r="F550" s="9"/>
      <c r="G550" s="9"/>
      <c r="H550" s="9"/>
      <c r="I550" s="9"/>
      <c r="J550" s="5"/>
      <c r="K550" s="4"/>
      <c r="L550" s="10"/>
      <c r="M550" s="10"/>
      <c r="N550" s="10"/>
      <c r="O550" s="10"/>
      <c r="P550" s="10"/>
      <c r="Q550" s="11"/>
      <c r="R550" s="9"/>
      <c r="S550" s="12"/>
      <c r="T550" s="5"/>
      <c r="U550" s="5"/>
      <c r="V550" s="4"/>
      <c r="W550" s="4"/>
      <c r="X550" s="4"/>
      <c r="Y550" s="4"/>
    </row>
    <row r="551">
      <c r="A551" s="5"/>
      <c r="B551" s="9"/>
      <c r="C551" s="5"/>
      <c r="D551" s="9"/>
      <c r="E551" s="9"/>
      <c r="F551" s="9"/>
      <c r="G551" s="9"/>
      <c r="H551" s="9"/>
      <c r="I551" s="9"/>
      <c r="J551" s="5"/>
      <c r="K551" s="4"/>
      <c r="L551" s="10"/>
      <c r="M551" s="10"/>
      <c r="N551" s="10"/>
      <c r="O551" s="10"/>
      <c r="P551" s="10"/>
      <c r="Q551" s="11"/>
      <c r="R551" s="9"/>
      <c r="S551" s="12"/>
      <c r="T551" s="5"/>
      <c r="U551" s="5"/>
      <c r="V551" s="4"/>
      <c r="W551" s="4"/>
      <c r="X551" s="4"/>
      <c r="Y551" s="4"/>
    </row>
    <row r="552">
      <c r="A552" s="5"/>
      <c r="B552" s="9"/>
      <c r="C552" s="5"/>
      <c r="D552" s="9"/>
      <c r="E552" s="9"/>
      <c r="F552" s="9"/>
      <c r="G552" s="9"/>
      <c r="H552" s="9"/>
      <c r="I552" s="9"/>
      <c r="J552" s="5"/>
      <c r="K552" s="4"/>
      <c r="L552" s="10"/>
      <c r="M552" s="10"/>
      <c r="N552" s="10"/>
      <c r="O552" s="10"/>
      <c r="P552" s="10"/>
      <c r="Q552" s="11"/>
      <c r="R552" s="9"/>
      <c r="S552" s="12"/>
      <c r="T552" s="5"/>
      <c r="U552" s="5"/>
      <c r="V552" s="4"/>
      <c r="W552" s="4"/>
      <c r="X552" s="4"/>
      <c r="Y552" s="4"/>
    </row>
    <row r="553">
      <c r="A553" s="5"/>
      <c r="B553" s="9"/>
      <c r="C553" s="5"/>
      <c r="D553" s="9"/>
      <c r="E553" s="9"/>
      <c r="F553" s="9"/>
      <c r="G553" s="9"/>
      <c r="H553" s="9"/>
      <c r="I553" s="9"/>
      <c r="J553" s="5"/>
      <c r="K553" s="4"/>
      <c r="L553" s="10"/>
      <c r="M553" s="10"/>
      <c r="N553" s="10"/>
      <c r="O553" s="10"/>
      <c r="P553" s="10"/>
      <c r="Q553" s="11"/>
      <c r="R553" s="9"/>
      <c r="S553" s="12"/>
      <c r="T553" s="5"/>
      <c r="U553" s="5"/>
      <c r="V553" s="4"/>
      <c r="W553" s="4"/>
      <c r="X553" s="4"/>
      <c r="Y553" s="4"/>
    </row>
    <row r="554">
      <c r="A554" s="5"/>
      <c r="B554" s="9"/>
      <c r="C554" s="5"/>
      <c r="D554" s="9"/>
      <c r="E554" s="9"/>
      <c r="F554" s="9"/>
      <c r="G554" s="9"/>
      <c r="H554" s="9"/>
      <c r="I554" s="9"/>
      <c r="J554" s="5"/>
      <c r="K554" s="4"/>
      <c r="L554" s="10"/>
      <c r="M554" s="10"/>
      <c r="N554" s="10"/>
      <c r="O554" s="10"/>
      <c r="P554" s="10"/>
      <c r="Q554" s="11"/>
      <c r="R554" s="9"/>
      <c r="S554" s="12"/>
      <c r="T554" s="5"/>
      <c r="U554" s="5"/>
      <c r="V554" s="4"/>
      <c r="W554" s="4"/>
      <c r="X554" s="4"/>
      <c r="Y554" s="4"/>
    </row>
    <row r="555">
      <c r="A555" s="5"/>
      <c r="B555" s="9"/>
      <c r="C555" s="5"/>
      <c r="D555" s="9"/>
      <c r="E555" s="9"/>
      <c r="F555" s="9"/>
      <c r="G555" s="9"/>
      <c r="H555" s="9"/>
      <c r="I555" s="9"/>
      <c r="J555" s="5"/>
      <c r="K555" s="4"/>
      <c r="L555" s="10"/>
      <c r="M555" s="10"/>
      <c r="N555" s="10"/>
      <c r="O555" s="10"/>
      <c r="P555" s="10"/>
      <c r="Q555" s="11"/>
      <c r="R555" s="9"/>
      <c r="S555" s="12"/>
      <c r="T555" s="5"/>
      <c r="U555" s="5"/>
      <c r="V555" s="4"/>
      <c r="W555" s="4"/>
      <c r="X555" s="4"/>
      <c r="Y555" s="4"/>
    </row>
    <row r="556">
      <c r="A556" s="5"/>
      <c r="B556" s="9"/>
      <c r="C556" s="5"/>
      <c r="D556" s="9"/>
      <c r="E556" s="9"/>
      <c r="F556" s="9"/>
      <c r="G556" s="9"/>
      <c r="H556" s="9"/>
      <c r="I556" s="9"/>
      <c r="J556" s="5"/>
      <c r="K556" s="4"/>
      <c r="L556" s="10"/>
      <c r="M556" s="10"/>
      <c r="N556" s="10"/>
      <c r="O556" s="10"/>
      <c r="P556" s="10"/>
      <c r="Q556" s="11"/>
      <c r="R556" s="9"/>
      <c r="S556" s="12"/>
      <c r="T556" s="5"/>
      <c r="U556" s="5"/>
      <c r="V556" s="4"/>
      <c r="W556" s="4"/>
      <c r="X556" s="4"/>
      <c r="Y556" s="4"/>
    </row>
    <row r="557">
      <c r="A557" s="5"/>
      <c r="B557" s="9"/>
      <c r="C557" s="5"/>
      <c r="D557" s="9"/>
      <c r="E557" s="9"/>
      <c r="F557" s="9"/>
      <c r="G557" s="9"/>
      <c r="H557" s="9"/>
      <c r="I557" s="9"/>
      <c r="J557" s="5"/>
      <c r="K557" s="4"/>
      <c r="L557" s="10"/>
      <c r="M557" s="10"/>
      <c r="N557" s="10"/>
      <c r="O557" s="10"/>
      <c r="P557" s="10"/>
      <c r="Q557" s="11"/>
      <c r="R557" s="9"/>
      <c r="S557" s="12"/>
      <c r="T557" s="5"/>
      <c r="U557" s="5"/>
      <c r="V557" s="4"/>
      <c r="W557" s="4"/>
      <c r="X557" s="4"/>
      <c r="Y557" s="4"/>
    </row>
    <row r="558">
      <c r="A558" s="5"/>
      <c r="B558" s="9"/>
      <c r="C558" s="5"/>
      <c r="D558" s="9"/>
      <c r="E558" s="9"/>
      <c r="F558" s="9"/>
      <c r="G558" s="9"/>
      <c r="H558" s="9"/>
      <c r="I558" s="9"/>
      <c r="J558" s="5"/>
      <c r="K558" s="4"/>
      <c r="L558" s="10"/>
      <c r="M558" s="10"/>
      <c r="N558" s="10"/>
      <c r="O558" s="10"/>
      <c r="P558" s="10"/>
      <c r="Q558" s="11"/>
      <c r="R558" s="9"/>
      <c r="S558" s="12"/>
      <c r="T558" s="5"/>
      <c r="U558" s="5"/>
      <c r="V558" s="4"/>
      <c r="W558" s="4"/>
      <c r="X558" s="4"/>
      <c r="Y558" s="4"/>
    </row>
    <row r="559">
      <c r="A559" s="5"/>
      <c r="B559" s="9"/>
      <c r="C559" s="5"/>
      <c r="D559" s="9"/>
      <c r="E559" s="9"/>
      <c r="F559" s="9"/>
      <c r="G559" s="9"/>
      <c r="H559" s="9"/>
      <c r="I559" s="9"/>
      <c r="J559" s="5"/>
      <c r="K559" s="4"/>
      <c r="L559" s="10"/>
      <c r="M559" s="10"/>
      <c r="N559" s="10"/>
      <c r="O559" s="10"/>
      <c r="P559" s="10"/>
      <c r="Q559" s="11"/>
      <c r="R559" s="9"/>
      <c r="S559" s="12"/>
      <c r="T559" s="5"/>
      <c r="U559" s="5"/>
      <c r="V559" s="4"/>
      <c r="W559" s="4"/>
      <c r="X559" s="4"/>
      <c r="Y559" s="4"/>
    </row>
    <row r="560">
      <c r="A560" s="5"/>
      <c r="B560" s="9"/>
      <c r="C560" s="5"/>
      <c r="D560" s="9"/>
      <c r="E560" s="9"/>
      <c r="F560" s="9"/>
      <c r="G560" s="9"/>
      <c r="H560" s="9"/>
      <c r="I560" s="9"/>
      <c r="J560" s="5"/>
      <c r="K560" s="4"/>
      <c r="L560" s="10"/>
      <c r="M560" s="10"/>
      <c r="N560" s="10"/>
      <c r="O560" s="10"/>
      <c r="P560" s="10"/>
      <c r="Q560" s="11"/>
      <c r="R560" s="9"/>
      <c r="S560" s="12"/>
      <c r="T560" s="5"/>
      <c r="U560" s="5"/>
      <c r="V560" s="4"/>
      <c r="W560" s="4"/>
      <c r="X560" s="4"/>
      <c r="Y560" s="4"/>
    </row>
    <row r="561">
      <c r="A561" s="5"/>
      <c r="B561" s="9"/>
      <c r="C561" s="5"/>
      <c r="D561" s="9"/>
      <c r="E561" s="9"/>
      <c r="F561" s="9"/>
      <c r="G561" s="9"/>
      <c r="H561" s="9"/>
      <c r="I561" s="9"/>
      <c r="J561" s="5"/>
      <c r="K561" s="4"/>
      <c r="L561" s="10"/>
      <c r="M561" s="10"/>
      <c r="N561" s="10"/>
      <c r="O561" s="10"/>
      <c r="P561" s="10"/>
      <c r="Q561" s="11"/>
      <c r="R561" s="9"/>
      <c r="S561" s="12"/>
      <c r="T561" s="5"/>
      <c r="U561" s="5"/>
      <c r="V561" s="4"/>
      <c r="W561" s="4"/>
      <c r="X561" s="4"/>
      <c r="Y561" s="4"/>
    </row>
    <row r="562">
      <c r="A562" s="5"/>
      <c r="B562" s="9"/>
      <c r="C562" s="5"/>
      <c r="D562" s="9"/>
      <c r="E562" s="9"/>
      <c r="F562" s="9"/>
      <c r="G562" s="9"/>
      <c r="H562" s="9"/>
      <c r="I562" s="9"/>
      <c r="J562" s="5"/>
      <c r="K562" s="4"/>
      <c r="L562" s="10"/>
      <c r="M562" s="10"/>
      <c r="N562" s="10"/>
      <c r="O562" s="10"/>
      <c r="P562" s="10"/>
      <c r="Q562" s="11"/>
      <c r="R562" s="9"/>
      <c r="S562" s="12"/>
      <c r="T562" s="5"/>
      <c r="U562" s="5"/>
      <c r="V562" s="4"/>
      <c r="W562" s="4"/>
      <c r="X562" s="4"/>
      <c r="Y562" s="4"/>
    </row>
    <row r="563">
      <c r="A563" s="5"/>
      <c r="B563" s="9"/>
      <c r="C563" s="5"/>
      <c r="D563" s="9"/>
      <c r="E563" s="9"/>
      <c r="F563" s="9"/>
      <c r="G563" s="9"/>
      <c r="H563" s="9"/>
      <c r="I563" s="9"/>
      <c r="J563" s="5"/>
      <c r="K563" s="4"/>
      <c r="L563" s="10"/>
      <c r="M563" s="10"/>
      <c r="N563" s="10"/>
      <c r="O563" s="10"/>
      <c r="P563" s="10"/>
      <c r="Q563" s="11"/>
      <c r="R563" s="9"/>
      <c r="S563" s="12"/>
      <c r="T563" s="5"/>
      <c r="U563" s="5"/>
      <c r="V563" s="4"/>
      <c r="W563" s="4"/>
      <c r="X563" s="4"/>
      <c r="Y563" s="4"/>
    </row>
    <row r="564">
      <c r="A564" s="5"/>
      <c r="B564" s="9"/>
      <c r="C564" s="5"/>
      <c r="D564" s="9"/>
      <c r="E564" s="9"/>
      <c r="F564" s="9"/>
      <c r="G564" s="9"/>
      <c r="H564" s="9"/>
      <c r="I564" s="9"/>
      <c r="J564" s="5"/>
      <c r="K564" s="4"/>
      <c r="L564" s="10"/>
      <c r="M564" s="10"/>
      <c r="N564" s="10"/>
      <c r="O564" s="10"/>
      <c r="P564" s="10"/>
      <c r="Q564" s="11"/>
      <c r="R564" s="9"/>
      <c r="S564" s="12"/>
      <c r="T564" s="5"/>
      <c r="U564" s="5"/>
      <c r="V564" s="4"/>
      <c r="W564" s="4"/>
      <c r="X564" s="4"/>
      <c r="Y564" s="4"/>
    </row>
    <row r="565">
      <c r="A565" s="5"/>
      <c r="B565" s="9"/>
      <c r="C565" s="5"/>
      <c r="D565" s="9"/>
      <c r="E565" s="9"/>
      <c r="F565" s="9"/>
      <c r="G565" s="9"/>
      <c r="H565" s="9"/>
      <c r="I565" s="9"/>
      <c r="J565" s="5"/>
      <c r="K565" s="4"/>
      <c r="L565" s="10"/>
      <c r="M565" s="10"/>
      <c r="N565" s="10"/>
      <c r="O565" s="10"/>
      <c r="P565" s="10"/>
      <c r="Q565" s="11"/>
      <c r="R565" s="9"/>
      <c r="S565" s="12"/>
      <c r="T565" s="5"/>
      <c r="U565" s="5"/>
      <c r="V565" s="4"/>
      <c r="W565" s="4"/>
      <c r="X565" s="4"/>
      <c r="Y565" s="4"/>
    </row>
    <row r="566">
      <c r="A566" s="5"/>
      <c r="B566" s="9"/>
      <c r="C566" s="5"/>
      <c r="D566" s="9"/>
      <c r="E566" s="9"/>
      <c r="F566" s="9"/>
      <c r="G566" s="9"/>
      <c r="H566" s="9"/>
      <c r="I566" s="9"/>
      <c r="J566" s="5"/>
      <c r="K566" s="4"/>
      <c r="L566" s="10"/>
      <c r="M566" s="10"/>
      <c r="N566" s="10"/>
      <c r="O566" s="10"/>
      <c r="P566" s="10"/>
      <c r="Q566" s="11"/>
      <c r="R566" s="9"/>
      <c r="S566" s="12"/>
      <c r="T566" s="5"/>
      <c r="U566" s="5"/>
      <c r="V566" s="4"/>
      <c r="W566" s="4"/>
      <c r="X566" s="4"/>
      <c r="Y566" s="4"/>
    </row>
    <row r="567">
      <c r="A567" s="5"/>
      <c r="B567" s="9"/>
      <c r="C567" s="5"/>
      <c r="D567" s="9"/>
      <c r="E567" s="9"/>
      <c r="F567" s="9"/>
      <c r="G567" s="9"/>
      <c r="H567" s="9"/>
      <c r="I567" s="9"/>
      <c r="J567" s="5"/>
      <c r="K567" s="4"/>
      <c r="L567" s="10"/>
      <c r="M567" s="10"/>
      <c r="N567" s="10"/>
      <c r="O567" s="10"/>
      <c r="P567" s="10"/>
      <c r="Q567" s="11"/>
      <c r="R567" s="9"/>
      <c r="S567" s="12"/>
      <c r="T567" s="5"/>
      <c r="U567" s="5"/>
      <c r="V567" s="4"/>
      <c r="W567" s="4"/>
      <c r="X567" s="4"/>
      <c r="Y567" s="4"/>
    </row>
    <row r="568">
      <c r="A568" s="5"/>
      <c r="B568" s="9"/>
      <c r="C568" s="5"/>
      <c r="D568" s="9"/>
      <c r="E568" s="9"/>
      <c r="F568" s="9"/>
      <c r="G568" s="9"/>
      <c r="H568" s="9"/>
      <c r="I568" s="9"/>
      <c r="J568" s="5"/>
      <c r="K568" s="4"/>
      <c r="L568" s="10"/>
      <c r="M568" s="10"/>
      <c r="N568" s="10"/>
      <c r="O568" s="10"/>
      <c r="P568" s="10"/>
      <c r="Q568" s="11"/>
      <c r="R568" s="9"/>
      <c r="S568" s="12"/>
      <c r="T568" s="5"/>
      <c r="U568" s="5"/>
      <c r="V568" s="4"/>
      <c r="W568" s="4"/>
      <c r="X568" s="4"/>
      <c r="Y568" s="4"/>
    </row>
    <row r="569">
      <c r="A569" s="5"/>
      <c r="B569" s="9"/>
      <c r="C569" s="5"/>
      <c r="D569" s="9"/>
      <c r="E569" s="9"/>
      <c r="F569" s="9"/>
      <c r="G569" s="9"/>
      <c r="H569" s="9"/>
      <c r="I569" s="9"/>
      <c r="J569" s="5"/>
      <c r="K569" s="4"/>
      <c r="L569" s="10"/>
      <c r="M569" s="10"/>
      <c r="N569" s="10"/>
      <c r="O569" s="10"/>
      <c r="P569" s="10"/>
      <c r="Q569" s="11"/>
      <c r="R569" s="9"/>
      <c r="S569" s="12"/>
      <c r="T569" s="5"/>
      <c r="U569" s="5"/>
      <c r="V569" s="4"/>
      <c r="W569" s="4"/>
      <c r="X569" s="4"/>
      <c r="Y569" s="4"/>
    </row>
    <row r="570">
      <c r="A570" s="5"/>
      <c r="B570" s="9"/>
      <c r="C570" s="5"/>
      <c r="D570" s="9"/>
      <c r="E570" s="9"/>
      <c r="F570" s="9"/>
      <c r="G570" s="9"/>
      <c r="H570" s="9"/>
      <c r="I570" s="9"/>
      <c r="J570" s="5"/>
      <c r="K570" s="4"/>
      <c r="L570" s="10"/>
      <c r="M570" s="10"/>
      <c r="N570" s="10"/>
      <c r="O570" s="10"/>
      <c r="P570" s="10"/>
      <c r="Q570" s="11"/>
      <c r="R570" s="9"/>
      <c r="S570" s="12"/>
      <c r="T570" s="5"/>
      <c r="U570" s="5"/>
      <c r="V570" s="4"/>
      <c r="W570" s="4"/>
      <c r="X570" s="4"/>
      <c r="Y570" s="4"/>
    </row>
    <row r="571">
      <c r="A571" s="5"/>
      <c r="B571" s="9"/>
      <c r="C571" s="5"/>
      <c r="D571" s="9"/>
      <c r="E571" s="9"/>
      <c r="F571" s="9"/>
      <c r="G571" s="9"/>
      <c r="H571" s="9"/>
      <c r="I571" s="9"/>
      <c r="J571" s="5"/>
      <c r="K571" s="4"/>
      <c r="L571" s="10"/>
      <c r="M571" s="10"/>
      <c r="N571" s="10"/>
      <c r="O571" s="10"/>
      <c r="P571" s="10"/>
      <c r="Q571" s="11"/>
      <c r="R571" s="9"/>
      <c r="S571" s="12"/>
      <c r="T571" s="5"/>
      <c r="U571" s="5"/>
      <c r="V571" s="4"/>
      <c r="W571" s="4"/>
      <c r="X571" s="4"/>
      <c r="Y571" s="4"/>
    </row>
    <row r="572">
      <c r="A572" s="5"/>
      <c r="B572" s="9"/>
      <c r="C572" s="5"/>
      <c r="D572" s="9"/>
      <c r="E572" s="9"/>
      <c r="F572" s="9"/>
      <c r="G572" s="9"/>
      <c r="H572" s="9"/>
      <c r="I572" s="9"/>
      <c r="J572" s="5"/>
      <c r="K572" s="4"/>
      <c r="L572" s="10"/>
      <c r="M572" s="10"/>
      <c r="N572" s="10"/>
      <c r="O572" s="10"/>
      <c r="P572" s="10"/>
      <c r="Q572" s="11"/>
      <c r="R572" s="9"/>
      <c r="S572" s="12"/>
      <c r="T572" s="5"/>
      <c r="U572" s="5"/>
      <c r="V572" s="4"/>
      <c r="W572" s="4"/>
      <c r="X572" s="4"/>
      <c r="Y572" s="4"/>
    </row>
    <row r="573">
      <c r="A573" s="5"/>
      <c r="B573" s="9"/>
      <c r="C573" s="5"/>
      <c r="D573" s="9"/>
      <c r="E573" s="9"/>
      <c r="F573" s="9"/>
      <c r="G573" s="9"/>
      <c r="H573" s="9"/>
      <c r="I573" s="9"/>
      <c r="J573" s="5"/>
      <c r="K573" s="4"/>
      <c r="L573" s="10"/>
      <c r="M573" s="10"/>
      <c r="N573" s="10"/>
      <c r="O573" s="10"/>
      <c r="P573" s="10"/>
      <c r="Q573" s="11"/>
      <c r="R573" s="9"/>
      <c r="S573" s="12"/>
      <c r="T573" s="5"/>
      <c r="U573" s="5"/>
      <c r="V573" s="4"/>
      <c r="W573" s="4"/>
      <c r="X573" s="4"/>
      <c r="Y573" s="4"/>
    </row>
    <row r="574">
      <c r="A574" s="5"/>
      <c r="B574" s="9"/>
      <c r="C574" s="5"/>
      <c r="D574" s="9"/>
      <c r="E574" s="9"/>
      <c r="F574" s="9"/>
      <c r="G574" s="9"/>
      <c r="H574" s="9"/>
      <c r="I574" s="9"/>
      <c r="J574" s="5"/>
      <c r="K574" s="4"/>
      <c r="L574" s="10"/>
      <c r="M574" s="10"/>
      <c r="N574" s="10"/>
      <c r="O574" s="10"/>
      <c r="P574" s="10"/>
      <c r="Q574" s="11"/>
      <c r="R574" s="9"/>
      <c r="S574" s="12"/>
      <c r="T574" s="5"/>
      <c r="U574" s="5"/>
      <c r="V574" s="4"/>
      <c r="W574" s="4"/>
      <c r="X574" s="4"/>
      <c r="Y574" s="4"/>
    </row>
    <row r="575">
      <c r="A575" s="5"/>
      <c r="B575" s="9"/>
      <c r="C575" s="5"/>
      <c r="D575" s="9"/>
      <c r="E575" s="9"/>
      <c r="F575" s="9"/>
      <c r="G575" s="9"/>
      <c r="H575" s="9"/>
      <c r="I575" s="9"/>
      <c r="J575" s="5"/>
      <c r="K575" s="4"/>
      <c r="L575" s="10"/>
      <c r="M575" s="10"/>
      <c r="N575" s="10"/>
      <c r="O575" s="10"/>
      <c r="P575" s="10"/>
      <c r="Q575" s="11"/>
      <c r="R575" s="9"/>
      <c r="S575" s="12"/>
      <c r="T575" s="5"/>
      <c r="U575" s="5"/>
      <c r="V575" s="4"/>
      <c r="W575" s="4"/>
      <c r="X575" s="4"/>
      <c r="Y575" s="4"/>
    </row>
    <row r="576">
      <c r="A576" s="5"/>
      <c r="B576" s="9"/>
      <c r="C576" s="5"/>
      <c r="D576" s="9"/>
      <c r="E576" s="9"/>
      <c r="F576" s="9"/>
      <c r="G576" s="9"/>
      <c r="H576" s="9"/>
      <c r="I576" s="9"/>
      <c r="J576" s="5"/>
      <c r="K576" s="4"/>
      <c r="L576" s="10"/>
      <c r="M576" s="10"/>
      <c r="N576" s="10"/>
      <c r="O576" s="10"/>
      <c r="P576" s="10"/>
      <c r="Q576" s="11"/>
      <c r="R576" s="9"/>
      <c r="S576" s="12"/>
      <c r="T576" s="5"/>
      <c r="U576" s="5"/>
      <c r="V576" s="4"/>
      <c r="W576" s="4"/>
      <c r="X576" s="4"/>
      <c r="Y576" s="4"/>
    </row>
    <row r="577">
      <c r="A577" s="5"/>
      <c r="B577" s="9"/>
      <c r="C577" s="5"/>
      <c r="D577" s="9"/>
      <c r="E577" s="9"/>
      <c r="F577" s="9"/>
      <c r="G577" s="9"/>
      <c r="H577" s="9"/>
      <c r="I577" s="9"/>
      <c r="J577" s="5"/>
      <c r="K577" s="4"/>
      <c r="L577" s="10"/>
      <c r="M577" s="10"/>
      <c r="N577" s="10"/>
      <c r="O577" s="10"/>
      <c r="P577" s="10"/>
      <c r="Q577" s="11"/>
      <c r="R577" s="9"/>
      <c r="S577" s="12"/>
      <c r="T577" s="5"/>
      <c r="U577" s="5"/>
      <c r="V577" s="4"/>
      <c r="W577" s="4"/>
      <c r="X577" s="4"/>
      <c r="Y577" s="4"/>
    </row>
    <row r="578">
      <c r="A578" s="5"/>
      <c r="B578" s="9"/>
      <c r="C578" s="5"/>
      <c r="D578" s="9"/>
      <c r="E578" s="9"/>
      <c r="F578" s="9"/>
      <c r="G578" s="9"/>
      <c r="H578" s="9"/>
      <c r="I578" s="9"/>
      <c r="J578" s="5"/>
      <c r="K578" s="4"/>
      <c r="L578" s="10"/>
      <c r="M578" s="10"/>
      <c r="N578" s="10"/>
      <c r="O578" s="10"/>
      <c r="P578" s="10"/>
      <c r="Q578" s="11"/>
      <c r="R578" s="9"/>
      <c r="S578" s="12"/>
      <c r="T578" s="5"/>
      <c r="U578" s="5"/>
      <c r="V578" s="4"/>
      <c r="W578" s="4"/>
      <c r="X578" s="4"/>
      <c r="Y578" s="4"/>
    </row>
    <row r="579">
      <c r="A579" s="5"/>
      <c r="B579" s="9"/>
      <c r="C579" s="5"/>
      <c r="D579" s="9"/>
      <c r="E579" s="9"/>
      <c r="F579" s="9"/>
      <c r="G579" s="9"/>
      <c r="H579" s="9"/>
      <c r="I579" s="9"/>
      <c r="J579" s="5"/>
      <c r="K579" s="4"/>
      <c r="L579" s="10"/>
      <c r="M579" s="10"/>
      <c r="N579" s="10"/>
      <c r="O579" s="10"/>
      <c r="P579" s="10"/>
      <c r="Q579" s="11"/>
      <c r="R579" s="9"/>
      <c r="S579" s="12"/>
      <c r="T579" s="5"/>
      <c r="U579" s="5"/>
      <c r="V579" s="4"/>
      <c r="W579" s="4"/>
      <c r="X579" s="4"/>
      <c r="Y579" s="4"/>
    </row>
    <row r="580">
      <c r="A580" s="5"/>
      <c r="B580" s="9"/>
      <c r="C580" s="5"/>
      <c r="D580" s="9"/>
      <c r="E580" s="9"/>
      <c r="F580" s="9"/>
      <c r="G580" s="9"/>
      <c r="H580" s="9"/>
      <c r="I580" s="9"/>
      <c r="J580" s="5"/>
      <c r="K580" s="4"/>
      <c r="L580" s="10"/>
      <c r="M580" s="10"/>
      <c r="N580" s="10"/>
      <c r="O580" s="10"/>
      <c r="P580" s="10"/>
      <c r="Q580" s="11"/>
      <c r="R580" s="9"/>
      <c r="S580" s="12"/>
      <c r="T580" s="5"/>
      <c r="U580" s="5"/>
      <c r="V580" s="4"/>
      <c r="W580" s="4"/>
      <c r="X580" s="4"/>
      <c r="Y580" s="4"/>
    </row>
    <row r="581">
      <c r="A581" s="5"/>
      <c r="B581" s="9"/>
      <c r="C581" s="5"/>
      <c r="D581" s="9"/>
      <c r="E581" s="9"/>
      <c r="F581" s="9"/>
      <c r="G581" s="9"/>
      <c r="H581" s="9"/>
      <c r="I581" s="9"/>
      <c r="J581" s="5"/>
      <c r="K581" s="4"/>
      <c r="L581" s="10"/>
      <c r="M581" s="10"/>
      <c r="N581" s="10"/>
      <c r="O581" s="10"/>
      <c r="P581" s="10"/>
      <c r="Q581" s="11"/>
      <c r="R581" s="9"/>
      <c r="S581" s="12"/>
      <c r="T581" s="5"/>
      <c r="U581" s="5"/>
      <c r="V581" s="4"/>
      <c r="W581" s="4"/>
      <c r="X581" s="4"/>
      <c r="Y581" s="4"/>
    </row>
    <row r="582">
      <c r="A582" s="5"/>
      <c r="B582" s="9"/>
      <c r="C582" s="5"/>
      <c r="D582" s="9"/>
      <c r="E582" s="9"/>
      <c r="F582" s="9"/>
      <c r="G582" s="9"/>
      <c r="H582" s="9"/>
      <c r="I582" s="9"/>
      <c r="J582" s="5"/>
      <c r="K582" s="4"/>
      <c r="L582" s="10"/>
      <c r="M582" s="10"/>
      <c r="N582" s="10"/>
      <c r="O582" s="10"/>
      <c r="P582" s="10"/>
      <c r="Q582" s="11"/>
      <c r="R582" s="9"/>
      <c r="S582" s="12"/>
      <c r="T582" s="5"/>
      <c r="U582" s="5"/>
      <c r="V582" s="4"/>
      <c r="W582" s="4"/>
      <c r="X582" s="4"/>
      <c r="Y582" s="4"/>
    </row>
    <row r="583">
      <c r="A583" s="5"/>
      <c r="B583" s="9"/>
      <c r="C583" s="5"/>
      <c r="D583" s="9"/>
      <c r="E583" s="9"/>
      <c r="F583" s="9"/>
      <c r="G583" s="9"/>
      <c r="H583" s="9"/>
      <c r="I583" s="9"/>
      <c r="J583" s="5"/>
      <c r="K583" s="4"/>
      <c r="L583" s="10"/>
      <c r="M583" s="10"/>
      <c r="N583" s="10"/>
      <c r="O583" s="10"/>
      <c r="P583" s="10"/>
      <c r="Q583" s="11"/>
      <c r="R583" s="9"/>
      <c r="S583" s="12"/>
      <c r="T583" s="5"/>
      <c r="U583" s="5"/>
      <c r="V583" s="4"/>
      <c r="W583" s="4"/>
      <c r="X583" s="4"/>
      <c r="Y583" s="4"/>
    </row>
    <row r="584">
      <c r="A584" s="5"/>
      <c r="B584" s="9"/>
      <c r="C584" s="5"/>
      <c r="D584" s="9"/>
      <c r="E584" s="9"/>
      <c r="F584" s="9"/>
      <c r="G584" s="9"/>
      <c r="H584" s="9"/>
      <c r="I584" s="9"/>
      <c r="J584" s="5"/>
      <c r="K584" s="4"/>
      <c r="L584" s="10"/>
      <c r="M584" s="10"/>
      <c r="N584" s="10"/>
      <c r="O584" s="10"/>
      <c r="P584" s="10"/>
      <c r="Q584" s="11"/>
      <c r="R584" s="9"/>
      <c r="S584" s="12"/>
      <c r="T584" s="5"/>
      <c r="U584" s="5"/>
      <c r="V584" s="4"/>
      <c r="W584" s="4"/>
      <c r="X584" s="4"/>
      <c r="Y584" s="4"/>
    </row>
    <row r="585">
      <c r="A585" s="5"/>
      <c r="B585" s="9"/>
      <c r="C585" s="5"/>
      <c r="D585" s="9"/>
      <c r="E585" s="9"/>
      <c r="F585" s="9"/>
      <c r="G585" s="9"/>
      <c r="H585" s="9"/>
      <c r="I585" s="9"/>
      <c r="J585" s="5"/>
      <c r="K585" s="4"/>
      <c r="L585" s="10"/>
      <c r="M585" s="10"/>
      <c r="N585" s="10"/>
      <c r="O585" s="10"/>
      <c r="P585" s="10"/>
      <c r="Q585" s="11"/>
      <c r="R585" s="9"/>
      <c r="S585" s="12"/>
      <c r="T585" s="5"/>
      <c r="U585" s="5"/>
      <c r="V585" s="4"/>
      <c r="W585" s="4"/>
      <c r="X585" s="4"/>
      <c r="Y585" s="4"/>
    </row>
    <row r="586">
      <c r="A586" s="5"/>
      <c r="B586" s="9"/>
      <c r="C586" s="5"/>
      <c r="D586" s="9"/>
      <c r="E586" s="9"/>
      <c r="F586" s="9"/>
      <c r="G586" s="9"/>
      <c r="H586" s="9"/>
      <c r="I586" s="9"/>
      <c r="J586" s="5"/>
      <c r="K586" s="4"/>
      <c r="L586" s="10"/>
      <c r="M586" s="10"/>
      <c r="N586" s="10"/>
      <c r="O586" s="10"/>
      <c r="P586" s="10"/>
      <c r="Q586" s="11"/>
      <c r="R586" s="9"/>
      <c r="S586" s="12"/>
      <c r="T586" s="5"/>
      <c r="U586" s="5"/>
      <c r="V586" s="4"/>
      <c r="W586" s="4"/>
      <c r="X586" s="4"/>
      <c r="Y586" s="4"/>
    </row>
    <row r="587">
      <c r="A587" s="5"/>
      <c r="B587" s="9"/>
      <c r="C587" s="5"/>
      <c r="D587" s="9"/>
      <c r="E587" s="9"/>
      <c r="F587" s="9"/>
      <c r="G587" s="9"/>
      <c r="H587" s="9"/>
      <c r="I587" s="9"/>
      <c r="J587" s="5"/>
      <c r="K587" s="4"/>
      <c r="L587" s="10"/>
      <c r="M587" s="10"/>
      <c r="N587" s="10"/>
      <c r="O587" s="10"/>
      <c r="P587" s="10"/>
      <c r="Q587" s="11"/>
      <c r="R587" s="9"/>
      <c r="S587" s="12"/>
      <c r="T587" s="5"/>
      <c r="U587" s="5"/>
      <c r="V587" s="4"/>
      <c r="W587" s="4"/>
      <c r="X587" s="4"/>
      <c r="Y587" s="4"/>
    </row>
    <row r="588">
      <c r="A588" s="5"/>
      <c r="B588" s="9"/>
      <c r="C588" s="5"/>
      <c r="D588" s="9"/>
      <c r="E588" s="9"/>
      <c r="F588" s="9"/>
      <c r="G588" s="9"/>
      <c r="H588" s="9"/>
      <c r="I588" s="9"/>
      <c r="J588" s="5"/>
      <c r="K588" s="4"/>
      <c r="L588" s="10"/>
      <c r="M588" s="10"/>
      <c r="N588" s="10"/>
      <c r="O588" s="10"/>
      <c r="P588" s="10"/>
      <c r="Q588" s="11"/>
      <c r="R588" s="9"/>
      <c r="S588" s="12"/>
      <c r="T588" s="5"/>
      <c r="U588" s="5"/>
      <c r="V588" s="4"/>
      <c r="W588" s="4"/>
      <c r="X588" s="4"/>
      <c r="Y588" s="4"/>
    </row>
    <row r="589">
      <c r="A589" s="5"/>
      <c r="B589" s="9"/>
      <c r="C589" s="5"/>
      <c r="D589" s="9"/>
      <c r="E589" s="9"/>
      <c r="F589" s="9"/>
      <c r="G589" s="9"/>
      <c r="H589" s="9"/>
      <c r="I589" s="9"/>
      <c r="J589" s="5"/>
      <c r="K589" s="4"/>
      <c r="L589" s="10"/>
      <c r="M589" s="10"/>
      <c r="N589" s="10"/>
      <c r="O589" s="10"/>
      <c r="P589" s="10"/>
      <c r="Q589" s="11"/>
      <c r="R589" s="9"/>
      <c r="S589" s="12"/>
      <c r="T589" s="5"/>
      <c r="U589" s="5"/>
      <c r="V589" s="4"/>
      <c r="W589" s="4"/>
      <c r="X589" s="4"/>
      <c r="Y589" s="4"/>
    </row>
    <row r="590">
      <c r="A590" s="5"/>
      <c r="B590" s="9"/>
      <c r="C590" s="5"/>
      <c r="D590" s="9"/>
      <c r="E590" s="9"/>
      <c r="F590" s="9"/>
      <c r="G590" s="9"/>
      <c r="H590" s="9"/>
      <c r="I590" s="9"/>
      <c r="J590" s="5"/>
      <c r="K590" s="4"/>
      <c r="L590" s="10"/>
      <c r="M590" s="10"/>
      <c r="N590" s="10"/>
      <c r="O590" s="10"/>
      <c r="P590" s="10"/>
      <c r="Q590" s="11"/>
      <c r="R590" s="9"/>
      <c r="S590" s="12"/>
      <c r="T590" s="5"/>
      <c r="U590" s="5"/>
      <c r="V590" s="4"/>
      <c r="W590" s="4"/>
      <c r="X590" s="4"/>
      <c r="Y590" s="4"/>
    </row>
    <row r="591">
      <c r="A591" s="5"/>
      <c r="B591" s="9"/>
      <c r="C591" s="5"/>
      <c r="D591" s="9"/>
      <c r="E591" s="9"/>
      <c r="F591" s="9"/>
      <c r="G591" s="9"/>
      <c r="H591" s="9"/>
      <c r="I591" s="9"/>
      <c r="J591" s="5"/>
      <c r="K591" s="4"/>
      <c r="L591" s="10"/>
      <c r="M591" s="10"/>
      <c r="N591" s="10"/>
      <c r="O591" s="10"/>
      <c r="P591" s="10"/>
      <c r="Q591" s="11"/>
      <c r="R591" s="9"/>
      <c r="S591" s="12"/>
      <c r="T591" s="5"/>
      <c r="U591" s="5"/>
      <c r="V591" s="4"/>
      <c r="W591" s="4"/>
      <c r="X591" s="4"/>
      <c r="Y591" s="4"/>
    </row>
    <row r="592">
      <c r="A592" s="5"/>
      <c r="B592" s="9"/>
      <c r="C592" s="5"/>
      <c r="D592" s="9"/>
      <c r="E592" s="9"/>
      <c r="F592" s="9"/>
      <c r="G592" s="9"/>
      <c r="H592" s="9"/>
      <c r="I592" s="9"/>
      <c r="J592" s="5"/>
      <c r="K592" s="4"/>
      <c r="L592" s="10"/>
      <c r="M592" s="10"/>
      <c r="N592" s="10"/>
      <c r="O592" s="10"/>
      <c r="P592" s="10"/>
      <c r="Q592" s="11"/>
      <c r="R592" s="9"/>
      <c r="S592" s="12"/>
      <c r="T592" s="5"/>
      <c r="U592" s="5"/>
      <c r="V592" s="4"/>
      <c r="W592" s="4"/>
      <c r="X592" s="4"/>
      <c r="Y592" s="4"/>
    </row>
    <row r="593">
      <c r="A593" s="5"/>
      <c r="B593" s="9"/>
      <c r="C593" s="5"/>
      <c r="D593" s="9"/>
      <c r="E593" s="9"/>
      <c r="F593" s="9"/>
      <c r="G593" s="9"/>
      <c r="H593" s="9"/>
      <c r="I593" s="9"/>
      <c r="J593" s="5"/>
      <c r="K593" s="4"/>
      <c r="L593" s="10"/>
      <c r="M593" s="10"/>
      <c r="N593" s="10"/>
      <c r="O593" s="10"/>
      <c r="P593" s="10"/>
      <c r="Q593" s="11"/>
      <c r="R593" s="9"/>
      <c r="S593" s="12"/>
      <c r="T593" s="5"/>
      <c r="U593" s="5"/>
      <c r="V593" s="4"/>
      <c r="W593" s="4"/>
      <c r="X593" s="4"/>
      <c r="Y593" s="4"/>
    </row>
    <row r="594">
      <c r="A594" s="5"/>
      <c r="B594" s="9"/>
      <c r="C594" s="5"/>
      <c r="D594" s="9"/>
      <c r="E594" s="9"/>
      <c r="F594" s="9"/>
      <c r="G594" s="9"/>
      <c r="H594" s="9"/>
      <c r="I594" s="9"/>
      <c r="J594" s="5"/>
      <c r="K594" s="4"/>
      <c r="L594" s="10"/>
      <c r="M594" s="10"/>
      <c r="N594" s="10"/>
      <c r="O594" s="10"/>
      <c r="P594" s="10"/>
      <c r="Q594" s="11"/>
      <c r="R594" s="9"/>
      <c r="S594" s="12"/>
      <c r="T594" s="5"/>
      <c r="U594" s="5"/>
      <c r="V594" s="4"/>
      <c r="W594" s="4"/>
      <c r="X594" s="4"/>
      <c r="Y594" s="4"/>
    </row>
    <row r="595">
      <c r="A595" s="5"/>
      <c r="B595" s="9"/>
      <c r="C595" s="5"/>
      <c r="D595" s="9"/>
      <c r="E595" s="9"/>
      <c r="F595" s="9"/>
      <c r="G595" s="9"/>
      <c r="H595" s="9"/>
      <c r="I595" s="9"/>
      <c r="J595" s="5"/>
      <c r="K595" s="4"/>
      <c r="L595" s="10"/>
      <c r="M595" s="10"/>
      <c r="N595" s="10"/>
      <c r="O595" s="10"/>
      <c r="P595" s="10"/>
      <c r="Q595" s="11"/>
      <c r="R595" s="9"/>
      <c r="S595" s="12"/>
      <c r="T595" s="5"/>
      <c r="U595" s="5"/>
      <c r="V595" s="4"/>
      <c r="W595" s="4"/>
      <c r="X595" s="4"/>
      <c r="Y595" s="4"/>
    </row>
    <row r="596">
      <c r="A596" s="5"/>
      <c r="B596" s="9"/>
      <c r="C596" s="5"/>
      <c r="D596" s="9"/>
      <c r="E596" s="9"/>
      <c r="F596" s="9"/>
      <c r="G596" s="9"/>
      <c r="H596" s="9"/>
      <c r="I596" s="9"/>
      <c r="J596" s="5"/>
      <c r="K596" s="4"/>
      <c r="L596" s="10"/>
      <c r="M596" s="10"/>
      <c r="N596" s="10"/>
      <c r="O596" s="10"/>
      <c r="P596" s="10"/>
      <c r="Q596" s="11"/>
      <c r="R596" s="9"/>
      <c r="S596" s="12"/>
      <c r="T596" s="5"/>
      <c r="U596" s="5"/>
      <c r="V596" s="4"/>
      <c r="W596" s="4"/>
      <c r="X596" s="4"/>
      <c r="Y596" s="4"/>
    </row>
    <row r="597">
      <c r="A597" s="5"/>
      <c r="B597" s="9"/>
      <c r="C597" s="5"/>
      <c r="D597" s="9"/>
      <c r="E597" s="9"/>
      <c r="F597" s="9"/>
      <c r="G597" s="9"/>
      <c r="H597" s="9"/>
      <c r="I597" s="9"/>
      <c r="J597" s="5"/>
      <c r="K597" s="4"/>
      <c r="L597" s="10"/>
      <c r="M597" s="10"/>
      <c r="N597" s="10"/>
      <c r="O597" s="10"/>
      <c r="P597" s="10"/>
      <c r="Q597" s="11"/>
      <c r="R597" s="9"/>
      <c r="S597" s="12"/>
      <c r="T597" s="5"/>
      <c r="U597" s="5"/>
      <c r="V597" s="4"/>
      <c r="W597" s="4"/>
      <c r="X597" s="4"/>
      <c r="Y597" s="4"/>
    </row>
    <row r="598">
      <c r="A598" s="5"/>
      <c r="B598" s="9"/>
      <c r="C598" s="5"/>
      <c r="D598" s="9"/>
      <c r="E598" s="9"/>
      <c r="F598" s="9"/>
      <c r="G598" s="9"/>
      <c r="H598" s="9"/>
      <c r="I598" s="9"/>
      <c r="J598" s="5"/>
      <c r="K598" s="4"/>
      <c r="L598" s="10"/>
      <c r="M598" s="10"/>
      <c r="N598" s="10"/>
      <c r="O598" s="10"/>
      <c r="P598" s="10"/>
      <c r="Q598" s="11"/>
      <c r="R598" s="9"/>
      <c r="S598" s="12"/>
      <c r="T598" s="5"/>
      <c r="U598" s="5"/>
      <c r="V598" s="4"/>
      <c r="W598" s="4"/>
      <c r="X598" s="4"/>
      <c r="Y598" s="4"/>
    </row>
    <row r="599">
      <c r="A599" s="5"/>
      <c r="B599" s="9"/>
      <c r="C599" s="5"/>
      <c r="D599" s="9"/>
      <c r="E599" s="9"/>
      <c r="F599" s="9"/>
      <c r="G599" s="9"/>
      <c r="H599" s="9"/>
      <c r="I599" s="9"/>
      <c r="J599" s="5"/>
      <c r="K599" s="4"/>
      <c r="L599" s="10"/>
      <c r="M599" s="10"/>
      <c r="N599" s="10"/>
      <c r="O599" s="10"/>
      <c r="P599" s="10"/>
      <c r="Q599" s="11"/>
      <c r="R599" s="9"/>
      <c r="S599" s="12"/>
      <c r="T599" s="5"/>
      <c r="U599" s="5"/>
      <c r="V599" s="4"/>
      <c r="W599" s="4"/>
      <c r="X599" s="4"/>
      <c r="Y599" s="4"/>
    </row>
    <row r="600">
      <c r="A600" s="5"/>
      <c r="B600" s="9"/>
      <c r="C600" s="5"/>
      <c r="D600" s="9"/>
      <c r="E600" s="9"/>
      <c r="F600" s="9"/>
      <c r="G600" s="9"/>
      <c r="H600" s="9"/>
      <c r="I600" s="9"/>
      <c r="J600" s="5"/>
      <c r="K600" s="4"/>
      <c r="L600" s="10"/>
      <c r="M600" s="10"/>
      <c r="N600" s="10"/>
      <c r="O600" s="10"/>
      <c r="P600" s="10"/>
      <c r="Q600" s="11"/>
      <c r="R600" s="9"/>
      <c r="S600" s="12"/>
      <c r="T600" s="5"/>
      <c r="U600" s="5"/>
      <c r="V600" s="4"/>
      <c r="W600" s="4"/>
      <c r="X600" s="4"/>
      <c r="Y600" s="4"/>
    </row>
    <row r="601">
      <c r="A601" s="5"/>
      <c r="B601" s="9"/>
      <c r="C601" s="5"/>
      <c r="D601" s="9"/>
      <c r="E601" s="9"/>
      <c r="F601" s="9"/>
      <c r="G601" s="9"/>
      <c r="H601" s="9"/>
      <c r="I601" s="9"/>
      <c r="J601" s="5"/>
      <c r="K601" s="4"/>
      <c r="L601" s="10"/>
      <c r="M601" s="10"/>
      <c r="N601" s="10"/>
      <c r="O601" s="10"/>
      <c r="P601" s="10"/>
      <c r="Q601" s="11"/>
      <c r="R601" s="9"/>
      <c r="S601" s="12"/>
      <c r="T601" s="5"/>
      <c r="U601" s="5"/>
      <c r="V601" s="4"/>
      <c r="W601" s="4"/>
      <c r="X601" s="4"/>
      <c r="Y601" s="4"/>
    </row>
    <row r="602">
      <c r="A602" s="5"/>
      <c r="B602" s="9"/>
      <c r="C602" s="5"/>
      <c r="D602" s="9"/>
      <c r="E602" s="9"/>
      <c r="F602" s="9"/>
      <c r="G602" s="9"/>
      <c r="H602" s="9"/>
      <c r="I602" s="9"/>
      <c r="J602" s="5"/>
      <c r="K602" s="4"/>
      <c r="L602" s="10"/>
      <c r="M602" s="10"/>
      <c r="N602" s="10"/>
      <c r="O602" s="10"/>
      <c r="P602" s="10"/>
      <c r="Q602" s="11"/>
      <c r="R602" s="9"/>
      <c r="S602" s="12"/>
      <c r="T602" s="5"/>
      <c r="U602" s="5"/>
      <c r="V602" s="4"/>
      <c r="W602" s="4"/>
      <c r="X602" s="4"/>
      <c r="Y602" s="4"/>
    </row>
    <row r="603">
      <c r="A603" s="5"/>
      <c r="B603" s="9"/>
      <c r="C603" s="5"/>
      <c r="D603" s="9"/>
      <c r="E603" s="9"/>
      <c r="F603" s="9"/>
      <c r="G603" s="9"/>
      <c r="H603" s="9"/>
      <c r="I603" s="9"/>
      <c r="J603" s="5"/>
      <c r="K603" s="4"/>
      <c r="L603" s="10"/>
      <c r="M603" s="10"/>
      <c r="N603" s="10"/>
      <c r="O603" s="10"/>
      <c r="P603" s="10"/>
      <c r="Q603" s="11"/>
      <c r="R603" s="9"/>
      <c r="S603" s="12"/>
      <c r="T603" s="5"/>
      <c r="U603" s="5"/>
      <c r="V603" s="4"/>
      <c r="W603" s="4"/>
      <c r="X603" s="4"/>
      <c r="Y603" s="4"/>
    </row>
    <row r="604">
      <c r="A604" s="5"/>
      <c r="B604" s="9"/>
      <c r="C604" s="5"/>
      <c r="D604" s="9"/>
      <c r="E604" s="9"/>
      <c r="F604" s="9"/>
      <c r="G604" s="9"/>
      <c r="H604" s="9"/>
      <c r="I604" s="9"/>
      <c r="J604" s="5"/>
      <c r="K604" s="4"/>
      <c r="L604" s="10"/>
      <c r="M604" s="10"/>
      <c r="N604" s="10"/>
      <c r="O604" s="10"/>
      <c r="P604" s="10"/>
      <c r="Q604" s="11"/>
      <c r="R604" s="9"/>
      <c r="S604" s="12"/>
      <c r="T604" s="5"/>
      <c r="U604" s="5"/>
      <c r="V604" s="4"/>
      <c r="W604" s="4"/>
      <c r="X604" s="4"/>
      <c r="Y604" s="4"/>
    </row>
    <row r="605">
      <c r="A605" s="5"/>
      <c r="B605" s="9"/>
      <c r="C605" s="5"/>
      <c r="D605" s="9"/>
      <c r="E605" s="9"/>
      <c r="F605" s="9"/>
      <c r="G605" s="9"/>
      <c r="H605" s="9"/>
      <c r="I605" s="9"/>
      <c r="J605" s="5"/>
      <c r="K605" s="4"/>
      <c r="L605" s="10"/>
      <c r="M605" s="10"/>
      <c r="N605" s="10"/>
      <c r="O605" s="10"/>
      <c r="P605" s="10"/>
      <c r="Q605" s="11"/>
      <c r="R605" s="9"/>
      <c r="S605" s="12"/>
      <c r="T605" s="5"/>
      <c r="U605" s="5"/>
      <c r="V605" s="4"/>
      <c r="W605" s="4"/>
      <c r="X605" s="4"/>
      <c r="Y605" s="4"/>
    </row>
    <row r="606">
      <c r="A606" s="5"/>
      <c r="B606" s="9"/>
      <c r="C606" s="5"/>
      <c r="D606" s="9"/>
      <c r="E606" s="9"/>
      <c r="F606" s="9"/>
      <c r="G606" s="9"/>
      <c r="H606" s="9"/>
      <c r="I606" s="9"/>
      <c r="J606" s="5"/>
      <c r="K606" s="4"/>
      <c r="L606" s="10"/>
      <c r="M606" s="10"/>
      <c r="N606" s="10"/>
      <c r="O606" s="10"/>
      <c r="P606" s="10"/>
      <c r="Q606" s="11"/>
      <c r="R606" s="9"/>
      <c r="S606" s="12"/>
      <c r="T606" s="5"/>
      <c r="U606" s="5"/>
      <c r="V606" s="4"/>
      <c r="W606" s="4"/>
      <c r="X606" s="4"/>
      <c r="Y606" s="4"/>
    </row>
    <row r="607">
      <c r="A607" s="5"/>
      <c r="B607" s="9"/>
      <c r="C607" s="5"/>
      <c r="D607" s="9"/>
      <c r="E607" s="9"/>
      <c r="F607" s="9"/>
      <c r="G607" s="9"/>
      <c r="H607" s="9"/>
      <c r="I607" s="9"/>
      <c r="J607" s="5"/>
      <c r="K607" s="4"/>
      <c r="L607" s="10"/>
      <c r="M607" s="10"/>
      <c r="N607" s="10"/>
      <c r="O607" s="10"/>
      <c r="P607" s="10"/>
      <c r="Q607" s="11"/>
      <c r="R607" s="9"/>
      <c r="S607" s="12"/>
      <c r="T607" s="5"/>
      <c r="U607" s="5"/>
      <c r="V607" s="4"/>
      <c r="W607" s="4"/>
      <c r="X607" s="4"/>
      <c r="Y607" s="4"/>
    </row>
    <row r="608">
      <c r="A608" s="5"/>
      <c r="B608" s="9"/>
      <c r="C608" s="5"/>
      <c r="D608" s="9"/>
      <c r="E608" s="9"/>
      <c r="F608" s="9"/>
      <c r="G608" s="9"/>
      <c r="H608" s="9"/>
      <c r="I608" s="9"/>
      <c r="J608" s="5"/>
      <c r="K608" s="4"/>
      <c r="L608" s="10"/>
      <c r="M608" s="10"/>
      <c r="N608" s="10"/>
      <c r="O608" s="10"/>
      <c r="P608" s="10"/>
      <c r="Q608" s="11"/>
      <c r="R608" s="9"/>
      <c r="S608" s="12"/>
      <c r="T608" s="5"/>
      <c r="U608" s="5"/>
      <c r="V608" s="4"/>
      <c r="W608" s="4"/>
      <c r="X608" s="4"/>
      <c r="Y608" s="4"/>
    </row>
    <row r="609">
      <c r="A609" s="5"/>
      <c r="B609" s="9"/>
      <c r="C609" s="5"/>
      <c r="D609" s="9"/>
      <c r="E609" s="9"/>
      <c r="F609" s="9"/>
      <c r="G609" s="9"/>
      <c r="H609" s="9"/>
      <c r="I609" s="9"/>
      <c r="J609" s="5"/>
      <c r="K609" s="4"/>
      <c r="L609" s="10"/>
      <c r="M609" s="10"/>
      <c r="N609" s="10"/>
      <c r="O609" s="10"/>
      <c r="P609" s="10"/>
      <c r="Q609" s="11"/>
      <c r="R609" s="9"/>
      <c r="S609" s="12"/>
      <c r="T609" s="5"/>
      <c r="U609" s="5"/>
      <c r="V609" s="4"/>
      <c r="W609" s="4"/>
      <c r="X609" s="4"/>
      <c r="Y609" s="4"/>
    </row>
    <row r="610">
      <c r="A610" s="5"/>
      <c r="B610" s="9"/>
      <c r="C610" s="5"/>
      <c r="D610" s="9"/>
      <c r="E610" s="9"/>
      <c r="F610" s="9"/>
      <c r="G610" s="9"/>
      <c r="H610" s="9"/>
      <c r="I610" s="9"/>
      <c r="J610" s="5"/>
      <c r="K610" s="4"/>
      <c r="L610" s="10"/>
      <c r="M610" s="10"/>
      <c r="N610" s="10"/>
      <c r="O610" s="10"/>
      <c r="P610" s="10"/>
      <c r="Q610" s="11"/>
      <c r="R610" s="9"/>
      <c r="S610" s="12"/>
      <c r="T610" s="5"/>
      <c r="U610" s="5"/>
      <c r="V610" s="4"/>
      <c r="W610" s="4"/>
      <c r="X610" s="4"/>
      <c r="Y610" s="4"/>
    </row>
    <row r="611">
      <c r="A611" s="5"/>
      <c r="B611" s="9"/>
      <c r="C611" s="5"/>
      <c r="D611" s="9"/>
      <c r="E611" s="9"/>
      <c r="F611" s="9"/>
      <c r="G611" s="9"/>
      <c r="H611" s="9"/>
      <c r="I611" s="9"/>
      <c r="J611" s="5"/>
      <c r="K611" s="4"/>
      <c r="L611" s="10"/>
      <c r="M611" s="10"/>
      <c r="N611" s="10"/>
      <c r="O611" s="10"/>
      <c r="P611" s="10"/>
      <c r="Q611" s="11"/>
      <c r="R611" s="9"/>
      <c r="S611" s="12"/>
      <c r="T611" s="5"/>
      <c r="U611" s="5"/>
      <c r="V611" s="4"/>
      <c r="W611" s="4"/>
      <c r="X611" s="4"/>
      <c r="Y611" s="4"/>
    </row>
    <row r="612">
      <c r="A612" s="5"/>
      <c r="B612" s="9"/>
      <c r="C612" s="5"/>
      <c r="D612" s="9"/>
      <c r="E612" s="9"/>
      <c r="F612" s="9"/>
      <c r="G612" s="9"/>
      <c r="H612" s="9"/>
      <c r="I612" s="9"/>
      <c r="J612" s="5"/>
      <c r="K612" s="4"/>
      <c r="L612" s="10"/>
      <c r="M612" s="10"/>
      <c r="N612" s="10"/>
      <c r="O612" s="10"/>
      <c r="P612" s="10"/>
      <c r="Q612" s="11"/>
      <c r="R612" s="9"/>
      <c r="S612" s="12"/>
      <c r="T612" s="5"/>
      <c r="U612" s="5"/>
      <c r="V612" s="4"/>
      <c r="W612" s="4"/>
      <c r="X612" s="4"/>
      <c r="Y612" s="4"/>
    </row>
    <row r="613">
      <c r="A613" s="5"/>
      <c r="B613" s="9"/>
      <c r="C613" s="5"/>
      <c r="D613" s="9"/>
      <c r="E613" s="9"/>
      <c r="F613" s="9"/>
      <c r="G613" s="9"/>
      <c r="H613" s="9"/>
      <c r="I613" s="9"/>
      <c r="J613" s="5"/>
      <c r="K613" s="4"/>
      <c r="L613" s="10"/>
      <c r="M613" s="10"/>
      <c r="N613" s="10"/>
      <c r="O613" s="10"/>
      <c r="P613" s="10"/>
      <c r="Q613" s="11"/>
      <c r="R613" s="9"/>
      <c r="S613" s="12"/>
      <c r="T613" s="5"/>
      <c r="U613" s="5"/>
      <c r="V613" s="4"/>
      <c r="W613" s="4"/>
      <c r="X613" s="4"/>
      <c r="Y613" s="4"/>
    </row>
    <row r="614">
      <c r="A614" s="5"/>
      <c r="B614" s="9"/>
      <c r="C614" s="5"/>
      <c r="D614" s="9"/>
      <c r="E614" s="9"/>
      <c r="F614" s="9"/>
      <c r="G614" s="9"/>
      <c r="H614" s="9"/>
      <c r="I614" s="9"/>
      <c r="J614" s="5"/>
      <c r="K614" s="4"/>
      <c r="L614" s="10"/>
      <c r="M614" s="10"/>
      <c r="N614" s="10"/>
      <c r="O614" s="10"/>
      <c r="P614" s="10"/>
      <c r="Q614" s="11"/>
      <c r="R614" s="9"/>
      <c r="S614" s="12"/>
      <c r="T614" s="5"/>
      <c r="U614" s="5"/>
      <c r="V614" s="4"/>
      <c r="W614" s="4"/>
      <c r="X614" s="4"/>
      <c r="Y614" s="4"/>
    </row>
    <row r="615">
      <c r="A615" s="5"/>
      <c r="B615" s="9"/>
      <c r="C615" s="5"/>
      <c r="D615" s="9"/>
      <c r="E615" s="9"/>
      <c r="F615" s="9"/>
      <c r="G615" s="9"/>
      <c r="H615" s="9"/>
      <c r="I615" s="9"/>
      <c r="J615" s="5"/>
      <c r="K615" s="4"/>
      <c r="L615" s="10"/>
      <c r="M615" s="10"/>
      <c r="N615" s="10"/>
      <c r="O615" s="10"/>
      <c r="P615" s="10"/>
      <c r="Q615" s="11"/>
      <c r="R615" s="9"/>
      <c r="S615" s="12"/>
      <c r="T615" s="5"/>
      <c r="U615" s="5"/>
      <c r="V615" s="4"/>
      <c r="W615" s="4"/>
      <c r="X615" s="4"/>
      <c r="Y615" s="4"/>
    </row>
    <row r="616">
      <c r="A616" s="5"/>
      <c r="B616" s="9"/>
      <c r="C616" s="5"/>
      <c r="D616" s="9"/>
      <c r="E616" s="9"/>
      <c r="F616" s="9"/>
      <c r="G616" s="9"/>
      <c r="H616" s="9"/>
      <c r="I616" s="9"/>
      <c r="J616" s="5"/>
      <c r="K616" s="4"/>
      <c r="L616" s="10"/>
      <c r="M616" s="10"/>
      <c r="N616" s="10"/>
      <c r="O616" s="10"/>
      <c r="P616" s="10"/>
      <c r="Q616" s="11"/>
      <c r="R616" s="9"/>
      <c r="S616" s="12"/>
      <c r="T616" s="5"/>
      <c r="U616" s="5"/>
      <c r="V616" s="4"/>
      <c r="W616" s="4"/>
      <c r="X616" s="4"/>
      <c r="Y616" s="4"/>
    </row>
    <row r="617">
      <c r="A617" s="5"/>
      <c r="B617" s="9"/>
      <c r="C617" s="5"/>
      <c r="D617" s="9"/>
      <c r="E617" s="9"/>
      <c r="F617" s="9"/>
      <c r="G617" s="9"/>
      <c r="H617" s="9"/>
      <c r="I617" s="9"/>
      <c r="J617" s="5"/>
      <c r="K617" s="4"/>
      <c r="L617" s="10"/>
      <c r="M617" s="10"/>
      <c r="N617" s="10"/>
      <c r="O617" s="10"/>
      <c r="P617" s="10"/>
      <c r="Q617" s="11"/>
      <c r="R617" s="9"/>
      <c r="S617" s="12"/>
      <c r="T617" s="5"/>
      <c r="U617" s="5"/>
      <c r="V617" s="4"/>
      <c r="W617" s="4"/>
      <c r="X617" s="4"/>
      <c r="Y617" s="4"/>
    </row>
    <row r="618">
      <c r="A618" s="5"/>
      <c r="B618" s="9"/>
      <c r="C618" s="5"/>
      <c r="D618" s="9"/>
      <c r="E618" s="9"/>
      <c r="F618" s="9"/>
      <c r="G618" s="9"/>
      <c r="H618" s="9"/>
      <c r="I618" s="9"/>
      <c r="J618" s="5"/>
      <c r="K618" s="4"/>
      <c r="L618" s="10"/>
      <c r="M618" s="10"/>
      <c r="N618" s="10"/>
      <c r="O618" s="10"/>
      <c r="P618" s="10"/>
      <c r="Q618" s="11"/>
      <c r="R618" s="9"/>
      <c r="S618" s="12"/>
      <c r="T618" s="5"/>
      <c r="U618" s="5"/>
      <c r="V618" s="4"/>
      <c r="W618" s="4"/>
      <c r="X618" s="4"/>
      <c r="Y618" s="4"/>
    </row>
    <row r="619">
      <c r="A619" s="5"/>
      <c r="B619" s="9"/>
      <c r="C619" s="5"/>
      <c r="D619" s="9"/>
      <c r="E619" s="9"/>
      <c r="F619" s="9"/>
      <c r="G619" s="9"/>
      <c r="H619" s="9"/>
      <c r="I619" s="9"/>
      <c r="J619" s="5"/>
      <c r="K619" s="4"/>
      <c r="L619" s="10"/>
      <c r="M619" s="10"/>
      <c r="N619" s="10"/>
      <c r="O619" s="10"/>
      <c r="P619" s="10"/>
      <c r="Q619" s="11"/>
      <c r="R619" s="9"/>
      <c r="S619" s="12"/>
      <c r="T619" s="5"/>
      <c r="U619" s="5"/>
      <c r="V619" s="4"/>
      <c r="W619" s="4"/>
      <c r="X619" s="4"/>
      <c r="Y619" s="4"/>
    </row>
    <row r="620">
      <c r="A620" s="5"/>
      <c r="B620" s="9"/>
      <c r="C620" s="5"/>
      <c r="D620" s="9"/>
      <c r="E620" s="9"/>
      <c r="F620" s="9"/>
      <c r="G620" s="9"/>
      <c r="H620" s="9"/>
      <c r="I620" s="9"/>
      <c r="J620" s="5"/>
      <c r="K620" s="4"/>
      <c r="L620" s="10"/>
      <c r="M620" s="10"/>
      <c r="N620" s="10"/>
      <c r="O620" s="10"/>
      <c r="P620" s="10"/>
      <c r="Q620" s="11"/>
      <c r="R620" s="9"/>
      <c r="S620" s="12"/>
      <c r="T620" s="5"/>
      <c r="U620" s="5"/>
      <c r="V620" s="4"/>
      <c r="W620" s="4"/>
      <c r="X620" s="4"/>
      <c r="Y620" s="4"/>
    </row>
    <row r="621">
      <c r="A621" s="5"/>
      <c r="B621" s="9"/>
      <c r="C621" s="5"/>
      <c r="D621" s="9"/>
      <c r="E621" s="9"/>
      <c r="F621" s="9"/>
      <c r="G621" s="9"/>
      <c r="H621" s="9"/>
      <c r="I621" s="9"/>
      <c r="J621" s="5"/>
      <c r="K621" s="4"/>
      <c r="L621" s="10"/>
      <c r="M621" s="10"/>
      <c r="N621" s="10"/>
      <c r="O621" s="10"/>
      <c r="P621" s="10"/>
      <c r="Q621" s="11"/>
      <c r="R621" s="9"/>
      <c r="S621" s="12"/>
      <c r="T621" s="5"/>
      <c r="U621" s="5"/>
      <c r="V621" s="4"/>
      <c r="W621" s="4"/>
      <c r="X621" s="4"/>
      <c r="Y621" s="4"/>
    </row>
    <row r="622">
      <c r="A622" s="5"/>
      <c r="B622" s="9"/>
      <c r="C622" s="5"/>
      <c r="D622" s="9"/>
      <c r="E622" s="9"/>
      <c r="F622" s="9"/>
      <c r="G622" s="9"/>
      <c r="H622" s="9"/>
      <c r="I622" s="9"/>
      <c r="J622" s="5"/>
      <c r="K622" s="4"/>
      <c r="L622" s="10"/>
      <c r="M622" s="10"/>
      <c r="N622" s="10"/>
      <c r="O622" s="10"/>
      <c r="P622" s="10"/>
      <c r="Q622" s="11"/>
      <c r="R622" s="9"/>
      <c r="S622" s="12"/>
      <c r="T622" s="5"/>
      <c r="U622" s="5"/>
      <c r="V622" s="4"/>
      <c r="W622" s="4"/>
      <c r="X622" s="4"/>
      <c r="Y622" s="4"/>
    </row>
    <row r="623">
      <c r="A623" s="5"/>
      <c r="B623" s="9"/>
      <c r="C623" s="5"/>
      <c r="D623" s="9"/>
      <c r="E623" s="9"/>
      <c r="F623" s="9"/>
      <c r="G623" s="9"/>
      <c r="H623" s="9"/>
      <c r="I623" s="9"/>
      <c r="J623" s="5"/>
      <c r="K623" s="4"/>
      <c r="L623" s="10"/>
      <c r="M623" s="10"/>
      <c r="N623" s="10"/>
      <c r="O623" s="10"/>
      <c r="P623" s="10"/>
      <c r="Q623" s="11"/>
      <c r="R623" s="9"/>
      <c r="S623" s="12"/>
      <c r="T623" s="5"/>
      <c r="U623" s="5"/>
      <c r="V623" s="4"/>
      <c r="W623" s="4"/>
      <c r="X623" s="4"/>
      <c r="Y623" s="4"/>
    </row>
    <row r="624">
      <c r="A624" s="5"/>
      <c r="B624" s="9"/>
      <c r="C624" s="5"/>
      <c r="D624" s="9"/>
      <c r="E624" s="9"/>
      <c r="F624" s="9"/>
      <c r="G624" s="9"/>
      <c r="H624" s="9"/>
      <c r="I624" s="9"/>
      <c r="J624" s="5"/>
      <c r="K624" s="4"/>
      <c r="L624" s="10"/>
      <c r="M624" s="10"/>
      <c r="N624" s="10"/>
      <c r="O624" s="10"/>
      <c r="P624" s="10"/>
      <c r="Q624" s="11"/>
      <c r="R624" s="9"/>
      <c r="S624" s="12"/>
      <c r="T624" s="5"/>
      <c r="U624" s="5"/>
      <c r="V624" s="4"/>
      <c r="W624" s="4"/>
      <c r="X624" s="4"/>
      <c r="Y624" s="4"/>
    </row>
    <row r="625">
      <c r="A625" s="5"/>
      <c r="B625" s="9"/>
      <c r="C625" s="5"/>
      <c r="D625" s="9"/>
      <c r="E625" s="9"/>
      <c r="F625" s="9"/>
      <c r="G625" s="9"/>
      <c r="H625" s="9"/>
      <c r="I625" s="9"/>
      <c r="J625" s="5"/>
      <c r="K625" s="4"/>
      <c r="L625" s="10"/>
      <c r="M625" s="10"/>
      <c r="N625" s="10"/>
      <c r="O625" s="10"/>
      <c r="P625" s="10"/>
      <c r="Q625" s="11"/>
      <c r="R625" s="9"/>
      <c r="S625" s="12"/>
      <c r="T625" s="5"/>
      <c r="U625" s="5"/>
      <c r="V625" s="4"/>
      <c r="W625" s="4"/>
      <c r="X625" s="4"/>
      <c r="Y625" s="4"/>
    </row>
    <row r="626">
      <c r="A626" s="5"/>
      <c r="B626" s="9"/>
      <c r="C626" s="5"/>
      <c r="D626" s="9"/>
      <c r="E626" s="9"/>
      <c r="F626" s="9"/>
      <c r="G626" s="9"/>
      <c r="H626" s="9"/>
      <c r="I626" s="9"/>
      <c r="J626" s="5"/>
      <c r="K626" s="4"/>
      <c r="L626" s="10"/>
      <c r="M626" s="10"/>
      <c r="N626" s="10"/>
      <c r="O626" s="10"/>
      <c r="P626" s="10"/>
      <c r="Q626" s="11"/>
      <c r="R626" s="9"/>
      <c r="S626" s="12"/>
      <c r="T626" s="5"/>
      <c r="U626" s="5"/>
      <c r="V626" s="4"/>
      <c r="W626" s="4"/>
      <c r="X626" s="4"/>
      <c r="Y626" s="4"/>
    </row>
    <row r="627">
      <c r="A627" s="5"/>
      <c r="B627" s="9"/>
      <c r="C627" s="5"/>
      <c r="D627" s="9"/>
      <c r="E627" s="9"/>
      <c r="F627" s="9"/>
      <c r="G627" s="9"/>
      <c r="H627" s="9"/>
      <c r="I627" s="9"/>
      <c r="J627" s="5"/>
      <c r="K627" s="4"/>
      <c r="L627" s="10"/>
      <c r="M627" s="10"/>
      <c r="N627" s="10"/>
      <c r="O627" s="10"/>
      <c r="P627" s="10"/>
      <c r="Q627" s="11"/>
      <c r="R627" s="9"/>
      <c r="S627" s="12"/>
      <c r="T627" s="5"/>
      <c r="U627" s="5"/>
      <c r="V627" s="4"/>
      <c r="W627" s="4"/>
      <c r="X627" s="4"/>
      <c r="Y627" s="4"/>
    </row>
    <row r="628">
      <c r="A628" s="5"/>
      <c r="B628" s="9"/>
      <c r="C628" s="5"/>
      <c r="D628" s="9"/>
      <c r="E628" s="9"/>
      <c r="F628" s="9"/>
      <c r="G628" s="9"/>
      <c r="H628" s="9"/>
      <c r="I628" s="9"/>
      <c r="J628" s="5"/>
      <c r="K628" s="4"/>
      <c r="L628" s="10"/>
      <c r="M628" s="10"/>
      <c r="N628" s="10"/>
      <c r="O628" s="10"/>
      <c r="P628" s="10"/>
      <c r="Q628" s="11"/>
      <c r="R628" s="9"/>
      <c r="S628" s="12"/>
      <c r="T628" s="5"/>
      <c r="U628" s="5"/>
      <c r="V628" s="4"/>
      <c r="W628" s="4"/>
      <c r="X628" s="4"/>
      <c r="Y628" s="4"/>
    </row>
    <row r="629">
      <c r="A629" s="5"/>
      <c r="B629" s="9"/>
      <c r="C629" s="5"/>
      <c r="D629" s="9"/>
      <c r="E629" s="9"/>
      <c r="F629" s="9"/>
      <c r="G629" s="9"/>
      <c r="H629" s="9"/>
      <c r="I629" s="9"/>
      <c r="J629" s="5"/>
      <c r="K629" s="4"/>
      <c r="L629" s="10"/>
      <c r="M629" s="10"/>
      <c r="N629" s="10"/>
      <c r="O629" s="10"/>
      <c r="P629" s="10"/>
      <c r="Q629" s="11"/>
      <c r="R629" s="9"/>
      <c r="S629" s="12"/>
      <c r="T629" s="5"/>
      <c r="U629" s="5"/>
      <c r="V629" s="4"/>
      <c r="W629" s="4"/>
      <c r="X629" s="4"/>
      <c r="Y629" s="4"/>
    </row>
    <row r="630">
      <c r="A630" s="5"/>
      <c r="B630" s="9"/>
      <c r="C630" s="5"/>
      <c r="D630" s="9"/>
      <c r="E630" s="9"/>
      <c r="F630" s="9"/>
      <c r="G630" s="9"/>
      <c r="H630" s="9"/>
      <c r="I630" s="9"/>
      <c r="J630" s="5"/>
      <c r="K630" s="4"/>
      <c r="L630" s="10"/>
      <c r="M630" s="10"/>
      <c r="N630" s="10"/>
      <c r="O630" s="10"/>
      <c r="P630" s="10"/>
      <c r="Q630" s="11"/>
      <c r="R630" s="9"/>
      <c r="S630" s="12"/>
      <c r="T630" s="5"/>
      <c r="U630" s="5"/>
      <c r="V630" s="4"/>
      <c r="W630" s="4"/>
      <c r="X630" s="4"/>
      <c r="Y630" s="4"/>
    </row>
    <row r="631">
      <c r="A631" s="5"/>
      <c r="B631" s="9"/>
      <c r="C631" s="5"/>
      <c r="D631" s="9"/>
      <c r="E631" s="9"/>
      <c r="F631" s="9"/>
      <c r="G631" s="9"/>
      <c r="H631" s="9"/>
      <c r="I631" s="9"/>
      <c r="J631" s="5"/>
      <c r="K631" s="4"/>
      <c r="L631" s="10"/>
      <c r="M631" s="10"/>
      <c r="N631" s="10"/>
      <c r="O631" s="10"/>
      <c r="P631" s="10"/>
      <c r="Q631" s="11"/>
      <c r="R631" s="9"/>
      <c r="S631" s="12"/>
      <c r="T631" s="5"/>
      <c r="U631" s="5"/>
      <c r="V631" s="4"/>
      <c r="W631" s="4"/>
      <c r="X631" s="4"/>
      <c r="Y631" s="4"/>
    </row>
    <row r="632">
      <c r="A632" s="5"/>
      <c r="B632" s="9"/>
      <c r="C632" s="5"/>
      <c r="D632" s="9"/>
      <c r="E632" s="9"/>
      <c r="F632" s="9"/>
      <c r="G632" s="9"/>
      <c r="H632" s="9"/>
      <c r="I632" s="9"/>
      <c r="J632" s="5"/>
      <c r="K632" s="4"/>
      <c r="L632" s="10"/>
      <c r="M632" s="10"/>
      <c r="N632" s="10"/>
      <c r="O632" s="10"/>
      <c r="P632" s="10"/>
      <c r="Q632" s="11"/>
      <c r="R632" s="9"/>
      <c r="S632" s="12"/>
      <c r="T632" s="5"/>
      <c r="U632" s="5"/>
      <c r="V632" s="4"/>
      <c r="W632" s="4"/>
      <c r="X632" s="4"/>
      <c r="Y632" s="4"/>
    </row>
    <row r="633">
      <c r="A633" s="5"/>
      <c r="B633" s="9"/>
      <c r="C633" s="5"/>
      <c r="D633" s="9"/>
      <c r="E633" s="9"/>
      <c r="F633" s="9"/>
      <c r="G633" s="9"/>
      <c r="H633" s="9"/>
      <c r="I633" s="9"/>
      <c r="J633" s="5"/>
      <c r="K633" s="4"/>
      <c r="L633" s="10"/>
      <c r="M633" s="10"/>
      <c r="N633" s="10"/>
      <c r="O633" s="10"/>
      <c r="P633" s="10"/>
      <c r="Q633" s="11"/>
      <c r="R633" s="9"/>
      <c r="S633" s="12"/>
      <c r="T633" s="5"/>
      <c r="U633" s="5"/>
      <c r="V633" s="4"/>
      <c r="W633" s="4"/>
      <c r="X633" s="4"/>
      <c r="Y633" s="4"/>
    </row>
    <row r="634">
      <c r="A634" s="5"/>
      <c r="B634" s="9"/>
      <c r="C634" s="5"/>
      <c r="D634" s="9"/>
      <c r="E634" s="9"/>
      <c r="F634" s="9"/>
      <c r="G634" s="9"/>
      <c r="H634" s="9"/>
      <c r="I634" s="9"/>
      <c r="J634" s="5"/>
      <c r="K634" s="4"/>
      <c r="L634" s="10"/>
      <c r="M634" s="10"/>
      <c r="N634" s="10"/>
      <c r="O634" s="10"/>
      <c r="P634" s="10"/>
      <c r="Q634" s="11"/>
      <c r="R634" s="9"/>
      <c r="S634" s="12"/>
      <c r="T634" s="5"/>
      <c r="U634" s="5"/>
      <c r="V634" s="4"/>
      <c r="W634" s="4"/>
      <c r="X634" s="4"/>
      <c r="Y634" s="4"/>
    </row>
    <row r="635">
      <c r="A635" s="5"/>
      <c r="B635" s="9"/>
      <c r="C635" s="5"/>
      <c r="D635" s="9"/>
      <c r="E635" s="9"/>
      <c r="F635" s="9"/>
      <c r="G635" s="9"/>
      <c r="H635" s="9"/>
      <c r="I635" s="9"/>
      <c r="J635" s="5"/>
      <c r="K635" s="4"/>
      <c r="L635" s="10"/>
      <c r="M635" s="10"/>
      <c r="N635" s="10"/>
      <c r="O635" s="10"/>
      <c r="P635" s="10"/>
      <c r="Q635" s="11"/>
      <c r="R635" s="9"/>
      <c r="S635" s="12"/>
      <c r="T635" s="5"/>
      <c r="U635" s="5"/>
      <c r="V635" s="4"/>
      <c r="W635" s="4"/>
      <c r="X635" s="4"/>
      <c r="Y635" s="4"/>
    </row>
    <row r="636">
      <c r="A636" s="5"/>
      <c r="B636" s="9"/>
      <c r="C636" s="5"/>
      <c r="D636" s="9"/>
      <c r="E636" s="9"/>
      <c r="F636" s="9"/>
      <c r="G636" s="9"/>
      <c r="H636" s="9"/>
      <c r="I636" s="9"/>
      <c r="J636" s="5"/>
      <c r="K636" s="4"/>
      <c r="L636" s="10"/>
      <c r="M636" s="10"/>
      <c r="N636" s="10"/>
      <c r="O636" s="10"/>
      <c r="P636" s="10"/>
      <c r="Q636" s="11"/>
      <c r="R636" s="9"/>
      <c r="S636" s="12"/>
      <c r="T636" s="5"/>
      <c r="U636" s="5"/>
      <c r="V636" s="4"/>
      <c r="W636" s="4"/>
      <c r="X636" s="4"/>
      <c r="Y636" s="4"/>
    </row>
    <row r="637">
      <c r="A637" s="5"/>
      <c r="B637" s="9"/>
      <c r="C637" s="5"/>
      <c r="D637" s="9"/>
      <c r="E637" s="9"/>
      <c r="F637" s="9"/>
      <c r="G637" s="9"/>
      <c r="H637" s="9"/>
      <c r="I637" s="9"/>
      <c r="J637" s="5"/>
      <c r="K637" s="4"/>
      <c r="L637" s="10"/>
      <c r="M637" s="10"/>
      <c r="N637" s="10"/>
      <c r="O637" s="10"/>
      <c r="P637" s="10"/>
      <c r="Q637" s="11"/>
      <c r="R637" s="9"/>
      <c r="S637" s="12"/>
      <c r="T637" s="5"/>
      <c r="U637" s="5"/>
      <c r="V637" s="4"/>
      <c r="W637" s="4"/>
      <c r="X637" s="4"/>
      <c r="Y637" s="4"/>
    </row>
    <row r="638">
      <c r="A638" s="5"/>
      <c r="B638" s="9"/>
      <c r="C638" s="5"/>
      <c r="D638" s="9"/>
      <c r="E638" s="9"/>
      <c r="F638" s="9"/>
      <c r="G638" s="9"/>
      <c r="H638" s="9"/>
      <c r="I638" s="9"/>
      <c r="J638" s="5"/>
      <c r="K638" s="4"/>
      <c r="L638" s="10"/>
      <c r="M638" s="10"/>
      <c r="N638" s="10"/>
      <c r="O638" s="10"/>
      <c r="P638" s="10"/>
      <c r="Q638" s="11"/>
      <c r="R638" s="9"/>
      <c r="S638" s="12"/>
      <c r="T638" s="5"/>
      <c r="U638" s="5"/>
      <c r="V638" s="4"/>
      <c r="W638" s="4"/>
      <c r="X638" s="4"/>
      <c r="Y638" s="4"/>
    </row>
    <row r="639">
      <c r="A639" s="5"/>
      <c r="B639" s="9"/>
      <c r="C639" s="5"/>
      <c r="D639" s="9"/>
      <c r="E639" s="9"/>
      <c r="F639" s="9"/>
      <c r="G639" s="9"/>
      <c r="H639" s="9"/>
      <c r="I639" s="9"/>
      <c r="J639" s="5"/>
      <c r="K639" s="4"/>
      <c r="L639" s="10"/>
      <c r="M639" s="10"/>
      <c r="N639" s="10"/>
      <c r="O639" s="10"/>
      <c r="P639" s="10"/>
      <c r="Q639" s="11"/>
      <c r="R639" s="9"/>
      <c r="S639" s="12"/>
      <c r="T639" s="5"/>
      <c r="U639" s="5"/>
      <c r="V639" s="4"/>
      <c r="W639" s="4"/>
      <c r="X639" s="4"/>
      <c r="Y639" s="4"/>
    </row>
    <row r="640">
      <c r="A640" s="5"/>
      <c r="B640" s="9"/>
      <c r="C640" s="5"/>
      <c r="D640" s="9"/>
      <c r="E640" s="9"/>
      <c r="F640" s="9"/>
      <c r="G640" s="9"/>
      <c r="H640" s="9"/>
      <c r="I640" s="9"/>
      <c r="J640" s="5"/>
      <c r="K640" s="4"/>
      <c r="L640" s="10"/>
      <c r="M640" s="10"/>
      <c r="N640" s="10"/>
      <c r="O640" s="10"/>
      <c r="P640" s="10"/>
      <c r="Q640" s="11"/>
      <c r="R640" s="9"/>
      <c r="S640" s="12"/>
      <c r="T640" s="5"/>
      <c r="U640" s="5"/>
      <c r="V640" s="4"/>
      <c r="W640" s="4"/>
      <c r="X640" s="4"/>
      <c r="Y640" s="4"/>
    </row>
    <row r="641">
      <c r="A641" s="5"/>
      <c r="B641" s="9"/>
      <c r="C641" s="5"/>
      <c r="D641" s="9"/>
      <c r="E641" s="9"/>
      <c r="F641" s="9"/>
      <c r="G641" s="9"/>
      <c r="H641" s="9"/>
      <c r="I641" s="9"/>
      <c r="J641" s="5"/>
      <c r="K641" s="4"/>
      <c r="L641" s="10"/>
      <c r="M641" s="10"/>
      <c r="N641" s="10"/>
      <c r="O641" s="10"/>
      <c r="P641" s="10"/>
      <c r="Q641" s="11"/>
      <c r="R641" s="9"/>
      <c r="S641" s="12"/>
      <c r="T641" s="5"/>
      <c r="U641" s="5"/>
      <c r="V641" s="4"/>
      <c r="W641" s="4"/>
      <c r="X641" s="4"/>
      <c r="Y641" s="4"/>
    </row>
    <row r="642">
      <c r="A642" s="5"/>
      <c r="B642" s="9"/>
      <c r="C642" s="5"/>
      <c r="D642" s="9"/>
      <c r="E642" s="9"/>
      <c r="F642" s="9"/>
      <c r="G642" s="9"/>
      <c r="H642" s="9"/>
      <c r="I642" s="9"/>
      <c r="J642" s="5"/>
      <c r="K642" s="4"/>
      <c r="L642" s="10"/>
      <c r="M642" s="10"/>
      <c r="N642" s="10"/>
      <c r="O642" s="10"/>
      <c r="P642" s="10"/>
      <c r="Q642" s="11"/>
      <c r="R642" s="9"/>
      <c r="S642" s="12"/>
      <c r="T642" s="5"/>
      <c r="U642" s="5"/>
      <c r="V642" s="4"/>
      <c r="W642" s="4"/>
      <c r="X642" s="4"/>
      <c r="Y642" s="4"/>
    </row>
    <row r="643">
      <c r="A643" s="5"/>
      <c r="B643" s="9"/>
      <c r="C643" s="5"/>
      <c r="D643" s="9"/>
      <c r="E643" s="9"/>
      <c r="F643" s="9"/>
      <c r="G643" s="9"/>
      <c r="H643" s="9"/>
      <c r="I643" s="9"/>
      <c r="J643" s="5"/>
      <c r="K643" s="4"/>
      <c r="L643" s="10"/>
      <c r="M643" s="10"/>
      <c r="N643" s="10"/>
      <c r="O643" s="10"/>
      <c r="P643" s="10"/>
      <c r="Q643" s="11"/>
      <c r="R643" s="9"/>
      <c r="S643" s="12"/>
      <c r="T643" s="5"/>
      <c r="U643" s="5"/>
      <c r="V643" s="4"/>
      <c r="W643" s="4"/>
      <c r="X643" s="4"/>
      <c r="Y643" s="4"/>
    </row>
    <row r="644">
      <c r="A644" s="5"/>
      <c r="B644" s="9"/>
      <c r="C644" s="5"/>
      <c r="D644" s="9"/>
      <c r="E644" s="9"/>
      <c r="F644" s="9"/>
      <c r="G644" s="9"/>
      <c r="H644" s="9"/>
      <c r="I644" s="9"/>
      <c r="J644" s="5"/>
      <c r="K644" s="4"/>
      <c r="L644" s="10"/>
      <c r="M644" s="10"/>
      <c r="N644" s="10"/>
      <c r="O644" s="10"/>
      <c r="P644" s="10"/>
      <c r="Q644" s="11"/>
      <c r="R644" s="9"/>
      <c r="S644" s="12"/>
      <c r="T644" s="5"/>
      <c r="U644" s="5"/>
      <c r="V644" s="4"/>
      <c r="W644" s="4"/>
      <c r="X644" s="4"/>
      <c r="Y644" s="4"/>
    </row>
    <row r="645">
      <c r="A645" s="5"/>
      <c r="B645" s="9"/>
      <c r="C645" s="5"/>
      <c r="D645" s="9"/>
      <c r="E645" s="9"/>
      <c r="F645" s="9"/>
      <c r="G645" s="9"/>
      <c r="H645" s="9"/>
      <c r="I645" s="9"/>
      <c r="J645" s="5"/>
      <c r="K645" s="4"/>
      <c r="L645" s="10"/>
      <c r="M645" s="10"/>
      <c r="N645" s="10"/>
      <c r="O645" s="10"/>
      <c r="P645" s="10"/>
      <c r="Q645" s="11"/>
      <c r="R645" s="9"/>
      <c r="S645" s="12"/>
      <c r="T645" s="5"/>
      <c r="U645" s="5"/>
      <c r="V645" s="4"/>
      <c r="W645" s="4"/>
      <c r="X645" s="4"/>
      <c r="Y645" s="4"/>
    </row>
    <row r="646">
      <c r="A646" s="5"/>
      <c r="B646" s="9"/>
      <c r="C646" s="5"/>
      <c r="D646" s="9"/>
      <c r="E646" s="9"/>
      <c r="F646" s="9"/>
      <c r="G646" s="9"/>
      <c r="H646" s="9"/>
      <c r="I646" s="9"/>
      <c r="J646" s="5"/>
      <c r="K646" s="4"/>
      <c r="L646" s="10"/>
      <c r="M646" s="10"/>
      <c r="N646" s="10"/>
      <c r="O646" s="10"/>
      <c r="P646" s="10"/>
      <c r="Q646" s="11"/>
      <c r="R646" s="9"/>
      <c r="S646" s="12"/>
      <c r="T646" s="5"/>
      <c r="U646" s="5"/>
      <c r="V646" s="4"/>
      <c r="W646" s="4"/>
      <c r="X646" s="4"/>
      <c r="Y646" s="4"/>
    </row>
    <row r="647">
      <c r="A647" s="5"/>
      <c r="B647" s="9"/>
      <c r="C647" s="5"/>
      <c r="D647" s="9"/>
      <c r="E647" s="9"/>
      <c r="F647" s="9"/>
      <c r="G647" s="9"/>
      <c r="H647" s="9"/>
      <c r="I647" s="9"/>
      <c r="J647" s="5"/>
      <c r="K647" s="4"/>
      <c r="L647" s="10"/>
      <c r="M647" s="10"/>
      <c r="N647" s="10"/>
      <c r="O647" s="10"/>
      <c r="P647" s="10"/>
      <c r="Q647" s="11"/>
      <c r="R647" s="9"/>
      <c r="S647" s="12"/>
      <c r="T647" s="5"/>
      <c r="U647" s="5"/>
      <c r="V647" s="4"/>
      <c r="W647" s="4"/>
      <c r="X647" s="4"/>
      <c r="Y647" s="4"/>
    </row>
    <row r="648">
      <c r="A648" s="5"/>
      <c r="B648" s="9"/>
      <c r="C648" s="5"/>
      <c r="D648" s="9"/>
      <c r="E648" s="9"/>
      <c r="F648" s="9"/>
      <c r="G648" s="9"/>
      <c r="H648" s="9"/>
      <c r="I648" s="9"/>
      <c r="J648" s="5"/>
      <c r="K648" s="4"/>
      <c r="L648" s="10"/>
      <c r="M648" s="10"/>
      <c r="N648" s="10"/>
      <c r="O648" s="10"/>
      <c r="P648" s="10"/>
      <c r="Q648" s="11"/>
      <c r="R648" s="9"/>
      <c r="S648" s="12"/>
      <c r="T648" s="5"/>
      <c r="U648" s="5"/>
      <c r="V648" s="4"/>
      <c r="W648" s="4"/>
      <c r="X648" s="4"/>
      <c r="Y648" s="4"/>
    </row>
    <row r="649">
      <c r="A649" s="5"/>
      <c r="B649" s="9"/>
      <c r="C649" s="5"/>
      <c r="D649" s="9"/>
      <c r="E649" s="9"/>
      <c r="F649" s="9"/>
      <c r="G649" s="9"/>
      <c r="H649" s="9"/>
      <c r="I649" s="9"/>
      <c r="J649" s="5"/>
      <c r="K649" s="4"/>
      <c r="L649" s="10"/>
      <c r="M649" s="10"/>
      <c r="N649" s="10"/>
      <c r="O649" s="10"/>
      <c r="P649" s="10"/>
      <c r="Q649" s="11"/>
      <c r="R649" s="9"/>
      <c r="S649" s="12"/>
      <c r="T649" s="5"/>
      <c r="U649" s="5"/>
      <c r="V649" s="4"/>
      <c r="W649" s="4"/>
      <c r="X649" s="4"/>
      <c r="Y649" s="4"/>
    </row>
    <row r="650">
      <c r="A650" s="5"/>
      <c r="B650" s="9"/>
      <c r="C650" s="5"/>
      <c r="D650" s="9"/>
      <c r="E650" s="9"/>
      <c r="F650" s="9"/>
      <c r="G650" s="9"/>
      <c r="H650" s="9"/>
      <c r="I650" s="9"/>
      <c r="J650" s="5"/>
      <c r="K650" s="4"/>
      <c r="L650" s="10"/>
      <c r="M650" s="10"/>
      <c r="N650" s="10"/>
      <c r="O650" s="10"/>
      <c r="P650" s="10"/>
      <c r="Q650" s="11"/>
      <c r="R650" s="9"/>
      <c r="S650" s="12"/>
      <c r="T650" s="5"/>
      <c r="U650" s="5"/>
      <c r="V650" s="4"/>
      <c r="W650" s="4"/>
      <c r="X650" s="4"/>
      <c r="Y650" s="4"/>
    </row>
    <row r="651">
      <c r="A651" s="5"/>
      <c r="B651" s="9"/>
      <c r="C651" s="5"/>
      <c r="D651" s="9"/>
      <c r="E651" s="9"/>
      <c r="F651" s="9"/>
      <c r="G651" s="9"/>
      <c r="H651" s="9"/>
      <c r="I651" s="9"/>
      <c r="J651" s="5"/>
      <c r="K651" s="4"/>
      <c r="L651" s="10"/>
      <c r="M651" s="10"/>
      <c r="N651" s="10"/>
      <c r="O651" s="10"/>
      <c r="P651" s="10"/>
      <c r="Q651" s="11"/>
      <c r="R651" s="9"/>
      <c r="S651" s="12"/>
      <c r="T651" s="5"/>
      <c r="U651" s="5"/>
      <c r="V651" s="4"/>
      <c r="W651" s="4"/>
      <c r="X651" s="4"/>
      <c r="Y651" s="4"/>
    </row>
    <row r="652">
      <c r="A652" s="5"/>
      <c r="B652" s="9"/>
      <c r="C652" s="5"/>
      <c r="D652" s="9"/>
      <c r="E652" s="9"/>
      <c r="F652" s="9"/>
      <c r="G652" s="9"/>
      <c r="H652" s="9"/>
      <c r="I652" s="9"/>
      <c r="J652" s="5"/>
      <c r="K652" s="4"/>
      <c r="L652" s="10"/>
      <c r="M652" s="10"/>
      <c r="N652" s="10"/>
      <c r="O652" s="10"/>
      <c r="P652" s="10"/>
      <c r="Q652" s="11"/>
      <c r="R652" s="9"/>
      <c r="S652" s="12"/>
      <c r="T652" s="5"/>
      <c r="U652" s="5"/>
      <c r="V652" s="4"/>
      <c r="W652" s="4"/>
      <c r="X652" s="4"/>
      <c r="Y652" s="4"/>
    </row>
    <row r="653">
      <c r="A653" s="5"/>
      <c r="B653" s="9"/>
      <c r="C653" s="5"/>
      <c r="D653" s="9"/>
      <c r="E653" s="9"/>
      <c r="F653" s="9"/>
      <c r="G653" s="9"/>
      <c r="H653" s="9"/>
      <c r="I653" s="9"/>
      <c r="J653" s="5"/>
      <c r="K653" s="4"/>
      <c r="L653" s="10"/>
      <c r="M653" s="10"/>
      <c r="N653" s="10"/>
      <c r="O653" s="10"/>
      <c r="P653" s="10"/>
      <c r="Q653" s="11"/>
      <c r="R653" s="9"/>
      <c r="S653" s="12"/>
      <c r="T653" s="5"/>
      <c r="U653" s="5"/>
      <c r="V653" s="4"/>
      <c r="W653" s="4"/>
      <c r="X653" s="4"/>
      <c r="Y653" s="4"/>
    </row>
    <row r="654">
      <c r="A654" s="5"/>
      <c r="B654" s="9"/>
      <c r="C654" s="5"/>
      <c r="D654" s="9"/>
      <c r="E654" s="9"/>
      <c r="F654" s="9"/>
      <c r="G654" s="9"/>
      <c r="H654" s="9"/>
      <c r="I654" s="9"/>
      <c r="J654" s="5"/>
      <c r="K654" s="4"/>
      <c r="L654" s="10"/>
      <c r="M654" s="10"/>
      <c r="N654" s="10"/>
      <c r="O654" s="10"/>
      <c r="P654" s="10"/>
      <c r="Q654" s="11"/>
      <c r="R654" s="9"/>
      <c r="S654" s="12"/>
      <c r="T654" s="5"/>
      <c r="U654" s="5"/>
      <c r="V654" s="4"/>
      <c r="W654" s="4"/>
      <c r="X654" s="4"/>
      <c r="Y654" s="4"/>
    </row>
    <row r="655">
      <c r="A655" s="5"/>
      <c r="B655" s="9"/>
      <c r="C655" s="5"/>
      <c r="D655" s="9"/>
      <c r="E655" s="9"/>
      <c r="F655" s="9"/>
      <c r="G655" s="9"/>
      <c r="H655" s="9"/>
      <c r="I655" s="9"/>
      <c r="J655" s="5"/>
      <c r="K655" s="4"/>
      <c r="L655" s="10"/>
      <c r="M655" s="10"/>
      <c r="N655" s="10"/>
      <c r="O655" s="10"/>
      <c r="P655" s="10"/>
      <c r="Q655" s="11"/>
      <c r="R655" s="9"/>
      <c r="S655" s="12"/>
      <c r="T655" s="5"/>
      <c r="U655" s="5"/>
      <c r="V655" s="4"/>
      <c r="W655" s="4"/>
      <c r="X655" s="4"/>
      <c r="Y655" s="4"/>
    </row>
    <row r="656">
      <c r="A656" s="5"/>
      <c r="B656" s="9"/>
      <c r="C656" s="5"/>
      <c r="D656" s="9"/>
      <c r="E656" s="9"/>
      <c r="F656" s="9"/>
      <c r="G656" s="9"/>
      <c r="H656" s="9"/>
      <c r="I656" s="9"/>
      <c r="J656" s="5"/>
      <c r="K656" s="4"/>
      <c r="L656" s="10"/>
      <c r="M656" s="10"/>
      <c r="N656" s="10"/>
      <c r="O656" s="10"/>
      <c r="P656" s="10"/>
      <c r="Q656" s="11"/>
      <c r="R656" s="9"/>
      <c r="S656" s="12"/>
      <c r="T656" s="5"/>
      <c r="U656" s="5"/>
      <c r="V656" s="4"/>
      <c r="W656" s="4"/>
      <c r="X656" s="4"/>
      <c r="Y656" s="4"/>
    </row>
    <row r="657">
      <c r="A657" s="5"/>
      <c r="B657" s="9"/>
      <c r="C657" s="5"/>
      <c r="D657" s="9"/>
      <c r="E657" s="9"/>
      <c r="F657" s="9"/>
      <c r="G657" s="9"/>
      <c r="H657" s="9"/>
      <c r="I657" s="9"/>
      <c r="J657" s="5"/>
      <c r="K657" s="4"/>
      <c r="L657" s="10"/>
      <c r="M657" s="10"/>
      <c r="N657" s="10"/>
      <c r="O657" s="10"/>
      <c r="P657" s="10"/>
      <c r="Q657" s="11"/>
      <c r="R657" s="9"/>
      <c r="S657" s="12"/>
      <c r="T657" s="5"/>
      <c r="U657" s="5"/>
      <c r="V657" s="4"/>
      <c r="W657" s="4"/>
      <c r="X657" s="4"/>
      <c r="Y657" s="4"/>
    </row>
    <row r="658">
      <c r="A658" s="5"/>
      <c r="B658" s="9"/>
      <c r="C658" s="5"/>
      <c r="D658" s="9"/>
      <c r="E658" s="9"/>
      <c r="F658" s="9"/>
      <c r="G658" s="9"/>
      <c r="H658" s="9"/>
      <c r="I658" s="9"/>
      <c r="J658" s="5"/>
      <c r="K658" s="4"/>
      <c r="L658" s="10"/>
      <c r="M658" s="10"/>
      <c r="N658" s="10"/>
      <c r="O658" s="10"/>
      <c r="P658" s="10"/>
      <c r="Q658" s="11"/>
      <c r="R658" s="9"/>
      <c r="S658" s="12"/>
      <c r="T658" s="5"/>
      <c r="U658" s="5"/>
      <c r="V658" s="4"/>
      <c r="W658" s="4"/>
      <c r="X658" s="4"/>
      <c r="Y658" s="4"/>
    </row>
    <row r="659">
      <c r="A659" s="5"/>
      <c r="B659" s="9"/>
      <c r="C659" s="5"/>
      <c r="D659" s="9"/>
      <c r="E659" s="9"/>
      <c r="F659" s="9"/>
      <c r="G659" s="9"/>
      <c r="H659" s="9"/>
      <c r="I659" s="9"/>
      <c r="J659" s="5"/>
      <c r="K659" s="4"/>
      <c r="L659" s="10"/>
      <c r="M659" s="10"/>
      <c r="N659" s="10"/>
      <c r="O659" s="10"/>
      <c r="P659" s="10"/>
      <c r="Q659" s="11"/>
      <c r="R659" s="9"/>
      <c r="S659" s="12"/>
      <c r="T659" s="5"/>
      <c r="U659" s="5"/>
      <c r="V659" s="4"/>
      <c r="W659" s="4"/>
      <c r="X659" s="4"/>
      <c r="Y659" s="4"/>
    </row>
    <row r="660">
      <c r="A660" s="5"/>
      <c r="B660" s="9"/>
      <c r="C660" s="5"/>
      <c r="D660" s="9"/>
      <c r="E660" s="9"/>
      <c r="F660" s="9"/>
      <c r="G660" s="9"/>
      <c r="H660" s="9"/>
      <c r="I660" s="9"/>
      <c r="J660" s="5"/>
      <c r="K660" s="4"/>
      <c r="L660" s="10"/>
      <c r="M660" s="10"/>
      <c r="N660" s="10"/>
      <c r="O660" s="10"/>
      <c r="P660" s="10"/>
      <c r="Q660" s="11"/>
      <c r="R660" s="9"/>
      <c r="S660" s="12"/>
      <c r="T660" s="5"/>
      <c r="U660" s="5"/>
      <c r="V660" s="4"/>
      <c r="W660" s="4"/>
      <c r="X660" s="4"/>
      <c r="Y660" s="4"/>
    </row>
    <row r="661">
      <c r="A661" s="5"/>
      <c r="B661" s="9"/>
      <c r="C661" s="5"/>
      <c r="D661" s="9"/>
      <c r="E661" s="9"/>
      <c r="F661" s="9"/>
      <c r="G661" s="9"/>
      <c r="H661" s="9"/>
      <c r="I661" s="9"/>
      <c r="J661" s="5"/>
      <c r="K661" s="4"/>
      <c r="L661" s="10"/>
      <c r="M661" s="10"/>
      <c r="N661" s="10"/>
      <c r="O661" s="10"/>
      <c r="P661" s="10"/>
      <c r="Q661" s="11"/>
      <c r="R661" s="9"/>
      <c r="S661" s="12"/>
      <c r="T661" s="5"/>
      <c r="U661" s="5"/>
      <c r="V661" s="4"/>
      <c r="W661" s="4"/>
      <c r="X661" s="4"/>
      <c r="Y661" s="4"/>
    </row>
    <row r="662">
      <c r="A662" s="5"/>
      <c r="B662" s="9"/>
      <c r="C662" s="5"/>
      <c r="D662" s="9"/>
      <c r="E662" s="9"/>
      <c r="F662" s="9"/>
      <c r="G662" s="9"/>
      <c r="H662" s="9"/>
      <c r="I662" s="9"/>
      <c r="J662" s="5"/>
      <c r="K662" s="4"/>
      <c r="L662" s="10"/>
      <c r="M662" s="10"/>
      <c r="N662" s="10"/>
      <c r="O662" s="10"/>
      <c r="P662" s="10"/>
      <c r="Q662" s="11"/>
      <c r="R662" s="9"/>
      <c r="S662" s="12"/>
      <c r="T662" s="5"/>
      <c r="U662" s="5"/>
      <c r="V662" s="4"/>
      <c r="W662" s="4"/>
      <c r="X662" s="4"/>
      <c r="Y662" s="4"/>
    </row>
    <row r="663">
      <c r="A663" s="5"/>
      <c r="B663" s="9"/>
      <c r="C663" s="5"/>
      <c r="D663" s="9"/>
      <c r="E663" s="9"/>
      <c r="F663" s="9"/>
      <c r="G663" s="9"/>
      <c r="H663" s="9"/>
      <c r="I663" s="9"/>
      <c r="J663" s="5"/>
      <c r="K663" s="4"/>
      <c r="L663" s="10"/>
      <c r="M663" s="10"/>
      <c r="N663" s="10"/>
      <c r="O663" s="10"/>
      <c r="P663" s="10"/>
      <c r="Q663" s="11"/>
      <c r="R663" s="9"/>
      <c r="S663" s="12"/>
      <c r="T663" s="5"/>
      <c r="U663" s="5"/>
      <c r="V663" s="4"/>
      <c r="W663" s="4"/>
      <c r="X663" s="4"/>
      <c r="Y663" s="4"/>
    </row>
    <row r="664">
      <c r="A664" s="5"/>
      <c r="B664" s="9"/>
      <c r="C664" s="5"/>
      <c r="D664" s="9"/>
      <c r="E664" s="9"/>
      <c r="F664" s="9"/>
      <c r="G664" s="9"/>
      <c r="H664" s="9"/>
      <c r="I664" s="9"/>
      <c r="J664" s="5"/>
      <c r="K664" s="4"/>
      <c r="L664" s="10"/>
      <c r="M664" s="10"/>
      <c r="N664" s="10"/>
      <c r="O664" s="10"/>
      <c r="P664" s="10"/>
      <c r="Q664" s="11"/>
      <c r="R664" s="9"/>
      <c r="S664" s="12"/>
      <c r="T664" s="5"/>
      <c r="U664" s="5"/>
      <c r="V664" s="4"/>
      <c r="W664" s="4"/>
      <c r="X664" s="4"/>
      <c r="Y664" s="4"/>
    </row>
    <row r="665">
      <c r="A665" s="5"/>
      <c r="B665" s="9"/>
      <c r="C665" s="5"/>
      <c r="D665" s="9"/>
      <c r="E665" s="9"/>
      <c r="F665" s="9"/>
      <c r="G665" s="9"/>
      <c r="H665" s="9"/>
      <c r="I665" s="9"/>
      <c r="J665" s="5"/>
      <c r="K665" s="4"/>
      <c r="L665" s="10"/>
      <c r="M665" s="10"/>
      <c r="N665" s="10"/>
      <c r="O665" s="10"/>
      <c r="P665" s="10"/>
      <c r="Q665" s="11"/>
      <c r="R665" s="9"/>
      <c r="S665" s="12"/>
      <c r="T665" s="5"/>
      <c r="U665" s="5"/>
      <c r="V665" s="4"/>
      <c r="W665" s="4"/>
      <c r="X665" s="4"/>
      <c r="Y665" s="4"/>
    </row>
    <row r="666">
      <c r="A666" s="5"/>
      <c r="B666" s="9"/>
      <c r="C666" s="5"/>
      <c r="D666" s="9"/>
      <c r="E666" s="9"/>
      <c r="F666" s="9"/>
      <c r="G666" s="9"/>
      <c r="H666" s="9"/>
      <c r="I666" s="9"/>
      <c r="J666" s="5"/>
      <c r="K666" s="4"/>
      <c r="L666" s="10"/>
      <c r="M666" s="10"/>
      <c r="N666" s="10"/>
      <c r="O666" s="10"/>
      <c r="P666" s="10"/>
      <c r="Q666" s="11"/>
      <c r="R666" s="9"/>
      <c r="S666" s="12"/>
      <c r="T666" s="5"/>
      <c r="U666" s="5"/>
      <c r="V666" s="4"/>
      <c r="W666" s="4"/>
      <c r="X666" s="4"/>
      <c r="Y666" s="4"/>
    </row>
    <row r="667">
      <c r="A667" s="5"/>
      <c r="B667" s="9"/>
      <c r="C667" s="5"/>
      <c r="D667" s="9"/>
      <c r="E667" s="9"/>
      <c r="F667" s="9"/>
      <c r="G667" s="9"/>
      <c r="H667" s="9"/>
      <c r="I667" s="9"/>
      <c r="J667" s="5"/>
      <c r="K667" s="4"/>
      <c r="L667" s="10"/>
      <c r="M667" s="10"/>
      <c r="N667" s="10"/>
      <c r="O667" s="10"/>
      <c r="P667" s="10"/>
      <c r="Q667" s="11"/>
      <c r="R667" s="9"/>
      <c r="S667" s="12"/>
      <c r="T667" s="5"/>
      <c r="U667" s="5"/>
      <c r="V667" s="4"/>
      <c r="W667" s="4"/>
      <c r="X667" s="4"/>
      <c r="Y667" s="4"/>
    </row>
    <row r="668">
      <c r="A668" s="5"/>
      <c r="B668" s="9"/>
      <c r="C668" s="5"/>
      <c r="D668" s="9"/>
      <c r="E668" s="9"/>
      <c r="F668" s="9"/>
      <c r="G668" s="9"/>
      <c r="H668" s="9"/>
      <c r="I668" s="9"/>
      <c r="J668" s="5"/>
      <c r="K668" s="4"/>
      <c r="L668" s="10"/>
      <c r="M668" s="10"/>
      <c r="N668" s="10"/>
      <c r="O668" s="10"/>
      <c r="P668" s="10"/>
      <c r="Q668" s="11"/>
      <c r="R668" s="9"/>
      <c r="S668" s="12"/>
      <c r="T668" s="5"/>
      <c r="U668" s="5"/>
      <c r="V668" s="4"/>
      <c r="W668" s="4"/>
      <c r="X668" s="4"/>
      <c r="Y668" s="4"/>
    </row>
    <row r="669">
      <c r="A669" s="5"/>
      <c r="B669" s="9"/>
      <c r="C669" s="5"/>
      <c r="D669" s="9"/>
      <c r="E669" s="9"/>
      <c r="F669" s="9"/>
      <c r="G669" s="9"/>
      <c r="H669" s="9"/>
      <c r="I669" s="9"/>
      <c r="J669" s="5"/>
      <c r="K669" s="4"/>
      <c r="L669" s="10"/>
      <c r="M669" s="10"/>
      <c r="N669" s="10"/>
      <c r="O669" s="10"/>
      <c r="P669" s="10"/>
      <c r="Q669" s="11"/>
      <c r="R669" s="9"/>
      <c r="S669" s="12"/>
      <c r="T669" s="5"/>
      <c r="U669" s="5"/>
      <c r="V669" s="4"/>
      <c r="W669" s="4"/>
      <c r="X669" s="4"/>
      <c r="Y669" s="4"/>
    </row>
    <row r="670">
      <c r="A670" s="5"/>
      <c r="B670" s="9"/>
      <c r="C670" s="5"/>
      <c r="D670" s="9"/>
      <c r="E670" s="9"/>
      <c r="F670" s="9"/>
      <c r="G670" s="9"/>
      <c r="H670" s="9"/>
      <c r="I670" s="9"/>
      <c r="J670" s="5"/>
      <c r="K670" s="4"/>
      <c r="L670" s="10"/>
      <c r="M670" s="10"/>
      <c r="N670" s="10"/>
      <c r="O670" s="10"/>
      <c r="P670" s="10"/>
      <c r="Q670" s="11"/>
      <c r="R670" s="9"/>
      <c r="S670" s="12"/>
      <c r="T670" s="5"/>
      <c r="U670" s="5"/>
      <c r="V670" s="4"/>
      <c r="W670" s="4"/>
      <c r="X670" s="4"/>
      <c r="Y670" s="4"/>
    </row>
    <row r="671">
      <c r="A671" s="5"/>
      <c r="B671" s="9"/>
      <c r="C671" s="5"/>
      <c r="D671" s="9"/>
      <c r="E671" s="9"/>
      <c r="F671" s="9"/>
      <c r="G671" s="9"/>
      <c r="H671" s="9"/>
      <c r="I671" s="9"/>
      <c r="J671" s="5"/>
      <c r="K671" s="4"/>
      <c r="L671" s="10"/>
      <c r="M671" s="10"/>
      <c r="N671" s="10"/>
      <c r="O671" s="10"/>
      <c r="P671" s="10"/>
      <c r="Q671" s="11"/>
      <c r="R671" s="9"/>
      <c r="S671" s="12"/>
      <c r="T671" s="5"/>
      <c r="U671" s="5"/>
      <c r="V671" s="4"/>
      <c r="W671" s="4"/>
      <c r="X671" s="4"/>
      <c r="Y671" s="4"/>
    </row>
    <row r="672">
      <c r="A672" s="5"/>
      <c r="B672" s="9"/>
      <c r="C672" s="5"/>
      <c r="D672" s="9"/>
      <c r="E672" s="9"/>
      <c r="F672" s="9"/>
      <c r="G672" s="9"/>
      <c r="H672" s="9"/>
      <c r="I672" s="9"/>
      <c r="J672" s="5"/>
      <c r="K672" s="4"/>
      <c r="L672" s="10"/>
      <c r="M672" s="10"/>
      <c r="N672" s="10"/>
      <c r="O672" s="10"/>
      <c r="P672" s="10"/>
      <c r="Q672" s="11"/>
      <c r="R672" s="9"/>
      <c r="S672" s="12"/>
      <c r="T672" s="5"/>
      <c r="U672" s="5"/>
      <c r="V672" s="4"/>
      <c r="W672" s="4"/>
      <c r="X672" s="4"/>
      <c r="Y672" s="4"/>
    </row>
    <row r="673">
      <c r="A673" s="5"/>
      <c r="B673" s="9"/>
      <c r="C673" s="5"/>
      <c r="D673" s="9"/>
      <c r="E673" s="9"/>
      <c r="F673" s="9"/>
      <c r="G673" s="9"/>
      <c r="H673" s="9"/>
      <c r="I673" s="9"/>
      <c r="J673" s="5"/>
      <c r="K673" s="4"/>
      <c r="L673" s="10"/>
      <c r="M673" s="10"/>
      <c r="N673" s="10"/>
      <c r="O673" s="10"/>
      <c r="P673" s="10"/>
      <c r="Q673" s="11"/>
      <c r="R673" s="9"/>
      <c r="S673" s="12"/>
      <c r="T673" s="5"/>
      <c r="U673" s="5"/>
      <c r="V673" s="4"/>
      <c r="W673" s="4"/>
      <c r="X673" s="4"/>
      <c r="Y673" s="4"/>
    </row>
    <row r="674">
      <c r="A674" s="5"/>
      <c r="B674" s="9"/>
      <c r="C674" s="5"/>
      <c r="D674" s="9"/>
      <c r="E674" s="9"/>
      <c r="F674" s="9"/>
      <c r="G674" s="9"/>
      <c r="H674" s="9"/>
      <c r="I674" s="9"/>
      <c r="J674" s="5"/>
      <c r="K674" s="4"/>
      <c r="L674" s="10"/>
      <c r="M674" s="10"/>
      <c r="N674" s="10"/>
      <c r="O674" s="10"/>
      <c r="P674" s="10"/>
      <c r="Q674" s="11"/>
      <c r="R674" s="9"/>
      <c r="S674" s="12"/>
      <c r="T674" s="5"/>
      <c r="U674" s="5"/>
      <c r="V674" s="4"/>
      <c r="W674" s="4"/>
      <c r="X674" s="4"/>
      <c r="Y674" s="4"/>
    </row>
    <row r="675">
      <c r="A675" s="5"/>
      <c r="B675" s="9"/>
      <c r="C675" s="5"/>
      <c r="D675" s="9"/>
      <c r="E675" s="9"/>
      <c r="F675" s="9"/>
      <c r="G675" s="9"/>
      <c r="H675" s="9"/>
      <c r="I675" s="9"/>
      <c r="J675" s="5"/>
      <c r="K675" s="4"/>
      <c r="L675" s="10"/>
      <c r="M675" s="10"/>
      <c r="N675" s="10"/>
      <c r="O675" s="10"/>
      <c r="P675" s="10"/>
      <c r="Q675" s="11"/>
      <c r="R675" s="9"/>
      <c r="S675" s="12"/>
      <c r="T675" s="5"/>
      <c r="U675" s="5"/>
      <c r="V675" s="4"/>
      <c r="W675" s="4"/>
      <c r="X675" s="4"/>
      <c r="Y675" s="4"/>
    </row>
    <row r="676">
      <c r="A676" s="5"/>
      <c r="B676" s="9"/>
      <c r="C676" s="5"/>
      <c r="D676" s="9"/>
      <c r="E676" s="9"/>
      <c r="F676" s="9"/>
      <c r="G676" s="9"/>
      <c r="H676" s="9"/>
      <c r="I676" s="9"/>
      <c r="J676" s="5"/>
      <c r="K676" s="4"/>
      <c r="L676" s="10"/>
      <c r="M676" s="10"/>
      <c r="N676" s="10"/>
      <c r="O676" s="10"/>
      <c r="P676" s="10"/>
      <c r="Q676" s="11"/>
      <c r="R676" s="9"/>
      <c r="S676" s="12"/>
      <c r="T676" s="5"/>
      <c r="U676" s="5"/>
      <c r="V676" s="4"/>
      <c r="W676" s="4"/>
      <c r="X676" s="4"/>
      <c r="Y676" s="4"/>
    </row>
    <row r="677">
      <c r="A677" s="5"/>
      <c r="B677" s="9"/>
      <c r="C677" s="5"/>
      <c r="D677" s="9"/>
      <c r="E677" s="9"/>
      <c r="F677" s="9"/>
      <c r="G677" s="9"/>
      <c r="H677" s="9"/>
      <c r="I677" s="9"/>
      <c r="J677" s="5"/>
      <c r="K677" s="4"/>
      <c r="L677" s="10"/>
      <c r="M677" s="10"/>
      <c r="N677" s="10"/>
      <c r="O677" s="10"/>
      <c r="P677" s="10"/>
      <c r="Q677" s="11"/>
      <c r="R677" s="9"/>
      <c r="S677" s="12"/>
      <c r="T677" s="5"/>
      <c r="U677" s="5"/>
      <c r="V677" s="4"/>
      <c r="W677" s="4"/>
      <c r="X677" s="4"/>
      <c r="Y677" s="4"/>
    </row>
    <row r="678">
      <c r="A678" s="5"/>
      <c r="B678" s="9"/>
      <c r="C678" s="5"/>
      <c r="D678" s="9"/>
      <c r="E678" s="9"/>
      <c r="F678" s="9"/>
      <c r="G678" s="9"/>
      <c r="H678" s="9"/>
      <c r="I678" s="9"/>
      <c r="J678" s="5"/>
      <c r="K678" s="4"/>
      <c r="L678" s="10"/>
      <c r="M678" s="10"/>
      <c r="N678" s="10"/>
      <c r="O678" s="10"/>
      <c r="P678" s="10"/>
      <c r="Q678" s="11"/>
      <c r="R678" s="9"/>
      <c r="S678" s="12"/>
      <c r="T678" s="5"/>
      <c r="U678" s="5"/>
      <c r="V678" s="4"/>
      <c r="W678" s="4"/>
      <c r="X678" s="4"/>
      <c r="Y678" s="4"/>
    </row>
    <row r="679">
      <c r="A679" s="5"/>
      <c r="B679" s="9"/>
      <c r="C679" s="5"/>
      <c r="D679" s="9"/>
      <c r="E679" s="9"/>
      <c r="F679" s="9"/>
      <c r="G679" s="9"/>
      <c r="H679" s="9"/>
      <c r="I679" s="9"/>
      <c r="J679" s="5"/>
      <c r="K679" s="4"/>
      <c r="L679" s="10"/>
      <c r="M679" s="10"/>
      <c r="N679" s="10"/>
      <c r="O679" s="10"/>
      <c r="P679" s="10"/>
      <c r="Q679" s="11"/>
      <c r="R679" s="9"/>
      <c r="S679" s="12"/>
      <c r="T679" s="5"/>
      <c r="U679" s="5"/>
      <c r="V679" s="4"/>
      <c r="W679" s="4"/>
      <c r="X679" s="4"/>
      <c r="Y679" s="4"/>
    </row>
    <row r="680">
      <c r="A680" s="5"/>
      <c r="B680" s="9"/>
      <c r="C680" s="5"/>
      <c r="D680" s="9"/>
      <c r="E680" s="9"/>
      <c r="F680" s="9"/>
      <c r="G680" s="9"/>
      <c r="H680" s="9"/>
      <c r="I680" s="9"/>
      <c r="J680" s="5"/>
      <c r="K680" s="4"/>
      <c r="L680" s="10"/>
      <c r="M680" s="10"/>
      <c r="N680" s="10"/>
      <c r="O680" s="10"/>
      <c r="P680" s="10"/>
      <c r="Q680" s="11"/>
      <c r="R680" s="9"/>
      <c r="S680" s="12"/>
      <c r="T680" s="5"/>
      <c r="U680" s="5"/>
      <c r="V680" s="4"/>
      <c r="W680" s="4"/>
      <c r="X680" s="4"/>
      <c r="Y680" s="4"/>
    </row>
    <row r="681">
      <c r="A681" s="5"/>
      <c r="B681" s="9"/>
      <c r="C681" s="5"/>
      <c r="D681" s="9"/>
      <c r="E681" s="9"/>
      <c r="F681" s="9"/>
      <c r="G681" s="9"/>
      <c r="H681" s="9"/>
      <c r="I681" s="9"/>
      <c r="J681" s="5"/>
      <c r="K681" s="4"/>
      <c r="L681" s="10"/>
      <c r="M681" s="10"/>
      <c r="N681" s="10"/>
      <c r="O681" s="10"/>
      <c r="P681" s="10"/>
      <c r="Q681" s="11"/>
      <c r="R681" s="9"/>
      <c r="S681" s="12"/>
      <c r="T681" s="5"/>
      <c r="U681" s="5"/>
      <c r="V681" s="4"/>
      <c r="W681" s="4"/>
      <c r="X681" s="4"/>
      <c r="Y681" s="4"/>
    </row>
    <row r="682">
      <c r="A682" s="5"/>
      <c r="B682" s="9"/>
      <c r="C682" s="5"/>
      <c r="D682" s="9"/>
      <c r="E682" s="9"/>
      <c r="F682" s="9"/>
      <c r="G682" s="9"/>
      <c r="H682" s="9"/>
      <c r="I682" s="9"/>
      <c r="J682" s="5"/>
      <c r="K682" s="4"/>
      <c r="L682" s="10"/>
      <c r="M682" s="10"/>
      <c r="N682" s="10"/>
      <c r="O682" s="10"/>
      <c r="P682" s="10"/>
      <c r="Q682" s="11"/>
      <c r="R682" s="9"/>
      <c r="S682" s="12"/>
      <c r="T682" s="5"/>
      <c r="U682" s="5"/>
      <c r="V682" s="4"/>
      <c r="W682" s="4"/>
      <c r="X682" s="4"/>
      <c r="Y682" s="4"/>
    </row>
    <row r="683">
      <c r="A683" s="5"/>
      <c r="B683" s="9"/>
      <c r="C683" s="5"/>
      <c r="D683" s="9"/>
      <c r="E683" s="9"/>
      <c r="F683" s="9"/>
      <c r="G683" s="9"/>
      <c r="H683" s="9"/>
      <c r="I683" s="9"/>
      <c r="J683" s="5"/>
      <c r="K683" s="4"/>
      <c r="L683" s="10"/>
      <c r="M683" s="10"/>
      <c r="N683" s="10"/>
      <c r="O683" s="10"/>
      <c r="P683" s="10"/>
      <c r="Q683" s="11"/>
      <c r="R683" s="9"/>
      <c r="S683" s="12"/>
      <c r="T683" s="5"/>
      <c r="U683" s="5"/>
      <c r="V683" s="4"/>
      <c r="W683" s="4"/>
      <c r="X683" s="4"/>
      <c r="Y683" s="4"/>
    </row>
    <row r="684">
      <c r="A684" s="5"/>
      <c r="B684" s="9"/>
      <c r="C684" s="5"/>
      <c r="D684" s="9"/>
      <c r="E684" s="9"/>
      <c r="F684" s="9"/>
      <c r="G684" s="9"/>
      <c r="H684" s="9"/>
      <c r="I684" s="9"/>
      <c r="J684" s="5"/>
      <c r="K684" s="4"/>
      <c r="L684" s="10"/>
      <c r="M684" s="10"/>
      <c r="N684" s="10"/>
      <c r="O684" s="10"/>
      <c r="P684" s="10"/>
      <c r="Q684" s="11"/>
      <c r="R684" s="9"/>
      <c r="S684" s="12"/>
      <c r="T684" s="5"/>
      <c r="U684" s="5"/>
      <c r="V684" s="4"/>
      <c r="W684" s="4"/>
      <c r="X684" s="4"/>
      <c r="Y684" s="4"/>
    </row>
    <row r="685">
      <c r="A685" s="5"/>
      <c r="B685" s="9"/>
      <c r="C685" s="5"/>
      <c r="D685" s="9"/>
      <c r="E685" s="9"/>
      <c r="F685" s="9"/>
      <c r="G685" s="9"/>
      <c r="H685" s="9"/>
      <c r="I685" s="9"/>
      <c r="J685" s="5"/>
      <c r="K685" s="4"/>
      <c r="L685" s="10"/>
      <c r="M685" s="10"/>
      <c r="N685" s="10"/>
      <c r="O685" s="10"/>
      <c r="P685" s="10"/>
      <c r="Q685" s="11"/>
      <c r="R685" s="9"/>
      <c r="S685" s="12"/>
      <c r="T685" s="5"/>
      <c r="U685" s="5"/>
      <c r="V685" s="4"/>
      <c r="W685" s="4"/>
      <c r="X685" s="4"/>
      <c r="Y685" s="4"/>
    </row>
    <row r="686">
      <c r="A686" s="5"/>
      <c r="B686" s="9"/>
      <c r="C686" s="5"/>
      <c r="D686" s="9"/>
      <c r="E686" s="9"/>
      <c r="F686" s="9"/>
      <c r="G686" s="9"/>
      <c r="H686" s="9"/>
      <c r="I686" s="9"/>
      <c r="J686" s="5"/>
      <c r="K686" s="4"/>
      <c r="L686" s="10"/>
      <c r="M686" s="10"/>
      <c r="N686" s="10"/>
      <c r="O686" s="10"/>
      <c r="P686" s="10"/>
      <c r="Q686" s="11"/>
      <c r="R686" s="9"/>
      <c r="S686" s="12"/>
      <c r="T686" s="5"/>
      <c r="U686" s="5"/>
      <c r="V686" s="4"/>
      <c r="W686" s="4"/>
      <c r="X686" s="4"/>
      <c r="Y686" s="4"/>
    </row>
    <row r="687">
      <c r="A687" s="5"/>
      <c r="B687" s="9"/>
      <c r="C687" s="5"/>
      <c r="D687" s="9"/>
      <c r="E687" s="9"/>
      <c r="F687" s="9"/>
      <c r="G687" s="9"/>
      <c r="H687" s="9"/>
      <c r="I687" s="9"/>
      <c r="J687" s="5"/>
      <c r="K687" s="4"/>
      <c r="L687" s="10"/>
      <c r="M687" s="10"/>
      <c r="N687" s="10"/>
      <c r="O687" s="10"/>
      <c r="P687" s="10"/>
      <c r="Q687" s="11"/>
      <c r="R687" s="9"/>
      <c r="S687" s="12"/>
      <c r="T687" s="5"/>
      <c r="U687" s="5"/>
      <c r="V687" s="4"/>
      <c r="W687" s="4"/>
      <c r="X687" s="4"/>
      <c r="Y687" s="4"/>
    </row>
    <row r="688">
      <c r="A688" s="5"/>
      <c r="B688" s="9"/>
      <c r="C688" s="5"/>
      <c r="D688" s="9"/>
      <c r="E688" s="9"/>
      <c r="F688" s="9"/>
      <c r="G688" s="9"/>
      <c r="H688" s="9"/>
      <c r="I688" s="9"/>
      <c r="J688" s="5"/>
      <c r="K688" s="4"/>
      <c r="L688" s="10"/>
      <c r="M688" s="10"/>
      <c r="N688" s="10"/>
      <c r="O688" s="10"/>
      <c r="P688" s="10"/>
      <c r="Q688" s="11"/>
      <c r="R688" s="9"/>
      <c r="S688" s="12"/>
      <c r="T688" s="5"/>
      <c r="U688" s="5"/>
      <c r="V688" s="4"/>
      <c r="W688" s="4"/>
      <c r="X688" s="4"/>
      <c r="Y688" s="4"/>
    </row>
    <row r="689">
      <c r="A689" s="5"/>
      <c r="B689" s="9"/>
      <c r="C689" s="5"/>
      <c r="D689" s="9"/>
      <c r="E689" s="9"/>
      <c r="F689" s="9"/>
      <c r="G689" s="9"/>
      <c r="H689" s="9"/>
      <c r="I689" s="9"/>
      <c r="J689" s="5"/>
      <c r="K689" s="4"/>
      <c r="L689" s="10"/>
      <c r="M689" s="10"/>
      <c r="N689" s="10"/>
      <c r="O689" s="10"/>
      <c r="P689" s="10"/>
      <c r="Q689" s="11"/>
      <c r="R689" s="9"/>
      <c r="S689" s="12"/>
      <c r="T689" s="5"/>
      <c r="U689" s="5"/>
      <c r="V689" s="4"/>
      <c r="W689" s="4"/>
      <c r="X689" s="4"/>
      <c r="Y689" s="4"/>
    </row>
    <row r="690">
      <c r="A690" s="5"/>
      <c r="B690" s="9"/>
      <c r="C690" s="5"/>
      <c r="D690" s="9"/>
      <c r="E690" s="9"/>
      <c r="F690" s="9"/>
      <c r="G690" s="9"/>
      <c r="H690" s="9"/>
      <c r="I690" s="9"/>
      <c r="J690" s="5"/>
      <c r="K690" s="4"/>
      <c r="L690" s="10"/>
      <c r="M690" s="10"/>
      <c r="N690" s="10"/>
      <c r="O690" s="10"/>
      <c r="P690" s="10"/>
      <c r="Q690" s="11"/>
      <c r="R690" s="9"/>
      <c r="S690" s="12"/>
      <c r="T690" s="5"/>
      <c r="U690" s="5"/>
      <c r="V690" s="4"/>
      <c r="W690" s="4"/>
      <c r="X690" s="4"/>
      <c r="Y690" s="4"/>
    </row>
    <row r="691">
      <c r="A691" s="5"/>
      <c r="B691" s="9"/>
      <c r="C691" s="5"/>
      <c r="D691" s="9"/>
      <c r="E691" s="9"/>
      <c r="F691" s="9"/>
      <c r="G691" s="9"/>
      <c r="H691" s="9"/>
      <c r="I691" s="9"/>
      <c r="J691" s="5"/>
      <c r="K691" s="4"/>
      <c r="L691" s="10"/>
      <c r="M691" s="10"/>
      <c r="N691" s="10"/>
      <c r="O691" s="10"/>
      <c r="P691" s="10"/>
      <c r="Q691" s="11"/>
      <c r="R691" s="9"/>
      <c r="S691" s="12"/>
      <c r="T691" s="5"/>
      <c r="U691" s="5"/>
      <c r="V691" s="4"/>
      <c r="W691" s="4"/>
      <c r="X691" s="4"/>
      <c r="Y691" s="4"/>
    </row>
    <row r="692">
      <c r="A692" s="5"/>
      <c r="B692" s="9"/>
      <c r="C692" s="5"/>
      <c r="D692" s="9"/>
      <c r="E692" s="9"/>
      <c r="F692" s="9"/>
      <c r="G692" s="9"/>
      <c r="H692" s="9"/>
      <c r="I692" s="9"/>
      <c r="J692" s="5"/>
      <c r="K692" s="4"/>
      <c r="L692" s="10"/>
      <c r="M692" s="10"/>
      <c r="N692" s="10"/>
      <c r="O692" s="10"/>
      <c r="P692" s="10"/>
      <c r="Q692" s="11"/>
      <c r="R692" s="9"/>
      <c r="S692" s="12"/>
      <c r="T692" s="5"/>
      <c r="U692" s="5"/>
      <c r="V692" s="4"/>
      <c r="W692" s="4"/>
      <c r="X692" s="4"/>
      <c r="Y692" s="4"/>
    </row>
    <row r="693">
      <c r="A693" s="5"/>
      <c r="B693" s="9"/>
      <c r="C693" s="5"/>
      <c r="D693" s="9"/>
      <c r="E693" s="9"/>
      <c r="F693" s="9"/>
      <c r="G693" s="9"/>
      <c r="H693" s="9"/>
      <c r="I693" s="9"/>
      <c r="J693" s="5"/>
      <c r="K693" s="4"/>
      <c r="L693" s="10"/>
      <c r="M693" s="10"/>
      <c r="N693" s="10"/>
      <c r="O693" s="10"/>
      <c r="P693" s="10"/>
      <c r="Q693" s="11"/>
      <c r="R693" s="9"/>
      <c r="S693" s="12"/>
      <c r="T693" s="5"/>
      <c r="U693" s="5"/>
      <c r="V693" s="4"/>
      <c r="W693" s="4"/>
      <c r="X693" s="4"/>
      <c r="Y693" s="4"/>
    </row>
    <row r="694">
      <c r="A694" s="5"/>
      <c r="B694" s="9"/>
      <c r="C694" s="5"/>
      <c r="D694" s="9"/>
      <c r="E694" s="9"/>
      <c r="F694" s="9"/>
      <c r="G694" s="9"/>
      <c r="H694" s="9"/>
      <c r="I694" s="9"/>
      <c r="J694" s="5"/>
      <c r="K694" s="4"/>
      <c r="L694" s="10"/>
      <c r="M694" s="10"/>
      <c r="N694" s="10"/>
      <c r="O694" s="10"/>
      <c r="P694" s="10"/>
      <c r="Q694" s="11"/>
      <c r="R694" s="9"/>
      <c r="S694" s="12"/>
      <c r="T694" s="5"/>
      <c r="U694" s="5"/>
      <c r="V694" s="4"/>
      <c r="W694" s="4"/>
      <c r="X694" s="4"/>
      <c r="Y694" s="4"/>
    </row>
    <row r="695">
      <c r="A695" s="5"/>
      <c r="B695" s="9"/>
      <c r="C695" s="5"/>
      <c r="D695" s="9"/>
      <c r="E695" s="9"/>
      <c r="F695" s="9"/>
      <c r="G695" s="9"/>
      <c r="H695" s="9"/>
      <c r="I695" s="9"/>
      <c r="J695" s="5"/>
      <c r="K695" s="4"/>
      <c r="L695" s="10"/>
      <c r="M695" s="10"/>
      <c r="N695" s="10"/>
      <c r="O695" s="10"/>
      <c r="P695" s="10"/>
      <c r="Q695" s="11"/>
      <c r="R695" s="9"/>
      <c r="S695" s="12"/>
      <c r="T695" s="5"/>
      <c r="U695" s="5"/>
      <c r="V695" s="4"/>
      <c r="W695" s="4"/>
      <c r="X695" s="4"/>
      <c r="Y695" s="4"/>
    </row>
    <row r="696">
      <c r="A696" s="5"/>
      <c r="B696" s="9"/>
      <c r="C696" s="5"/>
      <c r="D696" s="9"/>
      <c r="E696" s="9"/>
      <c r="F696" s="9"/>
      <c r="G696" s="9"/>
      <c r="H696" s="9"/>
      <c r="I696" s="9"/>
      <c r="J696" s="5"/>
      <c r="K696" s="4"/>
      <c r="L696" s="10"/>
      <c r="M696" s="10"/>
      <c r="N696" s="10"/>
      <c r="O696" s="10"/>
      <c r="P696" s="10"/>
      <c r="Q696" s="11"/>
      <c r="R696" s="9"/>
      <c r="S696" s="12"/>
      <c r="T696" s="5"/>
      <c r="U696" s="5"/>
      <c r="V696" s="4"/>
      <c r="W696" s="4"/>
      <c r="X696" s="4"/>
      <c r="Y696" s="4"/>
    </row>
    <row r="697">
      <c r="A697" s="5"/>
      <c r="B697" s="9"/>
      <c r="C697" s="5"/>
      <c r="D697" s="9"/>
      <c r="E697" s="9"/>
      <c r="F697" s="9"/>
      <c r="G697" s="9"/>
      <c r="H697" s="9"/>
      <c r="I697" s="9"/>
      <c r="J697" s="5"/>
      <c r="K697" s="4"/>
      <c r="L697" s="10"/>
      <c r="M697" s="10"/>
      <c r="N697" s="10"/>
      <c r="O697" s="10"/>
      <c r="P697" s="10"/>
      <c r="Q697" s="11"/>
      <c r="R697" s="9"/>
      <c r="S697" s="12"/>
      <c r="T697" s="5"/>
      <c r="U697" s="5"/>
      <c r="V697" s="4"/>
      <c r="W697" s="4"/>
      <c r="X697" s="4"/>
      <c r="Y697" s="4"/>
    </row>
    <row r="698">
      <c r="A698" s="5"/>
      <c r="B698" s="9"/>
      <c r="C698" s="5"/>
      <c r="D698" s="9"/>
      <c r="E698" s="9"/>
      <c r="F698" s="9"/>
      <c r="G698" s="9"/>
      <c r="H698" s="9"/>
      <c r="I698" s="9"/>
      <c r="J698" s="5"/>
      <c r="K698" s="4"/>
      <c r="L698" s="10"/>
      <c r="M698" s="10"/>
      <c r="N698" s="10"/>
      <c r="O698" s="10"/>
      <c r="P698" s="10"/>
      <c r="Q698" s="11"/>
      <c r="R698" s="9"/>
      <c r="S698" s="12"/>
      <c r="T698" s="5"/>
      <c r="U698" s="5"/>
      <c r="V698" s="4"/>
      <c r="W698" s="4"/>
      <c r="X698" s="4"/>
      <c r="Y698" s="4"/>
    </row>
    <row r="699">
      <c r="A699" s="5"/>
      <c r="B699" s="9"/>
      <c r="C699" s="5"/>
      <c r="D699" s="9"/>
      <c r="E699" s="9"/>
      <c r="F699" s="9"/>
      <c r="G699" s="9"/>
      <c r="H699" s="9"/>
      <c r="I699" s="9"/>
      <c r="J699" s="5"/>
      <c r="K699" s="4"/>
      <c r="L699" s="10"/>
      <c r="M699" s="10"/>
      <c r="N699" s="10"/>
      <c r="O699" s="10"/>
      <c r="P699" s="10"/>
      <c r="Q699" s="11"/>
      <c r="R699" s="9"/>
      <c r="S699" s="12"/>
      <c r="T699" s="5"/>
      <c r="U699" s="5"/>
      <c r="V699" s="4"/>
      <c r="W699" s="4"/>
      <c r="X699" s="4"/>
      <c r="Y699" s="4"/>
    </row>
    <row r="700">
      <c r="A700" s="5"/>
      <c r="B700" s="9"/>
      <c r="C700" s="5"/>
      <c r="D700" s="9"/>
      <c r="E700" s="9"/>
      <c r="F700" s="9"/>
      <c r="G700" s="9"/>
      <c r="H700" s="9"/>
      <c r="I700" s="9"/>
      <c r="J700" s="5"/>
      <c r="K700" s="4"/>
      <c r="L700" s="10"/>
      <c r="M700" s="10"/>
      <c r="N700" s="10"/>
      <c r="O700" s="10"/>
      <c r="P700" s="10"/>
      <c r="Q700" s="11"/>
      <c r="R700" s="9"/>
      <c r="S700" s="12"/>
      <c r="T700" s="5"/>
      <c r="U700" s="5"/>
      <c r="V700" s="4"/>
      <c r="W700" s="4"/>
      <c r="X700" s="4"/>
      <c r="Y700" s="4"/>
    </row>
    <row r="701">
      <c r="A701" s="5"/>
      <c r="B701" s="9"/>
      <c r="C701" s="5"/>
      <c r="D701" s="9"/>
      <c r="E701" s="9"/>
      <c r="F701" s="9"/>
      <c r="G701" s="9"/>
      <c r="H701" s="9"/>
      <c r="I701" s="9"/>
      <c r="J701" s="5"/>
      <c r="K701" s="4"/>
      <c r="L701" s="10"/>
      <c r="M701" s="10"/>
      <c r="N701" s="10"/>
      <c r="O701" s="10"/>
      <c r="P701" s="10"/>
      <c r="Q701" s="11"/>
      <c r="R701" s="9"/>
      <c r="S701" s="12"/>
      <c r="T701" s="5"/>
      <c r="U701" s="5"/>
      <c r="V701" s="4"/>
      <c r="W701" s="4"/>
      <c r="X701" s="4"/>
      <c r="Y701" s="4"/>
    </row>
    <row r="702">
      <c r="A702" s="5"/>
      <c r="B702" s="9"/>
      <c r="C702" s="5"/>
      <c r="D702" s="9"/>
      <c r="E702" s="9"/>
      <c r="F702" s="9"/>
      <c r="G702" s="9"/>
      <c r="H702" s="9"/>
      <c r="I702" s="9"/>
      <c r="J702" s="5"/>
      <c r="K702" s="4"/>
      <c r="L702" s="10"/>
      <c r="M702" s="10"/>
      <c r="N702" s="10"/>
      <c r="O702" s="10"/>
      <c r="P702" s="10"/>
      <c r="Q702" s="11"/>
      <c r="R702" s="9"/>
      <c r="S702" s="12"/>
      <c r="T702" s="5"/>
      <c r="U702" s="5"/>
      <c r="V702" s="4"/>
      <c r="W702" s="4"/>
      <c r="X702" s="4"/>
      <c r="Y702" s="4"/>
    </row>
    <row r="703">
      <c r="A703" s="5"/>
      <c r="B703" s="9"/>
      <c r="C703" s="5"/>
      <c r="D703" s="9"/>
      <c r="E703" s="9"/>
      <c r="F703" s="9"/>
      <c r="G703" s="9"/>
      <c r="H703" s="9"/>
      <c r="I703" s="9"/>
      <c r="J703" s="5"/>
      <c r="K703" s="4"/>
      <c r="L703" s="10"/>
      <c r="M703" s="10"/>
      <c r="N703" s="10"/>
      <c r="O703" s="10"/>
      <c r="P703" s="10"/>
      <c r="Q703" s="11"/>
      <c r="R703" s="9"/>
      <c r="S703" s="12"/>
      <c r="T703" s="5"/>
      <c r="U703" s="5"/>
      <c r="V703" s="4"/>
      <c r="W703" s="4"/>
      <c r="X703" s="4"/>
      <c r="Y703" s="4"/>
    </row>
    <row r="704">
      <c r="A704" s="5"/>
      <c r="B704" s="9"/>
      <c r="C704" s="5"/>
      <c r="D704" s="9"/>
      <c r="E704" s="9"/>
      <c r="F704" s="9"/>
      <c r="G704" s="9"/>
      <c r="H704" s="9"/>
      <c r="I704" s="9"/>
      <c r="J704" s="5"/>
      <c r="K704" s="4"/>
      <c r="L704" s="10"/>
      <c r="M704" s="10"/>
      <c r="N704" s="10"/>
      <c r="O704" s="10"/>
      <c r="P704" s="10"/>
      <c r="Q704" s="11"/>
      <c r="R704" s="9"/>
      <c r="S704" s="12"/>
      <c r="T704" s="5"/>
      <c r="U704" s="5"/>
      <c r="V704" s="4"/>
      <c r="W704" s="4"/>
      <c r="X704" s="4"/>
      <c r="Y704" s="4"/>
    </row>
    <row r="705">
      <c r="A705" s="5"/>
      <c r="B705" s="9"/>
      <c r="C705" s="5"/>
      <c r="D705" s="9"/>
      <c r="E705" s="9"/>
      <c r="F705" s="9"/>
      <c r="G705" s="9"/>
      <c r="H705" s="9"/>
      <c r="I705" s="9"/>
      <c r="J705" s="5"/>
      <c r="K705" s="4"/>
      <c r="L705" s="10"/>
      <c r="M705" s="10"/>
      <c r="N705" s="10"/>
      <c r="O705" s="10"/>
      <c r="P705" s="10"/>
      <c r="Q705" s="11"/>
      <c r="R705" s="9"/>
      <c r="S705" s="12"/>
      <c r="T705" s="5"/>
      <c r="U705" s="5"/>
      <c r="V705" s="4"/>
      <c r="W705" s="4"/>
      <c r="X705" s="4"/>
      <c r="Y705" s="4"/>
    </row>
    <row r="706">
      <c r="A706" s="5"/>
      <c r="B706" s="9"/>
      <c r="C706" s="5"/>
      <c r="D706" s="9"/>
      <c r="E706" s="9"/>
      <c r="F706" s="9"/>
      <c r="G706" s="9"/>
      <c r="H706" s="9"/>
      <c r="I706" s="9"/>
      <c r="J706" s="5"/>
      <c r="K706" s="4"/>
      <c r="L706" s="10"/>
      <c r="M706" s="10"/>
      <c r="N706" s="10"/>
      <c r="O706" s="10"/>
      <c r="P706" s="10"/>
      <c r="Q706" s="11"/>
      <c r="R706" s="9"/>
      <c r="S706" s="12"/>
      <c r="T706" s="5"/>
      <c r="U706" s="5"/>
      <c r="V706" s="4"/>
      <c r="W706" s="4"/>
      <c r="X706" s="4"/>
      <c r="Y706" s="4"/>
    </row>
    <row r="707">
      <c r="A707" s="5"/>
      <c r="B707" s="9"/>
      <c r="C707" s="5"/>
      <c r="D707" s="9"/>
      <c r="E707" s="9"/>
      <c r="F707" s="9"/>
      <c r="G707" s="9"/>
      <c r="H707" s="9"/>
      <c r="I707" s="9"/>
      <c r="J707" s="5"/>
      <c r="K707" s="4"/>
      <c r="L707" s="10"/>
      <c r="M707" s="10"/>
      <c r="N707" s="10"/>
      <c r="O707" s="10"/>
      <c r="P707" s="10"/>
      <c r="Q707" s="11"/>
      <c r="R707" s="9"/>
      <c r="S707" s="12"/>
      <c r="T707" s="5"/>
      <c r="U707" s="5"/>
      <c r="V707" s="4"/>
      <c r="W707" s="4"/>
      <c r="X707" s="4"/>
      <c r="Y707" s="4"/>
    </row>
    <row r="708">
      <c r="A708" s="5"/>
      <c r="B708" s="9"/>
      <c r="C708" s="5"/>
      <c r="D708" s="9"/>
      <c r="E708" s="9"/>
      <c r="F708" s="9"/>
      <c r="G708" s="9"/>
      <c r="H708" s="9"/>
      <c r="I708" s="9"/>
      <c r="J708" s="5"/>
      <c r="K708" s="4"/>
      <c r="L708" s="10"/>
      <c r="M708" s="10"/>
      <c r="N708" s="10"/>
      <c r="O708" s="10"/>
      <c r="P708" s="10"/>
      <c r="Q708" s="11"/>
      <c r="R708" s="9"/>
      <c r="S708" s="12"/>
      <c r="T708" s="5"/>
      <c r="U708" s="5"/>
      <c r="V708" s="4"/>
      <c r="W708" s="4"/>
      <c r="X708" s="4"/>
      <c r="Y708" s="4"/>
    </row>
    <row r="709">
      <c r="A709" s="5"/>
      <c r="B709" s="9"/>
      <c r="C709" s="5"/>
      <c r="D709" s="9"/>
      <c r="E709" s="9"/>
      <c r="F709" s="9"/>
      <c r="G709" s="9"/>
      <c r="H709" s="9"/>
      <c r="I709" s="9"/>
      <c r="J709" s="5"/>
      <c r="K709" s="4"/>
      <c r="L709" s="10"/>
      <c r="M709" s="10"/>
      <c r="N709" s="10"/>
      <c r="O709" s="10"/>
      <c r="P709" s="10"/>
      <c r="Q709" s="11"/>
      <c r="R709" s="9"/>
      <c r="S709" s="12"/>
      <c r="T709" s="5"/>
      <c r="U709" s="5"/>
      <c r="V709" s="4"/>
      <c r="W709" s="4"/>
      <c r="X709" s="4"/>
      <c r="Y709" s="4"/>
    </row>
    <row r="710">
      <c r="A710" s="5"/>
      <c r="B710" s="9"/>
      <c r="C710" s="5"/>
      <c r="D710" s="9"/>
      <c r="E710" s="9"/>
      <c r="F710" s="9"/>
      <c r="G710" s="9"/>
      <c r="H710" s="9"/>
      <c r="I710" s="9"/>
      <c r="J710" s="5"/>
      <c r="K710" s="4"/>
      <c r="L710" s="10"/>
      <c r="M710" s="10"/>
      <c r="N710" s="10"/>
      <c r="O710" s="10"/>
      <c r="P710" s="10"/>
      <c r="Q710" s="11"/>
      <c r="R710" s="9"/>
      <c r="S710" s="12"/>
      <c r="T710" s="5"/>
      <c r="U710" s="5"/>
      <c r="V710" s="4"/>
      <c r="W710" s="4"/>
      <c r="X710" s="4"/>
      <c r="Y710" s="4"/>
    </row>
    <row r="711">
      <c r="A711" s="5"/>
      <c r="B711" s="9"/>
      <c r="C711" s="5"/>
      <c r="D711" s="9"/>
      <c r="E711" s="9"/>
      <c r="F711" s="9"/>
      <c r="G711" s="9"/>
      <c r="H711" s="9"/>
      <c r="I711" s="9"/>
      <c r="J711" s="5"/>
      <c r="K711" s="4"/>
      <c r="L711" s="10"/>
      <c r="M711" s="10"/>
      <c r="N711" s="10"/>
      <c r="O711" s="10"/>
      <c r="P711" s="10"/>
      <c r="Q711" s="11"/>
      <c r="R711" s="9"/>
      <c r="S711" s="12"/>
      <c r="T711" s="5"/>
      <c r="U711" s="5"/>
      <c r="V711" s="4"/>
      <c r="W711" s="4"/>
      <c r="X711" s="4"/>
      <c r="Y711" s="4"/>
    </row>
    <row r="712">
      <c r="A712" s="5"/>
      <c r="B712" s="9"/>
      <c r="C712" s="5"/>
      <c r="D712" s="9"/>
      <c r="E712" s="9"/>
      <c r="F712" s="9"/>
      <c r="G712" s="9"/>
      <c r="H712" s="9"/>
      <c r="I712" s="9"/>
      <c r="J712" s="5"/>
      <c r="K712" s="4"/>
      <c r="L712" s="10"/>
      <c r="M712" s="10"/>
      <c r="N712" s="10"/>
      <c r="O712" s="10"/>
      <c r="P712" s="10"/>
      <c r="Q712" s="11"/>
      <c r="R712" s="9"/>
      <c r="S712" s="12"/>
      <c r="T712" s="5"/>
      <c r="U712" s="5"/>
      <c r="V712" s="4"/>
      <c r="W712" s="4"/>
      <c r="X712" s="4"/>
      <c r="Y712" s="4"/>
    </row>
    <row r="713">
      <c r="A713" s="5"/>
      <c r="B713" s="9"/>
      <c r="C713" s="5"/>
      <c r="D713" s="9"/>
      <c r="E713" s="9"/>
      <c r="F713" s="9"/>
      <c r="G713" s="9"/>
      <c r="H713" s="9"/>
      <c r="I713" s="9"/>
      <c r="J713" s="5"/>
      <c r="K713" s="4"/>
      <c r="L713" s="10"/>
      <c r="M713" s="10"/>
      <c r="N713" s="10"/>
      <c r="O713" s="10"/>
      <c r="P713" s="10"/>
      <c r="Q713" s="11"/>
      <c r="R713" s="9"/>
      <c r="S713" s="12"/>
      <c r="T713" s="5"/>
      <c r="U713" s="5"/>
      <c r="V713" s="4"/>
      <c r="W713" s="4"/>
      <c r="X713" s="4"/>
      <c r="Y713" s="4"/>
    </row>
    <row r="714">
      <c r="A714" s="5"/>
      <c r="B714" s="9"/>
      <c r="C714" s="5"/>
      <c r="D714" s="9"/>
      <c r="E714" s="9"/>
      <c r="F714" s="9"/>
      <c r="G714" s="9"/>
      <c r="H714" s="9"/>
      <c r="I714" s="9"/>
      <c r="J714" s="5"/>
      <c r="K714" s="4"/>
      <c r="L714" s="10"/>
      <c r="M714" s="10"/>
      <c r="N714" s="10"/>
      <c r="O714" s="10"/>
      <c r="P714" s="10"/>
      <c r="Q714" s="11"/>
      <c r="R714" s="9"/>
      <c r="S714" s="12"/>
      <c r="T714" s="5"/>
      <c r="U714" s="5"/>
      <c r="V714" s="4"/>
      <c r="W714" s="4"/>
      <c r="X714" s="4"/>
      <c r="Y714" s="4"/>
    </row>
    <row r="715">
      <c r="A715" s="5"/>
      <c r="B715" s="9"/>
      <c r="C715" s="5"/>
      <c r="D715" s="9"/>
      <c r="E715" s="9"/>
      <c r="F715" s="9"/>
      <c r="G715" s="9"/>
      <c r="H715" s="9"/>
      <c r="I715" s="9"/>
      <c r="J715" s="5"/>
      <c r="K715" s="4"/>
      <c r="L715" s="10"/>
      <c r="M715" s="10"/>
      <c r="N715" s="10"/>
      <c r="O715" s="10"/>
      <c r="P715" s="10"/>
      <c r="Q715" s="11"/>
      <c r="R715" s="9"/>
      <c r="S715" s="12"/>
      <c r="T715" s="5"/>
      <c r="U715" s="5"/>
      <c r="V715" s="4"/>
      <c r="W715" s="4"/>
      <c r="X715" s="4"/>
      <c r="Y715" s="4"/>
    </row>
    <row r="716">
      <c r="A716" s="5"/>
      <c r="B716" s="9"/>
      <c r="C716" s="5"/>
      <c r="D716" s="9"/>
      <c r="E716" s="9"/>
      <c r="F716" s="9"/>
      <c r="G716" s="9"/>
      <c r="H716" s="9"/>
      <c r="I716" s="9"/>
      <c r="J716" s="5"/>
      <c r="K716" s="4"/>
      <c r="L716" s="10"/>
      <c r="M716" s="10"/>
      <c r="N716" s="10"/>
      <c r="O716" s="10"/>
      <c r="P716" s="10"/>
      <c r="Q716" s="11"/>
      <c r="R716" s="9"/>
      <c r="S716" s="12"/>
      <c r="T716" s="5"/>
      <c r="U716" s="5"/>
      <c r="V716" s="4"/>
      <c r="W716" s="4"/>
      <c r="X716" s="4"/>
      <c r="Y716" s="4"/>
    </row>
    <row r="717">
      <c r="A717" s="5"/>
      <c r="B717" s="9"/>
      <c r="C717" s="5"/>
      <c r="D717" s="9"/>
      <c r="E717" s="9"/>
      <c r="F717" s="9"/>
      <c r="G717" s="9"/>
      <c r="H717" s="9"/>
      <c r="I717" s="9"/>
      <c r="J717" s="5"/>
      <c r="K717" s="4"/>
      <c r="L717" s="10"/>
      <c r="M717" s="10"/>
      <c r="N717" s="10"/>
      <c r="O717" s="10"/>
      <c r="P717" s="10"/>
      <c r="Q717" s="11"/>
      <c r="R717" s="9"/>
      <c r="S717" s="12"/>
      <c r="T717" s="5"/>
      <c r="U717" s="5"/>
      <c r="V717" s="4"/>
      <c r="W717" s="4"/>
      <c r="X717" s="4"/>
      <c r="Y717" s="4"/>
    </row>
    <row r="718">
      <c r="A718" s="5"/>
      <c r="B718" s="9"/>
      <c r="C718" s="5"/>
      <c r="D718" s="9"/>
      <c r="E718" s="9"/>
      <c r="F718" s="9"/>
      <c r="G718" s="9"/>
      <c r="H718" s="9"/>
      <c r="I718" s="9"/>
      <c r="J718" s="5"/>
      <c r="K718" s="4"/>
      <c r="L718" s="10"/>
      <c r="M718" s="10"/>
      <c r="N718" s="10"/>
      <c r="O718" s="10"/>
      <c r="P718" s="10"/>
      <c r="Q718" s="11"/>
      <c r="R718" s="9"/>
      <c r="S718" s="12"/>
      <c r="T718" s="5"/>
      <c r="U718" s="5"/>
      <c r="V718" s="4"/>
      <c r="W718" s="4"/>
      <c r="X718" s="4"/>
      <c r="Y718" s="4"/>
    </row>
    <row r="719">
      <c r="A719" s="5"/>
      <c r="B719" s="9"/>
      <c r="C719" s="5"/>
      <c r="D719" s="9"/>
      <c r="E719" s="9"/>
      <c r="F719" s="9"/>
      <c r="G719" s="9"/>
      <c r="H719" s="9"/>
      <c r="I719" s="9"/>
      <c r="J719" s="5"/>
      <c r="K719" s="4"/>
      <c r="L719" s="10"/>
      <c r="M719" s="10"/>
      <c r="N719" s="10"/>
      <c r="O719" s="10"/>
      <c r="P719" s="10"/>
      <c r="Q719" s="11"/>
      <c r="R719" s="9"/>
      <c r="S719" s="12"/>
      <c r="T719" s="5"/>
      <c r="U719" s="5"/>
      <c r="V719" s="4"/>
      <c r="W719" s="4"/>
      <c r="X719" s="4"/>
      <c r="Y719" s="4"/>
    </row>
    <row r="720">
      <c r="A720" s="5"/>
      <c r="B720" s="9"/>
      <c r="C720" s="5"/>
      <c r="D720" s="9"/>
      <c r="E720" s="9"/>
      <c r="F720" s="9"/>
      <c r="G720" s="9"/>
      <c r="H720" s="9"/>
      <c r="I720" s="9"/>
      <c r="J720" s="5"/>
      <c r="K720" s="4"/>
      <c r="L720" s="10"/>
      <c r="M720" s="10"/>
      <c r="N720" s="10"/>
      <c r="O720" s="10"/>
      <c r="P720" s="10"/>
      <c r="Q720" s="11"/>
      <c r="R720" s="9"/>
      <c r="S720" s="12"/>
      <c r="T720" s="5"/>
      <c r="U720" s="5"/>
      <c r="V720" s="4"/>
      <c r="W720" s="4"/>
      <c r="X720" s="4"/>
      <c r="Y720" s="4"/>
    </row>
    <row r="721">
      <c r="A721" s="5"/>
      <c r="B721" s="9"/>
      <c r="C721" s="5"/>
      <c r="D721" s="9"/>
      <c r="E721" s="9"/>
      <c r="F721" s="9"/>
      <c r="G721" s="9"/>
      <c r="H721" s="9"/>
      <c r="I721" s="9"/>
      <c r="J721" s="5"/>
      <c r="K721" s="4"/>
      <c r="L721" s="10"/>
      <c r="M721" s="10"/>
      <c r="N721" s="10"/>
      <c r="O721" s="10"/>
      <c r="P721" s="10"/>
      <c r="Q721" s="11"/>
      <c r="R721" s="9"/>
      <c r="S721" s="12"/>
      <c r="T721" s="5"/>
      <c r="U721" s="5"/>
      <c r="V721" s="4"/>
      <c r="W721" s="4"/>
      <c r="X721" s="4"/>
      <c r="Y721" s="4"/>
    </row>
    <row r="722">
      <c r="A722" s="5"/>
      <c r="B722" s="9"/>
      <c r="C722" s="5"/>
      <c r="D722" s="9"/>
      <c r="E722" s="9"/>
      <c r="F722" s="9"/>
      <c r="G722" s="9"/>
      <c r="H722" s="9"/>
      <c r="I722" s="9"/>
      <c r="J722" s="5"/>
      <c r="K722" s="4"/>
      <c r="L722" s="10"/>
      <c r="M722" s="10"/>
      <c r="N722" s="10"/>
      <c r="O722" s="10"/>
      <c r="P722" s="10"/>
      <c r="Q722" s="11"/>
      <c r="R722" s="9"/>
      <c r="S722" s="12"/>
      <c r="T722" s="5"/>
      <c r="U722" s="5"/>
      <c r="V722" s="4"/>
      <c r="W722" s="4"/>
      <c r="X722" s="4"/>
      <c r="Y722" s="4"/>
    </row>
    <row r="723">
      <c r="A723" s="5"/>
      <c r="B723" s="9"/>
      <c r="C723" s="5"/>
      <c r="D723" s="9"/>
      <c r="E723" s="9"/>
      <c r="F723" s="9"/>
      <c r="G723" s="9"/>
      <c r="H723" s="9"/>
      <c r="I723" s="9"/>
      <c r="J723" s="5"/>
      <c r="K723" s="4"/>
      <c r="L723" s="10"/>
      <c r="M723" s="10"/>
      <c r="N723" s="10"/>
      <c r="O723" s="10"/>
      <c r="P723" s="10"/>
      <c r="Q723" s="11"/>
      <c r="R723" s="9"/>
      <c r="S723" s="12"/>
      <c r="T723" s="5"/>
      <c r="U723" s="5"/>
      <c r="V723" s="4"/>
      <c r="W723" s="4"/>
      <c r="X723" s="4"/>
      <c r="Y723" s="4"/>
    </row>
    <row r="724">
      <c r="A724" s="5"/>
      <c r="B724" s="9"/>
      <c r="C724" s="5"/>
      <c r="D724" s="9"/>
      <c r="E724" s="9"/>
      <c r="F724" s="9"/>
      <c r="G724" s="9"/>
      <c r="H724" s="9"/>
      <c r="I724" s="9"/>
      <c r="J724" s="5"/>
      <c r="K724" s="4"/>
      <c r="L724" s="10"/>
      <c r="M724" s="10"/>
      <c r="N724" s="10"/>
      <c r="O724" s="10"/>
      <c r="P724" s="10"/>
      <c r="Q724" s="11"/>
      <c r="R724" s="9"/>
      <c r="S724" s="12"/>
      <c r="T724" s="5"/>
      <c r="U724" s="5"/>
      <c r="V724" s="4"/>
      <c r="W724" s="4"/>
      <c r="X724" s="4"/>
      <c r="Y724" s="4"/>
    </row>
    <row r="725">
      <c r="A725" s="5"/>
      <c r="B725" s="9"/>
      <c r="C725" s="5"/>
      <c r="D725" s="9"/>
      <c r="E725" s="9"/>
      <c r="F725" s="9"/>
      <c r="G725" s="9"/>
      <c r="H725" s="9"/>
      <c r="I725" s="9"/>
      <c r="J725" s="5"/>
      <c r="K725" s="4"/>
      <c r="L725" s="10"/>
      <c r="M725" s="10"/>
      <c r="N725" s="10"/>
      <c r="O725" s="10"/>
      <c r="P725" s="10"/>
      <c r="Q725" s="11"/>
      <c r="R725" s="9"/>
      <c r="S725" s="12"/>
      <c r="T725" s="5"/>
      <c r="U725" s="5"/>
      <c r="V725" s="4"/>
      <c r="W725" s="4"/>
      <c r="X725" s="4"/>
      <c r="Y725" s="4"/>
    </row>
    <row r="726">
      <c r="A726" s="5"/>
      <c r="B726" s="9"/>
      <c r="C726" s="5"/>
      <c r="D726" s="9"/>
      <c r="E726" s="9"/>
      <c r="F726" s="9"/>
      <c r="G726" s="9"/>
      <c r="H726" s="9"/>
      <c r="I726" s="9"/>
      <c r="J726" s="5"/>
      <c r="K726" s="4"/>
      <c r="L726" s="10"/>
      <c r="M726" s="10"/>
      <c r="N726" s="10"/>
      <c r="O726" s="10"/>
      <c r="P726" s="10"/>
      <c r="Q726" s="11"/>
      <c r="R726" s="9"/>
      <c r="S726" s="12"/>
      <c r="T726" s="5"/>
      <c r="U726" s="5"/>
      <c r="V726" s="4"/>
      <c r="W726" s="4"/>
      <c r="X726" s="4"/>
      <c r="Y726" s="4"/>
    </row>
    <row r="727">
      <c r="A727" s="5"/>
      <c r="B727" s="9"/>
      <c r="C727" s="5"/>
      <c r="D727" s="9"/>
      <c r="E727" s="9"/>
      <c r="F727" s="9"/>
      <c r="G727" s="9"/>
      <c r="H727" s="9"/>
      <c r="I727" s="9"/>
      <c r="J727" s="5"/>
      <c r="K727" s="4"/>
      <c r="L727" s="10"/>
      <c r="M727" s="10"/>
      <c r="N727" s="10"/>
      <c r="O727" s="10"/>
      <c r="P727" s="10"/>
      <c r="Q727" s="11"/>
      <c r="R727" s="9"/>
      <c r="S727" s="12"/>
      <c r="T727" s="5"/>
      <c r="U727" s="5"/>
      <c r="V727" s="4"/>
      <c r="W727" s="4"/>
      <c r="X727" s="4"/>
      <c r="Y727" s="4"/>
    </row>
    <row r="728">
      <c r="A728" s="5"/>
      <c r="B728" s="9"/>
      <c r="C728" s="5"/>
      <c r="D728" s="9"/>
      <c r="E728" s="9"/>
      <c r="F728" s="9"/>
      <c r="G728" s="9"/>
      <c r="H728" s="9"/>
      <c r="I728" s="9"/>
      <c r="J728" s="5"/>
      <c r="K728" s="4"/>
      <c r="L728" s="10"/>
      <c r="M728" s="10"/>
      <c r="N728" s="10"/>
      <c r="O728" s="10"/>
      <c r="P728" s="10"/>
      <c r="Q728" s="11"/>
      <c r="R728" s="9"/>
      <c r="S728" s="12"/>
      <c r="T728" s="5"/>
      <c r="U728" s="5"/>
      <c r="V728" s="4"/>
      <c r="W728" s="4"/>
      <c r="X728" s="4"/>
      <c r="Y728" s="4"/>
    </row>
    <row r="729">
      <c r="A729" s="5"/>
      <c r="B729" s="9"/>
      <c r="C729" s="5"/>
      <c r="D729" s="9"/>
      <c r="E729" s="9"/>
      <c r="F729" s="9"/>
      <c r="G729" s="9"/>
      <c r="H729" s="9"/>
      <c r="I729" s="9"/>
      <c r="J729" s="5"/>
      <c r="K729" s="4"/>
      <c r="L729" s="10"/>
      <c r="M729" s="10"/>
      <c r="N729" s="10"/>
      <c r="O729" s="10"/>
      <c r="P729" s="10"/>
      <c r="Q729" s="11"/>
      <c r="R729" s="9"/>
      <c r="S729" s="12"/>
      <c r="T729" s="5"/>
      <c r="U729" s="5"/>
      <c r="V729" s="4"/>
      <c r="W729" s="4"/>
      <c r="X729" s="4"/>
      <c r="Y729" s="4"/>
    </row>
    <row r="730">
      <c r="A730" s="5"/>
      <c r="B730" s="9"/>
      <c r="C730" s="5"/>
      <c r="D730" s="9"/>
      <c r="E730" s="9"/>
      <c r="F730" s="9"/>
      <c r="G730" s="9"/>
      <c r="H730" s="9"/>
      <c r="I730" s="9"/>
      <c r="J730" s="5"/>
      <c r="K730" s="4"/>
      <c r="L730" s="10"/>
      <c r="M730" s="10"/>
      <c r="N730" s="10"/>
      <c r="O730" s="10"/>
      <c r="P730" s="10"/>
      <c r="Q730" s="11"/>
      <c r="R730" s="9"/>
      <c r="S730" s="12"/>
      <c r="T730" s="5"/>
      <c r="U730" s="5"/>
      <c r="V730" s="4"/>
      <c r="W730" s="4"/>
      <c r="X730" s="4"/>
      <c r="Y730" s="4"/>
    </row>
    <row r="731">
      <c r="A731" s="5"/>
      <c r="B731" s="9"/>
      <c r="C731" s="5"/>
      <c r="D731" s="9"/>
      <c r="E731" s="9"/>
      <c r="F731" s="9"/>
      <c r="G731" s="9"/>
      <c r="H731" s="9"/>
      <c r="I731" s="9"/>
      <c r="J731" s="5"/>
      <c r="K731" s="4"/>
      <c r="L731" s="10"/>
      <c r="M731" s="10"/>
      <c r="N731" s="10"/>
      <c r="O731" s="10"/>
      <c r="P731" s="10"/>
      <c r="Q731" s="11"/>
      <c r="R731" s="9"/>
      <c r="S731" s="12"/>
      <c r="T731" s="5"/>
      <c r="U731" s="5"/>
      <c r="V731" s="4"/>
      <c r="W731" s="4"/>
      <c r="X731" s="4"/>
      <c r="Y731" s="4"/>
    </row>
    <row r="732">
      <c r="A732" s="5"/>
      <c r="B732" s="9"/>
      <c r="C732" s="5"/>
      <c r="D732" s="9"/>
      <c r="E732" s="9"/>
      <c r="F732" s="9"/>
      <c r="G732" s="9"/>
      <c r="H732" s="9"/>
      <c r="I732" s="9"/>
      <c r="J732" s="5"/>
      <c r="K732" s="4"/>
      <c r="L732" s="10"/>
      <c r="M732" s="10"/>
      <c r="N732" s="10"/>
      <c r="O732" s="10"/>
      <c r="P732" s="10"/>
      <c r="Q732" s="11"/>
      <c r="R732" s="9"/>
      <c r="S732" s="12"/>
      <c r="T732" s="5"/>
      <c r="U732" s="5"/>
      <c r="V732" s="4"/>
      <c r="W732" s="4"/>
      <c r="X732" s="4"/>
      <c r="Y732" s="4"/>
    </row>
    <row r="733">
      <c r="A733" s="5"/>
      <c r="B733" s="9"/>
      <c r="C733" s="5"/>
      <c r="D733" s="9"/>
      <c r="E733" s="9"/>
      <c r="F733" s="9"/>
      <c r="G733" s="9"/>
      <c r="H733" s="9"/>
      <c r="I733" s="9"/>
      <c r="J733" s="5"/>
      <c r="K733" s="4"/>
      <c r="L733" s="10"/>
      <c r="M733" s="10"/>
      <c r="N733" s="10"/>
      <c r="O733" s="10"/>
      <c r="P733" s="10"/>
      <c r="Q733" s="11"/>
      <c r="R733" s="9"/>
      <c r="S733" s="12"/>
      <c r="T733" s="5"/>
      <c r="U733" s="5"/>
      <c r="V733" s="4"/>
      <c r="W733" s="4"/>
      <c r="X733" s="4"/>
      <c r="Y733" s="4"/>
    </row>
    <row r="734">
      <c r="A734" s="5"/>
      <c r="B734" s="9"/>
      <c r="C734" s="5"/>
      <c r="D734" s="9"/>
      <c r="E734" s="9"/>
      <c r="F734" s="9"/>
      <c r="G734" s="9"/>
      <c r="H734" s="9"/>
      <c r="I734" s="9"/>
      <c r="J734" s="5"/>
      <c r="K734" s="4"/>
      <c r="L734" s="10"/>
      <c r="M734" s="10"/>
      <c r="N734" s="10"/>
      <c r="O734" s="10"/>
      <c r="P734" s="10"/>
      <c r="Q734" s="11"/>
      <c r="R734" s="9"/>
      <c r="S734" s="12"/>
      <c r="T734" s="5"/>
      <c r="U734" s="5"/>
      <c r="V734" s="4"/>
      <c r="W734" s="4"/>
      <c r="X734" s="4"/>
      <c r="Y734" s="4"/>
    </row>
    <row r="735">
      <c r="A735" s="5"/>
      <c r="B735" s="9"/>
      <c r="C735" s="5"/>
      <c r="D735" s="9"/>
      <c r="E735" s="9"/>
      <c r="F735" s="9"/>
      <c r="G735" s="9"/>
      <c r="H735" s="9"/>
      <c r="I735" s="9"/>
      <c r="J735" s="5"/>
      <c r="K735" s="4"/>
      <c r="L735" s="10"/>
      <c r="M735" s="10"/>
      <c r="N735" s="10"/>
      <c r="O735" s="10"/>
      <c r="P735" s="10"/>
      <c r="Q735" s="11"/>
      <c r="R735" s="9"/>
      <c r="S735" s="12"/>
      <c r="T735" s="5"/>
      <c r="U735" s="5"/>
      <c r="V735" s="4"/>
      <c r="W735" s="4"/>
      <c r="X735" s="4"/>
      <c r="Y735" s="4"/>
    </row>
    <row r="736">
      <c r="A736" s="5"/>
      <c r="B736" s="9"/>
      <c r="C736" s="5"/>
      <c r="D736" s="9"/>
      <c r="E736" s="9"/>
      <c r="F736" s="9"/>
      <c r="G736" s="9"/>
      <c r="H736" s="9"/>
      <c r="I736" s="9"/>
      <c r="J736" s="5"/>
      <c r="K736" s="4"/>
      <c r="L736" s="10"/>
      <c r="M736" s="10"/>
      <c r="N736" s="10"/>
      <c r="O736" s="10"/>
      <c r="P736" s="10"/>
      <c r="Q736" s="11"/>
      <c r="R736" s="9"/>
      <c r="S736" s="12"/>
      <c r="T736" s="5"/>
      <c r="U736" s="5"/>
      <c r="V736" s="4"/>
      <c r="W736" s="4"/>
      <c r="X736" s="4"/>
      <c r="Y736" s="4"/>
    </row>
    <row r="737">
      <c r="A737" s="5"/>
      <c r="B737" s="9"/>
      <c r="C737" s="5"/>
      <c r="D737" s="9"/>
      <c r="E737" s="9"/>
      <c r="F737" s="9"/>
      <c r="G737" s="9"/>
      <c r="H737" s="9"/>
      <c r="I737" s="9"/>
      <c r="J737" s="5"/>
      <c r="K737" s="4"/>
      <c r="L737" s="10"/>
      <c r="M737" s="10"/>
      <c r="N737" s="10"/>
      <c r="O737" s="10"/>
      <c r="P737" s="10"/>
      <c r="Q737" s="11"/>
      <c r="R737" s="9"/>
      <c r="S737" s="12"/>
      <c r="T737" s="5"/>
      <c r="U737" s="5"/>
      <c r="V737" s="4"/>
      <c r="W737" s="4"/>
      <c r="X737" s="4"/>
      <c r="Y737" s="4"/>
    </row>
    <row r="738">
      <c r="A738" s="5"/>
      <c r="B738" s="9"/>
      <c r="C738" s="5"/>
      <c r="D738" s="9"/>
      <c r="E738" s="9"/>
      <c r="F738" s="9"/>
      <c r="G738" s="9"/>
      <c r="H738" s="9"/>
      <c r="I738" s="9"/>
      <c r="J738" s="5"/>
      <c r="K738" s="4"/>
      <c r="L738" s="10"/>
      <c r="M738" s="10"/>
      <c r="N738" s="10"/>
      <c r="O738" s="10"/>
      <c r="P738" s="10"/>
      <c r="Q738" s="11"/>
      <c r="R738" s="9"/>
      <c r="S738" s="12"/>
      <c r="T738" s="5"/>
      <c r="U738" s="5"/>
      <c r="V738" s="4"/>
      <c r="W738" s="4"/>
      <c r="X738" s="4"/>
      <c r="Y738" s="4"/>
    </row>
    <row r="739">
      <c r="A739" s="5"/>
      <c r="B739" s="9"/>
      <c r="C739" s="5"/>
      <c r="D739" s="9"/>
      <c r="E739" s="9"/>
      <c r="F739" s="9"/>
      <c r="G739" s="9"/>
      <c r="H739" s="9"/>
      <c r="I739" s="9"/>
      <c r="J739" s="5"/>
      <c r="K739" s="4"/>
      <c r="L739" s="10"/>
      <c r="M739" s="10"/>
      <c r="N739" s="10"/>
      <c r="O739" s="10"/>
      <c r="P739" s="10"/>
      <c r="Q739" s="11"/>
      <c r="R739" s="9"/>
      <c r="S739" s="12"/>
      <c r="T739" s="5"/>
      <c r="U739" s="5"/>
      <c r="V739" s="4"/>
      <c r="W739" s="4"/>
      <c r="X739" s="4"/>
      <c r="Y739" s="4"/>
    </row>
    <row r="740">
      <c r="A740" s="5"/>
      <c r="B740" s="9"/>
      <c r="C740" s="5"/>
      <c r="D740" s="9"/>
      <c r="E740" s="9"/>
      <c r="F740" s="9"/>
      <c r="G740" s="9"/>
      <c r="H740" s="9"/>
      <c r="I740" s="9"/>
      <c r="J740" s="5"/>
      <c r="K740" s="4"/>
      <c r="L740" s="10"/>
      <c r="M740" s="10"/>
      <c r="N740" s="10"/>
      <c r="O740" s="10"/>
      <c r="P740" s="10"/>
      <c r="Q740" s="11"/>
      <c r="R740" s="9"/>
      <c r="S740" s="12"/>
      <c r="T740" s="5"/>
      <c r="U740" s="5"/>
      <c r="V740" s="4"/>
      <c r="W740" s="4"/>
      <c r="X740" s="4"/>
      <c r="Y740" s="4"/>
    </row>
    <row r="741">
      <c r="A741" s="5"/>
      <c r="B741" s="9"/>
      <c r="C741" s="5"/>
      <c r="D741" s="9"/>
      <c r="E741" s="9"/>
      <c r="F741" s="9"/>
      <c r="G741" s="9"/>
      <c r="H741" s="9"/>
      <c r="I741" s="9"/>
      <c r="J741" s="5"/>
      <c r="K741" s="4"/>
      <c r="L741" s="10"/>
      <c r="M741" s="10"/>
      <c r="N741" s="10"/>
      <c r="O741" s="10"/>
      <c r="P741" s="10"/>
      <c r="Q741" s="11"/>
      <c r="R741" s="9"/>
      <c r="S741" s="12"/>
      <c r="T741" s="5"/>
      <c r="U741" s="5"/>
      <c r="V741" s="4"/>
      <c r="W741" s="4"/>
      <c r="X741" s="4"/>
      <c r="Y741" s="4"/>
    </row>
    <row r="742">
      <c r="A742" s="5"/>
      <c r="B742" s="9"/>
      <c r="C742" s="5"/>
      <c r="D742" s="9"/>
      <c r="E742" s="9"/>
      <c r="F742" s="9"/>
      <c r="G742" s="9"/>
      <c r="H742" s="9"/>
      <c r="I742" s="9"/>
      <c r="J742" s="5"/>
      <c r="K742" s="4"/>
      <c r="L742" s="10"/>
      <c r="M742" s="10"/>
      <c r="N742" s="10"/>
      <c r="O742" s="10"/>
      <c r="P742" s="10"/>
      <c r="Q742" s="11"/>
      <c r="R742" s="9"/>
      <c r="S742" s="12"/>
      <c r="T742" s="5"/>
      <c r="U742" s="5"/>
      <c r="V742" s="4"/>
      <c r="W742" s="4"/>
      <c r="X742" s="4"/>
      <c r="Y742" s="4"/>
    </row>
    <row r="743">
      <c r="A743" s="5"/>
      <c r="B743" s="9"/>
      <c r="C743" s="5"/>
      <c r="D743" s="9"/>
      <c r="E743" s="9"/>
      <c r="F743" s="9"/>
      <c r="G743" s="9"/>
      <c r="H743" s="9"/>
      <c r="I743" s="9"/>
      <c r="J743" s="5"/>
      <c r="K743" s="4"/>
      <c r="L743" s="10"/>
      <c r="M743" s="10"/>
      <c r="N743" s="10"/>
      <c r="O743" s="10"/>
      <c r="P743" s="10"/>
      <c r="Q743" s="11"/>
      <c r="R743" s="9"/>
      <c r="S743" s="12"/>
      <c r="T743" s="5"/>
      <c r="U743" s="5"/>
      <c r="V743" s="4"/>
      <c r="W743" s="4"/>
      <c r="X743" s="4"/>
      <c r="Y743" s="4"/>
    </row>
    <row r="744">
      <c r="A744" s="5"/>
      <c r="B744" s="9"/>
      <c r="C744" s="5"/>
      <c r="D744" s="9"/>
      <c r="E744" s="9"/>
      <c r="F744" s="9"/>
      <c r="G744" s="9"/>
      <c r="H744" s="9"/>
      <c r="I744" s="9"/>
      <c r="J744" s="5"/>
      <c r="K744" s="4"/>
      <c r="L744" s="10"/>
      <c r="M744" s="10"/>
      <c r="N744" s="10"/>
      <c r="O744" s="10"/>
      <c r="P744" s="10"/>
      <c r="Q744" s="11"/>
      <c r="R744" s="9"/>
      <c r="S744" s="12"/>
      <c r="T744" s="5"/>
      <c r="U744" s="5"/>
      <c r="V744" s="4"/>
      <c r="W744" s="4"/>
      <c r="X744" s="4"/>
      <c r="Y744" s="4"/>
    </row>
    <row r="745">
      <c r="A745" s="5"/>
      <c r="B745" s="9"/>
      <c r="C745" s="5"/>
      <c r="D745" s="9"/>
      <c r="E745" s="9"/>
      <c r="F745" s="9"/>
      <c r="G745" s="9"/>
      <c r="H745" s="9"/>
      <c r="I745" s="9"/>
      <c r="J745" s="5"/>
      <c r="K745" s="4"/>
      <c r="L745" s="10"/>
      <c r="M745" s="10"/>
      <c r="N745" s="10"/>
      <c r="O745" s="10"/>
      <c r="P745" s="10"/>
      <c r="Q745" s="11"/>
      <c r="R745" s="9"/>
      <c r="S745" s="12"/>
      <c r="T745" s="5"/>
      <c r="U745" s="5"/>
      <c r="V745" s="4"/>
      <c r="W745" s="4"/>
      <c r="X745" s="4"/>
      <c r="Y745" s="4"/>
    </row>
    <row r="746">
      <c r="A746" s="5"/>
      <c r="B746" s="9"/>
      <c r="C746" s="5"/>
      <c r="D746" s="9"/>
      <c r="E746" s="9"/>
      <c r="F746" s="9"/>
      <c r="G746" s="9"/>
      <c r="H746" s="9"/>
      <c r="I746" s="9"/>
      <c r="J746" s="5"/>
      <c r="K746" s="4"/>
      <c r="L746" s="10"/>
      <c r="M746" s="10"/>
      <c r="N746" s="10"/>
      <c r="O746" s="10"/>
      <c r="P746" s="10"/>
      <c r="Q746" s="11"/>
      <c r="R746" s="9"/>
      <c r="S746" s="12"/>
      <c r="T746" s="5"/>
      <c r="U746" s="5"/>
      <c r="V746" s="4"/>
      <c r="W746" s="4"/>
      <c r="X746" s="4"/>
      <c r="Y746" s="4"/>
    </row>
    <row r="747">
      <c r="A747" s="5"/>
      <c r="B747" s="9"/>
      <c r="C747" s="5"/>
      <c r="D747" s="9"/>
      <c r="E747" s="9"/>
      <c r="F747" s="9"/>
      <c r="G747" s="9"/>
      <c r="H747" s="9"/>
      <c r="I747" s="9"/>
      <c r="J747" s="5"/>
      <c r="K747" s="4"/>
      <c r="L747" s="10"/>
      <c r="M747" s="10"/>
      <c r="N747" s="10"/>
      <c r="O747" s="10"/>
      <c r="P747" s="10"/>
      <c r="Q747" s="11"/>
      <c r="R747" s="9"/>
      <c r="S747" s="12"/>
      <c r="T747" s="5"/>
      <c r="U747" s="5"/>
      <c r="V747" s="4"/>
      <c r="W747" s="4"/>
      <c r="X747" s="4"/>
      <c r="Y747" s="4"/>
    </row>
    <row r="748">
      <c r="A748" s="5"/>
      <c r="B748" s="9"/>
      <c r="C748" s="5"/>
      <c r="D748" s="9"/>
      <c r="E748" s="9"/>
      <c r="F748" s="9"/>
      <c r="G748" s="9"/>
      <c r="H748" s="9"/>
      <c r="I748" s="9"/>
      <c r="J748" s="5"/>
      <c r="K748" s="4"/>
      <c r="L748" s="10"/>
      <c r="M748" s="10"/>
      <c r="N748" s="10"/>
      <c r="O748" s="10"/>
      <c r="P748" s="10"/>
      <c r="Q748" s="11"/>
      <c r="R748" s="9"/>
      <c r="S748" s="12"/>
      <c r="T748" s="5"/>
      <c r="U748" s="5"/>
      <c r="V748" s="4"/>
      <c r="W748" s="4"/>
      <c r="X748" s="4"/>
      <c r="Y748" s="4"/>
    </row>
    <row r="749">
      <c r="A749" s="5"/>
      <c r="B749" s="9"/>
      <c r="C749" s="5"/>
      <c r="D749" s="9"/>
      <c r="E749" s="9"/>
      <c r="F749" s="9"/>
      <c r="G749" s="9"/>
      <c r="H749" s="9"/>
      <c r="I749" s="9"/>
      <c r="J749" s="5"/>
      <c r="K749" s="4"/>
      <c r="L749" s="10"/>
      <c r="M749" s="10"/>
      <c r="N749" s="10"/>
      <c r="O749" s="10"/>
      <c r="P749" s="10"/>
      <c r="Q749" s="11"/>
      <c r="R749" s="9"/>
      <c r="S749" s="12"/>
      <c r="T749" s="5"/>
      <c r="U749" s="5"/>
      <c r="V749" s="4"/>
      <c r="W749" s="4"/>
      <c r="X749" s="4"/>
      <c r="Y749" s="4"/>
    </row>
    <row r="750">
      <c r="A750" s="5"/>
      <c r="B750" s="9"/>
      <c r="C750" s="5"/>
      <c r="D750" s="9"/>
      <c r="E750" s="9"/>
      <c r="F750" s="9"/>
      <c r="G750" s="9"/>
      <c r="H750" s="9"/>
      <c r="I750" s="9"/>
      <c r="J750" s="5"/>
      <c r="K750" s="4"/>
      <c r="L750" s="10"/>
      <c r="M750" s="10"/>
      <c r="N750" s="10"/>
      <c r="O750" s="10"/>
      <c r="P750" s="10"/>
      <c r="Q750" s="11"/>
      <c r="R750" s="9"/>
      <c r="S750" s="12"/>
      <c r="T750" s="5"/>
      <c r="U750" s="5"/>
      <c r="V750" s="4"/>
      <c r="W750" s="4"/>
      <c r="X750" s="4"/>
      <c r="Y750" s="4"/>
    </row>
    <row r="751">
      <c r="A751" s="5"/>
      <c r="B751" s="9"/>
      <c r="C751" s="5"/>
      <c r="D751" s="9"/>
      <c r="E751" s="9"/>
      <c r="F751" s="9"/>
      <c r="G751" s="9"/>
      <c r="H751" s="9"/>
      <c r="I751" s="9"/>
      <c r="J751" s="5"/>
      <c r="K751" s="4"/>
      <c r="L751" s="10"/>
      <c r="M751" s="10"/>
      <c r="N751" s="10"/>
      <c r="O751" s="10"/>
      <c r="P751" s="10"/>
      <c r="Q751" s="11"/>
      <c r="R751" s="9"/>
      <c r="S751" s="12"/>
      <c r="T751" s="5"/>
      <c r="U751" s="5"/>
      <c r="V751" s="4"/>
      <c r="W751" s="4"/>
      <c r="X751" s="4"/>
      <c r="Y751" s="4"/>
    </row>
    <row r="752">
      <c r="A752" s="5"/>
      <c r="B752" s="9"/>
      <c r="C752" s="5"/>
      <c r="D752" s="9"/>
      <c r="E752" s="9"/>
      <c r="F752" s="9"/>
      <c r="G752" s="9"/>
      <c r="H752" s="9"/>
      <c r="I752" s="9"/>
      <c r="J752" s="5"/>
      <c r="K752" s="4"/>
      <c r="L752" s="10"/>
      <c r="M752" s="10"/>
      <c r="N752" s="10"/>
      <c r="O752" s="10"/>
      <c r="P752" s="10"/>
      <c r="Q752" s="11"/>
      <c r="R752" s="9"/>
      <c r="S752" s="12"/>
      <c r="T752" s="5"/>
      <c r="U752" s="5"/>
      <c r="V752" s="4"/>
      <c r="W752" s="4"/>
      <c r="X752" s="4"/>
      <c r="Y752" s="4"/>
    </row>
    <row r="753">
      <c r="A753" s="5"/>
      <c r="B753" s="9"/>
      <c r="C753" s="5"/>
      <c r="D753" s="9"/>
      <c r="E753" s="9"/>
      <c r="F753" s="9"/>
      <c r="G753" s="9"/>
      <c r="H753" s="9"/>
      <c r="I753" s="9"/>
      <c r="J753" s="5"/>
      <c r="K753" s="4"/>
      <c r="L753" s="10"/>
      <c r="M753" s="10"/>
      <c r="N753" s="10"/>
      <c r="O753" s="10"/>
      <c r="P753" s="10"/>
      <c r="Q753" s="11"/>
      <c r="R753" s="9"/>
      <c r="S753" s="12"/>
      <c r="T753" s="5"/>
      <c r="U753" s="5"/>
      <c r="V753" s="4"/>
      <c r="W753" s="4"/>
      <c r="X753" s="4"/>
      <c r="Y753" s="4"/>
    </row>
    <row r="754">
      <c r="A754" s="5"/>
      <c r="B754" s="9"/>
      <c r="C754" s="5"/>
      <c r="D754" s="9"/>
      <c r="E754" s="9"/>
      <c r="F754" s="9"/>
      <c r="G754" s="9"/>
      <c r="H754" s="9"/>
      <c r="I754" s="9"/>
      <c r="J754" s="5"/>
      <c r="K754" s="4"/>
      <c r="L754" s="10"/>
      <c r="M754" s="10"/>
      <c r="N754" s="10"/>
      <c r="O754" s="10"/>
      <c r="P754" s="10"/>
      <c r="Q754" s="11"/>
      <c r="R754" s="9"/>
      <c r="S754" s="12"/>
      <c r="T754" s="5"/>
      <c r="U754" s="5"/>
      <c r="V754" s="4"/>
      <c r="W754" s="4"/>
      <c r="X754" s="4"/>
      <c r="Y754" s="4"/>
    </row>
    <row r="755">
      <c r="A755" s="5"/>
      <c r="B755" s="9"/>
      <c r="C755" s="5"/>
      <c r="D755" s="9"/>
      <c r="E755" s="9"/>
      <c r="F755" s="9"/>
      <c r="G755" s="9"/>
      <c r="H755" s="9"/>
      <c r="I755" s="9"/>
      <c r="J755" s="5"/>
      <c r="K755" s="4"/>
      <c r="L755" s="10"/>
      <c r="M755" s="10"/>
      <c r="N755" s="10"/>
      <c r="O755" s="10"/>
      <c r="P755" s="10"/>
      <c r="Q755" s="11"/>
      <c r="R755" s="9"/>
      <c r="S755" s="12"/>
      <c r="T755" s="5"/>
      <c r="U755" s="5"/>
      <c r="V755" s="4"/>
      <c r="W755" s="4"/>
      <c r="X755" s="4"/>
      <c r="Y755" s="4"/>
    </row>
    <row r="756">
      <c r="A756" s="5"/>
      <c r="B756" s="9"/>
      <c r="C756" s="5"/>
      <c r="D756" s="9"/>
      <c r="E756" s="9"/>
      <c r="F756" s="9"/>
      <c r="G756" s="9"/>
      <c r="H756" s="9"/>
      <c r="I756" s="9"/>
      <c r="J756" s="5"/>
      <c r="K756" s="4"/>
      <c r="L756" s="10"/>
      <c r="M756" s="10"/>
      <c r="N756" s="10"/>
      <c r="O756" s="10"/>
      <c r="P756" s="10"/>
      <c r="Q756" s="11"/>
      <c r="R756" s="9"/>
      <c r="S756" s="12"/>
      <c r="T756" s="5"/>
      <c r="U756" s="5"/>
      <c r="V756" s="4"/>
      <c r="W756" s="4"/>
      <c r="X756" s="4"/>
      <c r="Y756" s="4"/>
    </row>
    <row r="757">
      <c r="A757" s="5"/>
      <c r="B757" s="9"/>
      <c r="C757" s="5"/>
      <c r="D757" s="9"/>
      <c r="E757" s="9"/>
      <c r="F757" s="9"/>
      <c r="G757" s="9"/>
      <c r="H757" s="9"/>
      <c r="I757" s="9"/>
      <c r="J757" s="5"/>
      <c r="K757" s="4"/>
      <c r="L757" s="10"/>
      <c r="M757" s="10"/>
      <c r="N757" s="10"/>
      <c r="O757" s="10"/>
      <c r="P757" s="10"/>
      <c r="Q757" s="11"/>
      <c r="R757" s="9"/>
      <c r="S757" s="12"/>
      <c r="T757" s="5"/>
      <c r="U757" s="5"/>
      <c r="V757" s="4"/>
      <c r="W757" s="4"/>
      <c r="X757" s="4"/>
      <c r="Y757" s="4"/>
    </row>
    <row r="758">
      <c r="A758" s="5"/>
      <c r="B758" s="9"/>
      <c r="C758" s="5"/>
      <c r="D758" s="9"/>
      <c r="E758" s="9"/>
      <c r="F758" s="9"/>
      <c r="G758" s="9"/>
      <c r="H758" s="9"/>
      <c r="I758" s="9"/>
      <c r="J758" s="5"/>
      <c r="K758" s="4"/>
      <c r="L758" s="10"/>
      <c r="M758" s="10"/>
      <c r="N758" s="10"/>
      <c r="O758" s="10"/>
      <c r="P758" s="10"/>
      <c r="Q758" s="11"/>
      <c r="R758" s="9"/>
      <c r="S758" s="12"/>
      <c r="T758" s="5"/>
      <c r="U758" s="5"/>
      <c r="V758" s="4"/>
      <c r="W758" s="4"/>
      <c r="X758" s="4"/>
      <c r="Y758" s="4"/>
    </row>
    <row r="759">
      <c r="A759" s="5"/>
      <c r="B759" s="9"/>
      <c r="C759" s="5"/>
      <c r="D759" s="9"/>
      <c r="E759" s="9"/>
      <c r="F759" s="9"/>
      <c r="G759" s="9"/>
      <c r="H759" s="9"/>
      <c r="I759" s="9"/>
      <c r="J759" s="5"/>
      <c r="K759" s="4"/>
      <c r="L759" s="10"/>
      <c r="M759" s="10"/>
      <c r="N759" s="10"/>
      <c r="O759" s="10"/>
      <c r="P759" s="10"/>
      <c r="Q759" s="11"/>
      <c r="R759" s="9"/>
      <c r="S759" s="12"/>
      <c r="T759" s="5"/>
      <c r="U759" s="5"/>
      <c r="V759" s="4"/>
      <c r="W759" s="4"/>
      <c r="X759" s="4"/>
      <c r="Y759" s="4"/>
    </row>
    <row r="760">
      <c r="A760" s="5"/>
      <c r="B760" s="9"/>
      <c r="C760" s="5"/>
      <c r="D760" s="9"/>
      <c r="E760" s="9"/>
      <c r="F760" s="9"/>
      <c r="G760" s="9"/>
      <c r="H760" s="9"/>
      <c r="I760" s="9"/>
      <c r="J760" s="5"/>
      <c r="K760" s="4"/>
      <c r="L760" s="10"/>
      <c r="M760" s="10"/>
      <c r="N760" s="10"/>
      <c r="O760" s="10"/>
      <c r="P760" s="10"/>
      <c r="Q760" s="11"/>
      <c r="R760" s="9"/>
      <c r="S760" s="12"/>
      <c r="T760" s="5"/>
      <c r="U760" s="5"/>
      <c r="V760" s="4"/>
      <c r="W760" s="4"/>
      <c r="X760" s="4"/>
      <c r="Y760" s="4"/>
    </row>
    <row r="761">
      <c r="A761" s="5"/>
      <c r="B761" s="9"/>
      <c r="C761" s="5"/>
      <c r="D761" s="9"/>
      <c r="E761" s="9"/>
      <c r="F761" s="9"/>
      <c r="G761" s="9"/>
      <c r="H761" s="9"/>
      <c r="I761" s="9"/>
      <c r="J761" s="5"/>
      <c r="K761" s="4"/>
      <c r="L761" s="10"/>
      <c r="M761" s="10"/>
      <c r="N761" s="10"/>
      <c r="O761" s="10"/>
      <c r="P761" s="10"/>
      <c r="Q761" s="11"/>
      <c r="R761" s="9"/>
      <c r="S761" s="12"/>
      <c r="T761" s="5"/>
      <c r="U761" s="5"/>
      <c r="V761" s="4"/>
      <c r="W761" s="4"/>
      <c r="X761" s="4"/>
      <c r="Y761" s="4"/>
    </row>
    <row r="762">
      <c r="A762" s="5"/>
      <c r="B762" s="9"/>
      <c r="C762" s="5"/>
      <c r="D762" s="9"/>
      <c r="E762" s="9"/>
      <c r="F762" s="9"/>
      <c r="G762" s="9"/>
      <c r="H762" s="9"/>
      <c r="I762" s="9"/>
      <c r="J762" s="5"/>
      <c r="K762" s="4"/>
      <c r="L762" s="10"/>
      <c r="M762" s="10"/>
      <c r="N762" s="10"/>
      <c r="O762" s="10"/>
      <c r="P762" s="10"/>
      <c r="Q762" s="11"/>
      <c r="R762" s="9"/>
      <c r="S762" s="12"/>
      <c r="T762" s="5"/>
      <c r="U762" s="5"/>
      <c r="V762" s="4"/>
      <c r="W762" s="4"/>
      <c r="X762" s="4"/>
      <c r="Y762" s="4"/>
    </row>
    <row r="763">
      <c r="A763" s="5"/>
      <c r="B763" s="9"/>
      <c r="C763" s="5"/>
      <c r="D763" s="9"/>
      <c r="E763" s="9"/>
      <c r="F763" s="9"/>
      <c r="G763" s="9"/>
      <c r="H763" s="9"/>
      <c r="I763" s="9"/>
      <c r="J763" s="5"/>
      <c r="K763" s="4"/>
      <c r="L763" s="10"/>
      <c r="M763" s="10"/>
      <c r="N763" s="10"/>
      <c r="O763" s="10"/>
      <c r="P763" s="10"/>
      <c r="Q763" s="11"/>
      <c r="R763" s="9"/>
      <c r="S763" s="12"/>
      <c r="T763" s="5"/>
      <c r="U763" s="5"/>
      <c r="V763" s="4"/>
      <c r="W763" s="4"/>
      <c r="X763" s="4"/>
      <c r="Y763" s="4"/>
    </row>
    <row r="764">
      <c r="A764" s="5"/>
      <c r="B764" s="9"/>
      <c r="C764" s="5"/>
      <c r="D764" s="9"/>
      <c r="E764" s="9"/>
      <c r="F764" s="9"/>
      <c r="G764" s="9"/>
      <c r="H764" s="9"/>
      <c r="I764" s="9"/>
      <c r="J764" s="5"/>
      <c r="K764" s="4"/>
      <c r="L764" s="10"/>
      <c r="M764" s="10"/>
      <c r="N764" s="10"/>
      <c r="O764" s="10"/>
      <c r="P764" s="10"/>
      <c r="Q764" s="11"/>
      <c r="R764" s="9"/>
      <c r="S764" s="12"/>
      <c r="T764" s="5"/>
      <c r="U764" s="5"/>
      <c r="V764" s="4"/>
      <c r="W764" s="4"/>
      <c r="X764" s="4"/>
      <c r="Y764" s="4"/>
    </row>
    <row r="765">
      <c r="A765" s="5"/>
      <c r="B765" s="9"/>
      <c r="C765" s="5"/>
      <c r="D765" s="9"/>
      <c r="E765" s="9"/>
      <c r="F765" s="9"/>
      <c r="G765" s="9"/>
      <c r="H765" s="9"/>
      <c r="I765" s="9"/>
      <c r="J765" s="5"/>
      <c r="K765" s="4"/>
      <c r="L765" s="10"/>
      <c r="M765" s="10"/>
      <c r="N765" s="10"/>
      <c r="O765" s="10"/>
      <c r="P765" s="10"/>
      <c r="Q765" s="11"/>
      <c r="R765" s="9"/>
      <c r="S765" s="12"/>
      <c r="T765" s="5"/>
      <c r="U765" s="5"/>
      <c r="V765" s="4"/>
      <c r="W765" s="4"/>
      <c r="X765" s="4"/>
      <c r="Y765" s="4"/>
    </row>
    <row r="766">
      <c r="A766" s="5"/>
      <c r="B766" s="9"/>
      <c r="C766" s="5"/>
      <c r="D766" s="9"/>
      <c r="E766" s="9"/>
      <c r="F766" s="9"/>
      <c r="G766" s="9"/>
      <c r="H766" s="9"/>
      <c r="I766" s="9"/>
      <c r="J766" s="5"/>
      <c r="K766" s="4"/>
      <c r="L766" s="10"/>
      <c r="M766" s="10"/>
      <c r="N766" s="10"/>
      <c r="O766" s="10"/>
      <c r="P766" s="10"/>
      <c r="Q766" s="11"/>
      <c r="R766" s="9"/>
      <c r="S766" s="12"/>
      <c r="T766" s="5"/>
      <c r="U766" s="5"/>
      <c r="V766" s="4"/>
      <c r="W766" s="4"/>
      <c r="X766" s="4"/>
      <c r="Y766" s="4"/>
    </row>
    <row r="767">
      <c r="A767" s="5"/>
      <c r="B767" s="9"/>
      <c r="C767" s="5"/>
      <c r="D767" s="9"/>
      <c r="E767" s="9"/>
      <c r="F767" s="9"/>
      <c r="G767" s="9"/>
      <c r="H767" s="9"/>
      <c r="I767" s="9"/>
      <c r="J767" s="5"/>
      <c r="K767" s="4"/>
      <c r="L767" s="10"/>
      <c r="M767" s="10"/>
      <c r="N767" s="10"/>
      <c r="O767" s="10"/>
      <c r="P767" s="10"/>
      <c r="Q767" s="11"/>
      <c r="R767" s="9"/>
      <c r="S767" s="12"/>
      <c r="T767" s="5"/>
      <c r="U767" s="5"/>
      <c r="V767" s="4"/>
      <c r="W767" s="4"/>
      <c r="X767" s="4"/>
      <c r="Y767" s="4"/>
    </row>
    <row r="768">
      <c r="A768" s="5"/>
      <c r="B768" s="9"/>
      <c r="C768" s="5"/>
      <c r="D768" s="9"/>
      <c r="E768" s="9"/>
      <c r="F768" s="9"/>
      <c r="G768" s="9"/>
      <c r="H768" s="9"/>
      <c r="I768" s="9"/>
      <c r="J768" s="5"/>
      <c r="K768" s="4"/>
      <c r="L768" s="10"/>
      <c r="M768" s="10"/>
      <c r="N768" s="10"/>
      <c r="O768" s="10"/>
      <c r="P768" s="10"/>
      <c r="Q768" s="11"/>
      <c r="R768" s="9"/>
      <c r="S768" s="12"/>
      <c r="T768" s="5"/>
      <c r="U768" s="5"/>
      <c r="V768" s="4"/>
      <c r="W768" s="4"/>
      <c r="X768" s="4"/>
      <c r="Y768" s="4"/>
    </row>
    <row r="769">
      <c r="A769" s="5"/>
      <c r="B769" s="9"/>
      <c r="C769" s="5"/>
      <c r="D769" s="9"/>
      <c r="E769" s="9"/>
      <c r="F769" s="9"/>
      <c r="G769" s="9"/>
      <c r="H769" s="9"/>
      <c r="I769" s="9"/>
      <c r="J769" s="5"/>
      <c r="K769" s="4"/>
      <c r="L769" s="10"/>
      <c r="M769" s="10"/>
      <c r="N769" s="10"/>
      <c r="O769" s="10"/>
      <c r="P769" s="10"/>
      <c r="Q769" s="11"/>
      <c r="R769" s="9"/>
      <c r="S769" s="12"/>
      <c r="T769" s="5"/>
      <c r="U769" s="5"/>
      <c r="V769" s="4"/>
      <c r="W769" s="4"/>
      <c r="X769" s="4"/>
      <c r="Y769" s="4"/>
    </row>
    <row r="770">
      <c r="A770" s="5"/>
      <c r="B770" s="9"/>
      <c r="C770" s="5"/>
      <c r="D770" s="9"/>
      <c r="E770" s="9"/>
      <c r="F770" s="9"/>
      <c r="G770" s="9"/>
      <c r="H770" s="9"/>
      <c r="I770" s="9"/>
      <c r="J770" s="5"/>
      <c r="K770" s="4"/>
      <c r="L770" s="10"/>
      <c r="M770" s="10"/>
      <c r="N770" s="10"/>
      <c r="O770" s="10"/>
      <c r="P770" s="10"/>
      <c r="Q770" s="11"/>
      <c r="R770" s="9"/>
      <c r="S770" s="12"/>
      <c r="T770" s="5"/>
      <c r="U770" s="5"/>
      <c r="V770" s="4"/>
      <c r="W770" s="4"/>
      <c r="X770" s="4"/>
      <c r="Y770" s="4"/>
    </row>
    <row r="771">
      <c r="A771" s="5"/>
      <c r="B771" s="9"/>
      <c r="C771" s="5"/>
      <c r="D771" s="9"/>
      <c r="E771" s="9"/>
      <c r="F771" s="9"/>
      <c r="G771" s="9"/>
      <c r="H771" s="9"/>
      <c r="I771" s="9"/>
      <c r="J771" s="5"/>
      <c r="K771" s="4"/>
      <c r="L771" s="10"/>
      <c r="M771" s="10"/>
      <c r="N771" s="10"/>
      <c r="O771" s="10"/>
      <c r="P771" s="10"/>
      <c r="Q771" s="11"/>
      <c r="R771" s="9"/>
      <c r="S771" s="12"/>
      <c r="T771" s="5"/>
      <c r="U771" s="5"/>
      <c r="V771" s="4"/>
      <c r="W771" s="4"/>
      <c r="X771" s="4"/>
      <c r="Y771" s="4"/>
    </row>
    <row r="772">
      <c r="A772" s="5"/>
      <c r="B772" s="9"/>
      <c r="C772" s="5"/>
      <c r="D772" s="9"/>
      <c r="E772" s="9"/>
      <c r="F772" s="9"/>
      <c r="G772" s="9"/>
      <c r="H772" s="9"/>
      <c r="I772" s="9"/>
      <c r="J772" s="5"/>
      <c r="K772" s="4"/>
      <c r="L772" s="10"/>
      <c r="M772" s="10"/>
      <c r="N772" s="10"/>
      <c r="O772" s="10"/>
      <c r="P772" s="10"/>
      <c r="Q772" s="11"/>
      <c r="R772" s="9"/>
      <c r="S772" s="12"/>
      <c r="T772" s="5"/>
      <c r="U772" s="5"/>
      <c r="V772" s="4"/>
      <c r="W772" s="4"/>
      <c r="X772" s="4"/>
      <c r="Y772" s="4"/>
    </row>
    <row r="773">
      <c r="A773" s="5"/>
      <c r="B773" s="9"/>
      <c r="C773" s="5"/>
      <c r="D773" s="9"/>
      <c r="E773" s="9"/>
      <c r="F773" s="9"/>
      <c r="G773" s="9"/>
      <c r="H773" s="9"/>
      <c r="I773" s="9"/>
      <c r="J773" s="5"/>
      <c r="K773" s="4"/>
      <c r="L773" s="10"/>
      <c r="M773" s="10"/>
      <c r="N773" s="10"/>
      <c r="O773" s="10"/>
      <c r="P773" s="10"/>
      <c r="Q773" s="11"/>
      <c r="R773" s="9"/>
      <c r="S773" s="12"/>
      <c r="T773" s="5"/>
      <c r="U773" s="5"/>
      <c r="V773" s="4"/>
      <c r="W773" s="4"/>
      <c r="X773" s="4"/>
      <c r="Y773" s="4"/>
    </row>
    <row r="774">
      <c r="A774" s="5"/>
      <c r="B774" s="9"/>
      <c r="C774" s="5"/>
      <c r="D774" s="9"/>
      <c r="E774" s="9"/>
      <c r="F774" s="9"/>
      <c r="G774" s="9"/>
      <c r="H774" s="9"/>
      <c r="I774" s="9"/>
      <c r="J774" s="5"/>
      <c r="K774" s="4"/>
      <c r="L774" s="10"/>
      <c r="M774" s="10"/>
      <c r="N774" s="10"/>
      <c r="O774" s="10"/>
      <c r="P774" s="10"/>
      <c r="Q774" s="11"/>
      <c r="R774" s="9"/>
      <c r="S774" s="12"/>
      <c r="T774" s="5"/>
      <c r="U774" s="5"/>
      <c r="V774" s="4"/>
      <c r="W774" s="4"/>
      <c r="X774" s="4"/>
      <c r="Y774" s="4"/>
    </row>
    <row r="775">
      <c r="A775" s="5"/>
      <c r="B775" s="9"/>
      <c r="C775" s="5"/>
      <c r="D775" s="9"/>
      <c r="E775" s="9"/>
      <c r="F775" s="9"/>
      <c r="G775" s="9"/>
      <c r="H775" s="9"/>
      <c r="I775" s="9"/>
      <c r="J775" s="5"/>
      <c r="K775" s="4"/>
      <c r="L775" s="10"/>
      <c r="M775" s="10"/>
      <c r="N775" s="10"/>
      <c r="O775" s="10"/>
      <c r="P775" s="10"/>
      <c r="Q775" s="11"/>
      <c r="R775" s="9"/>
      <c r="S775" s="12"/>
      <c r="T775" s="5"/>
      <c r="U775" s="5"/>
      <c r="V775" s="4"/>
      <c r="W775" s="4"/>
      <c r="X775" s="4"/>
      <c r="Y775" s="4"/>
    </row>
    <row r="776">
      <c r="A776" s="5"/>
      <c r="B776" s="9"/>
      <c r="C776" s="5"/>
      <c r="D776" s="9"/>
      <c r="E776" s="9"/>
      <c r="F776" s="9"/>
      <c r="G776" s="9"/>
      <c r="H776" s="9"/>
      <c r="I776" s="9"/>
      <c r="J776" s="5"/>
      <c r="K776" s="4"/>
      <c r="L776" s="10"/>
      <c r="M776" s="10"/>
      <c r="N776" s="10"/>
      <c r="O776" s="10"/>
      <c r="P776" s="10"/>
      <c r="Q776" s="11"/>
      <c r="R776" s="9"/>
      <c r="S776" s="12"/>
      <c r="T776" s="5"/>
      <c r="U776" s="5"/>
      <c r="V776" s="4"/>
      <c r="W776" s="4"/>
      <c r="X776" s="4"/>
      <c r="Y776" s="4"/>
    </row>
    <row r="777">
      <c r="A777" s="5"/>
      <c r="B777" s="9"/>
      <c r="C777" s="5"/>
      <c r="D777" s="9"/>
      <c r="E777" s="9"/>
      <c r="F777" s="9"/>
      <c r="G777" s="9"/>
      <c r="H777" s="9"/>
      <c r="I777" s="9"/>
      <c r="J777" s="5"/>
      <c r="K777" s="4"/>
      <c r="L777" s="10"/>
      <c r="M777" s="10"/>
      <c r="N777" s="10"/>
      <c r="O777" s="10"/>
      <c r="P777" s="10"/>
      <c r="Q777" s="11"/>
      <c r="R777" s="9"/>
      <c r="S777" s="12"/>
      <c r="T777" s="5"/>
      <c r="U777" s="5"/>
      <c r="V777" s="4"/>
      <c r="W777" s="4"/>
      <c r="X777" s="4"/>
      <c r="Y777" s="4"/>
    </row>
    <row r="778">
      <c r="A778" s="5"/>
      <c r="B778" s="9"/>
      <c r="C778" s="5"/>
      <c r="D778" s="9"/>
      <c r="E778" s="9"/>
      <c r="F778" s="9"/>
      <c r="G778" s="9"/>
      <c r="H778" s="9"/>
      <c r="I778" s="9"/>
      <c r="J778" s="5"/>
      <c r="K778" s="4"/>
      <c r="L778" s="10"/>
      <c r="M778" s="10"/>
      <c r="N778" s="10"/>
      <c r="O778" s="10"/>
      <c r="P778" s="10"/>
      <c r="Q778" s="11"/>
      <c r="R778" s="9"/>
      <c r="S778" s="12"/>
      <c r="T778" s="5"/>
      <c r="U778" s="5"/>
      <c r="V778" s="4"/>
      <c r="W778" s="4"/>
      <c r="X778" s="4"/>
      <c r="Y778" s="4"/>
    </row>
    <row r="779">
      <c r="A779" s="5"/>
      <c r="B779" s="9"/>
      <c r="C779" s="5"/>
      <c r="D779" s="9"/>
      <c r="E779" s="9"/>
      <c r="F779" s="9"/>
      <c r="G779" s="9"/>
      <c r="H779" s="9"/>
      <c r="I779" s="9"/>
      <c r="J779" s="5"/>
      <c r="K779" s="4"/>
      <c r="L779" s="10"/>
      <c r="M779" s="10"/>
      <c r="N779" s="10"/>
      <c r="O779" s="10"/>
      <c r="P779" s="10"/>
      <c r="Q779" s="11"/>
      <c r="R779" s="9"/>
      <c r="S779" s="12"/>
      <c r="T779" s="5"/>
      <c r="U779" s="5"/>
      <c r="V779" s="4"/>
      <c r="W779" s="4"/>
      <c r="X779" s="4"/>
      <c r="Y779" s="4"/>
    </row>
    <row r="780">
      <c r="A780" s="5"/>
      <c r="B780" s="9"/>
      <c r="C780" s="5"/>
      <c r="D780" s="9"/>
      <c r="E780" s="9"/>
      <c r="F780" s="9"/>
      <c r="G780" s="9"/>
      <c r="H780" s="9"/>
      <c r="I780" s="9"/>
      <c r="J780" s="5"/>
      <c r="K780" s="4"/>
      <c r="L780" s="10"/>
      <c r="M780" s="10"/>
      <c r="N780" s="10"/>
      <c r="O780" s="10"/>
      <c r="P780" s="10"/>
      <c r="Q780" s="11"/>
      <c r="R780" s="9"/>
      <c r="S780" s="12"/>
      <c r="T780" s="5"/>
      <c r="U780" s="5"/>
      <c r="V780" s="4"/>
      <c r="W780" s="4"/>
      <c r="X780" s="4"/>
      <c r="Y780" s="4"/>
    </row>
    <row r="781">
      <c r="A781" s="5"/>
      <c r="B781" s="9"/>
      <c r="C781" s="5"/>
      <c r="D781" s="9"/>
      <c r="E781" s="9"/>
      <c r="F781" s="9"/>
      <c r="G781" s="9"/>
      <c r="H781" s="9"/>
      <c r="I781" s="9"/>
      <c r="J781" s="5"/>
      <c r="K781" s="4"/>
      <c r="L781" s="10"/>
      <c r="M781" s="10"/>
      <c r="N781" s="10"/>
      <c r="O781" s="10"/>
      <c r="P781" s="10"/>
      <c r="Q781" s="11"/>
      <c r="R781" s="9"/>
      <c r="S781" s="12"/>
      <c r="T781" s="5"/>
      <c r="U781" s="5"/>
      <c r="V781" s="4"/>
      <c r="W781" s="4"/>
      <c r="X781" s="4"/>
      <c r="Y781" s="4"/>
    </row>
    <row r="782">
      <c r="A782" s="5"/>
      <c r="B782" s="9"/>
      <c r="C782" s="5"/>
      <c r="D782" s="9"/>
      <c r="E782" s="9"/>
      <c r="F782" s="9"/>
      <c r="G782" s="9"/>
      <c r="H782" s="9"/>
      <c r="I782" s="9"/>
      <c r="J782" s="5"/>
      <c r="K782" s="4"/>
      <c r="L782" s="10"/>
      <c r="M782" s="10"/>
      <c r="N782" s="10"/>
      <c r="O782" s="10"/>
      <c r="P782" s="10"/>
      <c r="Q782" s="11"/>
      <c r="R782" s="9"/>
      <c r="S782" s="12"/>
      <c r="T782" s="5"/>
      <c r="U782" s="5"/>
      <c r="V782" s="4"/>
      <c r="W782" s="4"/>
      <c r="X782" s="4"/>
      <c r="Y782" s="4"/>
    </row>
    <row r="783">
      <c r="A783" s="5"/>
      <c r="B783" s="9"/>
      <c r="C783" s="5"/>
      <c r="D783" s="9"/>
      <c r="E783" s="9"/>
      <c r="F783" s="9"/>
      <c r="G783" s="9"/>
      <c r="H783" s="9"/>
      <c r="I783" s="9"/>
      <c r="J783" s="5"/>
      <c r="K783" s="4"/>
      <c r="L783" s="10"/>
      <c r="M783" s="10"/>
      <c r="N783" s="10"/>
      <c r="O783" s="10"/>
      <c r="P783" s="10"/>
      <c r="Q783" s="11"/>
      <c r="R783" s="9"/>
      <c r="S783" s="12"/>
      <c r="T783" s="5"/>
      <c r="U783" s="5"/>
      <c r="V783" s="4"/>
      <c r="W783" s="4"/>
      <c r="X783" s="4"/>
      <c r="Y783" s="4"/>
    </row>
    <row r="784">
      <c r="A784" s="5"/>
      <c r="B784" s="9"/>
      <c r="C784" s="5"/>
      <c r="D784" s="9"/>
      <c r="E784" s="9"/>
      <c r="F784" s="9"/>
      <c r="G784" s="9"/>
      <c r="H784" s="9"/>
      <c r="I784" s="9"/>
      <c r="J784" s="5"/>
      <c r="K784" s="4"/>
      <c r="L784" s="10"/>
      <c r="M784" s="10"/>
      <c r="N784" s="10"/>
      <c r="O784" s="10"/>
      <c r="P784" s="10"/>
      <c r="Q784" s="11"/>
      <c r="R784" s="9"/>
      <c r="S784" s="12"/>
      <c r="T784" s="5"/>
      <c r="U784" s="5"/>
      <c r="V784" s="4"/>
      <c r="W784" s="4"/>
      <c r="X784" s="4"/>
      <c r="Y784" s="4"/>
    </row>
    <row r="785">
      <c r="A785" s="5"/>
      <c r="B785" s="9"/>
      <c r="C785" s="5"/>
      <c r="D785" s="9"/>
      <c r="E785" s="9"/>
      <c r="F785" s="9"/>
      <c r="G785" s="9"/>
      <c r="H785" s="9"/>
      <c r="I785" s="9"/>
      <c r="J785" s="5"/>
      <c r="K785" s="4"/>
      <c r="L785" s="10"/>
      <c r="M785" s="10"/>
      <c r="N785" s="10"/>
      <c r="O785" s="10"/>
      <c r="P785" s="10"/>
      <c r="Q785" s="11"/>
      <c r="R785" s="9"/>
      <c r="S785" s="12"/>
      <c r="T785" s="5"/>
      <c r="U785" s="5"/>
      <c r="V785" s="4"/>
      <c r="W785" s="4"/>
      <c r="X785" s="4"/>
      <c r="Y785" s="4"/>
    </row>
    <row r="786">
      <c r="A786" s="5"/>
      <c r="B786" s="9"/>
      <c r="C786" s="5"/>
      <c r="D786" s="9"/>
      <c r="E786" s="9"/>
      <c r="F786" s="9"/>
      <c r="G786" s="9"/>
      <c r="H786" s="9"/>
      <c r="I786" s="9"/>
      <c r="J786" s="5"/>
      <c r="K786" s="4"/>
      <c r="L786" s="10"/>
      <c r="M786" s="10"/>
      <c r="N786" s="10"/>
      <c r="O786" s="10"/>
      <c r="P786" s="10"/>
      <c r="Q786" s="11"/>
      <c r="R786" s="9"/>
      <c r="S786" s="12"/>
      <c r="T786" s="5"/>
      <c r="U786" s="5"/>
      <c r="V786" s="4"/>
      <c r="W786" s="4"/>
      <c r="X786" s="4"/>
      <c r="Y786" s="4"/>
    </row>
    <row r="787">
      <c r="A787" s="5"/>
      <c r="B787" s="9"/>
      <c r="C787" s="5"/>
      <c r="D787" s="9"/>
      <c r="E787" s="9"/>
      <c r="F787" s="9"/>
      <c r="G787" s="9"/>
      <c r="H787" s="9"/>
      <c r="I787" s="9"/>
      <c r="J787" s="5"/>
      <c r="K787" s="4"/>
      <c r="L787" s="10"/>
      <c r="M787" s="10"/>
      <c r="N787" s="10"/>
      <c r="O787" s="10"/>
      <c r="P787" s="10"/>
      <c r="Q787" s="11"/>
      <c r="R787" s="9"/>
      <c r="S787" s="12"/>
      <c r="T787" s="5"/>
      <c r="U787" s="5"/>
      <c r="V787" s="4"/>
      <c r="W787" s="4"/>
      <c r="X787" s="4"/>
      <c r="Y787" s="4"/>
    </row>
    <row r="788">
      <c r="A788" s="5"/>
      <c r="B788" s="9"/>
      <c r="C788" s="5"/>
      <c r="D788" s="9"/>
      <c r="E788" s="9"/>
      <c r="F788" s="9"/>
      <c r="G788" s="9"/>
      <c r="H788" s="9"/>
      <c r="I788" s="9"/>
      <c r="J788" s="5"/>
      <c r="K788" s="4"/>
      <c r="L788" s="10"/>
      <c r="M788" s="10"/>
      <c r="N788" s="10"/>
      <c r="O788" s="10"/>
      <c r="P788" s="10"/>
      <c r="Q788" s="11"/>
      <c r="R788" s="9"/>
      <c r="S788" s="12"/>
      <c r="T788" s="5"/>
      <c r="U788" s="5"/>
      <c r="V788" s="4"/>
      <c r="W788" s="4"/>
      <c r="X788" s="4"/>
      <c r="Y788" s="4"/>
    </row>
    <row r="789">
      <c r="A789" s="5"/>
      <c r="B789" s="9"/>
      <c r="C789" s="5"/>
      <c r="D789" s="9"/>
      <c r="E789" s="9"/>
      <c r="F789" s="9"/>
      <c r="G789" s="9"/>
      <c r="H789" s="9"/>
      <c r="I789" s="9"/>
      <c r="J789" s="5"/>
      <c r="K789" s="4"/>
      <c r="L789" s="10"/>
      <c r="M789" s="10"/>
      <c r="N789" s="10"/>
      <c r="O789" s="10"/>
      <c r="P789" s="10"/>
      <c r="Q789" s="11"/>
      <c r="R789" s="9"/>
      <c r="S789" s="12"/>
      <c r="T789" s="5"/>
      <c r="U789" s="5"/>
      <c r="V789" s="4"/>
      <c r="W789" s="4"/>
      <c r="X789" s="4"/>
      <c r="Y789" s="4"/>
    </row>
    <row r="790">
      <c r="A790" s="5"/>
      <c r="B790" s="9"/>
      <c r="C790" s="5"/>
      <c r="D790" s="9"/>
      <c r="E790" s="9"/>
      <c r="F790" s="9"/>
      <c r="G790" s="9"/>
      <c r="H790" s="9"/>
      <c r="I790" s="9"/>
      <c r="J790" s="5"/>
      <c r="K790" s="4"/>
      <c r="L790" s="10"/>
      <c r="M790" s="10"/>
      <c r="N790" s="10"/>
      <c r="O790" s="10"/>
      <c r="P790" s="10"/>
      <c r="Q790" s="11"/>
      <c r="R790" s="9"/>
      <c r="S790" s="12"/>
      <c r="T790" s="5"/>
      <c r="U790" s="5"/>
      <c r="V790" s="4"/>
      <c r="W790" s="4"/>
      <c r="X790" s="4"/>
      <c r="Y790" s="4"/>
    </row>
    <row r="791">
      <c r="A791" s="5"/>
      <c r="B791" s="9"/>
      <c r="C791" s="5"/>
      <c r="D791" s="9"/>
      <c r="E791" s="9"/>
      <c r="F791" s="9"/>
      <c r="G791" s="9"/>
      <c r="H791" s="9"/>
      <c r="I791" s="9"/>
      <c r="J791" s="5"/>
      <c r="K791" s="4"/>
      <c r="L791" s="10"/>
      <c r="M791" s="10"/>
      <c r="N791" s="10"/>
      <c r="O791" s="10"/>
      <c r="P791" s="10"/>
      <c r="Q791" s="11"/>
      <c r="R791" s="9"/>
      <c r="S791" s="12"/>
      <c r="T791" s="5"/>
      <c r="U791" s="5"/>
      <c r="V791" s="4"/>
      <c r="W791" s="4"/>
      <c r="X791" s="4"/>
      <c r="Y791" s="4"/>
    </row>
    <row r="792">
      <c r="A792" s="5"/>
      <c r="B792" s="9"/>
      <c r="C792" s="5"/>
      <c r="D792" s="9"/>
      <c r="E792" s="9"/>
      <c r="F792" s="9"/>
      <c r="G792" s="9"/>
      <c r="H792" s="9"/>
      <c r="I792" s="9"/>
      <c r="J792" s="5"/>
      <c r="K792" s="4"/>
      <c r="L792" s="10"/>
      <c r="M792" s="10"/>
      <c r="N792" s="10"/>
      <c r="O792" s="10"/>
      <c r="P792" s="10"/>
      <c r="Q792" s="11"/>
      <c r="R792" s="9"/>
      <c r="S792" s="12"/>
      <c r="T792" s="5"/>
      <c r="U792" s="5"/>
      <c r="V792" s="4"/>
      <c r="W792" s="4"/>
      <c r="X792" s="4"/>
      <c r="Y792" s="4"/>
    </row>
    <row r="793">
      <c r="A793" s="5"/>
      <c r="B793" s="9"/>
      <c r="C793" s="5"/>
      <c r="D793" s="9"/>
      <c r="E793" s="9"/>
      <c r="F793" s="9"/>
      <c r="G793" s="9"/>
      <c r="H793" s="9"/>
      <c r="I793" s="9"/>
      <c r="J793" s="5"/>
      <c r="K793" s="4"/>
      <c r="L793" s="10"/>
      <c r="M793" s="10"/>
      <c r="N793" s="10"/>
      <c r="O793" s="10"/>
      <c r="P793" s="10"/>
      <c r="Q793" s="11"/>
      <c r="R793" s="9"/>
      <c r="S793" s="12"/>
      <c r="T793" s="5"/>
      <c r="U793" s="5"/>
      <c r="V793" s="4"/>
      <c r="W793" s="4"/>
      <c r="X793" s="4"/>
      <c r="Y793" s="4"/>
    </row>
    <row r="794">
      <c r="A794" s="5"/>
      <c r="B794" s="9"/>
      <c r="C794" s="5"/>
      <c r="D794" s="9"/>
      <c r="E794" s="9"/>
      <c r="F794" s="9"/>
      <c r="G794" s="9"/>
      <c r="H794" s="9"/>
      <c r="I794" s="9"/>
      <c r="J794" s="5"/>
      <c r="K794" s="4"/>
      <c r="L794" s="10"/>
      <c r="M794" s="10"/>
      <c r="N794" s="10"/>
      <c r="O794" s="10"/>
      <c r="P794" s="10"/>
      <c r="Q794" s="11"/>
      <c r="R794" s="9"/>
      <c r="S794" s="12"/>
      <c r="T794" s="5"/>
      <c r="U794" s="5"/>
      <c r="V794" s="4"/>
      <c r="W794" s="4"/>
      <c r="X794" s="4"/>
      <c r="Y794" s="4"/>
    </row>
    <row r="795">
      <c r="A795" s="5"/>
      <c r="B795" s="9"/>
      <c r="C795" s="5"/>
      <c r="D795" s="9"/>
      <c r="E795" s="9"/>
      <c r="F795" s="9"/>
      <c r="G795" s="9"/>
      <c r="H795" s="9"/>
      <c r="I795" s="9"/>
      <c r="J795" s="5"/>
      <c r="K795" s="4"/>
      <c r="L795" s="10"/>
      <c r="M795" s="10"/>
      <c r="N795" s="10"/>
      <c r="O795" s="10"/>
      <c r="P795" s="10"/>
      <c r="Q795" s="11"/>
      <c r="R795" s="9"/>
      <c r="S795" s="12"/>
      <c r="T795" s="5"/>
      <c r="U795" s="5"/>
      <c r="V795" s="4"/>
      <c r="W795" s="4"/>
      <c r="X795" s="4"/>
      <c r="Y795" s="4"/>
    </row>
    <row r="796">
      <c r="A796" s="5"/>
      <c r="B796" s="9"/>
      <c r="C796" s="5"/>
      <c r="D796" s="9"/>
      <c r="E796" s="9"/>
      <c r="F796" s="9"/>
      <c r="G796" s="9"/>
      <c r="H796" s="9"/>
      <c r="I796" s="9"/>
      <c r="J796" s="5"/>
      <c r="K796" s="4"/>
      <c r="L796" s="10"/>
      <c r="M796" s="10"/>
      <c r="N796" s="10"/>
      <c r="O796" s="10"/>
      <c r="P796" s="10"/>
      <c r="Q796" s="11"/>
      <c r="R796" s="9"/>
      <c r="S796" s="12"/>
      <c r="T796" s="5"/>
      <c r="U796" s="5"/>
      <c r="V796" s="4"/>
      <c r="W796" s="4"/>
      <c r="X796" s="4"/>
      <c r="Y796" s="4"/>
    </row>
    <row r="797">
      <c r="A797" s="5"/>
      <c r="B797" s="9"/>
      <c r="C797" s="5"/>
      <c r="D797" s="9"/>
      <c r="E797" s="9"/>
      <c r="F797" s="9"/>
      <c r="G797" s="9"/>
      <c r="H797" s="9"/>
      <c r="I797" s="9"/>
      <c r="J797" s="5"/>
      <c r="K797" s="4"/>
      <c r="L797" s="10"/>
      <c r="M797" s="10"/>
      <c r="N797" s="10"/>
      <c r="O797" s="10"/>
      <c r="P797" s="10"/>
      <c r="Q797" s="11"/>
      <c r="R797" s="9"/>
      <c r="S797" s="12"/>
      <c r="T797" s="5"/>
      <c r="U797" s="5"/>
      <c r="V797" s="4"/>
      <c r="W797" s="4"/>
      <c r="X797" s="4"/>
      <c r="Y797" s="4"/>
    </row>
    <row r="798">
      <c r="A798" s="5"/>
      <c r="B798" s="9"/>
      <c r="C798" s="5"/>
      <c r="D798" s="9"/>
      <c r="E798" s="9"/>
      <c r="F798" s="9"/>
      <c r="G798" s="9"/>
      <c r="H798" s="9"/>
      <c r="I798" s="9"/>
      <c r="J798" s="5"/>
      <c r="K798" s="4"/>
      <c r="L798" s="10"/>
      <c r="M798" s="10"/>
      <c r="N798" s="10"/>
      <c r="O798" s="10"/>
      <c r="P798" s="10"/>
      <c r="Q798" s="11"/>
      <c r="R798" s="9"/>
      <c r="S798" s="12"/>
      <c r="T798" s="5"/>
      <c r="U798" s="5"/>
      <c r="V798" s="4"/>
      <c r="W798" s="4"/>
      <c r="X798" s="4"/>
      <c r="Y798" s="4"/>
    </row>
    <row r="799">
      <c r="A799" s="5"/>
      <c r="B799" s="9"/>
      <c r="C799" s="5"/>
      <c r="D799" s="9"/>
      <c r="E799" s="9"/>
      <c r="F799" s="9"/>
      <c r="G799" s="9"/>
      <c r="H799" s="9"/>
      <c r="I799" s="9"/>
      <c r="J799" s="5"/>
      <c r="K799" s="4"/>
      <c r="L799" s="10"/>
      <c r="M799" s="10"/>
      <c r="N799" s="10"/>
      <c r="O799" s="10"/>
      <c r="P799" s="10"/>
      <c r="Q799" s="11"/>
      <c r="R799" s="9"/>
      <c r="S799" s="12"/>
      <c r="T799" s="5"/>
      <c r="U799" s="5"/>
      <c r="V799" s="4"/>
      <c r="W799" s="4"/>
      <c r="X799" s="4"/>
      <c r="Y799" s="4"/>
    </row>
    <row r="800">
      <c r="A800" s="5"/>
      <c r="B800" s="9"/>
      <c r="C800" s="5"/>
      <c r="D800" s="9"/>
      <c r="E800" s="9"/>
      <c r="F800" s="9"/>
      <c r="G800" s="9"/>
      <c r="H800" s="9"/>
      <c r="I800" s="9"/>
      <c r="J800" s="5"/>
      <c r="K800" s="4"/>
      <c r="L800" s="10"/>
      <c r="M800" s="10"/>
      <c r="N800" s="10"/>
      <c r="O800" s="10"/>
      <c r="P800" s="10"/>
      <c r="Q800" s="11"/>
      <c r="R800" s="9"/>
      <c r="S800" s="12"/>
      <c r="T800" s="5"/>
      <c r="U800" s="5"/>
      <c r="V800" s="4"/>
      <c r="W800" s="4"/>
      <c r="X800" s="4"/>
      <c r="Y800" s="4"/>
    </row>
    <row r="801">
      <c r="A801" s="5"/>
      <c r="B801" s="9"/>
      <c r="C801" s="5"/>
      <c r="D801" s="9"/>
      <c r="E801" s="9"/>
      <c r="F801" s="9"/>
      <c r="G801" s="9"/>
      <c r="H801" s="9"/>
      <c r="I801" s="9"/>
      <c r="J801" s="5"/>
      <c r="K801" s="4"/>
      <c r="L801" s="10"/>
      <c r="M801" s="10"/>
      <c r="N801" s="10"/>
      <c r="O801" s="10"/>
      <c r="P801" s="10"/>
      <c r="Q801" s="11"/>
      <c r="R801" s="9"/>
      <c r="S801" s="12"/>
      <c r="T801" s="5"/>
      <c r="U801" s="5"/>
      <c r="V801" s="4"/>
      <c r="W801" s="4"/>
      <c r="X801" s="4"/>
      <c r="Y801" s="4"/>
    </row>
    <row r="802">
      <c r="A802" s="5"/>
      <c r="B802" s="9"/>
      <c r="C802" s="5"/>
      <c r="D802" s="9"/>
      <c r="E802" s="9"/>
      <c r="F802" s="9"/>
      <c r="G802" s="9"/>
      <c r="H802" s="9"/>
      <c r="I802" s="9"/>
      <c r="J802" s="5"/>
      <c r="K802" s="4"/>
      <c r="L802" s="10"/>
      <c r="M802" s="10"/>
      <c r="N802" s="10"/>
      <c r="O802" s="10"/>
      <c r="P802" s="10"/>
      <c r="Q802" s="11"/>
      <c r="R802" s="9"/>
      <c r="S802" s="12"/>
      <c r="T802" s="5"/>
      <c r="U802" s="5"/>
      <c r="V802" s="4"/>
      <c r="W802" s="4"/>
      <c r="X802" s="4"/>
      <c r="Y802" s="4"/>
    </row>
    <row r="803">
      <c r="A803" s="5"/>
      <c r="B803" s="9"/>
      <c r="C803" s="5"/>
      <c r="D803" s="9"/>
      <c r="E803" s="9"/>
      <c r="F803" s="9"/>
      <c r="G803" s="9"/>
      <c r="H803" s="9"/>
      <c r="I803" s="9"/>
      <c r="J803" s="5"/>
      <c r="K803" s="4"/>
      <c r="L803" s="10"/>
      <c r="M803" s="10"/>
      <c r="N803" s="10"/>
      <c r="O803" s="10"/>
      <c r="P803" s="10"/>
      <c r="Q803" s="11"/>
      <c r="R803" s="9"/>
      <c r="S803" s="12"/>
      <c r="T803" s="5"/>
      <c r="U803" s="5"/>
      <c r="V803" s="4"/>
      <c r="W803" s="4"/>
      <c r="X803" s="4"/>
      <c r="Y803" s="4"/>
    </row>
    <row r="804">
      <c r="A804" s="5"/>
      <c r="B804" s="9"/>
      <c r="C804" s="5"/>
      <c r="D804" s="9"/>
      <c r="E804" s="9"/>
      <c r="F804" s="9"/>
      <c r="G804" s="9"/>
      <c r="H804" s="9"/>
      <c r="I804" s="9"/>
      <c r="J804" s="5"/>
      <c r="K804" s="4"/>
      <c r="L804" s="10"/>
      <c r="M804" s="10"/>
      <c r="N804" s="10"/>
      <c r="O804" s="10"/>
      <c r="P804" s="10"/>
      <c r="Q804" s="11"/>
      <c r="R804" s="9"/>
      <c r="S804" s="12"/>
      <c r="T804" s="5"/>
      <c r="U804" s="5"/>
      <c r="V804" s="4"/>
      <c r="W804" s="4"/>
      <c r="X804" s="4"/>
      <c r="Y804" s="4"/>
    </row>
    <row r="805">
      <c r="A805" s="5"/>
      <c r="B805" s="9"/>
      <c r="C805" s="5"/>
      <c r="D805" s="9"/>
      <c r="E805" s="9"/>
      <c r="F805" s="9"/>
      <c r="G805" s="9"/>
      <c r="H805" s="9"/>
      <c r="I805" s="9"/>
      <c r="J805" s="5"/>
      <c r="K805" s="4"/>
      <c r="L805" s="10"/>
      <c r="M805" s="10"/>
      <c r="N805" s="10"/>
      <c r="O805" s="10"/>
      <c r="P805" s="10"/>
      <c r="Q805" s="11"/>
      <c r="R805" s="9"/>
      <c r="S805" s="12"/>
      <c r="T805" s="5"/>
      <c r="U805" s="5"/>
      <c r="V805" s="4"/>
      <c r="W805" s="4"/>
      <c r="X805" s="4"/>
      <c r="Y805" s="4"/>
    </row>
    <row r="806">
      <c r="A806" s="5"/>
      <c r="B806" s="9"/>
      <c r="C806" s="5"/>
      <c r="D806" s="9"/>
      <c r="E806" s="9"/>
      <c r="F806" s="9"/>
      <c r="G806" s="9"/>
      <c r="H806" s="9"/>
      <c r="I806" s="9"/>
      <c r="J806" s="5"/>
      <c r="K806" s="4"/>
      <c r="L806" s="10"/>
      <c r="M806" s="10"/>
      <c r="N806" s="10"/>
      <c r="O806" s="10"/>
      <c r="P806" s="10"/>
      <c r="Q806" s="11"/>
      <c r="R806" s="9"/>
      <c r="S806" s="12"/>
      <c r="T806" s="5"/>
      <c r="U806" s="5"/>
      <c r="V806" s="4"/>
      <c r="W806" s="4"/>
      <c r="X806" s="4"/>
      <c r="Y806" s="4"/>
    </row>
    <row r="807">
      <c r="A807" s="5"/>
      <c r="B807" s="9"/>
      <c r="C807" s="5"/>
      <c r="D807" s="9"/>
      <c r="E807" s="9"/>
      <c r="F807" s="9"/>
      <c r="G807" s="9"/>
      <c r="H807" s="9"/>
      <c r="I807" s="9"/>
      <c r="J807" s="5"/>
      <c r="K807" s="4"/>
      <c r="L807" s="10"/>
      <c r="M807" s="10"/>
      <c r="N807" s="10"/>
      <c r="O807" s="10"/>
      <c r="P807" s="10"/>
      <c r="Q807" s="11"/>
      <c r="R807" s="9"/>
      <c r="S807" s="12"/>
      <c r="T807" s="5"/>
      <c r="U807" s="5"/>
      <c r="V807" s="4"/>
      <c r="W807" s="4"/>
      <c r="X807" s="4"/>
      <c r="Y807" s="4"/>
    </row>
    <row r="808">
      <c r="A808" s="5"/>
      <c r="B808" s="9"/>
      <c r="C808" s="5"/>
      <c r="D808" s="9"/>
      <c r="E808" s="9"/>
      <c r="F808" s="9"/>
      <c r="G808" s="9"/>
      <c r="H808" s="9"/>
      <c r="I808" s="9"/>
      <c r="J808" s="5"/>
      <c r="K808" s="4"/>
      <c r="L808" s="10"/>
      <c r="M808" s="10"/>
      <c r="N808" s="10"/>
      <c r="O808" s="10"/>
      <c r="P808" s="10"/>
      <c r="Q808" s="11"/>
      <c r="R808" s="9"/>
      <c r="S808" s="12"/>
      <c r="T808" s="5"/>
      <c r="U808" s="5"/>
      <c r="V808" s="4"/>
      <c r="W808" s="4"/>
      <c r="X808" s="4"/>
      <c r="Y808" s="4"/>
    </row>
    <row r="809">
      <c r="A809" s="5"/>
      <c r="B809" s="9"/>
      <c r="C809" s="5"/>
      <c r="D809" s="9"/>
      <c r="E809" s="9"/>
      <c r="F809" s="9"/>
      <c r="G809" s="9"/>
      <c r="H809" s="9"/>
      <c r="I809" s="9"/>
      <c r="J809" s="5"/>
      <c r="K809" s="4"/>
      <c r="L809" s="10"/>
      <c r="M809" s="10"/>
      <c r="N809" s="10"/>
      <c r="O809" s="10"/>
      <c r="P809" s="10"/>
      <c r="Q809" s="11"/>
      <c r="R809" s="9"/>
      <c r="S809" s="12"/>
      <c r="T809" s="5"/>
      <c r="U809" s="5"/>
      <c r="V809" s="4"/>
      <c r="W809" s="4"/>
      <c r="X809" s="4"/>
      <c r="Y809" s="4"/>
    </row>
    <row r="810">
      <c r="A810" s="5"/>
      <c r="B810" s="9"/>
      <c r="C810" s="5"/>
      <c r="D810" s="9"/>
      <c r="E810" s="9"/>
      <c r="F810" s="9"/>
      <c r="G810" s="9"/>
      <c r="H810" s="9"/>
      <c r="I810" s="9"/>
      <c r="J810" s="5"/>
      <c r="K810" s="4"/>
      <c r="L810" s="10"/>
      <c r="M810" s="10"/>
      <c r="N810" s="10"/>
      <c r="O810" s="10"/>
      <c r="P810" s="10"/>
      <c r="Q810" s="11"/>
      <c r="R810" s="9"/>
      <c r="S810" s="12"/>
      <c r="T810" s="5"/>
      <c r="U810" s="5"/>
      <c r="V810" s="4"/>
      <c r="W810" s="4"/>
      <c r="X810" s="4"/>
      <c r="Y810" s="4"/>
    </row>
    <row r="811">
      <c r="A811" s="5"/>
      <c r="B811" s="9"/>
      <c r="C811" s="5"/>
      <c r="D811" s="9"/>
      <c r="E811" s="9"/>
      <c r="F811" s="9"/>
      <c r="G811" s="9"/>
      <c r="H811" s="9"/>
      <c r="I811" s="9"/>
      <c r="J811" s="5"/>
      <c r="K811" s="4"/>
      <c r="L811" s="10"/>
      <c r="M811" s="10"/>
      <c r="N811" s="10"/>
      <c r="O811" s="10"/>
      <c r="P811" s="10"/>
      <c r="Q811" s="11"/>
      <c r="R811" s="9"/>
      <c r="S811" s="12"/>
      <c r="T811" s="5"/>
      <c r="U811" s="5"/>
      <c r="V811" s="4"/>
      <c r="W811" s="4"/>
      <c r="X811" s="4"/>
      <c r="Y811" s="4"/>
    </row>
    <row r="812">
      <c r="A812" s="5"/>
      <c r="B812" s="9"/>
      <c r="C812" s="5"/>
      <c r="D812" s="9"/>
      <c r="E812" s="9"/>
      <c r="F812" s="9"/>
      <c r="G812" s="9"/>
      <c r="H812" s="9"/>
      <c r="I812" s="9"/>
      <c r="J812" s="5"/>
      <c r="K812" s="4"/>
      <c r="L812" s="10"/>
      <c r="M812" s="10"/>
      <c r="N812" s="10"/>
      <c r="O812" s="10"/>
      <c r="P812" s="10"/>
      <c r="Q812" s="11"/>
      <c r="R812" s="9"/>
      <c r="S812" s="12"/>
      <c r="T812" s="5"/>
      <c r="U812" s="5"/>
      <c r="V812" s="4"/>
      <c r="W812" s="4"/>
      <c r="X812" s="4"/>
      <c r="Y812" s="4"/>
    </row>
    <row r="813">
      <c r="A813" s="5"/>
      <c r="B813" s="9"/>
      <c r="C813" s="5"/>
      <c r="D813" s="9"/>
      <c r="E813" s="9"/>
      <c r="F813" s="9"/>
      <c r="G813" s="9"/>
      <c r="H813" s="9"/>
      <c r="I813" s="9"/>
      <c r="J813" s="5"/>
      <c r="K813" s="4"/>
      <c r="L813" s="10"/>
      <c r="M813" s="10"/>
      <c r="N813" s="10"/>
      <c r="O813" s="10"/>
      <c r="P813" s="10"/>
      <c r="Q813" s="11"/>
      <c r="R813" s="9"/>
      <c r="S813" s="12"/>
      <c r="T813" s="5"/>
      <c r="U813" s="5"/>
      <c r="V813" s="4"/>
      <c r="W813" s="4"/>
      <c r="X813" s="4"/>
      <c r="Y813" s="4"/>
    </row>
    <row r="814">
      <c r="A814" s="5"/>
      <c r="B814" s="9"/>
      <c r="C814" s="5"/>
      <c r="D814" s="9"/>
      <c r="E814" s="9"/>
      <c r="F814" s="9"/>
      <c r="G814" s="9"/>
      <c r="H814" s="9"/>
      <c r="I814" s="9"/>
      <c r="J814" s="5"/>
      <c r="K814" s="4"/>
      <c r="L814" s="10"/>
      <c r="M814" s="10"/>
      <c r="N814" s="10"/>
      <c r="O814" s="10"/>
      <c r="P814" s="10"/>
      <c r="Q814" s="11"/>
      <c r="R814" s="9"/>
      <c r="S814" s="12"/>
      <c r="T814" s="5"/>
      <c r="U814" s="5"/>
      <c r="V814" s="4"/>
      <c r="W814" s="4"/>
      <c r="X814" s="4"/>
      <c r="Y814" s="4"/>
    </row>
    <row r="815">
      <c r="A815" s="5"/>
      <c r="B815" s="9"/>
      <c r="C815" s="5"/>
      <c r="D815" s="9"/>
      <c r="E815" s="9"/>
      <c r="F815" s="9"/>
      <c r="G815" s="9"/>
      <c r="H815" s="9"/>
      <c r="I815" s="9"/>
      <c r="J815" s="5"/>
      <c r="K815" s="4"/>
      <c r="L815" s="10"/>
      <c r="M815" s="10"/>
      <c r="N815" s="10"/>
      <c r="O815" s="10"/>
      <c r="P815" s="10"/>
      <c r="Q815" s="11"/>
      <c r="R815" s="9"/>
      <c r="S815" s="12"/>
      <c r="T815" s="5"/>
      <c r="U815" s="5"/>
      <c r="V815" s="4"/>
      <c r="W815" s="4"/>
      <c r="X815" s="4"/>
      <c r="Y815" s="4"/>
    </row>
    <row r="816">
      <c r="A816" s="5"/>
      <c r="B816" s="9"/>
      <c r="C816" s="5"/>
      <c r="D816" s="9"/>
      <c r="E816" s="9"/>
      <c r="F816" s="9"/>
      <c r="G816" s="9"/>
      <c r="H816" s="9"/>
      <c r="I816" s="9"/>
      <c r="J816" s="5"/>
      <c r="K816" s="4"/>
      <c r="L816" s="10"/>
      <c r="M816" s="10"/>
      <c r="N816" s="10"/>
      <c r="O816" s="10"/>
      <c r="P816" s="10"/>
      <c r="Q816" s="11"/>
      <c r="R816" s="9"/>
      <c r="S816" s="12"/>
      <c r="T816" s="5"/>
      <c r="U816" s="5"/>
      <c r="V816" s="4"/>
      <c r="W816" s="4"/>
      <c r="X816" s="4"/>
      <c r="Y816" s="4"/>
    </row>
    <row r="817">
      <c r="A817" s="5"/>
      <c r="B817" s="9"/>
      <c r="C817" s="5"/>
      <c r="D817" s="9"/>
      <c r="E817" s="9"/>
      <c r="F817" s="9"/>
      <c r="G817" s="9"/>
      <c r="H817" s="9"/>
      <c r="I817" s="9"/>
      <c r="J817" s="5"/>
      <c r="K817" s="4"/>
      <c r="L817" s="10"/>
      <c r="M817" s="10"/>
      <c r="N817" s="10"/>
      <c r="O817" s="10"/>
      <c r="P817" s="10"/>
      <c r="Q817" s="11"/>
      <c r="R817" s="9"/>
      <c r="S817" s="12"/>
      <c r="T817" s="5"/>
      <c r="U817" s="5"/>
      <c r="V817" s="4"/>
      <c r="W817" s="4"/>
      <c r="X817" s="4"/>
      <c r="Y817" s="4"/>
    </row>
    <row r="818">
      <c r="A818" s="5"/>
      <c r="B818" s="9"/>
      <c r="C818" s="5"/>
      <c r="D818" s="9"/>
      <c r="E818" s="9"/>
      <c r="F818" s="9"/>
      <c r="G818" s="9"/>
      <c r="H818" s="9"/>
      <c r="I818" s="9"/>
      <c r="J818" s="5"/>
      <c r="K818" s="4"/>
      <c r="L818" s="10"/>
      <c r="M818" s="10"/>
      <c r="N818" s="10"/>
      <c r="O818" s="10"/>
      <c r="P818" s="10"/>
      <c r="Q818" s="11"/>
      <c r="R818" s="9"/>
      <c r="S818" s="12"/>
      <c r="T818" s="5"/>
      <c r="U818" s="5"/>
      <c r="V818" s="4"/>
      <c r="W818" s="4"/>
      <c r="X818" s="4"/>
      <c r="Y818" s="4"/>
    </row>
    <row r="819">
      <c r="A819" s="5"/>
      <c r="B819" s="9"/>
      <c r="C819" s="5"/>
      <c r="D819" s="9"/>
      <c r="E819" s="9"/>
      <c r="F819" s="9"/>
      <c r="G819" s="9"/>
      <c r="H819" s="9"/>
      <c r="I819" s="9"/>
      <c r="J819" s="5"/>
      <c r="K819" s="4"/>
      <c r="L819" s="10"/>
      <c r="M819" s="10"/>
      <c r="N819" s="10"/>
      <c r="O819" s="10"/>
      <c r="P819" s="10"/>
      <c r="Q819" s="11"/>
      <c r="R819" s="9"/>
      <c r="S819" s="12"/>
      <c r="T819" s="5"/>
      <c r="U819" s="5"/>
      <c r="V819" s="4"/>
      <c r="W819" s="4"/>
      <c r="X819" s="4"/>
      <c r="Y819" s="4"/>
    </row>
    <row r="820">
      <c r="A820" s="5"/>
      <c r="B820" s="9"/>
      <c r="C820" s="5"/>
      <c r="D820" s="9"/>
      <c r="E820" s="9"/>
      <c r="F820" s="9"/>
      <c r="G820" s="9"/>
      <c r="H820" s="9"/>
      <c r="I820" s="9"/>
      <c r="J820" s="5"/>
      <c r="K820" s="4"/>
      <c r="L820" s="10"/>
      <c r="M820" s="10"/>
      <c r="N820" s="10"/>
      <c r="O820" s="10"/>
      <c r="P820" s="10"/>
      <c r="Q820" s="11"/>
      <c r="R820" s="9"/>
      <c r="S820" s="12"/>
      <c r="T820" s="5"/>
      <c r="U820" s="5"/>
      <c r="V820" s="4"/>
      <c r="W820" s="4"/>
      <c r="X820" s="4"/>
      <c r="Y820" s="4"/>
    </row>
    <row r="821">
      <c r="A821" s="5"/>
      <c r="B821" s="9"/>
      <c r="C821" s="5"/>
      <c r="D821" s="9"/>
      <c r="E821" s="9"/>
      <c r="F821" s="9"/>
      <c r="G821" s="9"/>
      <c r="H821" s="9"/>
      <c r="I821" s="9"/>
      <c r="J821" s="5"/>
      <c r="K821" s="4"/>
      <c r="L821" s="10"/>
      <c r="M821" s="10"/>
      <c r="N821" s="10"/>
      <c r="O821" s="10"/>
      <c r="P821" s="10"/>
      <c r="Q821" s="11"/>
      <c r="R821" s="9"/>
      <c r="S821" s="12"/>
      <c r="T821" s="5"/>
      <c r="U821" s="5"/>
      <c r="V821" s="4"/>
      <c r="W821" s="4"/>
      <c r="X821" s="4"/>
      <c r="Y821" s="4"/>
    </row>
    <row r="822">
      <c r="A822" s="5"/>
      <c r="B822" s="9"/>
      <c r="C822" s="5"/>
      <c r="D822" s="9"/>
      <c r="E822" s="9"/>
      <c r="F822" s="9"/>
      <c r="G822" s="9"/>
      <c r="H822" s="9"/>
      <c r="I822" s="9"/>
      <c r="J822" s="5"/>
      <c r="K822" s="4"/>
      <c r="L822" s="10"/>
      <c r="M822" s="10"/>
      <c r="N822" s="10"/>
      <c r="O822" s="10"/>
      <c r="P822" s="10"/>
      <c r="Q822" s="11"/>
      <c r="R822" s="9"/>
      <c r="S822" s="12"/>
      <c r="T822" s="5"/>
      <c r="U822" s="5"/>
      <c r="V822" s="4"/>
      <c r="W822" s="4"/>
      <c r="X822" s="4"/>
      <c r="Y822" s="4"/>
    </row>
    <row r="823">
      <c r="A823" s="5"/>
      <c r="B823" s="9"/>
      <c r="C823" s="5"/>
      <c r="D823" s="9"/>
      <c r="E823" s="9"/>
      <c r="F823" s="9"/>
      <c r="G823" s="9"/>
      <c r="H823" s="9"/>
      <c r="I823" s="9"/>
      <c r="J823" s="5"/>
      <c r="K823" s="4"/>
      <c r="L823" s="10"/>
      <c r="M823" s="10"/>
      <c r="N823" s="10"/>
      <c r="O823" s="10"/>
      <c r="P823" s="10"/>
      <c r="Q823" s="11"/>
      <c r="R823" s="9"/>
      <c r="S823" s="12"/>
      <c r="T823" s="5"/>
      <c r="U823" s="5"/>
      <c r="V823" s="4"/>
      <c r="W823" s="4"/>
      <c r="X823" s="4"/>
      <c r="Y823" s="4"/>
    </row>
    <row r="824">
      <c r="A824" s="5"/>
      <c r="B824" s="9"/>
      <c r="C824" s="5"/>
      <c r="D824" s="9"/>
      <c r="E824" s="9"/>
      <c r="F824" s="9"/>
      <c r="G824" s="9"/>
      <c r="H824" s="9"/>
      <c r="I824" s="9"/>
      <c r="J824" s="5"/>
      <c r="K824" s="4"/>
      <c r="L824" s="10"/>
      <c r="M824" s="10"/>
      <c r="N824" s="10"/>
      <c r="O824" s="10"/>
      <c r="P824" s="10"/>
      <c r="Q824" s="11"/>
      <c r="R824" s="9"/>
      <c r="S824" s="12"/>
      <c r="T824" s="5"/>
      <c r="U824" s="5"/>
      <c r="V824" s="4"/>
      <c r="W824" s="4"/>
      <c r="X824" s="4"/>
      <c r="Y824" s="4"/>
    </row>
    <row r="825">
      <c r="A825" s="5"/>
      <c r="B825" s="9"/>
      <c r="C825" s="5"/>
      <c r="D825" s="9"/>
      <c r="E825" s="9"/>
      <c r="F825" s="9"/>
      <c r="G825" s="9"/>
      <c r="H825" s="9"/>
      <c r="I825" s="9"/>
      <c r="J825" s="5"/>
      <c r="K825" s="4"/>
      <c r="L825" s="10"/>
      <c r="M825" s="10"/>
      <c r="N825" s="10"/>
      <c r="O825" s="10"/>
      <c r="P825" s="10"/>
      <c r="Q825" s="11"/>
      <c r="R825" s="9"/>
      <c r="S825" s="12"/>
      <c r="T825" s="5"/>
      <c r="U825" s="5"/>
      <c r="V825" s="4"/>
      <c r="W825" s="4"/>
      <c r="X825" s="4"/>
      <c r="Y825" s="4"/>
    </row>
    <row r="826">
      <c r="A826" s="5"/>
      <c r="B826" s="9"/>
      <c r="C826" s="5"/>
      <c r="D826" s="9"/>
      <c r="E826" s="9"/>
      <c r="F826" s="9"/>
      <c r="G826" s="9"/>
      <c r="H826" s="9"/>
      <c r="I826" s="9"/>
      <c r="J826" s="5"/>
      <c r="K826" s="4"/>
      <c r="L826" s="10"/>
      <c r="M826" s="10"/>
      <c r="N826" s="10"/>
      <c r="O826" s="10"/>
      <c r="P826" s="10"/>
      <c r="Q826" s="11"/>
      <c r="R826" s="9"/>
      <c r="S826" s="12"/>
      <c r="T826" s="5"/>
      <c r="U826" s="5"/>
      <c r="V826" s="4"/>
      <c r="W826" s="4"/>
      <c r="X826" s="4"/>
      <c r="Y826" s="4"/>
    </row>
    <row r="827">
      <c r="A827" s="5"/>
      <c r="B827" s="9"/>
      <c r="C827" s="5"/>
      <c r="D827" s="9"/>
      <c r="E827" s="9"/>
      <c r="F827" s="9"/>
      <c r="G827" s="9"/>
      <c r="H827" s="9"/>
      <c r="I827" s="9"/>
      <c r="J827" s="5"/>
      <c r="K827" s="4"/>
      <c r="L827" s="10"/>
      <c r="M827" s="10"/>
      <c r="N827" s="10"/>
      <c r="O827" s="10"/>
      <c r="P827" s="10"/>
      <c r="Q827" s="11"/>
      <c r="R827" s="9"/>
      <c r="S827" s="12"/>
      <c r="T827" s="5"/>
      <c r="U827" s="5"/>
      <c r="V827" s="4"/>
      <c r="W827" s="4"/>
      <c r="X827" s="4"/>
      <c r="Y827" s="4"/>
    </row>
    <row r="828">
      <c r="A828" s="5"/>
      <c r="B828" s="9"/>
      <c r="C828" s="5"/>
      <c r="D828" s="9"/>
      <c r="E828" s="9"/>
      <c r="F828" s="9"/>
      <c r="G828" s="9"/>
      <c r="H828" s="9"/>
      <c r="I828" s="9"/>
      <c r="J828" s="5"/>
      <c r="K828" s="4"/>
      <c r="L828" s="10"/>
      <c r="M828" s="10"/>
      <c r="N828" s="10"/>
      <c r="O828" s="10"/>
      <c r="P828" s="10"/>
      <c r="Q828" s="11"/>
      <c r="R828" s="9"/>
      <c r="S828" s="12"/>
      <c r="T828" s="5"/>
      <c r="U828" s="5"/>
      <c r="V828" s="4"/>
      <c r="W828" s="4"/>
      <c r="X828" s="4"/>
      <c r="Y828" s="4"/>
    </row>
    <row r="829">
      <c r="A829" s="5"/>
      <c r="B829" s="9"/>
      <c r="C829" s="5"/>
      <c r="D829" s="9"/>
      <c r="E829" s="9"/>
      <c r="F829" s="9"/>
      <c r="G829" s="9"/>
      <c r="H829" s="9"/>
      <c r="I829" s="9"/>
      <c r="J829" s="5"/>
      <c r="K829" s="4"/>
      <c r="L829" s="10"/>
      <c r="M829" s="10"/>
      <c r="N829" s="10"/>
      <c r="O829" s="10"/>
      <c r="P829" s="10"/>
      <c r="Q829" s="11"/>
      <c r="R829" s="9"/>
      <c r="S829" s="12"/>
      <c r="T829" s="5"/>
      <c r="U829" s="5"/>
      <c r="V829" s="4"/>
      <c r="W829" s="4"/>
      <c r="X829" s="4"/>
      <c r="Y829" s="4"/>
    </row>
    <row r="830">
      <c r="A830" s="5"/>
      <c r="B830" s="9"/>
      <c r="C830" s="5"/>
      <c r="D830" s="9"/>
      <c r="E830" s="9"/>
      <c r="F830" s="9"/>
      <c r="G830" s="9"/>
      <c r="H830" s="9"/>
      <c r="I830" s="9"/>
      <c r="J830" s="5"/>
      <c r="K830" s="4"/>
      <c r="L830" s="10"/>
      <c r="M830" s="10"/>
      <c r="N830" s="10"/>
      <c r="O830" s="10"/>
      <c r="P830" s="10"/>
      <c r="Q830" s="11"/>
      <c r="R830" s="9"/>
      <c r="S830" s="12"/>
      <c r="T830" s="5"/>
      <c r="U830" s="5"/>
      <c r="V830" s="4"/>
      <c r="W830" s="4"/>
      <c r="X830" s="4"/>
      <c r="Y830" s="4"/>
    </row>
    <row r="831">
      <c r="A831" s="5"/>
      <c r="B831" s="9"/>
      <c r="C831" s="5"/>
      <c r="D831" s="9"/>
      <c r="E831" s="9"/>
      <c r="F831" s="9"/>
      <c r="G831" s="9"/>
      <c r="H831" s="9"/>
      <c r="I831" s="9"/>
      <c r="J831" s="5"/>
      <c r="K831" s="4"/>
      <c r="L831" s="10"/>
      <c r="M831" s="10"/>
      <c r="N831" s="10"/>
      <c r="O831" s="10"/>
      <c r="P831" s="10"/>
      <c r="Q831" s="11"/>
      <c r="R831" s="9"/>
      <c r="S831" s="12"/>
      <c r="T831" s="5"/>
      <c r="U831" s="5"/>
      <c r="V831" s="4"/>
      <c r="W831" s="4"/>
      <c r="X831" s="4"/>
      <c r="Y831" s="4"/>
    </row>
    <row r="832">
      <c r="A832" s="5"/>
      <c r="B832" s="9"/>
      <c r="C832" s="5"/>
      <c r="D832" s="9"/>
      <c r="E832" s="9"/>
      <c r="F832" s="9"/>
      <c r="G832" s="9"/>
      <c r="H832" s="9"/>
      <c r="I832" s="9"/>
      <c r="J832" s="5"/>
      <c r="K832" s="4"/>
      <c r="L832" s="10"/>
      <c r="M832" s="10"/>
      <c r="N832" s="10"/>
      <c r="O832" s="10"/>
      <c r="P832" s="10"/>
      <c r="Q832" s="11"/>
      <c r="R832" s="9"/>
      <c r="S832" s="12"/>
      <c r="T832" s="5"/>
      <c r="U832" s="5"/>
      <c r="V832" s="4"/>
      <c r="W832" s="4"/>
      <c r="X832" s="4"/>
      <c r="Y832" s="4"/>
    </row>
    <row r="833">
      <c r="A833" s="5"/>
      <c r="B833" s="9"/>
      <c r="C833" s="5"/>
      <c r="D833" s="9"/>
      <c r="E833" s="9"/>
      <c r="F833" s="9"/>
      <c r="G833" s="9"/>
      <c r="H833" s="9"/>
      <c r="I833" s="9"/>
      <c r="J833" s="5"/>
      <c r="K833" s="4"/>
      <c r="L833" s="10"/>
      <c r="M833" s="10"/>
      <c r="N833" s="10"/>
      <c r="O833" s="10"/>
      <c r="P833" s="10"/>
      <c r="Q833" s="11"/>
      <c r="R833" s="9"/>
      <c r="S833" s="12"/>
      <c r="T833" s="5"/>
      <c r="U833" s="5"/>
      <c r="V833" s="4"/>
      <c r="W833" s="4"/>
      <c r="X833" s="4"/>
      <c r="Y833" s="4"/>
    </row>
    <row r="834">
      <c r="A834" s="5"/>
      <c r="B834" s="9"/>
      <c r="C834" s="5"/>
      <c r="D834" s="9"/>
      <c r="E834" s="9"/>
      <c r="F834" s="9"/>
      <c r="G834" s="9"/>
      <c r="H834" s="9"/>
      <c r="I834" s="9"/>
      <c r="J834" s="5"/>
      <c r="K834" s="4"/>
      <c r="L834" s="10"/>
      <c r="M834" s="10"/>
      <c r="N834" s="10"/>
      <c r="O834" s="10"/>
      <c r="P834" s="10"/>
      <c r="Q834" s="11"/>
      <c r="R834" s="9"/>
      <c r="S834" s="12"/>
      <c r="T834" s="5"/>
      <c r="U834" s="5"/>
      <c r="V834" s="4"/>
      <c r="W834" s="4"/>
      <c r="X834" s="4"/>
      <c r="Y834" s="4"/>
    </row>
    <row r="835">
      <c r="A835" s="5"/>
      <c r="B835" s="9"/>
      <c r="C835" s="5"/>
      <c r="D835" s="9"/>
      <c r="E835" s="9"/>
      <c r="F835" s="9"/>
      <c r="G835" s="9"/>
      <c r="H835" s="9"/>
      <c r="I835" s="9"/>
      <c r="J835" s="5"/>
      <c r="K835" s="4"/>
      <c r="L835" s="10"/>
      <c r="M835" s="10"/>
      <c r="N835" s="10"/>
      <c r="O835" s="10"/>
      <c r="P835" s="10"/>
      <c r="Q835" s="11"/>
      <c r="R835" s="9"/>
      <c r="S835" s="12"/>
      <c r="T835" s="5"/>
      <c r="U835" s="5"/>
      <c r="V835" s="4"/>
      <c r="W835" s="4"/>
      <c r="X835" s="4"/>
      <c r="Y835" s="4"/>
    </row>
    <row r="836">
      <c r="A836" s="5"/>
      <c r="B836" s="9"/>
      <c r="C836" s="5"/>
      <c r="D836" s="9"/>
      <c r="E836" s="9"/>
      <c r="F836" s="9"/>
      <c r="G836" s="9"/>
      <c r="H836" s="9"/>
      <c r="I836" s="9"/>
      <c r="J836" s="5"/>
      <c r="K836" s="4"/>
      <c r="L836" s="10"/>
      <c r="M836" s="10"/>
      <c r="N836" s="10"/>
      <c r="O836" s="10"/>
      <c r="P836" s="10"/>
      <c r="Q836" s="11"/>
      <c r="R836" s="9"/>
      <c r="S836" s="12"/>
      <c r="T836" s="5"/>
      <c r="U836" s="5"/>
      <c r="V836" s="4"/>
      <c r="W836" s="4"/>
      <c r="X836" s="4"/>
      <c r="Y836" s="4"/>
    </row>
    <row r="837">
      <c r="A837" s="5"/>
      <c r="B837" s="9"/>
      <c r="C837" s="5"/>
      <c r="D837" s="9"/>
      <c r="E837" s="9"/>
      <c r="F837" s="9"/>
      <c r="G837" s="9"/>
      <c r="H837" s="9"/>
      <c r="I837" s="9"/>
      <c r="J837" s="5"/>
      <c r="K837" s="4"/>
      <c r="L837" s="10"/>
      <c r="M837" s="10"/>
      <c r="N837" s="10"/>
      <c r="O837" s="10"/>
      <c r="P837" s="10"/>
      <c r="Q837" s="11"/>
      <c r="R837" s="9"/>
      <c r="S837" s="12"/>
      <c r="T837" s="5"/>
      <c r="U837" s="5"/>
      <c r="V837" s="4"/>
      <c r="W837" s="4"/>
      <c r="X837" s="4"/>
      <c r="Y837" s="4"/>
    </row>
    <row r="838">
      <c r="A838" s="5"/>
      <c r="B838" s="9"/>
      <c r="C838" s="5"/>
      <c r="D838" s="9"/>
      <c r="E838" s="9"/>
      <c r="F838" s="9"/>
      <c r="G838" s="9"/>
      <c r="H838" s="9"/>
      <c r="I838" s="9"/>
      <c r="J838" s="5"/>
      <c r="K838" s="4"/>
      <c r="L838" s="10"/>
      <c r="M838" s="10"/>
      <c r="N838" s="10"/>
      <c r="O838" s="10"/>
      <c r="P838" s="10"/>
      <c r="Q838" s="11"/>
      <c r="R838" s="9"/>
      <c r="S838" s="12"/>
      <c r="T838" s="5"/>
      <c r="U838" s="5"/>
      <c r="V838" s="4"/>
      <c r="W838" s="4"/>
      <c r="X838" s="4"/>
      <c r="Y838" s="4"/>
    </row>
    <row r="839">
      <c r="A839" s="5"/>
      <c r="B839" s="9"/>
      <c r="C839" s="5"/>
      <c r="D839" s="9"/>
      <c r="E839" s="9"/>
      <c r="F839" s="9"/>
      <c r="G839" s="9"/>
      <c r="H839" s="9"/>
      <c r="I839" s="9"/>
      <c r="J839" s="5"/>
      <c r="K839" s="4"/>
      <c r="L839" s="10"/>
      <c r="M839" s="10"/>
      <c r="N839" s="10"/>
      <c r="O839" s="10"/>
      <c r="P839" s="10"/>
      <c r="Q839" s="11"/>
      <c r="R839" s="9"/>
      <c r="S839" s="12"/>
      <c r="T839" s="5"/>
      <c r="U839" s="5"/>
      <c r="V839" s="4"/>
      <c r="W839" s="4"/>
      <c r="X839" s="4"/>
      <c r="Y839" s="4"/>
    </row>
    <row r="840">
      <c r="A840" s="5"/>
      <c r="B840" s="9"/>
      <c r="C840" s="5"/>
      <c r="D840" s="9"/>
      <c r="E840" s="9"/>
      <c r="F840" s="9"/>
      <c r="G840" s="9"/>
      <c r="H840" s="9"/>
      <c r="I840" s="9"/>
      <c r="J840" s="5"/>
      <c r="K840" s="4"/>
      <c r="L840" s="10"/>
      <c r="M840" s="10"/>
      <c r="N840" s="10"/>
      <c r="O840" s="10"/>
      <c r="P840" s="10"/>
      <c r="Q840" s="11"/>
      <c r="R840" s="9"/>
      <c r="S840" s="12"/>
      <c r="T840" s="5"/>
      <c r="U840" s="5"/>
      <c r="V840" s="4"/>
      <c r="W840" s="4"/>
      <c r="X840" s="4"/>
      <c r="Y840" s="4"/>
    </row>
    <row r="841">
      <c r="A841" s="5"/>
      <c r="B841" s="9"/>
      <c r="C841" s="5"/>
      <c r="D841" s="9"/>
      <c r="E841" s="9"/>
      <c r="F841" s="9"/>
      <c r="G841" s="9"/>
      <c r="H841" s="9"/>
      <c r="I841" s="9"/>
      <c r="J841" s="5"/>
      <c r="K841" s="4"/>
      <c r="L841" s="10"/>
      <c r="M841" s="10"/>
      <c r="N841" s="10"/>
      <c r="O841" s="10"/>
      <c r="P841" s="10"/>
      <c r="Q841" s="11"/>
      <c r="R841" s="9"/>
      <c r="S841" s="12"/>
      <c r="T841" s="5"/>
      <c r="U841" s="5"/>
      <c r="V841" s="4"/>
      <c r="W841" s="4"/>
      <c r="X841" s="4"/>
      <c r="Y841" s="4"/>
    </row>
    <row r="842">
      <c r="A842" s="5"/>
      <c r="B842" s="9"/>
      <c r="C842" s="5"/>
      <c r="D842" s="9"/>
      <c r="E842" s="9"/>
      <c r="F842" s="9"/>
      <c r="G842" s="9"/>
      <c r="H842" s="9"/>
      <c r="I842" s="9"/>
      <c r="J842" s="5"/>
      <c r="K842" s="4"/>
      <c r="L842" s="10"/>
      <c r="M842" s="10"/>
      <c r="N842" s="10"/>
      <c r="O842" s="10"/>
      <c r="P842" s="10"/>
      <c r="Q842" s="11"/>
      <c r="R842" s="9"/>
      <c r="S842" s="12"/>
      <c r="T842" s="5"/>
      <c r="U842" s="5"/>
      <c r="V842" s="4"/>
      <c r="W842" s="4"/>
      <c r="X842" s="4"/>
      <c r="Y842" s="4"/>
    </row>
    <row r="843">
      <c r="A843" s="5"/>
      <c r="B843" s="9"/>
      <c r="C843" s="5"/>
      <c r="D843" s="9"/>
      <c r="E843" s="9"/>
      <c r="F843" s="9"/>
      <c r="G843" s="9"/>
      <c r="H843" s="9"/>
      <c r="I843" s="9"/>
      <c r="J843" s="5"/>
      <c r="K843" s="4"/>
      <c r="L843" s="10"/>
      <c r="M843" s="10"/>
      <c r="N843" s="10"/>
      <c r="O843" s="10"/>
      <c r="P843" s="10"/>
      <c r="Q843" s="11"/>
      <c r="R843" s="9"/>
      <c r="S843" s="12"/>
      <c r="T843" s="5"/>
      <c r="U843" s="5"/>
      <c r="V843" s="4"/>
      <c r="W843" s="4"/>
      <c r="X843" s="4"/>
      <c r="Y843" s="4"/>
    </row>
    <row r="844">
      <c r="A844" s="5"/>
      <c r="B844" s="9"/>
      <c r="C844" s="5"/>
      <c r="D844" s="9"/>
      <c r="E844" s="9"/>
      <c r="F844" s="9"/>
      <c r="G844" s="9"/>
      <c r="H844" s="9"/>
      <c r="I844" s="9"/>
      <c r="J844" s="5"/>
      <c r="K844" s="4"/>
      <c r="L844" s="10"/>
      <c r="M844" s="10"/>
      <c r="N844" s="10"/>
      <c r="O844" s="10"/>
      <c r="P844" s="10"/>
      <c r="Q844" s="11"/>
      <c r="R844" s="9"/>
      <c r="S844" s="12"/>
      <c r="T844" s="5"/>
      <c r="U844" s="5"/>
      <c r="V844" s="4"/>
      <c r="W844" s="4"/>
      <c r="X844" s="4"/>
      <c r="Y844" s="4"/>
    </row>
    <row r="845">
      <c r="A845" s="5"/>
      <c r="B845" s="9"/>
      <c r="C845" s="5"/>
      <c r="D845" s="9"/>
      <c r="E845" s="9"/>
      <c r="F845" s="9"/>
      <c r="G845" s="9"/>
      <c r="H845" s="9"/>
      <c r="I845" s="9"/>
      <c r="J845" s="5"/>
      <c r="K845" s="4"/>
      <c r="L845" s="10"/>
      <c r="M845" s="10"/>
      <c r="N845" s="10"/>
      <c r="O845" s="10"/>
      <c r="P845" s="10"/>
      <c r="Q845" s="11"/>
      <c r="R845" s="9"/>
      <c r="S845" s="12"/>
      <c r="T845" s="5"/>
      <c r="U845" s="5"/>
      <c r="V845" s="4"/>
      <c r="W845" s="4"/>
      <c r="X845" s="4"/>
      <c r="Y845" s="4"/>
    </row>
    <row r="846">
      <c r="A846" s="5"/>
      <c r="B846" s="9"/>
      <c r="C846" s="5"/>
      <c r="D846" s="9"/>
      <c r="E846" s="9"/>
      <c r="F846" s="9"/>
      <c r="G846" s="9"/>
      <c r="H846" s="9"/>
      <c r="I846" s="9"/>
      <c r="J846" s="5"/>
      <c r="K846" s="4"/>
      <c r="L846" s="10"/>
      <c r="M846" s="10"/>
      <c r="N846" s="10"/>
      <c r="O846" s="10"/>
      <c r="P846" s="10"/>
      <c r="Q846" s="11"/>
      <c r="R846" s="9"/>
      <c r="S846" s="12"/>
      <c r="T846" s="5"/>
      <c r="U846" s="5"/>
      <c r="V846" s="4"/>
      <c r="W846" s="4"/>
      <c r="X846" s="4"/>
      <c r="Y846" s="4"/>
    </row>
    <row r="847">
      <c r="A847" s="5"/>
      <c r="B847" s="9"/>
      <c r="C847" s="5"/>
      <c r="D847" s="9"/>
      <c r="E847" s="9"/>
      <c r="F847" s="9"/>
      <c r="G847" s="9"/>
      <c r="H847" s="9"/>
      <c r="I847" s="9"/>
      <c r="J847" s="5"/>
      <c r="K847" s="4"/>
      <c r="L847" s="10"/>
      <c r="M847" s="10"/>
      <c r="N847" s="10"/>
      <c r="O847" s="10"/>
      <c r="P847" s="10"/>
      <c r="Q847" s="11"/>
      <c r="R847" s="9"/>
      <c r="S847" s="12"/>
      <c r="T847" s="5"/>
      <c r="U847" s="5"/>
      <c r="V847" s="4"/>
      <c r="W847" s="4"/>
      <c r="X847" s="4"/>
      <c r="Y847" s="4"/>
    </row>
    <row r="848">
      <c r="A848" s="5"/>
      <c r="B848" s="9"/>
      <c r="C848" s="5"/>
      <c r="D848" s="9"/>
      <c r="E848" s="9"/>
      <c r="F848" s="9"/>
      <c r="G848" s="9"/>
      <c r="H848" s="9"/>
      <c r="I848" s="9"/>
      <c r="J848" s="5"/>
      <c r="K848" s="4"/>
      <c r="L848" s="10"/>
      <c r="M848" s="10"/>
      <c r="N848" s="10"/>
      <c r="O848" s="10"/>
      <c r="P848" s="10"/>
      <c r="Q848" s="11"/>
      <c r="R848" s="9"/>
      <c r="S848" s="12"/>
      <c r="T848" s="5"/>
      <c r="U848" s="5"/>
      <c r="V848" s="4"/>
      <c r="W848" s="4"/>
      <c r="X848" s="4"/>
      <c r="Y848" s="4"/>
    </row>
    <row r="849">
      <c r="A849" s="5"/>
      <c r="B849" s="9"/>
      <c r="C849" s="5"/>
      <c r="D849" s="9"/>
      <c r="E849" s="9"/>
      <c r="F849" s="9"/>
      <c r="G849" s="9"/>
      <c r="H849" s="9"/>
      <c r="I849" s="9"/>
      <c r="J849" s="5"/>
      <c r="K849" s="4"/>
      <c r="L849" s="10"/>
      <c r="M849" s="10"/>
      <c r="N849" s="10"/>
      <c r="O849" s="10"/>
      <c r="P849" s="10"/>
      <c r="Q849" s="11"/>
      <c r="R849" s="9"/>
      <c r="S849" s="12"/>
      <c r="T849" s="5"/>
      <c r="U849" s="5"/>
      <c r="V849" s="4"/>
      <c r="W849" s="4"/>
      <c r="X849" s="4"/>
      <c r="Y849" s="4"/>
    </row>
    <row r="850">
      <c r="A850" s="5"/>
      <c r="B850" s="9"/>
      <c r="C850" s="5"/>
      <c r="D850" s="9"/>
      <c r="E850" s="9"/>
      <c r="F850" s="9"/>
      <c r="G850" s="9"/>
      <c r="H850" s="9"/>
      <c r="I850" s="9"/>
      <c r="J850" s="5"/>
      <c r="K850" s="4"/>
      <c r="L850" s="10"/>
      <c r="M850" s="10"/>
      <c r="N850" s="10"/>
      <c r="O850" s="10"/>
      <c r="P850" s="10"/>
      <c r="Q850" s="11"/>
      <c r="R850" s="9"/>
      <c r="S850" s="12"/>
      <c r="T850" s="5"/>
      <c r="U850" s="5"/>
      <c r="V850" s="4"/>
      <c r="W850" s="4"/>
      <c r="X850" s="4"/>
      <c r="Y850" s="4"/>
    </row>
    <row r="851">
      <c r="A851" s="5"/>
      <c r="B851" s="9"/>
      <c r="C851" s="5"/>
      <c r="D851" s="9"/>
      <c r="E851" s="9"/>
      <c r="F851" s="9"/>
      <c r="G851" s="9"/>
      <c r="H851" s="9"/>
      <c r="I851" s="9"/>
      <c r="J851" s="5"/>
      <c r="K851" s="4"/>
      <c r="L851" s="10"/>
      <c r="M851" s="10"/>
      <c r="N851" s="10"/>
      <c r="O851" s="10"/>
      <c r="P851" s="10"/>
      <c r="Q851" s="11"/>
      <c r="R851" s="9"/>
      <c r="S851" s="12"/>
      <c r="T851" s="5"/>
      <c r="U851" s="5"/>
      <c r="V851" s="4"/>
      <c r="W851" s="4"/>
      <c r="X851" s="4"/>
      <c r="Y851" s="4"/>
    </row>
    <row r="852">
      <c r="A852" s="5"/>
      <c r="B852" s="9"/>
      <c r="C852" s="5"/>
      <c r="D852" s="9"/>
      <c r="E852" s="9"/>
      <c r="F852" s="9"/>
      <c r="G852" s="9"/>
      <c r="H852" s="9"/>
      <c r="I852" s="9"/>
      <c r="J852" s="5"/>
      <c r="K852" s="4"/>
      <c r="L852" s="10"/>
      <c r="M852" s="10"/>
      <c r="N852" s="10"/>
      <c r="O852" s="10"/>
      <c r="P852" s="10"/>
      <c r="Q852" s="11"/>
      <c r="R852" s="9"/>
      <c r="S852" s="12"/>
      <c r="T852" s="5"/>
      <c r="U852" s="5"/>
      <c r="V852" s="4"/>
      <c r="W852" s="4"/>
      <c r="X852" s="4"/>
      <c r="Y852" s="4"/>
    </row>
    <row r="853">
      <c r="A853" s="5"/>
      <c r="B853" s="9"/>
      <c r="C853" s="5"/>
      <c r="D853" s="9"/>
      <c r="E853" s="9"/>
      <c r="F853" s="9"/>
      <c r="G853" s="9"/>
      <c r="H853" s="9"/>
      <c r="I853" s="9"/>
      <c r="J853" s="5"/>
      <c r="K853" s="4"/>
      <c r="L853" s="10"/>
      <c r="M853" s="10"/>
      <c r="N853" s="10"/>
      <c r="O853" s="10"/>
      <c r="P853" s="10"/>
      <c r="Q853" s="11"/>
      <c r="R853" s="9"/>
      <c r="S853" s="12"/>
      <c r="T853" s="5"/>
      <c r="U853" s="5"/>
      <c r="V853" s="4"/>
      <c r="W853" s="4"/>
      <c r="X853" s="4"/>
      <c r="Y853" s="4"/>
    </row>
    <row r="854">
      <c r="A854" s="5"/>
      <c r="B854" s="9"/>
      <c r="C854" s="5"/>
      <c r="D854" s="9"/>
      <c r="E854" s="9"/>
      <c r="F854" s="9"/>
      <c r="G854" s="9"/>
      <c r="H854" s="9"/>
      <c r="I854" s="9"/>
      <c r="J854" s="5"/>
      <c r="K854" s="4"/>
      <c r="L854" s="10"/>
      <c r="M854" s="10"/>
      <c r="N854" s="10"/>
      <c r="O854" s="10"/>
      <c r="P854" s="10"/>
      <c r="Q854" s="11"/>
      <c r="R854" s="9"/>
      <c r="S854" s="12"/>
      <c r="T854" s="5"/>
      <c r="U854" s="5"/>
      <c r="V854" s="4"/>
      <c r="W854" s="4"/>
      <c r="X854" s="4"/>
      <c r="Y854" s="4"/>
    </row>
    <row r="855">
      <c r="A855" s="5"/>
      <c r="B855" s="9"/>
      <c r="C855" s="5"/>
      <c r="D855" s="9"/>
      <c r="E855" s="9"/>
      <c r="F855" s="9"/>
      <c r="G855" s="9"/>
      <c r="H855" s="9"/>
      <c r="I855" s="9"/>
      <c r="J855" s="5"/>
      <c r="K855" s="4"/>
      <c r="L855" s="10"/>
      <c r="M855" s="10"/>
      <c r="N855" s="10"/>
      <c r="O855" s="10"/>
      <c r="P855" s="10"/>
      <c r="Q855" s="11"/>
      <c r="R855" s="9"/>
      <c r="S855" s="12"/>
      <c r="T855" s="5"/>
      <c r="U855" s="5"/>
      <c r="V855" s="4"/>
      <c r="W855" s="4"/>
      <c r="X855" s="4"/>
      <c r="Y855" s="4"/>
    </row>
    <row r="856">
      <c r="A856" s="5"/>
      <c r="B856" s="9"/>
      <c r="C856" s="5"/>
      <c r="D856" s="9"/>
      <c r="E856" s="9"/>
      <c r="F856" s="9"/>
      <c r="G856" s="9"/>
      <c r="H856" s="9"/>
      <c r="I856" s="9"/>
      <c r="J856" s="5"/>
      <c r="K856" s="4"/>
      <c r="L856" s="10"/>
      <c r="M856" s="10"/>
      <c r="N856" s="10"/>
      <c r="O856" s="10"/>
      <c r="P856" s="10"/>
      <c r="Q856" s="11"/>
      <c r="R856" s="9"/>
      <c r="S856" s="12"/>
      <c r="T856" s="5"/>
      <c r="U856" s="5"/>
      <c r="V856" s="4"/>
      <c r="W856" s="4"/>
      <c r="X856" s="4"/>
      <c r="Y856" s="4"/>
    </row>
    <row r="857">
      <c r="A857" s="5"/>
      <c r="B857" s="9"/>
      <c r="C857" s="5"/>
      <c r="D857" s="9"/>
      <c r="E857" s="9"/>
      <c r="F857" s="9"/>
      <c r="G857" s="9"/>
      <c r="H857" s="9"/>
      <c r="I857" s="9"/>
      <c r="J857" s="5"/>
      <c r="K857" s="4"/>
      <c r="L857" s="10"/>
      <c r="M857" s="10"/>
      <c r="N857" s="10"/>
      <c r="O857" s="10"/>
      <c r="P857" s="10"/>
      <c r="Q857" s="11"/>
      <c r="R857" s="9"/>
      <c r="S857" s="12"/>
      <c r="T857" s="5"/>
      <c r="U857" s="5"/>
      <c r="V857" s="4"/>
      <c r="W857" s="4"/>
      <c r="X857" s="4"/>
      <c r="Y857" s="4"/>
    </row>
    <row r="858">
      <c r="A858" s="5"/>
      <c r="B858" s="9"/>
      <c r="C858" s="5"/>
      <c r="D858" s="9"/>
      <c r="E858" s="9"/>
      <c r="F858" s="9"/>
      <c r="G858" s="9"/>
      <c r="H858" s="9"/>
      <c r="I858" s="9"/>
      <c r="J858" s="5"/>
      <c r="K858" s="4"/>
      <c r="L858" s="10"/>
      <c r="M858" s="10"/>
      <c r="N858" s="10"/>
      <c r="O858" s="10"/>
      <c r="P858" s="10"/>
      <c r="Q858" s="11"/>
      <c r="R858" s="9"/>
      <c r="S858" s="12"/>
      <c r="T858" s="5"/>
      <c r="U858" s="5"/>
      <c r="V858" s="4"/>
      <c r="W858" s="4"/>
      <c r="X858" s="4"/>
      <c r="Y858" s="4"/>
    </row>
    <row r="859">
      <c r="A859" s="5"/>
      <c r="B859" s="9"/>
      <c r="C859" s="5"/>
      <c r="D859" s="9"/>
      <c r="E859" s="9"/>
      <c r="F859" s="9"/>
      <c r="G859" s="9"/>
      <c r="H859" s="9"/>
      <c r="I859" s="9"/>
      <c r="J859" s="5"/>
      <c r="K859" s="4"/>
      <c r="L859" s="10"/>
      <c r="M859" s="10"/>
      <c r="N859" s="10"/>
      <c r="O859" s="10"/>
      <c r="P859" s="10"/>
      <c r="Q859" s="11"/>
      <c r="R859" s="9"/>
      <c r="S859" s="12"/>
      <c r="T859" s="5"/>
      <c r="U859" s="5"/>
      <c r="V859" s="4"/>
      <c r="W859" s="4"/>
      <c r="X859" s="4"/>
      <c r="Y859" s="4"/>
    </row>
    <row r="860">
      <c r="A860" s="5"/>
      <c r="B860" s="9"/>
      <c r="C860" s="5"/>
      <c r="D860" s="9"/>
      <c r="E860" s="9"/>
      <c r="F860" s="9"/>
      <c r="G860" s="9"/>
      <c r="H860" s="9"/>
      <c r="I860" s="9"/>
      <c r="J860" s="5"/>
      <c r="K860" s="4"/>
      <c r="L860" s="10"/>
      <c r="M860" s="10"/>
      <c r="N860" s="10"/>
      <c r="O860" s="10"/>
      <c r="P860" s="10"/>
      <c r="Q860" s="11"/>
      <c r="R860" s="9"/>
      <c r="S860" s="12"/>
      <c r="T860" s="5"/>
      <c r="U860" s="5"/>
      <c r="V860" s="4"/>
      <c r="W860" s="4"/>
      <c r="X860" s="4"/>
      <c r="Y860" s="4"/>
    </row>
    <row r="861">
      <c r="A861" s="5"/>
      <c r="B861" s="9"/>
      <c r="C861" s="5"/>
      <c r="D861" s="9"/>
      <c r="E861" s="9"/>
      <c r="F861" s="9"/>
      <c r="G861" s="9"/>
      <c r="H861" s="9"/>
      <c r="I861" s="9"/>
      <c r="J861" s="5"/>
      <c r="K861" s="4"/>
      <c r="L861" s="10"/>
      <c r="M861" s="10"/>
      <c r="N861" s="10"/>
      <c r="O861" s="10"/>
      <c r="P861" s="10"/>
      <c r="Q861" s="11"/>
      <c r="R861" s="9"/>
      <c r="S861" s="12"/>
      <c r="T861" s="5"/>
      <c r="U861" s="5"/>
      <c r="V861" s="4"/>
      <c r="W861" s="4"/>
      <c r="X861" s="4"/>
      <c r="Y861" s="4"/>
    </row>
    <row r="862">
      <c r="A862" s="5"/>
      <c r="B862" s="9"/>
      <c r="C862" s="5"/>
      <c r="D862" s="9"/>
      <c r="E862" s="9"/>
      <c r="F862" s="9"/>
      <c r="G862" s="9"/>
      <c r="H862" s="9"/>
      <c r="I862" s="9"/>
      <c r="J862" s="5"/>
      <c r="K862" s="4"/>
      <c r="L862" s="10"/>
      <c r="M862" s="10"/>
      <c r="N862" s="10"/>
      <c r="O862" s="10"/>
      <c r="P862" s="10"/>
      <c r="Q862" s="11"/>
      <c r="R862" s="9"/>
      <c r="S862" s="12"/>
      <c r="T862" s="5"/>
      <c r="U862" s="5"/>
      <c r="V862" s="4"/>
      <c r="W862" s="4"/>
      <c r="X862" s="4"/>
      <c r="Y862" s="4"/>
    </row>
    <row r="863">
      <c r="A863" s="5"/>
      <c r="B863" s="9"/>
      <c r="C863" s="5"/>
      <c r="D863" s="9"/>
      <c r="E863" s="9"/>
      <c r="F863" s="9"/>
      <c r="G863" s="9"/>
      <c r="H863" s="9"/>
      <c r="I863" s="9"/>
      <c r="J863" s="5"/>
      <c r="K863" s="4"/>
      <c r="L863" s="10"/>
      <c r="M863" s="10"/>
      <c r="N863" s="10"/>
      <c r="O863" s="10"/>
      <c r="P863" s="10"/>
      <c r="Q863" s="11"/>
      <c r="R863" s="9"/>
      <c r="S863" s="12"/>
      <c r="T863" s="5"/>
      <c r="U863" s="5"/>
      <c r="V863" s="4"/>
      <c r="W863" s="4"/>
      <c r="X863" s="4"/>
      <c r="Y863" s="4"/>
    </row>
    <row r="864">
      <c r="A864" s="5"/>
      <c r="B864" s="9"/>
      <c r="C864" s="5"/>
      <c r="D864" s="9"/>
      <c r="E864" s="9"/>
      <c r="F864" s="9"/>
      <c r="G864" s="9"/>
      <c r="H864" s="9"/>
      <c r="I864" s="9"/>
      <c r="J864" s="5"/>
      <c r="K864" s="4"/>
      <c r="L864" s="10"/>
      <c r="M864" s="10"/>
      <c r="N864" s="10"/>
      <c r="O864" s="10"/>
      <c r="P864" s="10"/>
      <c r="Q864" s="11"/>
      <c r="R864" s="9"/>
      <c r="S864" s="12"/>
      <c r="T864" s="5"/>
      <c r="U864" s="5"/>
      <c r="V864" s="4"/>
      <c r="W864" s="4"/>
      <c r="X864" s="4"/>
      <c r="Y864" s="4"/>
    </row>
    <row r="865">
      <c r="A865" s="5"/>
      <c r="B865" s="9"/>
      <c r="C865" s="5"/>
      <c r="D865" s="9"/>
      <c r="E865" s="9"/>
      <c r="F865" s="9"/>
      <c r="G865" s="9"/>
      <c r="H865" s="9"/>
      <c r="I865" s="9"/>
      <c r="J865" s="5"/>
      <c r="K865" s="4"/>
      <c r="L865" s="10"/>
      <c r="M865" s="10"/>
      <c r="N865" s="10"/>
      <c r="O865" s="10"/>
      <c r="P865" s="10"/>
      <c r="Q865" s="11"/>
      <c r="R865" s="9"/>
      <c r="S865" s="12"/>
      <c r="T865" s="5"/>
      <c r="U865" s="5"/>
      <c r="V865" s="4"/>
      <c r="W865" s="4"/>
      <c r="X865" s="4"/>
      <c r="Y865" s="4"/>
    </row>
    <row r="866">
      <c r="A866" s="5"/>
      <c r="B866" s="9"/>
      <c r="C866" s="5"/>
      <c r="D866" s="9"/>
      <c r="E866" s="9"/>
      <c r="F866" s="9"/>
      <c r="G866" s="9"/>
      <c r="H866" s="9"/>
      <c r="I866" s="9"/>
      <c r="J866" s="5"/>
      <c r="K866" s="4"/>
      <c r="L866" s="10"/>
      <c r="M866" s="10"/>
      <c r="N866" s="10"/>
      <c r="O866" s="10"/>
      <c r="P866" s="10"/>
      <c r="Q866" s="11"/>
      <c r="R866" s="9"/>
      <c r="S866" s="12"/>
      <c r="T866" s="5"/>
      <c r="U866" s="5"/>
      <c r="V866" s="4"/>
      <c r="W866" s="4"/>
      <c r="X866" s="4"/>
      <c r="Y866" s="4"/>
    </row>
    <row r="867">
      <c r="A867" s="5"/>
      <c r="B867" s="9"/>
      <c r="C867" s="5"/>
      <c r="D867" s="9"/>
      <c r="E867" s="9"/>
      <c r="F867" s="9"/>
      <c r="G867" s="9"/>
      <c r="H867" s="9"/>
      <c r="I867" s="9"/>
      <c r="J867" s="5"/>
      <c r="K867" s="4"/>
      <c r="L867" s="10"/>
      <c r="M867" s="10"/>
      <c r="N867" s="10"/>
      <c r="O867" s="10"/>
      <c r="P867" s="10"/>
      <c r="Q867" s="11"/>
      <c r="R867" s="9"/>
      <c r="S867" s="12"/>
      <c r="T867" s="5"/>
      <c r="U867" s="5"/>
      <c r="V867" s="4"/>
      <c r="W867" s="4"/>
      <c r="X867" s="4"/>
      <c r="Y867" s="4"/>
    </row>
    <row r="868">
      <c r="A868" s="5"/>
      <c r="B868" s="9"/>
      <c r="C868" s="5"/>
      <c r="D868" s="9"/>
      <c r="E868" s="9"/>
      <c r="F868" s="9"/>
      <c r="G868" s="9"/>
      <c r="H868" s="9"/>
      <c r="I868" s="9"/>
      <c r="J868" s="5"/>
      <c r="K868" s="4"/>
      <c r="L868" s="10"/>
      <c r="M868" s="10"/>
      <c r="N868" s="10"/>
      <c r="O868" s="10"/>
      <c r="P868" s="10"/>
      <c r="Q868" s="11"/>
      <c r="R868" s="9"/>
      <c r="S868" s="12"/>
      <c r="T868" s="5"/>
      <c r="U868" s="5"/>
      <c r="V868" s="4"/>
      <c r="W868" s="4"/>
      <c r="X868" s="4"/>
      <c r="Y868" s="4"/>
    </row>
    <row r="869">
      <c r="A869" s="5"/>
      <c r="B869" s="9"/>
      <c r="C869" s="5"/>
      <c r="D869" s="9"/>
      <c r="E869" s="9"/>
      <c r="F869" s="9"/>
      <c r="G869" s="9"/>
      <c r="H869" s="9"/>
      <c r="I869" s="9"/>
      <c r="J869" s="5"/>
      <c r="K869" s="4"/>
      <c r="L869" s="10"/>
      <c r="M869" s="10"/>
      <c r="N869" s="10"/>
      <c r="O869" s="10"/>
      <c r="P869" s="10"/>
      <c r="Q869" s="11"/>
      <c r="R869" s="9"/>
      <c r="S869" s="12"/>
      <c r="T869" s="5"/>
      <c r="U869" s="5"/>
      <c r="V869" s="4"/>
      <c r="W869" s="4"/>
      <c r="X869" s="4"/>
      <c r="Y869" s="4"/>
    </row>
    <row r="870">
      <c r="A870" s="5"/>
      <c r="B870" s="9"/>
      <c r="C870" s="5"/>
      <c r="D870" s="9"/>
      <c r="E870" s="9"/>
      <c r="F870" s="9"/>
      <c r="G870" s="9"/>
      <c r="H870" s="9"/>
      <c r="I870" s="9"/>
      <c r="J870" s="5"/>
      <c r="K870" s="4"/>
      <c r="L870" s="10"/>
      <c r="M870" s="10"/>
      <c r="N870" s="10"/>
      <c r="O870" s="10"/>
      <c r="P870" s="10"/>
      <c r="Q870" s="11"/>
      <c r="R870" s="9"/>
      <c r="S870" s="12"/>
      <c r="T870" s="5"/>
      <c r="U870" s="5"/>
      <c r="V870" s="4"/>
      <c r="W870" s="4"/>
      <c r="X870" s="4"/>
      <c r="Y870" s="4"/>
    </row>
    <row r="871">
      <c r="A871" s="5"/>
      <c r="B871" s="9"/>
      <c r="C871" s="5"/>
      <c r="D871" s="9"/>
      <c r="E871" s="9"/>
      <c r="F871" s="9"/>
      <c r="G871" s="9"/>
      <c r="H871" s="9"/>
      <c r="I871" s="9"/>
      <c r="J871" s="5"/>
      <c r="K871" s="4"/>
      <c r="L871" s="10"/>
      <c r="M871" s="10"/>
      <c r="N871" s="10"/>
      <c r="O871" s="10"/>
      <c r="P871" s="10"/>
      <c r="Q871" s="11"/>
      <c r="R871" s="9"/>
      <c r="S871" s="12"/>
      <c r="T871" s="5"/>
      <c r="U871" s="5"/>
      <c r="V871" s="4"/>
      <c r="W871" s="4"/>
      <c r="X871" s="4"/>
      <c r="Y871" s="4"/>
    </row>
    <row r="872">
      <c r="A872" s="5"/>
      <c r="B872" s="9"/>
      <c r="C872" s="5"/>
      <c r="D872" s="9"/>
      <c r="E872" s="9"/>
      <c r="F872" s="9"/>
      <c r="G872" s="9"/>
      <c r="H872" s="9"/>
      <c r="I872" s="9"/>
      <c r="J872" s="5"/>
      <c r="K872" s="4"/>
      <c r="L872" s="10"/>
      <c r="M872" s="10"/>
      <c r="N872" s="10"/>
      <c r="O872" s="10"/>
      <c r="P872" s="10"/>
      <c r="Q872" s="11"/>
      <c r="R872" s="9"/>
      <c r="S872" s="12"/>
      <c r="T872" s="5"/>
      <c r="U872" s="5"/>
      <c r="V872" s="4"/>
      <c r="W872" s="4"/>
      <c r="X872" s="4"/>
      <c r="Y872" s="4"/>
    </row>
    <row r="873">
      <c r="A873" s="5"/>
      <c r="B873" s="9"/>
      <c r="C873" s="5"/>
      <c r="D873" s="9"/>
      <c r="E873" s="9"/>
      <c r="F873" s="9"/>
      <c r="G873" s="9"/>
      <c r="H873" s="9"/>
      <c r="I873" s="9"/>
      <c r="J873" s="5"/>
      <c r="K873" s="4"/>
      <c r="L873" s="10"/>
      <c r="M873" s="10"/>
      <c r="N873" s="10"/>
      <c r="O873" s="10"/>
      <c r="P873" s="10"/>
      <c r="Q873" s="11"/>
      <c r="R873" s="9"/>
      <c r="S873" s="12"/>
      <c r="T873" s="5"/>
      <c r="U873" s="5"/>
      <c r="V873" s="4"/>
      <c r="W873" s="4"/>
      <c r="X873" s="4"/>
      <c r="Y873" s="4"/>
    </row>
    <row r="874">
      <c r="A874" s="5"/>
      <c r="B874" s="9"/>
      <c r="C874" s="5"/>
      <c r="D874" s="9"/>
      <c r="E874" s="9"/>
      <c r="F874" s="9"/>
      <c r="G874" s="9"/>
      <c r="H874" s="9"/>
      <c r="I874" s="9"/>
      <c r="J874" s="5"/>
      <c r="K874" s="4"/>
      <c r="L874" s="10"/>
      <c r="M874" s="10"/>
      <c r="N874" s="10"/>
      <c r="O874" s="10"/>
      <c r="P874" s="10"/>
      <c r="Q874" s="11"/>
      <c r="R874" s="9"/>
      <c r="S874" s="12"/>
      <c r="T874" s="5"/>
      <c r="U874" s="5"/>
      <c r="V874" s="4"/>
      <c r="W874" s="4"/>
      <c r="X874" s="4"/>
      <c r="Y874" s="4"/>
    </row>
    <row r="875">
      <c r="A875" s="5"/>
      <c r="B875" s="9"/>
      <c r="C875" s="5"/>
      <c r="D875" s="9"/>
      <c r="E875" s="9"/>
      <c r="F875" s="9"/>
      <c r="G875" s="9"/>
      <c r="H875" s="9"/>
      <c r="I875" s="9"/>
      <c r="J875" s="5"/>
      <c r="K875" s="4"/>
      <c r="L875" s="10"/>
      <c r="M875" s="10"/>
      <c r="N875" s="10"/>
      <c r="O875" s="10"/>
      <c r="P875" s="10"/>
      <c r="Q875" s="11"/>
      <c r="R875" s="9"/>
      <c r="S875" s="12"/>
      <c r="T875" s="5"/>
      <c r="U875" s="5"/>
      <c r="V875" s="4"/>
      <c r="W875" s="4"/>
      <c r="X875" s="4"/>
      <c r="Y875" s="4"/>
    </row>
    <row r="876">
      <c r="A876" s="5"/>
      <c r="B876" s="9"/>
      <c r="C876" s="5"/>
      <c r="D876" s="9"/>
      <c r="E876" s="9"/>
      <c r="F876" s="9"/>
      <c r="G876" s="9"/>
      <c r="H876" s="9"/>
      <c r="I876" s="9"/>
      <c r="J876" s="5"/>
      <c r="K876" s="4"/>
      <c r="L876" s="10"/>
      <c r="M876" s="10"/>
      <c r="N876" s="10"/>
      <c r="O876" s="10"/>
      <c r="P876" s="10"/>
      <c r="Q876" s="11"/>
      <c r="R876" s="9"/>
      <c r="S876" s="12"/>
      <c r="T876" s="5"/>
      <c r="U876" s="5"/>
      <c r="V876" s="4"/>
      <c r="W876" s="4"/>
      <c r="X876" s="4"/>
      <c r="Y876" s="4"/>
    </row>
    <row r="877">
      <c r="A877" s="5"/>
      <c r="B877" s="9"/>
      <c r="C877" s="5"/>
      <c r="D877" s="9"/>
      <c r="E877" s="9"/>
      <c r="F877" s="9"/>
      <c r="G877" s="9"/>
      <c r="H877" s="9"/>
      <c r="I877" s="9"/>
      <c r="J877" s="5"/>
      <c r="K877" s="4"/>
      <c r="L877" s="10"/>
      <c r="M877" s="10"/>
      <c r="N877" s="10"/>
      <c r="O877" s="10"/>
      <c r="P877" s="10"/>
      <c r="Q877" s="11"/>
      <c r="R877" s="9"/>
      <c r="S877" s="12"/>
      <c r="T877" s="5"/>
      <c r="U877" s="5"/>
      <c r="V877" s="4"/>
      <c r="W877" s="4"/>
      <c r="X877" s="4"/>
      <c r="Y877" s="4"/>
    </row>
    <row r="878">
      <c r="A878" s="5"/>
      <c r="B878" s="9"/>
      <c r="C878" s="5"/>
      <c r="D878" s="9"/>
      <c r="E878" s="9"/>
      <c r="F878" s="9"/>
      <c r="G878" s="9"/>
      <c r="H878" s="9"/>
      <c r="I878" s="9"/>
      <c r="J878" s="5"/>
      <c r="K878" s="4"/>
      <c r="L878" s="10"/>
      <c r="M878" s="10"/>
      <c r="N878" s="10"/>
      <c r="O878" s="10"/>
      <c r="P878" s="10"/>
      <c r="Q878" s="11"/>
      <c r="R878" s="9"/>
      <c r="S878" s="12"/>
      <c r="T878" s="5"/>
      <c r="U878" s="5"/>
      <c r="V878" s="4"/>
      <c r="W878" s="4"/>
      <c r="X878" s="4"/>
      <c r="Y878" s="4"/>
    </row>
    <row r="879">
      <c r="A879" s="5"/>
      <c r="B879" s="9"/>
      <c r="C879" s="5"/>
      <c r="D879" s="9"/>
      <c r="E879" s="9"/>
      <c r="F879" s="9"/>
      <c r="G879" s="9"/>
      <c r="H879" s="9"/>
      <c r="I879" s="9"/>
      <c r="J879" s="5"/>
      <c r="K879" s="4"/>
      <c r="L879" s="10"/>
      <c r="M879" s="10"/>
      <c r="N879" s="10"/>
      <c r="O879" s="10"/>
      <c r="P879" s="10"/>
      <c r="Q879" s="11"/>
      <c r="R879" s="9"/>
      <c r="S879" s="12"/>
      <c r="T879" s="5"/>
      <c r="U879" s="5"/>
      <c r="V879" s="4"/>
      <c r="W879" s="4"/>
      <c r="X879" s="4"/>
      <c r="Y879" s="4"/>
    </row>
    <row r="880">
      <c r="A880" s="5"/>
      <c r="B880" s="9"/>
      <c r="C880" s="5"/>
      <c r="D880" s="9"/>
      <c r="E880" s="9"/>
      <c r="F880" s="9"/>
      <c r="G880" s="9"/>
      <c r="H880" s="9"/>
      <c r="I880" s="9"/>
      <c r="J880" s="5"/>
      <c r="K880" s="4"/>
      <c r="L880" s="10"/>
      <c r="M880" s="10"/>
      <c r="N880" s="10"/>
      <c r="O880" s="10"/>
      <c r="P880" s="10"/>
      <c r="Q880" s="11"/>
      <c r="R880" s="9"/>
      <c r="S880" s="12"/>
      <c r="T880" s="5"/>
      <c r="U880" s="5"/>
      <c r="V880" s="4"/>
      <c r="W880" s="4"/>
      <c r="X880" s="4"/>
      <c r="Y880" s="4"/>
    </row>
    <row r="881">
      <c r="A881" s="5"/>
      <c r="B881" s="9"/>
      <c r="C881" s="5"/>
      <c r="D881" s="9"/>
      <c r="E881" s="9"/>
      <c r="F881" s="9"/>
      <c r="G881" s="9"/>
      <c r="H881" s="9"/>
      <c r="I881" s="9"/>
      <c r="J881" s="5"/>
      <c r="K881" s="4"/>
      <c r="L881" s="10"/>
      <c r="M881" s="10"/>
      <c r="N881" s="10"/>
      <c r="O881" s="10"/>
      <c r="P881" s="10"/>
      <c r="Q881" s="11"/>
      <c r="R881" s="9"/>
      <c r="S881" s="12"/>
      <c r="T881" s="5"/>
      <c r="U881" s="5"/>
      <c r="V881" s="4"/>
      <c r="W881" s="4"/>
      <c r="X881" s="4"/>
      <c r="Y881" s="4"/>
    </row>
    <row r="882">
      <c r="A882" s="5"/>
      <c r="B882" s="9"/>
      <c r="C882" s="5"/>
      <c r="D882" s="9"/>
      <c r="E882" s="9"/>
      <c r="F882" s="9"/>
      <c r="G882" s="9"/>
      <c r="H882" s="9"/>
      <c r="I882" s="9"/>
      <c r="J882" s="5"/>
      <c r="K882" s="4"/>
      <c r="L882" s="10"/>
      <c r="M882" s="10"/>
      <c r="N882" s="10"/>
      <c r="O882" s="10"/>
      <c r="P882" s="10"/>
      <c r="Q882" s="11"/>
      <c r="R882" s="9"/>
      <c r="S882" s="12"/>
      <c r="T882" s="5"/>
      <c r="U882" s="5"/>
      <c r="V882" s="4"/>
      <c r="W882" s="4"/>
      <c r="X882" s="4"/>
      <c r="Y882" s="4"/>
    </row>
    <row r="883">
      <c r="A883" s="5"/>
      <c r="B883" s="9"/>
      <c r="C883" s="5"/>
      <c r="D883" s="9"/>
      <c r="E883" s="9"/>
      <c r="F883" s="9"/>
      <c r="G883" s="9"/>
      <c r="H883" s="9"/>
      <c r="I883" s="9"/>
      <c r="J883" s="5"/>
      <c r="K883" s="4"/>
      <c r="L883" s="10"/>
      <c r="M883" s="10"/>
      <c r="N883" s="10"/>
      <c r="O883" s="10"/>
      <c r="P883" s="10"/>
      <c r="Q883" s="11"/>
      <c r="R883" s="9"/>
      <c r="S883" s="12"/>
      <c r="T883" s="5"/>
      <c r="U883" s="5"/>
      <c r="V883" s="4"/>
      <c r="W883" s="4"/>
      <c r="X883" s="4"/>
      <c r="Y883" s="4"/>
    </row>
    <row r="884">
      <c r="A884" s="5"/>
      <c r="B884" s="9"/>
      <c r="C884" s="5"/>
      <c r="D884" s="9"/>
      <c r="E884" s="9"/>
      <c r="F884" s="9"/>
      <c r="G884" s="9"/>
      <c r="H884" s="9"/>
      <c r="I884" s="9"/>
      <c r="J884" s="5"/>
      <c r="K884" s="4"/>
      <c r="L884" s="10"/>
      <c r="M884" s="10"/>
      <c r="N884" s="10"/>
      <c r="O884" s="10"/>
      <c r="P884" s="10"/>
      <c r="Q884" s="11"/>
      <c r="R884" s="9"/>
      <c r="S884" s="12"/>
      <c r="T884" s="5"/>
      <c r="U884" s="5"/>
      <c r="V884" s="4"/>
      <c r="W884" s="4"/>
      <c r="X884" s="4"/>
      <c r="Y884" s="4"/>
    </row>
    <row r="885">
      <c r="A885" s="5"/>
      <c r="B885" s="9"/>
      <c r="C885" s="5"/>
      <c r="D885" s="9"/>
      <c r="E885" s="9"/>
      <c r="F885" s="9"/>
      <c r="G885" s="9"/>
      <c r="H885" s="9"/>
      <c r="I885" s="9"/>
      <c r="J885" s="5"/>
      <c r="K885" s="4"/>
      <c r="L885" s="10"/>
      <c r="M885" s="10"/>
      <c r="N885" s="10"/>
      <c r="O885" s="10"/>
      <c r="P885" s="10"/>
      <c r="Q885" s="11"/>
      <c r="R885" s="9"/>
      <c r="S885" s="12"/>
      <c r="T885" s="5"/>
      <c r="U885" s="5"/>
      <c r="V885" s="4"/>
      <c r="W885" s="4"/>
      <c r="X885" s="4"/>
      <c r="Y885" s="4"/>
    </row>
    <row r="886">
      <c r="A886" s="5"/>
      <c r="B886" s="9"/>
      <c r="C886" s="5"/>
      <c r="D886" s="9"/>
      <c r="E886" s="9"/>
      <c r="F886" s="9"/>
      <c r="G886" s="9"/>
      <c r="H886" s="9"/>
      <c r="I886" s="9"/>
      <c r="J886" s="5"/>
      <c r="K886" s="4"/>
      <c r="L886" s="10"/>
      <c r="M886" s="10"/>
      <c r="N886" s="10"/>
      <c r="O886" s="10"/>
      <c r="P886" s="10"/>
      <c r="Q886" s="11"/>
      <c r="R886" s="9"/>
      <c r="S886" s="12"/>
      <c r="T886" s="5"/>
      <c r="U886" s="5"/>
      <c r="V886" s="4"/>
      <c r="W886" s="4"/>
      <c r="X886" s="4"/>
      <c r="Y886" s="4"/>
    </row>
    <row r="887">
      <c r="A887" s="5"/>
      <c r="B887" s="9"/>
      <c r="C887" s="5"/>
      <c r="D887" s="9"/>
      <c r="E887" s="9"/>
      <c r="F887" s="9"/>
      <c r="G887" s="9"/>
      <c r="H887" s="9"/>
      <c r="I887" s="9"/>
      <c r="J887" s="5"/>
      <c r="K887" s="4"/>
      <c r="L887" s="10"/>
      <c r="M887" s="10"/>
      <c r="N887" s="10"/>
      <c r="O887" s="10"/>
      <c r="P887" s="10"/>
      <c r="Q887" s="11"/>
      <c r="R887" s="9"/>
      <c r="S887" s="12"/>
      <c r="T887" s="5"/>
      <c r="U887" s="5"/>
      <c r="V887" s="4"/>
      <c r="W887" s="4"/>
      <c r="X887" s="4"/>
      <c r="Y887" s="4"/>
    </row>
    <row r="888">
      <c r="A888" s="5"/>
      <c r="B888" s="9"/>
      <c r="C888" s="5"/>
      <c r="D888" s="9"/>
      <c r="E888" s="9"/>
      <c r="F888" s="9"/>
      <c r="G888" s="9"/>
      <c r="H888" s="9"/>
      <c r="I888" s="9"/>
      <c r="J888" s="5"/>
      <c r="K888" s="4"/>
      <c r="L888" s="10"/>
      <c r="M888" s="10"/>
      <c r="N888" s="10"/>
      <c r="O888" s="10"/>
      <c r="P888" s="10"/>
      <c r="Q888" s="11"/>
      <c r="R888" s="9"/>
      <c r="S888" s="12"/>
      <c r="T888" s="5"/>
      <c r="U888" s="5"/>
      <c r="V888" s="4"/>
      <c r="W888" s="4"/>
      <c r="X888" s="4"/>
      <c r="Y888" s="4"/>
    </row>
    <row r="889">
      <c r="A889" s="5"/>
      <c r="B889" s="9"/>
      <c r="C889" s="5"/>
      <c r="D889" s="9"/>
      <c r="E889" s="9"/>
      <c r="F889" s="9"/>
      <c r="G889" s="9"/>
      <c r="H889" s="9"/>
      <c r="I889" s="9"/>
      <c r="J889" s="5"/>
      <c r="K889" s="4"/>
      <c r="L889" s="10"/>
      <c r="M889" s="10"/>
      <c r="N889" s="10"/>
      <c r="O889" s="10"/>
      <c r="P889" s="10"/>
      <c r="Q889" s="11"/>
      <c r="R889" s="9"/>
      <c r="S889" s="12"/>
      <c r="T889" s="5"/>
      <c r="U889" s="5"/>
      <c r="V889" s="4"/>
      <c r="W889" s="4"/>
      <c r="X889" s="4"/>
      <c r="Y889" s="4"/>
    </row>
    <row r="890">
      <c r="A890" s="5"/>
      <c r="B890" s="9"/>
      <c r="C890" s="5"/>
      <c r="D890" s="9"/>
      <c r="E890" s="9"/>
      <c r="F890" s="9"/>
      <c r="G890" s="9"/>
      <c r="H890" s="9"/>
      <c r="I890" s="9"/>
      <c r="J890" s="5"/>
      <c r="K890" s="4"/>
      <c r="L890" s="10"/>
      <c r="M890" s="10"/>
      <c r="N890" s="10"/>
      <c r="O890" s="10"/>
      <c r="P890" s="10"/>
      <c r="Q890" s="11"/>
      <c r="R890" s="9"/>
      <c r="S890" s="12"/>
      <c r="T890" s="5"/>
      <c r="U890" s="5"/>
      <c r="V890" s="4"/>
      <c r="W890" s="4"/>
      <c r="X890" s="4"/>
      <c r="Y890" s="4"/>
    </row>
    <row r="891">
      <c r="A891" s="5"/>
      <c r="B891" s="9"/>
      <c r="C891" s="5"/>
      <c r="D891" s="9"/>
      <c r="E891" s="9"/>
      <c r="F891" s="9"/>
      <c r="G891" s="9"/>
      <c r="H891" s="9"/>
      <c r="I891" s="9"/>
      <c r="J891" s="5"/>
      <c r="K891" s="4"/>
      <c r="L891" s="10"/>
      <c r="M891" s="10"/>
      <c r="N891" s="10"/>
      <c r="O891" s="10"/>
      <c r="P891" s="10"/>
      <c r="Q891" s="11"/>
      <c r="R891" s="9"/>
      <c r="S891" s="12"/>
      <c r="T891" s="5"/>
      <c r="U891" s="5"/>
      <c r="V891" s="4"/>
      <c r="W891" s="4"/>
      <c r="X891" s="4"/>
      <c r="Y891" s="4"/>
    </row>
    <row r="892">
      <c r="A892" s="5"/>
      <c r="B892" s="9"/>
      <c r="C892" s="5"/>
      <c r="D892" s="9"/>
      <c r="E892" s="9"/>
      <c r="F892" s="9"/>
      <c r="G892" s="9"/>
      <c r="H892" s="9"/>
      <c r="I892" s="9"/>
      <c r="J892" s="5"/>
      <c r="K892" s="4"/>
      <c r="L892" s="10"/>
      <c r="M892" s="10"/>
      <c r="N892" s="10"/>
      <c r="O892" s="10"/>
      <c r="P892" s="10"/>
      <c r="Q892" s="11"/>
      <c r="R892" s="9"/>
      <c r="S892" s="12"/>
      <c r="T892" s="5"/>
      <c r="U892" s="5"/>
      <c r="V892" s="4"/>
      <c r="W892" s="4"/>
      <c r="X892" s="4"/>
      <c r="Y892" s="4"/>
    </row>
    <row r="893">
      <c r="A893" s="5"/>
      <c r="B893" s="9"/>
      <c r="C893" s="5"/>
      <c r="D893" s="9"/>
      <c r="E893" s="9"/>
      <c r="F893" s="9"/>
      <c r="G893" s="9"/>
      <c r="H893" s="9"/>
      <c r="I893" s="9"/>
      <c r="J893" s="5"/>
      <c r="K893" s="4"/>
      <c r="L893" s="10"/>
      <c r="M893" s="10"/>
      <c r="N893" s="10"/>
      <c r="O893" s="10"/>
      <c r="P893" s="10"/>
      <c r="Q893" s="11"/>
      <c r="R893" s="9"/>
      <c r="S893" s="12"/>
      <c r="T893" s="5"/>
      <c r="U893" s="5"/>
      <c r="V893" s="4"/>
      <c r="W893" s="4"/>
      <c r="X893" s="4"/>
      <c r="Y893" s="4"/>
    </row>
    <row r="894">
      <c r="A894" s="5"/>
      <c r="B894" s="9"/>
      <c r="C894" s="5"/>
      <c r="D894" s="9"/>
      <c r="E894" s="9"/>
      <c r="F894" s="9"/>
      <c r="G894" s="9"/>
      <c r="H894" s="9"/>
      <c r="I894" s="9"/>
      <c r="J894" s="5"/>
      <c r="K894" s="4"/>
      <c r="L894" s="10"/>
      <c r="M894" s="10"/>
      <c r="N894" s="10"/>
      <c r="O894" s="10"/>
      <c r="P894" s="10"/>
      <c r="Q894" s="11"/>
      <c r="R894" s="9"/>
      <c r="S894" s="12"/>
      <c r="T894" s="5"/>
      <c r="U894" s="5"/>
      <c r="V894" s="4"/>
      <c r="W894" s="4"/>
      <c r="X894" s="4"/>
      <c r="Y894" s="4"/>
    </row>
    <row r="895">
      <c r="A895" s="5"/>
      <c r="B895" s="9"/>
      <c r="C895" s="5"/>
      <c r="D895" s="9"/>
      <c r="E895" s="9"/>
      <c r="F895" s="9"/>
      <c r="G895" s="9"/>
      <c r="H895" s="9"/>
      <c r="I895" s="9"/>
      <c r="J895" s="5"/>
      <c r="K895" s="4"/>
      <c r="L895" s="10"/>
      <c r="M895" s="10"/>
      <c r="N895" s="10"/>
      <c r="O895" s="10"/>
      <c r="P895" s="10"/>
      <c r="Q895" s="11"/>
      <c r="R895" s="9"/>
      <c r="S895" s="12"/>
      <c r="T895" s="5"/>
      <c r="U895" s="5"/>
      <c r="V895" s="4"/>
      <c r="W895" s="4"/>
      <c r="X895" s="4"/>
      <c r="Y895" s="4"/>
    </row>
    <row r="896">
      <c r="A896" s="5"/>
      <c r="B896" s="9"/>
      <c r="C896" s="5"/>
      <c r="D896" s="9"/>
      <c r="E896" s="9"/>
      <c r="F896" s="9"/>
      <c r="G896" s="9"/>
      <c r="H896" s="9"/>
      <c r="I896" s="9"/>
      <c r="J896" s="5"/>
      <c r="K896" s="4"/>
      <c r="L896" s="10"/>
      <c r="M896" s="10"/>
      <c r="N896" s="10"/>
      <c r="O896" s="10"/>
      <c r="P896" s="10"/>
      <c r="Q896" s="11"/>
      <c r="R896" s="9"/>
      <c r="S896" s="12"/>
      <c r="T896" s="5"/>
      <c r="U896" s="5"/>
      <c r="V896" s="4"/>
      <c r="W896" s="4"/>
      <c r="X896" s="4"/>
      <c r="Y896" s="4"/>
    </row>
    <row r="897">
      <c r="A897" s="5"/>
      <c r="B897" s="9"/>
      <c r="C897" s="5"/>
      <c r="D897" s="9"/>
      <c r="E897" s="9"/>
      <c r="F897" s="9"/>
      <c r="G897" s="9"/>
      <c r="H897" s="9"/>
      <c r="I897" s="9"/>
      <c r="J897" s="5"/>
      <c r="K897" s="4"/>
      <c r="L897" s="10"/>
      <c r="M897" s="10"/>
      <c r="N897" s="10"/>
      <c r="O897" s="10"/>
      <c r="P897" s="10"/>
      <c r="Q897" s="11"/>
      <c r="R897" s="9"/>
      <c r="S897" s="12"/>
      <c r="T897" s="5"/>
      <c r="U897" s="5"/>
      <c r="V897" s="4"/>
      <c r="W897" s="4"/>
      <c r="X897" s="4"/>
      <c r="Y897" s="4"/>
    </row>
    <row r="898">
      <c r="A898" s="5"/>
      <c r="B898" s="9"/>
      <c r="C898" s="5"/>
      <c r="D898" s="9"/>
      <c r="E898" s="9"/>
      <c r="F898" s="9"/>
      <c r="G898" s="9"/>
      <c r="H898" s="9"/>
      <c r="I898" s="9"/>
      <c r="J898" s="5"/>
      <c r="K898" s="4"/>
      <c r="L898" s="10"/>
      <c r="M898" s="10"/>
      <c r="N898" s="10"/>
      <c r="O898" s="10"/>
      <c r="P898" s="10"/>
      <c r="Q898" s="11"/>
      <c r="R898" s="9"/>
      <c r="S898" s="12"/>
      <c r="T898" s="5"/>
      <c r="U898" s="5"/>
      <c r="V898" s="4"/>
      <c r="W898" s="4"/>
      <c r="X898" s="4"/>
      <c r="Y898" s="4"/>
    </row>
    <row r="899">
      <c r="A899" s="5"/>
      <c r="B899" s="9"/>
      <c r="C899" s="5"/>
      <c r="D899" s="9"/>
      <c r="E899" s="9"/>
      <c r="F899" s="9"/>
      <c r="G899" s="9"/>
      <c r="H899" s="9"/>
      <c r="I899" s="9"/>
      <c r="J899" s="5"/>
      <c r="K899" s="4"/>
      <c r="L899" s="10"/>
      <c r="M899" s="10"/>
      <c r="N899" s="10"/>
      <c r="O899" s="10"/>
      <c r="P899" s="10"/>
      <c r="Q899" s="11"/>
      <c r="R899" s="9"/>
      <c r="S899" s="12"/>
      <c r="T899" s="5"/>
      <c r="U899" s="5"/>
      <c r="V899" s="4"/>
      <c r="W899" s="4"/>
      <c r="X899" s="4"/>
      <c r="Y899" s="4"/>
    </row>
    <row r="900">
      <c r="A900" s="5"/>
      <c r="B900" s="9"/>
      <c r="C900" s="5"/>
      <c r="D900" s="9"/>
      <c r="E900" s="9"/>
      <c r="F900" s="9"/>
      <c r="G900" s="9"/>
      <c r="H900" s="9"/>
      <c r="I900" s="9"/>
      <c r="J900" s="5"/>
      <c r="K900" s="4"/>
      <c r="L900" s="10"/>
      <c r="M900" s="10"/>
      <c r="N900" s="10"/>
      <c r="O900" s="10"/>
      <c r="P900" s="10"/>
      <c r="Q900" s="11"/>
      <c r="R900" s="9"/>
      <c r="S900" s="12"/>
      <c r="T900" s="5"/>
      <c r="U900" s="5"/>
      <c r="V900" s="4"/>
      <c r="W900" s="4"/>
      <c r="X900" s="4"/>
      <c r="Y900" s="4"/>
    </row>
    <row r="901">
      <c r="A901" s="5"/>
      <c r="B901" s="9"/>
      <c r="C901" s="5"/>
      <c r="D901" s="9"/>
      <c r="E901" s="9"/>
      <c r="F901" s="9"/>
      <c r="G901" s="9"/>
      <c r="H901" s="9"/>
      <c r="I901" s="9"/>
      <c r="J901" s="5"/>
      <c r="K901" s="4"/>
      <c r="L901" s="10"/>
      <c r="M901" s="10"/>
      <c r="N901" s="10"/>
      <c r="O901" s="10"/>
      <c r="P901" s="10"/>
      <c r="Q901" s="11"/>
      <c r="R901" s="9"/>
      <c r="S901" s="12"/>
      <c r="T901" s="5"/>
      <c r="U901" s="5"/>
      <c r="V901" s="4"/>
      <c r="W901" s="4"/>
      <c r="X901" s="4"/>
      <c r="Y901" s="4"/>
    </row>
    <row r="902">
      <c r="A902" s="5"/>
      <c r="B902" s="9"/>
      <c r="C902" s="5"/>
      <c r="D902" s="9"/>
      <c r="E902" s="9"/>
      <c r="F902" s="9"/>
      <c r="G902" s="9"/>
      <c r="H902" s="9"/>
      <c r="I902" s="9"/>
      <c r="J902" s="5"/>
      <c r="K902" s="4"/>
      <c r="L902" s="10"/>
      <c r="M902" s="10"/>
      <c r="N902" s="10"/>
      <c r="O902" s="10"/>
      <c r="P902" s="10"/>
      <c r="Q902" s="11"/>
      <c r="R902" s="9"/>
      <c r="S902" s="12"/>
      <c r="T902" s="5"/>
      <c r="U902" s="5"/>
      <c r="V902" s="4"/>
      <c r="W902" s="4"/>
      <c r="X902" s="4"/>
      <c r="Y902" s="4"/>
    </row>
    <row r="903">
      <c r="A903" s="5"/>
      <c r="B903" s="9"/>
      <c r="C903" s="5"/>
      <c r="D903" s="9"/>
      <c r="E903" s="9"/>
      <c r="F903" s="9"/>
      <c r="G903" s="9"/>
      <c r="H903" s="9"/>
      <c r="I903" s="9"/>
      <c r="J903" s="5"/>
      <c r="K903" s="4"/>
      <c r="L903" s="10"/>
      <c r="M903" s="10"/>
      <c r="N903" s="10"/>
      <c r="O903" s="10"/>
      <c r="P903" s="10"/>
      <c r="Q903" s="11"/>
      <c r="R903" s="9"/>
      <c r="S903" s="12"/>
      <c r="T903" s="5"/>
      <c r="U903" s="5"/>
      <c r="V903" s="4"/>
      <c r="W903" s="4"/>
      <c r="X903" s="4"/>
      <c r="Y903" s="4"/>
    </row>
    <row r="904">
      <c r="A904" s="5"/>
      <c r="B904" s="9"/>
      <c r="C904" s="5"/>
      <c r="D904" s="9"/>
      <c r="E904" s="9"/>
      <c r="F904" s="9"/>
      <c r="G904" s="9"/>
      <c r="H904" s="9"/>
      <c r="I904" s="9"/>
      <c r="J904" s="5"/>
      <c r="K904" s="4"/>
      <c r="L904" s="10"/>
      <c r="M904" s="10"/>
      <c r="N904" s="10"/>
      <c r="O904" s="10"/>
      <c r="P904" s="10"/>
      <c r="Q904" s="11"/>
      <c r="R904" s="9"/>
      <c r="S904" s="12"/>
      <c r="T904" s="5"/>
      <c r="U904" s="5"/>
      <c r="V904" s="4"/>
      <c r="W904" s="4"/>
      <c r="X904" s="4"/>
      <c r="Y904" s="4"/>
    </row>
    <row r="905">
      <c r="A905" s="5"/>
      <c r="B905" s="9"/>
      <c r="C905" s="5"/>
      <c r="D905" s="9"/>
      <c r="E905" s="9"/>
      <c r="F905" s="9"/>
      <c r="G905" s="9"/>
      <c r="H905" s="9"/>
      <c r="I905" s="9"/>
      <c r="J905" s="5"/>
      <c r="K905" s="4"/>
      <c r="L905" s="10"/>
      <c r="M905" s="10"/>
      <c r="N905" s="10"/>
      <c r="O905" s="10"/>
      <c r="P905" s="10"/>
      <c r="Q905" s="11"/>
      <c r="R905" s="9"/>
      <c r="S905" s="12"/>
      <c r="T905" s="5"/>
      <c r="U905" s="5"/>
      <c r="V905" s="4"/>
      <c r="W905" s="4"/>
      <c r="X905" s="4"/>
      <c r="Y905" s="4"/>
    </row>
    <row r="906">
      <c r="A906" s="5"/>
      <c r="B906" s="9"/>
      <c r="C906" s="5"/>
      <c r="D906" s="9"/>
      <c r="E906" s="9"/>
      <c r="F906" s="9"/>
      <c r="G906" s="9"/>
      <c r="H906" s="9"/>
      <c r="I906" s="9"/>
      <c r="J906" s="5"/>
      <c r="K906" s="4"/>
      <c r="L906" s="10"/>
      <c r="M906" s="10"/>
      <c r="N906" s="10"/>
      <c r="O906" s="10"/>
      <c r="P906" s="10"/>
      <c r="Q906" s="11"/>
      <c r="R906" s="9"/>
      <c r="S906" s="12"/>
      <c r="T906" s="5"/>
      <c r="U906" s="5"/>
      <c r="V906" s="4"/>
      <c r="W906" s="4"/>
      <c r="X906" s="4"/>
      <c r="Y906" s="4"/>
    </row>
    <row r="907">
      <c r="A907" s="5"/>
      <c r="B907" s="9"/>
      <c r="C907" s="5"/>
      <c r="D907" s="9"/>
      <c r="E907" s="9"/>
      <c r="F907" s="9"/>
      <c r="G907" s="9"/>
      <c r="H907" s="9"/>
      <c r="I907" s="9"/>
      <c r="J907" s="5"/>
      <c r="K907" s="4"/>
      <c r="L907" s="10"/>
      <c r="M907" s="10"/>
      <c r="N907" s="10"/>
      <c r="O907" s="10"/>
      <c r="P907" s="10"/>
      <c r="Q907" s="11"/>
      <c r="R907" s="9"/>
      <c r="S907" s="12"/>
      <c r="T907" s="5"/>
      <c r="U907" s="5"/>
      <c r="V907" s="4"/>
      <c r="W907" s="4"/>
      <c r="X907" s="4"/>
      <c r="Y907" s="4"/>
    </row>
    <row r="908">
      <c r="A908" s="5"/>
      <c r="B908" s="9"/>
      <c r="C908" s="5"/>
      <c r="D908" s="9"/>
      <c r="E908" s="9"/>
      <c r="F908" s="9"/>
      <c r="G908" s="9"/>
      <c r="H908" s="9"/>
      <c r="I908" s="9"/>
      <c r="J908" s="5"/>
      <c r="K908" s="4"/>
      <c r="L908" s="10"/>
      <c r="M908" s="10"/>
      <c r="N908" s="10"/>
      <c r="O908" s="10"/>
      <c r="P908" s="10"/>
      <c r="Q908" s="11"/>
      <c r="R908" s="9"/>
      <c r="S908" s="12"/>
      <c r="T908" s="5"/>
      <c r="U908" s="5"/>
      <c r="V908" s="4"/>
      <c r="W908" s="4"/>
      <c r="X908" s="4"/>
      <c r="Y908" s="4"/>
    </row>
    <row r="909">
      <c r="A909" s="5"/>
      <c r="B909" s="9"/>
      <c r="C909" s="5"/>
      <c r="D909" s="9"/>
      <c r="E909" s="9"/>
      <c r="F909" s="9"/>
      <c r="G909" s="9"/>
      <c r="H909" s="9"/>
      <c r="I909" s="9"/>
      <c r="J909" s="5"/>
      <c r="K909" s="4"/>
      <c r="L909" s="10"/>
      <c r="M909" s="10"/>
      <c r="N909" s="10"/>
      <c r="O909" s="10"/>
      <c r="P909" s="10"/>
      <c r="Q909" s="11"/>
      <c r="R909" s="9"/>
      <c r="S909" s="12"/>
      <c r="T909" s="5"/>
      <c r="U909" s="5"/>
      <c r="V909" s="4"/>
      <c r="W909" s="4"/>
      <c r="X909" s="4"/>
      <c r="Y909" s="4"/>
    </row>
    <row r="910">
      <c r="A910" s="5"/>
      <c r="B910" s="9"/>
      <c r="C910" s="5"/>
      <c r="D910" s="9"/>
      <c r="E910" s="9"/>
      <c r="F910" s="9"/>
      <c r="G910" s="9"/>
      <c r="H910" s="9"/>
      <c r="I910" s="9"/>
      <c r="J910" s="5"/>
      <c r="K910" s="4"/>
      <c r="L910" s="10"/>
      <c r="M910" s="10"/>
      <c r="N910" s="10"/>
      <c r="O910" s="10"/>
      <c r="P910" s="10"/>
      <c r="Q910" s="11"/>
      <c r="R910" s="9"/>
      <c r="S910" s="12"/>
      <c r="T910" s="5"/>
      <c r="U910" s="5"/>
      <c r="V910" s="4"/>
      <c r="W910" s="4"/>
      <c r="X910" s="4"/>
      <c r="Y910" s="4"/>
    </row>
    <row r="911">
      <c r="A911" s="5"/>
      <c r="B911" s="9"/>
      <c r="C911" s="5"/>
      <c r="D911" s="9"/>
      <c r="E911" s="9"/>
      <c r="F911" s="9"/>
      <c r="G911" s="9"/>
      <c r="H911" s="9"/>
      <c r="I911" s="9"/>
      <c r="J911" s="5"/>
      <c r="K911" s="4"/>
      <c r="L911" s="10"/>
      <c r="M911" s="10"/>
      <c r="N911" s="10"/>
      <c r="O911" s="10"/>
      <c r="P911" s="10"/>
      <c r="Q911" s="11"/>
      <c r="R911" s="9"/>
      <c r="S911" s="12"/>
      <c r="T911" s="5"/>
      <c r="U911" s="5"/>
      <c r="V911" s="4"/>
      <c r="W911" s="4"/>
      <c r="X911" s="4"/>
      <c r="Y911" s="4"/>
    </row>
    <row r="912">
      <c r="A912" s="5"/>
      <c r="B912" s="9"/>
      <c r="C912" s="5"/>
      <c r="D912" s="9"/>
      <c r="E912" s="9"/>
      <c r="F912" s="9"/>
      <c r="G912" s="9"/>
      <c r="H912" s="9"/>
      <c r="I912" s="9"/>
      <c r="J912" s="5"/>
      <c r="K912" s="4"/>
      <c r="L912" s="10"/>
      <c r="M912" s="10"/>
      <c r="N912" s="10"/>
      <c r="O912" s="10"/>
      <c r="P912" s="10"/>
      <c r="Q912" s="11"/>
      <c r="R912" s="9"/>
      <c r="S912" s="12"/>
      <c r="T912" s="5"/>
      <c r="U912" s="5"/>
      <c r="V912" s="4"/>
      <c r="W912" s="4"/>
      <c r="X912" s="4"/>
      <c r="Y912" s="4"/>
    </row>
    <row r="913">
      <c r="A913" s="5"/>
      <c r="B913" s="9"/>
      <c r="C913" s="5"/>
      <c r="D913" s="9"/>
      <c r="E913" s="9"/>
      <c r="F913" s="9"/>
      <c r="G913" s="9"/>
      <c r="H913" s="9"/>
      <c r="I913" s="9"/>
      <c r="J913" s="5"/>
      <c r="K913" s="4"/>
      <c r="L913" s="10"/>
      <c r="M913" s="10"/>
      <c r="N913" s="10"/>
      <c r="O913" s="10"/>
      <c r="P913" s="10"/>
      <c r="Q913" s="11"/>
      <c r="R913" s="9"/>
      <c r="S913" s="12"/>
      <c r="T913" s="5"/>
      <c r="U913" s="5"/>
      <c r="V913" s="4"/>
      <c r="W913" s="4"/>
      <c r="X913" s="4"/>
      <c r="Y913" s="4"/>
    </row>
    <row r="914">
      <c r="A914" s="5"/>
      <c r="B914" s="9"/>
      <c r="C914" s="5"/>
      <c r="D914" s="9"/>
      <c r="E914" s="9"/>
      <c r="F914" s="9"/>
      <c r="G914" s="9"/>
      <c r="H914" s="9"/>
      <c r="I914" s="9"/>
      <c r="J914" s="5"/>
      <c r="K914" s="4"/>
      <c r="L914" s="10"/>
      <c r="M914" s="10"/>
      <c r="N914" s="10"/>
      <c r="O914" s="10"/>
      <c r="P914" s="10"/>
      <c r="Q914" s="11"/>
      <c r="R914" s="9"/>
      <c r="S914" s="12"/>
      <c r="T914" s="5"/>
      <c r="U914" s="5"/>
      <c r="V914" s="4"/>
      <c r="W914" s="4"/>
      <c r="X914" s="4"/>
      <c r="Y914" s="4"/>
    </row>
    <row r="915">
      <c r="A915" s="5"/>
      <c r="B915" s="9"/>
      <c r="C915" s="5"/>
      <c r="D915" s="9"/>
      <c r="E915" s="9"/>
      <c r="F915" s="9"/>
      <c r="G915" s="9"/>
      <c r="H915" s="9"/>
      <c r="I915" s="9"/>
      <c r="J915" s="5"/>
      <c r="K915" s="4"/>
      <c r="L915" s="10"/>
      <c r="M915" s="10"/>
      <c r="N915" s="10"/>
      <c r="O915" s="10"/>
      <c r="P915" s="10"/>
      <c r="Q915" s="11"/>
      <c r="R915" s="9"/>
      <c r="S915" s="12"/>
      <c r="T915" s="5"/>
      <c r="U915" s="5"/>
      <c r="V915" s="4"/>
      <c r="W915" s="4"/>
      <c r="X915" s="4"/>
      <c r="Y915" s="4"/>
    </row>
    <row r="916">
      <c r="A916" s="5"/>
      <c r="B916" s="9"/>
      <c r="C916" s="5"/>
      <c r="D916" s="9"/>
      <c r="E916" s="9"/>
      <c r="F916" s="9"/>
      <c r="G916" s="9"/>
      <c r="H916" s="9"/>
      <c r="I916" s="9"/>
      <c r="J916" s="5"/>
      <c r="K916" s="4"/>
      <c r="L916" s="10"/>
      <c r="M916" s="10"/>
      <c r="N916" s="10"/>
      <c r="O916" s="10"/>
      <c r="P916" s="10"/>
      <c r="Q916" s="11"/>
      <c r="R916" s="9"/>
      <c r="S916" s="12"/>
      <c r="T916" s="5"/>
      <c r="U916" s="5"/>
      <c r="V916" s="4"/>
      <c r="W916" s="4"/>
      <c r="X916" s="4"/>
      <c r="Y916" s="4"/>
    </row>
    <row r="917">
      <c r="A917" s="5"/>
      <c r="B917" s="9"/>
      <c r="C917" s="5"/>
      <c r="D917" s="9"/>
      <c r="E917" s="9"/>
      <c r="F917" s="9"/>
      <c r="G917" s="9"/>
      <c r="H917" s="9"/>
      <c r="I917" s="9"/>
      <c r="J917" s="5"/>
      <c r="K917" s="4"/>
      <c r="L917" s="10"/>
      <c r="M917" s="10"/>
      <c r="N917" s="10"/>
      <c r="O917" s="10"/>
      <c r="P917" s="10"/>
      <c r="Q917" s="11"/>
      <c r="R917" s="9"/>
      <c r="S917" s="12"/>
      <c r="T917" s="5"/>
      <c r="U917" s="5"/>
      <c r="V917" s="4"/>
      <c r="W917" s="4"/>
      <c r="X917" s="4"/>
      <c r="Y917" s="4"/>
    </row>
    <row r="918">
      <c r="A918" s="5"/>
      <c r="B918" s="9"/>
      <c r="C918" s="5"/>
      <c r="D918" s="9"/>
      <c r="E918" s="9"/>
      <c r="F918" s="9"/>
      <c r="G918" s="9"/>
      <c r="H918" s="9"/>
      <c r="I918" s="9"/>
      <c r="J918" s="5"/>
      <c r="K918" s="4"/>
      <c r="L918" s="10"/>
      <c r="M918" s="10"/>
      <c r="N918" s="10"/>
      <c r="O918" s="10"/>
      <c r="P918" s="10"/>
      <c r="Q918" s="11"/>
      <c r="R918" s="9"/>
      <c r="S918" s="12"/>
      <c r="T918" s="5"/>
      <c r="U918" s="5"/>
      <c r="V918" s="4"/>
      <c r="W918" s="4"/>
      <c r="X918" s="4"/>
      <c r="Y918" s="4"/>
    </row>
    <row r="919">
      <c r="A919" s="5"/>
      <c r="B919" s="9"/>
      <c r="C919" s="5"/>
      <c r="D919" s="9"/>
      <c r="E919" s="9"/>
      <c r="F919" s="9"/>
      <c r="G919" s="9"/>
      <c r="H919" s="9"/>
      <c r="I919" s="9"/>
      <c r="J919" s="5"/>
      <c r="K919" s="4"/>
      <c r="L919" s="10"/>
      <c r="M919" s="10"/>
      <c r="N919" s="10"/>
      <c r="O919" s="10"/>
      <c r="P919" s="10"/>
      <c r="Q919" s="11"/>
      <c r="R919" s="9"/>
      <c r="S919" s="12"/>
      <c r="T919" s="5"/>
      <c r="U919" s="5"/>
      <c r="V919" s="4"/>
      <c r="W919" s="4"/>
      <c r="X919" s="4"/>
      <c r="Y919" s="4"/>
    </row>
    <row r="920">
      <c r="A920" s="5"/>
      <c r="B920" s="9"/>
      <c r="C920" s="5"/>
      <c r="D920" s="9"/>
      <c r="E920" s="9"/>
      <c r="F920" s="9"/>
      <c r="G920" s="9"/>
      <c r="H920" s="9"/>
      <c r="I920" s="9"/>
      <c r="J920" s="5"/>
      <c r="K920" s="4"/>
      <c r="L920" s="10"/>
      <c r="M920" s="10"/>
      <c r="N920" s="10"/>
      <c r="O920" s="10"/>
      <c r="P920" s="10"/>
      <c r="Q920" s="11"/>
      <c r="R920" s="9"/>
      <c r="S920" s="12"/>
      <c r="T920" s="5"/>
      <c r="U920" s="5"/>
      <c r="V920" s="4"/>
      <c r="W920" s="4"/>
      <c r="X920" s="4"/>
      <c r="Y920" s="4"/>
    </row>
    <row r="921">
      <c r="A921" s="5"/>
      <c r="B921" s="9"/>
      <c r="C921" s="5"/>
      <c r="D921" s="9"/>
      <c r="E921" s="9"/>
      <c r="F921" s="9"/>
      <c r="G921" s="9"/>
      <c r="H921" s="9"/>
      <c r="I921" s="9"/>
      <c r="J921" s="5"/>
      <c r="K921" s="4"/>
      <c r="L921" s="10"/>
      <c r="M921" s="10"/>
      <c r="N921" s="10"/>
      <c r="O921" s="10"/>
      <c r="P921" s="10"/>
      <c r="Q921" s="11"/>
      <c r="R921" s="9"/>
      <c r="S921" s="12"/>
      <c r="T921" s="5"/>
      <c r="U921" s="5"/>
      <c r="V921" s="4"/>
      <c r="W921" s="4"/>
      <c r="X921" s="4"/>
      <c r="Y921" s="4"/>
    </row>
    <row r="922">
      <c r="A922" s="5"/>
      <c r="B922" s="9"/>
      <c r="C922" s="5"/>
      <c r="D922" s="9"/>
      <c r="E922" s="9"/>
      <c r="F922" s="9"/>
      <c r="G922" s="9"/>
      <c r="H922" s="9"/>
      <c r="I922" s="9"/>
      <c r="J922" s="5"/>
      <c r="K922" s="4"/>
      <c r="L922" s="10"/>
      <c r="M922" s="10"/>
      <c r="N922" s="10"/>
      <c r="O922" s="10"/>
      <c r="P922" s="10"/>
      <c r="Q922" s="11"/>
      <c r="R922" s="9"/>
      <c r="S922" s="12"/>
      <c r="T922" s="5"/>
      <c r="U922" s="5"/>
      <c r="V922" s="4"/>
      <c r="W922" s="4"/>
      <c r="X922" s="4"/>
      <c r="Y922" s="4"/>
    </row>
    <row r="923">
      <c r="A923" s="5"/>
      <c r="B923" s="9"/>
      <c r="C923" s="5"/>
      <c r="D923" s="9"/>
      <c r="E923" s="9"/>
      <c r="F923" s="9"/>
      <c r="G923" s="9"/>
      <c r="H923" s="9"/>
      <c r="I923" s="9"/>
      <c r="J923" s="5"/>
      <c r="K923" s="4"/>
      <c r="L923" s="10"/>
      <c r="M923" s="10"/>
      <c r="N923" s="10"/>
      <c r="O923" s="10"/>
      <c r="P923" s="10"/>
      <c r="Q923" s="11"/>
      <c r="R923" s="9"/>
      <c r="S923" s="12"/>
      <c r="T923" s="5"/>
      <c r="U923" s="5"/>
      <c r="V923" s="4"/>
      <c r="W923" s="4"/>
      <c r="X923" s="4"/>
      <c r="Y923" s="4"/>
    </row>
    <row r="924">
      <c r="A924" s="5"/>
      <c r="B924" s="9"/>
      <c r="C924" s="5"/>
      <c r="D924" s="9"/>
      <c r="E924" s="9"/>
      <c r="F924" s="9"/>
      <c r="G924" s="9"/>
      <c r="H924" s="9"/>
      <c r="I924" s="9"/>
      <c r="J924" s="5"/>
      <c r="K924" s="4"/>
      <c r="L924" s="10"/>
      <c r="M924" s="10"/>
      <c r="N924" s="10"/>
      <c r="O924" s="10"/>
      <c r="P924" s="10"/>
      <c r="Q924" s="11"/>
      <c r="R924" s="9"/>
      <c r="S924" s="12"/>
      <c r="T924" s="5"/>
      <c r="U924" s="5"/>
      <c r="V924" s="4"/>
      <c r="W924" s="4"/>
      <c r="X924" s="4"/>
      <c r="Y924" s="4"/>
    </row>
    <row r="925">
      <c r="A925" s="5"/>
      <c r="B925" s="9"/>
      <c r="C925" s="5"/>
      <c r="D925" s="9"/>
      <c r="E925" s="9"/>
      <c r="F925" s="9"/>
      <c r="G925" s="9"/>
      <c r="H925" s="9"/>
      <c r="I925" s="9"/>
      <c r="J925" s="5"/>
      <c r="K925" s="4"/>
      <c r="L925" s="10"/>
      <c r="M925" s="10"/>
      <c r="N925" s="10"/>
      <c r="O925" s="10"/>
      <c r="P925" s="10"/>
      <c r="Q925" s="11"/>
      <c r="R925" s="9"/>
      <c r="S925" s="12"/>
      <c r="T925" s="5"/>
      <c r="U925" s="5"/>
      <c r="V925" s="4"/>
      <c r="W925" s="4"/>
      <c r="X925" s="4"/>
      <c r="Y925" s="4"/>
    </row>
    <row r="926">
      <c r="A926" s="5"/>
      <c r="B926" s="9"/>
      <c r="C926" s="5"/>
      <c r="D926" s="9"/>
      <c r="E926" s="9"/>
      <c r="F926" s="9"/>
      <c r="G926" s="9"/>
      <c r="H926" s="9"/>
      <c r="I926" s="9"/>
      <c r="J926" s="5"/>
      <c r="K926" s="4"/>
      <c r="L926" s="10"/>
      <c r="M926" s="10"/>
      <c r="N926" s="10"/>
      <c r="O926" s="10"/>
      <c r="P926" s="10"/>
      <c r="Q926" s="11"/>
      <c r="R926" s="9"/>
      <c r="S926" s="12"/>
      <c r="T926" s="5"/>
      <c r="U926" s="5"/>
      <c r="V926" s="4"/>
      <c r="W926" s="4"/>
      <c r="X926" s="4"/>
      <c r="Y926" s="4"/>
    </row>
    <row r="927">
      <c r="A927" s="5"/>
      <c r="B927" s="9"/>
      <c r="C927" s="5"/>
      <c r="D927" s="9"/>
      <c r="E927" s="9"/>
      <c r="F927" s="9"/>
      <c r="G927" s="9"/>
      <c r="H927" s="9"/>
      <c r="I927" s="9"/>
      <c r="J927" s="5"/>
      <c r="K927" s="4"/>
      <c r="L927" s="10"/>
      <c r="M927" s="10"/>
      <c r="N927" s="10"/>
      <c r="O927" s="10"/>
      <c r="P927" s="10"/>
      <c r="Q927" s="11"/>
      <c r="R927" s="9"/>
      <c r="S927" s="12"/>
      <c r="T927" s="5"/>
      <c r="U927" s="5"/>
      <c r="V927" s="4"/>
      <c r="W927" s="4"/>
      <c r="X927" s="4"/>
      <c r="Y927" s="4"/>
    </row>
    <row r="928">
      <c r="A928" s="5"/>
      <c r="B928" s="9"/>
      <c r="C928" s="5"/>
      <c r="D928" s="9"/>
      <c r="E928" s="9"/>
      <c r="F928" s="9"/>
      <c r="G928" s="9"/>
      <c r="H928" s="9"/>
      <c r="I928" s="9"/>
      <c r="J928" s="5"/>
      <c r="K928" s="4"/>
      <c r="L928" s="10"/>
      <c r="M928" s="10"/>
      <c r="N928" s="10"/>
      <c r="O928" s="10"/>
      <c r="P928" s="10"/>
      <c r="Q928" s="11"/>
      <c r="R928" s="9"/>
      <c r="S928" s="12"/>
      <c r="T928" s="5"/>
      <c r="U928" s="5"/>
      <c r="V928" s="4"/>
      <c r="W928" s="4"/>
      <c r="X928" s="4"/>
      <c r="Y928" s="4"/>
    </row>
    <row r="929">
      <c r="A929" s="5"/>
      <c r="B929" s="9"/>
      <c r="C929" s="5"/>
      <c r="D929" s="9"/>
      <c r="E929" s="9"/>
      <c r="F929" s="9"/>
      <c r="G929" s="9"/>
      <c r="H929" s="9"/>
      <c r="I929" s="9"/>
      <c r="J929" s="5"/>
      <c r="K929" s="4"/>
      <c r="L929" s="10"/>
      <c r="M929" s="10"/>
      <c r="N929" s="10"/>
      <c r="O929" s="10"/>
      <c r="P929" s="10"/>
      <c r="Q929" s="11"/>
      <c r="R929" s="9"/>
      <c r="S929" s="12"/>
      <c r="T929" s="5"/>
      <c r="U929" s="5"/>
      <c r="V929" s="4"/>
      <c r="W929" s="4"/>
      <c r="X929" s="4"/>
      <c r="Y929" s="4"/>
    </row>
    <row r="930">
      <c r="A930" s="5"/>
      <c r="B930" s="9"/>
      <c r="C930" s="5"/>
      <c r="D930" s="9"/>
      <c r="E930" s="9"/>
      <c r="F930" s="9"/>
      <c r="G930" s="9"/>
      <c r="H930" s="9"/>
      <c r="I930" s="9"/>
      <c r="J930" s="5"/>
      <c r="K930" s="4"/>
      <c r="L930" s="10"/>
      <c r="M930" s="10"/>
      <c r="N930" s="10"/>
      <c r="O930" s="10"/>
      <c r="P930" s="10"/>
      <c r="Q930" s="11"/>
      <c r="R930" s="9"/>
      <c r="S930" s="12"/>
      <c r="T930" s="5"/>
      <c r="U930" s="5"/>
      <c r="V930" s="4"/>
      <c r="W930" s="4"/>
      <c r="X930" s="4"/>
      <c r="Y930" s="4"/>
    </row>
    <row r="931">
      <c r="A931" s="5"/>
      <c r="B931" s="9"/>
      <c r="C931" s="5"/>
      <c r="D931" s="9"/>
      <c r="E931" s="9"/>
      <c r="F931" s="9"/>
      <c r="G931" s="9"/>
      <c r="H931" s="9"/>
      <c r="I931" s="9"/>
      <c r="J931" s="5"/>
      <c r="K931" s="4"/>
      <c r="L931" s="10"/>
      <c r="M931" s="10"/>
      <c r="N931" s="10"/>
      <c r="O931" s="10"/>
      <c r="P931" s="10"/>
      <c r="Q931" s="11"/>
      <c r="R931" s="9"/>
      <c r="S931" s="12"/>
      <c r="T931" s="5"/>
      <c r="U931" s="5"/>
      <c r="V931" s="4"/>
      <c r="W931" s="4"/>
      <c r="X931" s="4"/>
      <c r="Y931" s="4"/>
    </row>
    <row r="932">
      <c r="A932" s="5"/>
      <c r="B932" s="9"/>
      <c r="C932" s="5"/>
      <c r="D932" s="9"/>
      <c r="E932" s="9"/>
      <c r="F932" s="9"/>
      <c r="G932" s="9"/>
      <c r="H932" s="9"/>
      <c r="I932" s="9"/>
      <c r="J932" s="5"/>
      <c r="K932" s="4"/>
      <c r="L932" s="10"/>
      <c r="M932" s="10"/>
      <c r="N932" s="10"/>
      <c r="O932" s="10"/>
      <c r="P932" s="10"/>
      <c r="Q932" s="11"/>
      <c r="R932" s="9"/>
      <c r="S932" s="12"/>
      <c r="T932" s="5"/>
      <c r="U932" s="5"/>
      <c r="V932" s="4"/>
      <c r="W932" s="4"/>
      <c r="X932" s="4"/>
      <c r="Y932" s="4"/>
    </row>
    <row r="933">
      <c r="A933" s="5"/>
      <c r="B933" s="9"/>
      <c r="C933" s="5"/>
      <c r="D933" s="9"/>
      <c r="E933" s="9"/>
      <c r="F933" s="9"/>
      <c r="G933" s="9"/>
      <c r="H933" s="9"/>
      <c r="I933" s="9"/>
      <c r="J933" s="5"/>
      <c r="K933" s="4"/>
      <c r="L933" s="10"/>
      <c r="M933" s="10"/>
      <c r="N933" s="10"/>
      <c r="O933" s="10"/>
      <c r="P933" s="10"/>
      <c r="Q933" s="11"/>
      <c r="R933" s="9"/>
      <c r="S933" s="12"/>
      <c r="T933" s="5"/>
      <c r="U933" s="5"/>
      <c r="V933" s="4"/>
      <c r="W933" s="4"/>
      <c r="X933" s="4"/>
      <c r="Y933" s="4"/>
    </row>
    <row r="934">
      <c r="A934" s="5"/>
      <c r="B934" s="9"/>
      <c r="C934" s="5"/>
      <c r="D934" s="9"/>
      <c r="E934" s="9"/>
      <c r="F934" s="9"/>
      <c r="G934" s="9"/>
      <c r="H934" s="9"/>
      <c r="I934" s="9"/>
      <c r="J934" s="5"/>
      <c r="K934" s="4"/>
      <c r="L934" s="10"/>
      <c r="M934" s="10"/>
      <c r="N934" s="10"/>
      <c r="O934" s="10"/>
      <c r="P934" s="10"/>
      <c r="Q934" s="11"/>
      <c r="R934" s="9"/>
      <c r="S934" s="12"/>
      <c r="T934" s="5"/>
      <c r="U934" s="5"/>
      <c r="V934" s="4"/>
      <c r="W934" s="4"/>
      <c r="X934" s="4"/>
      <c r="Y934" s="4"/>
    </row>
    <row r="935">
      <c r="A935" s="5"/>
      <c r="B935" s="9"/>
      <c r="C935" s="5"/>
      <c r="D935" s="9"/>
      <c r="E935" s="9"/>
      <c r="F935" s="9"/>
      <c r="G935" s="9"/>
      <c r="H935" s="9"/>
      <c r="I935" s="9"/>
      <c r="J935" s="5"/>
      <c r="K935" s="4"/>
      <c r="L935" s="10"/>
      <c r="M935" s="10"/>
      <c r="N935" s="10"/>
      <c r="O935" s="10"/>
      <c r="P935" s="10"/>
      <c r="Q935" s="11"/>
      <c r="R935" s="9"/>
      <c r="S935" s="12"/>
      <c r="T935" s="5"/>
      <c r="U935" s="5"/>
      <c r="V935" s="4"/>
      <c r="W935" s="4"/>
      <c r="X935" s="4"/>
      <c r="Y935" s="4"/>
    </row>
    <row r="936">
      <c r="A936" s="5"/>
      <c r="B936" s="9"/>
      <c r="C936" s="5"/>
      <c r="D936" s="9"/>
      <c r="E936" s="9"/>
      <c r="F936" s="9"/>
      <c r="G936" s="9"/>
      <c r="H936" s="9"/>
      <c r="I936" s="9"/>
      <c r="J936" s="5"/>
      <c r="K936" s="4"/>
      <c r="L936" s="10"/>
      <c r="M936" s="10"/>
      <c r="N936" s="10"/>
      <c r="O936" s="10"/>
      <c r="P936" s="10"/>
      <c r="Q936" s="11"/>
      <c r="R936" s="9"/>
      <c r="S936" s="12"/>
      <c r="T936" s="5"/>
      <c r="U936" s="5"/>
      <c r="V936" s="4"/>
      <c r="W936" s="4"/>
      <c r="X936" s="4"/>
      <c r="Y936" s="4"/>
    </row>
    <row r="937">
      <c r="A937" s="5"/>
      <c r="B937" s="9"/>
      <c r="C937" s="5"/>
      <c r="D937" s="9"/>
      <c r="E937" s="9"/>
      <c r="F937" s="9"/>
      <c r="G937" s="9"/>
      <c r="H937" s="9"/>
      <c r="I937" s="9"/>
      <c r="J937" s="5"/>
      <c r="K937" s="4"/>
      <c r="L937" s="10"/>
      <c r="M937" s="10"/>
      <c r="N937" s="10"/>
      <c r="O937" s="10"/>
      <c r="P937" s="10"/>
      <c r="Q937" s="11"/>
      <c r="R937" s="9"/>
      <c r="S937" s="12"/>
      <c r="T937" s="5"/>
      <c r="U937" s="5"/>
      <c r="V937" s="4"/>
      <c r="W937" s="4"/>
      <c r="X937" s="4"/>
      <c r="Y937" s="4"/>
    </row>
    <row r="938">
      <c r="A938" s="5"/>
      <c r="B938" s="9"/>
      <c r="C938" s="5"/>
      <c r="D938" s="9"/>
      <c r="E938" s="9"/>
      <c r="F938" s="9"/>
      <c r="G938" s="9"/>
      <c r="H938" s="9"/>
      <c r="I938" s="9"/>
      <c r="J938" s="5"/>
      <c r="K938" s="4"/>
      <c r="L938" s="10"/>
      <c r="M938" s="10"/>
      <c r="N938" s="10"/>
      <c r="O938" s="10"/>
      <c r="P938" s="10"/>
      <c r="Q938" s="11"/>
      <c r="R938" s="9"/>
      <c r="S938" s="12"/>
      <c r="T938" s="5"/>
      <c r="U938" s="5"/>
      <c r="V938" s="4"/>
      <c r="W938" s="4"/>
      <c r="X938" s="4"/>
      <c r="Y938" s="4"/>
    </row>
    <row r="939">
      <c r="A939" s="5"/>
      <c r="B939" s="9"/>
      <c r="C939" s="5"/>
      <c r="D939" s="9"/>
      <c r="E939" s="9"/>
      <c r="F939" s="9"/>
      <c r="G939" s="9"/>
      <c r="H939" s="9"/>
      <c r="I939" s="9"/>
      <c r="J939" s="5"/>
      <c r="K939" s="4"/>
      <c r="L939" s="10"/>
      <c r="M939" s="10"/>
      <c r="N939" s="10"/>
      <c r="O939" s="10"/>
      <c r="P939" s="10"/>
      <c r="Q939" s="11"/>
      <c r="R939" s="9"/>
      <c r="S939" s="12"/>
      <c r="T939" s="5"/>
      <c r="U939" s="5"/>
      <c r="V939" s="4"/>
      <c r="W939" s="4"/>
      <c r="X939" s="4"/>
      <c r="Y939" s="4"/>
    </row>
    <row r="940">
      <c r="A940" s="5"/>
      <c r="B940" s="9"/>
      <c r="C940" s="5"/>
      <c r="D940" s="9"/>
      <c r="E940" s="9"/>
      <c r="F940" s="9"/>
      <c r="G940" s="9"/>
      <c r="H940" s="9"/>
      <c r="I940" s="9"/>
      <c r="J940" s="5"/>
      <c r="K940" s="4"/>
      <c r="L940" s="10"/>
      <c r="M940" s="10"/>
      <c r="N940" s="10"/>
      <c r="O940" s="10"/>
      <c r="P940" s="10"/>
      <c r="Q940" s="11"/>
      <c r="R940" s="9"/>
      <c r="S940" s="12"/>
      <c r="T940" s="5"/>
      <c r="U940" s="5"/>
      <c r="V940" s="4"/>
      <c r="W940" s="4"/>
      <c r="X940" s="4"/>
      <c r="Y940" s="4"/>
    </row>
    <row r="941">
      <c r="A941" s="5"/>
      <c r="B941" s="9"/>
      <c r="C941" s="5"/>
      <c r="D941" s="9"/>
      <c r="E941" s="9"/>
      <c r="F941" s="9"/>
      <c r="G941" s="9"/>
      <c r="H941" s="9"/>
      <c r="I941" s="9"/>
      <c r="J941" s="5"/>
      <c r="K941" s="4"/>
      <c r="L941" s="10"/>
      <c r="M941" s="10"/>
      <c r="N941" s="10"/>
      <c r="O941" s="10"/>
      <c r="P941" s="10"/>
      <c r="Q941" s="11"/>
      <c r="R941" s="9"/>
      <c r="S941" s="12"/>
      <c r="T941" s="5"/>
      <c r="U941" s="5"/>
      <c r="V941" s="4"/>
      <c r="W941" s="4"/>
      <c r="X941" s="4"/>
      <c r="Y941" s="4"/>
    </row>
    <row r="942">
      <c r="A942" s="5"/>
      <c r="B942" s="9"/>
      <c r="C942" s="5"/>
      <c r="D942" s="9"/>
      <c r="E942" s="9"/>
      <c r="F942" s="9"/>
      <c r="G942" s="9"/>
      <c r="H942" s="9"/>
      <c r="I942" s="9"/>
      <c r="J942" s="5"/>
      <c r="K942" s="4"/>
      <c r="L942" s="10"/>
      <c r="M942" s="10"/>
      <c r="N942" s="10"/>
      <c r="O942" s="10"/>
      <c r="P942" s="10"/>
      <c r="Q942" s="11"/>
      <c r="R942" s="9"/>
      <c r="S942" s="12"/>
      <c r="T942" s="5"/>
      <c r="U942" s="5"/>
      <c r="V942" s="4"/>
      <c r="W942" s="4"/>
      <c r="X942" s="4"/>
      <c r="Y942" s="4"/>
    </row>
    <row r="943">
      <c r="A943" s="5"/>
      <c r="B943" s="9"/>
      <c r="C943" s="5"/>
      <c r="D943" s="9"/>
      <c r="E943" s="9"/>
      <c r="F943" s="9"/>
      <c r="G943" s="9"/>
      <c r="H943" s="9"/>
      <c r="I943" s="9"/>
      <c r="J943" s="5"/>
      <c r="K943" s="4"/>
      <c r="L943" s="10"/>
      <c r="M943" s="10"/>
      <c r="N943" s="10"/>
      <c r="O943" s="10"/>
      <c r="P943" s="10"/>
      <c r="Q943" s="11"/>
      <c r="R943" s="9"/>
      <c r="S943" s="12"/>
      <c r="T943" s="5"/>
      <c r="U943" s="5"/>
      <c r="V943" s="4"/>
      <c r="W943" s="4"/>
      <c r="X943" s="4"/>
      <c r="Y943" s="4"/>
    </row>
    <row r="944">
      <c r="A944" s="5"/>
      <c r="B944" s="9"/>
      <c r="C944" s="5"/>
      <c r="D944" s="9"/>
      <c r="E944" s="9"/>
      <c r="F944" s="9"/>
      <c r="G944" s="9"/>
      <c r="H944" s="9"/>
      <c r="I944" s="9"/>
      <c r="J944" s="5"/>
      <c r="K944" s="4"/>
      <c r="L944" s="10"/>
      <c r="M944" s="10"/>
      <c r="N944" s="10"/>
      <c r="O944" s="10"/>
      <c r="P944" s="10"/>
      <c r="Q944" s="11"/>
      <c r="R944" s="9"/>
      <c r="S944" s="12"/>
      <c r="T944" s="5"/>
      <c r="U944" s="5"/>
      <c r="V944" s="4"/>
      <c r="W944" s="4"/>
      <c r="X944" s="4"/>
      <c r="Y944" s="4"/>
    </row>
    <row r="945">
      <c r="A945" s="5"/>
      <c r="B945" s="9"/>
      <c r="C945" s="5"/>
      <c r="D945" s="9"/>
      <c r="E945" s="9"/>
      <c r="F945" s="9"/>
      <c r="G945" s="9"/>
      <c r="H945" s="9"/>
      <c r="I945" s="9"/>
      <c r="J945" s="5"/>
      <c r="K945" s="4"/>
      <c r="L945" s="10"/>
      <c r="M945" s="10"/>
      <c r="N945" s="10"/>
      <c r="O945" s="10"/>
      <c r="P945" s="10"/>
      <c r="Q945" s="11"/>
      <c r="R945" s="9"/>
      <c r="S945" s="12"/>
      <c r="T945" s="5"/>
      <c r="U945" s="5"/>
      <c r="V945" s="4"/>
      <c r="W945" s="4"/>
      <c r="X945" s="4"/>
      <c r="Y945" s="4"/>
    </row>
    <row r="946">
      <c r="A946" s="5"/>
      <c r="B946" s="9"/>
      <c r="C946" s="5"/>
      <c r="D946" s="9"/>
      <c r="E946" s="9"/>
      <c r="F946" s="9"/>
      <c r="G946" s="9"/>
      <c r="H946" s="9"/>
      <c r="I946" s="9"/>
      <c r="J946" s="5"/>
      <c r="K946" s="4"/>
      <c r="L946" s="10"/>
      <c r="M946" s="10"/>
      <c r="N946" s="10"/>
      <c r="O946" s="10"/>
      <c r="P946" s="10"/>
      <c r="Q946" s="11"/>
      <c r="R946" s="9"/>
      <c r="S946" s="12"/>
      <c r="T946" s="5"/>
      <c r="U946" s="5"/>
      <c r="V946" s="4"/>
      <c r="W946" s="4"/>
      <c r="X946" s="4"/>
      <c r="Y946" s="4"/>
    </row>
    <row r="947">
      <c r="A947" s="5"/>
      <c r="B947" s="9"/>
      <c r="C947" s="5"/>
      <c r="D947" s="9"/>
      <c r="E947" s="9"/>
      <c r="F947" s="9"/>
      <c r="G947" s="9"/>
      <c r="H947" s="9"/>
      <c r="I947" s="9"/>
      <c r="J947" s="5"/>
      <c r="K947" s="4"/>
      <c r="L947" s="10"/>
      <c r="M947" s="10"/>
      <c r="N947" s="10"/>
      <c r="O947" s="10"/>
      <c r="P947" s="10"/>
      <c r="Q947" s="11"/>
      <c r="R947" s="9"/>
      <c r="S947" s="12"/>
      <c r="T947" s="5"/>
      <c r="U947" s="5"/>
      <c r="V947" s="4"/>
      <c r="W947" s="4"/>
      <c r="X947" s="4"/>
      <c r="Y947" s="4"/>
    </row>
    <row r="948">
      <c r="A948" s="5"/>
      <c r="B948" s="9"/>
      <c r="C948" s="5"/>
      <c r="D948" s="9"/>
      <c r="E948" s="9"/>
      <c r="F948" s="9"/>
      <c r="G948" s="9"/>
      <c r="H948" s="9"/>
      <c r="I948" s="9"/>
      <c r="J948" s="5"/>
      <c r="K948" s="4"/>
      <c r="L948" s="10"/>
      <c r="M948" s="10"/>
      <c r="N948" s="10"/>
      <c r="O948" s="10"/>
      <c r="P948" s="10"/>
      <c r="Q948" s="11"/>
      <c r="R948" s="9"/>
      <c r="S948" s="12"/>
      <c r="T948" s="5"/>
      <c r="U948" s="5"/>
      <c r="V948" s="4"/>
      <c r="W948" s="4"/>
      <c r="X948" s="4"/>
      <c r="Y948" s="4"/>
    </row>
    <row r="949">
      <c r="A949" s="5"/>
      <c r="B949" s="9"/>
      <c r="C949" s="5"/>
      <c r="D949" s="9"/>
      <c r="E949" s="9"/>
      <c r="F949" s="9"/>
      <c r="G949" s="9"/>
      <c r="H949" s="9"/>
      <c r="I949" s="9"/>
      <c r="J949" s="5"/>
      <c r="K949" s="4"/>
      <c r="L949" s="10"/>
      <c r="M949" s="10"/>
      <c r="N949" s="10"/>
      <c r="O949" s="10"/>
      <c r="P949" s="10"/>
      <c r="Q949" s="11"/>
      <c r="R949" s="9"/>
      <c r="S949" s="12"/>
      <c r="T949" s="5"/>
      <c r="U949" s="5"/>
      <c r="V949" s="4"/>
      <c r="W949" s="4"/>
      <c r="X949" s="4"/>
      <c r="Y949" s="4"/>
    </row>
    <row r="950">
      <c r="A950" s="5"/>
      <c r="B950" s="9"/>
      <c r="C950" s="5"/>
      <c r="D950" s="9"/>
      <c r="E950" s="9"/>
      <c r="F950" s="9"/>
      <c r="G950" s="9"/>
      <c r="H950" s="9"/>
      <c r="I950" s="9"/>
      <c r="J950" s="5"/>
      <c r="K950" s="4"/>
      <c r="L950" s="10"/>
      <c r="M950" s="10"/>
      <c r="N950" s="10"/>
      <c r="O950" s="10"/>
      <c r="P950" s="10"/>
      <c r="Q950" s="11"/>
      <c r="R950" s="9"/>
      <c r="S950" s="12"/>
      <c r="T950" s="5"/>
      <c r="U950" s="5"/>
      <c r="V950" s="4"/>
      <c r="W950" s="4"/>
      <c r="X950" s="4"/>
      <c r="Y950" s="4"/>
    </row>
    <row r="951">
      <c r="A951" s="5"/>
      <c r="B951" s="9"/>
      <c r="C951" s="5"/>
      <c r="D951" s="9"/>
      <c r="E951" s="9"/>
      <c r="F951" s="9"/>
      <c r="G951" s="9"/>
      <c r="H951" s="9"/>
      <c r="I951" s="9"/>
      <c r="J951" s="5"/>
      <c r="K951" s="4"/>
      <c r="L951" s="10"/>
      <c r="M951" s="10"/>
      <c r="N951" s="10"/>
      <c r="O951" s="10"/>
      <c r="P951" s="10"/>
      <c r="Q951" s="11"/>
      <c r="R951" s="9"/>
      <c r="S951" s="12"/>
      <c r="T951" s="5"/>
      <c r="U951" s="5"/>
      <c r="V951" s="4"/>
      <c r="W951" s="4"/>
      <c r="X951" s="4"/>
      <c r="Y951" s="4"/>
    </row>
    <row r="952">
      <c r="A952" s="5"/>
      <c r="B952" s="9"/>
      <c r="C952" s="5"/>
      <c r="D952" s="9"/>
      <c r="E952" s="9"/>
      <c r="F952" s="9"/>
      <c r="G952" s="9"/>
      <c r="H952" s="9"/>
      <c r="I952" s="9"/>
      <c r="J952" s="5"/>
      <c r="K952" s="4"/>
      <c r="L952" s="10"/>
      <c r="M952" s="10"/>
      <c r="N952" s="10"/>
      <c r="O952" s="10"/>
      <c r="P952" s="10"/>
      <c r="Q952" s="11"/>
      <c r="R952" s="9"/>
      <c r="S952" s="12"/>
      <c r="T952" s="5"/>
      <c r="U952" s="5"/>
      <c r="V952" s="4"/>
      <c r="W952" s="4"/>
      <c r="X952" s="4"/>
      <c r="Y952" s="4"/>
    </row>
    <row r="953">
      <c r="A953" s="5"/>
      <c r="B953" s="9"/>
      <c r="C953" s="5"/>
      <c r="D953" s="9"/>
      <c r="E953" s="9"/>
      <c r="F953" s="9"/>
      <c r="G953" s="9"/>
      <c r="H953" s="9"/>
      <c r="I953" s="9"/>
      <c r="J953" s="5"/>
      <c r="K953" s="4"/>
      <c r="L953" s="10"/>
      <c r="M953" s="10"/>
      <c r="N953" s="10"/>
      <c r="O953" s="10"/>
      <c r="P953" s="10"/>
      <c r="Q953" s="11"/>
      <c r="R953" s="9"/>
      <c r="S953" s="12"/>
      <c r="T953" s="5"/>
      <c r="U953" s="5"/>
      <c r="V953" s="4"/>
      <c r="W953" s="4"/>
      <c r="X953" s="4"/>
      <c r="Y953" s="4"/>
    </row>
    <row r="954">
      <c r="A954" s="5"/>
      <c r="B954" s="9"/>
      <c r="C954" s="5"/>
      <c r="D954" s="9"/>
      <c r="E954" s="9"/>
      <c r="F954" s="9"/>
      <c r="G954" s="9"/>
      <c r="H954" s="9"/>
      <c r="I954" s="9"/>
      <c r="J954" s="5"/>
      <c r="K954" s="4"/>
      <c r="L954" s="10"/>
      <c r="M954" s="10"/>
      <c r="N954" s="10"/>
      <c r="O954" s="10"/>
      <c r="P954" s="10"/>
      <c r="Q954" s="11"/>
      <c r="R954" s="9"/>
      <c r="S954" s="12"/>
      <c r="T954" s="5"/>
      <c r="U954" s="5"/>
      <c r="V954" s="4"/>
      <c r="W954" s="4"/>
      <c r="X954" s="4"/>
      <c r="Y954" s="4"/>
    </row>
    <row r="955">
      <c r="A955" s="5"/>
      <c r="B955" s="9"/>
      <c r="C955" s="5"/>
      <c r="D955" s="9"/>
      <c r="E955" s="9"/>
      <c r="F955" s="9"/>
      <c r="G955" s="9"/>
      <c r="H955" s="9"/>
      <c r="I955" s="9"/>
      <c r="J955" s="5"/>
      <c r="K955" s="4"/>
      <c r="L955" s="10"/>
      <c r="M955" s="10"/>
      <c r="N955" s="10"/>
      <c r="O955" s="10"/>
      <c r="P955" s="10"/>
      <c r="Q955" s="11"/>
      <c r="R955" s="9"/>
      <c r="S955" s="12"/>
      <c r="T955" s="5"/>
      <c r="U955" s="5"/>
      <c r="V955" s="4"/>
      <c r="W955" s="4"/>
      <c r="X955" s="4"/>
      <c r="Y955" s="4"/>
    </row>
    <row r="956">
      <c r="A956" s="5"/>
      <c r="B956" s="9"/>
      <c r="C956" s="5"/>
      <c r="D956" s="9"/>
      <c r="E956" s="9"/>
      <c r="F956" s="9"/>
      <c r="G956" s="9"/>
      <c r="H956" s="9"/>
      <c r="I956" s="9"/>
      <c r="J956" s="5"/>
      <c r="K956" s="4"/>
      <c r="L956" s="10"/>
      <c r="M956" s="10"/>
      <c r="N956" s="10"/>
      <c r="O956" s="10"/>
      <c r="P956" s="10"/>
      <c r="Q956" s="11"/>
      <c r="R956" s="9"/>
      <c r="S956" s="12"/>
      <c r="T956" s="5"/>
      <c r="U956" s="5"/>
      <c r="V956" s="4"/>
      <c r="W956" s="4"/>
      <c r="X956" s="4"/>
      <c r="Y956" s="4"/>
    </row>
    <row r="957">
      <c r="A957" s="5"/>
      <c r="B957" s="9"/>
      <c r="C957" s="5"/>
      <c r="D957" s="9"/>
      <c r="E957" s="9"/>
      <c r="F957" s="9"/>
      <c r="G957" s="9"/>
      <c r="H957" s="9"/>
      <c r="I957" s="9"/>
      <c r="J957" s="5"/>
      <c r="K957" s="4"/>
      <c r="L957" s="10"/>
      <c r="M957" s="10"/>
      <c r="N957" s="10"/>
      <c r="O957" s="10"/>
      <c r="P957" s="10"/>
      <c r="Q957" s="11"/>
      <c r="R957" s="9"/>
      <c r="S957" s="12"/>
      <c r="T957" s="5"/>
      <c r="U957" s="5"/>
      <c r="V957" s="4"/>
      <c r="W957" s="4"/>
      <c r="X957" s="4"/>
      <c r="Y957" s="4"/>
    </row>
    <row r="958">
      <c r="A958" s="5"/>
      <c r="B958" s="9"/>
      <c r="C958" s="5"/>
      <c r="D958" s="9"/>
      <c r="E958" s="9"/>
      <c r="F958" s="9"/>
      <c r="G958" s="9"/>
      <c r="H958" s="9"/>
      <c r="I958" s="9"/>
      <c r="J958" s="5"/>
      <c r="K958" s="4"/>
      <c r="L958" s="10"/>
      <c r="M958" s="10"/>
      <c r="N958" s="10"/>
      <c r="O958" s="10"/>
      <c r="P958" s="10"/>
      <c r="Q958" s="11"/>
      <c r="R958" s="9"/>
      <c r="S958" s="12"/>
      <c r="T958" s="5"/>
      <c r="U958" s="5"/>
      <c r="V958" s="4"/>
      <c r="W958" s="4"/>
      <c r="X958" s="4"/>
      <c r="Y958" s="4"/>
    </row>
    <row r="959">
      <c r="A959" s="5"/>
      <c r="B959" s="9"/>
      <c r="C959" s="5"/>
      <c r="D959" s="9"/>
      <c r="E959" s="9"/>
      <c r="F959" s="9"/>
      <c r="G959" s="9"/>
      <c r="H959" s="9"/>
      <c r="I959" s="9"/>
      <c r="J959" s="5"/>
      <c r="K959" s="4"/>
      <c r="L959" s="10"/>
      <c r="M959" s="10"/>
      <c r="N959" s="10"/>
      <c r="O959" s="10"/>
      <c r="P959" s="10"/>
      <c r="Q959" s="11"/>
      <c r="R959" s="9"/>
      <c r="S959" s="12"/>
      <c r="T959" s="5"/>
      <c r="U959" s="5"/>
      <c r="V959" s="4"/>
      <c r="W959" s="4"/>
      <c r="X959" s="4"/>
      <c r="Y959" s="4"/>
    </row>
    <row r="960">
      <c r="A960" s="5"/>
      <c r="B960" s="9"/>
      <c r="C960" s="5"/>
      <c r="D960" s="9"/>
      <c r="E960" s="9"/>
      <c r="F960" s="9"/>
      <c r="G960" s="9"/>
      <c r="H960" s="9"/>
      <c r="I960" s="9"/>
      <c r="J960" s="5"/>
      <c r="K960" s="4"/>
      <c r="L960" s="10"/>
      <c r="M960" s="10"/>
      <c r="N960" s="10"/>
      <c r="O960" s="10"/>
      <c r="P960" s="10"/>
      <c r="Q960" s="11"/>
      <c r="R960" s="9"/>
      <c r="S960" s="12"/>
      <c r="T960" s="5"/>
      <c r="U960" s="5"/>
      <c r="V960" s="4"/>
      <c r="W960" s="4"/>
      <c r="X960" s="4"/>
      <c r="Y960" s="4"/>
    </row>
    <row r="961">
      <c r="A961" s="5"/>
      <c r="B961" s="9"/>
      <c r="C961" s="5"/>
      <c r="D961" s="9"/>
      <c r="E961" s="9"/>
      <c r="F961" s="9"/>
      <c r="G961" s="9"/>
      <c r="H961" s="9"/>
      <c r="I961" s="9"/>
      <c r="J961" s="5"/>
      <c r="K961" s="4"/>
      <c r="L961" s="10"/>
      <c r="M961" s="10"/>
      <c r="N961" s="10"/>
      <c r="O961" s="10"/>
      <c r="P961" s="10"/>
      <c r="Q961" s="11"/>
      <c r="R961" s="9"/>
      <c r="S961" s="12"/>
      <c r="T961" s="5"/>
      <c r="U961" s="5"/>
      <c r="V961" s="4"/>
      <c r="W961" s="4"/>
      <c r="X961" s="4"/>
      <c r="Y961" s="4"/>
    </row>
    <row r="962">
      <c r="A962" s="5"/>
      <c r="B962" s="9"/>
      <c r="C962" s="5"/>
      <c r="D962" s="9"/>
      <c r="E962" s="9"/>
      <c r="F962" s="9"/>
      <c r="G962" s="9"/>
      <c r="H962" s="9"/>
      <c r="I962" s="9"/>
      <c r="J962" s="5"/>
      <c r="K962" s="4"/>
      <c r="L962" s="10"/>
      <c r="M962" s="10"/>
      <c r="N962" s="10"/>
      <c r="O962" s="10"/>
      <c r="P962" s="10"/>
      <c r="Q962" s="11"/>
      <c r="R962" s="9"/>
      <c r="S962" s="12"/>
      <c r="T962" s="5"/>
      <c r="U962" s="5"/>
      <c r="V962" s="4"/>
      <c r="W962" s="4"/>
      <c r="X962" s="4"/>
      <c r="Y962" s="4"/>
    </row>
    <row r="963">
      <c r="A963" s="5"/>
      <c r="B963" s="9"/>
      <c r="C963" s="5"/>
      <c r="D963" s="9"/>
      <c r="E963" s="9"/>
      <c r="F963" s="9"/>
      <c r="G963" s="9"/>
      <c r="H963" s="9"/>
      <c r="I963" s="9"/>
      <c r="J963" s="5"/>
      <c r="K963" s="4"/>
      <c r="L963" s="10"/>
      <c r="M963" s="10"/>
      <c r="N963" s="10"/>
      <c r="O963" s="10"/>
      <c r="P963" s="10"/>
      <c r="Q963" s="11"/>
      <c r="R963" s="9"/>
      <c r="S963" s="12"/>
      <c r="T963" s="5"/>
      <c r="U963" s="5"/>
      <c r="V963" s="4"/>
      <c r="W963" s="4"/>
      <c r="X963" s="4"/>
      <c r="Y963" s="4"/>
    </row>
    <row r="964">
      <c r="A964" s="5"/>
      <c r="B964" s="9"/>
      <c r="C964" s="5"/>
      <c r="D964" s="9"/>
      <c r="E964" s="9"/>
      <c r="F964" s="9"/>
      <c r="G964" s="9"/>
      <c r="H964" s="9"/>
      <c r="I964" s="9"/>
      <c r="J964" s="5"/>
      <c r="K964" s="4"/>
      <c r="L964" s="10"/>
      <c r="M964" s="10"/>
      <c r="N964" s="10"/>
      <c r="O964" s="10"/>
      <c r="P964" s="10"/>
      <c r="Q964" s="11"/>
      <c r="R964" s="9"/>
      <c r="S964" s="12"/>
      <c r="T964" s="5"/>
      <c r="U964" s="5"/>
      <c r="V964" s="4"/>
      <c r="W964" s="4"/>
      <c r="X964" s="4"/>
      <c r="Y964" s="4"/>
    </row>
    <row r="965">
      <c r="A965" s="5"/>
      <c r="B965" s="9"/>
      <c r="C965" s="5"/>
      <c r="D965" s="9"/>
      <c r="E965" s="9"/>
      <c r="F965" s="9"/>
      <c r="G965" s="9"/>
      <c r="H965" s="9"/>
      <c r="I965" s="9"/>
      <c r="J965" s="5"/>
      <c r="K965" s="4"/>
      <c r="L965" s="10"/>
      <c r="M965" s="10"/>
      <c r="N965" s="10"/>
      <c r="O965" s="10"/>
      <c r="P965" s="10"/>
      <c r="Q965" s="11"/>
      <c r="R965" s="9"/>
      <c r="S965" s="12"/>
      <c r="T965" s="5"/>
      <c r="U965" s="5"/>
      <c r="V965" s="4"/>
      <c r="W965" s="4"/>
      <c r="X965" s="4"/>
      <c r="Y965" s="4"/>
    </row>
    <row r="966">
      <c r="A966" s="5"/>
      <c r="B966" s="9"/>
      <c r="C966" s="5"/>
      <c r="D966" s="9"/>
      <c r="E966" s="9"/>
      <c r="F966" s="9"/>
      <c r="G966" s="9"/>
      <c r="H966" s="9"/>
      <c r="I966" s="9"/>
      <c r="J966" s="5"/>
      <c r="K966" s="4"/>
      <c r="L966" s="10"/>
      <c r="M966" s="10"/>
      <c r="N966" s="10"/>
      <c r="O966" s="10"/>
      <c r="P966" s="10"/>
      <c r="Q966" s="11"/>
      <c r="R966" s="9"/>
      <c r="S966" s="12"/>
      <c r="T966" s="5"/>
      <c r="U966" s="5"/>
      <c r="V966" s="4"/>
      <c r="W966" s="4"/>
      <c r="X966" s="4"/>
      <c r="Y966" s="4"/>
    </row>
    <row r="967">
      <c r="A967" s="5"/>
      <c r="B967" s="9"/>
      <c r="C967" s="5"/>
      <c r="D967" s="9"/>
      <c r="E967" s="9"/>
      <c r="F967" s="9"/>
      <c r="G967" s="9"/>
      <c r="H967" s="9"/>
      <c r="I967" s="9"/>
      <c r="J967" s="5"/>
      <c r="K967" s="4"/>
      <c r="L967" s="10"/>
      <c r="M967" s="10"/>
      <c r="N967" s="10"/>
      <c r="O967" s="10"/>
      <c r="P967" s="10"/>
      <c r="Q967" s="11"/>
      <c r="R967" s="9"/>
      <c r="S967" s="12"/>
      <c r="T967" s="5"/>
      <c r="U967" s="5"/>
      <c r="V967" s="4"/>
      <c r="W967" s="4"/>
      <c r="X967" s="4"/>
      <c r="Y967" s="4"/>
    </row>
    <row r="968">
      <c r="A968" s="5"/>
      <c r="B968" s="9"/>
      <c r="C968" s="5"/>
      <c r="D968" s="9"/>
      <c r="E968" s="9"/>
      <c r="F968" s="9"/>
      <c r="G968" s="9"/>
      <c r="H968" s="9"/>
      <c r="I968" s="9"/>
      <c r="J968" s="5"/>
      <c r="K968" s="4"/>
      <c r="L968" s="10"/>
      <c r="M968" s="10"/>
      <c r="N968" s="10"/>
      <c r="O968" s="10"/>
      <c r="P968" s="10"/>
      <c r="Q968" s="11"/>
      <c r="R968" s="9"/>
      <c r="S968" s="12"/>
      <c r="T968" s="5"/>
      <c r="U968" s="5"/>
      <c r="V968" s="4"/>
      <c r="W968" s="4"/>
      <c r="X968" s="4"/>
      <c r="Y968" s="4"/>
    </row>
    <row r="969">
      <c r="A969" s="5"/>
      <c r="B969" s="9"/>
      <c r="C969" s="5"/>
      <c r="D969" s="9"/>
      <c r="E969" s="9"/>
      <c r="F969" s="9"/>
      <c r="G969" s="9"/>
      <c r="H969" s="9"/>
      <c r="I969" s="9"/>
      <c r="J969" s="5"/>
      <c r="K969" s="4"/>
      <c r="L969" s="10"/>
      <c r="M969" s="10"/>
      <c r="N969" s="10"/>
      <c r="O969" s="10"/>
      <c r="P969" s="10"/>
      <c r="Q969" s="11"/>
      <c r="R969" s="9"/>
      <c r="S969" s="12"/>
      <c r="T969" s="5"/>
      <c r="U969" s="5"/>
      <c r="V969" s="4"/>
      <c r="W969" s="4"/>
      <c r="X969" s="4"/>
      <c r="Y969" s="4"/>
    </row>
    <row r="970">
      <c r="A970" s="5"/>
      <c r="B970" s="9"/>
      <c r="C970" s="5"/>
      <c r="D970" s="9"/>
      <c r="E970" s="9"/>
      <c r="F970" s="9"/>
      <c r="G970" s="9"/>
      <c r="H970" s="9"/>
      <c r="I970" s="9"/>
      <c r="J970" s="5"/>
      <c r="K970" s="4"/>
      <c r="L970" s="10"/>
      <c r="M970" s="10"/>
      <c r="N970" s="10"/>
      <c r="O970" s="10"/>
      <c r="P970" s="10"/>
      <c r="Q970" s="11"/>
      <c r="R970" s="9"/>
      <c r="S970" s="12"/>
      <c r="T970" s="5"/>
      <c r="U970" s="5"/>
      <c r="V970" s="4"/>
      <c r="W970" s="4"/>
      <c r="X970" s="4"/>
      <c r="Y970" s="4"/>
    </row>
    <row r="971">
      <c r="A971" s="5"/>
      <c r="B971" s="9"/>
      <c r="C971" s="5"/>
      <c r="D971" s="9"/>
      <c r="E971" s="9"/>
      <c r="F971" s="9"/>
      <c r="G971" s="9"/>
      <c r="H971" s="9"/>
      <c r="I971" s="9"/>
      <c r="J971" s="5"/>
      <c r="K971" s="4"/>
      <c r="L971" s="10"/>
      <c r="M971" s="10"/>
      <c r="N971" s="10"/>
      <c r="O971" s="10"/>
      <c r="P971" s="10"/>
      <c r="Q971" s="11"/>
      <c r="R971" s="9"/>
      <c r="S971" s="12"/>
      <c r="T971" s="5"/>
      <c r="U971" s="5"/>
      <c r="V971" s="4"/>
      <c r="W971" s="4"/>
      <c r="X971" s="4"/>
      <c r="Y971" s="4"/>
    </row>
    <row r="972">
      <c r="A972" s="5"/>
      <c r="B972" s="9"/>
      <c r="C972" s="5"/>
      <c r="D972" s="9"/>
      <c r="E972" s="9"/>
      <c r="F972" s="9"/>
      <c r="G972" s="9"/>
      <c r="H972" s="9"/>
      <c r="I972" s="9"/>
      <c r="J972" s="5"/>
      <c r="K972" s="4"/>
      <c r="L972" s="10"/>
      <c r="M972" s="10"/>
      <c r="N972" s="10"/>
      <c r="O972" s="10"/>
      <c r="P972" s="10"/>
      <c r="Q972" s="11"/>
      <c r="R972" s="9"/>
      <c r="S972" s="12"/>
      <c r="T972" s="5"/>
      <c r="U972" s="5"/>
      <c r="V972" s="4"/>
      <c r="W972" s="4"/>
      <c r="X972" s="4"/>
      <c r="Y972" s="4"/>
    </row>
    <row r="973">
      <c r="A973" s="5"/>
      <c r="B973" s="9"/>
      <c r="C973" s="5"/>
      <c r="D973" s="9"/>
      <c r="E973" s="9"/>
      <c r="F973" s="9"/>
      <c r="G973" s="9"/>
      <c r="H973" s="9"/>
      <c r="I973" s="9"/>
      <c r="J973" s="5"/>
      <c r="K973" s="4"/>
      <c r="L973" s="10"/>
      <c r="M973" s="10"/>
      <c r="N973" s="10"/>
      <c r="O973" s="10"/>
      <c r="P973" s="10"/>
      <c r="Q973" s="11"/>
      <c r="R973" s="9"/>
      <c r="S973" s="12"/>
      <c r="T973" s="5"/>
      <c r="U973" s="5"/>
      <c r="V973" s="4"/>
      <c r="W973" s="4"/>
      <c r="X973" s="4"/>
      <c r="Y973" s="4"/>
    </row>
    <row r="974">
      <c r="A974" s="5"/>
      <c r="B974" s="9"/>
      <c r="C974" s="5"/>
      <c r="D974" s="9"/>
      <c r="E974" s="9"/>
      <c r="F974" s="9"/>
      <c r="G974" s="9"/>
      <c r="H974" s="9"/>
      <c r="I974" s="9"/>
      <c r="J974" s="5"/>
      <c r="K974" s="4"/>
      <c r="L974" s="10"/>
      <c r="M974" s="10"/>
      <c r="N974" s="10"/>
      <c r="O974" s="10"/>
      <c r="P974" s="10"/>
      <c r="Q974" s="11"/>
      <c r="R974" s="9"/>
      <c r="S974" s="12"/>
      <c r="T974" s="5"/>
      <c r="U974" s="5"/>
      <c r="V974" s="4"/>
      <c r="W974" s="4"/>
      <c r="X974" s="4"/>
      <c r="Y974" s="4"/>
    </row>
    <row r="975">
      <c r="A975" s="5"/>
      <c r="B975" s="9"/>
      <c r="C975" s="5"/>
      <c r="D975" s="9"/>
      <c r="E975" s="9"/>
      <c r="F975" s="9"/>
      <c r="G975" s="9"/>
      <c r="H975" s="9"/>
      <c r="I975" s="9"/>
      <c r="J975" s="5"/>
      <c r="K975" s="4"/>
      <c r="L975" s="10"/>
      <c r="M975" s="10"/>
      <c r="N975" s="10"/>
      <c r="O975" s="10"/>
      <c r="P975" s="10"/>
      <c r="Q975" s="11"/>
      <c r="R975" s="9"/>
      <c r="S975" s="12"/>
      <c r="T975" s="5"/>
      <c r="U975" s="5"/>
      <c r="V975" s="4"/>
      <c r="W975" s="4"/>
      <c r="X975" s="4"/>
      <c r="Y975" s="4"/>
    </row>
    <row r="976">
      <c r="A976" s="5"/>
      <c r="B976" s="9"/>
      <c r="C976" s="5"/>
      <c r="D976" s="9"/>
      <c r="E976" s="9"/>
      <c r="F976" s="9"/>
      <c r="G976" s="9"/>
      <c r="H976" s="9"/>
      <c r="I976" s="9"/>
      <c r="J976" s="5"/>
      <c r="K976" s="4"/>
      <c r="L976" s="10"/>
      <c r="M976" s="10"/>
      <c r="N976" s="10"/>
      <c r="O976" s="10"/>
      <c r="P976" s="10"/>
      <c r="Q976" s="11"/>
      <c r="R976" s="9"/>
      <c r="S976" s="12"/>
      <c r="T976" s="5"/>
      <c r="U976" s="5"/>
      <c r="V976" s="4"/>
      <c r="W976" s="4"/>
      <c r="X976" s="4"/>
      <c r="Y976" s="4"/>
    </row>
    <row r="977">
      <c r="A977" s="5"/>
      <c r="B977" s="9"/>
      <c r="C977" s="5"/>
      <c r="D977" s="9"/>
      <c r="E977" s="9"/>
      <c r="F977" s="9"/>
      <c r="G977" s="9"/>
      <c r="H977" s="9"/>
      <c r="I977" s="9"/>
      <c r="J977" s="5"/>
      <c r="K977" s="4"/>
      <c r="L977" s="10"/>
      <c r="M977" s="10"/>
      <c r="N977" s="10"/>
      <c r="O977" s="10"/>
      <c r="P977" s="10"/>
      <c r="Q977" s="11"/>
      <c r="R977" s="9"/>
      <c r="S977" s="12"/>
      <c r="T977" s="5"/>
      <c r="U977" s="5"/>
      <c r="V977" s="4"/>
      <c r="W977" s="4"/>
      <c r="X977" s="4"/>
      <c r="Y977" s="4"/>
    </row>
    <row r="978">
      <c r="A978" s="5"/>
      <c r="B978" s="9"/>
      <c r="C978" s="5"/>
      <c r="D978" s="9"/>
      <c r="E978" s="9"/>
      <c r="F978" s="9"/>
      <c r="G978" s="9"/>
      <c r="H978" s="9"/>
      <c r="I978" s="9"/>
      <c r="J978" s="5"/>
      <c r="K978" s="4"/>
      <c r="L978" s="10"/>
      <c r="M978" s="10"/>
      <c r="N978" s="10"/>
      <c r="O978" s="10"/>
      <c r="P978" s="10"/>
      <c r="Q978" s="11"/>
      <c r="R978" s="9"/>
      <c r="S978" s="12"/>
      <c r="T978" s="5"/>
      <c r="U978" s="5"/>
      <c r="V978" s="4"/>
      <c r="W978" s="4"/>
      <c r="X978" s="4"/>
      <c r="Y978" s="4"/>
    </row>
    <row r="979">
      <c r="A979" s="5"/>
      <c r="B979" s="9"/>
      <c r="C979" s="5"/>
      <c r="D979" s="9"/>
      <c r="E979" s="9"/>
      <c r="F979" s="9"/>
      <c r="G979" s="9"/>
      <c r="H979" s="9"/>
      <c r="I979" s="9"/>
      <c r="J979" s="5"/>
      <c r="K979" s="4"/>
      <c r="L979" s="10"/>
      <c r="M979" s="10"/>
      <c r="N979" s="10"/>
      <c r="O979" s="10"/>
      <c r="P979" s="10"/>
      <c r="Q979" s="11"/>
      <c r="R979" s="9"/>
      <c r="S979" s="12"/>
      <c r="T979" s="5"/>
      <c r="U979" s="5"/>
      <c r="V979" s="4"/>
      <c r="W979" s="4"/>
      <c r="X979" s="4"/>
      <c r="Y979" s="4"/>
    </row>
    <row r="980">
      <c r="A980" s="5"/>
      <c r="B980" s="9"/>
      <c r="C980" s="5"/>
      <c r="D980" s="9"/>
      <c r="E980" s="9"/>
      <c r="F980" s="9"/>
      <c r="G980" s="9"/>
      <c r="H980" s="9"/>
      <c r="I980" s="9"/>
      <c r="J980" s="5"/>
      <c r="K980" s="4"/>
      <c r="L980" s="10"/>
      <c r="M980" s="10"/>
      <c r="N980" s="10"/>
      <c r="O980" s="10"/>
      <c r="P980" s="10"/>
      <c r="Q980" s="11"/>
      <c r="R980" s="9"/>
      <c r="S980" s="12"/>
      <c r="T980" s="5"/>
      <c r="U980" s="5"/>
      <c r="V980" s="4"/>
      <c r="W980" s="4"/>
      <c r="X980" s="4"/>
      <c r="Y980" s="4"/>
    </row>
    <row r="981">
      <c r="A981" s="5"/>
      <c r="B981" s="9"/>
      <c r="C981" s="5"/>
      <c r="D981" s="9"/>
      <c r="E981" s="9"/>
      <c r="F981" s="9"/>
      <c r="G981" s="9"/>
      <c r="H981" s="9"/>
      <c r="I981" s="9"/>
      <c r="J981" s="5"/>
      <c r="K981" s="4"/>
      <c r="L981" s="10"/>
      <c r="M981" s="10"/>
      <c r="N981" s="10"/>
      <c r="O981" s="10"/>
      <c r="P981" s="10"/>
      <c r="Q981" s="11"/>
      <c r="R981" s="9"/>
      <c r="S981" s="12"/>
      <c r="T981" s="5"/>
      <c r="U981" s="5"/>
      <c r="V981" s="4"/>
      <c r="W981" s="4"/>
      <c r="X981" s="4"/>
      <c r="Y981" s="4"/>
    </row>
    <row r="982">
      <c r="A982" s="5"/>
      <c r="B982" s="9"/>
      <c r="C982" s="5"/>
      <c r="D982" s="9"/>
      <c r="E982" s="9"/>
      <c r="F982" s="9"/>
      <c r="G982" s="9"/>
      <c r="H982" s="9"/>
      <c r="I982" s="9"/>
      <c r="J982" s="5"/>
      <c r="K982" s="4"/>
      <c r="L982" s="10"/>
      <c r="M982" s="10"/>
      <c r="N982" s="10"/>
      <c r="O982" s="10"/>
      <c r="P982" s="10"/>
      <c r="Q982" s="11"/>
      <c r="R982" s="9"/>
      <c r="S982" s="12"/>
      <c r="T982" s="5"/>
      <c r="U982" s="5"/>
      <c r="V982" s="4"/>
      <c r="W982" s="4"/>
      <c r="X982" s="4"/>
      <c r="Y982" s="4"/>
    </row>
    <row r="983">
      <c r="A983" s="5"/>
      <c r="B983" s="9"/>
      <c r="C983" s="5"/>
      <c r="D983" s="9"/>
      <c r="E983" s="9"/>
      <c r="F983" s="9"/>
      <c r="G983" s="9"/>
      <c r="H983" s="9"/>
      <c r="I983" s="9"/>
      <c r="J983" s="5"/>
      <c r="K983" s="4"/>
      <c r="L983" s="10"/>
      <c r="M983" s="10"/>
      <c r="N983" s="10"/>
      <c r="O983" s="10"/>
      <c r="P983" s="10"/>
      <c r="Q983" s="11"/>
      <c r="R983" s="9"/>
      <c r="S983" s="12"/>
      <c r="T983" s="5"/>
      <c r="U983" s="5"/>
      <c r="V983" s="4"/>
      <c r="W983" s="4"/>
      <c r="X983" s="4"/>
      <c r="Y983" s="4"/>
    </row>
    <row r="984">
      <c r="A984" s="5"/>
      <c r="B984" s="9"/>
      <c r="C984" s="5"/>
      <c r="D984" s="9"/>
      <c r="E984" s="9"/>
      <c r="F984" s="9"/>
      <c r="G984" s="9"/>
      <c r="H984" s="9"/>
      <c r="I984" s="9"/>
      <c r="J984" s="5"/>
      <c r="K984" s="4"/>
      <c r="L984" s="10"/>
      <c r="M984" s="10"/>
      <c r="N984" s="10"/>
      <c r="O984" s="10"/>
      <c r="P984" s="10"/>
      <c r="Q984" s="11"/>
      <c r="R984" s="9"/>
      <c r="S984" s="12"/>
      <c r="T984" s="5"/>
      <c r="U984" s="5"/>
      <c r="V984" s="4"/>
      <c r="W984" s="4"/>
      <c r="X984" s="4"/>
      <c r="Y984" s="4"/>
    </row>
    <row r="985">
      <c r="A985" s="5"/>
      <c r="B985" s="9"/>
      <c r="C985" s="5"/>
      <c r="D985" s="9"/>
      <c r="E985" s="9"/>
      <c r="F985" s="9"/>
      <c r="G985" s="9"/>
      <c r="H985" s="9"/>
      <c r="I985" s="9"/>
      <c r="J985" s="5"/>
      <c r="K985" s="4"/>
      <c r="L985" s="10"/>
      <c r="M985" s="10"/>
      <c r="N985" s="10"/>
      <c r="O985" s="10"/>
      <c r="P985" s="10"/>
      <c r="Q985" s="11"/>
      <c r="R985" s="9"/>
      <c r="S985" s="12"/>
      <c r="T985" s="5"/>
      <c r="U985" s="5"/>
      <c r="V985" s="4"/>
      <c r="W985" s="4"/>
      <c r="X985" s="4"/>
      <c r="Y985" s="4"/>
    </row>
    <row r="986">
      <c r="A986" s="5"/>
      <c r="B986" s="9"/>
      <c r="C986" s="5"/>
      <c r="D986" s="9"/>
      <c r="E986" s="9"/>
      <c r="F986" s="9"/>
      <c r="G986" s="9"/>
      <c r="H986" s="9"/>
      <c r="I986" s="9"/>
      <c r="J986" s="5"/>
      <c r="K986" s="4"/>
      <c r="L986" s="10"/>
      <c r="M986" s="10"/>
      <c r="N986" s="10"/>
      <c r="O986" s="10"/>
      <c r="P986" s="10"/>
      <c r="Q986" s="11"/>
      <c r="R986" s="9"/>
      <c r="S986" s="12"/>
      <c r="T986" s="5"/>
      <c r="U986" s="5"/>
      <c r="V986" s="4"/>
      <c r="W986" s="4"/>
      <c r="X986" s="4"/>
      <c r="Y986" s="4"/>
    </row>
    <row r="987">
      <c r="A987" s="5"/>
      <c r="B987" s="9"/>
      <c r="C987" s="5"/>
      <c r="D987" s="9"/>
      <c r="E987" s="9"/>
      <c r="F987" s="9"/>
      <c r="G987" s="9"/>
      <c r="H987" s="9"/>
      <c r="I987" s="9"/>
      <c r="J987" s="5"/>
      <c r="K987" s="4"/>
      <c r="L987" s="10"/>
      <c r="M987" s="10"/>
      <c r="N987" s="10"/>
      <c r="O987" s="10"/>
      <c r="P987" s="10"/>
      <c r="Q987" s="11"/>
      <c r="R987" s="9"/>
      <c r="S987" s="12"/>
      <c r="T987" s="5"/>
      <c r="U987" s="5"/>
      <c r="V987" s="4"/>
      <c r="W987" s="4"/>
      <c r="X987" s="4"/>
      <c r="Y987" s="4"/>
    </row>
    <row r="988">
      <c r="A988" s="5"/>
      <c r="B988" s="9"/>
      <c r="C988" s="5"/>
      <c r="D988" s="9"/>
      <c r="E988" s="9"/>
      <c r="F988" s="9"/>
      <c r="G988" s="9"/>
      <c r="H988" s="9"/>
      <c r="I988" s="9"/>
      <c r="J988" s="5"/>
      <c r="K988" s="4"/>
      <c r="L988" s="10"/>
      <c r="M988" s="10"/>
      <c r="N988" s="10"/>
      <c r="O988" s="10"/>
      <c r="P988" s="10"/>
      <c r="Q988" s="11"/>
      <c r="R988" s="9"/>
      <c r="S988" s="12"/>
      <c r="T988" s="5"/>
      <c r="U988" s="5"/>
      <c r="V988" s="4"/>
      <c r="W988" s="4"/>
      <c r="X988" s="4"/>
      <c r="Y988" s="4"/>
    </row>
    <row r="989">
      <c r="A989" s="5"/>
      <c r="B989" s="9"/>
      <c r="C989" s="5"/>
      <c r="D989" s="9"/>
      <c r="E989" s="9"/>
      <c r="F989" s="9"/>
      <c r="G989" s="9"/>
      <c r="H989" s="9"/>
      <c r="I989" s="9"/>
      <c r="J989" s="5"/>
      <c r="K989" s="4"/>
      <c r="L989" s="10"/>
      <c r="M989" s="10"/>
      <c r="N989" s="10"/>
      <c r="O989" s="10"/>
      <c r="P989" s="10"/>
      <c r="Q989" s="11"/>
      <c r="R989" s="9"/>
      <c r="S989" s="12"/>
      <c r="T989" s="5"/>
      <c r="U989" s="5"/>
      <c r="V989" s="4"/>
      <c r="W989" s="4"/>
      <c r="X989" s="4"/>
      <c r="Y989" s="4"/>
    </row>
    <row r="990">
      <c r="A990" s="5"/>
      <c r="B990" s="9"/>
      <c r="C990" s="5"/>
      <c r="D990" s="9"/>
      <c r="E990" s="9"/>
      <c r="F990" s="9"/>
      <c r="G990" s="9"/>
      <c r="H990" s="9"/>
      <c r="I990" s="9"/>
      <c r="J990" s="5"/>
      <c r="K990" s="4"/>
      <c r="L990" s="10"/>
      <c r="M990" s="10"/>
      <c r="N990" s="10"/>
      <c r="O990" s="10"/>
      <c r="P990" s="10"/>
      <c r="Q990" s="11"/>
      <c r="R990" s="9"/>
      <c r="S990" s="12"/>
      <c r="T990" s="5"/>
      <c r="U990" s="5"/>
      <c r="V990" s="4"/>
      <c r="W990" s="4"/>
      <c r="X990" s="4"/>
      <c r="Y990" s="4"/>
    </row>
    <row r="991">
      <c r="A991" s="5"/>
      <c r="B991" s="9"/>
      <c r="C991" s="5"/>
      <c r="D991" s="9"/>
      <c r="E991" s="9"/>
      <c r="F991" s="9"/>
      <c r="G991" s="9"/>
      <c r="H991" s="9"/>
      <c r="I991" s="9"/>
      <c r="J991" s="5"/>
      <c r="K991" s="4"/>
      <c r="L991" s="10"/>
      <c r="M991" s="10"/>
      <c r="N991" s="10"/>
      <c r="O991" s="10"/>
      <c r="P991" s="10"/>
      <c r="Q991" s="11"/>
      <c r="R991" s="9"/>
      <c r="S991" s="12"/>
      <c r="T991" s="5"/>
      <c r="U991" s="5"/>
      <c r="V991" s="4"/>
      <c r="W991" s="4"/>
      <c r="X991" s="4"/>
      <c r="Y991" s="4"/>
    </row>
    <row r="992">
      <c r="A992" s="5"/>
      <c r="B992" s="9"/>
      <c r="C992" s="5"/>
      <c r="D992" s="9"/>
      <c r="E992" s="9"/>
      <c r="F992" s="9"/>
      <c r="G992" s="9"/>
      <c r="H992" s="9"/>
      <c r="I992" s="9"/>
      <c r="J992" s="5"/>
      <c r="K992" s="4"/>
      <c r="L992" s="10"/>
      <c r="M992" s="10"/>
      <c r="N992" s="10"/>
      <c r="O992" s="10"/>
      <c r="P992" s="10"/>
      <c r="Q992" s="11"/>
      <c r="R992" s="9"/>
      <c r="S992" s="12"/>
      <c r="T992" s="5"/>
      <c r="U992" s="5"/>
      <c r="V992" s="4"/>
      <c r="W992" s="4"/>
      <c r="X992" s="4"/>
      <c r="Y992" s="4"/>
    </row>
    <row r="993">
      <c r="A993" s="5"/>
      <c r="B993" s="9"/>
      <c r="C993" s="5"/>
      <c r="D993" s="9"/>
      <c r="E993" s="9"/>
      <c r="F993" s="9"/>
      <c r="G993" s="9"/>
      <c r="H993" s="9"/>
      <c r="I993" s="9"/>
      <c r="J993" s="5"/>
      <c r="K993" s="4"/>
      <c r="L993" s="10"/>
      <c r="M993" s="10"/>
      <c r="N993" s="10"/>
      <c r="O993" s="10"/>
      <c r="P993" s="10"/>
      <c r="Q993" s="11"/>
      <c r="R993" s="9"/>
      <c r="S993" s="12"/>
      <c r="T993" s="5"/>
      <c r="U993" s="5"/>
      <c r="V993" s="4"/>
      <c r="W993" s="4"/>
      <c r="X993" s="4"/>
      <c r="Y993" s="4"/>
    </row>
    <row r="994">
      <c r="A994" s="5"/>
      <c r="B994" s="9"/>
      <c r="C994" s="5"/>
      <c r="D994" s="9"/>
      <c r="E994" s="9"/>
      <c r="F994" s="9"/>
      <c r="G994" s="9"/>
      <c r="H994" s="9"/>
      <c r="I994" s="9"/>
      <c r="J994" s="5"/>
      <c r="K994" s="4"/>
      <c r="L994" s="10"/>
      <c r="M994" s="10"/>
      <c r="N994" s="10"/>
      <c r="O994" s="10"/>
      <c r="P994" s="10"/>
      <c r="Q994" s="11"/>
      <c r="R994" s="9"/>
      <c r="S994" s="12"/>
      <c r="T994" s="5"/>
      <c r="U994" s="5"/>
      <c r="V994" s="4"/>
      <c r="W994" s="4"/>
      <c r="X994" s="4"/>
      <c r="Y994" s="4"/>
    </row>
    <row r="995">
      <c r="A995" s="5"/>
      <c r="B995" s="9"/>
      <c r="C995" s="5"/>
      <c r="D995" s="9"/>
      <c r="E995" s="9"/>
      <c r="F995" s="9"/>
      <c r="G995" s="9"/>
      <c r="H995" s="9"/>
      <c r="I995" s="9"/>
      <c r="J995" s="5"/>
      <c r="K995" s="4"/>
      <c r="L995" s="10"/>
      <c r="M995" s="10"/>
      <c r="N995" s="10"/>
      <c r="O995" s="10"/>
      <c r="P995" s="10"/>
      <c r="Q995" s="11"/>
      <c r="R995" s="9"/>
      <c r="S995" s="12"/>
      <c r="T995" s="5"/>
      <c r="U995" s="5"/>
      <c r="V995" s="4"/>
      <c r="W995" s="4"/>
      <c r="X995" s="4"/>
      <c r="Y995" s="4"/>
    </row>
    <row r="996">
      <c r="A996" s="5"/>
      <c r="B996" s="9"/>
      <c r="C996" s="5"/>
      <c r="D996" s="9"/>
      <c r="E996" s="9"/>
      <c r="F996" s="9"/>
      <c r="G996" s="9"/>
      <c r="H996" s="9"/>
      <c r="I996" s="9"/>
      <c r="J996" s="5"/>
      <c r="K996" s="4"/>
      <c r="L996" s="10"/>
      <c r="M996" s="10"/>
      <c r="N996" s="10"/>
      <c r="O996" s="10"/>
      <c r="P996" s="10"/>
      <c r="Q996" s="11"/>
      <c r="R996" s="9"/>
      <c r="S996" s="12"/>
      <c r="T996" s="5"/>
      <c r="U996" s="5"/>
      <c r="V996" s="4"/>
      <c r="W996" s="4"/>
      <c r="X996" s="4"/>
      <c r="Y996" s="4"/>
    </row>
    <row r="997">
      <c r="A997" s="5"/>
      <c r="B997" s="9"/>
      <c r="C997" s="5"/>
      <c r="D997" s="9"/>
      <c r="E997" s="9"/>
      <c r="F997" s="9"/>
      <c r="G997" s="9"/>
      <c r="H997" s="9"/>
      <c r="I997" s="9"/>
      <c r="J997" s="5"/>
      <c r="K997" s="4"/>
      <c r="L997" s="10"/>
      <c r="M997" s="10"/>
      <c r="N997" s="10"/>
      <c r="O997" s="10"/>
      <c r="P997" s="10"/>
      <c r="Q997" s="11"/>
      <c r="R997" s="9"/>
      <c r="S997" s="12"/>
      <c r="T997" s="5"/>
      <c r="U997" s="5"/>
      <c r="V997" s="4"/>
      <c r="W997" s="4"/>
      <c r="X997" s="4"/>
      <c r="Y997" s="4"/>
    </row>
    <row r="998">
      <c r="A998" s="5"/>
      <c r="B998" s="9"/>
      <c r="C998" s="5"/>
      <c r="D998" s="9"/>
      <c r="E998" s="9"/>
      <c r="F998" s="9"/>
      <c r="G998" s="9"/>
      <c r="H998" s="9"/>
      <c r="I998" s="9"/>
      <c r="J998" s="5"/>
      <c r="K998" s="4"/>
      <c r="L998" s="10"/>
      <c r="M998" s="10"/>
      <c r="N998" s="10"/>
      <c r="O998" s="10"/>
      <c r="P998" s="10"/>
      <c r="Q998" s="11"/>
      <c r="R998" s="9"/>
      <c r="S998" s="12"/>
      <c r="T998" s="5"/>
      <c r="U998" s="5"/>
      <c r="V998" s="4"/>
      <c r="W998" s="4"/>
      <c r="X998" s="4"/>
      <c r="Y998" s="4"/>
    </row>
    <row r="999">
      <c r="A999" s="5"/>
      <c r="B999" s="9"/>
      <c r="C999" s="5"/>
      <c r="D999" s="9"/>
      <c r="E999" s="9"/>
      <c r="F999" s="9"/>
      <c r="G999" s="9"/>
      <c r="H999" s="9"/>
      <c r="I999" s="9"/>
      <c r="J999" s="5"/>
      <c r="K999" s="4"/>
      <c r="L999" s="10"/>
      <c r="M999" s="10"/>
      <c r="N999" s="10"/>
      <c r="O999" s="10"/>
      <c r="P999" s="10"/>
      <c r="Q999" s="11"/>
      <c r="R999" s="9"/>
      <c r="S999" s="12"/>
      <c r="T999" s="5"/>
      <c r="U999" s="5"/>
      <c r="V999" s="4"/>
      <c r="W999" s="4"/>
      <c r="X999" s="4"/>
      <c r="Y999" s="4"/>
    </row>
    <row r="1000">
      <c r="A1000" s="5"/>
      <c r="B1000" s="9"/>
      <c r="C1000" s="5"/>
      <c r="D1000" s="9"/>
      <c r="E1000" s="9"/>
      <c r="F1000" s="9"/>
      <c r="G1000" s="9"/>
      <c r="H1000" s="9"/>
      <c r="I1000" s="9"/>
      <c r="J1000" s="5"/>
      <c r="K1000" s="4"/>
      <c r="L1000" s="10"/>
      <c r="M1000" s="10"/>
      <c r="N1000" s="10"/>
      <c r="O1000" s="10"/>
      <c r="P1000" s="10"/>
      <c r="Q1000" s="11"/>
      <c r="R1000" s="9"/>
      <c r="S1000" s="12"/>
      <c r="T1000" s="5"/>
      <c r="U1000" s="5"/>
      <c r="V1000" s="4"/>
      <c r="W1000" s="4"/>
      <c r="X1000" s="4"/>
      <c r="Y1000" s="4"/>
    </row>
    <row r="1001">
      <c r="A1001" s="5"/>
      <c r="B1001" s="9"/>
      <c r="C1001" s="5"/>
      <c r="D1001" s="9"/>
      <c r="E1001" s="9"/>
      <c r="F1001" s="9"/>
      <c r="G1001" s="9"/>
      <c r="H1001" s="9"/>
      <c r="I1001" s="9"/>
      <c r="J1001" s="5"/>
      <c r="K1001" s="4"/>
      <c r="L1001" s="10"/>
      <c r="M1001" s="10"/>
      <c r="N1001" s="10"/>
      <c r="O1001" s="10"/>
      <c r="P1001" s="10"/>
      <c r="Q1001" s="11"/>
      <c r="R1001" s="9"/>
      <c r="S1001" s="12"/>
      <c r="T1001" s="5"/>
      <c r="U1001" s="5"/>
      <c r="V1001" s="4"/>
      <c r="W1001" s="4"/>
      <c r="X1001" s="4"/>
      <c r="Y1001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4"/>
      <c r="U1" s="4"/>
      <c r="V1" s="4"/>
      <c r="W1" s="4"/>
      <c r="X1" s="4"/>
      <c r="Y1" s="4"/>
    </row>
    <row r="2">
      <c r="A2" s="5" t="s">
        <v>26</v>
      </c>
      <c r="B2" s="9">
        <v>0.0</v>
      </c>
      <c r="C2" s="9">
        <v>0.0</v>
      </c>
      <c r="D2" s="5">
        <v>11.0</v>
      </c>
      <c r="E2" s="5">
        <v>6.0</v>
      </c>
      <c r="F2" s="9">
        <v>0.0</v>
      </c>
      <c r="G2" s="9">
        <v>0.0</v>
      </c>
      <c r="H2" s="9">
        <v>8.0</v>
      </c>
      <c r="I2" s="9">
        <v>1.0</v>
      </c>
      <c r="J2" s="5">
        <f t="shared" ref="J2:K2" si="1">B2+D2+F2+H2</f>
        <v>19</v>
      </c>
      <c r="K2" s="4">
        <f t="shared" si="1"/>
        <v>7</v>
      </c>
      <c r="L2" s="10">
        <f t="shared" ref="L2:L18" si="3">ROUND(IFERROR(J2/(J2+K2),0)*100,1)</f>
        <v>73.1</v>
      </c>
      <c r="M2" s="10">
        <f t="shared" ref="M2:M18" si="4">ROUND(IFERROR(B2/(B2+C2),0)*100,1)</f>
        <v>0</v>
      </c>
      <c r="N2" s="10">
        <f t="shared" ref="N2:N18" si="5">ROUND(IFERROR(D2/(D2+E2),0)*100,1)</f>
        <v>64.7</v>
      </c>
      <c r="O2" s="10">
        <f t="shared" ref="O2:O18" si="6">ROUND(IFERROR(F2/(F2+G2),0)*100,1)</f>
        <v>0</v>
      </c>
      <c r="P2" s="10">
        <f t="shared" ref="P2:P18" si="7">ROUND(IFERROR(H2/(I2+H2),0)*100,1)</f>
        <v>88.9</v>
      </c>
      <c r="Q2" s="11">
        <f t="shared" ref="Q2:Q18" si="8">ROW()-1</f>
        <v>1</v>
      </c>
      <c r="R2" s="5">
        <v>1189.0</v>
      </c>
      <c r="S2" s="12">
        <v>45454.02847222222</v>
      </c>
      <c r="T2" s="4"/>
      <c r="U2" s="4"/>
      <c r="V2" s="4"/>
      <c r="W2" s="4"/>
      <c r="X2" s="4"/>
      <c r="Y2" s="4"/>
    </row>
    <row r="3">
      <c r="A3" s="5" t="s">
        <v>30</v>
      </c>
      <c r="B3" s="9">
        <v>2.0</v>
      </c>
      <c r="C3" s="9">
        <v>2.0</v>
      </c>
      <c r="D3" s="9">
        <v>5.0</v>
      </c>
      <c r="E3" s="9">
        <v>1.0</v>
      </c>
      <c r="F3" s="9">
        <v>6.0</v>
      </c>
      <c r="G3" s="9">
        <v>4.0</v>
      </c>
      <c r="H3" s="5">
        <v>5.0</v>
      </c>
      <c r="I3" s="9">
        <v>2.0</v>
      </c>
      <c r="J3" s="5">
        <f t="shared" ref="J3:K3" si="2">B3+D3+F3+H3</f>
        <v>18</v>
      </c>
      <c r="K3" s="4">
        <f t="shared" si="2"/>
        <v>9</v>
      </c>
      <c r="L3" s="10">
        <f t="shared" si="3"/>
        <v>66.7</v>
      </c>
      <c r="M3" s="10">
        <f t="shared" si="4"/>
        <v>50</v>
      </c>
      <c r="N3" s="10">
        <f t="shared" si="5"/>
        <v>83.3</v>
      </c>
      <c r="O3" s="10">
        <f t="shared" si="6"/>
        <v>60</v>
      </c>
      <c r="P3" s="10">
        <f t="shared" si="7"/>
        <v>71.4</v>
      </c>
      <c r="Q3" s="11">
        <f t="shared" si="8"/>
        <v>2</v>
      </c>
      <c r="R3" s="5">
        <v>1139.0</v>
      </c>
      <c r="S3" s="12">
        <v>45453.709027777775</v>
      </c>
      <c r="T3" s="4"/>
      <c r="U3" s="4"/>
      <c r="V3" s="4"/>
      <c r="W3" s="4"/>
      <c r="X3" s="4"/>
      <c r="Y3" s="4"/>
    </row>
    <row r="4">
      <c r="A4" s="5" t="s">
        <v>35</v>
      </c>
      <c r="B4" s="5">
        <v>1.0</v>
      </c>
      <c r="C4" s="5">
        <v>1.0</v>
      </c>
      <c r="D4" s="9">
        <v>7.0</v>
      </c>
      <c r="E4" s="9">
        <v>1.0</v>
      </c>
      <c r="F4" s="9">
        <v>5.0</v>
      </c>
      <c r="G4" s="5">
        <v>4.0</v>
      </c>
      <c r="H4" s="9">
        <v>3.0</v>
      </c>
      <c r="I4" s="9">
        <v>3.0</v>
      </c>
      <c r="J4" s="5">
        <f t="shared" ref="J4:K4" si="9">B4+D4+F4+H4</f>
        <v>16</v>
      </c>
      <c r="K4" s="4">
        <f t="shared" si="9"/>
        <v>9</v>
      </c>
      <c r="L4" s="10">
        <f t="shared" si="3"/>
        <v>64</v>
      </c>
      <c r="M4" s="10">
        <f t="shared" si="4"/>
        <v>50</v>
      </c>
      <c r="N4" s="10">
        <f t="shared" si="5"/>
        <v>87.5</v>
      </c>
      <c r="O4" s="10">
        <f t="shared" si="6"/>
        <v>55.6</v>
      </c>
      <c r="P4" s="10">
        <f t="shared" si="7"/>
        <v>50</v>
      </c>
      <c r="Q4" s="11">
        <f t="shared" si="8"/>
        <v>3</v>
      </c>
      <c r="R4" s="5">
        <v>1130.0</v>
      </c>
      <c r="S4" s="12">
        <v>45454.02847222222</v>
      </c>
      <c r="T4" s="4"/>
      <c r="U4" s="4"/>
      <c r="V4" s="4"/>
      <c r="W4" s="4"/>
      <c r="X4" s="4"/>
      <c r="Y4" s="4"/>
    </row>
    <row r="5">
      <c r="A5" s="5" t="s">
        <v>9694</v>
      </c>
      <c r="B5" s="9">
        <v>1.0</v>
      </c>
      <c r="C5" s="9">
        <v>1.0</v>
      </c>
      <c r="D5" s="9">
        <v>0.0</v>
      </c>
      <c r="E5" s="9">
        <v>0.0</v>
      </c>
      <c r="F5" s="9">
        <v>1.0</v>
      </c>
      <c r="G5" s="9">
        <v>3.0</v>
      </c>
      <c r="H5" s="5">
        <v>9.0</v>
      </c>
      <c r="I5" s="5">
        <v>4.0</v>
      </c>
      <c r="J5" s="5">
        <f t="shared" ref="J5:K5" si="10">B5+D5+F5+H5</f>
        <v>11</v>
      </c>
      <c r="K5" s="4">
        <f t="shared" si="10"/>
        <v>8</v>
      </c>
      <c r="L5" s="10">
        <f t="shared" si="3"/>
        <v>57.9</v>
      </c>
      <c r="M5" s="10">
        <f t="shared" si="4"/>
        <v>50</v>
      </c>
      <c r="N5" s="10">
        <f t="shared" si="5"/>
        <v>0</v>
      </c>
      <c r="O5" s="10">
        <f t="shared" si="6"/>
        <v>25</v>
      </c>
      <c r="P5" s="10">
        <f t="shared" si="7"/>
        <v>69.2</v>
      </c>
      <c r="Q5" s="11">
        <f t="shared" si="8"/>
        <v>4</v>
      </c>
      <c r="R5" s="9">
        <v>1120.0</v>
      </c>
      <c r="S5" s="12">
        <v>45453.73541666667</v>
      </c>
      <c r="T5" s="4"/>
      <c r="U5" s="4"/>
      <c r="V5" s="4"/>
      <c r="W5" s="4"/>
      <c r="X5" s="4"/>
      <c r="Y5" s="4"/>
    </row>
    <row r="6">
      <c r="A6" s="5" t="s">
        <v>9774</v>
      </c>
      <c r="B6" s="9">
        <v>4.0</v>
      </c>
      <c r="C6" s="5">
        <v>6.0</v>
      </c>
      <c r="D6" s="9">
        <v>1.0</v>
      </c>
      <c r="E6" s="9">
        <v>2.0</v>
      </c>
      <c r="F6" s="9">
        <v>1.0</v>
      </c>
      <c r="G6" s="9">
        <v>1.0</v>
      </c>
      <c r="H6" s="9">
        <v>2.0</v>
      </c>
      <c r="I6" s="9">
        <v>0.0</v>
      </c>
      <c r="J6" s="5">
        <f t="shared" ref="J6:K6" si="11">B6+D6+F6+H6</f>
        <v>8</v>
      </c>
      <c r="K6" s="4">
        <f t="shared" si="11"/>
        <v>9</v>
      </c>
      <c r="L6" s="10">
        <f t="shared" si="3"/>
        <v>47.1</v>
      </c>
      <c r="M6" s="10">
        <f t="shared" si="4"/>
        <v>40</v>
      </c>
      <c r="N6" s="10">
        <f t="shared" si="5"/>
        <v>33.3</v>
      </c>
      <c r="O6" s="10">
        <f t="shared" si="6"/>
        <v>50</v>
      </c>
      <c r="P6" s="10">
        <f t="shared" si="7"/>
        <v>100</v>
      </c>
      <c r="Q6" s="11">
        <f t="shared" si="8"/>
        <v>5</v>
      </c>
      <c r="R6" s="5">
        <v>1100.0</v>
      </c>
      <c r="S6" s="12">
        <v>45452.01111111111</v>
      </c>
      <c r="T6" s="4"/>
      <c r="U6" s="4"/>
      <c r="V6" s="4"/>
      <c r="W6" s="4"/>
      <c r="X6" s="4"/>
      <c r="Y6" s="4"/>
    </row>
    <row r="7">
      <c r="A7" s="5" t="s">
        <v>34</v>
      </c>
      <c r="B7" s="9">
        <v>4.0</v>
      </c>
      <c r="C7" s="5">
        <v>8.0</v>
      </c>
      <c r="D7" s="9">
        <v>4.0</v>
      </c>
      <c r="E7" s="5">
        <v>7.0</v>
      </c>
      <c r="F7" s="5">
        <v>6.0</v>
      </c>
      <c r="G7" s="9">
        <v>5.0</v>
      </c>
      <c r="H7" s="9">
        <v>0.0</v>
      </c>
      <c r="I7" s="9">
        <v>0.0</v>
      </c>
      <c r="J7" s="5">
        <f t="shared" ref="J7:K7" si="12">B7+D7+F7+H7</f>
        <v>14</v>
      </c>
      <c r="K7" s="4">
        <f t="shared" si="12"/>
        <v>20</v>
      </c>
      <c r="L7" s="10">
        <f t="shared" si="3"/>
        <v>41.2</v>
      </c>
      <c r="M7" s="10">
        <f t="shared" si="4"/>
        <v>33.3</v>
      </c>
      <c r="N7" s="10">
        <f t="shared" si="5"/>
        <v>36.4</v>
      </c>
      <c r="O7" s="10">
        <f t="shared" si="6"/>
        <v>54.5</v>
      </c>
      <c r="P7" s="10">
        <f t="shared" si="7"/>
        <v>0</v>
      </c>
      <c r="Q7" s="11">
        <f t="shared" si="8"/>
        <v>6</v>
      </c>
      <c r="R7" s="5">
        <v>1045.0</v>
      </c>
      <c r="S7" s="12">
        <v>45454.02847222222</v>
      </c>
      <c r="T7" s="4"/>
      <c r="U7" s="4"/>
      <c r="V7" s="4"/>
      <c r="W7" s="4"/>
      <c r="X7" s="4"/>
      <c r="Y7" s="4"/>
    </row>
    <row r="8">
      <c r="A8" s="5" t="s">
        <v>36</v>
      </c>
      <c r="B8" s="5">
        <v>2.0</v>
      </c>
      <c r="C8" s="9">
        <v>2.0</v>
      </c>
      <c r="D8" s="9">
        <v>2.0</v>
      </c>
      <c r="E8" s="9">
        <v>2.0</v>
      </c>
      <c r="F8" s="9">
        <v>3.0</v>
      </c>
      <c r="G8" s="9">
        <v>5.0</v>
      </c>
      <c r="H8" s="5">
        <v>2.0</v>
      </c>
      <c r="I8" s="9">
        <v>1.0</v>
      </c>
      <c r="J8" s="5">
        <f t="shared" ref="J8:K8" si="13">B8+D8+F8+H8</f>
        <v>9</v>
      </c>
      <c r="K8" s="4">
        <f t="shared" si="13"/>
        <v>10</v>
      </c>
      <c r="L8" s="10">
        <f t="shared" si="3"/>
        <v>47.4</v>
      </c>
      <c r="M8" s="10">
        <f t="shared" si="4"/>
        <v>50</v>
      </c>
      <c r="N8" s="10">
        <f t="shared" si="5"/>
        <v>50</v>
      </c>
      <c r="O8" s="10">
        <f t="shared" si="6"/>
        <v>37.5</v>
      </c>
      <c r="P8" s="10">
        <f t="shared" si="7"/>
        <v>66.7</v>
      </c>
      <c r="Q8" s="11">
        <f t="shared" si="8"/>
        <v>7</v>
      </c>
      <c r="R8" s="5">
        <v>1042.0</v>
      </c>
      <c r="S8" s="12">
        <v>45454.02847222222</v>
      </c>
      <c r="T8" s="4"/>
      <c r="U8" s="4"/>
      <c r="V8" s="4"/>
      <c r="W8" s="4"/>
      <c r="X8" s="4"/>
      <c r="Y8" s="4"/>
    </row>
    <row r="9">
      <c r="A9" s="5" t="s">
        <v>60</v>
      </c>
      <c r="B9" s="9">
        <v>7.0</v>
      </c>
      <c r="C9" s="5">
        <v>2.0</v>
      </c>
      <c r="D9" s="5">
        <v>1.0</v>
      </c>
      <c r="E9" s="9">
        <v>5.0</v>
      </c>
      <c r="F9" s="9">
        <v>0.0</v>
      </c>
      <c r="G9" s="5">
        <v>4.0</v>
      </c>
      <c r="H9" s="9">
        <v>0.0</v>
      </c>
      <c r="I9" s="5">
        <v>8.0</v>
      </c>
      <c r="J9" s="5">
        <f t="shared" ref="J9:K9" si="14">B9+D9+F9+H9</f>
        <v>8</v>
      </c>
      <c r="K9" s="4">
        <f t="shared" si="14"/>
        <v>19</v>
      </c>
      <c r="L9" s="10">
        <f t="shared" si="3"/>
        <v>29.6</v>
      </c>
      <c r="M9" s="10">
        <f t="shared" si="4"/>
        <v>77.8</v>
      </c>
      <c r="N9" s="10">
        <f t="shared" si="5"/>
        <v>16.7</v>
      </c>
      <c r="O9" s="10">
        <f t="shared" si="6"/>
        <v>0</v>
      </c>
      <c r="P9" s="10">
        <f t="shared" si="7"/>
        <v>0</v>
      </c>
      <c r="Q9" s="11">
        <f t="shared" si="8"/>
        <v>8</v>
      </c>
      <c r="R9" s="5">
        <v>980.0</v>
      </c>
      <c r="S9" s="12">
        <v>45454.02847222222</v>
      </c>
      <c r="T9" s="4"/>
      <c r="U9" s="4"/>
      <c r="V9" s="4"/>
      <c r="W9" s="4"/>
      <c r="X9" s="4"/>
      <c r="Y9" s="4"/>
    </row>
    <row r="10">
      <c r="A10" s="5" t="s">
        <v>9722</v>
      </c>
      <c r="B10" s="9">
        <v>1.0</v>
      </c>
      <c r="C10" s="9">
        <v>0.0</v>
      </c>
      <c r="D10" s="9">
        <v>1.0</v>
      </c>
      <c r="E10" s="9">
        <v>1.0</v>
      </c>
      <c r="F10" s="9">
        <v>2.0</v>
      </c>
      <c r="G10" s="9">
        <v>3.0</v>
      </c>
      <c r="H10" s="9">
        <v>0.0</v>
      </c>
      <c r="I10" s="9">
        <v>1.0</v>
      </c>
      <c r="J10" s="5">
        <f t="shared" ref="J10:K10" si="15">B10+D10+F10+H10</f>
        <v>4</v>
      </c>
      <c r="K10" s="4">
        <f t="shared" si="15"/>
        <v>5</v>
      </c>
      <c r="L10" s="10">
        <f t="shared" si="3"/>
        <v>44.4</v>
      </c>
      <c r="M10" s="10">
        <f t="shared" si="4"/>
        <v>100</v>
      </c>
      <c r="N10" s="10">
        <f t="shared" si="5"/>
        <v>50</v>
      </c>
      <c r="O10" s="10">
        <f t="shared" si="6"/>
        <v>40</v>
      </c>
      <c r="P10" s="10">
        <f t="shared" si="7"/>
        <v>0</v>
      </c>
      <c r="Q10" s="11">
        <f t="shared" si="8"/>
        <v>9</v>
      </c>
      <c r="R10" s="9">
        <v>0.0</v>
      </c>
      <c r="S10" s="12">
        <v>45453.709027777775</v>
      </c>
      <c r="T10" s="4"/>
      <c r="U10" s="4"/>
      <c r="V10" s="4"/>
      <c r="W10" s="4"/>
      <c r="X10" s="4"/>
      <c r="Y10" s="4"/>
    </row>
    <row r="11">
      <c r="A11" s="5" t="s">
        <v>53</v>
      </c>
      <c r="B11" s="9">
        <v>2.0</v>
      </c>
      <c r="C11" s="9">
        <v>2.0</v>
      </c>
      <c r="D11" s="9">
        <v>0.0</v>
      </c>
      <c r="E11" s="9">
        <v>2.0</v>
      </c>
      <c r="F11" s="9">
        <v>0.0</v>
      </c>
      <c r="G11" s="9">
        <v>0.0</v>
      </c>
      <c r="H11" s="9">
        <v>1.0</v>
      </c>
      <c r="I11" s="9">
        <v>1.0</v>
      </c>
      <c r="J11" s="5">
        <f t="shared" ref="J11:K11" si="16">B11+D11+F11+H11</f>
        <v>3</v>
      </c>
      <c r="K11" s="4">
        <f t="shared" si="16"/>
        <v>5</v>
      </c>
      <c r="L11" s="10">
        <f t="shared" si="3"/>
        <v>37.5</v>
      </c>
      <c r="M11" s="10">
        <f t="shared" si="4"/>
        <v>50</v>
      </c>
      <c r="N11" s="10">
        <f t="shared" si="5"/>
        <v>0</v>
      </c>
      <c r="O11" s="10">
        <f t="shared" si="6"/>
        <v>0</v>
      </c>
      <c r="P11" s="10">
        <f t="shared" si="7"/>
        <v>50</v>
      </c>
      <c r="Q11" s="11">
        <f t="shared" si="8"/>
        <v>10</v>
      </c>
      <c r="R11" s="9">
        <v>0.0</v>
      </c>
      <c r="S11" s="12">
        <v>45454.02847222222</v>
      </c>
      <c r="T11" s="4"/>
      <c r="U11" s="4"/>
      <c r="V11" s="4"/>
      <c r="W11" s="4"/>
      <c r="X11" s="4"/>
      <c r="Y11" s="4"/>
    </row>
    <row r="12">
      <c r="A12" s="5" t="s">
        <v>27</v>
      </c>
      <c r="B12" s="9">
        <v>0.0</v>
      </c>
      <c r="C12" s="9">
        <v>0.0</v>
      </c>
      <c r="D12" s="9">
        <v>0.0</v>
      </c>
      <c r="E12" s="9">
        <v>0.0</v>
      </c>
      <c r="F12" s="5">
        <v>2.0</v>
      </c>
      <c r="G12" s="5">
        <v>0.0</v>
      </c>
      <c r="H12" s="9">
        <v>0.0</v>
      </c>
      <c r="I12" s="9">
        <v>0.0</v>
      </c>
      <c r="J12" s="5">
        <f t="shared" ref="J12:K12" si="17">B12+D12+F12+H12</f>
        <v>2</v>
      </c>
      <c r="K12" s="4">
        <f t="shared" si="17"/>
        <v>0</v>
      </c>
      <c r="L12" s="10">
        <f t="shared" si="3"/>
        <v>100</v>
      </c>
      <c r="M12" s="10">
        <f t="shared" si="4"/>
        <v>0</v>
      </c>
      <c r="N12" s="10">
        <f t="shared" si="5"/>
        <v>0</v>
      </c>
      <c r="O12" s="10">
        <f t="shared" si="6"/>
        <v>100</v>
      </c>
      <c r="P12" s="10">
        <f t="shared" si="7"/>
        <v>0</v>
      </c>
      <c r="Q12" s="11">
        <f t="shared" si="8"/>
        <v>11</v>
      </c>
      <c r="R12" s="9">
        <v>0.0</v>
      </c>
      <c r="S12" s="12">
        <v>45451.700694444444</v>
      </c>
      <c r="T12" s="4"/>
      <c r="U12" s="4"/>
      <c r="V12" s="4"/>
      <c r="W12" s="4"/>
      <c r="X12" s="4"/>
      <c r="Y12" s="4"/>
    </row>
    <row r="13">
      <c r="A13" s="5" t="s">
        <v>48</v>
      </c>
      <c r="B13" s="9">
        <v>1.0</v>
      </c>
      <c r="C13" s="9">
        <v>0.0</v>
      </c>
      <c r="D13" s="9">
        <v>0.0</v>
      </c>
      <c r="E13" s="9">
        <v>0.0</v>
      </c>
      <c r="F13" s="9">
        <v>1.0</v>
      </c>
      <c r="G13" s="9">
        <v>0.0</v>
      </c>
      <c r="H13" s="9">
        <v>0.0</v>
      </c>
      <c r="I13" s="9">
        <v>1.0</v>
      </c>
      <c r="J13" s="5">
        <f t="shared" ref="J13:K13" si="18">B13+D13+F13+H13</f>
        <v>2</v>
      </c>
      <c r="K13" s="4">
        <f t="shared" si="18"/>
        <v>1</v>
      </c>
      <c r="L13" s="10">
        <f t="shared" si="3"/>
        <v>66.7</v>
      </c>
      <c r="M13" s="10">
        <f t="shared" si="4"/>
        <v>100</v>
      </c>
      <c r="N13" s="10">
        <f t="shared" si="5"/>
        <v>0</v>
      </c>
      <c r="O13" s="10">
        <f t="shared" si="6"/>
        <v>100</v>
      </c>
      <c r="P13" s="10">
        <f t="shared" si="7"/>
        <v>0</v>
      </c>
      <c r="Q13" s="11">
        <f t="shared" si="8"/>
        <v>12</v>
      </c>
      <c r="R13" s="9">
        <v>0.0</v>
      </c>
      <c r="S13" s="12">
        <v>45452.07916666667</v>
      </c>
      <c r="T13" s="4"/>
      <c r="U13" s="4"/>
      <c r="V13" s="4"/>
      <c r="W13" s="4"/>
      <c r="X13" s="4"/>
      <c r="Y13" s="4"/>
    </row>
    <row r="14">
      <c r="A14" s="5" t="s">
        <v>9711</v>
      </c>
      <c r="B14" s="5">
        <v>0.0</v>
      </c>
      <c r="C14" s="9">
        <v>0.0</v>
      </c>
      <c r="D14" s="9">
        <v>0.0</v>
      </c>
      <c r="E14" s="9">
        <v>2.0</v>
      </c>
      <c r="F14" s="9">
        <v>0.0</v>
      </c>
      <c r="G14" s="9">
        <v>1.0</v>
      </c>
      <c r="H14" s="9">
        <v>2.0</v>
      </c>
      <c r="I14" s="9">
        <v>3.0</v>
      </c>
      <c r="J14" s="5">
        <f t="shared" ref="J14:K14" si="19">B14+D14+F14+H14</f>
        <v>2</v>
      </c>
      <c r="K14" s="4">
        <f t="shared" si="19"/>
        <v>6</v>
      </c>
      <c r="L14" s="10">
        <f t="shared" si="3"/>
        <v>25</v>
      </c>
      <c r="M14" s="10">
        <f t="shared" si="4"/>
        <v>0</v>
      </c>
      <c r="N14" s="10">
        <f t="shared" si="5"/>
        <v>0</v>
      </c>
      <c r="O14" s="10">
        <f t="shared" si="6"/>
        <v>0</v>
      </c>
      <c r="P14" s="10">
        <f t="shared" si="7"/>
        <v>40</v>
      </c>
      <c r="Q14" s="11">
        <f t="shared" si="8"/>
        <v>13</v>
      </c>
      <c r="R14" s="9">
        <v>0.0</v>
      </c>
      <c r="S14" s="12">
        <v>45454.02847222222</v>
      </c>
      <c r="T14" s="4"/>
      <c r="U14" s="4"/>
      <c r="V14" s="4"/>
      <c r="W14" s="4"/>
      <c r="X14" s="4"/>
      <c r="Y14" s="4"/>
    </row>
    <row r="15">
      <c r="A15" s="5" t="s">
        <v>9762</v>
      </c>
      <c r="B15" s="9">
        <v>0.0</v>
      </c>
      <c r="C15" s="9">
        <v>1.0</v>
      </c>
      <c r="D15" s="9">
        <v>0.0</v>
      </c>
      <c r="E15" s="9">
        <v>0.0</v>
      </c>
      <c r="F15" s="9">
        <v>1.0</v>
      </c>
      <c r="G15" s="9">
        <v>1.0</v>
      </c>
      <c r="H15" s="9">
        <v>0.0</v>
      </c>
      <c r="I15" s="9">
        <v>1.0</v>
      </c>
      <c r="J15" s="5">
        <f t="shared" ref="J15:K15" si="20">B15+D15+F15+H15</f>
        <v>1</v>
      </c>
      <c r="K15" s="4">
        <f t="shared" si="20"/>
        <v>3</v>
      </c>
      <c r="L15" s="10">
        <f t="shared" si="3"/>
        <v>25</v>
      </c>
      <c r="M15" s="10">
        <f t="shared" si="4"/>
        <v>0</v>
      </c>
      <c r="N15" s="10">
        <f t="shared" si="5"/>
        <v>0</v>
      </c>
      <c r="O15" s="10">
        <f t="shared" si="6"/>
        <v>50</v>
      </c>
      <c r="P15" s="10">
        <f t="shared" si="7"/>
        <v>0</v>
      </c>
      <c r="Q15" s="11">
        <f t="shared" si="8"/>
        <v>14</v>
      </c>
      <c r="R15" s="9">
        <v>0.0</v>
      </c>
      <c r="S15" s="12">
        <v>45453.73541666667</v>
      </c>
      <c r="T15" s="4"/>
      <c r="U15" s="4"/>
      <c r="V15" s="4"/>
      <c r="W15" s="4"/>
      <c r="X15" s="4"/>
      <c r="Y15" s="4"/>
    </row>
    <row r="16">
      <c r="A16" s="5" t="s">
        <v>9751</v>
      </c>
      <c r="B16" s="9">
        <v>0.0</v>
      </c>
      <c r="C16" s="9">
        <v>0.0</v>
      </c>
      <c r="D16" s="9">
        <v>0.0</v>
      </c>
      <c r="E16" s="9">
        <v>1.0</v>
      </c>
      <c r="F16" s="9">
        <v>0.0</v>
      </c>
      <c r="G16" s="9">
        <v>0.0</v>
      </c>
      <c r="H16" s="9">
        <v>0.0</v>
      </c>
      <c r="I16" s="9">
        <v>1.0</v>
      </c>
      <c r="J16" s="5">
        <f t="shared" ref="J16:K16" si="21">B16+D16+F16+H16</f>
        <v>0</v>
      </c>
      <c r="K16" s="4">
        <f t="shared" si="21"/>
        <v>2</v>
      </c>
      <c r="L16" s="10">
        <f t="shared" si="3"/>
        <v>0</v>
      </c>
      <c r="M16" s="10">
        <f t="shared" si="4"/>
        <v>0</v>
      </c>
      <c r="N16" s="10">
        <f t="shared" si="5"/>
        <v>0</v>
      </c>
      <c r="O16" s="10">
        <f t="shared" si="6"/>
        <v>0</v>
      </c>
      <c r="P16" s="10">
        <f t="shared" si="7"/>
        <v>0</v>
      </c>
      <c r="Q16" s="11">
        <f t="shared" si="8"/>
        <v>15</v>
      </c>
      <c r="R16" s="9">
        <v>0.0</v>
      </c>
      <c r="S16" s="12">
        <v>45451.975694444445</v>
      </c>
      <c r="T16" s="4"/>
      <c r="U16" s="4"/>
      <c r="V16" s="4"/>
      <c r="W16" s="4"/>
      <c r="X16" s="4"/>
      <c r="Y16" s="4"/>
    </row>
    <row r="17">
      <c r="A17" s="5" t="s">
        <v>9775</v>
      </c>
      <c r="B17" s="9">
        <v>0.0</v>
      </c>
      <c r="C17" s="9">
        <v>3.0</v>
      </c>
      <c r="D17" s="9">
        <v>0.0</v>
      </c>
      <c r="E17" s="9">
        <v>0.0</v>
      </c>
      <c r="F17" s="9">
        <v>0.0</v>
      </c>
      <c r="G17" s="9">
        <v>2.0</v>
      </c>
      <c r="H17" s="9">
        <v>0.0</v>
      </c>
      <c r="I17" s="9">
        <v>0.0</v>
      </c>
      <c r="J17" s="5">
        <f t="shared" ref="J17:K17" si="22">B17+D17+F17+H17</f>
        <v>0</v>
      </c>
      <c r="K17" s="4">
        <f t="shared" si="22"/>
        <v>5</v>
      </c>
      <c r="L17" s="10">
        <f t="shared" si="3"/>
        <v>0</v>
      </c>
      <c r="M17" s="10">
        <f t="shared" si="4"/>
        <v>0</v>
      </c>
      <c r="N17" s="10">
        <f t="shared" si="5"/>
        <v>0</v>
      </c>
      <c r="O17" s="10">
        <f t="shared" si="6"/>
        <v>0</v>
      </c>
      <c r="P17" s="10">
        <f t="shared" si="7"/>
        <v>0</v>
      </c>
      <c r="Q17" s="11">
        <f t="shared" si="8"/>
        <v>16</v>
      </c>
      <c r="R17" s="9">
        <v>0.0</v>
      </c>
      <c r="S17" s="12">
        <v>45453.16527777778</v>
      </c>
      <c r="T17" s="4"/>
      <c r="U17" s="4"/>
      <c r="V17" s="4"/>
      <c r="W17" s="4"/>
      <c r="X17" s="4"/>
      <c r="Y17" s="4"/>
    </row>
    <row r="18">
      <c r="A18" s="5" t="s">
        <v>46</v>
      </c>
      <c r="B18" s="5">
        <v>0.0</v>
      </c>
      <c r="C18" s="5">
        <v>0.0</v>
      </c>
      <c r="D18" s="9">
        <v>0.0</v>
      </c>
      <c r="E18" s="9">
        <v>0.0</v>
      </c>
      <c r="F18" s="9">
        <v>0.0</v>
      </c>
      <c r="G18" s="9">
        <v>0.0</v>
      </c>
      <c r="H18" s="5">
        <v>0.0</v>
      </c>
      <c r="I18" s="5">
        <v>0.0</v>
      </c>
      <c r="J18" s="5">
        <f t="shared" ref="J18:K18" si="23">B18+D18+F18+H18</f>
        <v>0</v>
      </c>
      <c r="K18" s="4">
        <f t="shared" si="23"/>
        <v>0</v>
      </c>
      <c r="L18" s="10">
        <f t="shared" si="3"/>
        <v>0</v>
      </c>
      <c r="M18" s="10">
        <f t="shared" si="4"/>
        <v>0</v>
      </c>
      <c r="N18" s="10">
        <f t="shared" si="5"/>
        <v>0</v>
      </c>
      <c r="O18" s="10">
        <f t="shared" si="6"/>
        <v>0</v>
      </c>
      <c r="P18" s="10">
        <f t="shared" si="7"/>
        <v>0</v>
      </c>
      <c r="Q18" s="11">
        <f t="shared" si="8"/>
        <v>17</v>
      </c>
      <c r="R18" s="5">
        <v>-1.0</v>
      </c>
      <c r="S18" s="12">
        <v>45450.959027777775</v>
      </c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4"/>
      <c r="V1" s="4"/>
      <c r="W1" s="4"/>
      <c r="X1" s="4"/>
      <c r="Y1" s="4"/>
    </row>
    <row r="2">
      <c r="A2" s="5" t="s">
        <v>35</v>
      </c>
      <c r="B2" s="9">
        <v>10.0</v>
      </c>
      <c r="C2" s="9">
        <v>4.0</v>
      </c>
      <c r="D2" s="5">
        <v>13.0</v>
      </c>
      <c r="E2" s="9">
        <v>4.0</v>
      </c>
      <c r="F2" s="5">
        <v>13.0</v>
      </c>
      <c r="G2" s="5">
        <v>5.0</v>
      </c>
      <c r="H2" s="5">
        <v>17.0</v>
      </c>
      <c r="I2" s="9">
        <v>6.0</v>
      </c>
      <c r="J2" s="5">
        <f t="shared" ref="J2:K2" si="1">B2+D2+F2+H2</f>
        <v>53</v>
      </c>
      <c r="K2" s="4">
        <f t="shared" si="1"/>
        <v>19</v>
      </c>
      <c r="L2" s="10">
        <f t="shared" ref="L2:L32" si="3">ROUND(IFERROR(J2/(J2+K2),0)*100,1)</f>
        <v>73.6</v>
      </c>
      <c r="M2" s="10">
        <f t="shared" ref="M2:M32" si="4">ROUND(IFERROR(B2/(B2+C2),0)*100,1)</f>
        <v>71.4</v>
      </c>
      <c r="N2" s="10">
        <f t="shared" ref="N2:N32" si="5">ROUND(IFERROR(D2/(D2+E2),0)*100,1)</f>
        <v>76.5</v>
      </c>
      <c r="O2" s="10">
        <f t="shared" ref="O2:O32" si="6">ROUND(IFERROR(F2/(F2+G2),0)*100,1)</f>
        <v>72.2</v>
      </c>
      <c r="P2" s="10">
        <f t="shared" ref="P2:P32" si="7">ROUND(IFERROR(H2/(I2+H2),0)*100,1)</f>
        <v>73.9</v>
      </c>
      <c r="Q2" s="11">
        <f t="shared" ref="Q2:Q32" si="8">ROW()-1</f>
        <v>1</v>
      </c>
      <c r="R2" s="5">
        <v>1202.0</v>
      </c>
      <c r="S2" s="12">
        <v>45473.913194444445</v>
      </c>
      <c r="T2" s="5" t="s">
        <v>25</v>
      </c>
      <c r="U2" s="4"/>
      <c r="V2" s="4"/>
      <c r="W2" s="4"/>
      <c r="X2" s="4"/>
      <c r="Y2" s="4"/>
    </row>
    <row r="3">
      <c r="A3" s="5" t="s">
        <v>30</v>
      </c>
      <c r="B3" s="5">
        <v>13.0</v>
      </c>
      <c r="C3" s="9">
        <v>9.0</v>
      </c>
      <c r="D3" s="9">
        <v>13.0</v>
      </c>
      <c r="E3" s="5">
        <v>10.0</v>
      </c>
      <c r="F3" s="9">
        <v>24.0</v>
      </c>
      <c r="G3" s="5">
        <v>9.0</v>
      </c>
      <c r="H3" s="9">
        <v>11.0</v>
      </c>
      <c r="I3" s="9">
        <v>9.0</v>
      </c>
      <c r="J3" s="5">
        <f t="shared" ref="J3:K3" si="2">B3+D3+F3+H3</f>
        <v>61</v>
      </c>
      <c r="K3" s="4">
        <f t="shared" si="2"/>
        <v>37</v>
      </c>
      <c r="L3" s="10">
        <f t="shared" si="3"/>
        <v>62.2</v>
      </c>
      <c r="M3" s="10">
        <f t="shared" si="4"/>
        <v>59.1</v>
      </c>
      <c r="N3" s="10">
        <f t="shared" si="5"/>
        <v>56.5</v>
      </c>
      <c r="O3" s="10">
        <f t="shared" si="6"/>
        <v>72.7</v>
      </c>
      <c r="P3" s="10">
        <f t="shared" si="7"/>
        <v>55</v>
      </c>
      <c r="Q3" s="11">
        <f t="shared" si="8"/>
        <v>2</v>
      </c>
      <c r="R3" s="5">
        <v>1173.0</v>
      </c>
      <c r="S3" s="12">
        <v>45474.010416666664</v>
      </c>
      <c r="T3" s="5" t="s">
        <v>25</v>
      </c>
      <c r="U3" s="4"/>
      <c r="V3" s="4"/>
      <c r="W3" s="4"/>
      <c r="X3" s="4"/>
      <c r="Y3" s="4"/>
    </row>
    <row r="4">
      <c r="A4" s="5" t="s">
        <v>27</v>
      </c>
      <c r="B4" s="9">
        <v>4.0</v>
      </c>
      <c r="C4" s="9">
        <v>3.0</v>
      </c>
      <c r="D4" s="9">
        <v>6.0</v>
      </c>
      <c r="E4" s="9">
        <v>3.0</v>
      </c>
      <c r="F4" s="9">
        <v>5.0</v>
      </c>
      <c r="G4" s="9">
        <v>2.0</v>
      </c>
      <c r="H4" s="9">
        <v>0.0</v>
      </c>
      <c r="I4" s="9">
        <v>0.0</v>
      </c>
      <c r="J4" s="5">
        <f t="shared" ref="J4:K4" si="9">B4+D4+F4+H4</f>
        <v>15</v>
      </c>
      <c r="K4" s="4">
        <f t="shared" si="9"/>
        <v>8</v>
      </c>
      <c r="L4" s="10">
        <f t="shared" si="3"/>
        <v>65.2</v>
      </c>
      <c r="M4" s="10">
        <f t="shared" si="4"/>
        <v>57.1</v>
      </c>
      <c r="N4" s="10">
        <f t="shared" si="5"/>
        <v>66.7</v>
      </c>
      <c r="O4" s="10">
        <f t="shared" si="6"/>
        <v>71.4</v>
      </c>
      <c r="P4" s="10">
        <f t="shared" si="7"/>
        <v>0</v>
      </c>
      <c r="Q4" s="11">
        <f t="shared" si="8"/>
        <v>3</v>
      </c>
      <c r="R4" s="9">
        <v>1168.0</v>
      </c>
      <c r="S4" s="12">
        <v>45474.010416666664</v>
      </c>
      <c r="T4" s="5" t="s">
        <v>25</v>
      </c>
      <c r="U4" s="4"/>
      <c r="V4" s="4"/>
      <c r="W4" s="4"/>
      <c r="X4" s="4"/>
      <c r="Y4" s="4"/>
    </row>
    <row r="5">
      <c r="A5" s="5" t="s">
        <v>36</v>
      </c>
      <c r="B5" s="5">
        <v>16.0</v>
      </c>
      <c r="C5" s="9">
        <v>15.0</v>
      </c>
      <c r="D5" s="5">
        <v>8.0</v>
      </c>
      <c r="E5" s="5">
        <v>13.0</v>
      </c>
      <c r="F5" s="9">
        <v>13.0</v>
      </c>
      <c r="G5" s="9">
        <v>7.0</v>
      </c>
      <c r="H5" s="5">
        <v>16.0</v>
      </c>
      <c r="I5" s="9">
        <v>11.0</v>
      </c>
      <c r="J5" s="5">
        <f t="shared" ref="J5:K5" si="10">B5+D5+F5+H5</f>
        <v>53</v>
      </c>
      <c r="K5" s="4">
        <f t="shared" si="10"/>
        <v>46</v>
      </c>
      <c r="L5" s="10">
        <f t="shared" si="3"/>
        <v>53.5</v>
      </c>
      <c r="M5" s="10">
        <f t="shared" si="4"/>
        <v>51.6</v>
      </c>
      <c r="N5" s="10">
        <f t="shared" si="5"/>
        <v>38.1</v>
      </c>
      <c r="O5" s="10">
        <f t="shared" si="6"/>
        <v>65</v>
      </c>
      <c r="P5" s="10">
        <f t="shared" si="7"/>
        <v>59.3</v>
      </c>
      <c r="Q5" s="11">
        <f t="shared" si="8"/>
        <v>4</v>
      </c>
      <c r="R5" s="5">
        <v>1154.0</v>
      </c>
      <c r="S5" s="12">
        <v>45474.010416666664</v>
      </c>
      <c r="T5" s="5" t="s">
        <v>25</v>
      </c>
      <c r="U5" s="4"/>
      <c r="V5" s="4"/>
      <c r="W5" s="4"/>
      <c r="X5" s="4"/>
      <c r="Y5" s="4"/>
    </row>
    <row r="6">
      <c r="A6" s="5" t="s">
        <v>9694</v>
      </c>
      <c r="B6" s="9">
        <v>8.0</v>
      </c>
      <c r="C6" s="5">
        <v>3.0</v>
      </c>
      <c r="D6" s="9">
        <v>3.0</v>
      </c>
      <c r="E6" s="9">
        <v>4.0</v>
      </c>
      <c r="F6" s="9">
        <v>2.0</v>
      </c>
      <c r="G6" s="9">
        <v>4.0</v>
      </c>
      <c r="H6" s="9">
        <v>5.0</v>
      </c>
      <c r="I6" s="9">
        <v>2.0</v>
      </c>
      <c r="J6" s="5">
        <f t="shared" ref="J6:K6" si="11">B6+D6+F6+H6</f>
        <v>18</v>
      </c>
      <c r="K6" s="4">
        <f t="shared" si="11"/>
        <v>13</v>
      </c>
      <c r="L6" s="10">
        <f t="shared" si="3"/>
        <v>58.1</v>
      </c>
      <c r="M6" s="10">
        <f t="shared" si="4"/>
        <v>72.7</v>
      </c>
      <c r="N6" s="10">
        <f t="shared" si="5"/>
        <v>42.9</v>
      </c>
      <c r="O6" s="10">
        <f t="shared" si="6"/>
        <v>33.3</v>
      </c>
      <c r="P6" s="10">
        <f t="shared" si="7"/>
        <v>71.4</v>
      </c>
      <c r="Q6" s="11">
        <f t="shared" si="8"/>
        <v>5</v>
      </c>
      <c r="R6" s="9">
        <v>1142.0</v>
      </c>
      <c r="S6" s="12">
        <v>45474.010416666664</v>
      </c>
      <c r="T6" s="5" t="s">
        <v>25</v>
      </c>
      <c r="U6" s="27"/>
      <c r="V6" s="27"/>
      <c r="W6" s="27"/>
      <c r="X6" s="4"/>
      <c r="Y6" s="4"/>
    </row>
    <row r="7">
      <c r="A7" s="5" t="s">
        <v>53</v>
      </c>
      <c r="B7" s="5">
        <v>12.0</v>
      </c>
      <c r="C7" s="9">
        <v>8.0</v>
      </c>
      <c r="D7" s="9">
        <v>6.0</v>
      </c>
      <c r="E7" s="9">
        <v>2.0</v>
      </c>
      <c r="F7" s="9">
        <v>7.0</v>
      </c>
      <c r="G7" s="5">
        <v>13.0</v>
      </c>
      <c r="H7" s="5">
        <v>11.0</v>
      </c>
      <c r="I7" s="5">
        <v>5.0</v>
      </c>
      <c r="J7" s="5">
        <f t="shared" ref="J7:K7" si="12">B7+D7+F7+H7</f>
        <v>36</v>
      </c>
      <c r="K7" s="4">
        <f t="shared" si="12"/>
        <v>28</v>
      </c>
      <c r="L7" s="10">
        <f t="shared" si="3"/>
        <v>56.3</v>
      </c>
      <c r="M7" s="10">
        <f t="shared" si="4"/>
        <v>60</v>
      </c>
      <c r="N7" s="10">
        <f t="shared" si="5"/>
        <v>75</v>
      </c>
      <c r="O7" s="10">
        <f t="shared" si="6"/>
        <v>35</v>
      </c>
      <c r="P7" s="10">
        <f t="shared" si="7"/>
        <v>68.8</v>
      </c>
      <c r="Q7" s="11">
        <f t="shared" si="8"/>
        <v>6</v>
      </c>
      <c r="R7" s="5">
        <v>1120.0</v>
      </c>
      <c r="S7" s="12">
        <v>45472.933333333334</v>
      </c>
      <c r="T7" s="5" t="s">
        <v>25</v>
      </c>
      <c r="U7" s="4"/>
      <c r="V7" s="4"/>
      <c r="W7" s="4"/>
      <c r="X7" s="4"/>
      <c r="Y7" s="4"/>
    </row>
    <row r="8">
      <c r="A8" s="5" t="s">
        <v>9776</v>
      </c>
      <c r="B8" s="5">
        <v>23.0</v>
      </c>
      <c r="C8" s="5">
        <v>5.0</v>
      </c>
      <c r="D8" s="9">
        <v>7.0</v>
      </c>
      <c r="E8" s="9">
        <v>3.0</v>
      </c>
      <c r="F8" s="9">
        <v>3.0</v>
      </c>
      <c r="G8" s="9">
        <v>3.0</v>
      </c>
      <c r="H8" s="5">
        <v>4.0</v>
      </c>
      <c r="I8" s="5">
        <v>3.0</v>
      </c>
      <c r="J8" s="5">
        <f t="shared" ref="J8:K8" si="13">B8+D8+F8+H8</f>
        <v>37</v>
      </c>
      <c r="K8" s="4">
        <f t="shared" si="13"/>
        <v>14</v>
      </c>
      <c r="L8" s="10">
        <f t="shared" si="3"/>
        <v>72.5</v>
      </c>
      <c r="M8" s="10">
        <f t="shared" si="4"/>
        <v>82.1</v>
      </c>
      <c r="N8" s="10">
        <f t="shared" si="5"/>
        <v>70</v>
      </c>
      <c r="O8" s="10">
        <f t="shared" si="6"/>
        <v>50</v>
      </c>
      <c r="P8" s="10">
        <f t="shared" si="7"/>
        <v>57.1</v>
      </c>
      <c r="Q8" s="11">
        <f t="shared" si="8"/>
        <v>7</v>
      </c>
      <c r="R8" s="5">
        <v>1113.0</v>
      </c>
      <c r="S8" s="12">
        <v>45474.010416666664</v>
      </c>
      <c r="T8" s="5" t="s">
        <v>47</v>
      </c>
      <c r="U8" s="4"/>
      <c r="V8" s="4"/>
      <c r="W8" s="4"/>
      <c r="X8" s="4"/>
      <c r="Y8" s="4"/>
    </row>
    <row r="9">
      <c r="A9" s="5" t="s">
        <v>9775</v>
      </c>
      <c r="B9" s="9">
        <v>5.0</v>
      </c>
      <c r="C9" s="9">
        <v>5.0</v>
      </c>
      <c r="D9" s="9">
        <v>0.0</v>
      </c>
      <c r="E9" s="9">
        <v>0.0</v>
      </c>
      <c r="F9" s="9">
        <v>7.0</v>
      </c>
      <c r="G9" s="5">
        <v>9.0</v>
      </c>
      <c r="H9" s="9">
        <v>0.0</v>
      </c>
      <c r="I9" s="9">
        <v>0.0</v>
      </c>
      <c r="J9" s="5">
        <f t="shared" ref="J9:K9" si="14">B9+D9+F9+H9</f>
        <v>12</v>
      </c>
      <c r="K9" s="4">
        <f t="shared" si="14"/>
        <v>14</v>
      </c>
      <c r="L9" s="10">
        <f t="shared" si="3"/>
        <v>46.2</v>
      </c>
      <c r="M9" s="10">
        <f t="shared" si="4"/>
        <v>50</v>
      </c>
      <c r="N9" s="10">
        <f t="shared" si="5"/>
        <v>0</v>
      </c>
      <c r="O9" s="10">
        <f t="shared" si="6"/>
        <v>43.8</v>
      </c>
      <c r="P9" s="10">
        <f t="shared" si="7"/>
        <v>0</v>
      </c>
      <c r="Q9" s="11">
        <f t="shared" si="8"/>
        <v>8</v>
      </c>
      <c r="R9" s="9">
        <v>1099.0</v>
      </c>
      <c r="S9" s="12">
        <v>45471.94236111111</v>
      </c>
      <c r="T9" s="5" t="s">
        <v>25</v>
      </c>
      <c r="U9" s="4"/>
      <c r="V9" s="4"/>
      <c r="W9" s="4"/>
      <c r="X9" s="4"/>
      <c r="Y9" s="4"/>
    </row>
    <row r="10">
      <c r="A10" s="5" t="s">
        <v>9750</v>
      </c>
      <c r="B10" s="9">
        <v>2.0</v>
      </c>
      <c r="C10" s="9">
        <v>2.0</v>
      </c>
      <c r="D10" s="9">
        <v>0.0</v>
      </c>
      <c r="E10" s="9">
        <v>1.0</v>
      </c>
      <c r="F10" s="9">
        <v>0.0</v>
      </c>
      <c r="G10" s="9">
        <v>4.0</v>
      </c>
      <c r="H10" s="5">
        <v>6.0</v>
      </c>
      <c r="I10" s="5">
        <v>2.0</v>
      </c>
      <c r="J10" s="5">
        <f t="shared" ref="J10:K10" si="15">B10+D10+F10+H10</f>
        <v>8</v>
      </c>
      <c r="K10" s="4">
        <f t="shared" si="15"/>
        <v>9</v>
      </c>
      <c r="L10" s="10">
        <f t="shared" si="3"/>
        <v>47.1</v>
      </c>
      <c r="M10" s="10">
        <f t="shared" si="4"/>
        <v>50</v>
      </c>
      <c r="N10" s="10">
        <f t="shared" si="5"/>
        <v>0</v>
      </c>
      <c r="O10" s="10">
        <f t="shared" si="6"/>
        <v>0</v>
      </c>
      <c r="P10" s="10">
        <f t="shared" si="7"/>
        <v>75</v>
      </c>
      <c r="Q10" s="11">
        <f t="shared" si="8"/>
        <v>9</v>
      </c>
      <c r="R10" s="5">
        <v>1080.0</v>
      </c>
      <c r="S10" s="12">
        <v>45472.933333333334</v>
      </c>
      <c r="T10" s="5" t="s">
        <v>25</v>
      </c>
      <c r="U10" s="4"/>
      <c r="V10" s="4"/>
      <c r="W10" s="4"/>
      <c r="X10" s="4"/>
      <c r="Y10" s="4"/>
    </row>
    <row r="11">
      <c r="A11" s="5" t="s">
        <v>9609</v>
      </c>
      <c r="B11" s="9">
        <v>0.0</v>
      </c>
      <c r="C11" s="9">
        <v>1.0</v>
      </c>
      <c r="D11" s="9">
        <v>0.0</v>
      </c>
      <c r="E11" s="9">
        <v>0.0</v>
      </c>
      <c r="F11" s="9">
        <v>3.0</v>
      </c>
      <c r="G11" s="9">
        <v>4.0</v>
      </c>
      <c r="H11" s="9">
        <v>1.0</v>
      </c>
      <c r="I11" s="9">
        <v>2.0</v>
      </c>
      <c r="J11" s="5">
        <f t="shared" ref="J11:K11" si="16">B11+D11+F11+H11</f>
        <v>4</v>
      </c>
      <c r="K11" s="4">
        <f t="shared" si="16"/>
        <v>7</v>
      </c>
      <c r="L11" s="10">
        <f t="shared" si="3"/>
        <v>36.4</v>
      </c>
      <c r="M11" s="10">
        <f t="shared" si="4"/>
        <v>0</v>
      </c>
      <c r="N11" s="10">
        <f t="shared" si="5"/>
        <v>0</v>
      </c>
      <c r="O11" s="10">
        <f t="shared" si="6"/>
        <v>42.9</v>
      </c>
      <c r="P11" s="10">
        <f t="shared" si="7"/>
        <v>33.3</v>
      </c>
      <c r="Q11" s="11">
        <f t="shared" si="8"/>
        <v>10</v>
      </c>
      <c r="R11" s="9">
        <v>1078.0</v>
      </c>
      <c r="S11" s="12">
        <v>45469.86041666667</v>
      </c>
      <c r="T11" s="5" t="s">
        <v>25</v>
      </c>
      <c r="U11" s="4"/>
      <c r="V11" s="4"/>
      <c r="W11" s="4"/>
      <c r="X11" s="4"/>
      <c r="Y11" s="4"/>
    </row>
    <row r="12">
      <c r="A12" s="5" t="s">
        <v>26</v>
      </c>
      <c r="B12" s="9">
        <v>0.0</v>
      </c>
      <c r="C12" s="9">
        <v>0.0</v>
      </c>
      <c r="D12" s="5">
        <v>24.0</v>
      </c>
      <c r="E12" s="5">
        <v>18.0</v>
      </c>
      <c r="F12" s="9">
        <v>0.0</v>
      </c>
      <c r="G12" s="9">
        <v>0.0</v>
      </c>
      <c r="H12" s="5">
        <v>24.0</v>
      </c>
      <c r="I12" s="5">
        <v>27.0</v>
      </c>
      <c r="J12" s="5">
        <f t="shared" ref="J12:K12" si="17">B12+D12+F12+H12</f>
        <v>48</v>
      </c>
      <c r="K12" s="4">
        <f t="shared" si="17"/>
        <v>45</v>
      </c>
      <c r="L12" s="10">
        <f t="shared" si="3"/>
        <v>51.6</v>
      </c>
      <c r="M12" s="10">
        <f t="shared" si="4"/>
        <v>0</v>
      </c>
      <c r="N12" s="10">
        <f t="shared" si="5"/>
        <v>57.1</v>
      </c>
      <c r="O12" s="10">
        <f t="shared" si="6"/>
        <v>0</v>
      </c>
      <c r="P12" s="10">
        <f t="shared" si="7"/>
        <v>47.1</v>
      </c>
      <c r="Q12" s="11">
        <f t="shared" si="8"/>
        <v>11</v>
      </c>
      <c r="R12" s="5">
        <v>1074.0</v>
      </c>
      <c r="S12" s="12">
        <v>45472.04791666667</v>
      </c>
      <c r="T12" s="5" t="s">
        <v>25</v>
      </c>
      <c r="U12" s="4"/>
      <c r="V12" s="4"/>
      <c r="W12" s="4"/>
      <c r="X12" s="4"/>
      <c r="Y12" s="4"/>
    </row>
    <row r="13">
      <c r="A13" s="5" t="s">
        <v>9774</v>
      </c>
      <c r="B13" s="9">
        <v>1.0</v>
      </c>
      <c r="C13" s="5">
        <v>4.0</v>
      </c>
      <c r="D13" s="9">
        <v>3.0</v>
      </c>
      <c r="E13" s="9">
        <v>2.0</v>
      </c>
      <c r="F13" s="5">
        <v>5.0</v>
      </c>
      <c r="G13" s="5">
        <v>5.0</v>
      </c>
      <c r="H13" s="9">
        <v>0.0</v>
      </c>
      <c r="I13" s="9">
        <v>0.0</v>
      </c>
      <c r="J13" s="5">
        <f t="shared" ref="J13:K13" si="18">B13+D13+F13+H13</f>
        <v>9</v>
      </c>
      <c r="K13" s="4">
        <f t="shared" si="18"/>
        <v>11</v>
      </c>
      <c r="L13" s="10">
        <f t="shared" si="3"/>
        <v>45</v>
      </c>
      <c r="M13" s="10">
        <f t="shared" si="4"/>
        <v>20</v>
      </c>
      <c r="N13" s="10">
        <f t="shared" si="5"/>
        <v>60</v>
      </c>
      <c r="O13" s="10">
        <f t="shared" si="6"/>
        <v>50</v>
      </c>
      <c r="P13" s="10">
        <f t="shared" si="7"/>
        <v>0</v>
      </c>
      <c r="Q13" s="11">
        <f t="shared" si="8"/>
        <v>12</v>
      </c>
      <c r="R13" s="5">
        <v>1072.0</v>
      </c>
      <c r="S13" s="12">
        <v>45472.933333333334</v>
      </c>
      <c r="T13" s="5" t="s">
        <v>25</v>
      </c>
      <c r="U13" s="4"/>
      <c r="V13" s="4"/>
      <c r="W13" s="4"/>
      <c r="X13" s="4"/>
      <c r="Y13" s="4"/>
    </row>
    <row r="14">
      <c r="A14" s="5" t="s">
        <v>9705</v>
      </c>
      <c r="B14" s="9">
        <v>0.0</v>
      </c>
      <c r="C14" s="9">
        <v>0.0</v>
      </c>
      <c r="D14" s="9">
        <v>2.0</v>
      </c>
      <c r="E14" s="9">
        <v>1.0</v>
      </c>
      <c r="F14" s="9">
        <v>0.0</v>
      </c>
      <c r="G14" s="9">
        <v>0.0</v>
      </c>
      <c r="H14" s="5">
        <v>1.0</v>
      </c>
      <c r="I14" s="9">
        <v>6.0</v>
      </c>
      <c r="J14" s="5">
        <f t="shared" ref="J14:K14" si="19">B14+D14+F14+H14</f>
        <v>3</v>
      </c>
      <c r="K14" s="4">
        <f t="shared" si="19"/>
        <v>7</v>
      </c>
      <c r="L14" s="10">
        <f t="shared" si="3"/>
        <v>30</v>
      </c>
      <c r="M14" s="10">
        <f t="shared" si="4"/>
        <v>0</v>
      </c>
      <c r="N14" s="10">
        <f t="shared" si="5"/>
        <v>66.7</v>
      </c>
      <c r="O14" s="10">
        <f t="shared" si="6"/>
        <v>0</v>
      </c>
      <c r="P14" s="10">
        <f t="shared" si="7"/>
        <v>14.3</v>
      </c>
      <c r="Q14" s="11">
        <f t="shared" si="8"/>
        <v>13</v>
      </c>
      <c r="R14" s="9">
        <v>1060.0</v>
      </c>
      <c r="S14" s="12">
        <v>45469.979166666664</v>
      </c>
      <c r="T14" s="5" t="s">
        <v>25</v>
      </c>
      <c r="U14" s="4"/>
      <c r="V14" s="4"/>
      <c r="W14" s="4"/>
      <c r="X14" s="4"/>
      <c r="Y14" s="4"/>
    </row>
    <row r="15">
      <c r="A15" s="5" t="s">
        <v>9706</v>
      </c>
      <c r="B15" s="9">
        <v>4.0</v>
      </c>
      <c r="C15" s="9">
        <v>4.0</v>
      </c>
      <c r="D15" s="9">
        <v>2.0</v>
      </c>
      <c r="E15" s="9">
        <v>4.0</v>
      </c>
      <c r="F15" s="9">
        <v>2.0</v>
      </c>
      <c r="G15" s="9">
        <v>3.0</v>
      </c>
      <c r="H15" s="9">
        <v>2.0</v>
      </c>
      <c r="I15" s="9">
        <v>6.0</v>
      </c>
      <c r="J15" s="5">
        <f t="shared" ref="J15:K15" si="20">B15+D15+F15+H15</f>
        <v>10</v>
      </c>
      <c r="K15" s="4">
        <f t="shared" si="20"/>
        <v>17</v>
      </c>
      <c r="L15" s="10">
        <f t="shared" si="3"/>
        <v>37</v>
      </c>
      <c r="M15" s="10">
        <f t="shared" si="4"/>
        <v>50</v>
      </c>
      <c r="N15" s="10">
        <f t="shared" si="5"/>
        <v>33.3</v>
      </c>
      <c r="O15" s="10">
        <f t="shared" si="6"/>
        <v>40</v>
      </c>
      <c r="P15" s="10">
        <f t="shared" si="7"/>
        <v>25</v>
      </c>
      <c r="Q15" s="11">
        <f t="shared" si="8"/>
        <v>14</v>
      </c>
      <c r="R15" s="9">
        <v>1056.0</v>
      </c>
      <c r="S15" s="12">
        <v>45472.02638888889</v>
      </c>
      <c r="T15" s="5" t="s">
        <v>25</v>
      </c>
      <c r="U15" s="4"/>
      <c r="V15" s="4"/>
      <c r="W15" s="4"/>
      <c r="X15" s="4"/>
      <c r="Y15" s="4"/>
    </row>
    <row r="16">
      <c r="A16" s="5" t="s">
        <v>60</v>
      </c>
      <c r="B16" s="9">
        <v>15.0</v>
      </c>
      <c r="C16" s="5">
        <v>11.0</v>
      </c>
      <c r="D16" s="9">
        <v>6.0</v>
      </c>
      <c r="E16" s="9">
        <v>14.0</v>
      </c>
      <c r="F16" s="5">
        <v>10.0</v>
      </c>
      <c r="G16" s="9">
        <v>13.0</v>
      </c>
      <c r="H16" s="9">
        <v>8.0</v>
      </c>
      <c r="I16" s="5">
        <v>19.0</v>
      </c>
      <c r="J16" s="5">
        <f t="shared" ref="J16:K16" si="21">B16+D16+F16+H16</f>
        <v>39</v>
      </c>
      <c r="K16" s="4">
        <f t="shared" si="21"/>
        <v>57</v>
      </c>
      <c r="L16" s="10">
        <f t="shared" si="3"/>
        <v>40.6</v>
      </c>
      <c r="M16" s="10">
        <f t="shared" si="4"/>
        <v>57.7</v>
      </c>
      <c r="N16" s="10">
        <f t="shared" si="5"/>
        <v>30</v>
      </c>
      <c r="O16" s="10">
        <f t="shared" si="6"/>
        <v>43.5</v>
      </c>
      <c r="P16" s="10">
        <f t="shared" si="7"/>
        <v>29.6</v>
      </c>
      <c r="Q16" s="11">
        <f t="shared" si="8"/>
        <v>15</v>
      </c>
      <c r="R16" s="5">
        <v>1039.0</v>
      </c>
      <c r="S16" s="12">
        <v>45474.010416666664</v>
      </c>
      <c r="T16" s="5" t="s">
        <v>25</v>
      </c>
      <c r="U16" s="4"/>
      <c r="V16" s="4"/>
      <c r="W16" s="4"/>
      <c r="X16" s="4"/>
      <c r="Y16" s="4"/>
    </row>
    <row r="17">
      <c r="A17" s="5" t="s">
        <v>34</v>
      </c>
      <c r="B17" s="9">
        <v>17.0</v>
      </c>
      <c r="C17" s="5">
        <v>23.0</v>
      </c>
      <c r="D17" s="5">
        <v>20.0</v>
      </c>
      <c r="E17" s="9">
        <v>20.0</v>
      </c>
      <c r="F17" s="5">
        <v>13.0</v>
      </c>
      <c r="G17" s="5">
        <v>22.0</v>
      </c>
      <c r="H17" s="9">
        <v>3.0</v>
      </c>
      <c r="I17" s="9">
        <v>6.0</v>
      </c>
      <c r="J17" s="5">
        <f t="shared" ref="J17:K17" si="22">B17+D17+F17+H17</f>
        <v>53</v>
      </c>
      <c r="K17" s="4">
        <f t="shared" si="22"/>
        <v>71</v>
      </c>
      <c r="L17" s="10">
        <f t="shared" si="3"/>
        <v>42.7</v>
      </c>
      <c r="M17" s="10">
        <f t="shared" si="4"/>
        <v>42.5</v>
      </c>
      <c r="N17" s="10">
        <f t="shared" si="5"/>
        <v>50</v>
      </c>
      <c r="O17" s="10">
        <f t="shared" si="6"/>
        <v>37.1</v>
      </c>
      <c r="P17" s="10">
        <f t="shared" si="7"/>
        <v>33.3</v>
      </c>
      <c r="Q17" s="11">
        <f t="shared" si="8"/>
        <v>16</v>
      </c>
      <c r="R17" s="5">
        <v>1031.0</v>
      </c>
      <c r="S17" s="12">
        <v>45474.010416666664</v>
      </c>
      <c r="T17" s="5" t="s">
        <v>25</v>
      </c>
      <c r="U17" s="4"/>
      <c r="V17" s="4"/>
      <c r="W17" s="4"/>
      <c r="X17" s="4"/>
      <c r="Y17" s="4"/>
    </row>
    <row r="18">
      <c r="A18" s="5" t="s">
        <v>9722</v>
      </c>
      <c r="B18" s="5">
        <v>3.0</v>
      </c>
      <c r="C18" s="5">
        <v>4.0</v>
      </c>
      <c r="D18" s="9">
        <v>3.0</v>
      </c>
      <c r="E18" s="9">
        <v>3.0</v>
      </c>
      <c r="F18" s="9">
        <v>5.0</v>
      </c>
      <c r="G18" s="9">
        <v>5.0</v>
      </c>
      <c r="H18" s="9">
        <v>3.0</v>
      </c>
      <c r="I18" s="9">
        <v>9.0</v>
      </c>
      <c r="J18" s="5">
        <f t="shared" ref="J18:K18" si="23">B18+D18+F18+H18</f>
        <v>14</v>
      </c>
      <c r="K18" s="4">
        <f t="shared" si="23"/>
        <v>21</v>
      </c>
      <c r="L18" s="10">
        <f t="shared" si="3"/>
        <v>40</v>
      </c>
      <c r="M18" s="10">
        <f t="shared" si="4"/>
        <v>42.9</v>
      </c>
      <c r="N18" s="10">
        <f t="shared" si="5"/>
        <v>50</v>
      </c>
      <c r="O18" s="10">
        <f t="shared" si="6"/>
        <v>50</v>
      </c>
      <c r="P18" s="10">
        <f t="shared" si="7"/>
        <v>25</v>
      </c>
      <c r="Q18" s="11">
        <f t="shared" si="8"/>
        <v>17</v>
      </c>
      <c r="R18" s="5">
        <v>996.0</v>
      </c>
      <c r="S18" s="12">
        <v>45471.06458333333</v>
      </c>
      <c r="T18" s="5" t="s">
        <v>25</v>
      </c>
      <c r="U18" s="4"/>
      <c r="V18" s="4"/>
      <c r="W18" s="4"/>
      <c r="X18" s="4"/>
      <c r="Y18" s="4"/>
    </row>
    <row r="19">
      <c r="A19" s="5" t="s">
        <v>9711</v>
      </c>
      <c r="B19" s="9">
        <v>6.0</v>
      </c>
      <c r="C19" s="9">
        <v>15.0</v>
      </c>
      <c r="D19" s="9">
        <v>9.0</v>
      </c>
      <c r="E19" s="9">
        <v>12.0</v>
      </c>
      <c r="F19" s="9">
        <v>6.0</v>
      </c>
      <c r="G19" s="9">
        <v>6.0</v>
      </c>
      <c r="H19" s="9">
        <v>8.0</v>
      </c>
      <c r="I19" s="5">
        <v>12.0</v>
      </c>
      <c r="J19" s="5">
        <f t="shared" ref="J19:K19" si="24">B19+D19+F19+H19</f>
        <v>29</v>
      </c>
      <c r="K19" s="4">
        <f t="shared" si="24"/>
        <v>45</v>
      </c>
      <c r="L19" s="10">
        <f t="shared" si="3"/>
        <v>39.2</v>
      </c>
      <c r="M19" s="10">
        <f t="shared" si="4"/>
        <v>28.6</v>
      </c>
      <c r="N19" s="10">
        <f t="shared" si="5"/>
        <v>42.9</v>
      </c>
      <c r="O19" s="10">
        <f t="shared" si="6"/>
        <v>50</v>
      </c>
      <c r="P19" s="10">
        <f t="shared" si="7"/>
        <v>40</v>
      </c>
      <c r="Q19" s="11">
        <f t="shared" si="8"/>
        <v>18</v>
      </c>
      <c r="R19" s="5">
        <v>961.0</v>
      </c>
      <c r="S19" s="12">
        <v>45474.010416666664</v>
      </c>
      <c r="T19" s="5" t="s">
        <v>25</v>
      </c>
      <c r="U19" s="4"/>
      <c r="V19" s="4"/>
      <c r="W19" s="4"/>
      <c r="X19" s="4"/>
      <c r="Y19" s="4"/>
    </row>
    <row r="20">
      <c r="A20" s="5" t="s">
        <v>9731</v>
      </c>
      <c r="B20" s="9">
        <v>0.0</v>
      </c>
      <c r="C20" s="9">
        <v>0.0</v>
      </c>
      <c r="D20" s="9">
        <v>5.0</v>
      </c>
      <c r="E20" s="5">
        <v>18.0</v>
      </c>
      <c r="F20" s="9">
        <v>6.0</v>
      </c>
      <c r="G20" s="9">
        <v>13.0</v>
      </c>
      <c r="H20" s="9">
        <v>0.0</v>
      </c>
      <c r="I20" s="9">
        <v>0.0</v>
      </c>
      <c r="J20" s="5">
        <f t="shared" ref="J20:K20" si="25">B20+D20+F20+H20</f>
        <v>11</v>
      </c>
      <c r="K20" s="4">
        <f t="shared" si="25"/>
        <v>31</v>
      </c>
      <c r="L20" s="10">
        <f t="shared" si="3"/>
        <v>26.2</v>
      </c>
      <c r="M20" s="10">
        <f t="shared" si="4"/>
        <v>0</v>
      </c>
      <c r="N20" s="10">
        <f t="shared" si="5"/>
        <v>21.7</v>
      </c>
      <c r="O20" s="10">
        <f t="shared" si="6"/>
        <v>31.6</v>
      </c>
      <c r="P20" s="10">
        <f t="shared" si="7"/>
        <v>0</v>
      </c>
      <c r="Q20" s="11">
        <f t="shared" si="8"/>
        <v>19</v>
      </c>
      <c r="R20" s="5">
        <v>927.0</v>
      </c>
      <c r="S20" s="12">
        <v>45473.94930555556</v>
      </c>
      <c r="T20" s="5" t="s">
        <v>25</v>
      </c>
      <c r="U20" s="4"/>
      <c r="V20" s="4"/>
      <c r="W20" s="4"/>
      <c r="X20" s="4"/>
      <c r="Y20" s="4"/>
    </row>
    <row r="21">
      <c r="A21" s="5" t="s">
        <v>9741</v>
      </c>
      <c r="B21" s="9">
        <v>2.0</v>
      </c>
      <c r="C21" s="9">
        <v>2.0</v>
      </c>
      <c r="D21" s="9">
        <v>0.0</v>
      </c>
      <c r="E21" s="9">
        <v>0.0</v>
      </c>
      <c r="F21" s="9">
        <v>1.0</v>
      </c>
      <c r="G21" s="9">
        <v>0.0</v>
      </c>
      <c r="H21" s="9">
        <v>2.0</v>
      </c>
      <c r="I21" s="9">
        <v>2.0</v>
      </c>
      <c r="J21" s="5">
        <f t="shared" ref="J21:K21" si="26">B21+D21+F21+H21</f>
        <v>5</v>
      </c>
      <c r="K21" s="4">
        <f t="shared" si="26"/>
        <v>4</v>
      </c>
      <c r="L21" s="10">
        <f t="shared" si="3"/>
        <v>55.6</v>
      </c>
      <c r="M21" s="10">
        <f t="shared" si="4"/>
        <v>50</v>
      </c>
      <c r="N21" s="10">
        <f t="shared" si="5"/>
        <v>0</v>
      </c>
      <c r="O21" s="10">
        <f t="shared" si="6"/>
        <v>100</v>
      </c>
      <c r="P21" s="10">
        <f t="shared" si="7"/>
        <v>50</v>
      </c>
      <c r="Q21" s="11">
        <f t="shared" si="8"/>
        <v>20</v>
      </c>
      <c r="R21" s="9">
        <v>0.0</v>
      </c>
      <c r="S21" s="12">
        <v>45472.04791666667</v>
      </c>
      <c r="T21" s="5" t="s">
        <v>25</v>
      </c>
      <c r="U21" s="4"/>
      <c r="V21" s="4"/>
      <c r="W21" s="4"/>
      <c r="X21" s="4"/>
      <c r="Y21" s="4"/>
    </row>
    <row r="22">
      <c r="A22" s="5" t="s">
        <v>9743</v>
      </c>
      <c r="B22" s="9">
        <v>1.0</v>
      </c>
      <c r="C22" s="9">
        <v>1.0</v>
      </c>
      <c r="D22" s="9">
        <v>0.0</v>
      </c>
      <c r="E22" s="9">
        <v>0.0</v>
      </c>
      <c r="F22" s="9">
        <v>2.0</v>
      </c>
      <c r="G22" s="9">
        <v>2.0</v>
      </c>
      <c r="H22" s="9">
        <v>1.0</v>
      </c>
      <c r="I22" s="9">
        <v>2.0</v>
      </c>
      <c r="J22" s="5">
        <f t="shared" ref="J22:K22" si="27">B22+D22+F22+H22</f>
        <v>4</v>
      </c>
      <c r="K22" s="4">
        <f t="shared" si="27"/>
        <v>5</v>
      </c>
      <c r="L22" s="10">
        <f t="shared" si="3"/>
        <v>44.4</v>
      </c>
      <c r="M22" s="10">
        <f t="shared" si="4"/>
        <v>50</v>
      </c>
      <c r="N22" s="10">
        <f t="shared" si="5"/>
        <v>0</v>
      </c>
      <c r="O22" s="10">
        <f t="shared" si="6"/>
        <v>50</v>
      </c>
      <c r="P22" s="10">
        <f t="shared" si="7"/>
        <v>33.3</v>
      </c>
      <c r="Q22" s="11">
        <f t="shared" si="8"/>
        <v>21</v>
      </c>
      <c r="R22" s="9">
        <v>0.0</v>
      </c>
      <c r="S22" s="12">
        <v>45469.75625</v>
      </c>
      <c r="T22" s="5" t="s">
        <v>47</v>
      </c>
      <c r="U22" s="4"/>
      <c r="V22" s="4"/>
      <c r="W22" s="4"/>
      <c r="X22" s="4"/>
      <c r="Y22" s="4"/>
    </row>
    <row r="23">
      <c r="A23" s="5" t="s">
        <v>9754</v>
      </c>
      <c r="B23" s="9">
        <v>1.0</v>
      </c>
      <c r="C23" s="9">
        <v>1.0</v>
      </c>
      <c r="D23" s="9">
        <v>0.0</v>
      </c>
      <c r="E23" s="9">
        <v>1.0</v>
      </c>
      <c r="F23" s="9">
        <v>1.0</v>
      </c>
      <c r="G23" s="9">
        <v>2.0</v>
      </c>
      <c r="H23" s="9">
        <v>1.0</v>
      </c>
      <c r="I23" s="9">
        <v>1.0</v>
      </c>
      <c r="J23" s="5">
        <f t="shared" ref="J23:K23" si="28">B23+D23+F23+H23</f>
        <v>3</v>
      </c>
      <c r="K23" s="4">
        <f t="shared" si="28"/>
        <v>5</v>
      </c>
      <c r="L23" s="10">
        <f t="shared" si="3"/>
        <v>37.5</v>
      </c>
      <c r="M23" s="10">
        <f t="shared" si="4"/>
        <v>50</v>
      </c>
      <c r="N23" s="10">
        <f t="shared" si="5"/>
        <v>0</v>
      </c>
      <c r="O23" s="10">
        <f t="shared" si="6"/>
        <v>33.3</v>
      </c>
      <c r="P23" s="10">
        <f t="shared" si="7"/>
        <v>50</v>
      </c>
      <c r="Q23" s="11">
        <f t="shared" si="8"/>
        <v>22</v>
      </c>
      <c r="R23" s="9">
        <v>0.0</v>
      </c>
      <c r="S23" s="12">
        <v>45467.06041666667</v>
      </c>
      <c r="T23" s="5" t="s">
        <v>25</v>
      </c>
      <c r="U23" s="4"/>
      <c r="V23" s="4"/>
      <c r="W23" s="4"/>
      <c r="X23" s="4"/>
      <c r="Y23" s="4"/>
    </row>
    <row r="24">
      <c r="A24" s="5" t="s">
        <v>9736</v>
      </c>
      <c r="B24" s="5">
        <v>0.0</v>
      </c>
      <c r="C24" s="5">
        <v>1.0</v>
      </c>
      <c r="D24" s="9">
        <v>1.0</v>
      </c>
      <c r="E24" s="9">
        <v>1.0</v>
      </c>
      <c r="F24" s="9">
        <v>0.0</v>
      </c>
      <c r="G24" s="5">
        <v>1.0</v>
      </c>
      <c r="H24" s="9">
        <v>2.0</v>
      </c>
      <c r="I24" s="9">
        <v>2.0</v>
      </c>
      <c r="J24" s="5">
        <f t="shared" ref="J24:K24" si="29">B24+D24+F24+H24</f>
        <v>3</v>
      </c>
      <c r="K24" s="4">
        <f t="shared" si="29"/>
        <v>5</v>
      </c>
      <c r="L24" s="10">
        <f t="shared" si="3"/>
        <v>37.5</v>
      </c>
      <c r="M24" s="10">
        <f t="shared" si="4"/>
        <v>0</v>
      </c>
      <c r="N24" s="10">
        <f t="shared" si="5"/>
        <v>50</v>
      </c>
      <c r="O24" s="10">
        <f t="shared" si="6"/>
        <v>0</v>
      </c>
      <c r="P24" s="10">
        <f t="shared" si="7"/>
        <v>50</v>
      </c>
      <c r="Q24" s="11">
        <f t="shared" si="8"/>
        <v>23</v>
      </c>
      <c r="R24" s="9">
        <v>0.0</v>
      </c>
      <c r="S24" s="12">
        <v>45472.933333333334</v>
      </c>
      <c r="T24" s="5" t="s">
        <v>25</v>
      </c>
      <c r="U24" s="4"/>
      <c r="V24" s="4"/>
      <c r="W24" s="4"/>
      <c r="X24" s="4"/>
      <c r="Y24" s="4"/>
    </row>
    <row r="25">
      <c r="A25" s="5" t="s">
        <v>37</v>
      </c>
      <c r="B25" s="9">
        <v>1.0</v>
      </c>
      <c r="C25" s="9">
        <v>0.0</v>
      </c>
      <c r="D25" s="9">
        <v>0.0</v>
      </c>
      <c r="E25" s="9">
        <v>0.0</v>
      </c>
      <c r="F25" s="9">
        <v>1.0</v>
      </c>
      <c r="G25" s="9">
        <v>0.0</v>
      </c>
      <c r="H25" s="9">
        <v>0.0</v>
      </c>
      <c r="I25" s="9">
        <v>0.0</v>
      </c>
      <c r="J25" s="5">
        <f t="shared" ref="J25:K25" si="30">B25+D25+F25+H25</f>
        <v>2</v>
      </c>
      <c r="K25" s="4">
        <f t="shared" si="30"/>
        <v>0</v>
      </c>
      <c r="L25" s="10">
        <f t="shared" si="3"/>
        <v>100</v>
      </c>
      <c r="M25" s="10">
        <f t="shared" si="4"/>
        <v>100</v>
      </c>
      <c r="N25" s="10">
        <f t="shared" si="5"/>
        <v>0</v>
      </c>
      <c r="O25" s="10">
        <f t="shared" si="6"/>
        <v>100</v>
      </c>
      <c r="P25" s="10">
        <f t="shared" si="7"/>
        <v>0</v>
      </c>
      <c r="Q25" s="11">
        <f t="shared" si="8"/>
        <v>24</v>
      </c>
      <c r="R25" s="9">
        <v>0.0</v>
      </c>
      <c r="S25" s="12">
        <v>45455.941666666666</v>
      </c>
      <c r="T25" s="5" t="s">
        <v>25</v>
      </c>
      <c r="U25" s="4"/>
      <c r="V25" s="4"/>
      <c r="W25" s="4"/>
      <c r="X25" s="4"/>
      <c r="Y25" s="4"/>
    </row>
    <row r="26">
      <c r="A26" s="5" t="s">
        <v>9715</v>
      </c>
      <c r="B26" s="9">
        <v>1.0</v>
      </c>
      <c r="C26" s="9">
        <v>1.0</v>
      </c>
      <c r="D26" s="9">
        <v>0.0</v>
      </c>
      <c r="E26" s="9">
        <v>0.0</v>
      </c>
      <c r="F26" s="9">
        <v>0.0</v>
      </c>
      <c r="G26" s="9">
        <v>0.0</v>
      </c>
      <c r="H26" s="9">
        <v>1.0</v>
      </c>
      <c r="I26" s="9">
        <v>0.0</v>
      </c>
      <c r="J26" s="5">
        <f t="shared" ref="J26:K26" si="31">B26+D26+F26+H26</f>
        <v>2</v>
      </c>
      <c r="K26" s="4">
        <f t="shared" si="31"/>
        <v>1</v>
      </c>
      <c r="L26" s="10">
        <f t="shared" si="3"/>
        <v>66.7</v>
      </c>
      <c r="M26" s="10">
        <f t="shared" si="4"/>
        <v>50</v>
      </c>
      <c r="N26" s="10">
        <f t="shared" si="5"/>
        <v>0</v>
      </c>
      <c r="O26" s="10">
        <f t="shared" si="6"/>
        <v>0</v>
      </c>
      <c r="P26" s="10">
        <f t="shared" si="7"/>
        <v>100</v>
      </c>
      <c r="Q26" s="11">
        <f t="shared" si="8"/>
        <v>25</v>
      </c>
      <c r="R26" s="9">
        <v>0.0</v>
      </c>
      <c r="S26" s="12">
        <v>45460.0625</v>
      </c>
      <c r="T26" s="5" t="s">
        <v>25</v>
      </c>
      <c r="U26" s="4"/>
      <c r="V26" s="4"/>
      <c r="W26" s="4"/>
      <c r="X26" s="4"/>
      <c r="Y26" s="4"/>
    </row>
    <row r="27">
      <c r="A27" s="5" t="s">
        <v>9777</v>
      </c>
      <c r="B27" s="9">
        <v>0.0</v>
      </c>
      <c r="C27" s="9">
        <v>0.0</v>
      </c>
      <c r="D27" s="9">
        <v>0.0</v>
      </c>
      <c r="E27" s="9">
        <v>3.0</v>
      </c>
      <c r="F27" s="9">
        <v>0.0</v>
      </c>
      <c r="G27" s="9">
        <v>0.0</v>
      </c>
      <c r="H27" s="9">
        <v>2.0</v>
      </c>
      <c r="I27" s="9">
        <v>4.0</v>
      </c>
      <c r="J27" s="5">
        <f t="shared" ref="J27:K27" si="32">B27+D27+F27+H27</f>
        <v>2</v>
      </c>
      <c r="K27" s="4">
        <f t="shared" si="32"/>
        <v>7</v>
      </c>
      <c r="L27" s="10">
        <f t="shared" si="3"/>
        <v>22.2</v>
      </c>
      <c r="M27" s="10">
        <f t="shared" si="4"/>
        <v>0</v>
      </c>
      <c r="N27" s="10">
        <f t="shared" si="5"/>
        <v>0</v>
      </c>
      <c r="O27" s="10">
        <f t="shared" si="6"/>
        <v>0</v>
      </c>
      <c r="P27" s="10">
        <f t="shared" si="7"/>
        <v>33.3</v>
      </c>
      <c r="Q27" s="11">
        <f t="shared" si="8"/>
        <v>26</v>
      </c>
      <c r="R27" s="9">
        <v>0.0</v>
      </c>
      <c r="S27" s="12">
        <v>45464.98055555556</v>
      </c>
      <c r="T27" s="5" t="s">
        <v>25</v>
      </c>
      <c r="U27" s="4"/>
      <c r="V27" s="4"/>
      <c r="W27" s="4"/>
      <c r="X27" s="4"/>
      <c r="Y27" s="4"/>
    </row>
    <row r="28">
      <c r="A28" s="5" t="s">
        <v>9746</v>
      </c>
      <c r="B28" s="9">
        <v>1.0</v>
      </c>
      <c r="C28" s="9">
        <v>1.0</v>
      </c>
      <c r="D28" s="9">
        <v>1.0</v>
      </c>
      <c r="E28" s="9">
        <v>1.0</v>
      </c>
      <c r="F28" s="9">
        <v>0.0</v>
      </c>
      <c r="G28" s="9">
        <v>0.0</v>
      </c>
      <c r="H28" s="9">
        <v>0.0</v>
      </c>
      <c r="I28" s="9">
        <v>0.0</v>
      </c>
      <c r="J28" s="5">
        <f t="shared" ref="J28:K28" si="33">B28+D28+F28+H28</f>
        <v>2</v>
      </c>
      <c r="K28" s="4">
        <f t="shared" si="33"/>
        <v>2</v>
      </c>
      <c r="L28" s="10">
        <f t="shared" si="3"/>
        <v>50</v>
      </c>
      <c r="M28" s="10">
        <f t="shared" si="4"/>
        <v>50</v>
      </c>
      <c r="N28" s="10">
        <f t="shared" si="5"/>
        <v>50</v>
      </c>
      <c r="O28" s="10">
        <f t="shared" si="6"/>
        <v>0</v>
      </c>
      <c r="P28" s="10">
        <f t="shared" si="7"/>
        <v>0</v>
      </c>
      <c r="Q28" s="11">
        <f t="shared" si="8"/>
        <v>27</v>
      </c>
      <c r="R28" s="9">
        <v>0.0</v>
      </c>
      <c r="S28" s="12">
        <v>45469.825694444444</v>
      </c>
      <c r="T28" s="5" t="s">
        <v>47</v>
      </c>
      <c r="U28" s="4"/>
      <c r="V28" s="4"/>
      <c r="W28" s="4"/>
      <c r="X28" s="4"/>
      <c r="Y28" s="4"/>
    </row>
    <row r="29">
      <c r="A29" s="5" t="s">
        <v>43</v>
      </c>
      <c r="B29" s="9">
        <v>1.0</v>
      </c>
      <c r="C29" s="9">
        <v>0.0</v>
      </c>
      <c r="D29" s="9">
        <v>0.0</v>
      </c>
      <c r="E29" s="9">
        <v>0.0</v>
      </c>
      <c r="F29" s="9">
        <v>0.0</v>
      </c>
      <c r="G29" s="9">
        <v>1.0</v>
      </c>
      <c r="H29" s="9">
        <v>1.0</v>
      </c>
      <c r="I29" s="9">
        <v>0.0</v>
      </c>
      <c r="J29" s="5">
        <f t="shared" ref="J29:K29" si="34">B29+D29+F29+H29</f>
        <v>2</v>
      </c>
      <c r="K29" s="4">
        <f t="shared" si="34"/>
        <v>1</v>
      </c>
      <c r="L29" s="10">
        <f t="shared" si="3"/>
        <v>66.7</v>
      </c>
      <c r="M29" s="10">
        <f t="shared" si="4"/>
        <v>100</v>
      </c>
      <c r="N29" s="10">
        <f t="shared" si="5"/>
        <v>0</v>
      </c>
      <c r="O29" s="10">
        <f t="shared" si="6"/>
        <v>0</v>
      </c>
      <c r="P29" s="10">
        <f t="shared" si="7"/>
        <v>100</v>
      </c>
      <c r="Q29" s="11">
        <f t="shared" si="8"/>
        <v>28</v>
      </c>
      <c r="R29" s="9">
        <v>0.0</v>
      </c>
      <c r="S29" s="12">
        <v>45469.90902777778</v>
      </c>
      <c r="T29" s="5" t="s">
        <v>47</v>
      </c>
      <c r="U29" s="4"/>
      <c r="V29" s="4"/>
      <c r="W29" s="4"/>
      <c r="X29" s="4"/>
      <c r="Y29" s="4"/>
    </row>
    <row r="30">
      <c r="A30" s="5" t="s">
        <v>57</v>
      </c>
      <c r="B30" s="9">
        <v>0.0</v>
      </c>
      <c r="C30" s="9">
        <v>0.0</v>
      </c>
      <c r="D30" s="9">
        <v>0.0</v>
      </c>
      <c r="E30" s="9">
        <v>0.0</v>
      </c>
      <c r="F30" s="9">
        <v>1.0</v>
      </c>
      <c r="G30" s="9">
        <v>1.0</v>
      </c>
      <c r="H30" s="9">
        <v>0.0</v>
      </c>
      <c r="I30" s="9">
        <v>0.0</v>
      </c>
      <c r="J30" s="5">
        <f t="shared" ref="J30:K30" si="35">B30+D30+F30+H30</f>
        <v>1</v>
      </c>
      <c r="K30" s="4">
        <f t="shared" si="35"/>
        <v>1</v>
      </c>
      <c r="L30" s="10">
        <f t="shared" si="3"/>
        <v>50</v>
      </c>
      <c r="M30" s="10">
        <f t="shared" si="4"/>
        <v>0</v>
      </c>
      <c r="N30" s="10">
        <f t="shared" si="5"/>
        <v>0</v>
      </c>
      <c r="O30" s="10">
        <f t="shared" si="6"/>
        <v>50</v>
      </c>
      <c r="P30" s="10">
        <f t="shared" si="7"/>
        <v>0</v>
      </c>
      <c r="Q30" s="11">
        <f t="shared" si="8"/>
        <v>29</v>
      </c>
      <c r="R30" s="9">
        <v>0.0</v>
      </c>
      <c r="S30" s="12">
        <v>45457.86736111111</v>
      </c>
      <c r="T30" s="5" t="s">
        <v>25</v>
      </c>
      <c r="U30" s="4"/>
      <c r="V30" s="4"/>
      <c r="W30" s="4"/>
      <c r="X30" s="4"/>
      <c r="Y30" s="4"/>
    </row>
    <row r="31">
      <c r="A31" s="5" t="s">
        <v>9778</v>
      </c>
      <c r="B31" s="9">
        <v>1.0</v>
      </c>
      <c r="C31" s="9">
        <v>1.0</v>
      </c>
      <c r="D31" s="9">
        <v>0.0</v>
      </c>
      <c r="E31" s="9">
        <v>1.0</v>
      </c>
      <c r="F31" s="9">
        <v>0.0</v>
      </c>
      <c r="G31" s="9">
        <v>0.0</v>
      </c>
      <c r="H31" s="9">
        <v>0.0</v>
      </c>
      <c r="I31" s="9">
        <v>0.0</v>
      </c>
      <c r="J31" s="5">
        <f t="shared" ref="J31:K31" si="36">B31+D31+F31+H31</f>
        <v>1</v>
      </c>
      <c r="K31" s="4">
        <f t="shared" si="36"/>
        <v>2</v>
      </c>
      <c r="L31" s="10">
        <f t="shared" si="3"/>
        <v>33.3</v>
      </c>
      <c r="M31" s="10">
        <f t="shared" si="4"/>
        <v>50</v>
      </c>
      <c r="N31" s="10">
        <f t="shared" si="5"/>
        <v>0</v>
      </c>
      <c r="O31" s="10">
        <f t="shared" si="6"/>
        <v>0</v>
      </c>
      <c r="P31" s="10">
        <f t="shared" si="7"/>
        <v>0</v>
      </c>
      <c r="Q31" s="11">
        <f t="shared" si="8"/>
        <v>30</v>
      </c>
      <c r="R31" s="9">
        <v>0.0</v>
      </c>
      <c r="S31" s="12">
        <v>45458.791666666664</v>
      </c>
      <c r="T31" s="5" t="s">
        <v>25</v>
      </c>
      <c r="U31" s="4"/>
      <c r="V31" s="4"/>
      <c r="W31" s="4"/>
      <c r="X31" s="4"/>
      <c r="Y31" s="4"/>
    </row>
    <row r="32">
      <c r="A32" s="5" t="s">
        <v>9769</v>
      </c>
      <c r="B32" s="9">
        <v>0.0</v>
      </c>
      <c r="C32" s="9">
        <v>1.0</v>
      </c>
      <c r="D32" s="9">
        <v>0.0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5">
        <f t="shared" ref="J32:K32" si="37">B32+D32+F32+H32</f>
        <v>0</v>
      </c>
      <c r="K32" s="4">
        <f t="shared" si="37"/>
        <v>1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>
        <f t="shared" si="6"/>
        <v>0</v>
      </c>
      <c r="P32" s="10">
        <f t="shared" si="7"/>
        <v>0</v>
      </c>
      <c r="Q32" s="11">
        <f t="shared" si="8"/>
        <v>31</v>
      </c>
      <c r="R32" s="9">
        <v>0.0</v>
      </c>
      <c r="S32" s="12">
        <v>45457.84930555556</v>
      </c>
      <c r="T32" s="5" t="s">
        <v>25</v>
      </c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4"/>
      <c r="V1" s="4"/>
      <c r="W1" s="4"/>
      <c r="X1" s="4"/>
      <c r="Y1" s="4"/>
    </row>
    <row r="2">
      <c r="A2" s="5" t="s">
        <v>30</v>
      </c>
      <c r="B2" s="9">
        <v>14.0</v>
      </c>
      <c r="C2" s="9">
        <v>3.0</v>
      </c>
      <c r="D2" s="5">
        <v>18.0</v>
      </c>
      <c r="E2" s="9">
        <v>7.0</v>
      </c>
      <c r="F2" s="9">
        <v>9.0</v>
      </c>
      <c r="G2" s="9">
        <v>6.0</v>
      </c>
      <c r="H2" s="9">
        <v>8.0</v>
      </c>
      <c r="I2" s="9">
        <v>1.0</v>
      </c>
      <c r="J2" s="5">
        <f t="shared" ref="J2:K2" si="1">B2+D2+F2+H2</f>
        <v>49</v>
      </c>
      <c r="K2" s="4">
        <f t="shared" si="1"/>
        <v>17</v>
      </c>
      <c r="L2" s="10">
        <f t="shared" ref="L2:L32" si="3">ROUND(IFERROR(J2/(J2+K2),0)*100,1)</f>
        <v>74.2</v>
      </c>
      <c r="M2" s="10">
        <f t="shared" ref="M2:M32" si="4">ROUND(IFERROR(B2/(B2+C2),0)*100,1)</f>
        <v>82.4</v>
      </c>
      <c r="N2" s="10">
        <f t="shared" ref="N2:N32" si="5">ROUND(IFERROR(D2/(D2+E2),0)*100,1)</f>
        <v>72</v>
      </c>
      <c r="O2" s="10">
        <f t="shared" ref="O2:O32" si="6">ROUND(IFERROR(F2/(F2+G2),0)*100,1)</f>
        <v>60</v>
      </c>
      <c r="P2" s="10">
        <f t="shared" ref="P2:P32" si="7">ROUND(IFERROR(H2/(I2+H2),0)*100,1)</f>
        <v>88.9</v>
      </c>
      <c r="Q2" s="11">
        <f t="shared" ref="Q2:Q32" si="8">ROW()-1</f>
        <v>1</v>
      </c>
      <c r="R2" s="5">
        <v>1314.0</v>
      </c>
      <c r="S2" s="12">
        <v>45489.00208333333</v>
      </c>
      <c r="T2" s="5" t="s">
        <v>25</v>
      </c>
      <c r="U2" s="4"/>
      <c r="V2" s="4"/>
      <c r="W2" s="4"/>
      <c r="X2" s="4"/>
      <c r="Y2" s="4"/>
    </row>
    <row r="3">
      <c r="A3" s="5" t="s">
        <v>27</v>
      </c>
      <c r="B3" s="5">
        <v>9.0</v>
      </c>
      <c r="C3" s="5">
        <v>5.0</v>
      </c>
      <c r="D3" s="9">
        <v>8.0</v>
      </c>
      <c r="E3" s="9">
        <v>3.0</v>
      </c>
      <c r="F3" s="9">
        <v>7.0</v>
      </c>
      <c r="G3" s="9">
        <v>2.0</v>
      </c>
      <c r="H3" s="9">
        <v>0.0</v>
      </c>
      <c r="I3" s="9">
        <v>0.0</v>
      </c>
      <c r="J3" s="5">
        <f t="shared" ref="J3:K3" si="2">B3+D3+F3+H3</f>
        <v>24</v>
      </c>
      <c r="K3" s="4">
        <f t="shared" si="2"/>
        <v>10</v>
      </c>
      <c r="L3" s="10">
        <f t="shared" si="3"/>
        <v>70.6</v>
      </c>
      <c r="M3" s="10">
        <f t="shared" si="4"/>
        <v>64.3</v>
      </c>
      <c r="N3" s="10">
        <f t="shared" si="5"/>
        <v>72.7</v>
      </c>
      <c r="O3" s="10">
        <f t="shared" si="6"/>
        <v>77.8</v>
      </c>
      <c r="P3" s="10">
        <f t="shared" si="7"/>
        <v>0</v>
      </c>
      <c r="Q3" s="11">
        <f t="shared" si="8"/>
        <v>2</v>
      </c>
      <c r="R3" s="5">
        <v>1309.0</v>
      </c>
      <c r="S3" s="12">
        <v>45482.99652777778</v>
      </c>
      <c r="T3" s="5" t="s">
        <v>25</v>
      </c>
      <c r="U3" s="4"/>
      <c r="V3" s="4"/>
      <c r="W3" s="4"/>
      <c r="X3" s="4"/>
      <c r="Y3" s="4"/>
    </row>
    <row r="4">
      <c r="A4" s="5" t="s">
        <v>35</v>
      </c>
      <c r="B4" s="9">
        <v>5.0</v>
      </c>
      <c r="C4" s="9">
        <v>4.0</v>
      </c>
      <c r="D4" s="9">
        <v>9.0</v>
      </c>
      <c r="E4" s="9">
        <v>3.0</v>
      </c>
      <c r="F4" s="9">
        <v>6.0</v>
      </c>
      <c r="G4" s="9">
        <v>5.0</v>
      </c>
      <c r="H4" s="5">
        <v>7.0</v>
      </c>
      <c r="I4" s="5">
        <v>6.0</v>
      </c>
      <c r="J4" s="5">
        <f t="shared" ref="J4:K4" si="9">B4+D4+F4+H4</f>
        <v>27</v>
      </c>
      <c r="K4" s="4">
        <f t="shared" si="9"/>
        <v>18</v>
      </c>
      <c r="L4" s="10">
        <f t="shared" si="3"/>
        <v>60</v>
      </c>
      <c r="M4" s="10">
        <f t="shared" si="4"/>
        <v>55.6</v>
      </c>
      <c r="N4" s="10">
        <f t="shared" si="5"/>
        <v>75</v>
      </c>
      <c r="O4" s="10">
        <f t="shared" si="6"/>
        <v>54.5</v>
      </c>
      <c r="P4" s="10">
        <f t="shared" si="7"/>
        <v>53.8</v>
      </c>
      <c r="Q4" s="11">
        <f t="shared" si="8"/>
        <v>3</v>
      </c>
      <c r="R4" s="9">
        <v>1232.0</v>
      </c>
      <c r="S4" s="12">
        <v>45488.964583333334</v>
      </c>
      <c r="T4" s="5" t="s">
        <v>25</v>
      </c>
      <c r="U4" s="4"/>
      <c r="V4" s="4"/>
      <c r="W4" s="4"/>
      <c r="X4" s="4"/>
      <c r="Y4" s="4"/>
    </row>
    <row r="5">
      <c r="A5" s="5" t="s">
        <v>9711</v>
      </c>
      <c r="B5" s="9">
        <v>5.0</v>
      </c>
      <c r="C5" s="9">
        <v>8.0</v>
      </c>
      <c r="D5" s="9">
        <v>10.0</v>
      </c>
      <c r="E5" s="9">
        <v>6.0</v>
      </c>
      <c r="F5" s="9">
        <v>12.0</v>
      </c>
      <c r="G5" s="9">
        <v>5.0</v>
      </c>
      <c r="H5" s="9">
        <v>8.0</v>
      </c>
      <c r="I5" s="9">
        <v>13.0</v>
      </c>
      <c r="J5" s="5">
        <f t="shared" ref="J5:K5" si="10">B5+D5+F5+H5</f>
        <v>35</v>
      </c>
      <c r="K5" s="4">
        <f t="shared" si="10"/>
        <v>32</v>
      </c>
      <c r="L5" s="10">
        <f t="shared" si="3"/>
        <v>52.2</v>
      </c>
      <c r="M5" s="10">
        <f t="shared" si="4"/>
        <v>38.5</v>
      </c>
      <c r="N5" s="10">
        <f t="shared" si="5"/>
        <v>62.5</v>
      </c>
      <c r="O5" s="10">
        <f t="shared" si="6"/>
        <v>70.6</v>
      </c>
      <c r="P5" s="10">
        <f t="shared" si="7"/>
        <v>38.1</v>
      </c>
      <c r="Q5" s="11">
        <f t="shared" si="8"/>
        <v>4</v>
      </c>
      <c r="R5" s="5">
        <v>1223.0</v>
      </c>
      <c r="S5" s="12">
        <v>45489.00208333333</v>
      </c>
      <c r="T5" s="5" t="s">
        <v>25</v>
      </c>
      <c r="U5" s="4"/>
      <c r="V5" s="4"/>
      <c r="W5" s="4"/>
      <c r="X5" s="4"/>
      <c r="Y5" s="4"/>
    </row>
    <row r="6">
      <c r="A6" s="5" t="s">
        <v>36</v>
      </c>
      <c r="B6" s="9">
        <v>6.0</v>
      </c>
      <c r="C6" s="9">
        <v>5.0</v>
      </c>
      <c r="D6" s="9">
        <v>8.0</v>
      </c>
      <c r="E6" s="9">
        <v>6.0</v>
      </c>
      <c r="F6" s="9">
        <v>4.0</v>
      </c>
      <c r="G6" s="9">
        <v>6.0</v>
      </c>
      <c r="H6" s="9">
        <v>10.0</v>
      </c>
      <c r="I6" s="9">
        <v>3.0</v>
      </c>
      <c r="J6" s="5">
        <f t="shared" ref="J6:K6" si="11">B6+D6+F6+H6</f>
        <v>28</v>
      </c>
      <c r="K6" s="4">
        <f t="shared" si="11"/>
        <v>20</v>
      </c>
      <c r="L6" s="10">
        <f t="shared" si="3"/>
        <v>58.3</v>
      </c>
      <c r="M6" s="10">
        <f t="shared" si="4"/>
        <v>54.5</v>
      </c>
      <c r="N6" s="10">
        <f t="shared" si="5"/>
        <v>57.1</v>
      </c>
      <c r="O6" s="10">
        <f t="shared" si="6"/>
        <v>40</v>
      </c>
      <c r="P6" s="10">
        <f t="shared" si="7"/>
        <v>76.9</v>
      </c>
      <c r="Q6" s="11">
        <f t="shared" si="8"/>
        <v>5</v>
      </c>
      <c r="R6" s="9">
        <v>1220.0</v>
      </c>
      <c r="S6" s="12">
        <v>45489.00208333333</v>
      </c>
      <c r="T6" s="5" t="s">
        <v>25</v>
      </c>
      <c r="U6" s="4"/>
      <c r="V6" s="4"/>
      <c r="W6" s="4"/>
      <c r="X6" s="4"/>
      <c r="Y6" s="4"/>
    </row>
    <row r="7">
      <c r="A7" s="5" t="s">
        <v>53</v>
      </c>
      <c r="B7" s="9">
        <v>5.0</v>
      </c>
      <c r="C7" s="9">
        <v>2.0</v>
      </c>
      <c r="D7" s="9">
        <v>2.0</v>
      </c>
      <c r="E7" s="9">
        <v>2.0</v>
      </c>
      <c r="F7" s="9">
        <v>4.0</v>
      </c>
      <c r="G7" s="9">
        <v>4.0</v>
      </c>
      <c r="H7" s="5">
        <v>3.0</v>
      </c>
      <c r="I7" s="9">
        <v>0.0</v>
      </c>
      <c r="J7" s="5">
        <f t="shared" ref="J7:K7" si="12">B7+D7+F7+H7</f>
        <v>14</v>
      </c>
      <c r="K7" s="4">
        <f t="shared" si="12"/>
        <v>8</v>
      </c>
      <c r="L7" s="10">
        <f t="shared" si="3"/>
        <v>63.6</v>
      </c>
      <c r="M7" s="10">
        <f t="shared" si="4"/>
        <v>71.4</v>
      </c>
      <c r="N7" s="10">
        <f t="shared" si="5"/>
        <v>50</v>
      </c>
      <c r="O7" s="10">
        <f t="shared" si="6"/>
        <v>50</v>
      </c>
      <c r="P7" s="10">
        <f t="shared" si="7"/>
        <v>100</v>
      </c>
      <c r="Q7" s="11">
        <f t="shared" si="8"/>
        <v>6</v>
      </c>
      <c r="R7" s="9">
        <v>1216.0</v>
      </c>
      <c r="S7" s="12">
        <v>45488.93125</v>
      </c>
      <c r="T7" s="5" t="s">
        <v>25</v>
      </c>
      <c r="U7" s="4"/>
      <c r="V7" s="4"/>
      <c r="W7" s="4"/>
      <c r="X7" s="4"/>
      <c r="Y7" s="4"/>
    </row>
    <row r="8">
      <c r="A8" s="5" t="s">
        <v>9776</v>
      </c>
      <c r="B8" s="9">
        <v>4.0</v>
      </c>
      <c r="C8" s="9">
        <v>2.0</v>
      </c>
      <c r="D8" s="9">
        <v>1.0</v>
      </c>
      <c r="E8" s="9">
        <v>1.0</v>
      </c>
      <c r="F8" s="9">
        <v>5.0</v>
      </c>
      <c r="G8" s="9">
        <v>2.0</v>
      </c>
      <c r="H8" s="9">
        <v>5.0</v>
      </c>
      <c r="I8" s="9">
        <v>2.0</v>
      </c>
      <c r="J8" s="5">
        <f t="shared" ref="J8:K8" si="13">B8+D8+F8+H8</f>
        <v>15</v>
      </c>
      <c r="K8" s="4">
        <f t="shared" si="13"/>
        <v>7</v>
      </c>
      <c r="L8" s="10">
        <f t="shared" si="3"/>
        <v>68.2</v>
      </c>
      <c r="M8" s="10">
        <f t="shared" si="4"/>
        <v>66.7</v>
      </c>
      <c r="N8" s="10">
        <f t="shared" si="5"/>
        <v>50</v>
      </c>
      <c r="O8" s="10">
        <f t="shared" si="6"/>
        <v>71.4</v>
      </c>
      <c r="P8" s="10">
        <f t="shared" si="7"/>
        <v>71.4</v>
      </c>
      <c r="Q8" s="11">
        <f t="shared" si="8"/>
        <v>7</v>
      </c>
      <c r="R8" s="9">
        <v>1210.0</v>
      </c>
      <c r="S8" s="12">
        <v>45489.00208333333</v>
      </c>
      <c r="T8" s="5" t="s">
        <v>47</v>
      </c>
      <c r="U8" s="4"/>
      <c r="V8" s="4"/>
      <c r="W8" s="4"/>
      <c r="X8" s="4"/>
      <c r="Y8" s="4"/>
    </row>
    <row r="9">
      <c r="A9" s="5" t="s">
        <v>9706</v>
      </c>
      <c r="B9" s="5">
        <v>2.0</v>
      </c>
      <c r="C9" s="9">
        <v>3.0</v>
      </c>
      <c r="D9" s="9">
        <v>0.0</v>
      </c>
      <c r="E9" s="9">
        <v>2.0</v>
      </c>
      <c r="F9" s="9">
        <v>3.0</v>
      </c>
      <c r="G9" s="9">
        <v>1.0</v>
      </c>
      <c r="H9" s="9">
        <v>5.0</v>
      </c>
      <c r="I9" s="9">
        <v>4.0</v>
      </c>
      <c r="J9" s="5">
        <f t="shared" ref="J9:K9" si="14">B9+D9+F9+H9</f>
        <v>10</v>
      </c>
      <c r="K9" s="4">
        <f t="shared" si="14"/>
        <v>10</v>
      </c>
      <c r="L9" s="10">
        <f t="shared" si="3"/>
        <v>50</v>
      </c>
      <c r="M9" s="10">
        <f t="shared" si="4"/>
        <v>40</v>
      </c>
      <c r="N9" s="10">
        <f t="shared" si="5"/>
        <v>0</v>
      </c>
      <c r="O9" s="10">
        <f t="shared" si="6"/>
        <v>75</v>
      </c>
      <c r="P9" s="10">
        <f t="shared" si="7"/>
        <v>55.6</v>
      </c>
      <c r="Q9" s="11">
        <f t="shared" si="8"/>
        <v>8</v>
      </c>
      <c r="R9" s="9">
        <v>1172.0</v>
      </c>
      <c r="S9" s="12">
        <v>45484.94027777778</v>
      </c>
      <c r="T9" s="5" t="s">
        <v>25</v>
      </c>
      <c r="U9" s="4"/>
      <c r="V9" s="4"/>
      <c r="W9" s="4"/>
      <c r="X9" s="4"/>
      <c r="Y9" s="4"/>
    </row>
    <row r="10">
      <c r="A10" s="5" t="s">
        <v>34</v>
      </c>
      <c r="B10" s="9">
        <v>4.0</v>
      </c>
      <c r="C10" s="9">
        <v>14.0</v>
      </c>
      <c r="D10" s="9">
        <v>8.0</v>
      </c>
      <c r="E10" s="9">
        <v>7.0</v>
      </c>
      <c r="F10" s="5">
        <v>12.0</v>
      </c>
      <c r="G10" s="9">
        <v>19.0</v>
      </c>
      <c r="H10" s="9">
        <v>4.0</v>
      </c>
      <c r="I10" s="9">
        <v>9.0</v>
      </c>
      <c r="J10" s="5">
        <f t="shared" ref="J10:K10" si="15">B10+D10+F10+H10</f>
        <v>28</v>
      </c>
      <c r="K10" s="4">
        <f t="shared" si="15"/>
        <v>49</v>
      </c>
      <c r="L10" s="10">
        <f t="shared" si="3"/>
        <v>36.4</v>
      </c>
      <c r="M10" s="10">
        <f t="shared" si="4"/>
        <v>22.2</v>
      </c>
      <c r="N10" s="10">
        <f t="shared" si="5"/>
        <v>53.3</v>
      </c>
      <c r="O10" s="10">
        <f t="shared" si="6"/>
        <v>38.7</v>
      </c>
      <c r="P10" s="10">
        <f t="shared" si="7"/>
        <v>30.8</v>
      </c>
      <c r="Q10" s="11">
        <f t="shared" si="8"/>
        <v>9</v>
      </c>
      <c r="R10" s="5">
        <v>1157.0</v>
      </c>
      <c r="S10" s="12">
        <v>45489.00208333333</v>
      </c>
      <c r="T10" s="5" t="s">
        <v>25</v>
      </c>
      <c r="U10" s="4"/>
      <c r="V10" s="4"/>
      <c r="W10" s="4"/>
      <c r="X10" s="4"/>
      <c r="Y10" s="4"/>
    </row>
    <row r="11">
      <c r="A11" s="5" t="s">
        <v>26</v>
      </c>
      <c r="B11" s="9">
        <v>6.0</v>
      </c>
      <c r="C11" s="9">
        <v>14.0</v>
      </c>
      <c r="D11" s="9">
        <v>10.0</v>
      </c>
      <c r="E11" s="9">
        <v>15.0</v>
      </c>
      <c r="F11" s="9">
        <v>0.0</v>
      </c>
      <c r="G11" s="9">
        <v>0.0</v>
      </c>
      <c r="H11" s="5">
        <v>15.0</v>
      </c>
      <c r="I11" s="9">
        <v>7.0</v>
      </c>
      <c r="J11" s="5">
        <f t="shared" ref="J11:K11" si="16">B11+D11+F11+H11</f>
        <v>31</v>
      </c>
      <c r="K11" s="4">
        <f t="shared" si="16"/>
        <v>36</v>
      </c>
      <c r="L11" s="10">
        <f t="shared" si="3"/>
        <v>46.3</v>
      </c>
      <c r="M11" s="10">
        <f t="shared" si="4"/>
        <v>30</v>
      </c>
      <c r="N11" s="10">
        <f t="shared" si="5"/>
        <v>40</v>
      </c>
      <c r="O11" s="10">
        <f t="shared" si="6"/>
        <v>0</v>
      </c>
      <c r="P11" s="10">
        <f t="shared" si="7"/>
        <v>68.2</v>
      </c>
      <c r="Q11" s="11">
        <f t="shared" si="8"/>
        <v>10</v>
      </c>
      <c r="R11" s="5">
        <v>1153.0</v>
      </c>
      <c r="S11" s="12">
        <v>45489.00208333333</v>
      </c>
      <c r="T11" s="5" t="s">
        <v>25</v>
      </c>
      <c r="U11" s="4"/>
      <c r="V11" s="4"/>
      <c r="W11" s="4"/>
      <c r="X11" s="4"/>
      <c r="Y11" s="4"/>
    </row>
    <row r="12">
      <c r="A12" s="5" t="s">
        <v>60</v>
      </c>
      <c r="B12" s="9">
        <v>10.0</v>
      </c>
      <c r="C12" s="9">
        <v>8.0</v>
      </c>
      <c r="D12" s="5">
        <v>8.0</v>
      </c>
      <c r="E12" s="5">
        <v>13.0</v>
      </c>
      <c r="F12" s="9">
        <v>5.0</v>
      </c>
      <c r="G12" s="9">
        <v>7.0</v>
      </c>
      <c r="H12" s="9">
        <v>5.0</v>
      </c>
      <c r="I12" s="9">
        <v>16.0</v>
      </c>
      <c r="J12" s="5">
        <f t="shared" ref="J12:K12" si="17">B12+D12+F12+H12</f>
        <v>28</v>
      </c>
      <c r="K12" s="4">
        <f t="shared" si="17"/>
        <v>44</v>
      </c>
      <c r="L12" s="10">
        <f t="shared" si="3"/>
        <v>38.9</v>
      </c>
      <c r="M12" s="10">
        <f t="shared" si="4"/>
        <v>55.6</v>
      </c>
      <c r="N12" s="10">
        <f t="shared" si="5"/>
        <v>38.1</v>
      </c>
      <c r="O12" s="10">
        <f t="shared" si="6"/>
        <v>41.7</v>
      </c>
      <c r="P12" s="10">
        <f t="shared" si="7"/>
        <v>23.8</v>
      </c>
      <c r="Q12" s="11">
        <f t="shared" si="8"/>
        <v>11</v>
      </c>
      <c r="R12" s="5">
        <v>1132.0</v>
      </c>
      <c r="S12" s="12">
        <v>45489.00208333333</v>
      </c>
      <c r="T12" s="5" t="s">
        <v>25</v>
      </c>
      <c r="U12" s="4"/>
      <c r="V12" s="4"/>
      <c r="W12" s="4"/>
      <c r="X12" s="4"/>
      <c r="Y12" s="4"/>
    </row>
    <row r="13">
      <c r="A13" s="5" t="s">
        <v>9694</v>
      </c>
      <c r="B13" s="9">
        <v>8.0</v>
      </c>
      <c r="C13" s="9">
        <v>7.0</v>
      </c>
      <c r="D13" s="9">
        <v>2.0</v>
      </c>
      <c r="E13" s="9">
        <v>5.0</v>
      </c>
      <c r="F13" s="5">
        <v>9.0</v>
      </c>
      <c r="G13" s="5">
        <v>5.0</v>
      </c>
      <c r="H13" s="9">
        <v>7.0</v>
      </c>
      <c r="I13" s="9">
        <v>7.0</v>
      </c>
      <c r="J13" s="5">
        <f t="shared" ref="J13:K13" si="18">B13+D13+F13+H13</f>
        <v>26</v>
      </c>
      <c r="K13" s="4">
        <f t="shared" si="18"/>
        <v>24</v>
      </c>
      <c r="L13" s="10">
        <f t="shared" si="3"/>
        <v>52</v>
      </c>
      <c r="M13" s="10">
        <f t="shared" si="4"/>
        <v>53.3</v>
      </c>
      <c r="N13" s="10">
        <f t="shared" si="5"/>
        <v>28.6</v>
      </c>
      <c r="O13" s="10">
        <f t="shared" si="6"/>
        <v>64.3</v>
      </c>
      <c r="P13" s="10">
        <f t="shared" si="7"/>
        <v>50</v>
      </c>
      <c r="Q13" s="11">
        <f t="shared" si="8"/>
        <v>12</v>
      </c>
      <c r="R13" s="5">
        <v>1129.0</v>
      </c>
      <c r="S13" s="12">
        <v>45482.99652777778</v>
      </c>
      <c r="T13" s="5" t="s">
        <v>47</v>
      </c>
      <c r="U13" s="4"/>
      <c r="V13" s="4"/>
      <c r="W13" s="4"/>
      <c r="X13" s="4"/>
      <c r="Y13" s="4"/>
    </row>
    <row r="14">
      <c r="A14" s="5" t="s">
        <v>9777</v>
      </c>
      <c r="B14" s="9">
        <v>0.0</v>
      </c>
      <c r="C14" s="9">
        <v>0.0</v>
      </c>
      <c r="D14" s="9">
        <v>4.0</v>
      </c>
      <c r="E14" s="9">
        <v>4.0</v>
      </c>
      <c r="F14" s="9">
        <v>0.0</v>
      </c>
      <c r="G14" s="9">
        <v>0.0</v>
      </c>
      <c r="H14" s="9">
        <v>3.0</v>
      </c>
      <c r="I14" s="9">
        <v>8.0</v>
      </c>
      <c r="J14" s="5">
        <f t="shared" ref="J14:K14" si="19">B14+D14+F14+H14</f>
        <v>7</v>
      </c>
      <c r="K14" s="4">
        <f t="shared" si="19"/>
        <v>12</v>
      </c>
      <c r="L14" s="10">
        <f t="shared" si="3"/>
        <v>36.8</v>
      </c>
      <c r="M14" s="10">
        <f t="shared" si="4"/>
        <v>0</v>
      </c>
      <c r="N14" s="10">
        <f t="shared" si="5"/>
        <v>50</v>
      </c>
      <c r="O14" s="10">
        <f t="shared" si="6"/>
        <v>0</v>
      </c>
      <c r="P14" s="10">
        <f t="shared" si="7"/>
        <v>27.3</v>
      </c>
      <c r="Q14" s="11">
        <f t="shared" si="8"/>
        <v>13</v>
      </c>
      <c r="R14" s="9">
        <v>1107.0</v>
      </c>
      <c r="S14" s="12">
        <v>45489.00208333333</v>
      </c>
      <c r="T14" s="5" t="s">
        <v>25</v>
      </c>
      <c r="U14" s="4"/>
      <c r="V14" s="4"/>
      <c r="W14" s="4"/>
      <c r="X14" s="4"/>
      <c r="Y14" s="4"/>
    </row>
    <row r="15">
      <c r="A15" s="5" t="s">
        <v>9775</v>
      </c>
      <c r="B15" s="9">
        <v>6.0</v>
      </c>
      <c r="C15" s="9">
        <v>7.0</v>
      </c>
      <c r="D15" s="9">
        <v>0.0</v>
      </c>
      <c r="E15" s="9">
        <v>0.0</v>
      </c>
      <c r="F15" s="9">
        <v>5.0</v>
      </c>
      <c r="G15" s="9">
        <v>8.0</v>
      </c>
      <c r="H15" s="9">
        <v>0.0</v>
      </c>
      <c r="I15" s="9">
        <v>0.0</v>
      </c>
      <c r="J15" s="5">
        <f t="shared" ref="J15:K15" si="20">B15+D15+F15+H15</f>
        <v>11</v>
      </c>
      <c r="K15" s="4">
        <f t="shared" si="20"/>
        <v>15</v>
      </c>
      <c r="L15" s="10">
        <f t="shared" si="3"/>
        <v>42.3</v>
      </c>
      <c r="M15" s="10">
        <f t="shared" si="4"/>
        <v>46.2</v>
      </c>
      <c r="N15" s="10">
        <f t="shared" si="5"/>
        <v>0</v>
      </c>
      <c r="O15" s="10">
        <f t="shared" si="6"/>
        <v>38.5</v>
      </c>
      <c r="P15" s="10">
        <f t="shared" si="7"/>
        <v>0</v>
      </c>
      <c r="Q15" s="11">
        <f t="shared" si="8"/>
        <v>14</v>
      </c>
      <c r="R15" s="9">
        <v>1098.0</v>
      </c>
      <c r="S15" s="12">
        <v>45485.021527777775</v>
      </c>
      <c r="T15" s="5" t="s">
        <v>25</v>
      </c>
      <c r="U15" s="4"/>
      <c r="V15" s="4"/>
      <c r="W15" s="4"/>
      <c r="X15" s="4"/>
      <c r="Y15" s="4"/>
    </row>
    <row r="16">
      <c r="A16" s="5" t="s">
        <v>9743</v>
      </c>
      <c r="B16" s="9">
        <v>1.0</v>
      </c>
      <c r="C16" s="9">
        <v>1.0</v>
      </c>
      <c r="D16" s="9">
        <v>0.0</v>
      </c>
      <c r="E16" s="9">
        <v>0.0</v>
      </c>
      <c r="F16" s="9">
        <v>1.0</v>
      </c>
      <c r="G16" s="9">
        <v>9.0</v>
      </c>
      <c r="H16" s="9">
        <v>4.0</v>
      </c>
      <c r="I16" s="9">
        <v>3.0</v>
      </c>
      <c r="J16" s="5">
        <f t="shared" ref="J16:K16" si="21">B16+D16+F16+H16</f>
        <v>6</v>
      </c>
      <c r="K16" s="4">
        <f t="shared" si="21"/>
        <v>13</v>
      </c>
      <c r="L16" s="10">
        <f t="shared" si="3"/>
        <v>31.6</v>
      </c>
      <c r="M16" s="10">
        <f t="shared" si="4"/>
        <v>50</v>
      </c>
      <c r="N16" s="10">
        <f t="shared" si="5"/>
        <v>0</v>
      </c>
      <c r="O16" s="10">
        <f t="shared" si="6"/>
        <v>10</v>
      </c>
      <c r="P16" s="10">
        <f t="shared" si="7"/>
        <v>57.1</v>
      </c>
      <c r="Q16" s="11">
        <f t="shared" si="8"/>
        <v>15</v>
      </c>
      <c r="R16" s="9">
        <v>1067.0</v>
      </c>
      <c r="S16" s="12">
        <v>45488.04791666667</v>
      </c>
      <c r="T16" s="5" t="s">
        <v>25</v>
      </c>
      <c r="U16" s="4"/>
      <c r="V16" s="4"/>
      <c r="W16" s="4"/>
      <c r="X16" s="4"/>
      <c r="Y16" s="4"/>
    </row>
    <row r="17">
      <c r="A17" s="5" t="s">
        <v>9609</v>
      </c>
      <c r="B17" s="9">
        <v>4.0</v>
      </c>
      <c r="C17" s="9">
        <v>1.0</v>
      </c>
      <c r="D17" s="9">
        <v>0.0</v>
      </c>
      <c r="E17" s="9">
        <v>1.0</v>
      </c>
      <c r="F17" s="9">
        <v>0.0</v>
      </c>
      <c r="G17" s="9">
        <v>0.0</v>
      </c>
      <c r="H17" s="9">
        <v>2.0</v>
      </c>
      <c r="I17" s="9">
        <v>1.0</v>
      </c>
      <c r="J17" s="5">
        <f t="shared" ref="J17:K17" si="22">B17+D17+F17+H17</f>
        <v>6</v>
      </c>
      <c r="K17" s="4">
        <f t="shared" si="22"/>
        <v>3</v>
      </c>
      <c r="L17" s="10">
        <f t="shared" si="3"/>
        <v>66.7</v>
      </c>
      <c r="M17" s="10">
        <f t="shared" si="4"/>
        <v>80</v>
      </c>
      <c r="N17" s="10">
        <f t="shared" si="5"/>
        <v>0</v>
      </c>
      <c r="O17" s="10">
        <f t="shared" si="6"/>
        <v>0</v>
      </c>
      <c r="P17" s="10">
        <f t="shared" si="7"/>
        <v>66.7</v>
      </c>
      <c r="Q17" s="11">
        <f t="shared" si="8"/>
        <v>16</v>
      </c>
      <c r="R17" s="9">
        <v>0.0</v>
      </c>
      <c r="S17" s="12">
        <v>45487.998611111114</v>
      </c>
      <c r="T17" s="5" t="s">
        <v>25</v>
      </c>
      <c r="U17" s="4"/>
      <c r="V17" s="4"/>
      <c r="W17" s="4"/>
      <c r="X17" s="4"/>
      <c r="Y17" s="4"/>
    </row>
    <row r="18">
      <c r="A18" s="5" t="s">
        <v>9746</v>
      </c>
      <c r="B18" s="9">
        <v>1.0</v>
      </c>
      <c r="C18" s="9">
        <v>0.0</v>
      </c>
      <c r="D18" s="9">
        <v>0.0</v>
      </c>
      <c r="E18" s="9">
        <v>1.0</v>
      </c>
      <c r="F18" s="9">
        <v>3.0</v>
      </c>
      <c r="G18" s="9">
        <v>0.0</v>
      </c>
      <c r="H18" s="9">
        <v>0.0</v>
      </c>
      <c r="I18" s="9">
        <v>0.0</v>
      </c>
      <c r="J18" s="5">
        <f t="shared" ref="J18:K18" si="23">B18+D18+F18+H18</f>
        <v>4</v>
      </c>
      <c r="K18" s="4">
        <f t="shared" si="23"/>
        <v>1</v>
      </c>
      <c r="L18" s="10">
        <f t="shared" si="3"/>
        <v>80</v>
      </c>
      <c r="M18" s="10">
        <f t="shared" si="4"/>
        <v>100</v>
      </c>
      <c r="N18" s="10">
        <f t="shared" si="5"/>
        <v>0</v>
      </c>
      <c r="O18" s="10">
        <f t="shared" si="6"/>
        <v>100</v>
      </c>
      <c r="P18" s="10">
        <f t="shared" si="7"/>
        <v>0</v>
      </c>
      <c r="Q18" s="11">
        <f t="shared" si="8"/>
        <v>17</v>
      </c>
      <c r="R18" s="9">
        <v>0.0</v>
      </c>
      <c r="S18" s="12">
        <v>45482.75763888889</v>
      </c>
      <c r="T18" s="5" t="s">
        <v>47</v>
      </c>
      <c r="U18" s="4"/>
      <c r="V18" s="4"/>
      <c r="W18" s="4"/>
      <c r="X18" s="4"/>
      <c r="Y18" s="4"/>
    </row>
    <row r="19">
      <c r="A19" s="5" t="s">
        <v>9750</v>
      </c>
      <c r="B19" s="9">
        <v>1.0</v>
      </c>
      <c r="C19" s="9">
        <v>0.0</v>
      </c>
      <c r="D19" s="9">
        <v>0.0</v>
      </c>
      <c r="E19" s="9">
        <v>2.0</v>
      </c>
      <c r="F19" s="9">
        <v>2.0</v>
      </c>
      <c r="G19" s="9">
        <v>2.0</v>
      </c>
      <c r="H19" s="9">
        <v>0.0</v>
      </c>
      <c r="I19" s="9">
        <v>1.0</v>
      </c>
      <c r="J19" s="5">
        <f t="shared" ref="J19:K19" si="24">B19+D19+F19+H19</f>
        <v>3</v>
      </c>
      <c r="K19" s="4">
        <f t="shared" si="24"/>
        <v>5</v>
      </c>
      <c r="L19" s="10">
        <f t="shared" si="3"/>
        <v>37.5</v>
      </c>
      <c r="M19" s="10">
        <f t="shared" si="4"/>
        <v>100</v>
      </c>
      <c r="N19" s="10">
        <f t="shared" si="5"/>
        <v>0</v>
      </c>
      <c r="O19" s="10">
        <f t="shared" si="6"/>
        <v>50</v>
      </c>
      <c r="P19" s="10">
        <f t="shared" si="7"/>
        <v>0</v>
      </c>
      <c r="Q19" s="11">
        <f t="shared" si="8"/>
        <v>18</v>
      </c>
      <c r="R19" s="9">
        <v>0.0</v>
      </c>
      <c r="S19" s="12">
        <v>45481.68958333333</v>
      </c>
      <c r="T19" s="5" t="s">
        <v>25</v>
      </c>
      <c r="U19" s="4"/>
      <c r="V19" s="4"/>
      <c r="W19" s="4"/>
      <c r="X19" s="4"/>
      <c r="Y19" s="4"/>
    </row>
    <row r="20">
      <c r="A20" s="5" t="s">
        <v>9705</v>
      </c>
      <c r="B20" s="9">
        <v>0.0</v>
      </c>
      <c r="C20" s="9">
        <v>0.0</v>
      </c>
      <c r="D20" s="9">
        <v>2.0</v>
      </c>
      <c r="E20" s="9">
        <v>2.0</v>
      </c>
      <c r="F20" s="9">
        <v>0.0</v>
      </c>
      <c r="G20" s="9">
        <v>0.0</v>
      </c>
      <c r="H20" s="9">
        <v>1.0</v>
      </c>
      <c r="I20" s="9">
        <v>1.0</v>
      </c>
      <c r="J20" s="5">
        <f t="shared" ref="J20:K20" si="25">B20+D20+F20+H20</f>
        <v>3</v>
      </c>
      <c r="K20" s="4">
        <f t="shared" si="25"/>
        <v>3</v>
      </c>
      <c r="L20" s="10">
        <f t="shared" si="3"/>
        <v>50</v>
      </c>
      <c r="M20" s="10">
        <f t="shared" si="4"/>
        <v>0</v>
      </c>
      <c r="N20" s="10">
        <f t="shared" si="5"/>
        <v>50</v>
      </c>
      <c r="O20" s="10">
        <f t="shared" si="6"/>
        <v>0</v>
      </c>
      <c r="P20" s="10">
        <f t="shared" si="7"/>
        <v>50</v>
      </c>
      <c r="Q20" s="11">
        <f t="shared" si="8"/>
        <v>19</v>
      </c>
      <c r="R20" s="9">
        <v>0.0</v>
      </c>
      <c r="S20" s="12">
        <v>45482.001388888886</v>
      </c>
      <c r="T20" s="5" t="s">
        <v>25</v>
      </c>
      <c r="U20" s="4"/>
      <c r="V20" s="4"/>
      <c r="W20" s="4"/>
      <c r="X20" s="4"/>
      <c r="Y20" s="4"/>
    </row>
    <row r="21">
      <c r="A21" s="5" t="s">
        <v>9741</v>
      </c>
      <c r="B21" s="9">
        <v>0.0</v>
      </c>
      <c r="C21" s="9">
        <v>1.0</v>
      </c>
      <c r="D21" s="9">
        <v>0.0</v>
      </c>
      <c r="E21" s="9">
        <v>2.0</v>
      </c>
      <c r="F21" s="9">
        <v>1.0</v>
      </c>
      <c r="G21" s="9">
        <v>0.0</v>
      </c>
      <c r="H21" s="9">
        <v>2.0</v>
      </c>
      <c r="I21" s="9">
        <v>0.0</v>
      </c>
      <c r="J21" s="5">
        <f t="shared" ref="J21:K21" si="26">B21+D21+F21+H21</f>
        <v>3</v>
      </c>
      <c r="K21" s="4">
        <f t="shared" si="26"/>
        <v>3</v>
      </c>
      <c r="L21" s="10">
        <f t="shared" si="3"/>
        <v>50</v>
      </c>
      <c r="M21" s="10">
        <f t="shared" si="4"/>
        <v>0</v>
      </c>
      <c r="N21" s="10">
        <f t="shared" si="5"/>
        <v>0</v>
      </c>
      <c r="O21" s="10">
        <f t="shared" si="6"/>
        <v>100</v>
      </c>
      <c r="P21" s="10">
        <f t="shared" si="7"/>
        <v>100</v>
      </c>
      <c r="Q21" s="11">
        <f t="shared" si="8"/>
        <v>20</v>
      </c>
      <c r="R21" s="9">
        <v>0.0</v>
      </c>
      <c r="S21" s="12">
        <v>45482.947222222225</v>
      </c>
      <c r="T21" s="5" t="s">
        <v>25</v>
      </c>
      <c r="U21" s="4"/>
      <c r="V21" s="4"/>
      <c r="W21" s="4"/>
      <c r="X21" s="4"/>
      <c r="Y21" s="4"/>
    </row>
    <row r="22">
      <c r="A22" s="5" t="s">
        <v>45</v>
      </c>
      <c r="B22" s="5">
        <v>1.0</v>
      </c>
      <c r="C22" s="9">
        <v>0.0</v>
      </c>
      <c r="D22" s="9">
        <v>1.0</v>
      </c>
      <c r="E22" s="9">
        <v>1.0</v>
      </c>
      <c r="F22" s="5">
        <v>1.0</v>
      </c>
      <c r="G22" s="5">
        <v>1.0</v>
      </c>
      <c r="H22" s="9">
        <v>0.0</v>
      </c>
      <c r="I22" s="5">
        <v>0.0</v>
      </c>
      <c r="J22" s="5">
        <f t="shared" ref="J22:K22" si="27">B22+D22+F22+H22</f>
        <v>3</v>
      </c>
      <c r="K22" s="4">
        <f t="shared" si="27"/>
        <v>2</v>
      </c>
      <c r="L22" s="10">
        <f t="shared" si="3"/>
        <v>60</v>
      </c>
      <c r="M22" s="10">
        <f t="shared" si="4"/>
        <v>100</v>
      </c>
      <c r="N22" s="10">
        <f t="shared" si="5"/>
        <v>50</v>
      </c>
      <c r="O22" s="10">
        <f t="shared" si="6"/>
        <v>50</v>
      </c>
      <c r="P22" s="10">
        <f t="shared" si="7"/>
        <v>0</v>
      </c>
      <c r="Q22" s="11">
        <f t="shared" si="8"/>
        <v>21</v>
      </c>
      <c r="R22" s="9">
        <v>0.0</v>
      </c>
      <c r="S22" s="12">
        <v>45485.021527777775</v>
      </c>
      <c r="T22" s="5" t="s">
        <v>25</v>
      </c>
      <c r="U22" s="4"/>
      <c r="V22" s="4"/>
      <c r="W22" s="4"/>
      <c r="X22" s="4"/>
      <c r="Y22" s="4"/>
    </row>
    <row r="23">
      <c r="A23" s="5" t="s">
        <v>41</v>
      </c>
      <c r="B23" s="9">
        <v>0.0</v>
      </c>
      <c r="C23" s="9">
        <v>0.0</v>
      </c>
      <c r="D23" s="9">
        <v>0.0</v>
      </c>
      <c r="E23" s="9">
        <v>0.0</v>
      </c>
      <c r="F23" s="9">
        <v>0.0</v>
      </c>
      <c r="G23" s="9">
        <v>0.0</v>
      </c>
      <c r="H23" s="9">
        <v>2.0</v>
      </c>
      <c r="I23" s="9">
        <v>6.0</v>
      </c>
      <c r="J23" s="5">
        <f t="shared" ref="J23:K23" si="28">B23+D23+F23+H23</f>
        <v>2</v>
      </c>
      <c r="K23" s="4">
        <f t="shared" si="28"/>
        <v>6</v>
      </c>
      <c r="L23" s="10">
        <f t="shared" si="3"/>
        <v>25</v>
      </c>
      <c r="M23" s="10">
        <f t="shared" si="4"/>
        <v>0</v>
      </c>
      <c r="N23" s="10">
        <f t="shared" si="5"/>
        <v>0</v>
      </c>
      <c r="O23" s="10">
        <f t="shared" si="6"/>
        <v>0</v>
      </c>
      <c r="P23" s="10">
        <f t="shared" si="7"/>
        <v>25</v>
      </c>
      <c r="Q23" s="11">
        <f t="shared" si="8"/>
        <v>22</v>
      </c>
      <c r="R23" s="9">
        <v>0.0</v>
      </c>
      <c r="S23" s="12">
        <v>45476.07777777778</v>
      </c>
      <c r="T23" s="5" t="s">
        <v>25</v>
      </c>
      <c r="U23" s="4"/>
      <c r="V23" s="4"/>
      <c r="W23" s="4"/>
      <c r="X23" s="4"/>
      <c r="Y23" s="4"/>
    </row>
    <row r="24">
      <c r="A24" s="5" t="s">
        <v>44</v>
      </c>
      <c r="B24" s="9">
        <v>1.0</v>
      </c>
      <c r="C24" s="9">
        <v>1.0</v>
      </c>
      <c r="D24" s="9">
        <v>0.0</v>
      </c>
      <c r="E24" s="9">
        <v>1.0</v>
      </c>
      <c r="F24" s="9">
        <v>1.0</v>
      </c>
      <c r="G24" s="9">
        <v>3.0</v>
      </c>
      <c r="H24" s="9">
        <v>0.0</v>
      </c>
      <c r="I24" s="9">
        <v>1.0</v>
      </c>
      <c r="J24" s="5">
        <f t="shared" ref="J24:K24" si="29">B24+D24+F24+H24</f>
        <v>2</v>
      </c>
      <c r="K24" s="4">
        <f t="shared" si="29"/>
        <v>6</v>
      </c>
      <c r="L24" s="10">
        <f t="shared" si="3"/>
        <v>25</v>
      </c>
      <c r="M24" s="10">
        <f t="shared" si="4"/>
        <v>50</v>
      </c>
      <c r="N24" s="10">
        <f t="shared" si="5"/>
        <v>0</v>
      </c>
      <c r="O24" s="10">
        <f t="shared" si="6"/>
        <v>25</v>
      </c>
      <c r="P24" s="10">
        <f t="shared" si="7"/>
        <v>0</v>
      </c>
      <c r="Q24" s="11">
        <f t="shared" si="8"/>
        <v>23</v>
      </c>
      <c r="R24" s="9">
        <v>0.0</v>
      </c>
      <c r="S24" s="12">
        <v>45487.85555555556</v>
      </c>
      <c r="T24" s="5" t="s">
        <v>25</v>
      </c>
      <c r="U24" s="4"/>
      <c r="V24" s="4"/>
      <c r="W24" s="4"/>
      <c r="X24" s="4"/>
      <c r="Y24" s="4"/>
    </row>
    <row r="25">
      <c r="A25" s="5" t="s">
        <v>9731</v>
      </c>
      <c r="B25" s="9">
        <v>0.0</v>
      </c>
      <c r="C25" s="9">
        <v>0.0</v>
      </c>
      <c r="D25" s="9">
        <v>1.0</v>
      </c>
      <c r="E25" s="9">
        <v>3.0</v>
      </c>
      <c r="F25" s="9">
        <v>1.0</v>
      </c>
      <c r="G25" s="9">
        <v>1.0</v>
      </c>
      <c r="H25" s="9">
        <v>0.0</v>
      </c>
      <c r="I25" s="9">
        <v>0.0</v>
      </c>
      <c r="J25" s="5">
        <f t="shared" ref="J25:K25" si="30">B25+D25+F25+H25</f>
        <v>2</v>
      </c>
      <c r="K25" s="4">
        <f t="shared" si="30"/>
        <v>4</v>
      </c>
      <c r="L25" s="10">
        <f t="shared" si="3"/>
        <v>33.3</v>
      </c>
      <c r="M25" s="10">
        <f t="shared" si="4"/>
        <v>0</v>
      </c>
      <c r="N25" s="10">
        <f t="shared" si="5"/>
        <v>25</v>
      </c>
      <c r="O25" s="10">
        <f t="shared" si="6"/>
        <v>50</v>
      </c>
      <c r="P25" s="10">
        <f t="shared" si="7"/>
        <v>0</v>
      </c>
      <c r="Q25" s="11">
        <f t="shared" si="8"/>
        <v>24</v>
      </c>
      <c r="R25" s="9">
        <v>0.0</v>
      </c>
      <c r="S25" s="12">
        <v>45488.04791666667</v>
      </c>
      <c r="T25" s="5" t="s">
        <v>25</v>
      </c>
      <c r="U25" s="4"/>
      <c r="V25" s="4"/>
      <c r="W25" s="4"/>
      <c r="X25" s="4"/>
      <c r="Y25" s="4"/>
    </row>
    <row r="26">
      <c r="A26" s="5" t="s">
        <v>9774</v>
      </c>
      <c r="B26" s="9">
        <v>0.0</v>
      </c>
      <c r="C26" s="9">
        <v>1.0</v>
      </c>
      <c r="D26" s="9">
        <v>0.0</v>
      </c>
      <c r="E26" s="9">
        <v>1.0</v>
      </c>
      <c r="F26" s="9">
        <v>1.0</v>
      </c>
      <c r="G26" s="9">
        <v>0.0</v>
      </c>
      <c r="H26" s="9">
        <v>0.0</v>
      </c>
      <c r="I26" s="9">
        <v>0.0</v>
      </c>
      <c r="J26" s="5">
        <f t="shared" ref="J26:K26" si="31">B26+D26+F26+H26</f>
        <v>1</v>
      </c>
      <c r="K26" s="4">
        <f t="shared" si="31"/>
        <v>2</v>
      </c>
      <c r="L26" s="10">
        <f t="shared" si="3"/>
        <v>33.3</v>
      </c>
      <c r="M26" s="10">
        <f t="shared" si="4"/>
        <v>0</v>
      </c>
      <c r="N26" s="10">
        <f t="shared" si="5"/>
        <v>0</v>
      </c>
      <c r="O26" s="10">
        <f t="shared" si="6"/>
        <v>100</v>
      </c>
      <c r="P26" s="10">
        <f t="shared" si="7"/>
        <v>0</v>
      </c>
      <c r="Q26" s="11">
        <f t="shared" si="8"/>
        <v>25</v>
      </c>
      <c r="R26" s="9">
        <v>0.0</v>
      </c>
      <c r="S26" s="12">
        <v>45476.94027777778</v>
      </c>
      <c r="T26" s="5" t="s">
        <v>25</v>
      </c>
      <c r="U26" s="4"/>
      <c r="V26" s="4"/>
      <c r="W26" s="4"/>
      <c r="X26" s="4"/>
      <c r="Y26" s="4"/>
    </row>
    <row r="27">
      <c r="A27" s="5" t="s">
        <v>43</v>
      </c>
      <c r="B27" s="9">
        <v>0.0</v>
      </c>
      <c r="C27" s="9">
        <v>0.0</v>
      </c>
      <c r="D27" s="9">
        <v>0.0</v>
      </c>
      <c r="E27" s="9">
        <v>0.0</v>
      </c>
      <c r="F27" s="9">
        <v>0.0</v>
      </c>
      <c r="G27" s="9">
        <v>1.0</v>
      </c>
      <c r="H27" s="9">
        <v>1.0</v>
      </c>
      <c r="I27" s="9">
        <v>0.0</v>
      </c>
      <c r="J27" s="5">
        <f t="shared" ref="J27:K27" si="32">B27+D27+F27+H27</f>
        <v>1</v>
      </c>
      <c r="K27" s="4">
        <f t="shared" si="32"/>
        <v>1</v>
      </c>
      <c r="L27" s="10">
        <f t="shared" si="3"/>
        <v>50</v>
      </c>
      <c r="M27" s="10">
        <f t="shared" si="4"/>
        <v>0</v>
      </c>
      <c r="N27" s="10">
        <f t="shared" si="5"/>
        <v>0</v>
      </c>
      <c r="O27" s="10">
        <f t="shared" si="6"/>
        <v>0</v>
      </c>
      <c r="P27" s="10">
        <f t="shared" si="7"/>
        <v>100</v>
      </c>
      <c r="Q27" s="11">
        <f t="shared" si="8"/>
        <v>26</v>
      </c>
      <c r="R27" s="9">
        <v>0.0</v>
      </c>
      <c r="S27" s="12">
        <v>45480.89166666667</v>
      </c>
      <c r="T27" s="5" t="s">
        <v>47</v>
      </c>
      <c r="U27" s="4"/>
      <c r="V27" s="4"/>
      <c r="W27" s="4"/>
      <c r="X27" s="4"/>
      <c r="Y27" s="4"/>
    </row>
    <row r="28">
      <c r="A28" s="5" t="s">
        <v>9722</v>
      </c>
      <c r="B28" s="9">
        <v>0.0</v>
      </c>
      <c r="C28" s="9">
        <v>0.0</v>
      </c>
      <c r="D28" s="9">
        <v>0.0</v>
      </c>
      <c r="E28" s="9">
        <v>0.0</v>
      </c>
      <c r="F28" s="9">
        <v>1.0</v>
      </c>
      <c r="G28" s="9">
        <v>1.0</v>
      </c>
      <c r="H28" s="9">
        <v>0.0</v>
      </c>
      <c r="I28" s="9">
        <v>1.0</v>
      </c>
      <c r="J28" s="5">
        <f t="shared" ref="J28:K28" si="33">B28+D28+F28+H28</f>
        <v>1</v>
      </c>
      <c r="K28" s="4">
        <f t="shared" si="33"/>
        <v>2</v>
      </c>
      <c r="L28" s="10">
        <f t="shared" si="3"/>
        <v>33.3</v>
      </c>
      <c r="M28" s="10">
        <f t="shared" si="4"/>
        <v>0</v>
      </c>
      <c r="N28" s="10">
        <f t="shared" si="5"/>
        <v>0</v>
      </c>
      <c r="O28" s="10">
        <f t="shared" si="6"/>
        <v>50</v>
      </c>
      <c r="P28" s="10">
        <f t="shared" si="7"/>
        <v>0</v>
      </c>
      <c r="Q28" s="11">
        <f t="shared" si="8"/>
        <v>27</v>
      </c>
      <c r="R28" s="9">
        <v>0.0</v>
      </c>
      <c r="S28" s="12">
        <v>45488.04791666667</v>
      </c>
      <c r="T28" s="5" t="s">
        <v>25</v>
      </c>
      <c r="U28" s="4"/>
      <c r="V28" s="4"/>
      <c r="W28" s="4"/>
      <c r="X28" s="4"/>
      <c r="Y28" s="4"/>
    </row>
    <row r="29">
      <c r="A29" s="5" t="s">
        <v>9770</v>
      </c>
      <c r="B29" s="9">
        <v>0.0</v>
      </c>
      <c r="C29" s="9">
        <v>3.0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5">
        <f t="shared" ref="J29:K29" si="34">B29+D29+F29+H29</f>
        <v>0</v>
      </c>
      <c r="K29" s="4">
        <f t="shared" si="34"/>
        <v>3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45478.70208333333</v>
      </c>
      <c r="T29" s="5" t="s">
        <v>25</v>
      </c>
      <c r="U29" s="4"/>
      <c r="V29" s="4"/>
      <c r="W29" s="4"/>
      <c r="X29" s="4"/>
      <c r="Y29" s="4"/>
    </row>
    <row r="30">
      <c r="A30" s="5" t="s">
        <v>9767</v>
      </c>
      <c r="B30" s="9">
        <v>0.0</v>
      </c>
      <c r="C30" s="9">
        <v>0.0</v>
      </c>
      <c r="D30" s="9">
        <v>0.0</v>
      </c>
      <c r="E30" s="9">
        <v>0.0</v>
      </c>
      <c r="F30" s="9">
        <v>0.0</v>
      </c>
      <c r="G30" s="9">
        <v>1.0</v>
      </c>
      <c r="H30" s="9">
        <v>0.0</v>
      </c>
      <c r="I30" s="9">
        <v>1.0</v>
      </c>
      <c r="J30" s="5">
        <f t="shared" ref="J30:K30" si="35">B30+D30+F30+H30</f>
        <v>0</v>
      </c>
      <c r="K30" s="4">
        <f t="shared" si="35"/>
        <v>2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>
        <f t="shared" si="8"/>
        <v>29</v>
      </c>
      <c r="R30" s="9">
        <v>0.0</v>
      </c>
      <c r="S30" s="12">
        <v>45481.756944444445</v>
      </c>
      <c r="T30" s="5" t="s">
        <v>25</v>
      </c>
      <c r="U30" s="4"/>
      <c r="V30" s="4"/>
      <c r="W30" s="4"/>
      <c r="X30" s="4"/>
      <c r="Y30" s="4"/>
    </row>
    <row r="31">
      <c r="A31" s="5" t="s">
        <v>48</v>
      </c>
      <c r="B31" s="9">
        <v>0.0</v>
      </c>
      <c r="C31" s="9">
        <v>0.0</v>
      </c>
      <c r="D31" s="9">
        <v>0.0</v>
      </c>
      <c r="E31" s="9">
        <v>0.0</v>
      </c>
      <c r="F31" s="9">
        <v>0.0</v>
      </c>
      <c r="G31" s="9">
        <v>2.0</v>
      </c>
      <c r="H31" s="9">
        <v>0.0</v>
      </c>
      <c r="I31" s="9">
        <v>0.0</v>
      </c>
      <c r="J31" s="5">
        <f t="shared" ref="J31:K31" si="36">B31+D31+F31+H31</f>
        <v>0</v>
      </c>
      <c r="K31" s="4">
        <f t="shared" si="36"/>
        <v>2</v>
      </c>
      <c r="L31" s="10">
        <f t="shared" si="3"/>
        <v>0</v>
      </c>
      <c r="M31" s="10">
        <f t="shared" si="4"/>
        <v>0</v>
      </c>
      <c r="N31" s="10">
        <f t="shared" si="5"/>
        <v>0</v>
      </c>
      <c r="O31" s="10">
        <f t="shared" si="6"/>
        <v>0</v>
      </c>
      <c r="P31" s="10">
        <f t="shared" si="7"/>
        <v>0</v>
      </c>
      <c r="Q31" s="11">
        <f t="shared" si="8"/>
        <v>30</v>
      </c>
      <c r="R31" s="9">
        <v>0.0</v>
      </c>
      <c r="S31" s="12">
        <v>45482.001388888886</v>
      </c>
      <c r="T31" s="5" t="s">
        <v>25</v>
      </c>
      <c r="U31" s="4"/>
      <c r="V31" s="4"/>
      <c r="W31" s="4"/>
      <c r="X31" s="4"/>
      <c r="Y31" s="4"/>
    </row>
    <row r="32">
      <c r="A32" s="5" t="s">
        <v>46</v>
      </c>
      <c r="B32" s="9">
        <v>0.0</v>
      </c>
      <c r="C32" s="5">
        <v>0.0</v>
      </c>
      <c r="D32" s="9">
        <v>0.0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5">
        <f t="shared" ref="J32:K32" si="37">B32+D32+F32+H32</f>
        <v>0</v>
      </c>
      <c r="K32" s="4">
        <f t="shared" si="37"/>
        <v>0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>
        <f t="shared" si="6"/>
        <v>0</v>
      </c>
      <c r="P32" s="10">
        <f t="shared" si="7"/>
        <v>0</v>
      </c>
      <c r="Q32" s="11">
        <f t="shared" si="8"/>
        <v>31</v>
      </c>
      <c r="R32" s="9">
        <v>0.0</v>
      </c>
      <c r="S32" s="12">
        <v>45488.93125</v>
      </c>
      <c r="T32" s="5" t="s">
        <v>47</v>
      </c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4"/>
      <c r="V1" s="4"/>
      <c r="W1" s="4"/>
      <c r="X1" s="4"/>
      <c r="Y1" s="4"/>
    </row>
    <row r="2">
      <c r="A2" s="5" t="s">
        <v>36</v>
      </c>
      <c r="B2" s="9">
        <v>8.0</v>
      </c>
      <c r="C2" s="9">
        <v>7.0</v>
      </c>
      <c r="D2" s="9">
        <v>7.0</v>
      </c>
      <c r="E2" s="9">
        <v>9.0</v>
      </c>
      <c r="F2" s="9">
        <v>10.0</v>
      </c>
      <c r="G2" s="9">
        <v>4.0</v>
      </c>
      <c r="H2" s="9">
        <v>13.0</v>
      </c>
      <c r="I2" s="9">
        <v>11.0</v>
      </c>
      <c r="J2" s="5">
        <f t="shared" ref="J2:K2" si="1">B2+D2+F2+H2</f>
        <v>38</v>
      </c>
      <c r="K2" s="4">
        <f t="shared" si="1"/>
        <v>31</v>
      </c>
      <c r="L2" s="10">
        <f t="shared" ref="L2:L32" si="3">ROUND(IFERROR(J2/(J2+K2),0)*100,1)</f>
        <v>55.1</v>
      </c>
      <c r="M2" s="10">
        <f t="shared" ref="M2:M32" si="4">ROUND(IFERROR(B2/(B2+C2),0)*100,1)</f>
        <v>53.3</v>
      </c>
      <c r="N2" s="10">
        <f t="shared" ref="N2:N32" si="5">ROUND(IFERROR(D2/(D2+E2),0)*100,1)</f>
        <v>43.8</v>
      </c>
      <c r="O2" s="10">
        <f t="shared" ref="O2:O32" si="6">ROUND(IFERROR(F2/(F2+G2),0)*100,1)</f>
        <v>71.4</v>
      </c>
      <c r="P2" s="10">
        <f t="shared" ref="P2:P32" si="7">ROUND(IFERROR(H2/(I2+H2),0)*100,1)</f>
        <v>54.2</v>
      </c>
      <c r="Q2" s="11">
        <f t="shared" ref="Q2:Q32" si="8">ROW()-1</f>
        <v>1</v>
      </c>
      <c r="R2" s="9">
        <v>1275.0</v>
      </c>
      <c r="S2" s="12">
        <v>45508.99930555555</v>
      </c>
      <c r="T2" s="5" t="s">
        <v>25</v>
      </c>
      <c r="U2" s="4"/>
      <c r="V2" s="4"/>
      <c r="W2" s="4"/>
      <c r="X2" s="4"/>
      <c r="Y2" s="4"/>
    </row>
    <row r="3">
      <c r="A3" s="5" t="s">
        <v>30</v>
      </c>
      <c r="B3" s="9">
        <v>7.0</v>
      </c>
      <c r="C3" s="9">
        <v>9.0</v>
      </c>
      <c r="D3" s="9">
        <v>11.0</v>
      </c>
      <c r="E3" s="9">
        <v>6.0</v>
      </c>
      <c r="F3" s="9">
        <v>10.0</v>
      </c>
      <c r="G3" s="9">
        <v>5.0</v>
      </c>
      <c r="H3" s="9">
        <v>13.0</v>
      </c>
      <c r="I3" s="9">
        <v>10.0</v>
      </c>
      <c r="J3" s="5">
        <f t="shared" ref="J3:K3" si="2">B3+D3+F3+H3</f>
        <v>41</v>
      </c>
      <c r="K3" s="4">
        <f t="shared" si="2"/>
        <v>30</v>
      </c>
      <c r="L3" s="10">
        <f t="shared" si="3"/>
        <v>57.7</v>
      </c>
      <c r="M3" s="10">
        <f t="shared" si="4"/>
        <v>43.8</v>
      </c>
      <c r="N3" s="10">
        <f t="shared" si="5"/>
        <v>64.7</v>
      </c>
      <c r="O3" s="10">
        <f t="shared" si="6"/>
        <v>66.7</v>
      </c>
      <c r="P3" s="10">
        <f t="shared" si="7"/>
        <v>56.5</v>
      </c>
      <c r="Q3" s="11">
        <f t="shared" si="8"/>
        <v>2</v>
      </c>
      <c r="R3" s="9">
        <v>1264.0</v>
      </c>
      <c r="S3" s="12">
        <v>45509.11041666667</v>
      </c>
      <c r="T3" s="5" t="s">
        <v>25</v>
      </c>
      <c r="U3" s="4"/>
      <c r="V3" s="4"/>
      <c r="W3" s="4"/>
      <c r="X3" s="4"/>
      <c r="Y3" s="4"/>
    </row>
    <row r="4">
      <c r="A4" s="5" t="s">
        <v>35</v>
      </c>
      <c r="B4" s="9">
        <v>6.0</v>
      </c>
      <c r="C4" s="9">
        <v>9.0</v>
      </c>
      <c r="D4" s="9">
        <v>9.0</v>
      </c>
      <c r="E4" s="9">
        <v>3.0</v>
      </c>
      <c r="F4" s="9">
        <v>6.0</v>
      </c>
      <c r="G4" s="9">
        <v>3.0</v>
      </c>
      <c r="H4" s="9">
        <v>1.0</v>
      </c>
      <c r="I4" s="9">
        <v>2.0</v>
      </c>
      <c r="J4" s="5">
        <f t="shared" ref="J4:K4" si="9">B4+D4+F4+H4</f>
        <v>22</v>
      </c>
      <c r="K4" s="4">
        <f t="shared" si="9"/>
        <v>17</v>
      </c>
      <c r="L4" s="10">
        <f t="shared" si="3"/>
        <v>56.4</v>
      </c>
      <c r="M4" s="10">
        <f t="shared" si="4"/>
        <v>40</v>
      </c>
      <c r="N4" s="10">
        <f t="shared" si="5"/>
        <v>75</v>
      </c>
      <c r="O4" s="10">
        <f t="shared" si="6"/>
        <v>66.7</v>
      </c>
      <c r="P4" s="10">
        <f t="shared" si="7"/>
        <v>33.3</v>
      </c>
      <c r="Q4" s="11">
        <f t="shared" si="8"/>
        <v>3</v>
      </c>
      <c r="R4" s="9">
        <v>1243.0</v>
      </c>
      <c r="S4" s="12">
        <v>45509.11041666667</v>
      </c>
      <c r="T4" s="5" t="s">
        <v>25</v>
      </c>
      <c r="U4" s="4"/>
      <c r="V4" s="4"/>
      <c r="W4" s="4"/>
      <c r="X4" s="4"/>
      <c r="Y4" s="4"/>
    </row>
    <row r="5">
      <c r="A5" s="5" t="s">
        <v>60</v>
      </c>
      <c r="B5" s="9">
        <v>14.0</v>
      </c>
      <c r="C5" s="9">
        <v>10.0</v>
      </c>
      <c r="D5" s="9">
        <v>8.0</v>
      </c>
      <c r="E5" s="9">
        <v>7.0</v>
      </c>
      <c r="F5" s="9">
        <v>11.0</v>
      </c>
      <c r="G5" s="9">
        <v>9.0</v>
      </c>
      <c r="H5" s="9">
        <v>7.0</v>
      </c>
      <c r="I5" s="9">
        <v>11.0</v>
      </c>
      <c r="J5" s="5">
        <f t="shared" ref="J5:K5" si="10">B5+D5+F5+H5</f>
        <v>40</v>
      </c>
      <c r="K5" s="4">
        <f t="shared" si="10"/>
        <v>37</v>
      </c>
      <c r="L5" s="10">
        <f t="shared" si="3"/>
        <v>51.9</v>
      </c>
      <c r="M5" s="10">
        <f t="shared" si="4"/>
        <v>58.3</v>
      </c>
      <c r="N5" s="10">
        <f t="shared" si="5"/>
        <v>53.3</v>
      </c>
      <c r="O5" s="10">
        <f t="shared" si="6"/>
        <v>55</v>
      </c>
      <c r="P5" s="10">
        <f t="shared" si="7"/>
        <v>38.9</v>
      </c>
      <c r="Q5" s="11">
        <f t="shared" si="8"/>
        <v>4</v>
      </c>
      <c r="R5" s="9">
        <v>1238.0</v>
      </c>
      <c r="S5" s="12">
        <v>45506.01527777778</v>
      </c>
      <c r="T5" s="5" t="s">
        <v>25</v>
      </c>
      <c r="U5" s="4"/>
      <c r="V5" s="4"/>
      <c r="W5" s="4"/>
      <c r="X5" s="4"/>
      <c r="Y5" s="4"/>
    </row>
    <row r="6">
      <c r="A6" s="5" t="s">
        <v>9609</v>
      </c>
      <c r="B6" s="9">
        <v>8.0</v>
      </c>
      <c r="C6" s="9">
        <v>3.0</v>
      </c>
      <c r="D6" s="9">
        <v>2.0</v>
      </c>
      <c r="E6" s="9">
        <v>4.0</v>
      </c>
      <c r="F6" s="9">
        <v>5.0</v>
      </c>
      <c r="G6" s="9">
        <v>4.0</v>
      </c>
      <c r="H6" s="9">
        <v>15.0</v>
      </c>
      <c r="I6" s="9">
        <v>6.0</v>
      </c>
      <c r="J6" s="5">
        <f t="shared" ref="J6:K6" si="11">B6+D6+F6+H6</f>
        <v>30</v>
      </c>
      <c r="K6" s="4">
        <f t="shared" si="11"/>
        <v>17</v>
      </c>
      <c r="L6" s="10">
        <f t="shared" si="3"/>
        <v>63.8</v>
      </c>
      <c r="M6" s="10">
        <f t="shared" si="4"/>
        <v>72.7</v>
      </c>
      <c r="N6" s="10">
        <f t="shared" si="5"/>
        <v>33.3</v>
      </c>
      <c r="O6" s="10">
        <f t="shared" si="6"/>
        <v>55.6</v>
      </c>
      <c r="P6" s="10">
        <f t="shared" si="7"/>
        <v>71.4</v>
      </c>
      <c r="Q6" s="11">
        <f t="shared" si="8"/>
        <v>5</v>
      </c>
      <c r="R6" s="9">
        <v>1237.0</v>
      </c>
      <c r="S6" s="12">
        <v>45509.11041666667</v>
      </c>
      <c r="T6" s="5" t="s">
        <v>25</v>
      </c>
      <c r="U6" s="4"/>
      <c r="V6" s="4"/>
      <c r="W6" s="4"/>
      <c r="X6" s="4"/>
      <c r="Y6" s="4"/>
    </row>
    <row r="7">
      <c r="A7" s="5" t="s">
        <v>9711</v>
      </c>
      <c r="B7" s="9">
        <v>8.0</v>
      </c>
      <c r="C7" s="9">
        <v>2.0</v>
      </c>
      <c r="D7" s="9">
        <v>2.0</v>
      </c>
      <c r="E7" s="9">
        <v>5.0</v>
      </c>
      <c r="F7" s="9">
        <v>7.0</v>
      </c>
      <c r="G7" s="9">
        <v>10.0</v>
      </c>
      <c r="H7" s="9">
        <v>2.0</v>
      </c>
      <c r="I7" s="9">
        <v>3.0</v>
      </c>
      <c r="J7" s="5">
        <f t="shared" ref="J7:K7" si="12">B7+D7+F7+H7</f>
        <v>19</v>
      </c>
      <c r="K7" s="4">
        <f t="shared" si="12"/>
        <v>20</v>
      </c>
      <c r="L7" s="10">
        <f t="shared" si="3"/>
        <v>48.7</v>
      </c>
      <c r="M7" s="10">
        <f t="shared" si="4"/>
        <v>80</v>
      </c>
      <c r="N7" s="10">
        <f t="shared" si="5"/>
        <v>28.6</v>
      </c>
      <c r="O7" s="10">
        <f t="shared" si="6"/>
        <v>41.2</v>
      </c>
      <c r="P7" s="10">
        <f t="shared" si="7"/>
        <v>40</v>
      </c>
      <c r="Q7" s="11">
        <f t="shared" si="8"/>
        <v>6</v>
      </c>
      <c r="R7" s="9">
        <v>1220.0</v>
      </c>
      <c r="S7" s="12">
        <v>45506.01527777778</v>
      </c>
      <c r="T7" s="5" t="s">
        <v>25</v>
      </c>
      <c r="U7" s="4"/>
      <c r="V7" s="4"/>
      <c r="W7" s="4"/>
      <c r="X7" s="4"/>
      <c r="Y7" s="4"/>
    </row>
    <row r="8">
      <c r="A8" s="5" t="s">
        <v>53</v>
      </c>
      <c r="B8" s="9">
        <v>10.0</v>
      </c>
      <c r="C8" s="9">
        <v>8.0</v>
      </c>
      <c r="D8" s="9">
        <v>12.0</v>
      </c>
      <c r="E8" s="9">
        <v>5.0</v>
      </c>
      <c r="F8" s="9">
        <v>5.0</v>
      </c>
      <c r="G8" s="9">
        <v>4.0</v>
      </c>
      <c r="H8" s="9">
        <v>8.0</v>
      </c>
      <c r="I8" s="9">
        <v>4.0</v>
      </c>
      <c r="J8" s="5">
        <f t="shared" ref="J8:K8" si="13">B8+D8+F8+H8</f>
        <v>35</v>
      </c>
      <c r="K8" s="4">
        <f t="shared" si="13"/>
        <v>21</v>
      </c>
      <c r="L8" s="10">
        <f t="shared" si="3"/>
        <v>62.5</v>
      </c>
      <c r="M8" s="10">
        <f t="shared" si="4"/>
        <v>55.6</v>
      </c>
      <c r="N8" s="10">
        <f t="shared" si="5"/>
        <v>70.6</v>
      </c>
      <c r="O8" s="10">
        <f t="shared" si="6"/>
        <v>55.6</v>
      </c>
      <c r="P8" s="10">
        <f t="shared" si="7"/>
        <v>66.7</v>
      </c>
      <c r="Q8" s="11">
        <f t="shared" si="8"/>
        <v>7</v>
      </c>
      <c r="R8" s="9">
        <v>1202.0</v>
      </c>
      <c r="S8" s="12">
        <v>45508.99930555555</v>
      </c>
      <c r="T8" s="5" t="s">
        <v>25</v>
      </c>
      <c r="U8" s="4"/>
      <c r="V8" s="4"/>
      <c r="W8" s="4"/>
      <c r="X8" s="4"/>
      <c r="Y8" s="4"/>
    </row>
    <row r="9">
      <c r="A9" s="5" t="s">
        <v>9722</v>
      </c>
      <c r="B9" s="9">
        <v>2.0</v>
      </c>
      <c r="C9" s="9">
        <v>6.0</v>
      </c>
      <c r="D9" s="9">
        <v>4.0</v>
      </c>
      <c r="E9" s="9">
        <v>5.0</v>
      </c>
      <c r="F9" s="9">
        <v>2.0</v>
      </c>
      <c r="G9" s="9">
        <v>2.0</v>
      </c>
      <c r="H9" s="9">
        <v>4.0</v>
      </c>
      <c r="I9" s="9">
        <v>2.0</v>
      </c>
      <c r="J9" s="5">
        <f t="shared" ref="J9:K9" si="14">B9+D9+F9+H9</f>
        <v>12</v>
      </c>
      <c r="K9" s="4">
        <f t="shared" si="14"/>
        <v>15</v>
      </c>
      <c r="L9" s="10">
        <f t="shared" si="3"/>
        <v>44.4</v>
      </c>
      <c r="M9" s="10">
        <f t="shared" si="4"/>
        <v>25</v>
      </c>
      <c r="N9" s="10">
        <f t="shared" si="5"/>
        <v>44.4</v>
      </c>
      <c r="O9" s="10">
        <f t="shared" si="6"/>
        <v>50</v>
      </c>
      <c r="P9" s="10">
        <f t="shared" si="7"/>
        <v>66.7</v>
      </c>
      <c r="Q9" s="11">
        <f t="shared" si="8"/>
        <v>8</v>
      </c>
      <c r="R9" s="9">
        <v>1198.0</v>
      </c>
      <c r="S9" s="12">
        <v>45509.02638888889</v>
      </c>
      <c r="T9" s="5" t="s">
        <v>25</v>
      </c>
      <c r="U9" s="4"/>
      <c r="V9" s="4"/>
      <c r="W9" s="4"/>
      <c r="X9" s="4"/>
      <c r="Y9" s="4"/>
    </row>
    <row r="10">
      <c r="A10" s="5" t="s">
        <v>26</v>
      </c>
      <c r="B10" s="9">
        <v>6.0</v>
      </c>
      <c r="C10" s="9">
        <v>9.0</v>
      </c>
      <c r="D10" s="9">
        <v>10.0</v>
      </c>
      <c r="E10" s="9">
        <v>11.0</v>
      </c>
      <c r="F10" s="9">
        <v>0.0</v>
      </c>
      <c r="G10" s="9">
        <v>0.0</v>
      </c>
      <c r="H10" s="9">
        <v>12.0</v>
      </c>
      <c r="I10" s="9">
        <v>18.0</v>
      </c>
      <c r="J10" s="5">
        <f t="shared" ref="J10:K10" si="15">B10+D10+F10+H10</f>
        <v>28</v>
      </c>
      <c r="K10" s="4">
        <f t="shared" si="15"/>
        <v>38</v>
      </c>
      <c r="L10" s="10">
        <f t="shared" si="3"/>
        <v>42.4</v>
      </c>
      <c r="M10" s="10">
        <f t="shared" si="4"/>
        <v>40</v>
      </c>
      <c r="N10" s="10">
        <f t="shared" si="5"/>
        <v>47.6</v>
      </c>
      <c r="O10" s="10">
        <f t="shared" si="6"/>
        <v>0</v>
      </c>
      <c r="P10" s="10">
        <f t="shared" si="7"/>
        <v>40</v>
      </c>
      <c r="Q10" s="11">
        <f t="shared" si="8"/>
        <v>9</v>
      </c>
      <c r="R10" s="9">
        <v>1169.0</v>
      </c>
      <c r="S10" s="12">
        <v>45509.11041666667</v>
      </c>
      <c r="T10" s="5" t="s">
        <v>25</v>
      </c>
      <c r="U10" s="4"/>
      <c r="V10" s="4"/>
      <c r="W10" s="4"/>
      <c r="X10" s="4"/>
      <c r="Y10" s="4"/>
    </row>
    <row r="11">
      <c r="A11" s="5" t="s">
        <v>9705</v>
      </c>
      <c r="B11" s="9">
        <v>0.0</v>
      </c>
      <c r="C11" s="9">
        <v>0.0</v>
      </c>
      <c r="D11" s="9">
        <v>3.0</v>
      </c>
      <c r="E11" s="9">
        <v>0.0</v>
      </c>
      <c r="F11" s="9">
        <v>5.0</v>
      </c>
      <c r="G11" s="9">
        <v>1.0</v>
      </c>
      <c r="H11" s="9">
        <v>2.0</v>
      </c>
      <c r="I11" s="9">
        <v>7.0</v>
      </c>
      <c r="J11" s="5">
        <f t="shared" ref="J11:K11" si="16">B11+D11+F11+H11</f>
        <v>10</v>
      </c>
      <c r="K11" s="4">
        <f t="shared" si="16"/>
        <v>8</v>
      </c>
      <c r="L11" s="10">
        <f t="shared" si="3"/>
        <v>55.6</v>
      </c>
      <c r="M11" s="10">
        <f t="shared" si="4"/>
        <v>0</v>
      </c>
      <c r="N11" s="10">
        <f t="shared" si="5"/>
        <v>100</v>
      </c>
      <c r="O11" s="10">
        <f t="shared" si="6"/>
        <v>83.3</v>
      </c>
      <c r="P11" s="10">
        <f t="shared" si="7"/>
        <v>22.2</v>
      </c>
      <c r="Q11" s="11">
        <f t="shared" si="8"/>
        <v>10</v>
      </c>
      <c r="R11" s="9">
        <v>1147.0</v>
      </c>
      <c r="S11" s="12">
        <v>45509.11041666667</v>
      </c>
      <c r="T11" s="5" t="s">
        <v>25</v>
      </c>
      <c r="U11" s="4"/>
      <c r="V11" s="4"/>
      <c r="W11" s="4"/>
      <c r="X11" s="4"/>
      <c r="Y11" s="4"/>
    </row>
    <row r="12">
      <c r="A12" s="5" t="s">
        <v>9694</v>
      </c>
      <c r="B12" s="9">
        <v>3.0</v>
      </c>
      <c r="C12" s="9">
        <v>2.0</v>
      </c>
      <c r="D12" s="9">
        <v>0.0</v>
      </c>
      <c r="E12" s="9">
        <v>0.0</v>
      </c>
      <c r="F12" s="9">
        <v>2.0</v>
      </c>
      <c r="G12" s="9">
        <v>3.0</v>
      </c>
      <c r="H12" s="9">
        <v>3.0</v>
      </c>
      <c r="I12" s="9">
        <v>2.0</v>
      </c>
      <c r="J12" s="5">
        <f t="shared" ref="J12:K12" si="17">B12+D12+F12+H12</f>
        <v>8</v>
      </c>
      <c r="K12" s="4">
        <f t="shared" si="17"/>
        <v>7</v>
      </c>
      <c r="L12" s="10">
        <f t="shared" si="3"/>
        <v>53.3</v>
      </c>
      <c r="M12" s="10">
        <f t="shared" si="4"/>
        <v>60</v>
      </c>
      <c r="N12" s="10">
        <f t="shared" si="5"/>
        <v>0</v>
      </c>
      <c r="O12" s="10">
        <f t="shared" si="6"/>
        <v>40</v>
      </c>
      <c r="P12" s="10">
        <f t="shared" si="7"/>
        <v>60</v>
      </c>
      <c r="Q12" s="11">
        <f t="shared" si="8"/>
        <v>11</v>
      </c>
      <c r="R12" s="9">
        <v>1146.0</v>
      </c>
      <c r="S12" s="12">
        <v>45506.01527777778</v>
      </c>
      <c r="T12" s="5" t="s">
        <v>47</v>
      </c>
      <c r="U12" s="4"/>
      <c r="V12" s="4"/>
      <c r="W12" s="4"/>
      <c r="X12" s="4"/>
      <c r="Y12" s="4"/>
    </row>
    <row r="13">
      <c r="A13" s="5" t="s">
        <v>34</v>
      </c>
      <c r="B13" s="9">
        <v>10.0</v>
      </c>
      <c r="C13" s="9">
        <v>13.0</v>
      </c>
      <c r="D13" s="9">
        <v>11.0</v>
      </c>
      <c r="E13" s="9">
        <v>11.0</v>
      </c>
      <c r="F13" s="9">
        <v>11.0</v>
      </c>
      <c r="G13" s="9">
        <v>13.0</v>
      </c>
      <c r="H13" s="9">
        <v>4.0</v>
      </c>
      <c r="I13" s="9">
        <v>8.0</v>
      </c>
      <c r="J13" s="5">
        <f t="shared" ref="J13:K13" si="18">B13+D13+F13+H13</f>
        <v>36</v>
      </c>
      <c r="K13" s="4">
        <f t="shared" si="18"/>
        <v>45</v>
      </c>
      <c r="L13" s="10">
        <f t="shared" si="3"/>
        <v>44.4</v>
      </c>
      <c r="M13" s="10">
        <f t="shared" si="4"/>
        <v>43.5</v>
      </c>
      <c r="N13" s="10">
        <f t="shared" si="5"/>
        <v>50</v>
      </c>
      <c r="O13" s="10">
        <f t="shared" si="6"/>
        <v>45.8</v>
      </c>
      <c r="P13" s="10">
        <f t="shared" si="7"/>
        <v>33.3</v>
      </c>
      <c r="Q13" s="11">
        <f t="shared" si="8"/>
        <v>12</v>
      </c>
      <c r="R13" s="9">
        <v>1121.0</v>
      </c>
      <c r="S13" s="12">
        <v>45509.02638888889</v>
      </c>
      <c r="T13" s="5" t="s">
        <v>25</v>
      </c>
      <c r="U13" s="4"/>
      <c r="V13" s="4"/>
      <c r="W13" s="4"/>
      <c r="X13" s="4"/>
      <c r="Y13" s="4"/>
    </row>
    <row r="14">
      <c r="A14" s="5" t="s">
        <v>9777</v>
      </c>
      <c r="B14" s="9">
        <v>0.0</v>
      </c>
      <c r="C14" s="9">
        <v>0.0</v>
      </c>
      <c r="D14" s="9">
        <v>5.0</v>
      </c>
      <c r="E14" s="9">
        <v>7.0</v>
      </c>
      <c r="F14" s="9">
        <v>3.0</v>
      </c>
      <c r="G14" s="9">
        <v>10.0</v>
      </c>
      <c r="H14" s="9">
        <v>4.0</v>
      </c>
      <c r="I14" s="9">
        <v>7.0</v>
      </c>
      <c r="J14" s="5">
        <f t="shared" ref="J14:K14" si="19">B14+D14+F14+H14</f>
        <v>12</v>
      </c>
      <c r="K14" s="4">
        <f t="shared" si="19"/>
        <v>24</v>
      </c>
      <c r="L14" s="10">
        <f t="shared" si="3"/>
        <v>33.3</v>
      </c>
      <c r="M14" s="10">
        <f t="shared" si="4"/>
        <v>0</v>
      </c>
      <c r="N14" s="10">
        <f t="shared" si="5"/>
        <v>41.7</v>
      </c>
      <c r="O14" s="10">
        <f t="shared" si="6"/>
        <v>23.1</v>
      </c>
      <c r="P14" s="10">
        <f t="shared" si="7"/>
        <v>36.4</v>
      </c>
      <c r="Q14" s="11">
        <f t="shared" si="8"/>
        <v>13</v>
      </c>
      <c r="R14" s="9">
        <v>1111.0</v>
      </c>
      <c r="S14" s="12">
        <v>45503.029861111114</v>
      </c>
      <c r="T14" s="5" t="s">
        <v>25</v>
      </c>
      <c r="U14" s="4"/>
      <c r="V14" s="4"/>
      <c r="W14" s="4"/>
      <c r="X14" s="4"/>
      <c r="Y14" s="4"/>
    </row>
    <row r="15">
      <c r="A15" s="5" t="s">
        <v>9741</v>
      </c>
      <c r="B15" s="9">
        <v>0.0</v>
      </c>
      <c r="C15" s="9">
        <v>0.0</v>
      </c>
      <c r="D15" s="9">
        <v>2.0</v>
      </c>
      <c r="E15" s="9">
        <v>2.0</v>
      </c>
      <c r="F15" s="9">
        <v>3.0</v>
      </c>
      <c r="G15" s="9">
        <v>1.0</v>
      </c>
      <c r="H15" s="9">
        <v>2.0</v>
      </c>
      <c r="I15" s="9">
        <v>1.0</v>
      </c>
      <c r="J15" s="5">
        <f t="shared" ref="J15:K15" si="20">B15+D15+F15+H15</f>
        <v>7</v>
      </c>
      <c r="K15" s="4">
        <f t="shared" si="20"/>
        <v>4</v>
      </c>
      <c r="L15" s="10">
        <f t="shared" si="3"/>
        <v>63.6</v>
      </c>
      <c r="M15" s="10">
        <f t="shared" si="4"/>
        <v>0</v>
      </c>
      <c r="N15" s="10">
        <f t="shared" si="5"/>
        <v>50</v>
      </c>
      <c r="O15" s="10">
        <f t="shared" si="6"/>
        <v>75</v>
      </c>
      <c r="P15" s="10">
        <f t="shared" si="7"/>
        <v>66.7</v>
      </c>
      <c r="Q15" s="11">
        <f t="shared" si="8"/>
        <v>14</v>
      </c>
      <c r="R15" s="9">
        <v>1104.0</v>
      </c>
      <c r="S15" s="12">
        <v>45505.97083333333</v>
      </c>
      <c r="T15" s="5" t="s">
        <v>25</v>
      </c>
      <c r="U15" s="4"/>
      <c r="V15" s="4"/>
      <c r="W15" s="4"/>
      <c r="X15" s="4"/>
      <c r="Y15" s="4"/>
    </row>
    <row r="16">
      <c r="A16" s="5" t="s">
        <v>9706</v>
      </c>
      <c r="B16" s="9">
        <v>4.0</v>
      </c>
      <c r="C16" s="9">
        <v>3.0</v>
      </c>
      <c r="D16" s="9">
        <v>3.0</v>
      </c>
      <c r="E16" s="9">
        <v>1.0</v>
      </c>
      <c r="F16" s="9">
        <v>2.0</v>
      </c>
      <c r="G16" s="9">
        <v>5.0</v>
      </c>
      <c r="H16" s="9">
        <v>2.0</v>
      </c>
      <c r="I16" s="9">
        <v>3.0</v>
      </c>
      <c r="J16" s="5">
        <f t="shared" ref="J16:K16" si="21">B16+D16+F16+H16</f>
        <v>11</v>
      </c>
      <c r="K16" s="4">
        <f t="shared" si="21"/>
        <v>12</v>
      </c>
      <c r="L16" s="10">
        <f t="shared" si="3"/>
        <v>47.8</v>
      </c>
      <c r="M16" s="10">
        <f t="shared" si="4"/>
        <v>57.1</v>
      </c>
      <c r="N16" s="10">
        <f t="shared" si="5"/>
        <v>75</v>
      </c>
      <c r="O16" s="10">
        <f t="shared" si="6"/>
        <v>28.6</v>
      </c>
      <c r="P16" s="10">
        <f t="shared" si="7"/>
        <v>40</v>
      </c>
      <c r="Q16" s="11">
        <f t="shared" si="8"/>
        <v>15</v>
      </c>
      <c r="R16" s="9">
        <v>1103.0</v>
      </c>
      <c r="S16" s="12">
        <v>45500.04375</v>
      </c>
      <c r="T16" s="5" t="s">
        <v>25</v>
      </c>
      <c r="U16" s="4"/>
      <c r="V16" s="4"/>
      <c r="W16" s="4"/>
      <c r="X16" s="4"/>
      <c r="Y16" s="4"/>
    </row>
    <row r="17">
      <c r="A17" s="5" t="s">
        <v>27</v>
      </c>
      <c r="B17" s="9">
        <v>2.0</v>
      </c>
      <c r="C17" s="9">
        <v>0.0</v>
      </c>
      <c r="D17" s="9">
        <v>1.0</v>
      </c>
      <c r="E17" s="9">
        <v>4.0</v>
      </c>
      <c r="F17" s="9">
        <v>2.0</v>
      </c>
      <c r="G17" s="9">
        <v>3.0</v>
      </c>
      <c r="H17" s="9">
        <v>0.0</v>
      </c>
      <c r="I17" s="9">
        <v>0.0</v>
      </c>
      <c r="J17" s="5">
        <f t="shared" ref="J17:K17" si="22">B17+D17+F17+H17</f>
        <v>5</v>
      </c>
      <c r="K17" s="4">
        <f t="shared" si="22"/>
        <v>7</v>
      </c>
      <c r="L17" s="10">
        <f t="shared" si="3"/>
        <v>41.7</v>
      </c>
      <c r="M17" s="10">
        <f t="shared" si="4"/>
        <v>100</v>
      </c>
      <c r="N17" s="10">
        <f t="shared" si="5"/>
        <v>20</v>
      </c>
      <c r="O17" s="10">
        <f t="shared" si="6"/>
        <v>40</v>
      </c>
      <c r="P17" s="10">
        <f t="shared" si="7"/>
        <v>0</v>
      </c>
      <c r="Q17" s="11">
        <f t="shared" si="8"/>
        <v>16</v>
      </c>
      <c r="R17" s="9">
        <v>1071.0</v>
      </c>
      <c r="S17" s="12">
        <v>45506.01527777778</v>
      </c>
      <c r="T17" s="5" t="s">
        <v>25</v>
      </c>
      <c r="U17" s="4"/>
      <c r="V17" s="4"/>
      <c r="W17" s="4"/>
      <c r="X17" s="4"/>
      <c r="Y17" s="4"/>
    </row>
    <row r="18">
      <c r="A18" s="5" t="s">
        <v>9731</v>
      </c>
      <c r="B18" s="9">
        <v>3.0</v>
      </c>
      <c r="C18" s="9">
        <v>4.0</v>
      </c>
      <c r="D18" s="9">
        <v>6.0</v>
      </c>
      <c r="E18" s="9">
        <v>11.0</v>
      </c>
      <c r="F18" s="9">
        <v>9.0</v>
      </c>
      <c r="G18" s="9">
        <v>6.0</v>
      </c>
      <c r="H18" s="9">
        <v>0.0</v>
      </c>
      <c r="I18" s="9">
        <v>0.0</v>
      </c>
      <c r="J18" s="5">
        <f t="shared" ref="J18:K18" si="23">B18+D18+F18+H18</f>
        <v>18</v>
      </c>
      <c r="K18" s="4">
        <f t="shared" si="23"/>
        <v>21</v>
      </c>
      <c r="L18" s="10">
        <f t="shared" si="3"/>
        <v>46.2</v>
      </c>
      <c r="M18" s="10">
        <f t="shared" si="4"/>
        <v>42.9</v>
      </c>
      <c r="N18" s="10">
        <f t="shared" si="5"/>
        <v>35.3</v>
      </c>
      <c r="O18" s="10">
        <f t="shared" si="6"/>
        <v>60</v>
      </c>
      <c r="P18" s="10">
        <f t="shared" si="7"/>
        <v>0</v>
      </c>
      <c r="Q18" s="11">
        <f t="shared" si="8"/>
        <v>17</v>
      </c>
      <c r="R18" s="9">
        <v>1065.0</v>
      </c>
      <c r="S18" s="12">
        <v>45500.15138888889</v>
      </c>
      <c r="T18" s="5" t="s">
        <v>25</v>
      </c>
      <c r="U18" s="4"/>
      <c r="V18" s="4"/>
      <c r="W18" s="4"/>
      <c r="X18" s="4"/>
      <c r="Y18" s="4"/>
    </row>
    <row r="19">
      <c r="A19" s="5" t="s">
        <v>9746</v>
      </c>
      <c r="B19" s="9">
        <v>3.0</v>
      </c>
      <c r="C19" s="9">
        <v>2.0</v>
      </c>
      <c r="D19" s="9">
        <v>1.0</v>
      </c>
      <c r="E19" s="9">
        <v>0.0</v>
      </c>
      <c r="F19" s="9">
        <v>0.0</v>
      </c>
      <c r="G19" s="9">
        <v>3.0</v>
      </c>
      <c r="H19" s="9">
        <v>1.0</v>
      </c>
      <c r="I19" s="9">
        <v>2.0</v>
      </c>
      <c r="J19" s="5">
        <f t="shared" ref="J19:K19" si="24">B19+D19+F19+H19</f>
        <v>5</v>
      </c>
      <c r="K19" s="4">
        <f t="shared" si="24"/>
        <v>7</v>
      </c>
      <c r="L19" s="10">
        <f t="shared" si="3"/>
        <v>41.7</v>
      </c>
      <c r="M19" s="10">
        <f t="shared" si="4"/>
        <v>60</v>
      </c>
      <c r="N19" s="10">
        <f t="shared" si="5"/>
        <v>100</v>
      </c>
      <c r="O19" s="10">
        <f t="shared" si="6"/>
        <v>0</v>
      </c>
      <c r="P19" s="10">
        <f t="shared" si="7"/>
        <v>33.3</v>
      </c>
      <c r="Q19" s="11">
        <f t="shared" si="8"/>
        <v>18</v>
      </c>
      <c r="R19" s="9">
        <v>1048.0</v>
      </c>
      <c r="S19" s="12">
        <v>45498.961805555555</v>
      </c>
      <c r="T19" s="5" t="s">
        <v>47</v>
      </c>
      <c r="U19" s="4"/>
      <c r="V19" s="4"/>
      <c r="W19" s="4"/>
      <c r="X19" s="4"/>
      <c r="Y19" s="4"/>
    </row>
    <row r="20">
      <c r="A20" s="5" t="s">
        <v>9774</v>
      </c>
      <c r="B20" s="9">
        <v>1.0</v>
      </c>
      <c r="C20" s="9">
        <v>1.0</v>
      </c>
      <c r="D20" s="9">
        <v>3.0</v>
      </c>
      <c r="E20" s="9">
        <v>1.0</v>
      </c>
      <c r="F20" s="9">
        <v>0.0</v>
      </c>
      <c r="G20" s="9">
        <v>4.0</v>
      </c>
      <c r="H20" s="9">
        <v>0.0</v>
      </c>
      <c r="I20" s="9">
        <v>0.0</v>
      </c>
      <c r="J20" s="5">
        <f t="shared" ref="J20:K20" si="25">B20+D20+F20+H20</f>
        <v>4</v>
      </c>
      <c r="K20" s="4">
        <f t="shared" si="25"/>
        <v>6</v>
      </c>
      <c r="L20" s="10">
        <f t="shared" si="3"/>
        <v>40</v>
      </c>
      <c r="M20" s="10">
        <f t="shared" si="4"/>
        <v>50</v>
      </c>
      <c r="N20" s="10">
        <f t="shared" si="5"/>
        <v>75</v>
      </c>
      <c r="O20" s="10">
        <f t="shared" si="6"/>
        <v>0</v>
      </c>
      <c r="P20" s="10">
        <f t="shared" si="7"/>
        <v>0</v>
      </c>
      <c r="Q20" s="11">
        <f t="shared" si="8"/>
        <v>19</v>
      </c>
      <c r="R20" s="9">
        <v>1040.0</v>
      </c>
      <c r="S20" s="12">
        <v>45504.044444444444</v>
      </c>
      <c r="T20" s="5" t="s">
        <v>25</v>
      </c>
      <c r="U20" s="4"/>
      <c r="V20" s="4"/>
      <c r="W20" s="4"/>
      <c r="X20" s="4"/>
      <c r="Y20" s="4"/>
    </row>
    <row r="21">
      <c r="A21" s="5" t="s">
        <v>43</v>
      </c>
      <c r="B21" s="9">
        <v>1.0</v>
      </c>
      <c r="C21" s="9">
        <v>1.0</v>
      </c>
      <c r="D21" s="9">
        <v>0.0</v>
      </c>
      <c r="E21" s="9">
        <v>0.0</v>
      </c>
      <c r="F21" s="9">
        <v>3.0</v>
      </c>
      <c r="G21" s="9">
        <v>1.0</v>
      </c>
      <c r="H21" s="9">
        <v>2.0</v>
      </c>
      <c r="I21" s="9">
        <v>1.0</v>
      </c>
      <c r="J21" s="5">
        <f t="shared" ref="J21:K21" si="26">B21+D21+F21+H21</f>
        <v>6</v>
      </c>
      <c r="K21" s="4">
        <f t="shared" si="26"/>
        <v>3</v>
      </c>
      <c r="L21" s="10">
        <f t="shared" si="3"/>
        <v>66.7</v>
      </c>
      <c r="M21" s="10">
        <f t="shared" si="4"/>
        <v>50</v>
      </c>
      <c r="N21" s="10">
        <f t="shared" si="5"/>
        <v>0</v>
      </c>
      <c r="O21" s="10">
        <f t="shared" si="6"/>
        <v>75</v>
      </c>
      <c r="P21" s="10">
        <f t="shared" si="7"/>
        <v>66.7</v>
      </c>
      <c r="Q21" s="11">
        <f t="shared" si="8"/>
        <v>20</v>
      </c>
      <c r="R21" s="9">
        <v>0.0</v>
      </c>
      <c r="S21" s="12">
        <v>45509.11041666667</v>
      </c>
      <c r="T21" s="5" t="s">
        <v>47</v>
      </c>
      <c r="U21" s="4"/>
      <c r="V21" s="4"/>
      <c r="W21" s="4"/>
      <c r="X21" s="4"/>
      <c r="Y21" s="4"/>
    </row>
    <row r="22">
      <c r="A22" s="5" t="s">
        <v>9775</v>
      </c>
      <c r="B22" s="9">
        <v>3.0</v>
      </c>
      <c r="C22" s="9">
        <v>3.0</v>
      </c>
      <c r="D22" s="9">
        <v>0.0</v>
      </c>
      <c r="E22" s="9">
        <v>0.0</v>
      </c>
      <c r="F22" s="9">
        <v>0.0</v>
      </c>
      <c r="G22" s="9">
        <v>2.0</v>
      </c>
      <c r="H22" s="9">
        <v>0.0</v>
      </c>
      <c r="I22" s="9">
        <v>0.0</v>
      </c>
      <c r="J22" s="5">
        <f t="shared" ref="J22:K22" si="27">B22+D22+F22+H22</f>
        <v>3</v>
      </c>
      <c r="K22" s="4">
        <f t="shared" si="27"/>
        <v>5</v>
      </c>
      <c r="L22" s="10">
        <f t="shared" si="3"/>
        <v>37.5</v>
      </c>
      <c r="M22" s="10">
        <f t="shared" si="4"/>
        <v>50</v>
      </c>
      <c r="N22" s="10">
        <f t="shared" si="5"/>
        <v>0</v>
      </c>
      <c r="O22" s="10">
        <f t="shared" si="6"/>
        <v>0</v>
      </c>
      <c r="P22" s="10">
        <f t="shared" si="7"/>
        <v>0</v>
      </c>
      <c r="Q22" s="11">
        <f t="shared" si="8"/>
        <v>21</v>
      </c>
      <c r="R22" s="9">
        <v>0.0</v>
      </c>
      <c r="S22" s="12">
        <v>45504.98055555556</v>
      </c>
      <c r="T22" s="5" t="s">
        <v>25</v>
      </c>
      <c r="U22" s="4"/>
      <c r="V22" s="4"/>
      <c r="W22" s="4"/>
      <c r="X22" s="4"/>
      <c r="Y22" s="4"/>
    </row>
    <row r="23">
      <c r="A23" s="5" t="s">
        <v>48</v>
      </c>
      <c r="B23" s="9">
        <v>0.0</v>
      </c>
      <c r="C23" s="9">
        <v>0.0</v>
      </c>
      <c r="D23" s="9">
        <v>1.0</v>
      </c>
      <c r="E23" s="9">
        <v>1.0</v>
      </c>
      <c r="F23" s="9">
        <v>0.0</v>
      </c>
      <c r="G23" s="9">
        <v>0.0</v>
      </c>
      <c r="H23" s="9">
        <v>1.0</v>
      </c>
      <c r="I23" s="9">
        <v>0.0</v>
      </c>
      <c r="J23" s="5">
        <f t="shared" ref="J23:K23" si="28">B23+D23+F23+H23</f>
        <v>2</v>
      </c>
      <c r="K23" s="4">
        <f t="shared" si="28"/>
        <v>1</v>
      </c>
      <c r="L23" s="10">
        <f t="shared" si="3"/>
        <v>66.7</v>
      </c>
      <c r="M23" s="10">
        <f t="shared" si="4"/>
        <v>0</v>
      </c>
      <c r="N23" s="10">
        <f t="shared" si="5"/>
        <v>50</v>
      </c>
      <c r="O23" s="10">
        <f t="shared" si="6"/>
        <v>0</v>
      </c>
      <c r="P23" s="10">
        <f t="shared" si="7"/>
        <v>100</v>
      </c>
      <c r="Q23" s="11">
        <f t="shared" si="8"/>
        <v>22</v>
      </c>
      <c r="R23" s="9">
        <v>0.0</v>
      </c>
      <c r="S23" s="12">
        <v>45492.03472222222</v>
      </c>
      <c r="T23" s="5" t="s">
        <v>25</v>
      </c>
      <c r="U23" s="4"/>
      <c r="V23" s="4"/>
      <c r="W23" s="4"/>
      <c r="X23" s="4"/>
      <c r="Y23" s="4"/>
    </row>
    <row r="24">
      <c r="A24" s="5" t="s">
        <v>9751</v>
      </c>
      <c r="B24" s="9">
        <v>0.0</v>
      </c>
      <c r="C24" s="9">
        <v>0.0</v>
      </c>
      <c r="D24" s="9">
        <v>0.0</v>
      </c>
      <c r="E24" s="9">
        <v>3.0</v>
      </c>
      <c r="F24" s="9">
        <v>2.0</v>
      </c>
      <c r="G24" s="9">
        <v>1.0</v>
      </c>
      <c r="H24" s="9">
        <v>0.0</v>
      </c>
      <c r="I24" s="9">
        <v>0.0</v>
      </c>
      <c r="J24" s="5">
        <f t="shared" ref="J24:K24" si="29">B24+D24+F24+H24</f>
        <v>2</v>
      </c>
      <c r="K24" s="4">
        <f t="shared" si="29"/>
        <v>4</v>
      </c>
      <c r="L24" s="10">
        <f t="shared" si="3"/>
        <v>33.3</v>
      </c>
      <c r="M24" s="10">
        <f t="shared" si="4"/>
        <v>0</v>
      </c>
      <c r="N24" s="10">
        <f t="shared" si="5"/>
        <v>0</v>
      </c>
      <c r="O24" s="10">
        <f t="shared" si="6"/>
        <v>66.7</v>
      </c>
      <c r="P24" s="10">
        <f t="shared" si="7"/>
        <v>0</v>
      </c>
      <c r="Q24" s="11">
        <f t="shared" si="8"/>
        <v>23</v>
      </c>
      <c r="R24" s="9">
        <v>0.0</v>
      </c>
      <c r="S24" s="12">
        <v>45508.98055555556</v>
      </c>
      <c r="T24" s="5" t="s">
        <v>25</v>
      </c>
      <c r="U24" s="4"/>
      <c r="V24" s="4"/>
      <c r="W24" s="4"/>
      <c r="X24" s="4"/>
      <c r="Y24" s="4"/>
    </row>
    <row r="25">
      <c r="A25" s="5" t="s">
        <v>42</v>
      </c>
      <c r="B25" s="9">
        <v>1.0</v>
      </c>
      <c r="C25" s="9">
        <v>1.0</v>
      </c>
      <c r="D25" s="9">
        <v>0.0</v>
      </c>
      <c r="E25" s="9">
        <v>0.0</v>
      </c>
      <c r="F25" s="9">
        <v>1.0</v>
      </c>
      <c r="G25" s="9">
        <v>1.0</v>
      </c>
      <c r="H25" s="9">
        <v>0.0</v>
      </c>
      <c r="I25" s="9">
        <v>0.0</v>
      </c>
      <c r="J25" s="5">
        <f t="shared" ref="J25:K25" si="30">B25+D25+F25+H25</f>
        <v>2</v>
      </c>
      <c r="K25" s="4">
        <f t="shared" si="30"/>
        <v>2</v>
      </c>
      <c r="L25" s="10">
        <f t="shared" si="3"/>
        <v>50</v>
      </c>
      <c r="M25" s="10">
        <f t="shared" si="4"/>
        <v>50</v>
      </c>
      <c r="N25" s="10">
        <f t="shared" si="5"/>
        <v>0</v>
      </c>
      <c r="O25" s="10">
        <f t="shared" si="6"/>
        <v>50</v>
      </c>
      <c r="P25" s="10">
        <f t="shared" si="7"/>
        <v>0</v>
      </c>
      <c r="Q25" s="11">
        <f t="shared" si="8"/>
        <v>24</v>
      </c>
      <c r="R25" s="9">
        <v>0.0</v>
      </c>
      <c r="S25" s="12">
        <v>45509.02638888889</v>
      </c>
      <c r="T25" s="5" t="s">
        <v>25</v>
      </c>
      <c r="U25" s="4"/>
      <c r="V25" s="4"/>
      <c r="W25" s="4"/>
      <c r="X25" s="4"/>
      <c r="Y25" s="4"/>
    </row>
    <row r="26">
      <c r="A26" s="5" t="s">
        <v>44</v>
      </c>
      <c r="B26" s="9">
        <v>0.0</v>
      </c>
      <c r="C26" s="9">
        <v>2.0</v>
      </c>
      <c r="D26" s="9">
        <v>0.0</v>
      </c>
      <c r="E26" s="9">
        <v>1.0</v>
      </c>
      <c r="F26" s="9">
        <v>1.0</v>
      </c>
      <c r="G26" s="9">
        <v>0.0</v>
      </c>
      <c r="H26" s="9">
        <v>0.0</v>
      </c>
      <c r="I26" s="9">
        <v>0.0</v>
      </c>
      <c r="J26" s="5">
        <f t="shared" ref="J26:K26" si="31">B26+D26+F26+H26</f>
        <v>1</v>
      </c>
      <c r="K26" s="4">
        <f t="shared" si="31"/>
        <v>3</v>
      </c>
      <c r="L26" s="10">
        <f t="shared" si="3"/>
        <v>25</v>
      </c>
      <c r="M26" s="10">
        <f t="shared" si="4"/>
        <v>0</v>
      </c>
      <c r="N26" s="10">
        <f t="shared" si="5"/>
        <v>0</v>
      </c>
      <c r="O26" s="10">
        <f t="shared" si="6"/>
        <v>100</v>
      </c>
      <c r="P26" s="10">
        <f t="shared" si="7"/>
        <v>0</v>
      </c>
      <c r="Q26" s="11">
        <f t="shared" si="8"/>
        <v>25</v>
      </c>
      <c r="R26" s="9">
        <v>0.0</v>
      </c>
      <c r="S26" s="12">
        <v>45490.993055555555</v>
      </c>
      <c r="T26" s="5" t="s">
        <v>25</v>
      </c>
      <c r="U26" s="4"/>
      <c r="V26" s="4"/>
      <c r="W26" s="4"/>
      <c r="X26" s="4"/>
      <c r="Y26" s="4"/>
    </row>
    <row r="27">
      <c r="A27" s="5" t="s">
        <v>9760</v>
      </c>
      <c r="B27" s="9">
        <v>0.0</v>
      </c>
      <c r="C27" s="9">
        <v>0.0</v>
      </c>
      <c r="D27" s="9">
        <v>0.0</v>
      </c>
      <c r="E27" s="9">
        <v>0.0</v>
      </c>
      <c r="F27" s="9">
        <v>1.0</v>
      </c>
      <c r="G27" s="9">
        <v>1.0</v>
      </c>
      <c r="H27" s="9">
        <v>0.0</v>
      </c>
      <c r="I27" s="9">
        <v>0.0</v>
      </c>
      <c r="J27" s="5">
        <f t="shared" ref="J27:K27" si="32">B27+D27+F27+H27</f>
        <v>1</v>
      </c>
      <c r="K27" s="4">
        <f t="shared" si="32"/>
        <v>1</v>
      </c>
      <c r="L27" s="10">
        <f t="shared" si="3"/>
        <v>50</v>
      </c>
      <c r="M27" s="10">
        <f t="shared" si="4"/>
        <v>0</v>
      </c>
      <c r="N27" s="10">
        <f t="shared" si="5"/>
        <v>0</v>
      </c>
      <c r="O27" s="10">
        <f t="shared" si="6"/>
        <v>50</v>
      </c>
      <c r="P27" s="10">
        <f t="shared" si="7"/>
        <v>0</v>
      </c>
      <c r="Q27" s="11">
        <f t="shared" si="8"/>
        <v>26</v>
      </c>
      <c r="R27" s="9">
        <v>0.0</v>
      </c>
      <c r="S27" s="12">
        <v>45491.03472222222</v>
      </c>
      <c r="T27" s="5" t="s">
        <v>25</v>
      </c>
      <c r="U27" s="4"/>
      <c r="V27" s="4"/>
      <c r="W27" s="4"/>
      <c r="X27" s="4"/>
      <c r="Y27" s="4"/>
    </row>
    <row r="28">
      <c r="A28" s="5" t="s">
        <v>9776</v>
      </c>
      <c r="B28" s="9">
        <v>0.0</v>
      </c>
      <c r="C28" s="9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1.0</v>
      </c>
      <c r="I28" s="9">
        <v>1.0</v>
      </c>
      <c r="J28" s="5">
        <f t="shared" ref="J28:K28" si="33">B28+D28+F28+H28</f>
        <v>1</v>
      </c>
      <c r="K28" s="4">
        <f t="shared" si="33"/>
        <v>1</v>
      </c>
      <c r="L28" s="10">
        <f t="shared" si="3"/>
        <v>50</v>
      </c>
      <c r="M28" s="10">
        <f t="shared" si="4"/>
        <v>0</v>
      </c>
      <c r="N28" s="10">
        <f t="shared" si="5"/>
        <v>0</v>
      </c>
      <c r="O28" s="10">
        <f t="shared" si="6"/>
        <v>0</v>
      </c>
      <c r="P28" s="10">
        <f t="shared" si="7"/>
        <v>50</v>
      </c>
      <c r="Q28" s="11">
        <f t="shared" si="8"/>
        <v>27</v>
      </c>
      <c r="R28" s="9">
        <v>0.0</v>
      </c>
      <c r="S28" s="12">
        <v>45495.00902777778</v>
      </c>
      <c r="T28" s="5" t="s">
        <v>47</v>
      </c>
      <c r="U28" s="4"/>
      <c r="V28" s="4"/>
      <c r="W28" s="4"/>
      <c r="X28" s="4"/>
      <c r="Y28" s="4"/>
    </row>
    <row r="29">
      <c r="A29" s="5" t="s">
        <v>9750</v>
      </c>
      <c r="B29" s="9">
        <v>0.0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1.0</v>
      </c>
      <c r="J29" s="5">
        <f t="shared" ref="J29:K29" si="34">B29+D29+F29+H29</f>
        <v>0</v>
      </c>
      <c r="K29" s="4">
        <f t="shared" si="34"/>
        <v>1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45491.9</v>
      </c>
      <c r="T29" s="5" t="s">
        <v>25</v>
      </c>
      <c r="U29" s="4"/>
      <c r="V29" s="4"/>
      <c r="W29" s="4"/>
      <c r="X29" s="4"/>
      <c r="Y29" s="4"/>
    </row>
    <row r="30">
      <c r="A30" s="5" t="s">
        <v>45</v>
      </c>
      <c r="B30" s="9">
        <v>0.0</v>
      </c>
      <c r="C30" s="9">
        <v>0.0</v>
      </c>
      <c r="D30" s="9">
        <v>0.0</v>
      </c>
      <c r="E30" s="9">
        <v>2.0</v>
      </c>
      <c r="F30" s="9">
        <v>0.0</v>
      </c>
      <c r="G30" s="9">
        <v>0.0</v>
      </c>
      <c r="H30" s="9">
        <v>0.0</v>
      </c>
      <c r="I30" s="9">
        <v>0.0</v>
      </c>
      <c r="J30" s="5">
        <f t="shared" ref="J30:K30" si="35">B30+D30+F30+H30</f>
        <v>0</v>
      </c>
      <c r="K30" s="4">
        <f t="shared" si="35"/>
        <v>2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>
        <f t="shared" si="8"/>
        <v>29</v>
      </c>
      <c r="R30" s="9">
        <v>0.0</v>
      </c>
      <c r="S30" s="12">
        <v>45501.94097222222</v>
      </c>
      <c r="T30" s="5" t="s">
        <v>25</v>
      </c>
      <c r="U30" s="4"/>
      <c r="V30" s="4"/>
      <c r="W30" s="4"/>
      <c r="X30" s="4"/>
      <c r="Y30" s="4"/>
    </row>
    <row r="31">
      <c r="A31" s="5" t="s">
        <v>9743</v>
      </c>
      <c r="B31" s="9">
        <v>0.0</v>
      </c>
      <c r="C31" s="9">
        <v>3.0</v>
      </c>
      <c r="D31" s="9">
        <v>0.0</v>
      </c>
      <c r="E31" s="9">
        <v>1.0</v>
      </c>
      <c r="F31" s="9">
        <v>0.0</v>
      </c>
      <c r="G31" s="9">
        <v>0.0</v>
      </c>
      <c r="H31" s="9">
        <v>0.0</v>
      </c>
      <c r="I31" s="9">
        <v>1.0</v>
      </c>
      <c r="J31" s="5">
        <f t="shared" ref="J31:K31" si="36">B31+D31+F31+H31</f>
        <v>0</v>
      </c>
      <c r="K31" s="4">
        <f t="shared" si="36"/>
        <v>5</v>
      </c>
      <c r="L31" s="10">
        <f t="shared" si="3"/>
        <v>0</v>
      </c>
      <c r="M31" s="10">
        <f t="shared" si="4"/>
        <v>0</v>
      </c>
      <c r="N31" s="10">
        <f t="shared" si="5"/>
        <v>0</v>
      </c>
      <c r="O31" s="10">
        <f t="shared" si="6"/>
        <v>0</v>
      </c>
      <c r="P31" s="10">
        <f t="shared" si="7"/>
        <v>0</v>
      </c>
      <c r="Q31" s="11">
        <f t="shared" si="8"/>
        <v>30</v>
      </c>
      <c r="R31" s="9">
        <v>0.0</v>
      </c>
      <c r="S31" s="12">
        <v>45503.04652777778</v>
      </c>
      <c r="T31" s="5" t="s">
        <v>25</v>
      </c>
      <c r="U31" s="4"/>
      <c r="V31" s="4"/>
      <c r="W31" s="4"/>
      <c r="X31" s="4"/>
      <c r="Y31" s="4"/>
    </row>
    <row r="32">
      <c r="A32" s="5" t="s">
        <v>46</v>
      </c>
      <c r="B32" s="9">
        <v>0.0</v>
      </c>
      <c r="C32" s="5">
        <v>0.0</v>
      </c>
      <c r="D32" s="9">
        <v>0.0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5">
        <f t="shared" ref="J32:K32" si="37">B32+D32+F32+H32</f>
        <v>0</v>
      </c>
      <c r="K32" s="4">
        <f t="shared" si="37"/>
        <v>0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>
        <f t="shared" si="6"/>
        <v>0</v>
      </c>
      <c r="P32" s="10">
        <f t="shared" si="7"/>
        <v>0</v>
      </c>
      <c r="Q32" s="11">
        <f t="shared" si="8"/>
        <v>31</v>
      </c>
      <c r="R32" s="9">
        <v>0.0</v>
      </c>
      <c r="S32" s="12">
        <v>45509.11041666667</v>
      </c>
      <c r="T32" s="5" t="s">
        <v>47</v>
      </c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4"/>
      <c r="V1" s="4"/>
      <c r="W1" s="4"/>
      <c r="X1" s="4"/>
      <c r="Y1" s="4"/>
    </row>
    <row r="2">
      <c r="A2" s="5" t="s">
        <v>30</v>
      </c>
      <c r="B2" s="9">
        <v>17.0</v>
      </c>
      <c r="C2" s="9">
        <v>5.0</v>
      </c>
      <c r="D2" s="9">
        <v>9.0</v>
      </c>
      <c r="E2" s="9">
        <v>7.0</v>
      </c>
      <c r="F2" s="9">
        <v>5.0</v>
      </c>
      <c r="G2" s="9">
        <v>2.0</v>
      </c>
      <c r="H2" s="9">
        <v>8.0</v>
      </c>
      <c r="I2" s="9">
        <v>6.0</v>
      </c>
      <c r="J2" s="5">
        <f t="shared" ref="J2:K2" si="1">B2+D2+F2+H2</f>
        <v>39</v>
      </c>
      <c r="K2" s="4">
        <f t="shared" si="1"/>
        <v>20</v>
      </c>
      <c r="L2" s="10">
        <f t="shared" ref="L2:L29" si="3">ROUND(IFERROR(J2/(J2+K2),0)*100,1)</f>
        <v>66.1</v>
      </c>
      <c r="M2" s="10">
        <f t="shared" ref="M2:M29" si="4">ROUND(IFERROR(B2/(B2+C2),0)*100,1)</f>
        <v>77.3</v>
      </c>
      <c r="N2" s="10">
        <f t="shared" ref="N2:N29" si="5">ROUND(IFERROR(D2/(D2+E2),0)*100,1)</f>
        <v>56.3</v>
      </c>
      <c r="O2" s="10">
        <f t="shared" ref="O2:O29" si="6">ROUND(IFERROR(F2/(F2+G2),0)*100,1)</f>
        <v>71.4</v>
      </c>
      <c r="P2" s="10">
        <f t="shared" ref="P2:P29" si="7">ROUND(IFERROR(H2/(I2+H2),0)*100,1)</f>
        <v>57.1</v>
      </c>
      <c r="Q2" s="11">
        <f t="shared" ref="Q2:Q29" si="8">ROW()-1</f>
        <v>1</v>
      </c>
      <c r="R2" s="9">
        <v>1286.0</v>
      </c>
      <c r="S2" s="12">
        <v>45532.98472222222</v>
      </c>
      <c r="T2" s="5" t="s">
        <v>25</v>
      </c>
      <c r="U2" s="4"/>
      <c r="V2" s="4"/>
      <c r="W2" s="4"/>
      <c r="X2" s="4"/>
      <c r="Y2" s="4"/>
    </row>
    <row r="3">
      <c r="A3" s="5" t="s">
        <v>36</v>
      </c>
      <c r="B3" s="9">
        <v>5.0</v>
      </c>
      <c r="C3" s="9">
        <v>4.0</v>
      </c>
      <c r="D3" s="9">
        <v>7.0</v>
      </c>
      <c r="E3" s="9">
        <v>8.0</v>
      </c>
      <c r="F3" s="9">
        <v>8.0</v>
      </c>
      <c r="G3" s="9">
        <v>3.0</v>
      </c>
      <c r="H3" s="9">
        <v>11.0</v>
      </c>
      <c r="I3" s="9">
        <v>10.0</v>
      </c>
      <c r="J3" s="5">
        <f t="shared" ref="J3:K3" si="2">B3+D3+F3+H3</f>
        <v>31</v>
      </c>
      <c r="K3" s="4">
        <f t="shared" si="2"/>
        <v>25</v>
      </c>
      <c r="L3" s="10">
        <f t="shared" si="3"/>
        <v>55.4</v>
      </c>
      <c r="M3" s="10">
        <f t="shared" si="4"/>
        <v>55.6</v>
      </c>
      <c r="N3" s="10">
        <f t="shared" si="5"/>
        <v>46.7</v>
      </c>
      <c r="O3" s="10">
        <f t="shared" si="6"/>
        <v>72.7</v>
      </c>
      <c r="P3" s="10">
        <f t="shared" si="7"/>
        <v>52.4</v>
      </c>
      <c r="Q3" s="11">
        <f t="shared" si="8"/>
        <v>2</v>
      </c>
      <c r="R3" s="9">
        <v>1211.0</v>
      </c>
      <c r="S3" s="12">
        <v>45532.98472222222</v>
      </c>
      <c r="T3" s="5" t="s">
        <v>25</v>
      </c>
      <c r="U3" s="4"/>
      <c r="V3" s="4"/>
      <c r="W3" s="4"/>
      <c r="X3" s="4"/>
      <c r="Y3" s="4"/>
    </row>
    <row r="4">
      <c r="A4" s="5" t="s">
        <v>9722</v>
      </c>
      <c r="B4" s="9">
        <v>1.0</v>
      </c>
      <c r="C4" s="9">
        <v>2.0</v>
      </c>
      <c r="D4" s="9">
        <v>4.0</v>
      </c>
      <c r="E4" s="9">
        <v>1.0</v>
      </c>
      <c r="F4" s="9">
        <v>1.0</v>
      </c>
      <c r="G4" s="9">
        <v>0.0</v>
      </c>
      <c r="H4" s="9">
        <v>6.0</v>
      </c>
      <c r="I4" s="9">
        <v>4.0</v>
      </c>
      <c r="J4" s="5">
        <f t="shared" ref="J4:K4" si="9">B4+D4+F4+H4</f>
        <v>12</v>
      </c>
      <c r="K4" s="4">
        <f t="shared" si="9"/>
        <v>7</v>
      </c>
      <c r="L4" s="10">
        <f t="shared" si="3"/>
        <v>63.2</v>
      </c>
      <c r="M4" s="10">
        <f t="shared" si="4"/>
        <v>33.3</v>
      </c>
      <c r="N4" s="10">
        <f t="shared" si="5"/>
        <v>80</v>
      </c>
      <c r="O4" s="10">
        <f t="shared" si="6"/>
        <v>100</v>
      </c>
      <c r="P4" s="10">
        <f t="shared" si="7"/>
        <v>60</v>
      </c>
      <c r="Q4" s="11">
        <f t="shared" si="8"/>
        <v>3</v>
      </c>
      <c r="R4" s="9">
        <v>1193.0</v>
      </c>
      <c r="S4" s="12">
        <v>45524.03472222222</v>
      </c>
      <c r="T4" s="5" t="s">
        <v>25</v>
      </c>
      <c r="U4" s="4"/>
      <c r="V4" s="4"/>
      <c r="W4" s="4"/>
      <c r="X4" s="4"/>
      <c r="Y4" s="4"/>
    </row>
    <row r="5">
      <c r="A5" s="5" t="s">
        <v>35</v>
      </c>
      <c r="B5" s="9">
        <v>2.0</v>
      </c>
      <c r="C5" s="9">
        <v>1.0</v>
      </c>
      <c r="D5" s="9">
        <v>3.0</v>
      </c>
      <c r="E5" s="9">
        <v>1.0</v>
      </c>
      <c r="F5" s="9">
        <v>7.0</v>
      </c>
      <c r="G5" s="9">
        <v>3.0</v>
      </c>
      <c r="H5" s="9">
        <v>4.0</v>
      </c>
      <c r="I5" s="9">
        <v>1.0</v>
      </c>
      <c r="J5" s="5">
        <f t="shared" ref="J5:K5" si="10">B5+D5+F5+H5</f>
        <v>16</v>
      </c>
      <c r="K5" s="4">
        <f t="shared" si="10"/>
        <v>6</v>
      </c>
      <c r="L5" s="10">
        <f t="shared" si="3"/>
        <v>72.7</v>
      </c>
      <c r="M5" s="10">
        <f t="shared" si="4"/>
        <v>66.7</v>
      </c>
      <c r="N5" s="10">
        <f t="shared" si="5"/>
        <v>75</v>
      </c>
      <c r="O5" s="10">
        <f t="shared" si="6"/>
        <v>70</v>
      </c>
      <c r="P5" s="10">
        <f t="shared" si="7"/>
        <v>80</v>
      </c>
      <c r="Q5" s="11">
        <f t="shared" si="8"/>
        <v>4</v>
      </c>
      <c r="R5" s="9">
        <v>1184.0</v>
      </c>
      <c r="S5" s="12">
        <v>45532.98472222222</v>
      </c>
      <c r="T5" s="5" t="s">
        <v>25</v>
      </c>
      <c r="U5" s="4"/>
      <c r="V5" s="4"/>
      <c r="W5" s="4"/>
      <c r="X5" s="4"/>
      <c r="Y5" s="4"/>
    </row>
    <row r="6">
      <c r="A6" s="5" t="s">
        <v>9779</v>
      </c>
      <c r="B6" s="9">
        <v>0.0</v>
      </c>
      <c r="C6" s="9">
        <v>0.0</v>
      </c>
      <c r="D6" s="9">
        <v>0.0</v>
      </c>
      <c r="E6" s="9">
        <v>0.0</v>
      </c>
      <c r="F6" s="9">
        <v>11.0</v>
      </c>
      <c r="G6" s="9">
        <v>3.0</v>
      </c>
      <c r="H6" s="9">
        <v>0.0</v>
      </c>
      <c r="I6" s="9">
        <v>0.0</v>
      </c>
      <c r="J6" s="5">
        <f t="shared" ref="J6:K6" si="11">B6+D6+F6+H6</f>
        <v>11</v>
      </c>
      <c r="K6" s="4">
        <f t="shared" si="11"/>
        <v>3</v>
      </c>
      <c r="L6" s="10">
        <f t="shared" si="3"/>
        <v>78.6</v>
      </c>
      <c r="M6" s="10">
        <f t="shared" si="4"/>
        <v>0</v>
      </c>
      <c r="N6" s="10">
        <f t="shared" si="5"/>
        <v>0</v>
      </c>
      <c r="O6" s="10">
        <f t="shared" si="6"/>
        <v>78.6</v>
      </c>
      <c r="P6" s="10">
        <f t="shared" si="7"/>
        <v>0</v>
      </c>
      <c r="Q6" s="11">
        <f t="shared" si="8"/>
        <v>5</v>
      </c>
      <c r="R6" s="9">
        <v>1176.0</v>
      </c>
      <c r="S6" s="12">
        <v>45526.92986111111</v>
      </c>
      <c r="T6" s="5" t="s">
        <v>25</v>
      </c>
      <c r="U6" s="4"/>
      <c r="V6" s="4"/>
      <c r="W6" s="4"/>
      <c r="X6" s="4"/>
      <c r="Y6" s="4"/>
    </row>
    <row r="7">
      <c r="A7" s="5" t="s">
        <v>9741</v>
      </c>
      <c r="B7" s="9">
        <v>5.0</v>
      </c>
      <c r="C7" s="9">
        <v>2.0</v>
      </c>
      <c r="D7" s="9">
        <v>9.0</v>
      </c>
      <c r="E7" s="9">
        <v>6.0</v>
      </c>
      <c r="F7" s="9">
        <v>3.0</v>
      </c>
      <c r="G7" s="9">
        <v>4.0</v>
      </c>
      <c r="H7" s="9">
        <v>4.0</v>
      </c>
      <c r="I7" s="9">
        <v>8.0</v>
      </c>
      <c r="J7" s="5">
        <f t="shared" ref="J7:K7" si="12">B7+D7+F7+H7</f>
        <v>21</v>
      </c>
      <c r="K7" s="4">
        <f t="shared" si="12"/>
        <v>20</v>
      </c>
      <c r="L7" s="10">
        <f t="shared" si="3"/>
        <v>51.2</v>
      </c>
      <c r="M7" s="10">
        <f t="shared" si="4"/>
        <v>71.4</v>
      </c>
      <c r="N7" s="10">
        <f t="shared" si="5"/>
        <v>60</v>
      </c>
      <c r="O7" s="10">
        <f t="shared" si="6"/>
        <v>42.9</v>
      </c>
      <c r="P7" s="10">
        <f t="shared" si="7"/>
        <v>33.3</v>
      </c>
      <c r="Q7" s="11">
        <f t="shared" si="8"/>
        <v>6</v>
      </c>
      <c r="R7" s="9">
        <v>1173.0</v>
      </c>
      <c r="S7" s="12">
        <v>45532.98472222222</v>
      </c>
      <c r="T7" s="5" t="s">
        <v>25</v>
      </c>
      <c r="U7" s="4"/>
      <c r="V7" s="4"/>
      <c r="W7" s="4"/>
      <c r="X7" s="4"/>
      <c r="Y7" s="4"/>
    </row>
    <row r="8">
      <c r="A8" s="5" t="s">
        <v>34</v>
      </c>
      <c r="B8" s="9">
        <v>10.0</v>
      </c>
      <c r="C8" s="9">
        <v>6.0</v>
      </c>
      <c r="D8" s="9">
        <v>7.0</v>
      </c>
      <c r="E8" s="9">
        <v>14.0</v>
      </c>
      <c r="F8" s="9">
        <v>7.0</v>
      </c>
      <c r="G8" s="9">
        <v>12.0</v>
      </c>
      <c r="H8" s="9">
        <v>3.0</v>
      </c>
      <c r="I8" s="9">
        <v>5.0</v>
      </c>
      <c r="J8" s="5">
        <f t="shared" ref="J8:K8" si="13">B8+D8+F8+H8</f>
        <v>27</v>
      </c>
      <c r="K8" s="4">
        <f t="shared" si="13"/>
        <v>37</v>
      </c>
      <c r="L8" s="10">
        <f t="shared" si="3"/>
        <v>42.2</v>
      </c>
      <c r="M8" s="10">
        <f t="shared" si="4"/>
        <v>62.5</v>
      </c>
      <c r="N8" s="10">
        <f t="shared" si="5"/>
        <v>33.3</v>
      </c>
      <c r="O8" s="10">
        <f t="shared" si="6"/>
        <v>36.8</v>
      </c>
      <c r="P8" s="10">
        <f t="shared" si="7"/>
        <v>37.5</v>
      </c>
      <c r="Q8" s="11">
        <f t="shared" si="8"/>
        <v>7</v>
      </c>
      <c r="R8" s="9">
        <v>1165.0</v>
      </c>
      <c r="S8" s="12">
        <v>45532.98472222222</v>
      </c>
      <c r="T8" s="5" t="s">
        <v>25</v>
      </c>
      <c r="U8" s="4"/>
      <c r="V8" s="4"/>
      <c r="W8" s="4"/>
      <c r="X8" s="4"/>
      <c r="Y8" s="4"/>
    </row>
    <row r="9">
      <c r="A9" s="5" t="s">
        <v>26</v>
      </c>
      <c r="B9" s="9">
        <v>4.0</v>
      </c>
      <c r="C9" s="9">
        <v>8.0</v>
      </c>
      <c r="D9" s="9">
        <v>7.0</v>
      </c>
      <c r="E9" s="9">
        <v>7.0</v>
      </c>
      <c r="F9" s="9">
        <v>0.0</v>
      </c>
      <c r="G9" s="9">
        <v>0.0</v>
      </c>
      <c r="H9" s="9">
        <v>7.0</v>
      </c>
      <c r="I9" s="9">
        <v>7.0</v>
      </c>
      <c r="J9" s="5">
        <f t="shared" ref="J9:K9" si="14">B9+D9+F9+H9</f>
        <v>18</v>
      </c>
      <c r="K9" s="4">
        <f t="shared" si="14"/>
        <v>22</v>
      </c>
      <c r="L9" s="10">
        <f t="shared" si="3"/>
        <v>45</v>
      </c>
      <c r="M9" s="10">
        <f t="shared" si="4"/>
        <v>33.3</v>
      </c>
      <c r="N9" s="10">
        <f t="shared" si="5"/>
        <v>50</v>
      </c>
      <c r="O9" s="10">
        <f t="shared" si="6"/>
        <v>0</v>
      </c>
      <c r="P9" s="10">
        <f t="shared" si="7"/>
        <v>50</v>
      </c>
      <c r="Q9" s="11">
        <f t="shared" si="8"/>
        <v>8</v>
      </c>
      <c r="R9" s="9">
        <v>1162.0</v>
      </c>
      <c r="S9" s="12">
        <v>45525.93125</v>
      </c>
      <c r="T9" s="5" t="s">
        <v>25</v>
      </c>
      <c r="U9" s="4"/>
      <c r="V9" s="4"/>
      <c r="W9" s="4"/>
      <c r="X9" s="4"/>
      <c r="Y9" s="4"/>
    </row>
    <row r="10">
      <c r="A10" s="5" t="s">
        <v>9731</v>
      </c>
      <c r="B10" s="9">
        <v>4.0</v>
      </c>
      <c r="C10" s="9">
        <v>8.0</v>
      </c>
      <c r="D10" s="9">
        <v>9.0</v>
      </c>
      <c r="E10" s="9">
        <v>6.0</v>
      </c>
      <c r="F10" s="9">
        <v>2.0</v>
      </c>
      <c r="G10" s="9">
        <v>5.0</v>
      </c>
      <c r="H10" s="9">
        <v>1.0</v>
      </c>
      <c r="I10" s="9">
        <v>2.0</v>
      </c>
      <c r="J10" s="5">
        <f t="shared" ref="J10:K10" si="15">B10+D10+F10+H10</f>
        <v>16</v>
      </c>
      <c r="K10" s="4">
        <f t="shared" si="15"/>
        <v>21</v>
      </c>
      <c r="L10" s="10">
        <f t="shared" si="3"/>
        <v>43.2</v>
      </c>
      <c r="M10" s="10">
        <f t="shared" si="4"/>
        <v>33.3</v>
      </c>
      <c r="N10" s="10">
        <f t="shared" si="5"/>
        <v>60</v>
      </c>
      <c r="O10" s="10">
        <f t="shared" si="6"/>
        <v>28.6</v>
      </c>
      <c r="P10" s="10">
        <f t="shared" si="7"/>
        <v>33.3</v>
      </c>
      <c r="Q10" s="11">
        <f t="shared" si="8"/>
        <v>9</v>
      </c>
      <c r="R10" s="9">
        <v>1161.0</v>
      </c>
      <c r="S10" s="12">
        <v>45532.98472222222</v>
      </c>
      <c r="T10" s="5" t="s">
        <v>25</v>
      </c>
      <c r="U10" s="4"/>
      <c r="V10" s="4"/>
      <c r="W10" s="4"/>
      <c r="X10" s="4"/>
      <c r="Y10" s="4"/>
    </row>
    <row r="11">
      <c r="A11" s="5" t="s">
        <v>9705</v>
      </c>
      <c r="B11" s="9">
        <v>0.0</v>
      </c>
      <c r="C11" s="9">
        <v>0.0</v>
      </c>
      <c r="D11" s="9">
        <v>0.0</v>
      </c>
      <c r="E11" s="9">
        <v>3.0</v>
      </c>
      <c r="F11" s="9">
        <v>1.0</v>
      </c>
      <c r="G11" s="9">
        <v>2.0</v>
      </c>
      <c r="H11" s="9">
        <v>8.0</v>
      </c>
      <c r="I11" s="9">
        <v>3.0</v>
      </c>
      <c r="J11" s="5">
        <f t="shared" ref="J11:K11" si="16">B11+D11+F11+H11</f>
        <v>9</v>
      </c>
      <c r="K11" s="4">
        <f t="shared" si="16"/>
        <v>8</v>
      </c>
      <c r="L11" s="10">
        <f t="shared" si="3"/>
        <v>52.9</v>
      </c>
      <c r="M11" s="10">
        <f t="shared" si="4"/>
        <v>0</v>
      </c>
      <c r="N11" s="10">
        <f t="shared" si="5"/>
        <v>0</v>
      </c>
      <c r="O11" s="10">
        <f t="shared" si="6"/>
        <v>33.3</v>
      </c>
      <c r="P11" s="10">
        <f t="shared" si="7"/>
        <v>72.7</v>
      </c>
      <c r="Q11" s="11">
        <f t="shared" si="8"/>
        <v>10</v>
      </c>
      <c r="R11" s="9">
        <v>1134.0</v>
      </c>
      <c r="S11" s="12">
        <v>45532.020833333336</v>
      </c>
      <c r="T11" s="5" t="s">
        <v>25</v>
      </c>
      <c r="U11" s="4"/>
      <c r="V11" s="4"/>
      <c r="W11" s="4"/>
      <c r="X11" s="4"/>
      <c r="Y11" s="4"/>
    </row>
    <row r="12">
      <c r="A12" s="5" t="s">
        <v>60</v>
      </c>
      <c r="B12" s="9">
        <v>7.0</v>
      </c>
      <c r="C12" s="9">
        <v>13.0</v>
      </c>
      <c r="D12" s="9">
        <v>4.0</v>
      </c>
      <c r="E12" s="9">
        <v>7.0</v>
      </c>
      <c r="F12" s="9">
        <v>4.0</v>
      </c>
      <c r="G12" s="9">
        <v>6.0</v>
      </c>
      <c r="H12" s="9">
        <v>5.0</v>
      </c>
      <c r="I12" s="9">
        <v>6.0</v>
      </c>
      <c r="J12" s="5">
        <f t="shared" ref="J12:K12" si="17">B12+D12+F12+H12</f>
        <v>20</v>
      </c>
      <c r="K12" s="4">
        <f t="shared" si="17"/>
        <v>32</v>
      </c>
      <c r="L12" s="10">
        <f t="shared" si="3"/>
        <v>38.5</v>
      </c>
      <c r="M12" s="10">
        <f t="shared" si="4"/>
        <v>35</v>
      </c>
      <c r="N12" s="10">
        <f t="shared" si="5"/>
        <v>36.4</v>
      </c>
      <c r="O12" s="10">
        <f t="shared" si="6"/>
        <v>40</v>
      </c>
      <c r="P12" s="10">
        <f t="shared" si="7"/>
        <v>45.5</v>
      </c>
      <c r="Q12" s="11">
        <f t="shared" si="8"/>
        <v>11</v>
      </c>
      <c r="R12" s="9">
        <v>1114.0</v>
      </c>
      <c r="S12" s="12">
        <v>45532.98472222222</v>
      </c>
      <c r="T12" s="5" t="s">
        <v>25</v>
      </c>
      <c r="U12" s="4"/>
      <c r="V12" s="4"/>
      <c r="W12" s="4"/>
      <c r="X12" s="4"/>
      <c r="Y12" s="4"/>
    </row>
    <row r="13">
      <c r="A13" s="5" t="s">
        <v>53</v>
      </c>
      <c r="B13" s="9">
        <v>1.0</v>
      </c>
      <c r="C13" s="9">
        <v>0.0</v>
      </c>
      <c r="D13" s="9">
        <v>1.0</v>
      </c>
      <c r="E13" s="9">
        <v>0.0</v>
      </c>
      <c r="F13" s="9">
        <v>0.0</v>
      </c>
      <c r="G13" s="9">
        <v>1.0</v>
      </c>
      <c r="H13" s="9">
        <v>5.0</v>
      </c>
      <c r="I13" s="9">
        <v>2.0</v>
      </c>
      <c r="J13" s="5">
        <f t="shared" ref="J13:K13" si="18">B13+D13+F13+H13</f>
        <v>7</v>
      </c>
      <c r="K13" s="4">
        <f t="shared" si="18"/>
        <v>3</v>
      </c>
      <c r="L13" s="10">
        <f t="shared" si="3"/>
        <v>70</v>
      </c>
      <c r="M13" s="10">
        <f t="shared" si="4"/>
        <v>100</v>
      </c>
      <c r="N13" s="10">
        <f t="shared" si="5"/>
        <v>100</v>
      </c>
      <c r="O13" s="10">
        <f t="shared" si="6"/>
        <v>0</v>
      </c>
      <c r="P13" s="10">
        <f t="shared" si="7"/>
        <v>71.4</v>
      </c>
      <c r="Q13" s="11">
        <f t="shared" si="8"/>
        <v>12</v>
      </c>
      <c r="R13" s="9">
        <v>1070.0</v>
      </c>
      <c r="S13" s="12">
        <v>45532.98472222222</v>
      </c>
      <c r="T13" s="5" t="s">
        <v>25</v>
      </c>
      <c r="U13" s="4"/>
      <c r="V13" s="4"/>
      <c r="W13" s="4"/>
      <c r="X13" s="4"/>
      <c r="Y13" s="4"/>
    </row>
    <row r="14">
      <c r="A14" s="5" t="s">
        <v>9775</v>
      </c>
      <c r="B14" s="9">
        <v>2.0</v>
      </c>
      <c r="C14" s="9">
        <v>5.0</v>
      </c>
      <c r="D14" s="9">
        <v>0.0</v>
      </c>
      <c r="E14" s="9">
        <v>0.0</v>
      </c>
      <c r="F14" s="9">
        <v>2.0</v>
      </c>
      <c r="G14" s="9">
        <v>1.0</v>
      </c>
      <c r="H14" s="9">
        <v>0.0</v>
      </c>
      <c r="I14" s="9">
        <v>0.0</v>
      </c>
      <c r="J14" s="5">
        <f t="shared" ref="J14:K14" si="19">B14+D14+F14+H14</f>
        <v>4</v>
      </c>
      <c r="K14" s="4">
        <f t="shared" si="19"/>
        <v>6</v>
      </c>
      <c r="L14" s="10">
        <f t="shared" si="3"/>
        <v>40</v>
      </c>
      <c r="M14" s="10">
        <f t="shared" si="4"/>
        <v>28.6</v>
      </c>
      <c r="N14" s="10">
        <f t="shared" si="5"/>
        <v>0</v>
      </c>
      <c r="O14" s="10">
        <f t="shared" si="6"/>
        <v>66.7</v>
      </c>
      <c r="P14" s="10">
        <f t="shared" si="7"/>
        <v>0</v>
      </c>
      <c r="Q14" s="11">
        <f t="shared" si="8"/>
        <v>13</v>
      </c>
      <c r="R14" s="9">
        <v>1040.0</v>
      </c>
      <c r="S14" s="12">
        <v>45523.95972222222</v>
      </c>
      <c r="T14" s="5" t="s">
        <v>25</v>
      </c>
      <c r="U14" s="4"/>
      <c r="V14" s="4"/>
      <c r="W14" s="4"/>
      <c r="X14" s="4"/>
      <c r="Y14" s="4"/>
    </row>
    <row r="15">
      <c r="A15" s="5" t="s">
        <v>9706</v>
      </c>
      <c r="B15" s="9">
        <v>4.0</v>
      </c>
      <c r="C15" s="9">
        <v>2.0</v>
      </c>
      <c r="D15" s="9">
        <v>2.0</v>
      </c>
      <c r="E15" s="9">
        <v>7.0</v>
      </c>
      <c r="F15" s="9">
        <v>1.0</v>
      </c>
      <c r="G15" s="9">
        <v>6.0</v>
      </c>
      <c r="H15" s="9">
        <v>1.0</v>
      </c>
      <c r="I15" s="9">
        <v>5.0</v>
      </c>
      <c r="J15" s="5">
        <f t="shared" ref="J15:K15" si="20">B15+D15+F15+H15</f>
        <v>8</v>
      </c>
      <c r="K15" s="4">
        <f t="shared" si="20"/>
        <v>20</v>
      </c>
      <c r="L15" s="10">
        <f t="shared" si="3"/>
        <v>28.6</v>
      </c>
      <c r="M15" s="10">
        <f t="shared" si="4"/>
        <v>66.7</v>
      </c>
      <c r="N15" s="10">
        <f t="shared" si="5"/>
        <v>22.2</v>
      </c>
      <c r="O15" s="10">
        <f t="shared" si="6"/>
        <v>14.3</v>
      </c>
      <c r="P15" s="10">
        <f t="shared" si="7"/>
        <v>16.7</v>
      </c>
      <c r="Q15" s="11">
        <f t="shared" si="8"/>
        <v>14</v>
      </c>
      <c r="R15" s="9">
        <v>1002.0</v>
      </c>
      <c r="S15" s="12">
        <v>45524.03472222222</v>
      </c>
      <c r="T15" s="5" t="s">
        <v>25</v>
      </c>
      <c r="U15" s="4"/>
      <c r="V15" s="4"/>
      <c r="W15" s="4"/>
      <c r="X15" s="4"/>
      <c r="Y15" s="4"/>
    </row>
    <row r="16">
      <c r="A16" s="5" t="s">
        <v>9609</v>
      </c>
      <c r="B16" s="9">
        <v>2.0</v>
      </c>
      <c r="C16" s="9">
        <v>2.0</v>
      </c>
      <c r="D16" s="9">
        <v>0.0</v>
      </c>
      <c r="E16" s="9">
        <v>0.0</v>
      </c>
      <c r="F16" s="9">
        <v>0.0</v>
      </c>
      <c r="G16" s="9">
        <v>1.0</v>
      </c>
      <c r="H16" s="9">
        <v>2.0</v>
      </c>
      <c r="I16" s="9">
        <v>1.0</v>
      </c>
      <c r="J16" s="5">
        <f t="shared" ref="J16:K16" si="21">B16+D16+F16+H16</f>
        <v>4</v>
      </c>
      <c r="K16" s="4">
        <f t="shared" si="21"/>
        <v>4</v>
      </c>
      <c r="L16" s="10">
        <f t="shared" si="3"/>
        <v>50</v>
      </c>
      <c r="M16" s="10">
        <f t="shared" si="4"/>
        <v>50</v>
      </c>
      <c r="N16" s="10">
        <f t="shared" si="5"/>
        <v>0</v>
      </c>
      <c r="O16" s="10">
        <f t="shared" si="6"/>
        <v>0</v>
      </c>
      <c r="P16" s="10">
        <f t="shared" si="7"/>
        <v>66.7</v>
      </c>
      <c r="Q16" s="11">
        <f t="shared" si="8"/>
        <v>15</v>
      </c>
      <c r="R16" s="9">
        <v>0.0</v>
      </c>
      <c r="S16" s="12">
        <v>45519.99930555555</v>
      </c>
      <c r="T16" s="5" t="s">
        <v>25</v>
      </c>
      <c r="U16" s="4"/>
      <c r="V16" s="4"/>
      <c r="W16" s="4"/>
      <c r="X16" s="4"/>
      <c r="Y16" s="4"/>
    </row>
    <row r="17">
      <c r="A17" s="5" t="s">
        <v>9780</v>
      </c>
      <c r="B17" s="9">
        <v>0.0</v>
      </c>
      <c r="C17" s="9">
        <v>1.0</v>
      </c>
      <c r="D17" s="9">
        <v>0.0</v>
      </c>
      <c r="E17" s="9">
        <v>0.0</v>
      </c>
      <c r="F17" s="9">
        <v>4.0</v>
      </c>
      <c r="G17" s="9">
        <v>3.0</v>
      </c>
      <c r="H17" s="9">
        <v>0.0</v>
      </c>
      <c r="I17" s="9">
        <v>0.0</v>
      </c>
      <c r="J17" s="5">
        <f t="shared" ref="J17:K17" si="22">B17+D17+F17+H17</f>
        <v>4</v>
      </c>
      <c r="K17" s="4">
        <f t="shared" si="22"/>
        <v>4</v>
      </c>
      <c r="L17" s="10">
        <f t="shared" si="3"/>
        <v>50</v>
      </c>
      <c r="M17" s="10">
        <f t="shared" si="4"/>
        <v>0</v>
      </c>
      <c r="N17" s="10">
        <f t="shared" si="5"/>
        <v>0</v>
      </c>
      <c r="O17" s="10">
        <f t="shared" si="6"/>
        <v>57.1</v>
      </c>
      <c r="P17" s="10">
        <f t="shared" si="7"/>
        <v>0</v>
      </c>
      <c r="Q17" s="11">
        <f t="shared" si="8"/>
        <v>16</v>
      </c>
      <c r="R17" s="9">
        <v>0.0</v>
      </c>
      <c r="S17" s="12">
        <v>45525.993055555555</v>
      </c>
      <c r="T17" s="5" t="s">
        <v>25</v>
      </c>
      <c r="U17" s="4"/>
      <c r="V17" s="4"/>
      <c r="W17" s="4"/>
      <c r="X17" s="4"/>
      <c r="Y17" s="4"/>
    </row>
    <row r="18">
      <c r="A18" s="5" t="s">
        <v>27</v>
      </c>
      <c r="B18" s="9">
        <v>1.0</v>
      </c>
      <c r="C18" s="9">
        <v>0.0</v>
      </c>
      <c r="D18" s="9">
        <v>2.0</v>
      </c>
      <c r="E18" s="9">
        <v>0.0</v>
      </c>
      <c r="F18" s="9">
        <v>1.0</v>
      </c>
      <c r="G18" s="9">
        <v>3.0</v>
      </c>
      <c r="H18" s="9">
        <v>0.0</v>
      </c>
      <c r="I18" s="9">
        <v>0.0</v>
      </c>
      <c r="J18" s="5">
        <f t="shared" ref="J18:K18" si="23">B18+D18+F18+H18</f>
        <v>4</v>
      </c>
      <c r="K18" s="4">
        <f t="shared" si="23"/>
        <v>3</v>
      </c>
      <c r="L18" s="10">
        <f t="shared" si="3"/>
        <v>57.1</v>
      </c>
      <c r="M18" s="10">
        <f t="shared" si="4"/>
        <v>100</v>
      </c>
      <c r="N18" s="10">
        <f t="shared" si="5"/>
        <v>100</v>
      </c>
      <c r="O18" s="10">
        <f t="shared" si="6"/>
        <v>25</v>
      </c>
      <c r="P18" s="10">
        <f t="shared" si="7"/>
        <v>0</v>
      </c>
      <c r="Q18" s="11">
        <f t="shared" si="8"/>
        <v>17</v>
      </c>
      <c r="R18" s="9">
        <v>0.0</v>
      </c>
      <c r="S18" s="12">
        <v>45532.950694444444</v>
      </c>
      <c r="T18" s="5" t="s">
        <v>25</v>
      </c>
      <c r="U18" s="4"/>
      <c r="V18" s="4"/>
      <c r="W18" s="4"/>
      <c r="X18" s="4"/>
      <c r="Y18" s="4"/>
    </row>
    <row r="19">
      <c r="A19" s="5" t="s">
        <v>9711</v>
      </c>
      <c r="B19" s="9">
        <v>0.0</v>
      </c>
      <c r="C19" s="9">
        <v>2.0</v>
      </c>
      <c r="D19" s="9">
        <v>0.0</v>
      </c>
      <c r="E19" s="9">
        <v>1.0</v>
      </c>
      <c r="F19" s="9">
        <v>3.0</v>
      </c>
      <c r="G19" s="9">
        <v>3.0</v>
      </c>
      <c r="H19" s="9">
        <v>0.0</v>
      </c>
      <c r="I19" s="9">
        <v>0.0</v>
      </c>
      <c r="J19" s="5">
        <f t="shared" ref="J19:K19" si="24">B19+D19+F19+H19</f>
        <v>3</v>
      </c>
      <c r="K19" s="4">
        <f t="shared" si="24"/>
        <v>6</v>
      </c>
      <c r="L19" s="10">
        <f t="shared" si="3"/>
        <v>33.3</v>
      </c>
      <c r="M19" s="10">
        <f t="shared" si="4"/>
        <v>0</v>
      </c>
      <c r="N19" s="10">
        <f t="shared" si="5"/>
        <v>0</v>
      </c>
      <c r="O19" s="10">
        <f t="shared" si="6"/>
        <v>50</v>
      </c>
      <c r="P19" s="10">
        <f t="shared" si="7"/>
        <v>0</v>
      </c>
      <c r="Q19" s="11">
        <f t="shared" si="8"/>
        <v>18</v>
      </c>
      <c r="R19" s="9">
        <v>0.0</v>
      </c>
      <c r="S19" s="12">
        <v>45521.00902777778</v>
      </c>
      <c r="T19" s="5" t="s">
        <v>25</v>
      </c>
      <c r="U19" s="4"/>
      <c r="V19" s="4"/>
      <c r="W19" s="4"/>
      <c r="X19" s="4"/>
      <c r="Y19" s="4"/>
    </row>
    <row r="20">
      <c r="A20" s="5" t="s">
        <v>42</v>
      </c>
      <c r="B20" s="9">
        <v>0.0</v>
      </c>
      <c r="C20" s="9">
        <v>1.0</v>
      </c>
      <c r="D20" s="9">
        <v>2.0</v>
      </c>
      <c r="E20" s="9">
        <v>1.0</v>
      </c>
      <c r="F20" s="9">
        <v>0.0</v>
      </c>
      <c r="G20" s="9">
        <v>0.0</v>
      </c>
      <c r="H20" s="9">
        <v>0.0</v>
      </c>
      <c r="I20" s="9">
        <v>2.0</v>
      </c>
      <c r="J20" s="5">
        <f t="shared" ref="J20:K20" si="25">B20+D20+F20+H20</f>
        <v>2</v>
      </c>
      <c r="K20" s="4">
        <f t="shared" si="25"/>
        <v>4</v>
      </c>
      <c r="L20" s="10">
        <f t="shared" si="3"/>
        <v>33.3</v>
      </c>
      <c r="M20" s="10">
        <f t="shared" si="4"/>
        <v>0</v>
      </c>
      <c r="N20" s="10">
        <f t="shared" si="5"/>
        <v>66.7</v>
      </c>
      <c r="O20" s="10">
        <f t="shared" si="6"/>
        <v>0</v>
      </c>
      <c r="P20" s="10">
        <f t="shared" si="7"/>
        <v>0</v>
      </c>
      <c r="Q20" s="11">
        <f t="shared" si="8"/>
        <v>19</v>
      </c>
      <c r="R20" s="9">
        <v>0.0</v>
      </c>
      <c r="S20" s="12">
        <v>45512.07152777778</v>
      </c>
      <c r="T20" s="5" t="s">
        <v>25</v>
      </c>
      <c r="U20" s="4"/>
      <c r="V20" s="4"/>
      <c r="W20" s="4"/>
      <c r="X20" s="4"/>
      <c r="Y20" s="4"/>
    </row>
    <row r="21">
      <c r="A21" s="5" t="s">
        <v>9758</v>
      </c>
      <c r="B21" s="9">
        <v>0.0</v>
      </c>
      <c r="C21" s="9">
        <v>4.0</v>
      </c>
      <c r="D21" s="9">
        <v>0.0</v>
      </c>
      <c r="E21" s="9">
        <v>0.0</v>
      </c>
      <c r="F21" s="9">
        <v>2.0</v>
      </c>
      <c r="G21" s="9">
        <v>2.0</v>
      </c>
      <c r="H21" s="9">
        <v>0.0</v>
      </c>
      <c r="I21" s="9">
        <v>0.0</v>
      </c>
      <c r="J21" s="5">
        <f t="shared" ref="J21:K21" si="26">B21+D21+F21+H21</f>
        <v>2</v>
      </c>
      <c r="K21" s="4">
        <f t="shared" si="26"/>
        <v>6</v>
      </c>
      <c r="L21" s="10">
        <f t="shared" si="3"/>
        <v>25</v>
      </c>
      <c r="M21" s="10">
        <f t="shared" si="4"/>
        <v>0</v>
      </c>
      <c r="N21" s="10">
        <f t="shared" si="5"/>
        <v>0</v>
      </c>
      <c r="O21" s="10">
        <f t="shared" si="6"/>
        <v>50</v>
      </c>
      <c r="P21" s="10">
        <f t="shared" si="7"/>
        <v>0</v>
      </c>
      <c r="Q21" s="11">
        <f t="shared" si="8"/>
        <v>20</v>
      </c>
      <c r="R21" s="9">
        <v>0.0</v>
      </c>
      <c r="S21" s="12">
        <v>45521.04305555556</v>
      </c>
      <c r="T21" s="5" t="s">
        <v>25</v>
      </c>
      <c r="U21" s="4"/>
      <c r="V21" s="4"/>
      <c r="W21" s="4"/>
      <c r="X21" s="4"/>
      <c r="Y21" s="4"/>
    </row>
    <row r="22">
      <c r="A22" s="5" t="s">
        <v>44</v>
      </c>
      <c r="B22" s="9">
        <v>0.0</v>
      </c>
      <c r="C22" s="9">
        <v>0.0</v>
      </c>
      <c r="D22" s="9">
        <v>0.0</v>
      </c>
      <c r="E22" s="9">
        <v>1.0</v>
      </c>
      <c r="F22" s="9">
        <v>0.0</v>
      </c>
      <c r="G22" s="9">
        <v>0.0</v>
      </c>
      <c r="H22" s="9">
        <v>2.0</v>
      </c>
      <c r="I22" s="9">
        <v>1.0</v>
      </c>
      <c r="J22" s="5">
        <f t="shared" ref="J22:K22" si="27">B22+D22+F22+H22</f>
        <v>2</v>
      </c>
      <c r="K22" s="4">
        <f t="shared" si="27"/>
        <v>2</v>
      </c>
      <c r="L22" s="10">
        <f t="shared" si="3"/>
        <v>50</v>
      </c>
      <c r="M22" s="10">
        <f t="shared" si="4"/>
        <v>0</v>
      </c>
      <c r="N22" s="10">
        <f t="shared" si="5"/>
        <v>0</v>
      </c>
      <c r="O22" s="10">
        <f t="shared" si="6"/>
        <v>0</v>
      </c>
      <c r="P22" s="10">
        <f t="shared" si="7"/>
        <v>66.7</v>
      </c>
      <c r="Q22" s="11">
        <f t="shared" si="8"/>
        <v>21</v>
      </c>
      <c r="R22" s="9">
        <v>0.0</v>
      </c>
      <c r="S22" s="12">
        <v>45525.91111111111</v>
      </c>
      <c r="T22" s="5" t="s">
        <v>25</v>
      </c>
      <c r="U22" s="4"/>
      <c r="V22" s="4"/>
      <c r="W22" s="4"/>
      <c r="X22" s="4"/>
      <c r="Y22" s="4"/>
    </row>
    <row r="23">
      <c r="A23" s="5" t="s">
        <v>43</v>
      </c>
      <c r="B23" s="9">
        <v>0.0</v>
      </c>
      <c r="C23" s="9">
        <v>0.0</v>
      </c>
      <c r="D23" s="9">
        <v>0.0</v>
      </c>
      <c r="E23" s="9">
        <v>0.0</v>
      </c>
      <c r="F23" s="9">
        <v>1.0</v>
      </c>
      <c r="G23" s="9">
        <v>0.0</v>
      </c>
      <c r="H23" s="9">
        <v>0.0</v>
      </c>
      <c r="I23" s="9">
        <v>1.0</v>
      </c>
      <c r="J23" s="5">
        <f t="shared" ref="J23:K23" si="28">B23+D23+F23+H23</f>
        <v>1</v>
      </c>
      <c r="K23" s="4">
        <f t="shared" si="28"/>
        <v>1</v>
      </c>
      <c r="L23" s="10">
        <f t="shared" si="3"/>
        <v>50</v>
      </c>
      <c r="M23" s="10">
        <f t="shared" si="4"/>
        <v>0</v>
      </c>
      <c r="N23" s="10">
        <f t="shared" si="5"/>
        <v>0</v>
      </c>
      <c r="O23" s="10">
        <f t="shared" si="6"/>
        <v>100</v>
      </c>
      <c r="P23" s="10">
        <f t="shared" si="7"/>
        <v>0</v>
      </c>
      <c r="Q23" s="11">
        <f t="shared" si="8"/>
        <v>22</v>
      </c>
      <c r="R23" s="9">
        <v>0.0</v>
      </c>
      <c r="S23" s="12">
        <v>45521.106944444444</v>
      </c>
      <c r="T23" s="5" t="s">
        <v>47</v>
      </c>
      <c r="U23" s="4"/>
      <c r="V23" s="4"/>
      <c r="W23" s="4"/>
      <c r="X23" s="4"/>
      <c r="Y23" s="4"/>
    </row>
    <row r="24">
      <c r="A24" s="5" t="s">
        <v>9750</v>
      </c>
      <c r="B24" s="9">
        <v>1.0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5">
        <f t="shared" ref="J24:K24" si="29">B24+D24+F24+H24</f>
        <v>1</v>
      </c>
      <c r="K24" s="4">
        <f t="shared" si="29"/>
        <v>0</v>
      </c>
      <c r="L24" s="10">
        <f t="shared" si="3"/>
        <v>100</v>
      </c>
      <c r="M24" s="10">
        <f t="shared" si="4"/>
        <v>100</v>
      </c>
      <c r="N24" s="10">
        <f t="shared" si="5"/>
        <v>0</v>
      </c>
      <c r="O24" s="10">
        <f t="shared" si="6"/>
        <v>0</v>
      </c>
      <c r="P24" s="10">
        <f t="shared" si="7"/>
        <v>0</v>
      </c>
      <c r="Q24" s="11">
        <f t="shared" si="8"/>
        <v>23</v>
      </c>
      <c r="R24" s="9">
        <v>0.0</v>
      </c>
      <c r="S24" s="12">
        <v>45524.90347222222</v>
      </c>
      <c r="T24" s="5" t="s">
        <v>25</v>
      </c>
      <c r="U24" s="4"/>
      <c r="V24" s="4"/>
      <c r="W24" s="4"/>
      <c r="X24" s="4"/>
      <c r="Y24" s="4"/>
    </row>
    <row r="25">
      <c r="A25" s="5" t="s">
        <v>9746</v>
      </c>
      <c r="B25" s="9">
        <v>0.0</v>
      </c>
      <c r="C25" s="9">
        <v>1.0</v>
      </c>
      <c r="D25" s="9">
        <v>1.0</v>
      </c>
      <c r="E25" s="9">
        <v>0.0</v>
      </c>
      <c r="F25" s="9">
        <v>0.0</v>
      </c>
      <c r="G25" s="9">
        <v>1.0</v>
      </c>
      <c r="H25" s="9">
        <v>0.0</v>
      </c>
      <c r="I25" s="9">
        <v>0.0</v>
      </c>
      <c r="J25" s="5">
        <f t="shared" ref="J25:K25" si="30">B25+D25+F25+H25</f>
        <v>1</v>
      </c>
      <c r="K25" s="4">
        <f t="shared" si="30"/>
        <v>2</v>
      </c>
      <c r="L25" s="10">
        <f t="shared" si="3"/>
        <v>33.3</v>
      </c>
      <c r="M25" s="10">
        <f t="shared" si="4"/>
        <v>0</v>
      </c>
      <c r="N25" s="10">
        <f t="shared" si="5"/>
        <v>100</v>
      </c>
      <c r="O25" s="10">
        <f t="shared" si="6"/>
        <v>0</v>
      </c>
      <c r="P25" s="10">
        <f t="shared" si="7"/>
        <v>0</v>
      </c>
      <c r="Q25" s="11">
        <f t="shared" si="8"/>
        <v>24</v>
      </c>
      <c r="R25" s="9">
        <v>0.0</v>
      </c>
      <c r="S25" s="12">
        <v>45526.92986111111</v>
      </c>
      <c r="T25" s="5" t="s">
        <v>47</v>
      </c>
      <c r="U25" s="4"/>
      <c r="V25" s="4"/>
      <c r="W25" s="4"/>
      <c r="X25" s="4"/>
      <c r="Y25" s="4"/>
    </row>
    <row r="26">
      <c r="A26" s="5" t="s">
        <v>9759</v>
      </c>
      <c r="B26" s="9">
        <v>0.0</v>
      </c>
      <c r="C26" s="9">
        <v>0.0</v>
      </c>
      <c r="D26" s="9">
        <v>0.0</v>
      </c>
      <c r="E26" s="9">
        <v>0.0</v>
      </c>
      <c r="F26" s="9">
        <v>0.0</v>
      </c>
      <c r="G26" s="9">
        <v>0.0</v>
      </c>
      <c r="H26" s="9">
        <v>0.0</v>
      </c>
      <c r="I26" s="9">
        <v>4.0</v>
      </c>
      <c r="J26" s="5">
        <f t="shared" ref="J26:K26" si="31">B26+D26+F26+H26</f>
        <v>0</v>
      </c>
      <c r="K26" s="4">
        <f t="shared" si="31"/>
        <v>4</v>
      </c>
      <c r="L26" s="10">
        <f t="shared" si="3"/>
        <v>0</v>
      </c>
      <c r="M26" s="10">
        <f t="shared" si="4"/>
        <v>0</v>
      </c>
      <c r="N26" s="10">
        <f t="shared" si="5"/>
        <v>0</v>
      </c>
      <c r="O26" s="10">
        <f t="shared" si="6"/>
        <v>0</v>
      </c>
      <c r="P26" s="10">
        <f t="shared" si="7"/>
        <v>0</v>
      </c>
      <c r="Q26" s="11">
        <f t="shared" si="8"/>
        <v>25</v>
      </c>
      <c r="R26" s="9">
        <v>0.0</v>
      </c>
      <c r="S26" s="12">
        <v>45510.99722222222</v>
      </c>
      <c r="T26" s="5" t="s">
        <v>25</v>
      </c>
      <c r="U26" s="4"/>
      <c r="V26" s="4"/>
      <c r="W26" s="4"/>
      <c r="X26" s="4"/>
      <c r="Y26" s="4"/>
    </row>
    <row r="27">
      <c r="A27" s="5" t="s">
        <v>9751</v>
      </c>
      <c r="B27" s="9">
        <v>0.0</v>
      </c>
      <c r="C27" s="9">
        <v>0.0</v>
      </c>
      <c r="D27" s="9">
        <v>0.0</v>
      </c>
      <c r="E27" s="9">
        <v>0.0</v>
      </c>
      <c r="F27" s="9">
        <v>0.0</v>
      </c>
      <c r="G27" s="9">
        <v>1.0</v>
      </c>
      <c r="H27" s="9">
        <v>0.0</v>
      </c>
      <c r="I27" s="9">
        <v>0.0</v>
      </c>
      <c r="J27" s="5">
        <f t="shared" ref="J27:K27" si="32">B27+D27+F27+H27</f>
        <v>0</v>
      </c>
      <c r="K27" s="4">
        <f t="shared" si="32"/>
        <v>1</v>
      </c>
      <c r="L27" s="10">
        <f t="shared" si="3"/>
        <v>0</v>
      </c>
      <c r="M27" s="10">
        <f t="shared" si="4"/>
        <v>0</v>
      </c>
      <c r="N27" s="10">
        <f t="shared" si="5"/>
        <v>0</v>
      </c>
      <c r="O27" s="10">
        <f t="shared" si="6"/>
        <v>0</v>
      </c>
      <c r="P27" s="10">
        <f t="shared" si="7"/>
        <v>0</v>
      </c>
      <c r="Q27" s="11">
        <f t="shared" si="8"/>
        <v>26</v>
      </c>
      <c r="R27" s="9">
        <v>0.0</v>
      </c>
      <c r="S27" s="12">
        <v>45523.86944444444</v>
      </c>
      <c r="T27" s="5" t="s">
        <v>25</v>
      </c>
      <c r="U27" s="4"/>
      <c r="V27" s="4"/>
      <c r="W27" s="4"/>
      <c r="X27" s="4"/>
      <c r="Y27" s="4"/>
    </row>
    <row r="28">
      <c r="A28" s="5" t="s">
        <v>9767</v>
      </c>
      <c r="B28" s="9">
        <v>0.0</v>
      </c>
      <c r="C28" s="9">
        <v>0.0</v>
      </c>
      <c r="D28" s="9">
        <v>0.0</v>
      </c>
      <c r="E28" s="9">
        <v>0.0</v>
      </c>
      <c r="F28" s="9">
        <v>0.0</v>
      </c>
      <c r="G28" s="9">
        <v>1.0</v>
      </c>
      <c r="H28" s="9">
        <v>0.0</v>
      </c>
      <c r="I28" s="9">
        <v>0.0</v>
      </c>
      <c r="J28" s="5">
        <f t="shared" ref="J28:K28" si="33">B28+D28+F28+H28</f>
        <v>0</v>
      </c>
      <c r="K28" s="4">
        <f t="shared" si="33"/>
        <v>1</v>
      </c>
      <c r="L28" s="10">
        <f t="shared" si="3"/>
        <v>0</v>
      </c>
      <c r="M28" s="10">
        <f t="shared" si="4"/>
        <v>0</v>
      </c>
      <c r="N28" s="10">
        <f t="shared" si="5"/>
        <v>0</v>
      </c>
      <c r="O28" s="10">
        <f t="shared" si="6"/>
        <v>0</v>
      </c>
      <c r="P28" s="10">
        <f t="shared" si="7"/>
        <v>0</v>
      </c>
      <c r="Q28" s="11">
        <f t="shared" si="8"/>
        <v>27</v>
      </c>
      <c r="R28" s="9">
        <v>0.0</v>
      </c>
      <c r="S28" s="12">
        <v>45526.99236111111</v>
      </c>
      <c r="T28" s="5" t="s">
        <v>25</v>
      </c>
      <c r="U28" s="4"/>
      <c r="V28" s="4"/>
      <c r="W28" s="4"/>
      <c r="X28" s="4"/>
      <c r="Y28" s="4"/>
    </row>
    <row r="29">
      <c r="A29" s="5" t="s">
        <v>46</v>
      </c>
      <c r="B29" s="9">
        <v>0.0</v>
      </c>
      <c r="C29" s="5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5">
        <f t="shared" ref="J29:K29" si="34">B29+D29+F29+H29</f>
        <v>0</v>
      </c>
      <c r="K29" s="4">
        <f t="shared" si="34"/>
        <v>0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45532.020833333336</v>
      </c>
      <c r="T29" s="5" t="s">
        <v>47</v>
      </c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4"/>
      <c r="V1" s="4"/>
      <c r="W1" s="4"/>
      <c r="X1" s="4"/>
      <c r="Y1" s="4"/>
    </row>
    <row r="2">
      <c r="A2" s="5" t="s">
        <v>30</v>
      </c>
      <c r="B2" s="9">
        <v>17.0</v>
      </c>
      <c r="C2" s="9">
        <v>4.0</v>
      </c>
      <c r="D2" s="9">
        <v>12.0</v>
      </c>
      <c r="E2" s="9">
        <v>6.0</v>
      </c>
      <c r="F2" s="9">
        <v>8.0</v>
      </c>
      <c r="G2" s="9">
        <v>9.0</v>
      </c>
      <c r="H2" s="9">
        <v>8.0</v>
      </c>
      <c r="I2" s="9">
        <v>5.0</v>
      </c>
      <c r="J2" s="5">
        <f t="shared" ref="J2:K2" si="1">B2+D2+F2+H2</f>
        <v>45</v>
      </c>
      <c r="K2" s="4">
        <f t="shared" si="1"/>
        <v>24</v>
      </c>
      <c r="L2" s="10">
        <f t="shared" ref="L2:L28" si="3">ROUND(IFERROR(J2/(J2+K2),0)*100,1)</f>
        <v>65.2</v>
      </c>
      <c r="M2" s="10">
        <f t="shared" ref="M2:M28" si="4">ROUND(IFERROR(B2/(B2+C2),0)*100,1)</f>
        <v>81</v>
      </c>
      <c r="N2" s="10">
        <f t="shared" ref="N2:N28" si="5">ROUND(IFERROR(D2/(D2+E2),0)*100,1)</f>
        <v>66.7</v>
      </c>
      <c r="O2" s="10">
        <f t="shared" ref="O2:O28" si="6">ROUND(IFERROR(F2/(F2+G2),0)*100,1)</f>
        <v>47.1</v>
      </c>
      <c r="P2" s="10">
        <f t="shared" ref="P2:P28" si="7">ROUND(IFERROR(H2/(I2+H2),0)*100,1)</f>
        <v>61.5</v>
      </c>
      <c r="Q2" s="11">
        <f t="shared" ref="Q2:Q28" si="8">ROW()-1</f>
        <v>1</v>
      </c>
      <c r="R2" s="9">
        <v>1329.0</v>
      </c>
      <c r="S2" s="12">
        <v>45570.06458333333</v>
      </c>
      <c r="T2" s="5" t="s">
        <v>25</v>
      </c>
      <c r="U2" s="4"/>
      <c r="V2" s="4"/>
      <c r="W2" s="4"/>
      <c r="X2" s="4"/>
      <c r="Y2" s="4"/>
    </row>
    <row r="3">
      <c r="A3" s="5" t="s">
        <v>9706</v>
      </c>
      <c r="B3" s="9">
        <v>7.0</v>
      </c>
      <c r="C3" s="9">
        <v>7.0</v>
      </c>
      <c r="D3" s="9">
        <v>7.0</v>
      </c>
      <c r="E3" s="9">
        <v>2.0</v>
      </c>
      <c r="F3" s="9">
        <v>1.0</v>
      </c>
      <c r="G3" s="9">
        <v>6.0</v>
      </c>
      <c r="H3" s="9">
        <v>8.0</v>
      </c>
      <c r="I3" s="9">
        <v>3.0</v>
      </c>
      <c r="J3" s="5">
        <f t="shared" ref="J3:K3" si="2">B3+D3+F3+H3</f>
        <v>23</v>
      </c>
      <c r="K3" s="4">
        <f t="shared" si="2"/>
        <v>18</v>
      </c>
      <c r="L3" s="10">
        <f t="shared" si="3"/>
        <v>56.1</v>
      </c>
      <c r="M3" s="10">
        <f t="shared" si="4"/>
        <v>50</v>
      </c>
      <c r="N3" s="10">
        <f t="shared" si="5"/>
        <v>77.8</v>
      </c>
      <c r="O3" s="10">
        <f t="shared" si="6"/>
        <v>14.3</v>
      </c>
      <c r="P3" s="10">
        <f t="shared" si="7"/>
        <v>72.7</v>
      </c>
      <c r="Q3" s="11">
        <f t="shared" si="8"/>
        <v>2</v>
      </c>
      <c r="R3" s="5">
        <v>1254.0</v>
      </c>
      <c r="S3" s="12">
        <v>45570.06458333333</v>
      </c>
      <c r="T3" s="5" t="s">
        <v>25</v>
      </c>
      <c r="U3" s="4"/>
      <c r="V3" s="4"/>
      <c r="W3" s="4"/>
      <c r="X3" s="4"/>
      <c r="Y3" s="4"/>
    </row>
    <row r="4">
      <c r="A4" s="5" t="s">
        <v>9731</v>
      </c>
      <c r="B4" s="9">
        <v>7.0</v>
      </c>
      <c r="C4" s="9">
        <v>9.0</v>
      </c>
      <c r="D4" s="9">
        <v>8.0</v>
      </c>
      <c r="E4" s="9">
        <v>8.0</v>
      </c>
      <c r="F4" s="9">
        <v>8.0</v>
      </c>
      <c r="G4" s="9">
        <v>7.0</v>
      </c>
      <c r="H4" s="9">
        <v>2.0</v>
      </c>
      <c r="I4" s="9">
        <v>5.0</v>
      </c>
      <c r="J4" s="5">
        <f t="shared" ref="J4:K4" si="9">B4+D4+F4+H4</f>
        <v>25</v>
      </c>
      <c r="K4" s="4">
        <f t="shared" si="9"/>
        <v>29</v>
      </c>
      <c r="L4" s="10">
        <f t="shared" si="3"/>
        <v>46.3</v>
      </c>
      <c r="M4" s="10">
        <f t="shared" si="4"/>
        <v>43.8</v>
      </c>
      <c r="N4" s="10">
        <f t="shared" si="5"/>
        <v>50</v>
      </c>
      <c r="O4" s="10">
        <f t="shared" si="6"/>
        <v>53.3</v>
      </c>
      <c r="P4" s="10">
        <f t="shared" si="7"/>
        <v>28.6</v>
      </c>
      <c r="Q4" s="11">
        <f t="shared" si="8"/>
        <v>3</v>
      </c>
      <c r="R4" s="5">
        <v>1213.0</v>
      </c>
      <c r="S4" s="12">
        <v>45570.06458333333</v>
      </c>
      <c r="T4" s="5" t="s">
        <v>25</v>
      </c>
      <c r="U4" s="4"/>
      <c r="V4" s="4"/>
      <c r="W4" s="4"/>
      <c r="X4" s="4"/>
      <c r="Y4" s="4"/>
    </row>
    <row r="5">
      <c r="A5" s="5" t="s">
        <v>53</v>
      </c>
      <c r="B5" s="9">
        <v>2.0</v>
      </c>
      <c r="C5" s="9">
        <v>5.0</v>
      </c>
      <c r="D5" s="9">
        <v>9.0</v>
      </c>
      <c r="E5" s="9">
        <v>2.0</v>
      </c>
      <c r="F5" s="9">
        <v>5.0</v>
      </c>
      <c r="G5" s="9">
        <v>4.0</v>
      </c>
      <c r="H5" s="9">
        <v>5.0</v>
      </c>
      <c r="I5" s="9">
        <v>12.0</v>
      </c>
      <c r="J5" s="5">
        <f t="shared" ref="J5:K5" si="10">B5+D5+F5+H5</f>
        <v>21</v>
      </c>
      <c r="K5" s="4">
        <f t="shared" si="10"/>
        <v>23</v>
      </c>
      <c r="L5" s="10">
        <f t="shared" si="3"/>
        <v>47.7</v>
      </c>
      <c r="M5" s="10">
        <f t="shared" si="4"/>
        <v>28.6</v>
      </c>
      <c r="N5" s="10">
        <f t="shared" si="5"/>
        <v>81.8</v>
      </c>
      <c r="O5" s="10">
        <f t="shared" si="6"/>
        <v>55.6</v>
      </c>
      <c r="P5" s="10">
        <f t="shared" si="7"/>
        <v>29.4</v>
      </c>
      <c r="Q5" s="11">
        <f t="shared" si="8"/>
        <v>4</v>
      </c>
      <c r="R5" s="9">
        <v>1207.0</v>
      </c>
      <c r="S5" s="12">
        <v>45568.00069444445</v>
      </c>
      <c r="T5" s="5" t="s">
        <v>25</v>
      </c>
      <c r="U5" s="4"/>
      <c r="V5" s="4"/>
      <c r="W5" s="4"/>
      <c r="X5" s="4"/>
      <c r="Y5" s="4"/>
    </row>
    <row r="6">
      <c r="A6" s="5" t="s">
        <v>9742</v>
      </c>
      <c r="B6" s="9">
        <v>0.0</v>
      </c>
      <c r="C6" s="9">
        <v>1.0</v>
      </c>
      <c r="D6" s="9">
        <v>0.0</v>
      </c>
      <c r="E6" s="9">
        <v>0.0</v>
      </c>
      <c r="F6" s="9">
        <v>11.0</v>
      </c>
      <c r="G6" s="9">
        <v>12.0</v>
      </c>
      <c r="H6" s="9">
        <v>0.0</v>
      </c>
      <c r="I6" s="9">
        <v>0.0</v>
      </c>
      <c r="J6" s="5">
        <f t="shared" ref="J6:K6" si="11">B6+D6+F6+H6</f>
        <v>11</v>
      </c>
      <c r="K6" s="4">
        <f t="shared" si="11"/>
        <v>13</v>
      </c>
      <c r="L6" s="10">
        <f t="shared" si="3"/>
        <v>45.8</v>
      </c>
      <c r="M6" s="10">
        <f t="shared" si="4"/>
        <v>0</v>
      </c>
      <c r="N6" s="10">
        <f t="shared" si="5"/>
        <v>0</v>
      </c>
      <c r="O6" s="10">
        <f t="shared" si="6"/>
        <v>47.8</v>
      </c>
      <c r="P6" s="10">
        <f t="shared" si="7"/>
        <v>0</v>
      </c>
      <c r="Q6" s="11">
        <f t="shared" si="8"/>
        <v>5</v>
      </c>
      <c r="R6" s="9">
        <v>1193.0</v>
      </c>
      <c r="S6" s="12">
        <v>45568.00069444445</v>
      </c>
      <c r="T6" s="5" t="s">
        <v>25</v>
      </c>
      <c r="U6" s="4"/>
      <c r="V6" s="4"/>
      <c r="W6" s="4"/>
      <c r="X6" s="4"/>
      <c r="Y6" s="4"/>
    </row>
    <row r="7">
      <c r="A7" s="5" t="s">
        <v>36</v>
      </c>
      <c r="B7" s="9">
        <v>5.0</v>
      </c>
      <c r="C7" s="9">
        <v>4.0</v>
      </c>
      <c r="D7" s="9">
        <v>8.0</v>
      </c>
      <c r="E7" s="9">
        <v>7.0</v>
      </c>
      <c r="F7" s="9">
        <v>3.0</v>
      </c>
      <c r="G7" s="9">
        <v>6.0</v>
      </c>
      <c r="H7" s="9">
        <v>18.0</v>
      </c>
      <c r="I7" s="9">
        <v>7.0</v>
      </c>
      <c r="J7" s="5">
        <f t="shared" ref="J7:K7" si="12">B7+D7+F7+H7</f>
        <v>34</v>
      </c>
      <c r="K7" s="4">
        <f t="shared" si="12"/>
        <v>24</v>
      </c>
      <c r="L7" s="10">
        <f t="shared" si="3"/>
        <v>58.6</v>
      </c>
      <c r="M7" s="10">
        <f t="shared" si="4"/>
        <v>55.6</v>
      </c>
      <c r="N7" s="10">
        <f t="shared" si="5"/>
        <v>53.3</v>
      </c>
      <c r="O7" s="10">
        <f t="shared" si="6"/>
        <v>33.3</v>
      </c>
      <c r="P7" s="10">
        <f t="shared" si="7"/>
        <v>72</v>
      </c>
      <c r="Q7" s="11">
        <f t="shared" si="8"/>
        <v>6</v>
      </c>
      <c r="R7" s="5">
        <v>1182.0</v>
      </c>
      <c r="S7" s="12">
        <v>45570.06458333333</v>
      </c>
      <c r="T7" s="5" t="s">
        <v>25</v>
      </c>
      <c r="U7" s="4"/>
      <c r="V7" s="4"/>
      <c r="W7" s="4"/>
      <c r="X7" s="4"/>
      <c r="Y7" s="4"/>
    </row>
    <row r="8">
      <c r="A8" s="5" t="s">
        <v>45</v>
      </c>
      <c r="B8" s="9">
        <v>0.0</v>
      </c>
      <c r="C8" s="9">
        <v>1.0</v>
      </c>
      <c r="D8" s="9">
        <v>8.0</v>
      </c>
      <c r="E8" s="9">
        <v>5.0</v>
      </c>
      <c r="F8" s="9">
        <v>5.0</v>
      </c>
      <c r="G8" s="9">
        <v>2.0</v>
      </c>
      <c r="H8" s="9">
        <v>3.0</v>
      </c>
      <c r="I8" s="9">
        <v>2.0</v>
      </c>
      <c r="J8" s="5">
        <f t="shared" ref="J8:K8" si="13">B8+D8+F8+H8</f>
        <v>16</v>
      </c>
      <c r="K8" s="4">
        <f t="shared" si="13"/>
        <v>10</v>
      </c>
      <c r="L8" s="10">
        <f t="shared" si="3"/>
        <v>61.5</v>
      </c>
      <c r="M8" s="10">
        <f t="shared" si="4"/>
        <v>0</v>
      </c>
      <c r="N8" s="10">
        <f t="shared" si="5"/>
        <v>61.5</v>
      </c>
      <c r="O8" s="10">
        <f t="shared" si="6"/>
        <v>71.4</v>
      </c>
      <c r="P8" s="10">
        <f t="shared" si="7"/>
        <v>60</v>
      </c>
      <c r="Q8" s="11">
        <f t="shared" si="8"/>
        <v>7</v>
      </c>
      <c r="R8" s="9">
        <v>1175.0</v>
      </c>
      <c r="S8" s="12">
        <v>45565.998611111114</v>
      </c>
      <c r="T8" s="5" t="s">
        <v>25</v>
      </c>
      <c r="U8" s="4"/>
      <c r="V8" s="4"/>
      <c r="W8" s="4"/>
      <c r="X8" s="4"/>
      <c r="Y8" s="4"/>
    </row>
    <row r="9">
      <c r="A9" s="5" t="s">
        <v>34</v>
      </c>
      <c r="B9" s="9">
        <v>12.0</v>
      </c>
      <c r="C9" s="9">
        <v>7.0</v>
      </c>
      <c r="D9" s="9">
        <v>8.0</v>
      </c>
      <c r="E9" s="9">
        <v>15.0</v>
      </c>
      <c r="F9" s="9">
        <v>7.0</v>
      </c>
      <c r="G9" s="9">
        <v>6.0</v>
      </c>
      <c r="H9" s="9">
        <v>8.0</v>
      </c>
      <c r="I9" s="9">
        <v>10.0</v>
      </c>
      <c r="J9" s="5">
        <f t="shared" ref="J9:K9" si="14">B9+D9+F9+H9</f>
        <v>35</v>
      </c>
      <c r="K9" s="4">
        <f t="shared" si="14"/>
        <v>38</v>
      </c>
      <c r="L9" s="10">
        <f t="shared" si="3"/>
        <v>47.9</v>
      </c>
      <c r="M9" s="10">
        <f t="shared" si="4"/>
        <v>63.2</v>
      </c>
      <c r="N9" s="10">
        <f t="shared" si="5"/>
        <v>34.8</v>
      </c>
      <c r="O9" s="10">
        <f t="shared" si="6"/>
        <v>53.8</v>
      </c>
      <c r="P9" s="10">
        <f t="shared" si="7"/>
        <v>44.4</v>
      </c>
      <c r="Q9" s="11">
        <f t="shared" si="8"/>
        <v>8</v>
      </c>
      <c r="R9" s="5">
        <v>1174.0</v>
      </c>
      <c r="S9" s="12">
        <v>45570.001388888886</v>
      </c>
      <c r="T9" s="5" t="s">
        <v>25</v>
      </c>
      <c r="U9" s="4"/>
      <c r="V9" s="4"/>
      <c r="W9" s="4"/>
      <c r="X9" s="4"/>
      <c r="Y9" s="4"/>
    </row>
    <row r="10">
      <c r="A10" s="5" t="s">
        <v>9711</v>
      </c>
      <c r="B10" s="9">
        <v>3.0</v>
      </c>
      <c r="C10" s="9">
        <v>4.0</v>
      </c>
      <c r="D10" s="9">
        <v>7.0</v>
      </c>
      <c r="E10" s="9">
        <v>11.0</v>
      </c>
      <c r="F10" s="9">
        <v>5.0</v>
      </c>
      <c r="G10" s="9">
        <v>3.0</v>
      </c>
      <c r="H10" s="9">
        <v>3.0</v>
      </c>
      <c r="I10" s="9">
        <v>2.0</v>
      </c>
      <c r="J10" s="5">
        <f t="shared" ref="J10:K10" si="15">B10+D10+F10+H10</f>
        <v>18</v>
      </c>
      <c r="K10" s="4">
        <f t="shared" si="15"/>
        <v>20</v>
      </c>
      <c r="L10" s="10">
        <f t="shared" si="3"/>
        <v>47.4</v>
      </c>
      <c r="M10" s="10">
        <f t="shared" si="4"/>
        <v>42.9</v>
      </c>
      <c r="N10" s="10">
        <f t="shared" si="5"/>
        <v>38.9</v>
      </c>
      <c r="O10" s="10">
        <f t="shared" si="6"/>
        <v>62.5</v>
      </c>
      <c r="P10" s="10">
        <f t="shared" si="7"/>
        <v>60</v>
      </c>
      <c r="Q10" s="11">
        <f t="shared" si="8"/>
        <v>9</v>
      </c>
      <c r="R10" s="9">
        <v>1162.0</v>
      </c>
      <c r="S10" s="12">
        <v>45570.06458333333</v>
      </c>
      <c r="T10" s="5" t="s">
        <v>25</v>
      </c>
      <c r="U10" s="4"/>
      <c r="V10" s="4"/>
      <c r="W10" s="4"/>
      <c r="X10" s="4"/>
      <c r="Y10" s="4"/>
    </row>
    <row r="11">
      <c r="A11" s="5" t="s">
        <v>60</v>
      </c>
      <c r="B11" s="9">
        <v>8.0</v>
      </c>
      <c r="C11" s="9">
        <v>9.0</v>
      </c>
      <c r="D11" s="9">
        <v>2.0</v>
      </c>
      <c r="E11" s="9">
        <v>12.0</v>
      </c>
      <c r="F11" s="9">
        <v>10.0</v>
      </c>
      <c r="G11" s="9">
        <v>4.0</v>
      </c>
      <c r="H11" s="9">
        <v>7.0</v>
      </c>
      <c r="I11" s="9">
        <v>7.0</v>
      </c>
      <c r="J11" s="5">
        <f t="shared" ref="J11:K11" si="16">B11+D11+F11+H11</f>
        <v>27</v>
      </c>
      <c r="K11" s="4">
        <f t="shared" si="16"/>
        <v>32</v>
      </c>
      <c r="L11" s="10">
        <f t="shared" si="3"/>
        <v>45.8</v>
      </c>
      <c r="M11" s="10">
        <f t="shared" si="4"/>
        <v>47.1</v>
      </c>
      <c r="N11" s="10">
        <f t="shared" si="5"/>
        <v>14.3</v>
      </c>
      <c r="O11" s="10">
        <f t="shared" si="6"/>
        <v>71.4</v>
      </c>
      <c r="P11" s="10">
        <f t="shared" si="7"/>
        <v>50</v>
      </c>
      <c r="Q11" s="11">
        <f t="shared" si="8"/>
        <v>10</v>
      </c>
      <c r="R11" s="9">
        <v>1140.0</v>
      </c>
      <c r="S11" s="12">
        <v>45570.06458333333</v>
      </c>
      <c r="T11" s="5" t="s">
        <v>25</v>
      </c>
      <c r="U11" s="4"/>
      <c r="V11" s="4"/>
      <c r="W11" s="4"/>
      <c r="X11" s="4"/>
      <c r="Y11" s="4"/>
    </row>
    <row r="12">
      <c r="A12" s="5" t="s">
        <v>9705</v>
      </c>
      <c r="B12" s="9">
        <v>0.0</v>
      </c>
      <c r="C12" s="9">
        <v>0.0</v>
      </c>
      <c r="D12" s="9">
        <v>3.0</v>
      </c>
      <c r="E12" s="9">
        <v>1.0</v>
      </c>
      <c r="F12" s="9">
        <v>2.0</v>
      </c>
      <c r="G12" s="9">
        <v>2.0</v>
      </c>
      <c r="H12" s="9">
        <v>3.0</v>
      </c>
      <c r="I12" s="9">
        <v>2.0</v>
      </c>
      <c r="J12" s="5">
        <f t="shared" ref="J12:K12" si="17">B12+D12+F12+H12</f>
        <v>8</v>
      </c>
      <c r="K12" s="4">
        <f t="shared" si="17"/>
        <v>5</v>
      </c>
      <c r="L12" s="10">
        <f t="shared" si="3"/>
        <v>61.5</v>
      </c>
      <c r="M12" s="10">
        <f t="shared" si="4"/>
        <v>0</v>
      </c>
      <c r="N12" s="10">
        <f t="shared" si="5"/>
        <v>75</v>
      </c>
      <c r="O12" s="10">
        <f t="shared" si="6"/>
        <v>50</v>
      </c>
      <c r="P12" s="10">
        <f t="shared" si="7"/>
        <v>60</v>
      </c>
      <c r="Q12" s="11">
        <f t="shared" si="8"/>
        <v>11</v>
      </c>
      <c r="R12" s="9">
        <v>1109.0</v>
      </c>
      <c r="S12" s="12">
        <v>45566.13333333333</v>
      </c>
      <c r="T12" s="5" t="s">
        <v>25</v>
      </c>
      <c r="U12" s="4"/>
      <c r="V12" s="4"/>
      <c r="W12" s="4"/>
      <c r="X12" s="4"/>
      <c r="Y12" s="4"/>
    </row>
    <row r="13">
      <c r="A13" s="5" t="s">
        <v>9741</v>
      </c>
      <c r="B13" s="9">
        <v>0.0</v>
      </c>
      <c r="C13" s="9">
        <v>1.0</v>
      </c>
      <c r="D13" s="9">
        <v>3.0</v>
      </c>
      <c r="E13" s="9">
        <v>2.0</v>
      </c>
      <c r="F13" s="9">
        <v>1.0</v>
      </c>
      <c r="G13" s="9">
        <v>1.0</v>
      </c>
      <c r="H13" s="9">
        <v>3.0</v>
      </c>
      <c r="I13" s="9">
        <v>6.0</v>
      </c>
      <c r="J13" s="5">
        <f t="shared" ref="J13:K13" si="18">B13+D13+F13+H13</f>
        <v>7</v>
      </c>
      <c r="K13" s="4">
        <f t="shared" si="18"/>
        <v>10</v>
      </c>
      <c r="L13" s="10">
        <f t="shared" si="3"/>
        <v>41.2</v>
      </c>
      <c r="M13" s="10">
        <f t="shared" si="4"/>
        <v>0</v>
      </c>
      <c r="N13" s="10">
        <f t="shared" si="5"/>
        <v>60</v>
      </c>
      <c r="O13" s="10">
        <f t="shared" si="6"/>
        <v>50</v>
      </c>
      <c r="P13" s="10">
        <f t="shared" si="7"/>
        <v>33.3</v>
      </c>
      <c r="Q13" s="11">
        <f t="shared" si="8"/>
        <v>12</v>
      </c>
      <c r="R13" s="9">
        <v>1086.0</v>
      </c>
      <c r="S13" s="12">
        <v>45544.958333333336</v>
      </c>
      <c r="T13" s="5" t="s">
        <v>25</v>
      </c>
      <c r="U13" s="4"/>
      <c r="V13" s="4"/>
      <c r="W13" s="4"/>
      <c r="X13" s="4"/>
      <c r="Y13" s="4"/>
    </row>
    <row r="14">
      <c r="A14" s="5" t="s">
        <v>9722</v>
      </c>
      <c r="B14" s="9">
        <v>3.0</v>
      </c>
      <c r="C14" s="9">
        <v>6.0</v>
      </c>
      <c r="D14" s="9">
        <v>1.0</v>
      </c>
      <c r="E14" s="9">
        <v>4.0</v>
      </c>
      <c r="F14" s="9">
        <v>2.0</v>
      </c>
      <c r="G14" s="9">
        <v>1.0</v>
      </c>
      <c r="H14" s="9">
        <v>2.0</v>
      </c>
      <c r="I14" s="9">
        <v>4.0</v>
      </c>
      <c r="J14" s="5">
        <f t="shared" ref="J14:K14" si="19">B14+D14+F14+H14</f>
        <v>8</v>
      </c>
      <c r="K14" s="4">
        <f t="shared" si="19"/>
        <v>15</v>
      </c>
      <c r="L14" s="10">
        <f t="shared" si="3"/>
        <v>34.8</v>
      </c>
      <c r="M14" s="10">
        <f t="shared" si="4"/>
        <v>33.3</v>
      </c>
      <c r="N14" s="10">
        <f t="shared" si="5"/>
        <v>20</v>
      </c>
      <c r="O14" s="10">
        <f t="shared" si="6"/>
        <v>66.7</v>
      </c>
      <c r="P14" s="10">
        <f t="shared" si="7"/>
        <v>33.3</v>
      </c>
      <c r="Q14" s="11">
        <f t="shared" si="8"/>
        <v>13</v>
      </c>
      <c r="R14" s="9">
        <v>1080.0</v>
      </c>
      <c r="S14" s="12">
        <v>45566.13333333333</v>
      </c>
      <c r="T14" s="5" t="s">
        <v>25</v>
      </c>
      <c r="U14" s="4"/>
      <c r="V14" s="4"/>
      <c r="W14" s="4"/>
      <c r="X14" s="4"/>
      <c r="Y14" s="4"/>
    </row>
    <row r="15">
      <c r="A15" s="5" t="s">
        <v>9743</v>
      </c>
      <c r="B15" s="9">
        <v>2.0</v>
      </c>
      <c r="C15" s="9">
        <v>1.0</v>
      </c>
      <c r="D15" s="9">
        <v>1.0</v>
      </c>
      <c r="E15" s="9">
        <v>2.0</v>
      </c>
      <c r="F15" s="9">
        <v>2.0</v>
      </c>
      <c r="G15" s="9">
        <v>2.0</v>
      </c>
      <c r="H15" s="9">
        <v>2.0</v>
      </c>
      <c r="I15" s="9">
        <v>2.0</v>
      </c>
      <c r="J15" s="5">
        <f t="shared" ref="J15:K15" si="20">B15+D15+F15+H15</f>
        <v>7</v>
      </c>
      <c r="K15" s="4">
        <f t="shared" si="20"/>
        <v>7</v>
      </c>
      <c r="L15" s="10">
        <f t="shared" si="3"/>
        <v>50</v>
      </c>
      <c r="M15" s="10">
        <f t="shared" si="4"/>
        <v>66.7</v>
      </c>
      <c r="N15" s="10">
        <f t="shared" si="5"/>
        <v>33.3</v>
      </c>
      <c r="O15" s="10">
        <f t="shared" si="6"/>
        <v>50</v>
      </c>
      <c r="P15" s="10">
        <f t="shared" si="7"/>
        <v>50</v>
      </c>
      <c r="Q15" s="11">
        <f t="shared" si="8"/>
        <v>14</v>
      </c>
      <c r="R15" s="9">
        <v>1067.0</v>
      </c>
      <c r="S15" s="12">
        <v>45567.06319444445</v>
      </c>
      <c r="T15" s="5" t="s">
        <v>25</v>
      </c>
      <c r="U15" s="4"/>
      <c r="V15" s="4"/>
      <c r="W15" s="4"/>
      <c r="X15" s="4"/>
      <c r="Y15" s="4"/>
    </row>
    <row r="16">
      <c r="A16" s="5" t="s">
        <v>9757</v>
      </c>
      <c r="B16" s="9">
        <v>3.0</v>
      </c>
      <c r="C16" s="9">
        <v>6.0</v>
      </c>
      <c r="D16" s="9">
        <v>0.0</v>
      </c>
      <c r="E16" s="9">
        <v>0.0</v>
      </c>
      <c r="F16" s="9">
        <v>0.0</v>
      </c>
      <c r="G16" s="9">
        <v>0.0</v>
      </c>
      <c r="H16" s="9">
        <v>2.0</v>
      </c>
      <c r="I16" s="9">
        <v>10.0</v>
      </c>
      <c r="J16" s="5">
        <f t="shared" ref="J16:K16" si="21">B16+D16+F16+H16</f>
        <v>5</v>
      </c>
      <c r="K16" s="4">
        <f t="shared" si="21"/>
        <v>16</v>
      </c>
      <c r="L16" s="10">
        <f t="shared" si="3"/>
        <v>23.8</v>
      </c>
      <c r="M16" s="10">
        <f t="shared" si="4"/>
        <v>33.3</v>
      </c>
      <c r="N16" s="10">
        <f t="shared" si="5"/>
        <v>0</v>
      </c>
      <c r="O16" s="10">
        <f t="shared" si="6"/>
        <v>0</v>
      </c>
      <c r="P16" s="10">
        <f t="shared" si="7"/>
        <v>16.7</v>
      </c>
      <c r="Q16" s="11">
        <f t="shared" si="8"/>
        <v>15</v>
      </c>
      <c r="R16" s="9">
        <v>962.0</v>
      </c>
      <c r="S16" s="12">
        <v>45570.06458333333</v>
      </c>
      <c r="T16" s="5" t="s">
        <v>25</v>
      </c>
      <c r="U16" s="4"/>
      <c r="V16" s="4"/>
      <c r="W16" s="4"/>
      <c r="X16" s="4"/>
      <c r="Y16" s="4"/>
    </row>
    <row r="17">
      <c r="A17" s="5" t="s">
        <v>27</v>
      </c>
      <c r="B17" s="9">
        <v>0.0</v>
      </c>
      <c r="C17" s="9">
        <v>1.0</v>
      </c>
      <c r="D17" s="9">
        <v>3.0</v>
      </c>
      <c r="E17" s="9">
        <v>1.0</v>
      </c>
      <c r="F17" s="9">
        <v>4.0</v>
      </c>
      <c r="G17" s="9">
        <v>0.0</v>
      </c>
      <c r="H17" s="9">
        <v>0.0</v>
      </c>
      <c r="I17" s="9">
        <v>0.0</v>
      </c>
      <c r="J17" s="5">
        <f t="shared" ref="J17:K17" si="22">B17+D17+F17+H17</f>
        <v>7</v>
      </c>
      <c r="K17" s="4">
        <f t="shared" si="22"/>
        <v>2</v>
      </c>
      <c r="L17" s="10">
        <f t="shared" si="3"/>
        <v>77.8</v>
      </c>
      <c r="M17" s="10">
        <f t="shared" si="4"/>
        <v>0</v>
      </c>
      <c r="N17" s="10">
        <f t="shared" si="5"/>
        <v>75</v>
      </c>
      <c r="O17" s="10">
        <f t="shared" si="6"/>
        <v>100</v>
      </c>
      <c r="P17" s="10">
        <f t="shared" si="7"/>
        <v>0</v>
      </c>
      <c r="Q17" s="11">
        <f t="shared" si="8"/>
        <v>16</v>
      </c>
      <c r="R17" s="9">
        <v>0.0</v>
      </c>
      <c r="S17" s="12">
        <v>45569.96666666667</v>
      </c>
      <c r="T17" s="5" t="s">
        <v>25</v>
      </c>
      <c r="U17" s="4"/>
      <c r="V17" s="4"/>
      <c r="W17" s="4"/>
      <c r="X17" s="4"/>
      <c r="Y17" s="4"/>
    </row>
    <row r="18">
      <c r="A18" s="5" t="s">
        <v>35</v>
      </c>
      <c r="B18" s="9">
        <v>0.0</v>
      </c>
      <c r="C18" s="9">
        <v>1.0</v>
      </c>
      <c r="D18" s="9">
        <v>2.0</v>
      </c>
      <c r="E18" s="9">
        <v>1.0</v>
      </c>
      <c r="F18" s="9">
        <v>1.0</v>
      </c>
      <c r="G18" s="9">
        <v>2.0</v>
      </c>
      <c r="H18" s="9">
        <v>2.0</v>
      </c>
      <c r="I18" s="9">
        <v>0.0</v>
      </c>
      <c r="J18" s="5">
        <f t="shared" ref="J18:K18" si="23">B18+D18+F18+H18</f>
        <v>5</v>
      </c>
      <c r="K18" s="4">
        <f t="shared" si="23"/>
        <v>4</v>
      </c>
      <c r="L18" s="10">
        <f t="shared" si="3"/>
        <v>55.6</v>
      </c>
      <c r="M18" s="10">
        <f t="shared" si="4"/>
        <v>0</v>
      </c>
      <c r="N18" s="10">
        <f t="shared" si="5"/>
        <v>66.7</v>
      </c>
      <c r="O18" s="10">
        <f t="shared" si="6"/>
        <v>33.3</v>
      </c>
      <c r="P18" s="10">
        <f t="shared" si="7"/>
        <v>100</v>
      </c>
      <c r="Q18" s="11">
        <f t="shared" si="8"/>
        <v>17</v>
      </c>
      <c r="R18" s="9">
        <v>0.0</v>
      </c>
      <c r="S18" s="12">
        <v>45559.01666666667</v>
      </c>
      <c r="T18" s="5" t="s">
        <v>25</v>
      </c>
      <c r="U18" s="4"/>
      <c r="V18" s="4"/>
      <c r="W18" s="4"/>
      <c r="X18" s="4"/>
      <c r="Y18" s="4"/>
    </row>
    <row r="19">
      <c r="A19" s="5" t="s">
        <v>9751</v>
      </c>
      <c r="B19" s="9">
        <v>0.0</v>
      </c>
      <c r="C19" s="9">
        <v>0.0</v>
      </c>
      <c r="D19" s="9">
        <v>2.0</v>
      </c>
      <c r="E19" s="9">
        <v>0.0</v>
      </c>
      <c r="F19" s="9">
        <v>0.0</v>
      </c>
      <c r="G19" s="9">
        <v>1.0</v>
      </c>
      <c r="H19" s="9">
        <v>2.0</v>
      </c>
      <c r="I19" s="9">
        <v>1.0</v>
      </c>
      <c r="J19" s="5">
        <f t="shared" ref="J19:K19" si="24">B19+D19+F19+H19</f>
        <v>4</v>
      </c>
      <c r="K19" s="4">
        <f t="shared" si="24"/>
        <v>2</v>
      </c>
      <c r="L19" s="10">
        <f t="shared" si="3"/>
        <v>66.7</v>
      </c>
      <c r="M19" s="10">
        <f t="shared" si="4"/>
        <v>0</v>
      </c>
      <c r="N19" s="10">
        <f t="shared" si="5"/>
        <v>100</v>
      </c>
      <c r="O19" s="10">
        <f t="shared" si="6"/>
        <v>0</v>
      </c>
      <c r="P19" s="10">
        <f t="shared" si="7"/>
        <v>66.7</v>
      </c>
      <c r="Q19" s="11">
        <f t="shared" si="8"/>
        <v>18</v>
      </c>
      <c r="R19" s="9">
        <v>0.0</v>
      </c>
      <c r="S19" s="12">
        <v>45556.68263888889</v>
      </c>
      <c r="T19" s="5" t="s">
        <v>25</v>
      </c>
      <c r="U19" s="4"/>
      <c r="V19" s="4"/>
      <c r="W19" s="4"/>
      <c r="X19" s="4"/>
      <c r="Y19" s="4"/>
    </row>
    <row r="20">
      <c r="A20" s="5" t="s">
        <v>26</v>
      </c>
      <c r="B20" s="9">
        <v>1.0</v>
      </c>
      <c r="C20" s="9">
        <v>1.0</v>
      </c>
      <c r="D20" s="9">
        <v>1.0</v>
      </c>
      <c r="E20" s="9">
        <v>3.0</v>
      </c>
      <c r="F20" s="9">
        <v>0.0</v>
      </c>
      <c r="G20" s="9">
        <v>0.0</v>
      </c>
      <c r="H20" s="9">
        <v>2.0</v>
      </c>
      <c r="I20" s="9">
        <v>0.0</v>
      </c>
      <c r="J20" s="5">
        <f t="shared" ref="J20:K20" si="25">B20+D20+F20+H20</f>
        <v>4</v>
      </c>
      <c r="K20" s="4">
        <f t="shared" si="25"/>
        <v>4</v>
      </c>
      <c r="L20" s="10">
        <f t="shared" si="3"/>
        <v>50</v>
      </c>
      <c r="M20" s="10">
        <f t="shared" si="4"/>
        <v>50</v>
      </c>
      <c r="N20" s="10">
        <f t="shared" si="5"/>
        <v>25</v>
      </c>
      <c r="O20" s="10">
        <f t="shared" si="6"/>
        <v>0</v>
      </c>
      <c r="P20" s="10">
        <f t="shared" si="7"/>
        <v>100</v>
      </c>
      <c r="Q20" s="11">
        <f t="shared" si="8"/>
        <v>19</v>
      </c>
      <c r="R20" s="9">
        <v>0.0</v>
      </c>
      <c r="S20" s="12">
        <v>45569.02291666667</v>
      </c>
      <c r="T20" s="5" t="s">
        <v>25</v>
      </c>
      <c r="U20" s="4"/>
      <c r="V20" s="4"/>
      <c r="W20" s="4"/>
      <c r="X20" s="4"/>
      <c r="Y20" s="4"/>
    </row>
    <row r="21">
      <c r="A21" s="5" t="s">
        <v>9746</v>
      </c>
      <c r="B21" s="9">
        <v>2.0</v>
      </c>
      <c r="C21" s="9">
        <v>3.0</v>
      </c>
      <c r="D21" s="9">
        <v>0.0</v>
      </c>
      <c r="E21" s="9">
        <v>0.0</v>
      </c>
      <c r="F21" s="9">
        <v>1.0</v>
      </c>
      <c r="G21" s="9">
        <v>1.0</v>
      </c>
      <c r="H21" s="9">
        <v>0.0</v>
      </c>
      <c r="I21" s="9">
        <v>0.0</v>
      </c>
      <c r="J21" s="5">
        <f t="shared" ref="J21:K21" si="26">B21+D21+F21+H21</f>
        <v>3</v>
      </c>
      <c r="K21" s="4">
        <f t="shared" si="26"/>
        <v>4</v>
      </c>
      <c r="L21" s="10">
        <f t="shared" si="3"/>
        <v>42.9</v>
      </c>
      <c r="M21" s="10">
        <f t="shared" si="4"/>
        <v>40</v>
      </c>
      <c r="N21" s="10">
        <f t="shared" si="5"/>
        <v>0</v>
      </c>
      <c r="O21" s="10">
        <f t="shared" si="6"/>
        <v>50</v>
      </c>
      <c r="P21" s="10">
        <f t="shared" si="7"/>
        <v>0</v>
      </c>
      <c r="Q21" s="11">
        <f t="shared" si="8"/>
        <v>20</v>
      </c>
      <c r="R21" s="9">
        <v>0.0</v>
      </c>
      <c r="S21" s="12">
        <v>45555.025</v>
      </c>
      <c r="T21" s="5" t="s">
        <v>47</v>
      </c>
      <c r="U21" s="4"/>
      <c r="V21" s="4"/>
      <c r="W21" s="4"/>
      <c r="X21" s="4"/>
      <c r="Y21" s="4"/>
    </row>
    <row r="22">
      <c r="A22" s="5" t="s">
        <v>9758</v>
      </c>
      <c r="B22" s="9">
        <v>1.0</v>
      </c>
      <c r="C22" s="9">
        <v>2.0</v>
      </c>
      <c r="D22" s="9">
        <v>0.0</v>
      </c>
      <c r="E22" s="9">
        <v>0.0</v>
      </c>
      <c r="F22" s="9">
        <v>2.0</v>
      </c>
      <c r="G22" s="9">
        <v>2.0</v>
      </c>
      <c r="H22" s="9">
        <v>0.0</v>
      </c>
      <c r="I22" s="9">
        <v>0.0</v>
      </c>
      <c r="J22" s="5">
        <f t="shared" ref="J22:K22" si="27">B22+D22+F22+H22</f>
        <v>3</v>
      </c>
      <c r="K22" s="4">
        <f t="shared" si="27"/>
        <v>4</v>
      </c>
      <c r="L22" s="10">
        <f t="shared" si="3"/>
        <v>42.9</v>
      </c>
      <c r="M22" s="10">
        <f t="shared" si="4"/>
        <v>33.3</v>
      </c>
      <c r="N22" s="10">
        <f t="shared" si="5"/>
        <v>0</v>
      </c>
      <c r="O22" s="10">
        <f t="shared" si="6"/>
        <v>50</v>
      </c>
      <c r="P22" s="10">
        <f t="shared" si="7"/>
        <v>0</v>
      </c>
      <c r="Q22" s="11">
        <f t="shared" si="8"/>
        <v>21</v>
      </c>
      <c r="R22" s="9">
        <v>0.0</v>
      </c>
      <c r="S22" s="12">
        <v>45561.00486111111</v>
      </c>
      <c r="T22" s="5" t="s">
        <v>25</v>
      </c>
      <c r="U22" s="4"/>
      <c r="V22" s="4"/>
      <c r="W22" s="4"/>
      <c r="X22" s="4"/>
      <c r="Y22" s="4"/>
    </row>
    <row r="23">
      <c r="A23" s="5" t="s">
        <v>9609</v>
      </c>
      <c r="B23" s="9">
        <v>2.0</v>
      </c>
      <c r="C23" s="9">
        <v>1.0</v>
      </c>
      <c r="D23" s="9">
        <v>0.0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5">
        <f t="shared" ref="J23:K23" si="28">B23+D23+F23+H23</f>
        <v>2</v>
      </c>
      <c r="K23" s="4">
        <f t="shared" si="28"/>
        <v>1</v>
      </c>
      <c r="L23" s="10">
        <f t="shared" si="3"/>
        <v>66.7</v>
      </c>
      <c r="M23" s="10">
        <f t="shared" si="4"/>
        <v>66.7</v>
      </c>
      <c r="N23" s="10">
        <f t="shared" si="5"/>
        <v>0</v>
      </c>
      <c r="O23" s="10">
        <f t="shared" si="6"/>
        <v>0</v>
      </c>
      <c r="P23" s="10">
        <f t="shared" si="7"/>
        <v>0</v>
      </c>
      <c r="Q23" s="11">
        <f t="shared" si="8"/>
        <v>22</v>
      </c>
      <c r="R23" s="9">
        <v>0.0</v>
      </c>
      <c r="S23" s="12">
        <v>45561.00486111111</v>
      </c>
      <c r="T23" s="5" t="s">
        <v>25</v>
      </c>
      <c r="U23" s="4"/>
      <c r="V23" s="4"/>
      <c r="W23" s="4"/>
      <c r="X23" s="4"/>
      <c r="Y23" s="4"/>
    </row>
    <row r="24">
      <c r="A24" s="5" t="s">
        <v>9759</v>
      </c>
      <c r="B24" s="9">
        <v>0.0</v>
      </c>
      <c r="C24" s="9">
        <v>0.0</v>
      </c>
      <c r="D24" s="9">
        <v>0.0</v>
      </c>
      <c r="E24" s="9">
        <v>0.0</v>
      </c>
      <c r="F24" s="9">
        <v>2.0</v>
      </c>
      <c r="G24" s="9">
        <v>6.0</v>
      </c>
      <c r="H24" s="9">
        <v>0.0</v>
      </c>
      <c r="I24" s="9">
        <v>0.0</v>
      </c>
      <c r="J24" s="5">
        <f t="shared" ref="J24:K24" si="29">B24+D24+F24+H24</f>
        <v>2</v>
      </c>
      <c r="K24" s="4">
        <f t="shared" si="29"/>
        <v>6</v>
      </c>
      <c r="L24" s="10">
        <f t="shared" si="3"/>
        <v>25</v>
      </c>
      <c r="M24" s="10">
        <f t="shared" si="4"/>
        <v>0</v>
      </c>
      <c r="N24" s="10">
        <f t="shared" si="5"/>
        <v>0</v>
      </c>
      <c r="O24" s="10">
        <f t="shared" si="6"/>
        <v>25</v>
      </c>
      <c r="P24" s="10">
        <f t="shared" si="7"/>
        <v>0</v>
      </c>
      <c r="Q24" s="11">
        <f t="shared" si="8"/>
        <v>23</v>
      </c>
      <c r="R24" s="9">
        <v>0.0</v>
      </c>
      <c r="S24" s="12">
        <v>45567.09027777778</v>
      </c>
      <c r="T24" s="5" t="s">
        <v>25</v>
      </c>
      <c r="U24" s="4"/>
      <c r="V24" s="4"/>
      <c r="W24" s="4"/>
      <c r="X24" s="4"/>
      <c r="Y24" s="4"/>
    </row>
    <row r="25">
      <c r="A25" s="5" t="s">
        <v>9775</v>
      </c>
      <c r="B25" s="9">
        <v>2.0</v>
      </c>
      <c r="C25" s="9">
        <v>1.0</v>
      </c>
      <c r="D25" s="9">
        <v>0.0</v>
      </c>
      <c r="E25" s="9">
        <v>0.0</v>
      </c>
      <c r="F25" s="9">
        <v>0.0</v>
      </c>
      <c r="G25" s="9">
        <v>2.0</v>
      </c>
      <c r="H25" s="9">
        <v>0.0</v>
      </c>
      <c r="I25" s="9">
        <v>0.0</v>
      </c>
      <c r="J25" s="5">
        <f t="shared" ref="J25:K25" si="30">B25+D25+F25+H25</f>
        <v>2</v>
      </c>
      <c r="K25" s="4">
        <f t="shared" si="30"/>
        <v>3</v>
      </c>
      <c r="L25" s="10">
        <f t="shared" si="3"/>
        <v>40</v>
      </c>
      <c r="M25" s="10">
        <f t="shared" si="4"/>
        <v>66.7</v>
      </c>
      <c r="N25" s="10">
        <f t="shared" si="5"/>
        <v>0</v>
      </c>
      <c r="O25" s="10">
        <f t="shared" si="6"/>
        <v>0</v>
      </c>
      <c r="P25" s="10">
        <f t="shared" si="7"/>
        <v>0</v>
      </c>
      <c r="Q25" s="11">
        <f t="shared" si="8"/>
        <v>24</v>
      </c>
      <c r="R25" s="9">
        <v>0.0</v>
      </c>
      <c r="S25" s="12">
        <v>45569.02291666667</v>
      </c>
      <c r="T25" s="5" t="s">
        <v>25</v>
      </c>
      <c r="U25" s="4"/>
      <c r="V25" s="4"/>
      <c r="W25" s="4"/>
      <c r="X25" s="4"/>
      <c r="Y25" s="4"/>
    </row>
    <row r="26">
      <c r="A26" s="5" t="s">
        <v>48</v>
      </c>
      <c r="B26" s="9">
        <v>2.0</v>
      </c>
      <c r="C26" s="9">
        <v>2.0</v>
      </c>
      <c r="D26" s="9">
        <v>0.0</v>
      </c>
      <c r="E26" s="9">
        <v>0.0</v>
      </c>
      <c r="F26" s="9">
        <v>0.0</v>
      </c>
      <c r="G26" s="9">
        <v>1.0</v>
      </c>
      <c r="H26" s="9">
        <v>0.0</v>
      </c>
      <c r="I26" s="9">
        <v>0.0</v>
      </c>
      <c r="J26" s="5">
        <f t="shared" ref="J26:K26" si="31">B26+D26+F26+H26</f>
        <v>2</v>
      </c>
      <c r="K26" s="4">
        <f t="shared" si="31"/>
        <v>3</v>
      </c>
      <c r="L26" s="10">
        <f t="shared" si="3"/>
        <v>40</v>
      </c>
      <c r="M26" s="10">
        <f t="shared" si="4"/>
        <v>50</v>
      </c>
      <c r="N26" s="10">
        <f t="shared" si="5"/>
        <v>0</v>
      </c>
      <c r="O26" s="10">
        <f t="shared" si="6"/>
        <v>0</v>
      </c>
      <c r="P26" s="10">
        <f t="shared" si="7"/>
        <v>0</v>
      </c>
      <c r="Q26" s="11">
        <f t="shared" si="8"/>
        <v>25</v>
      </c>
      <c r="R26" s="9">
        <v>0.0</v>
      </c>
      <c r="S26" s="12">
        <v>45570.001388888886</v>
      </c>
      <c r="T26" s="5" t="s">
        <v>25</v>
      </c>
      <c r="U26" s="4"/>
      <c r="V26" s="4"/>
      <c r="W26" s="4"/>
      <c r="X26" s="4"/>
      <c r="Y26" s="4"/>
    </row>
    <row r="27">
      <c r="A27" s="5" t="s">
        <v>42</v>
      </c>
      <c r="B27" s="9">
        <v>0.0</v>
      </c>
      <c r="C27" s="9">
        <v>1.0</v>
      </c>
      <c r="D27" s="9">
        <v>0.0</v>
      </c>
      <c r="E27" s="9">
        <v>2.0</v>
      </c>
      <c r="F27" s="9">
        <v>0.0</v>
      </c>
      <c r="G27" s="9">
        <v>0.0</v>
      </c>
      <c r="H27" s="9">
        <v>0.0</v>
      </c>
      <c r="I27" s="9">
        <v>0.0</v>
      </c>
      <c r="J27" s="5">
        <f t="shared" ref="J27:K27" si="32">B27+D27+F27+H27</f>
        <v>0</v>
      </c>
      <c r="K27" s="4">
        <f t="shared" si="32"/>
        <v>3</v>
      </c>
      <c r="L27" s="10">
        <f t="shared" si="3"/>
        <v>0</v>
      </c>
      <c r="M27" s="10">
        <f t="shared" si="4"/>
        <v>0</v>
      </c>
      <c r="N27" s="10">
        <f t="shared" si="5"/>
        <v>0</v>
      </c>
      <c r="O27" s="10">
        <f t="shared" si="6"/>
        <v>0</v>
      </c>
      <c r="P27" s="10">
        <f t="shared" si="7"/>
        <v>0</v>
      </c>
      <c r="Q27" s="11">
        <f t="shared" si="8"/>
        <v>26</v>
      </c>
      <c r="R27" s="9">
        <v>0.0</v>
      </c>
      <c r="S27" s="12">
        <v>45568.99722222222</v>
      </c>
      <c r="T27" s="5" t="s">
        <v>25</v>
      </c>
      <c r="U27" s="4"/>
      <c r="V27" s="4"/>
      <c r="W27" s="4"/>
      <c r="X27" s="4"/>
      <c r="Y27" s="4"/>
    </row>
    <row r="28">
      <c r="A28" s="5" t="s">
        <v>46</v>
      </c>
      <c r="B28" s="9">
        <v>0.0</v>
      </c>
      <c r="C28" s="5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5">
        <f t="shared" ref="J28:K28" si="33">B28+D28+F28+H28</f>
        <v>0</v>
      </c>
      <c r="K28" s="4">
        <f t="shared" si="33"/>
        <v>0</v>
      </c>
      <c r="L28" s="10">
        <f t="shared" si="3"/>
        <v>0</v>
      </c>
      <c r="M28" s="10">
        <f t="shared" si="4"/>
        <v>0</v>
      </c>
      <c r="N28" s="10">
        <f t="shared" si="5"/>
        <v>0</v>
      </c>
      <c r="O28" s="10">
        <f t="shared" si="6"/>
        <v>0</v>
      </c>
      <c r="P28" s="10">
        <f t="shared" si="7"/>
        <v>0</v>
      </c>
      <c r="Q28" s="11">
        <f t="shared" si="8"/>
        <v>27</v>
      </c>
      <c r="R28" s="9">
        <v>0.0</v>
      </c>
      <c r="S28" s="12">
        <v>45570.06458333333</v>
      </c>
      <c r="T28" s="5" t="s">
        <v>47</v>
      </c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4"/>
      <c r="V1" s="4"/>
      <c r="W1" s="4"/>
      <c r="X1" s="4"/>
      <c r="Y1" s="4"/>
    </row>
    <row r="2">
      <c r="A2" s="5" t="s">
        <v>42</v>
      </c>
      <c r="B2" s="5">
        <v>15.0</v>
      </c>
      <c r="C2" s="9">
        <v>7.0</v>
      </c>
      <c r="D2" s="5">
        <v>19.0</v>
      </c>
      <c r="E2" s="9">
        <v>8.0</v>
      </c>
      <c r="F2" s="5">
        <v>24.0</v>
      </c>
      <c r="G2" s="9">
        <v>11.0</v>
      </c>
      <c r="H2" s="5">
        <v>9.0</v>
      </c>
      <c r="I2" s="9">
        <v>12.0</v>
      </c>
      <c r="J2" s="5">
        <f t="shared" ref="J2:K2" si="1">B2+D2+F2+H2</f>
        <v>67</v>
      </c>
      <c r="K2" s="4">
        <f t="shared" si="1"/>
        <v>38</v>
      </c>
      <c r="L2" s="10">
        <f t="shared" ref="L2:L32" si="3">ROUND(IFERROR(J2/(J2+K2),0)*100,1)</f>
        <v>63.8</v>
      </c>
      <c r="M2" s="10">
        <f t="shared" ref="M2:M32" si="4">ROUND(IFERROR(B2/(B2+C2),0)*100,1)</f>
        <v>68.2</v>
      </c>
      <c r="N2" s="10">
        <f t="shared" ref="N2:N32" si="5">ROUND(IFERROR(D2/(D2+E2),0)*100,1)</f>
        <v>70.4</v>
      </c>
      <c r="O2" s="10">
        <f t="shared" ref="O2:O32" si="6">ROUND(IFERROR(F2/(F2+G2),0)*100,1)</f>
        <v>68.6</v>
      </c>
      <c r="P2" s="10">
        <f t="shared" ref="P2:P32" si="7">ROUND(IFERROR(H2/(I2+H2),0)*100,1)</f>
        <v>42.9</v>
      </c>
      <c r="Q2" s="11">
        <f t="shared" ref="Q2:Q32" si="8">ROW()-1</f>
        <v>1</v>
      </c>
      <c r="R2" s="5">
        <v>1424.0</v>
      </c>
      <c r="S2" s="12">
        <v>45614.004166666666</v>
      </c>
      <c r="T2" s="5" t="s">
        <v>25</v>
      </c>
      <c r="U2" s="4"/>
      <c r="V2" s="4"/>
      <c r="W2" s="4"/>
      <c r="X2" s="4"/>
      <c r="Y2" s="4"/>
    </row>
    <row r="3">
      <c r="A3" s="5" t="s">
        <v>27</v>
      </c>
      <c r="B3" s="9">
        <v>21.0</v>
      </c>
      <c r="C3" s="9">
        <v>9.0</v>
      </c>
      <c r="D3" s="9">
        <v>21.0</v>
      </c>
      <c r="E3" s="9">
        <v>8.0</v>
      </c>
      <c r="F3" s="9">
        <v>28.0</v>
      </c>
      <c r="G3" s="9">
        <v>18.0</v>
      </c>
      <c r="H3" s="9">
        <v>0.0</v>
      </c>
      <c r="I3" s="9">
        <v>0.0</v>
      </c>
      <c r="J3" s="5">
        <f t="shared" ref="J3:K3" si="2">B3+D3+F3+H3</f>
        <v>70</v>
      </c>
      <c r="K3" s="4">
        <f t="shared" si="2"/>
        <v>35</v>
      </c>
      <c r="L3" s="10">
        <f t="shared" si="3"/>
        <v>66.7</v>
      </c>
      <c r="M3" s="10">
        <f t="shared" si="4"/>
        <v>70</v>
      </c>
      <c r="N3" s="10">
        <f t="shared" si="5"/>
        <v>72.4</v>
      </c>
      <c r="O3" s="10">
        <f t="shared" si="6"/>
        <v>60.9</v>
      </c>
      <c r="P3" s="10">
        <f t="shared" si="7"/>
        <v>0</v>
      </c>
      <c r="Q3" s="11">
        <f t="shared" si="8"/>
        <v>2</v>
      </c>
      <c r="R3" s="5">
        <v>1421.0</v>
      </c>
      <c r="S3" s="12">
        <v>45614.004166666666</v>
      </c>
      <c r="T3" s="5" t="s">
        <v>25</v>
      </c>
      <c r="U3" s="4"/>
      <c r="V3" s="4"/>
      <c r="W3" s="4"/>
      <c r="X3" s="4"/>
      <c r="Y3" s="4"/>
    </row>
    <row r="4">
      <c r="A4" s="5" t="s">
        <v>26</v>
      </c>
      <c r="B4" s="9">
        <v>31.0</v>
      </c>
      <c r="C4" s="9">
        <v>22.0</v>
      </c>
      <c r="D4" s="9">
        <v>14.0</v>
      </c>
      <c r="E4" s="9">
        <v>20.0</v>
      </c>
      <c r="F4" s="9">
        <v>0.0</v>
      </c>
      <c r="G4" s="9">
        <v>0.0</v>
      </c>
      <c r="H4" s="9">
        <v>26.0</v>
      </c>
      <c r="I4" s="9">
        <v>19.0</v>
      </c>
      <c r="J4" s="5">
        <f t="shared" ref="J4:K4" si="9">B4+D4+F4+H4</f>
        <v>71</v>
      </c>
      <c r="K4" s="4">
        <f t="shared" si="9"/>
        <v>61</v>
      </c>
      <c r="L4" s="10">
        <f t="shared" si="3"/>
        <v>53.8</v>
      </c>
      <c r="M4" s="10">
        <f t="shared" si="4"/>
        <v>58.5</v>
      </c>
      <c r="N4" s="10">
        <f t="shared" si="5"/>
        <v>41.2</v>
      </c>
      <c r="O4" s="10">
        <f t="shared" si="6"/>
        <v>0</v>
      </c>
      <c r="P4" s="10">
        <f t="shared" si="7"/>
        <v>57.8</v>
      </c>
      <c r="Q4" s="11">
        <f t="shared" si="8"/>
        <v>3</v>
      </c>
      <c r="R4" s="9">
        <v>1406.0</v>
      </c>
      <c r="S4" s="12">
        <v>45614.004166666666</v>
      </c>
      <c r="T4" s="5" t="s">
        <v>25</v>
      </c>
      <c r="U4" s="4"/>
      <c r="V4" s="4"/>
      <c r="W4" s="4"/>
      <c r="X4" s="4"/>
      <c r="Y4" s="4"/>
    </row>
    <row r="5">
      <c r="A5" s="5" t="s">
        <v>30</v>
      </c>
      <c r="B5" s="9">
        <v>24.0</v>
      </c>
      <c r="C5" s="9">
        <v>17.0</v>
      </c>
      <c r="D5" s="9">
        <v>27.0</v>
      </c>
      <c r="E5" s="9">
        <v>20.0</v>
      </c>
      <c r="F5" s="9">
        <v>20.0</v>
      </c>
      <c r="G5" s="9">
        <v>17.0</v>
      </c>
      <c r="H5" s="9">
        <v>20.0</v>
      </c>
      <c r="I5" s="9">
        <v>19.0</v>
      </c>
      <c r="J5" s="5">
        <f t="shared" ref="J5:K5" si="10">B5+D5+F5+H5</f>
        <v>91</v>
      </c>
      <c r="K5" s="4">
        <f t="shared" si="10"/>
        <v>73</v>
      </c>
      <c r="L5" s="10">
        <f t="shared" si="3"/>
        <v>55.5</v>
      </c>
      <c r="M5" s="10">
        <f t="shared" si="4"/>
        <v>58.5</v>
      </c>
      <c r="N5" s="10">
        <f t="shared" si="5"/>
        <v>57.4</v>
      </c>
      <c r="O5" s="10">
        <f t="shared" si="6"/>
        <v>54.1</v>
      </c>
      <c r="P5" s="10">
        <f t="shared" si="7"/>
        <v>51.3</v>
      </c>
      <c r="Q5" s="11">
        <f t="shared" si="8"/>
        <v>4</v>
      </c>
      <c r="R5" s="9">
        <v>1392.0</v>
      </c>
      <c r="S5" s="12">
        <v>45614.004166666666</v>
      </c>
      <c r="T5" s="5" t="s">
        <v>25</v>
      </c>
      <c r="U5" s="4"/>
      <c r="V5" s="4"/>
      <c r="W5" s="4"/>
      <c r="X5" s="4"/>
      <c r="Y5" s="4"/>
    </row>
    <row r="6">
      <c r="A6" s="5" t="s">
        <v>9609</v>
      </c>
      <c r="B6" s="9">
        <v>8.0</v>
      </c>
      <c r="C6" s="9">
        <v>3.0</v>
      </c>
      <c r="D6" s="9">
        <v>1.0</v>
      </c>
      <c r="E6" s="9">
        <v>2.0</v>
      </c>
      <c r="F6" s="9">
        <v>7.0</v>
      </c>
      <c r="G6" s="9">
        <v>9.0</v>
      </c>
      <c r="H6" s="9">
        <v>5.0</v>
      </c>
      <c r="I6" s="9">
        <v>1.0</v>
      </c>
      <c r="J6" s="5">
        <f t="shared" ref="J6:K6" si="11">B6+D6+F6+H6</f>
        <v>21</v>
      </c>
      <c r="K6" s="4">
        <f t="shared" si="11"/>
        <v>15</v>
      </c>
      <c r="L6" s="10">
        <f t="shared" si="3"/>
        <v>58.3</v>
      </c>
      <c r="M6" s="10">
        <f t="shared" si="4"/>
        <v>72.7</v>
      </c>
      <c r="N6" s="10">
        <f t="shared" si="5"/>
        <v>33.3</v>
      </c>
      <c r="O6" s="10">
        <f t="shared" si="6"/>
        <v>43.8</v>
      </c>
      <c r="P6" s="10">
        <f t="shared" si="7"/>
        <v>83.3</v>
      </c>
      <c r="Q6" s="11">
        <f t="shared" si="8"/>
        <v>5</v>
      </c>
      <c r="R6" s="9">
        <v>1365.0</v>
      </c>
      <c r="S6" s="12">
        <v>45614.004166666666</v>
      </c>
      <c r="T6" s="5" t="s">
        <v>25</v>
      </c>
      <c r="U6" s="4"/>
      <c r="V6" s="4"/>
      <c r="W6" s="4"/>
      <c r="X6" s="4"/>
      <c r="Y6" s="4"/>
    </row>
    <row r="7">
      <c r="A7" s="5" t="s">
        <v>36</v>
      </c>
      <c r="B7" s="9">
        <v>17.0</v>
      </c>
      <c r="C7" s="9">
        <v>25.0</v>
      </c>
      <c r="D7" s="9">
        <v>5.0</v>
      </c>
      <c r="E7" s="9">
        <v>10.0</v>
      </c>
      <c r="F7" s="9">
        <v>18.0</v>
      </c>
      <c r="G7" s="9">
        <v>10.0</v>
      </c>
      <c r="H7" s="9">
        <v>18.0</v>
      </c>
      <c r="I7" s="9">
        <v>17.0</v>
      </c>
      <c r="J7" s="5">
        <f t="shared" ref="J7:K7" si="12">B7+D7+F7+H7</f>
        <v>58</v>
      </c>
      <c r="K7" s="4">
        <f t="shared" si="12"/>
        <v>62</v>
      </c>
      <c r="L7" s="10">
        <f t="shared" si="3"/>
        <v>48.3</v>
      </c>
      <c r="M7" s="10">
        <f t="shared" si="4"/>
        <v>40.5</v>
      </c>
      <c r="N7" s="10">
        <f t="shared" si="5"/>
        <v>33.3</v>
      </c>
      <c r="O7" s="10">
        <f t="shared" si="6"/>
        <v>64.3</v>
      </c>
      <c r="P7" s="10">
        <f t="shared" si="7"/>
        <v>51.4</v>
      </c>
      <c r="Q7" s="11">
        <f t="shared" si="8"/>
        <v>6</v>
      </c>
      <c r="R7" s="9">
        <v>1355.0</v>
      </c>
      <c r="S7" s="12">
        <v>45614.004166666666</v>
      </c>
      <c r="T7" s="5" t="s">
        <v>25</v>
      </c>
      <c r="U7" s="4"/>
      <c r="V7" s="4"/>
      <c r="W7" s="4"/>
      <c r="X7" s="4"/>
      <c r="Y7" s="4"/>
    </row>
    <row r="8">
      <c r="A8" s="5" t="s">
        <v>9705</v>
      </c>
      <c r="B8" s="9">
        <v>0.0</v>
      </c>
      <c r="C8" s="9">
        <v>0.0</v>
      </c>
      <c r="D8" s="9">
        <v>6.0</v>
      </c>
      <c r="E8" s="9">
        <v>10.0</v>
      </c>
      <c r="F8" s="9">
        <v>6.0</v>
      </c>
      <c r="G8" s="9">
        <v>11.0</v>
      </c>
      <c r="H8" s="9">
        <v>11.0</v>
      </c>
      <c r="I8" s="9">
        <v>8.0</v>
      </c>
      <c r="J8" s="5">
        <f t="shared" ref="J8:K8" si="13">B8+D8+F8+H8</f>
        <v>23</v>
      </c>
      <c r="K8" s="4">
        <f t="shared" si="13"/>
        <v>29</v>
      </c>
      <c r="L8" s="10">
        <f t="shared" si="3"/>
        <v>44.2</v>
      </c>
      <c r="M8" s="10">
        <f t="shared" si="4"/>
        <v>0</v>
      </c>
      <c r="N8" s="10">
        <f t="shared" si="5"/>
        <v>37.5</v>
      </c>
      <c r="O8" s="10">
        <f t="shared" si="6"/>
        <v>35.3</v>
      </c>
      <c r="P8" s="10">
        <f t="shared" si="7"/>
        <v>57.9</v>
      </c>
      <c r="Q8" s="11">
        <f t="shared" si="8"/>
        <v>7</v>
      </c>
      <c r="R8" s="9">
        <v>1348.0</v>
      </c>
      <c r="S8" s="12">
        <v>45614.004166666666</v>
      </c>
      <c r="T8" s="5" t="s">
        <v>25</v>
      </c>
      <c r="U8" s="4"/>
      <c r="V8" s="4"/>
      <c r="W8" s="4"/>
      <c r="X8" s="4"/>
      <c r="Y8" s="4"/>
    </row>
    <row r="9">
      <c r="A9" s="5" t="s">
        <v>53</v>
      </c>
      <c r="B9" s="9">
        <v>8.0</v>
      </c>
      <c r="C9" s="9">
        <v>4.0</v>
      </c>
      <c r="D9" s="9">
        <v>9.0</v>
      </c>
      <c r="E9" s="9">
        <v>11.0</v>
      </c>
      <c r="F9" s="9">
        <v>6.0</v>
      </c>
      <c r="G9" s="9">
        <v>12.0</v>
      </c>
      <c r="H9" s="9">
        <v>11.0</v>
      </c>
      <c r="I9" s="9">
        <v>14.0</v>
      </c>
      <c r="J9" s="5">
        <f t="shared" ref="J9:K9" si="14">B9+D9+F9+H9</f>
        <v>34</v>
      </c>
      <c r="K9" s="4">
        <f t="shared" si="14"/>
        <v>41</v>
      </c>
      <c r="L9" s="10">
        <f t="shared" si="3"/>
        <v>45.3</v>
      </c>
      <c r="M9" s="10">
        <f t="shared" si="4"/>
        <v>66.7</v>
      </c>
      <c r="N9" s="10">
        <f t="shared" si="5"/>
        <v>45</v>
      </c>
      <c r="O9" s="10">
        <f t="shared" si="6"/>
        <v>33.3</v>
      </c>
      <c r="P9" s="10">
        <f t="shared" si="7"/>
        <v>44</v>
      </c>
      <c r="Q9" s="11">
        <f t="shared" si="8"/>
        <v>8</v>
      </c>
      <c r="R9" s="9">
        <v>1338.0</v>
      </c>
      <c r="S9" s="12">
        <v>45612.879166666666</v>
      </c>
      <c r="T9" s="5" t="s">
        <v>25</v>
      </c>
      <c r="U9" s="4"/>
      <c r="V9" s="4"/>
      <c r="W9" s="4"/>
      <c r="X9" s="4"/>
      <c r="Y9" s="4"/>
    </row>
    <row r="10">
      <c r="A10" s="5" t="s">
        <v>60</v>
      </c>
      <c r="B10" s="5">
        <v>8.0</v>
      </c>
      <c r="C10" s="9">
        <v>14.0</v>
      </c>
      <c r="D10" s="9">
        <v>10.0</v>
      </c>
      <c r="E10" s="9">
        <v>22.0</v>
      </c>
      <c r="F10" s="5">
        <v>12.0</v>
      </c>
      <c r="G10" s="9">
        <v>14.0</v>
      </c>
      <c r="H10" s="9">
        <v>10.0</v>
      </c>
      <c r="I10" s="9">
        <v>12.0</v>
      </c>
      <c r="J10" s="5">
        <f t="shared" ref="J10:K10" si="15">B10+D10+F10+H10</f>
        <v>40</v>
      </c>
      <c r="K10" s="4">
        <f t="shared" si="15"/>
        <v>62</v>
      </c>
      <c r="L10" s="10">
        <f t="shared" si="3"/>
        <v>39.2</v>
      </c>
      <c r="M10" s="10">
        <f t="shared" si="4"/>
        <v>36.4</v>
      </c>
      <c r="N10" s="10">
        <f t="shared" si="5"/>
        <v>31.3</v>
      </c>
      <c r="O10" s="10">
        <f t="shared" si="6"/>
        <v>46.2</v>
      </c>
      <c r="P10" s="10">
        <f t="shared" si="7"/>
        <v>45.5</v>
      </c>
      <c r="Q10" s="11">
        <f t="shared" si="8"/>
        <v>9</v>
      </c>
      <c r="R10" s="5">
        <v>1319.0</v>
      </c>
      <c r="S10" s="12">
        <v>45612.879166666666</v>
      </c>
      <c r="T10" s="5" t="s">
        <v>25</v>
      </c>
      <c r="U10" s="4"/>
      <c r="V10" s="4"/>
      <c r="W10" s="4"/>
      <c r="X10" s="4"/>
      <c r="Y10" s="4"/>
    </row>
    <row r="11">
      <c r="A11" s="5" t="s">
        <v>9745</v>
      </c>
      <c r="B11" s="9">
        <v>1.0</v>
      </c>
      <c r="C11" s="9">
        <v>3.0</v>
      </c>
      <c r="D11" s="9">
        <v>3.0</v>
      </c>
      <c r="E11" s="9">
        <v>0.0</v>
      </c>
      <c r="F11" s="9">
        <v>1.0</v>
      </c>
      <c r="G11" s="9">
        <v>0.0</v>
      </c>
      <c r="H11" s="9">
        <v>11.0</v>
      </c>
      <c r="I11" s="9">
        <v>11.0</v>
      </c>
      <c r="J11" s="5">
        <f t="shared" ref="J11:K11" si="16">B11+D11+F11+H11</f>
        <v>16</v>
      </c>
      <c r="K11" s="4">
        <f t="shared" si="16"/>
        <v>14</v>
      </c>
      <c r="L11" s="10">
        <f t="shared" si="3"/>
        <v>53.3</v>
      </c>
      <c r="M11" s="10">
        <f t="shared" si="4"/>
        <v>25</v>
      </c>
      <c r="N11" s="10">
        <f t="shared" si="5"/>
        <v>100</v>
      </c>
      <c r="O11" s="10">
        <f t="shared" si="6"/>
        <v>100</v>
      </c>
      <c r="P11" s="10">
        <f t="shared" si="7"/>
        <v>50</v>
      </c>
      <c r="Q11" s="11">
        <f t="shared" si="8"/>
        <v>10</v>
      </c>
      <c r="R11" s="9">
        <v>1309.0</v>
      </c>
      <c r="S11" s="12">
        <v>45612.17083333333</v>
      </c>
      <c r="T11" s="5" t="s">
        <v>25</v>
      </c>
      <c r="U11" s="4"/>
      <c r="V11" s="4"/>
      <c r="W11" s="4"/>
      <c r="X11" s="4"/>
      <c r="Y11" s="4"/>
    </row>
    <row r="12">
      <c r="A12" s="5" t="s">
        <v>35</v>
      </c>
      <c r="B12" s="9">
        <v>14.0</v>
      </c>
      <c r="C12" s="9">
        <v>8.0</v>
      </c>
      <c r="D12" s="9">
        <v>16.0</v>
      </c>
      <c r="E12" s="9">
        <v>6.0</v>
      </c>
      <c r="F12" s="9">
        <v>10.0</v>
      </c>
      <c r="G12" s="9">
        <v>11.0</v>
      </c>
      <c r="H12" s="9">
        <v>8.0</v>
      </c>
      <c r="I12" s="9">
        <v>8.0</v>
      </c>
      <c r="J12" s="5">
        <f t="shared" ref="J12:K12" si="17">B12+D12+F12+H12</f>
        <v>48</v>
      </c>
      <c r="K12" s="4">
        <f t="shared" si="17"/>
        <v>33</v>
      </c>
      <c r="L12" s="10">
        <f t="shared" si="3"/>
        <v>59.3</v>
      </c>
      <c r="M12" s="10">
        <f t="shared" si="4"/>
        <v>63.6</v>
      </c>
      <c r="N12" s="10">
        <f t="shared" si="5"/>
        <v>72.7</v>
      </c>
      <c r="O12" s="10">
        <f t="shared" si="6"/>
        <v>47.6</v>
      </c>
      <c r="P12" s="10">
        <f t="shared" si="7"/>
        <v>50</v>
      </c>
      <c r="Q12" s="11">
        <f t="shared" si="8"/>
        <v>11</v>
      </c>
      <c r="R12" s="5">
        <v>1278.0</v>
      </c>
      <c r="S12" s="12">
        <v>45614.004166666666</v>
      </c>
      <c r="T12" s="5" t="s">
        <v>25</v>
      </c>
      <c r="U12" s="4"/>
      <c r="V12" s="4"/>
      <c r="W12" s="4"/>
      <c r="X12" s="4"/>
      <c r="Y12" s="4"/>
    </row>
    <row r="13">
      <c r="A13" s="5" t="s">
        <v>9715</v>
      </c>
      <c r="B13" s="9">
        <v>6.0</v>
      </c>
      <c r="C13" s="9">
        <v>10.0</v>
      </c>
      <c r="D13" s="9">
        <v>10.0</v>
      </c>
      <c r="E13" s="9">
        <v>15.0</v>
      </c>
      <c r="F13" s="9">
        <v>11.0</v>
      </c>
      <c r="G13" s="9">
        <v>18.0</v>
      </c>
      <c r="H13" s="9">
        <v>9.0</v>
      </c>
      <c r="I13" s="9">
        <v>11.0</v>
      </c>
      <c r="J13" s="5">
        <f t="shared" ref="J13:K13" si="18">B13+D13+F13+H13</f>
        <v>36</v>
      </c>
      <c r="K13" s="4">
        <f t="shared" si="18"/>
        <v>54</v>
      </c>
      <c r="L13" s="10">
        <f t="shared" si="3"/>
        <v>40</v>
      </c>
      <c r="M13" s="10">
        <f t="shared" si="4"/>
        <v>37.5</v>
      </c>
      <c r="N13" s="10">
        <f t="shared" si="5"/>
        <v>40</v>
      </c>
      <c r="O13" s="10">
        <f t="shared" si="6"/>
        <v>37.9</v>
      </c>
      <c r="P13" s="10">
        <f t="shared" si="7"/>
        <v>45</v>
      </c>
      <c r="Q13" s="11">
        <f t="shared" si="8"/>
        <v>12</v>
      </c>
      <c r="R13" s="9">
        <v>1266.0</v>
      </c>
      <c r="S13" s="12">
        <v>45613.88958333333</v>
      </c>
      <c r="T13" s="5" t="s">
        <v>25</v>
      </c>
      <c r="U13" s="4"/>
      <c r="V13" s="4"/>
      <c r="W13" s="4"/>
      <c r="X13" s="4"/>
      <c r="Y13" s="4"/>
    </row>
    <row r="14">
      <c r="A14" s="5" t="s">
        <v>9711</v>
      </c>
      <c r="B14" s="9">
        <v>2.0</v>
      </c>
      <c r="C14" s="9">
        <v>11.0</v>
      </c>
      <c r="D14" s="9">
        <v>19.0</v>
      </c>
      <c r="E14" s="9">
        <v>15.0</v>
      </c>
      <c r="F14" s="9">
        <v>8.0</v>
      </c>
      <c r="G14" s="9">
        <v>12.0</v>
      </c>
      <c r="H14" s="9">
        <v>9.0</v>
      </c>
      <c r="I14" s="9">
        <v>14.0</v>
      </c>
      <c r="J14" s="5">
        <f t="shared" ref="J14:K14" si="19">B14+D14+F14+H14</f>
        <v>38</v>
      </c>
      <c r="K14" s="4">
        <f t="shared" si="19"/>
        <v>52</v>
      </c>
      <c r="L14" s="10">
        <f t="shared" si="3"/>
        <v>42.2</v>
      </c>
      <c r="M14" s="10">
        <f t="shared" si="4"/>
        <v>15.4</v>
      </c>
      <c r="N14" s="10">
        <f t="shared" si="5"/>
        <v>55.9</v>
      </c>
      <c r="O14" s="10">
        <f t="shared" si="6"/>
        <v>40</v>
      </c>
      <c r="P14" s="10">
        <f t="shared" si="7"/>
        <v>39.1</v>
      </c>
      <c r="Q14" s="11">
        <f t="shared" si="8"/>
        <v>13</v>
      </c>
      <c r="R14" s="5">
        <v>1201.0</v>
      </c>
      <c r="S14" s="12">
        <v>45613.66180555556</v>
      </c>
      <c r="T14" s="5" t="s">
        <v>25</v>
      </c>
      <c r="U14" s="4"/>
      <c r="V14" s="4"/>
      <c r="W14" s="4"/>
      <c r="X14" s="4"/>
      <c r="Y14" s="4"/>
    </row>
    <row r="15">
      <c r="A15" s="5" t="s">
        <v>9742</v>
      </c>
      <c r="B15" s="9">
        <v>1.0</v>
      </c>
      <c r="C15" s="9">
        <v>8.0</v>
      </c>
      <c r="D15" s="9">
        <v>0.0</v>
      </c>
      <c r="E15" s="9">
        <v>0.0</v>
      </c>
      <c r="F15" s="9">
        <v>8.0</v>
      </c>
      <c r="G15" s="9">
        <v>6.0</v>
      </c>
      <c r="H15" s="9">
        <v>0.0</v>
      </c>
      <c r="I15" s="9">
        <v>0.0</v>
      </c>
      <c r="J15" s="5">
        <f t="shared" ref="J15:K15" si="20">B15+D15+F15+H15</f>
        <v>9</v>
      </c>
      <c r="K15" s="4">
        <f t="shared" si="20"/>
        <v>14</v>
      </c>
      <c r="L15" s="10">
        <f t="shared" si="3"/>
        <v>39.1</v>
      </c>
      <c r="M15" s="10">
        <f t="shared" si="4"/>
        <v>11.1</v>
      </c>
      <c r="N15" s="10">
        <f t="shared" si="5"/>
        <v>0</v>
      </c>
      <c r="O15" s="10">
        <f t="shared" si="6"/>
        <v>57.1</v>
      </c>
      <c r="P15" s="10">
        <f t="shared" si="7"/>
        <v>0</v>
      </c>
      <c r="Q15" s="11">
        <f t="shared" si="8"/>
        <v>14</v>
      </c>
      <c r="R15" s="5">
        <v>1198.0</v>
      </c>
      <c r="S15" s="12">
        <v>45613.72361111111</v>
      </c>
      <c r="T15" s="5" t="s">
        <v>25</v>
      </c>
      <c r="U15" s="4"/>
      <c r="V15" s="4"/>
      <c r="W15" s="4"/>
      <c r="X15" s="4"/>
      <c r="Y15" s="4"/>
    </row>
    <row r="16">
      <c r="A16" s="5" t="s">
        <v>9754</v>
      </c>
      <c r="B16" s="9">
        <v>5.0</v>
      </c>
      <c r="C16" s="9">
        <v>4.0</v>
      </c>
      <c r="D16" s="9">
        <v>0.0</v>
      </c>
      <c r="E16" s="9">
        <v>1.0</v>
      </c>
      <c r="F16" s="9">
        <v>2.0</v>
      </c>
      <c r="G16" s="9">
        <v>2.0</v>
      </c>
      <c r="H16" s="9">
        <v>3.0</v>
      </c>
      <c r="I16" s="9">
        <v>2.0</v>
      </c>
      <c r="J16" s="5">
        <f t="shared" ref="J16:K16" si="21">B16+D16+F16+H16</f>
        <v>10</v>
      </c>
      <c r="K16" s="4">
        <f t="shared" si="21"/>
        <v>9</v>
      </c>
      <c r="L16" s="10">
        <f t="shared" si="3"/>
        <v>52.6</v>
      </c>
      <c r="M16" s="10">
        <f t="shared" si="4"/>
        <v>55.6</v>
      </c>
      <c r="N16" s="10">
        <f t="shared" si="5"/>
        <v>0</v>
      </c>
      <c r="O16" s="10">
        <f t="shared" si="6"/>
        <v>50</v>
      </c>
      <c r="P16" s="10">
        <f t="shared" si="7"/>
        <v>60</v>
      </c>
      <c r="Q16" s="11">
        <f t="shared" si="8"/>
        <v>15</v>
      </c>
      <c r="R16" s="9">
        <v>1195.0</v>
      </c>
      <c r="S16" s="12">
        <v>45609.9875</v>
      </c>
      <c r="T16" s="5" t="s">
        <v>25</v>
      </c>
      <c r="U16" s="4"/>
      <c r="V16" s="4"/>
      <c r="W16" s="4"/>
      <c r="X16" s="4"/>
      <c r="Y16" s="4"/>
    </row>
    <row r="17">
      <c r="A17" s="5" t="s">
        <v>9722</v>
      </c>
      <c r="B17" s="9">
        <v>3.0</v>
      </c>
      <c r="C17" s="9">
        <v>5.0</v>
      </c>
      <c r="D17" s="9">
        <v>2.0</v>
      </c>
      <c r="E17" s="9">
        <v>3.0</v>
      </c>
      <c r="F17" s="9">
        <v>3.0</v>
      </c>
      <c r="G17" s="9">
        <v>1.0</v>
      </c>
      <c r="H17" s="9">
        <v>3.0</v>
      </c>
      <c r="I17" s="9">
        <v>4.0</v>
      </c>
      <c r="J17" s="5">
        <f t="shared" ref="J17:K17" si="22">B17+D17+F17+H17</f>
        <v>11</v>
      </c>
      <c r="K17" s="4">
        <f t="shared" si="22"/>
        <v>13</v>
      </c>
      <c r="L17" s="10">
        <f t="shared" si="3"/>
        <v>45.8</v>
      </c>
      <c r="M17" s="10">
        <f t="shared" si="4"/>
        <v>37.5</v>
      </c>
      <c r="N17" s="10">
        <f t="shared" si="5"/>
        <v>40</v>
      </c>
      <c r="O17" s="10">
        <f t="shared" si="6"/>
        <v>75</v>
      </c>
      <c r="P17" s="10">
        <f t="shared" si="7"/>
        <v>42.9</v>
      </c>
      <c r="Q17" s="11">
        <f t="shared" si="8"/>
        <v>16</v>
      </c>
      <c r="R17" s="5">
        <v>1189.0</v>
      </c>
      <c r="S17" s="12">
        <v>45613.72361111111</v>
      </c>
      <c r="T17" s="5" t="s">
        <v>25</v>
      </c>
      <c r="U17" s="4"/>
      <c r="V17" s="4"/>
      <c r="W17" s="4"/>
      <c r="X17" s="4"/>
      <c r="Y17" s="4"/>
    </row>
    <row r="18">
      <c r="A18" s="5" t="s">
        <v>34</v>
      </c>
      <c r="B18" s="9">
        <v>12.0</v>
      </c>
      <c r="C18" s="9">
        <v>23.0</v>
      </c>
      <c r="D18" s="9">
        <v>17.0</v>
      </c>
      <c r="E18" s="9">
        <v>22.0</v>
      </c>
      <c r="F18" s="9">
        <v>13.0</v>
      </c>
      <c r="G18" s="9">
        <v>21.0</v>
      </c>
      <c r="H18" s="9">
        <v>20.0</v>
      </c>
      <c r="I18" s="9">
        <v>21.0</v>
      </c>
      <c r="J18" s="5">
        <f t="shared" ref="J18:K18" si="23">B18+D18+F18+H18</f>
        <v>62</v>
      </c>
      <c r="K18" s="4">
        <f t="shared" si="23"/>
        <v>87</v>
      </c>
      <c r="L18" s="10">
        <f t="shared" si="3"/>
        <v>41.6</v>
      </c>
      <c r="M18" s="10">
        <f t="shared" si="4"/>
        <v>34.3</v>
      </c>
      <c r="N18" s="10">
        <f t="shared" si="5"/>
        <v>43.6</v>
      </c>
      <c r="O18" s="10">
        <f t="shared" si="6"/>
        <v>38.2</v>
      </c>
      <c r="P18" s="10">
        <f t="shared" si="7"/>
        <v>48.8</v>
      </c>
      <c r="Q18" s="11">
        <f t="shared" si="8"/>
        <v>17</v>
      </c>
      <c r="R18" s="9">
        <v>1180.0</v>
      </c>
      <c r="S18" s="12">
        <v>45612.879166666666</v>
      </c>
      <c r="T18" s="5" t="s">
        <v>25</v>
      </c>
      <c r="U18" s="4"/>
      <c r="V18" s="4"/>
      <c r="W18" s="4"/>
      <c r="X18" s="4"/>
      <c r="Y18" s="4"/>
    </row>
    <row r="19">
      <c r="A19" s="5" t="s">
        <v>9694</v>
      </c>
      <c r="B19" s="9">
        <v>3.0</v>
      </c>
      <c r="C19" s="9">
        <v>6.0</v>
      </c>
      <c r="D19" s="9">
        <v>0.0</v>
      </c>
      <c r="E19" s="9">
        <v>0.0</v>
      </c>
      <c r="F19" s="9">
        <v>1.0</v>
      </c>
      <c r="G19" s="9">
        <v>3.0</v>
      </c>
      <c r="H19" s="9">
        <v>2.0</v>
      </c>
      <c r="I19" s="9">
        <v>2.0</v>
      </c>
      <c r="J19" s="5">
        <f t="shared" ref="J19:K19" si="24">B19+D19+F19+H19</f>
        <v>6</v>
      </c>
      <c r="K19" s="4">
        <f t="shared" si="24"/>
        <v>11</v>
      </c>
      <c r="L19" s="10">
        <f t="shared" si="3"/>
        <v>35.3</v>
      </c>
      <c r="M19" s="10">
        <f t="shared" si="4"/>
        <v>33.3</v>
      </c>
      <c r="N19" s="10">
        <f t="shared" si="5"/>
        <v>0</v>
      </c>
      <c r="O19" s="10">
        <f t="shared" si="6"/>
        <v>25</v>
      </c>
      <c r="P19" s="10">
        <f t="shared" si="7"/>
        <v>50</v>
      </c>
      <c r="Q19" s="11">
        <f t="shared" si="8"/>
        <v>18</v>
      </c>
      <c r="R19" s="9">
        <v>1107.0</v>
      </c>
      <c r="S19" s="12">
        <v>45608.06736111111</v>
      </c>
      <c r="T19" s="5" t="s">
        <v>25</v>
      </c>
      <c r="U19" s="4"/>
      <c r="V19" s="4"/>
      <c r="W19" s="4"/>
      <c r="X19" s="4"/>
      <c r="Y19" s="4"/>
    </row>
    <row r="20">
      <c r="A20" s="5" t="s">
        <v>9751</v>
      </c>
      <c r="B20" s="9">
        <v>0.0</v>
      </c>
      <c r="C20" s="9">
        <v>0.0</v>
      </c>
      <c r="D20" s="9">
        <v>2.0</v>
      </c>
      <c r="E20" s="9">
        <v>10.0</v>
      </c>
      <c r="F20" s="9">
        <v>0.0</v>
      </c>
      <c r="G20" s="9">
        <v>2.0</v>
      </c>
      <c r="H20" s="9">
        <v>4.0</v>
      </c>
      <c r="I20" s="9">
        <v>3.0</v>
      </c>
      <c r="J20" s="5">
        <f t="shared" ref="J20:K20" si="25">B20+D20+F20+H20</f>
        <v>6</v>
      </c>
      <c r="K20" s="4">
        <f t="shared" si="25"/>
        <v>15</v>
      </c>
      <c r="L20" s="10">
        <f t="shared" si="3"/>
        <v>28.6</v>
      </c>
      <c r="M20" s="10">
        <f t="shared" si="4"/>
        <v>0</v>
      </c>
      <c r="N20" s="10">
        <f t="shared" si="5"/>
        <v>16.7</v>
      </c>
      <c r="O20" s="10">
        <f t="shared" si="6"/>
        <v>0</v>
      </c>
      <c r="P20" s="10">
        <f t="shared" si="7"/>
        <v>57.1</v>
      </c>
      <c r="Q20" s="11">
        <f t="shared" si="8"/>
        <v>19</v>
      </c>
      <c r="R20" s="9">
        <v>1104.0</v>
      </c>
      <c r="S20" s="12">
        <v>45611.01597222222</v>
      </c>
      <c r="T20" s="5" t="s">
        <v>25</v>
      </c>
      <c r="U20" s="4"/>
      <c r="V20" s="4"/>
      <c r="W20" s="4"/>
      <c r="X20" s="4"/>
      <c r="Y20" s="4"/>
    </row>
    <row r="21">
      <c r="A21" s="5" t="s">
        <v>24</v>
      </c>
      <c r="B21" s="9">
        <v>2.0</v>
      </c>
      <c r="C21" s="9">
        <v>0.0</v>
      </c>
      <c r="D21" s="9">
        <v>3.0</v>
      </c>
      <c r="E21" s="5">
        <v>2.0</v>
      </c>
      <c r="F21" s="9">
        <v>0.0</v>
      </c>
      <c r="G21" s="5">
        <v>2.0</v>
      </c>
      <c r="H21" s="5">
        <v>1.0</v>
      </c>
      <c r="I21" s="5">
        <v>2.0</v>
      </c>
      <c r="J21" s="5">
        <f t="shared" ref="J21:K21" si="26">B21+D21+F21+H21</f>
        <v>6</v>
      </c>
      <c r="K21" s="4">
        <f t="shared" si="26"/>
        <v>6</v>
      </c>
      <c r="L21" s="10">
        <f t="shared" si="3"/>
        <v>50</v>
      </c>
      <c r="M21" s="10">
        <f t="shared" si="4"/>
        <v>100</v>
      </c>
      <c r="N21" s="10">
        <f t="shared" si="5"/>
        <v>60</v>
      </c>
      <c r="O21" s="10">
        <f t="shared" si="6"/>
        <v>0</v>
      </c>
      <c r="P21" s="10">
        <f t="shared" si="7"/>
        <v>33.3</v>
      </c>
      <c r="Q21" s="11">
        <f t="shared" si="8"/>
        <v>20</v>
      </c>
      <c r="R21" s="9">
        <v>1054.0</v>
      </c>
      <c r="S21" s="12">
        <v>45612.17083333333</v>
      </c>
      <c r="T21" s="5" t="s">
        <v>25</v>
      </c>
      <c r="U21" s="4"/>
      <c r="V21" s="4"/>
      <c r="W21" s="4"/>
      <c r="X21" s="4"/>
      <c r="Y21" s="4"/>
    </row>
    <row r="22">
      <c r="A22" s="5" t="s">
        <v>43</v>
      </c>
      <c r="B22" s="9">
        <v>2.0</v>
      </c>
      <c r="C22" s="9">
        <v>0.0</v>
      </c>
      <c r="D22" s="9">
        <v>0.0</v>
      </c>
      <c r="E22" s="9">
        <v>0.0</v>
      </c>
      <c r="F22" s="9">
        <v>1.0</v>
      </c>
      <c r="G22" s="9">
        <v>1.0</v>
      </c>
      <c r="H22" s="9">
        <v>1.0</v>
      </c>
      <c r="I22" s="9">
        <v>1.0</v>
      </c>
      <c r="J22" s="5">
        <f t="shared" ref="J22:K22" si="27">B22+D22+F22+H22</f>
        <v>4</v>
      </c>
      <c r="K22" s="4">
        <f t="shared" si="27"/>
        <v>2</v>
      </c>
      <c r="L22" s="10">
        <f t="shared" si="3"/>
        <v>66.7</v>
      </c>
      <c r="M22" s="10">
        <f t="shared" si="4"/>
        <v>100</v>
      </c>
      <c r="N22" s="10">
        <f t="shared" si="5"/>
        <v>0</v>
      </c>
      <c r="O22" s="10">
        <f t="shared" si="6"/>
        <v>50</v>
      </c>
      <c r="P22" s="10">
        <f t="shared" si="7"/>
        <v>50</v>
      </c>
      <c r="Q22" s="11">
        <f t="shared" si="8"/>
        <v>21</v>
      </c>
      <c r="R22" s="9">
        <v>0.0</v>
      </c>
      <c r="S22" s="12">
        <v>45613.88958333333</v>
      </c>
      <c r="T22" s="5" t="s">
        <v>47</v>
      </c>
      <c r="U22" s="4"/>
      <c r="V22" s="4"/>
      <c r="W22" s="4"/>
      <c r="X22" s="4"/>
      <c r="Y22" s="4"/>
    </row>
    <row r="23">
      <c r="A23" s="5" t="s">
        <v>9706</v>
      </c>
      <c r="B23" s="9">
        <v>0.0</v>
      </c>
      <c r="C23" s="9">
        <v>2.0</v>
      </c>
      <c r="D23" s="9">
        <v>1.0</v>
      </c>
      <c r="E23" s="9">
        <v>1.0</v>
      </c>
      <c r="F23" s="9">
        <v>1.0</v>
      </c>
      <c r="G23" s="9">
        <v>0.0</v>
      </c>
      <c r="H23" s="9">
        <v>1.0</v>
      </c>
      <c r="I23" s="9">
        <v>1.0</v>
      </c>
      <c r="J23" s="5">
        <f t="shared" ref="J23:K23" si="28">B23+D23+F23+H23</f>
        <v>3</v>
      </c>
      <c r="K23" s="4">
        <f t="shared" si="28"/>
        <v>4</v>
      </c>
      <c r="L23" s="10">
        <f t="shared" si="3"/>
        <v>42.9</v>
      </c>
      <c r="M23" s="10">
        <f t="shared" si="4"/>
        <v>0</v>
      </c>
      <c r="N23" s="10">
        <f t="shared" si="5"/>
        <v>50</v>
      </c>
      <c r="O23" s="10">
        <f t="shared" si="6"/>
        <v>100</v>
      </c>
      <c r="P23" s="10">
        <f t="shared" si="7"/>
        <v>50</v>
      </c>
      <c r="Q23" s="11">
        <f t="shared" si="8"/>
        <v>22</v>
      </c>
      <c r="R23" s="9">
        <v>0.0</v>
      </c>
      <c r="S23" s="12">
        <v>45597.99513888889</v>
      </c>
      <c r="T23" s="5" t="s">
        <v>25</v>
      </c>
      <c r="U23" s="4"/>
      <c r="V23" s="4"/>
      <c r="W23" s="4"/>
      <c r="X23" s="4"/>
      <c r="Y23" s="4"/>
    </row>
    <row r="24">
      <c r="A24" s="5" t="s">
        <v>51</v>
      </c>
      <c r="B24" s="9">
        <v>2.0</v>
      </c>
      <c r="C24" s="9">
        <v>0.0</v>
      </c>
      <c r="D24" s="9">
        <v>0.0</v>
      </c>
      <c r="E24" s="9">
        <v>1.0</v>
      </c>
      <c r="F24" s="9">
        <v>0.0</v>
      </c>
      <c r="G24" s="9">
        <v>1.0</v>
      </c>
      <c r="H24" s="9">
        <v>0.0</v>
      </c>
      <c r="I24" s="9">
        <v>0.0</v>
      </c>
      <c r="J24" s="5">
        <f t="shared" ref="J24:K24" si="29">B24+D24+F24+H24</f>
        <v>2</v>
      </c>
      <c r="K24" s="4">
        <f t="shared" si="29"/>
        <v>2</v>
      </c>
      <c r="L24" s="10">
        <f t="shared" si="3"/>
        <v>50</v>
      </c>
      <c r="M24" s="10">
        <f t="shared" si="4"/>
        <v>100</v>
      </c>
      <c r="N24" s="10">
        <f t="shared" si="5"/>
        <v>0</v>
      </c>
      <c r="O24" s="10">
        <f t="shared" si="6"/>
        <v>0</v>
      </c>
      <c r="P24" s="10">
        <f t="shared" si="7"/>
        <v>0</v>
      </c>
      <c r="Q24" s="11">
        <f t="shared" si="8"/>
        <v>23</v>
      </c>
      <c r="R24" s="9">
        <v>0.0</v>
      </c>
      <c r="S24" s="12">
        <v>45593.01944444444</v>
      </c>
      <c r="T24" s="5" t="s">
        <v>25</v>
      </c>
      <c r="U24" s="4"/>
      <c r="V24" s="4"/>
      <c r="W24" s="4"/>
      <c r="X24" s="4"/>
      <c r="Y24" s="4"/>
    </row>
    <row r="25">
      <c r="A25" s="5" t="s">
        <v>45</v>
      </c>
      <c r="B25" s="9">
        <v>0.0</v>
      </c>
      <c r="C25" s="9">
        <v>0.0</v>
      </c>
      <c r="D25" s="9">
        <v>1.0</v>
      </c>
      <c r="E25" s="9">
        <v>0.0</v>
      </c>
      <c r="F25" s="9">
        <v>0.0</v>
      </c>
      <c r="G25" s="9">
        <v>0.0</v>
      </c>
      <c r="H25" s="9">
        <v>0.0</v>
      </c>
      <c r="I25" s="9">
        <v>0.0</v>
      </c>
      <c r="J25" s="5">
        <f t="shared" ref="J25:K25" si="30">B25+D25+F25+H25</f>
        <v>1</v>
      </c>
      <c r="K25" s="4">
        <f t="shared" si="30"/>
        <v>0</v>
      </c>
      <c r="L25" s="10">
        <f t="shared" si="3"/>
        <v>100</v>
      </c>
      <c r="M25" s="10">
        <f t="shared" si="4"/>
        <v>0</v>
      </c>
      <c r="N25" s="10">
        <f t="shared" si="5"/>
        <v>100</v>
      </c>
      <c r="O25" s="10">
        <f t="shared" si="6"/>
        <v>0</v>
      </c>
      <c r="P25" s="10">
        <f t="shared" si="7"/>
        <v>0</v>
      </c>
      <c r="Q25" s="11">
        <f t="shared" si="8"/>
        <v>24</v>
      </c>
      <c r="R25" s="9">
        <v>0.0</v>
      </c>
      <c r="S25" s="12">
        <v>45589.972916666666</v>
      </c>
      <c r="T25" s="5" t="s">
        <v>25</v>
      </c>
      <c r="U25" s="4"/>
      <c r="V25" s="4"/>
      <c r="W25" s="4"/>
      <c r="X25" s="4"/>
      <c r="Y25" s="4"/>
    </row>
    <row r="26">
      <c r="A26" s="5" t="s">
        <v>48</v>
      </c>
      <c r="B26" s="9">
        <v>0.0</v>
      </c>
      <c r="C26" s="9">
        <v>0.0</v>
      </c>
      <c r="D26" s="9">
        <v>0.0</v>
      </c>
      <c r="E26" s="9">
        <v>0.0</v>
      </c>
      <c r="F26" s="9">
        <v>0.0</v>
      </c>
      <c r="G26" s="9">
        <v>1.0</v>
      </c>
      <c r="H26" s="9">
        <v>1.0</v>
      </c>
      <c r="I26" s="9">
        <v>0.0</v>
      </c>
      <c r="J26" s="5">
        <f t="shared" ref="J26:K26" si="31">B26+D26+F26+H26</f>
        <v>1</v>
      </c>
      <c r="K26" s="4">
        <f t="shared" si="31"/>
        <v>1</v>
      </c>
      <c r="L26" s="10">
        <f t="shared" si="3"/>
        <v>50</v>
      </c>
      <c r="M26" s="10">
        <f t="shared" si="4"/>
        <v>0</v>
      </c>
      <c r="N26" s="10">
        <f t="shared" si="5"/>
        <v>0</v>
      </c>
      <c r="O26" s="10">
        <f t="shared" si="6"/>
        <v>0</v>
      </c>
      <c r="P26" s="10">
        <f t="shared" si="7"/>
        <v>100</v>
      </c>
      <c r="Q26" s="11">
        <f t="shared" si="8"/>
        <v>25</v>
      </c>
      <c r="R26" s="9">
        <v>0.0</v>
      </c>
      <c r="S26" s="12">
        <v>45592.01875</v>
      </c>
      <c r="T26" s="5" t="s">
        <v>25</v>
      </c>
      <c r="U26" s="4"/>
      <c r="V26" s="4"/>
      <c r="W26" s="4"/>
      <c r="X26" s="4"/>
      <c r="Y26" s="4"/>
    </row>
    <row r="27" ht="18.75" customHeight="1">
      <c r="A27" s="5" t="s">
        <v>9757</v>
      </c>
      <c r="B27" s="9">
        <v>1.0</v>
      </c>
      <c r="C27" s="9">
        <v>2.0</v>
      </c>
      <c r="D27" s="9">
        <v>0.0</v>
      </c>
      <c r="E27" s="9">
        <v>0.0</v>
      </c>
      <c r="F27" s="9">
        <v>0.0</v>
      </c>
      <c r="G27" s="9">
        <v>0.0</v>
      </c>
      <c r="H27" s="9">
        <v>0.0</v>
      </c>
      <c r="I27" s="9">
        <v>0.0</v>
      </c>
      <c r="J27" s="5">
        <f t="shared" ref="J27:K27" si="32">B27+D27+F27+H27</f>
        <v>1</v>
      </c>
      <c r="K27" s="4">
        <f t="shared" si="32"/>
        <v>2</v>
      </c>
      <c r="L27" s="10">
        <f t="shared" si="3"/>
        <v>33.3</v>
      </c>
      <c r="M27" s="10">
        <f t="shared" si="4"/>
        <v>33.3</v>
      </c>
      <c r="N27" s="10">
        <f t="shared" si="5"/>
        <v>0</v>
      </c>
      <c r="O27" s="10">
        <f t="shared" si="6"/>
        <v>0</v>
      </c>
      <c r="P27" s="10">
        <f t="shared" si="7"/>
        <v>0</v>
      </c>
      <c r="Q27" s="11">
        <f t="shared" si="8"/>
        <v>26</v>
      </c>
      <c r="R27" s="9">
        <v>0.0</v>
      </c>
      <c r="S27" s="12">
        <v>45592.05069444444</v>
      </c>
      <c r="T27" s="5" t="s">
        <v>25</v>
      </c>
      <c r="U27" s="4"/>
      <c r="V27" s="4"/>
      <c r="W27" s="4"/>
      <c r="X27" s="4"/>
      <c r="Y27" s="4"/>
    </row>
    <row r="28">
      <c r="A28" s="5" t="s">
        <v>9759</v>
      </c>
      <c r="B28" s="9">
        <v>0.0</v>
      </c>
      <c r="C28" s="9">
        <v>0.0</v>
      </c>
      <c r="D28" s="9">
        <v>0.0</v>
      </c>
      <c r="E28" s="9">
        <v>0.0</v>
      </c>
      <c r="F28" s="9">
        <v>1.0</v>
      </c>
      <c r="G28" s="9">
        <v>1.0</v>
      </c>
      <c r="H28" s="9">
        <v>0.0</v>
      </c>
      <c r="I28" s="9">
        <v>1.0</v>
      </c>
      <c r="J28" s="5">
        <f t="shared" ref="J28:K28" si="33">B28+D28+F28+H28</f>
        <v>1</v>
      </c>
      <c r="K28" s="4">
        <f t="shared" si="33"/>
        <v>2</v>
      </c>
      <c r="L28" s="10">
        <f t="shared" si="3"/>
        <v>33.3</v>
      </c>
      <c r="M28" s="10">
        <f t="shared" si="4"/>
        <v>0</v>
      </c>
      <c r="N28" s="10">
        <f t="shared" si="5"/>
        <v>0</v>
      </c>
      <c r="O28" s="10">
        <f t="shared" si="6"/>
        <v>50</v>
      </c>
      <c r="P28" s="10">
        <f t="shared" si="7"/>
        <v>0</v>
      </c>
      <c r="Q28" s="11">
        <f t="shared" si="8"/>
        <v>27</v>
      </c>
      <c r="R28" s="9">
        <v>0.0</v>
      </c>
      <c r="S28" s="12">
        <v>45598.146527777775</v>
      </c>
      <c r="T28" s="5" t="s">
        <v>25</v>
      </c>
      <c r="U28" s="4"/>
      <c r="V28" s="4"/>
      <c r="W28" s="4"/>
      <c r="X28" s="4"/>
      <c r="Y28" s="4"/>
    </row>
    <row r="29">
      <c r="A29" s="5" t="s">
        <v>9750</v>
      </c>
      <c r="B29" s="9">
        <v>0.0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1.0</v>
      </c>
      <c r="I29" s="9">
        <v>1.0</v>
      </c>
      <c r="J29" s="5">
        <f t="shared" ref="J29:K29" si="34">B29+D29+F29+H29</f>
        <v>1</v>
      </c>
      <c r="K29" s="4">
        <f t="shared" si="34"/>
        <v>1</v>
      </c>
      <c r="L29" s="10">
        <f t="shared" si="3"/>
        <v>50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50</v>
      </c>
      <c r="Q29" s="11">
        <f t="shared" si="8"/>
        <v>28</v>
      </c>
      <c r="R29" s="9">
        <v>0.0</v>
      </c>
      <c r="S29" s="12">
        <v>45606.069444444445</v>
      </c>
      <c r="T29" s="5" t="s">
        <v>25</v>
      </c>
      <c r="U29" s="4"/>
      <c r="V29" s="4"/>
      <c r="W29" s="4"/>
      <c r="X29" s="4"/>
      <c r="Y29" s="4"/>
    </row>
    <row r="30">
      <c r="A30" s="5" t="s">
        <v>9777</v>
      </c>
      <c r="B30" s="9">
        <v>0.0</v>
      </c>
      <c r="C30" s="9">
        <v>0.0</v>
      </c>
      <c r="D30" s="9">
        <v>0.0</v>
      </c>
      <c r="E30" s="9">
        <v>0.0</v>
      </c>
      <c r="F30" s="9">
        <v>0.0</v>
      </c>
      <c r="G30" s="9">
        <v>0.0</v>
      </c>
      <c r="H30" s="9">
        <v>0.0</v>
      </c>
      <c r="I30" s="9">
        <v>1.0</v>
      </c>
      <c r="J30" s="5">
        <f t="shared" ref="J30:K30" si="35">B30+D30+F30+H30</f>
        <v>0</v>
      </c>
      <c r="K30" s="4">
        <f t="shared" si="35"/>
        <v>1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>
        <f t="shared" si="8"/>
        <v>29</v>
      </c>
      <c r="R30" s="9">
        <v>0.0</v>
      </c>
      <c r="S30" s="12">
        <v>45596.89444444444</v>
      </c>
      <c r="T30" s="5" t="s">
        <v>25</v>
      </c>
      <c r="U30" s="4"/>
      <c r="V30" s="4"/>
      <c r="W30" s="4"/>
      <c r="X30" s="4"/>
      <c r="Y30" s="4"/>
    </row>
    <row r="31">
      <c r="A31" s="5" t="s">
        <v>9781</v>
      </c>
      <c r="B31" s="9">
        <v>0.0</v>
      </c>
      <c r="C31" s="9">
        <v>1.0</v>
      </c>
      <c r="D31" s="9">
        <v>0.0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5">
        <f t="shared" ref="J31:K31" si="36">B31+D31+F31+H31</f>
        <v>0</v>
      </c>
      <c r="K31" s="4">
        <f t="shared" si="36"/>
        <v>1</v>
      </c>
      <c r="L31" s="10">
        <f t="shared" si="3"/>
        <v>0</v>
      </c>
      <c r="M31" s="10">
        <f t="shared" si="4"/>
        <v>0</v>
      </c>
      <c r="N31" s="10">
        <f t="shared" si="5"/>
        <v>0</v>
      </c>
      <c r="O31" s="10">
        <f t="shared" si="6"/>
        <v>0</v>
      </c>
      <c r="P31" s="10">
        <f t="shared" si="7"/>
        <v>0</v>
      </c>
      <c r="Q31" s="11">
        <f t="shared" si="8"/>
        <v>30</v>
      </c>
      <c r="R31" s="9">
        <v>0.0</v>
      </c>
      <c r="S31" s="12">
        <v>45600.94375</v>
      </c>
      <c r="T31" s="5" t="s">
        <v>25</v>
      </c>
      <c r="U31" s="4"/>
      <c r="V31" s="4"/>
      <c r="W31" s="4"/>
      <c r="X31" s="4"/>
      <c r="Y31" s="4"/>
    </row>
    <row r="32">
      <c r="A32" s="5" t="s">
        <v>46</v>
      </c>
      <c r="B32" s="9">
        <v>0.0</v>
      </c>
      <c r="C32" s="5">
        <v>0.0</v>
      </c>
      <c r="D32" s="9">
        <v>0.0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5">
        <f t="shared" ref="J32:K32" si="37">B32+D32+F32+H32</f>
        <v>0</v>
      </c>
      <c r="K32" s="4">
        <f t="shared" si="37"/>
        <v>0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>
        <f t="shared" si="6"/>
        <v>0</v>
      </c>
      <c r="P32" s="10">
        <f t="shared" si="7"/>
        <v>0</v>
      </c>
      <c r="Q32" s="11">
        <f t="shared" si="8"/>
        <v>31</v>
      </c>
      <c r="R32" s="9">
        <v>0.0</v>
      </c>
      <c r="S32" s="12">
        <v>45612.17083333333</v>
      </c>
      <c r="T32" s="5" t="s">
        <v>47</v>
      </c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4"/>
      <c r="W1" s="4"/>
      <c r="X1" s="4"/>
      <c r="Y1" s="4"/>
    </row>
    <row r="2">
      <c r="A2" s="5" t="s">
        <v>24</v>
      </c>
      <c r="B2" s="9">
        <v>8.0</v>
      </c>
      <c r="C2" s="9">
        <v>4.0</v>
      </c>
      <c r="D2" s="9">
        <v>9.0</v>
      </c>
      <c r="E2" s="9">
        <v>4.0</v>
      </c>
      <c r="F2" s="9">
        <v>8.0</v>
      </c>
      <c r="G2" s="9">
        <v>1.0</v>
      </c>
      <c r="H2" s="9">
        <v>14.0</v>
      </c>
      <c r="I2" s="9">
        <v>2.0</v>
      </c>
      <c r="J2" s="5">
        <f t="shared" ref="J2:K2" si="1">B2+D2+F2+H2</f>
        <v>39</v>
      </c>
      <c r="K2" s="4">
        <f t="shared" si="1"/>
        <v>11</v>
      </c>
      <c r="L2" s="10">
        <f t="shared" ref="L2:L34" si="3">ROUND(IFERROR(J2/(J2+K2),0)*100,1)</f>
        <v>78</v>
      </c>
      <c r="M2" s="10">
        <f t="shared" ref="M2:M34" si="4">ROUND(IFERROR(B2/(B2+C2),0)*100,1)</f>
        <v>66.7</v>
      </c>
      <c r="N2" s="10">
        <f t="shared" ref="N2:N34" si="5">ROUND(IFERROR(D2/(D2+E2),0)*100,1)</f>
        <v>69.2</v>
      </c>
      <c r="O2" s="10">
        <f t="shared" ref="O2:O34" si="6">ROUND(IFERROR(F2/(F2+G2),0)*100,1)</f>
        <v>88.9</v>
      </c>
      <c r="P2" s="10">
        <f t="shared" ref="P2:P34" si="7">ROUND(IFERROR(H2/(I2+H2),0)*100,1)</f>
        <v>87.5</v>
      </c>
      <c r="Q2" s="11">
        <f t="shared" ref="Q2:Q34" si="8">ROW()-1</f>
        <v>1</v>
      </c>
      <c r="R2" s="5">
        <v>1808.0</v>
      </c>
      <c r="S2" s="12">
        <v>45655.85555555556</v>
      </c>
      <c r="T2" s="5" t="s">
        <v>25</v>
      </c>
      <c r="U2" s="9">
        <v>0.0</v>
      </c>
      <c r="V2" s="4"/>
      <c r="W2" s="4"/>
      <c r="X2" s="4"/>
      <c r="Y2" s="4"/>
    </row>
    <row r="3">
      <c r="A3" s="5" t="s">
        <v>35</v>
      </c>
      <c r="B3" s="9">
        <v>18.0</v>
      </c>
      <c r="C3" s="9">
        <v>23.0</v>
      </c>
      <c r="D3" s="9">
        <v>31.0</v>
      </c>
      <c r="E3" s="9">
        <v>15.0</v>
      </c>
      <c r="F3" s="5">
        <v>34.0</v>
      </c>
      <c r="G3" s="9">
        <v>13.0</v>
      </c>
      <c r="H3" s="9">
        <v>0.0</v>
      </c>
      <c r="I3" s="9">
        <v>0.0</v>
      </c>
      <c r="J3" s="5">
        <f t="shared" ref="J3:K3" si="2">B3+D3+F3+H3</f>
        <v>83</v>
      </c>
      <c r="K3" s="4">
        <f t="shared" si="2"/>
        <v>51</v>
      </c>
      <c r="L3" s="10">
        <f t="shared" si="3"/>
        <v>61.9</v>
      </c>
      <c r="M3" s="10">
        <f t="shared" si="4"/>
        <v>43.9</v>
      </c>
      <c r="N3" s="10">
        <f t="shared" si="5"/>
        <v>67.4</v>
      </c>
      <c r="O3" s="10">
        <f t="shared" si="6"/>
        <v>72.3</v>
      </c>
      <c r="P3" s="10">
        <f t="shared" si="7"/>
        <v>0</v>
      </c>
      <c r="Q3" s="11">
        <f t="shared" si="8"/>
        <v>2</v>
      </c>
      <c r="R3" s="5">
        <v>1782.0</v>
      </c>
      <c r="S3" s="12">
        <v>45655.85555555556</v>
      </c>
      <c r="T3" s="5" t="s">
        <v>25</v>
      </c>
      <c r="U3" s="9">
        <v>0.0</v>
      </c>
      <c r="V3" s="4"/>
      <c r="W3" s="4"/>
      <c r="X3" s="4"/>
      <c r="Y3" s="4"/>
    </row>
    <row r="4">
      <c r="A4" s="5" t="s">
        <v>27</v>
      </c>
      <c r="B4" s="9">
        <v>19.0</v>
      </c>
      <c r="C4" s="9">
        <v>16.0</v>
      </c>
      <c r="D4" s="9">
        <v>25.0</v>
      </c>
      <c r="E4" s="9">
        <v>16.0</v>
      </c>
      <c r="F4" s="9">
        <v>21.0</v>
      </c>
      <c r="G4" s="9">
        <v>13.0</v>
      </c>
      <c r="H4" s="9">
        <v>0.0</v>
      </c>
      <c r="I4" s="9">
        <v>0.0</v>
      </c>
      <c r="J4" s="5">
        <f t="shared" ref="J4:K4" si="9">B4+D4+F4+H4</f>
        <v>65</v>
      </c>
      <c r="K4" s="4">
        <f t="shared" si="9"/>
        <v>45</v>
      </c>
      <c r="L4" s="10">
        <f t="shared" si="3"/>
        <v>59.1</v>
      </c>
      <c r="M4" s="10">
        <f t="shared" si="4"/>
        <v>54.3</v>
      </c>
      <c r="N4" s="10">
        <f t="shared" si="5"/>
        <v>61</v>
      </c>
      <c r="O4" s="10">
        <f t="shared" si="6"/>
        <v>61.8</v>
      </c>
      <c r="P4" s="10">
        <f t="shared" si="7"/>
        <v>0</v>
      </c>
      <c r="Q4" s="11">
        <f t="shared" si="8"/>
        <v>3</v>
      </c>
      <c r="R4" s="9">
        <v>1782.0</v>
      </c>
      <c r="S4" s="12">
        <v>45655.85555555556</v>
      </c>
      <c r="T4" s="5" t="s">
        <v>25</v>
      </c>
      <c r="U4" s="9">
        <v>0.0</v>
      </c>
      <c r="V4" s="4"/>
      <c r="W4" s="4"/>
      <c r="X4" s="4"/>
      <c r="Y4" s="4"/>
    </row>
    <row r="5">
      <c r="A5" s="5" t="s">
        <v>30</v>
      </c>
      <c r="B5" s="9">
        <v>25.0</v>
      </c>
      <c r="C5" s="9">
        <v>21.0</v>
      </c>
      <c r="D5" s="9">
        <v>22.0</v>
      </c>
      <c r="E5" s="9">
        <v>20.0</v>
      </c>
      <c r="F5" s="9">
        <v>18.0</v>
      </c>
      <c r="G5" s="9">
        <v>17.0</v>
      </c>
      <c r="H5" s="9">
        <v>22.0</v>
      </c>
      <c r="I5" s="9">
        <v>21.0</v>
      </c>
      <c r="J5" s="5">
        <f t="shared" ref="J5:K5" si="10">B5+D5+F5+H5</f>
        <v>87</v>
      </c>
      <c r="K5" s="4">
        <f t="shared" si="10"/>
        <v>79</v>
      </c>
      <c r="L5" s="10">
        <f t="shared" si="3"/>
        <v>52.4</v>
      </c>
      <c r="M5" s="10">
        <f t="shared" si="4"/>
        <v>54.3</v>
      </c>
      <c r="N5" s="10">
        <f t="shared" si="5"/>
        <v>52.4</v>
      </c>
      <c r="O5" s="10">
        <f t="shared" si="6"/>
        <v>51.4</v>
      </c>
      <c r="P5" s="10">
        <f t="shared" si="7"/>
        <v>51.2</v>
      </c>
      <c r="Q5" s="11">
        <f t="shared" si="8"/>
        <v>4</v>
      </c>
      <c r="R5" s="5">
        <v>1767.0</v>
      </c>
      <c r="S5" s="12">
        <v>45655.85555555556</v>
      </c>
      <c r="T5" s="5" t="s">
        <v>25</v>
      </c>
      <c r="U5" s="9">
        <v>0.0</v>
      </c>
      <c r="V5" s="4"/>
      <c r="W5" s="4"/>
      <c r="X5" s="4"/>
      <c r="Y5" s="4"/>
    </row>
    <row r="6">
      <c r="A6" s="5" t="s">
        <v>26</v>
      </c>
      <c r="B6" s="9">
        <v>29.0</v>
      </c>
      <c r="C6" s="9">
        <v>12.0</v>
      </c>
      <c r="D6" s="9">
        <v>26.0</v>
      </c>
      <c r="E6" s="9">
        <v>21.0</v>
      </c>
      <c r="F6" s="9">
        <v>13.0</v>
      </c>
      <c r="G6" s="9">
        <v>28.0</v>
      </c>
      <c r="H6" s="9">
        <v>20.0</v>
      </c>
      <c r="I6" s="9">
        <v>25.0</v>
      </c>
      <c r="J6" s="5">
        <f t="shared" ref="J6:K6" si="11">B6+D6+F6+H6</f>
        <v>88</v>
      </c>
      <c r="K6" s="4">
        <f t="shared" si="11"/>
        <v>86</v>
      </c>
      <c r="L6" s="10">
        <f t="shared" si="3"/>
        <v>50.6</v>
      </c>
      <c r="M6" s="10">
        <f t="shared" si="4"/>
        <v>70.7</v>
      </c>
      <c r="N6" s="10">
        <f t="shared" si="5"/>
        <v>55.3</v>
      </c>
      <c r="O6" s="10">
        <f t="shared" si="6"/>
        <v>31.7</v>
      </c>
      <c r="P6" s="10">
        <f t="shared" si="7"/>
        <v>44.4</v>
      </c>
      <c r="Q6" s="11">
        <f t="shared" si="8"/>
        <v>5</v>
      </c>
      <c r="R6" s="5">
        <v>1742.0</v>
      </c>
      <c r="S6" s="12">
        <v>45655.85555555556</v>
      </c>
      <c r="T6" s="5" t="s">
        <v>25</v>
      </c>
      <c r="U6" s="9">
        <v>0.0</v>
      </c>
      <c r="V6" s="4"/>
      <c r="W6" s="4"/>
      <c r="X6" s="4"/>
      <c r="Y6" s="4"/>
    </row>
    <row r="7">
      <c r="A7" s="5" t="s">
        <v>42</v>
      </c>
      <c r="B7" s="9">
        <v>14.0</v>
      </c>
      <c r="C7" s="9">
        <v>14.0</v>
      </c>
      <c r="D7" s="9">
        <v>14.0</v>
      </c>
      <c r="E7" s="9">
        <v>18.0</v>
      </c>
      <c r="F7" s="9">
        <v>12.0</v>
      </c>
      <c r="G7" s="9">
        <v>11.0</v>
      </c>
      <c r="H7" s="9">
        <v>28.0</v>
      </c>
      <c r="I7" s="9">
        <v>27.0</v>
      </c>
      <c r="J7" s="5">
        <f t="shared" ref="J7:K7" si="12">B7+D7+F7+H7</f>
        <v>68</v>
      </c>
      <c r="K7" s="4">
        <f t="shared" si="12"/>
        <v>70</v>
      </c>
      <c r="L7" s="10">
        <f t="shared" si="3"/>
        <v>49.3</v>
      </c>
      <c r="M7" s="10">
        <f t="shared" si="4"/>
        <v>50</v>
      </c>
      <c r="N7" s="10">
        <f t="shared" si="5"/>
        <v>43.8</v>
      </c>
      <c r="O7" s="10">
        <f t="shared" si="6"/>
        <v>52.2</v>
      </c>
      <c r="P7" s="10">
        <f t="shared" si="7"/>
        <v>50.9</v>
      </c>
      <c r="Q7" s="11">
        <f t="shared" si="8"/>
        <v>6</v>
      </c>
      <c r="R7" s="5">
        <v>1684.0</v>
      </c>
      <c r="S7" s="12">
        <v>45655.85555555556</v>
      </c>
      <c r="T7" s="5" t="s">
        <v>25</v>
      </c>
      <c r="U7" s="9">
        <v>0.0</v>
      </c>
      <c r="V7" s="4"/>
      <c r="W7" s="4"/>
      <c r="X7" s="4"/>
      <c r="Y7" s="4"/>
    </row>
    <row r="8">
      <c r="A8" s="5" t="s">
        <v>53</v>
      </c>
      <c r="B8" s="9">
        <v>11.0</v>
      </c>
      <c r="C8" s="9">
        <v>14.0</v>
      </c>
      <c r="D8" s="9">
        <v>14.0</v>
      </c>
      <c r="E8" s="9">
        <v>18.0</v>
      </c>
      <c r="F8" s="9">
        <v>1.0</v>
      </c>
      <c r="G8" s="9">
        <v>4.0</v>
      </c>
      <c r="H8" s="9">
        <v>20.0</v>
      </c>
      <c r="I8" s="9">
        <v>13.0</v>
      </c>
      <c r="J8" s="5">
        <f t="shared" ref="J8:K8" si="13">B8+D8+F8+H8</f>
        <v>46</v>
      </c>
      <c r="K8" s="4">
        <f t="shared" si="13"/>
        <v>49</v>
      </c>
      <c r="L8" s="10">
        <f t="shared" si="3"/>
        <v>48.4</v>
      </c>
      <c r="M8" s="10">
        <f t="shared" si="4"/>
        <v>44</v>
      </c>
      <c r="N8" s="10">
        <f t="shared" si="5"/>
        <v>43.8</v>
      </c>
      <c r="O8" s="10">
        <f t="shared" si="6"/>
        <v>20</v>
      </c>
      <c r="P8" s="10">
        <f t="shared" si="7"/>
        <v>60.6</v>
      </c>
      <c r="Q8" s="11">
        <f t="shared" si="8"/>
        <v>7</v>
      </c>
      <c r="R8" s="9">
        <v>1632.0</v>
      </c>
      <c r="S8" s="12">
        <v>45655.85555555556</v>
      </c>
      <c r="T8" s="5" t="s">
        <v>25</v>
      </c>
      <c r="U8" s="9">
        <v>0.0</v>
      </c>
      <c r="V8" s="4"/>
      <c r="W8" s="4"/>
      <c r="X8" s="4"/>
      <c r="Y8" s="4"/>
    </row>
    <row r="9">
      <c r="A9" s="5" t="s">
        <v>56</v>
      </c>
      <c r="B9" s="9">
        <v>6.0</v>
      </c>
      <c r="C9" s="9">
        <v>6.0</v>
      </c>
      <c r="D9" s="9">
        <v>17.0</v>
      </c>
      <c r="E9" s="9">
        <v>11.0</v>
      </c>
      <c r="F9" s="9">
        <v>7.0</v>
      </c>
      <c r="G9" s="9">
        <v>6.0</v>
      </c>
      <c r="H9" s="9">
        <v>10.0</v>
      </c>
      <c r="I9" s="9">
        <v>14.0</v>
      </c>
      <c r="J9" s="5">
        <f t="shared" ref="J9:K9" si="14">B9+D9+F9+H9</f>
        <v>40</v>
      </c>
      <c r="K9" s="4">
        <f t="shared" si="14"/>
        <v>37</v>
      </c>
      <c r="L9" s="10">
        <f t="shared" si="3"/>
        <v>51.9</v>
      </c>
      <c r="M9" s="10">
        <f t="shared" si="4"/>
        <v>50</v>
      </c>
      <c r="N9" s="10">
        <f t="shared" si="5"/>
        <v>60.7</v>
      </c>
      <c r="O9" s="10">
        <f t="shared" si="6"/>
        <v>53.8</v>
      </c>
      <c r="P9" s="10">
        <f t="shared" si="7"/>
        <v>41.7</v>
      </c>
      <c r="Q9" s="11">
        <f t="shared" si="8"/>
        <v>8</v>
      </c>
      <c r="R9" s="5">
        <v>1600.0</v>
      </c>
      <c r="S9" s="12">
        <v>45655.85555555556</v>
      </c>
      <c r="T9" s="5" t="s">
        <v>25</v>
      </c>
      <c r="U9" s="9">
        <v>0.0</v>
      </c>
      <c r="V9" s="4"/>
      <c r="W9" s="4"/>
      <c r="X9" s="4"/>
      <c r="Y9" s="4"/>
    </row>
    <row r="10">
      <c r="A10" s="5" t="s">
        <v>29</v>
      </c>
      <c r="B10" s="9">
        <v>4.0</v>
      </c>
      <c r="C10" s="9">
        <v>9.0</v>
      </c>
      <c r="D10" s="9">
        <v>10.0</v>
      </c>
      <c r="E10" s="9">
        <v>14.0</v>
      </c>
      <c r="F10" s="9">
        <v>11.0</v>
      </c>
      <c r="G10" s="9">
        <v>8.0</v>
      </c>
      <c r="H10" s="9">
        <v>9.0</v>
      </c>
      <c r="I10" s="9">
        <v>5.0</v>
      </c>
      <c r="J10" s="5">
        <f t="shared" ref="J10:K10" si="15">B10+D10+F10+H10</f>
        <v>34</v>
      </c>
      <c r="K10" s="4">
        <f t="shared" si="15"/>
        <v>36</v>
      </c>
      <c r="L10" s="10">
        <f t="shared" si="3"/>
        <v>48.6</v>
      </c>
      <c r="M10" s="10">
        <f t="shared" si="4"/>
        <v>30.8</v>
      </c>
      <c r="N10" s="10">
        <f t="shared" si="5"/>
        <v>41.7</v>
      </c>
      <c r="O10" s="10">
        <f t="shared" si="6"/>
        <v>57.9</v>
      </c>
      <c r="P10" s="10">
        <f t="shared" si="7"/>
        <v>64.3</v>
      </c>
      <c r="Q10" s="11">
        <f t="shared" si="8"/>
        <v>9</v>
      </c>
      <c r="R10" s="5">
        <v>1582.0</v>
      </c>
      <c r="S10" s="12">
        <v>45646.05625</v>
      </c>
      <c r="T10" s="5" t="s">
        <v>25</v>
      </c>
      <c r="U10" s="9">
        <v>0.0</v>
      </c>
      <c r="V10" s="4"/>
      <c r="W10" s="4"/>
      <c r="X10" s="4"/>
      <c r="Y10" s="4"/>
    </row>
    <row r="11">
      <c r="A11" s="5" t="s">
        <v>36</v>
      </c>
      <c r="B11" s="9">
        <v>14.0</v>
      </c>
      <c r="C11" s="9">
        <v>21.0</v>
      </c>
      <c r="D11" s="9">
        <v>0.0</v>
      </c>
      <c r="E11" s="9">
        <v>0.0</v>
      </c>
      <c r="F11" s="9">
        <v>13.0</v>
      </c>
      <c r="G11" s="9">
        <v>17.0</v>
      </c>
      <c r="H11" s="9">
        <v>21.0</v>
      </c>
      <c r="I11" s="9">
        <v>11.0</v>
      </c>
      <c r="J11" s="5">
        <f t="shared" ref="J11:K11" si="16">B11+D11+F11+H11</f>
        <v>48</v>
      </c>
      <c r="K11" s="4">
        <f t="shared" si="16"/>
        <v>49</v>
      </c>
      <c r="L11" s="10">
        <f t="shared" si="3"/>
        <v>49.5</v>
      </c>
      <c r="M11" s="10">
        <f t="shared" si="4"/>
        <v>40</v>
      </c>
      <c r="N11" s="10">
        <f t="shared" si="5"/>
        <v>0</v>
      </c>
      <c r="O11" s="10">
        <f t="shared" si="6"/>
        <v>43.3</v>
      </c>
      <c r="P11" s="10">
        <f t="shared" si="7"/>
        <v>65.6</v>
      </c>
      <c r="Q11" s="11">
        <f t="shared" si="8"/>
        <v>10</v>
      </c>
      <c r="R11" s="9">
        <v>1549.0</v>
      </c>
      <c r="S11" s="12">
        <v>45643.95347222222</v>
      </c>
      <c r="T11" s="5" t="s">
        <v>25</v>
      </c>
      <c r="U11" s="9">
        <v>0.0</v>
      </c>
      <c r="V11" s="4"/>
      <c r="W11" s="4"/>
      <c r="X11" s="4"/>
      <c r="Y11" s="4"/>
    </row>
    <row r="12">
      <c r="A12" s="5" t="s">
        <v>9609</v>
      </c>
      <c r="B12" s="9">
        <v>12.0</v>
      </c>
      <c r="C12" s="9">
        <v>2.0</v>
      </c>
      <c r="D12" s="9">
        <v>0.0</v>
      </c>
      <c r="E12" s="9">
        <v>0.0</v>
      </c>
      <c r="F12" s="9">
        <v>9.0</v>
      </c>
      <c r="G12" s="9">
        <v>12.0</v>
      </c>
      <c r="H12" s="9">
        <v>7.0</v>
      </c>
      <c r="I12" s="9">
        <v>15.0</v>
      </c>
      <c r="J12" s="5">
        <f t="shared" ref="J12:K12" si="17">B12+D12+F12+H12</f>
        <v>28</v>
      </c>
      <c r="K12" s="4">
        <f t="shared" si="17"/>
        <v>29</v>
      </c>
      <c r="L12" s="10">
        <f t="shared" si="3"/>
        <v>49.1</v>
      </c>
      <c r="M12" s="10">
        <f t="shared" si="4"/>
        <v>85.7</v>
      </c>
      <c r="N12" s="10">
        <f t="shared" si="5"/>
        <v>0</v>
      </c>
      <c r="O12" s="10">
        <f t="shared" si="6"/>
        <v>42.9</v>
      </c>
      <c r="P12" s="10">
        <f t="shared" si="7"/>
        <v>31.8</v>
      </c>
      <c r="Q12" s="11">
        <f t="shared" si="8"/>
        <v>11</v>
      </c>
      <c r="R12" s="5">
        <v>1524.0</v>
      </c>
      <c r="S12" s="12">
        <v>45644.106944444444</v>
      </c>
      <c r="T12" s="5" t="s">
        <v>47</v>
      </c>
      <c r="U12" s="9">
        <v>0.0</v>
      </c>
      <c r="V12" s="4"/>
      <c r="W12" s="4"/>
      <c r="X12" s="4"/>
      <c r="Y12" s="4"/>
    </row>
    <row r="13">
      <c r="A13" s="5" t="s">
        <v>60</v>
      </c>
      <c r="B13" s="9">
        <v>10.0</v>
      </c>
      <c r="C13" s="9">
        <v>8.0</v>
      </c>
      <c r="D13" s="9">
        <v>2.0</v>
      </c>
      <c r="E13" s="9">
        <v>4.0</v>
      </c>
      <c r="F13" s="9">
        <v>6.0</v>
      </c>
      <c r="G13" s="9">
        <v>7.0</v>
      </c>
      <c r="H13" s="9">
        <v>4.0</v>
      </c>
      <c r="I13" s="9">
        <v>8.0</v>
      </c>
      <c r="J13" s="5">
        <f t="shared" ref="J13:K13" si="18">B13+D13+F13+H13</f>
        <v>22</v>
      </c>
      <c r="K13" s="4">
        <f t="shared" si="18"/>
        <v>27</v>
      </c>
      <c r="L13" s="10">
        <f t="shared" si="3"/>
        <v>44.9</v>
      </c>
      <c r="M13" s="10">
        <f t="shared" si="4"/>
        <v>55.6</v>
      </c>
      <c r="N13" s="10">
        <f t="shared" si="5"/>
        <v>33.3</v>
      </c>
      <c r="O13" s="10">
        <f t="shared" si="6"/>
        <v>46.2</v>
      </c>
      <c r="P13" s="10">
        <f t="shared" si="7"/>
        <v>33.3</v>
      </c>
      <c r="Q13" s="11">
        <f t="shared" si="8"/>
        <v>12</v>
      </c>
      <c r="R13" s="9">
        <v>1485.0</v>
      </c>
      <c r="S13" s="12">
        <v>45643.11736111111</v>
      </c>
      <c r="T13" s="5" t="s">
        <v>25</v>
      </c>
      <c r="U13" s="9">
        <v>0.0</v>
      </c>
      <c r="V13" s="4"/>
      <c r="W13" s="4"/>
      <c r="X13" s="4"/>
      <c r="Y13" s="4"/>
    </row>
    <row r="14">
      <c r="A14" s="5" t="s">
        <v>34</v>
      </c>
      <c r="B14" s="9">
        <v>16.0</v>
      </c>
      <c r="C14" s="9">
        <v>20.0</v>
      </c>
      <c r="D14" s="9">
        <v>6.0</v>
      </c>
      <c r="E14" s="9">
        <v>30.0</v>
      </c>
      <c r="F14" s="9">
        <v>10.0</v>
      </c>
      <c r="G14" s="9">
        <v>23.0</v>
      </c>
      <c r="H14" s="9">
        <v>13.0</v>
      </c>
      <c r="I14" s="9">
        <v>28.0</v>
      </c>
      <c r="J14" s="5">
        <f t="shared" ref="J14:K14" si="19">B14+D14+F14+H14</f>
        <v>45</v>
      </c>
      <c r="K14" s="4">
        <f t="shared" si="19"/>
        <v>101</v>
      </c>
      <c r="L14" s="10">
        <f t="shared" si="3"/>
        <v>30.8</v>
      </c>
      <c r="M14" s="10">
        <f t="shared" si="4"/>
        <v>44.4</v>
      </c>
      <c r="N14" s="10">
        <f t="shared" si="5"/>
        <v>16.7</v>
      </c>
      <c r="O14" s="10">
        <f t="shared" si="6"/>
        <v>30.3</v>
      </c>
      <c r="P14" s="10">
        <f t="shared" si="7"/>
        <v>31.7</v>
      </c>
      <c r="Q14" s="11">
        <f t="shared" si="8"/>
        <v>13</v>
      </c>
      <c r="R14" s="5">
        <v>1469.0</v>
      </c>
      <c r="S14" s="12">
        <v>45647.111805555556</v>
      </c>
      <c r="T14" s="5" t="s">
        <v>25</v>
      </c>
      <c r="U14" s="9">
        <v>0.0</v>
      </c>
      <c r="V14" s="4"/>
      <c r="W14" s="4"/>
      <c r="X14" s="4"/>
      <c r="Y14" s="4"/>
    </row>
    <row r="15">
      <c r="A15" s="5" t="s">
        <v>9705</v>
      </c>
      <c r="B15" s="9">
        <v>0.0</v>
      </c>
      <c r="C15" s="9">
        <v>0.0</v>
      </c>
      <c r="D15" s="9">
        <v>6.0</v>
      </c>
      <c r="E15" s="9">
        <v>12.0</v>
      </c>
      <c r="F15" s="9">
        <v>13.0</v>
      </c>
      <c r="G15" s="9">
        <v>15.0</v>
      </c>
      <c r="H15" s="9">
        <v>7.0</v>
      </c>
      <c r="I15" s="9">
        <v>14.0</v>
      </c>
      <c r="J15" s="5">
        <f t="shared" ref="J15:K15" si="20">B15+D15+F15+H15</f>
        <v>26</v>
      </c>
      <c r="K15" s="4">
        <f t="shared" si="20"/>
        <v>41</v>
      </c>
      <c r="L15" s="10">
        <f t="shared" si="3"/>
        <v>38.8</v>
      </c>
      <c r="M15" s="10">
        <f t="shared" si="4"/>
        <v>0</v>
      </c>
      <c r="N15" s="10">
        <f t="shared" si="5"/>
        <v>33.3</v>
      </c>
      <c r="O15" s="10">
        <f t="shared" si="6"/>
        <v>46.4</v>
      </c>
      <c r="P15" s="10">
        <f t="shared" si="7"/>
        <v>33.3</v>
      </c>
      <c r="Q15" s="11">
        <f t="shared" si="8"/>
        <v>14</v>
      </c>
      <c r="R15" s="9">
        <v>1420.0</v>
      </c>
      <c r="S15" s="12">
        <v>45644.03472222222</v>
      </c>
      <c r="T15" s="5" t="s">
        <v>47</v>
      </c>
      <c r="U15" s="9">
        <v>0.0</v>
      </c>
      <c r="V15" s="4"/>
      <c r="W15" s="4"/>
      <c r="X15" s="4"/>
      <c r="Y15" s="4"/>
    </row>
    <row r="16">
      <c r="A16" s="5" t="s">
        <v>43</v>
      </c>
      <c r="B16" s="9">
        <v>7.0</v>
      </c>
      <c r="C16" s="9">
        <v>10.0</v>
      </c>
      <c r="D16" s="9">
        <v>0.0</v>
      </c>
      <c r="E16" s="9">
        <v>0.0</v>
      </c>
      <c r="F16" s="9">
        <v>6.0</v>
      </c>
      <c r="G16" s="9">
        <v>4.0</v>
      </c>
      <c r="H16" s="9">
        <v>6.0</v>
      </c>
      <c r="I16" s="9">
        <v>3.0</v>
      </c>
      <c r="J16" s="5">
        <f t="shared" ref="J16:K16" si="21">B16+D16+F16+H16</f>
        <v>19</v>
      </c>
      <c r="K16" s="4">
        <f t="shared" si="21"/>
        <v>17</v>
      </c>
      <c r="L16" s="10">
        <f t="shared" si="3"/>
        <v>52.8</v>
      </c>
      <c r="M16" s="10">
        <f t="shared" si="4"/>
        <v>41.2</v>
      </c>
      <c r="N16" s="10">
        <f t="shared" si="5"/>
        <v>0</v>
      </c>
      <c r="O16" s="10">
        <f t="shared" si="6"/>
        <v>60</v>
      </c>
      <c r="P16" s="10">
        <f t="shared" si="7"/>
        <v>66.7</v>
      </c>
      <c r="Q16" s="11">
        <f t="shared" si="8"/>
        <v>15</v>
      </c>
      <c r="R16" s="9">
        <v>1367.0</v>
      </c>
      <c r="S16" s="12">
        <v>45647.03680555556</v>
      </c>
      <c r="T16" s="5" t="s">
        <v>25</v>
      </c>
      <c r="U16" s="9">
        <v>0.0</v>
      </c>
      <c r="V16" s="4"/>
      <c r="W16" s="4"/>
      <c r="X16" s="4"/>
      <c r="Y16" s="4"/>
    </row>
    <row r="17">
      <c r="A17" s="5" t="s">
        <v>9679</v>
      </c>
      <c r="B17" s="9">
        <v>0.0</v>
      </c>
      <c r="C17" s="9">
        <v>0.0</v>
      </c>
      <c r="D17" s="9">
        <v>5.0</v>
      </c>
      <c r="E17" s="9">
        <v>7.0</v>
      </c>
      <c r="F17" s="9">
        <v>7.0</v>
      </c>
      <c r="G17" s="9">
        <v>6.0</v>
      </c>
      <c r="H17" s="9">
        <v>5.0</v>
      </c>
      <c r="I17" s="9">
        <v>2.0</v>
      </c>
      <c r="J17" s="5">
        <f t="shared" ref="J17:K17" si="22">B17+D17+F17+H17</f>
        <v>17</v>
      </c>
      <c r="K17" s="4">
        <f t="shared" si="22"/>
        <v>15</v>
      </c>
      <c r="L17" s="10">
        <f t="shared" si="3"/>
        <v>53.1</v>
      </c>
      <c r="M17" s="10">
        <f t="shared" si="4"/>
        <v>0</v>
      </c>
      <c r="N17" s="10">
        <f t="shared" si="5"/>
        <v>41.7</v>
      </c>
      <c r="O17" s="10">
        <f t="shared" si="6"/>
        <v>53.8</v>
      </c>
      <c r="P17" s="10">
        <f t="shared" si="7"/>
        <v>71.4</v>
      </c>
      <c r="Q17" s="11">
        <f t="shared" si="8"/>
        <v>16</v>
      </c>
      <c r="R17" s="9">
        <v>1359.0</v>
      </c>
      <c r="S17" s="12">
        <v>45647.111805555556</v>
      </c>
      <c r="T17" s="5" t="s">
        <v>25</v>
      </c>
      <c r="U17" s="5">
        <v>0.0</v>
      </c>
      <c r="V17" s="4"/>
      <c r="W17" s="4"/>
      <c r="X17" s="4"/>
      <c r="Y17" s="4"/>
    </row>
    <row r="18">
      <c r="A18" s="5" t="s">
        <v>31</v>
      </c>
      <c r="B18" s="9">
        <v>1.0</v>
      </c>
      <c r="C18" s="9">
        <v>2.0</v>
      </c>
      <c r="D18" s="9">
        <v>4.0</v>
      </c>
      <c r="E18" s="9">
        <v>1.0</v>
      </c>
      <c r="F18" s="9">
        <v>2.0</v>
      </c>
      <c r="G18" s="9">
        <v>1.0</v>
      </c>
      <c r="H18" s="9">
        <v>4.0</v>
      </c>
      <c r="I18" s="9">
        <v>2.0</v>
      </c>
      <c r="J18" s="5">
        <f t="shared" ref="J18:K18" si="23">B18+D18+F18+H18</f>
        <v>11</v>
      </c>
      <c r="K18" s="4">
        <f t="shared" si="23"/>
        <v>6</v>
      </c>
      <c r="L18" s="10">
        <f t="shared" si="3"/>
        <v>64.7</v>
      </c>
      <c r="M18" s="10">
        <f t="shared" si="4"/>
        <v>33.3</v>
      </c>
      <c r="N18" s="10">
        <f t="shared" si="5"/>
        <v>80</v>
      </c>
      <c r="O18" s="10">
        <f t="shared" si="6"/>
        <v>66.7</v>
      </c>
      <c r="P18" s="10">
        <f t="shared" si="7"/>
        <v>66.7</v>
      </c>
      <c r="Q18" s="11">
        <f t="shared" si="8"/>
        <v>17</v>
      </c>
      <c r="R18" s="9">
        <v>0.0</v>
      </c>
      <c r="S18" s="12">
        <v>45633.907638888886</v>
      </c>
      <c r="T18" s="5" t="s">
        <v>25</v>
      </c>
      <c r="U18" s="5">
        <v>11.0</v>
      </c>
      <c r="V18" s="4"/>
      <c r="W18" s="4"/>
      <c r="X18" s="4"/>
      <c r="Y18" s="4"/>
    </row>
    <row r="19">
      <c r="A19" s="5" t="s">
        <v>9715</v>
      </c>
      <c r="B19" s="9">
        <v>2.0</v>
      </c>
      <c r="C19" s="9">
        <v>2.0</v>
      </c>
      <c r="D19" s="9">
        <v>2.0</v>
      </c>
      <c r="E19" s="9">
        <v>1.0</v>
      </c>
      <c r="F19" s="9">
        <v>1.0</v>
      </c>
      <c r="G19" s="9">
        <v>0.0</v>
      </c>
      <c r="H19" s="9">
        <v>1.0</v>
      </c>
      <c r="I19" s="9">
        <v>3.0</v>
      </c>
      <c r="J19" s="5">
        <f t="shared" ref="J19:K19" si="24">B19+D19+F19+H19</f>
        <v>6</v>
      </c>
      <c r="K19" s="4">
        <f t="shared" si="24"/>
        <v>6</v>
      </c>
      <c r="L19" s="10">
        <f t="shared" si="3"/>
        <v>50</v>
      </c>
      <c r="M19" s="10">
        <f t="shared" si="4"/>
        <v>50</v>
      </c>
      <c r="N19" s="10">
        <f t="shared" si="5"/>
        <v>66.7</v>
      </c>
      <c r="O19" s="10">
        <f t="shared" si="6"/>
        <v>100</v>
      </c>
      <c r="P19" s="10">
        <f t="shared" si="7"/>
        <v>25</v>
      </c>
      <c r="Q19" s="11">
        <f t="shared" si="8"/>
        <v>18</v>
      </c>
      <c r="R19" s="9">
        <v>0.0</v>
      </c>
      <c r="S19" s="12">
        <v>45637.97152777778</v>
      </c>
      <c r="T19" s="5" t="s">
        <v>25</v>
      </c>
      <c r="U19" s="5">
        <v>6.0</v>
      </c>
      <c r="V19" s="4"/>
      <c r="W19" s="4"/>
      <c r="X19" s="4"/>
      <c r="Y19" s="4"/>
    </row>
    <row r="20">
      <c r="A20" s="5" t="s">
        <v>9711</v>
      </c>
      <c r="B20" s="9">
        <v>0.0</v>
      </c>
      <c r="C20" s="9">
        <v>0.0</v>
      </c>
      <c r="D20" s="9">
        <v>1.0</v>
      </c>
      <c r="E20" s="9">
        <v>2.0</v>
      </c>
      <c r="F20" s="9">
        <v>1.0</v>
      </c>
      <c r="G20" s="9">
        <v>2.0</v>
      </c>
      <c r="H20" s="9">
        <v>3.0</v>
      </c>
      <c r="I20" s="9">
        <v>0.0</v>
      </c>
      <c r="J20" s="5">
        <f t="shared" ref="J20:K20" si="25">B20+D20+F20+H20</f>
        <v>5</v>
      </c>
      <c r="K20" s="4">
        <f t="shared" si="25"/>
        <v>4</v>
      </c>
      <c r="L20" s="10">
        <f t="shared" si="3"/>
        <v>55.6</v>
      </c>
      <c r="M20" s="10">
        <f t="shared" si="4"/>
        <v>0</v>
      </c>
      <c r="N20" s="10">
        <f t="shared" si="5"/>
        <v>33.3</v>
      </c>
      <c r="O20" s="10">
        <f t="shared" si="6"/>
        <v>33.3</v>
      </c>
      <c r="P20" s="10">
        <f t="shared" si="7"/>
        <v>100</v>
      </c>
      <c r="Q20" s="11">
        <f t="shared" si="8"/>
        <v>19</v>
      </c>
      <c r="R20" s="9">
        <v>0.0</v>
      </c>
      <c r="S20" s="12">
        <v>45645.907638888886</v>
      </c>
      <c r="T20" s="5" t="s">
        <v>25</v>
      </c>
      <c r="U20" s="5">
        <v>4.0</v>
      </c>
      <c r="V20" s="4"/>
      <c r="W20" s="4"/>
      <c r="X20" s="4"/>
      <c r="Y20" s="4"/>
    </row>
    <row r="21">
      <c r="A21" s="5" t="s">
        <v>51</v>
      </c>
      <c r="B21" s="9">
        <v>0.0</v>
      </c>
      <c r="C21" s="9">
        <v>1.0</v>
      </c>
      <c r="D21" s="9">
        <v>2.0</v>
      </c>
      <c r="E21" s="9">
        <v>1.0</v>
      </c>
      <c r="F21" s="9">
        <v>1.0</v>
      </c>
      <c r="G21" s="9">
        <v>0.0</v>
      </c>
      <c r="H21" s="9">
        <v>0.0</v>
      </c>
      <c r="I21" s="9">
        <v>0.0</v>
      </c>
      <c r="J21" s="5">
        <f t="shared" ref="J21:K21" si="26">B21+D21+F21+H21</f>
        <v>3</v>
      </c>
      <c r="K21" s="4">
        <f t="shared" si="26"/>
        <v>2</v>
      </c>
      <c r="L21" s="10">
        <f t="shared" si="3"/>
        <v>60</v>
      </c>
      <c r="M21" s="10">
        <f t="shared" si="4"/>
        <v>0</v>
      </c>
      <c r="N21" s="10">
        <f t="shared" si="5"/>
        <v>66.7</v>
      </c>
      <c r="O21" s="10">
        <f t="shared" si="6"/>
        <v>100</v>
      </c>
      <c r="P21" s="10">
        <f t="shared" si="7"/>
        <v>0</v>
      </c>
      <c r="Q21" s="11">
        <f t="shared" si="8"/>
        <v>20</v>
      </c>
      <c r="R21" s="9">
        <v>0.0</v>
      </c>
      <c r="S21" s="12">
        <v>45624.72361111111</v>
      </c>
      <c r="T21" s="5" t="s">
        <v>25</v>
      </c>
      <c r="U21" s="5">
        <v>3.0</v>
      </c>
      <c r="V21" s="4"/>
      <c r="W21" s="4"/>
      <c r="X21" s="4"/>
      <c r="Y21" s="4"/>
    </row>
    <row r="22">
      <c r="A22" s="5" t="s">
        <v>9731</v>
      </c>
      <c r="B22" s="9">
        <v>0.0</v>
      </c>
      <c r="C22" s="9">
        <v>1.0</v>
      </c>
      <c r="D22" s="9">
        <v>0.0</v>
      </c>
      <c r="E22" s="9">
        <v>0.0</v>
      </c>
      <c r="F22" s="9">
        <v>2.0</v>
      </c>
      <c r="G22" s="9">
        <v>2.0</v>
      </c>
      <c r="H22" s="9">
        <v>0.0</v>
      </c>
      <c r="I22" s="9">
        <v>0.0</v>
      </c>
      <c r="J22" s="5">
        <f t="shared" ref="J22:K22" si="27">B22+D22+F22+H22</f>
        <v>2</v>
      </c>
      <c r="K22" s="4">
        <f t="shared" si="27"/>
        <v>3</v>
      </c>
      <c r="L22" s="10">
        <f t="shared" si="3"/>
        <v>40</v>
      </c>
      <c r="M22" s="10">
        <f t="shared" si="4"/>
        <v>0</v>
      </c>
      <c r="N22" s="10">
        <f t="shared" si="5"/>
        <v>0</v>
      </c>
      <c r="O22" s="10">
        <f t="shared" si="6"/>
        <v>50</v>
      </c>
      <c r="P22" s="10">
        <f t="shared" si="7"/>
        <v>0</v>
      </c>
      <c r="Q22" s="11">
        <f t="shared" si="8"/>
        <v>21</v>
      </c>
      <c r="R22" s="9">
        <v>0.0</v>
      </c>
      <c r="S22" s="12">
        <v>45636.98263888889</v>
      </c>
      <c r="T22" s="5" t="s">
        <v>25</v>
      </c>
      <c r="U22" s="5">
        <v>2.0</v>
      </c>
      <c r="V22" s="4"/>
      <c r="W22" s="4"/>
      <c r="X22" s="4"/>
      <c r="Y22" s="4"/>
    </row>
    <row r="23">
      <c r="A23" s="5" t="s">
        <v>44</v>
      </c>
      <c r="B23" s="9">
        <v>1.0</v>
      </c>
      <c r="C23" s="9">
        <v>0.0</v>
      </c>
      <c r="D23" s="9">
        <v>0.0</v>
      </c>
      <c r="E23" s="9">
        <v>1.0</v>
      </c>
      <c r="F23" s="9">
        <v>0.0</v>
      </c>
      <c r="G23" s="9">
        <v>2.0</v>
      </c>
      <c r="H23" s="9">
        <v>1.0</v>
      </c>
      <c r="I23" s="9">
        <v>0.0</v>
      </c>
      <c r="J23" s="5">
        <f t="shared" ref="J23:K23" si="28">B23+D23+F23+H23</f>
        <v>2</v>
      </c>
      <c r="K23" s="4">
        <f t="shared" si="28"/>
        <v>3</v>
      </c>
      <c r="L23" s="10">
        <f t="shared" si="3"/>
        <v>40</v>
      </c>
      <c r="M23" s="10">
        <f t="shared" si="4"/>
        <v>100</v>
      </c>
      <c r="N23" s="10">
        <f t="shared" si="5"/>
        <v>0</v>
      </c>
      <c r="O23" s="10">
        <f t="shared" si="6"/>
        <v>0</v>
      </c>
      <c r="P23" s="10">
        <f t="shared" si="7"/>
        <v>100</v>
      </c>
      <c r="Q23" s="11">
        <f t="shared" si="8"/>
        <v>22</v>
      </c>
      <c r="R23" s="9">
        <v>0.0</v>
      </c>
      <c r="S23" s="12">
        <v>45643.91527777778</v>
      </c>
      <c r="T23" s="5" t="s">
        <v>25</v>
      </c>
      <c r="U23" s="5">
        <v>2.0</v>
      </c>
      <c r="V23" s="4"/>
      <c r="W23" s="4"/>
      <c r="X23" s="4"/>
      <c r="Y23" s="4"/>
    </row>
    <row r="24">
      <c r="A24" s="5" t="s">
        <v>9761</v>
      </c>
      <c r="B24" s="9">
        <v>0.0</v>
      </c>
      <c r="C24" s="9">
        <v>0.0</v>
      </c>
      <c r="D24" s="9">
        <v>1.0</v>
      </c>
      <c r="E24" s="9">
        <v>0.0</v>
      </c>
      <c r="F24" s="9">
        <v>1.0</v>
      </c>
      <c r="G24" s="9">
        <v>0.0</v>
      </c>
      <c r="H24" s="9">
        <v>0.0</v>
      </c>
      <c r="I24" s="9">
        <v>0.0</v>
      </c>
      <c r="J24" s="5">
        <f t="shared" ref="J24:K24" si="29">B24+D24+F24+H24</f>
        <v>2</v>
      </c>
      <c r="K24" s="4">
        <f t="shared" si="29"/>
        <v>0</v>
      </c>
      <c r="L24" s="10">
        <f t="shared" si="3"/>
        <v>100</v>
      </c>
      <c r="M24" s="10">
        <f t="shared" si="4"/>
        <v>0</v>
      </c>
      <c r="N24" s="10">
        <f t="shared" si="5"/>
        <v>100</v>
      </c>
      <c r="O24" s="10">
        <f t="shared" si="6"/>
        <v>100</v>
      </c>
      <c r="P24" s="10">
        <f t="shared" si="7"/>
        <v>0</v>
      </c>
      <c r="Q24" s="11">
        <f t="shared" si="8"/>
        <v>23</v>
      </c>
      <c r="R24" s="9">
        <v>0.0</v>
      </c>
      <c r="S24" s="12">
        <v>45644.03472222222</v>
      </c>
      <c r="T24" s="5" t="s">
        <v>25</v>
      </c>
      <c r="U24" s="5">
        <v>2.0</v>
      </c>
      <c r="V24" s="4"/>
      <c r="W24" s="4"/>
      <c r="X24" s="4"/>
      <c r="Y24" s="4"/>
    </row>
    <row r="25">
      <c r="A25" s="5" t="s">
        <v>9751</v>
      </c>
      <c r="B25" s="9">
        <v>0.0</v>
      </c>
      <c r="C25" s="9">
        <v>0.0</v>
      </c>
      <c r="D25" s="9">
        <v>0.0</v>
      </c>
      <c r="E25" s="9">
        <v>1.0</v>
      </c>
      <c r="F25" s="9">
        <v>0.0</v>
      </c>
      <c r="G25" s="9">
        <v>0.0</v>
      </c>
      <c r="H25" s="9">
        <v>1.0</v>
      </c>
      <c r="I25" s="9">
        <v>1.0</v>
      </c>
      <c r="J25" s="5">
        <f t="shared" ref="J25:K25" si="30">B25+D25+F25+H25</f>
        <v>1</v>
      </c>
      <c r="K25" s="4">
        <f t="shared" si="30"/>
        <v>2</v>
      </c>
      <c r="L25" s="10">
        <f t="shared" si="3"/>
        <v>33.3</v>
      </c>
      <c r="M25" s="10">
        <f t="shared" si="4"/>
        <v>0</v>
      </c>
      <c r="N25" s="10">
        <f t="shared" si="5"/>
        <v>0</v>
      </c>
      <c r="O25" s="10">
        <f t="shared" si="6"/>
        <v>0</v>
      </c>
      <c r="P25" s="10">
        <f t="shared" si="7"/>
        <v>50</v>
      </c>
      <c r="Q25" s="11">
        <f t="shared" si="8"/>
        <v>24</v>
      </c>
      <c r="R25" s="9">
        <v>0.0</v>
      </c>
      <c r="S25" s="12">
        <v>45620.90972222222</v>
      </c>
      <c r="T25" s="5" t="s">
        <v>25</v>
      </c>
      <c r="U25" s="5">
        <v>1.0</v>
      </c>
      <c r="V25" s="4"/>
      <c r="W25" s="4"/>
      <c r="X25" s="4"/>
      <c r="Y25" s="4"/>
    </row>
    <row r="26">
      <c r="A26" s="5" t="s">
        <v>9760</v>
      </c>
      <c r="B26" s="9">
        <v>0.0</v>
      </c>
      <c r="C26" s="9">
        <v>0.0</v>
      </c>
      <c r="D26" s="9">
        <v>0.0</v>
      </c>
      <c r="E26" s="9">
        <v>1.0</v>
      </c>
      <c r="F26" s="9">
        <v>1.0</v>
      </c>
      <c r="G26" s="9">
        <v>0.0</v>
      </c>
      <c r="H26" s="9">
        <v>0.0</v>
      </c>
      <c r="I26" s="9">
        <v>0.0</v>
      </c>
      <c r="J26" s="5">
        <f t="shared" ref="J26:K26" si="31">B26+D26+F26+H26</f>
        <v>1</v>
      </c>
      <c r="K26" s="4">
        <f t="shared" si="31"/>
        <v>1</v>
      </c>
      <c r="L26" s="10">
        <f t="shared" si="3"/>
        <v>50</v>
      </c>
      <c r="M26" s="10">
        <f t="shared" si="4"/>
        <v>0</v>
      </c>
      <c r="N26" s="10">
        <f t="shared" si="5"/>
        <v>0</v>
      </c>
      <c r="O26" s="10">
        <f t="shared" si="6"/>
        <v>100</v>
      </c>
      <c r="P26" s="10">
        <f t="shared" si="7"/>
        <v>0</v>
      </c>
      <c r="Q26" s="11">
        <f t="shared" si="8"/>
        <v>25</v>
      </c>
      <c r="R26" s="9">
        <v>0.0</v>
      </c>
      <c r="S26" s="12">
        <v>45627.913194444445</v>
      </c>
      <c r="T26" s="5" t="s">
        <v>25</v>
      </c>
      <c r="U26" s="5">
        <v>1.0</v>
      </c>
      <c r="V26" s="4"/>
      <c r="W26" s="4"/>
      <c r="X26" s="4"/>
      <c r="Y26" s="4"/>
    </row>
    <row r="27">
      <c r="A27" s="5" t="s">
        <v>59</v>
      </c>
      <c r="B27" s="9">
        <v>0.0</v>
      </c>
      <c r="C27" s="9">
        <v>0.0</v>
      </c>
      <c r="D27" s="9">
        <v>1.0</v>
      </c>
      <c r="E27" s="9">
        <v>0.0</v>
      </c>
      <c r="F27" s="9">
        <v>0.0</v>
      </c>
      <c r="G27" s="9">
        <v>1.0</v>
      </c>
      <c r="H27" s="9">
        <v>0.0</v>
      </c>
      <c r="I27" s="9">
        <v>0.0</v>
      </c>
      <c r="J27" s="5">
        <f t="shared" ref="J27:K27" si="32">B27+D27+F27+H27</f>
        <v>1</v>
      </c>
      <c r="K27" s="4">
        <f t="shared" si="32"/>
        <v>1</v>
      </c>
      <c r="L27" s="10">
        <f t="shared" si="3"/>
        <v>50</v>
      </c>
      <c r="M27" s="10">
        <f t="shared" si="4"/>
        <v>0</v>
      </c>
      <c r="N27" s="10">
        <f t="shared" si="5"/>
        <v>100</v>
      </c>
      <c r="O27" s="10">
        <f t="shared" si="6"/>
        <v>0</v>
      </c>
      <c r="P27" s="10">
        <f t="shared" si="7"/>
        <v>0</v>
      </c>
      <c r="Q27" s="11">
        <f t="shared" si="8"/>
        <v>26</v>
      </c>
      <c r="R27" s="9">
        <v>0.0</v>
      </c>
      <c r="S27" s="12">
        <v>45632.13402777778</v>
      </c>
      <c r="T27" s="5" t="s">
        <v>25</v>
      </c>
      <c r="U27" s="5">
        <v>1.0</v>
      </c>
      <c r="V27" s="4"/>
      <c r="W27" s="4"/>
      <c r="X27" s="4"/>
      <c r="Y27" s="4"/>
    </row>
    <row r="28">
      <c r="A28" s="5" t="s">
        <v>9763</v>
      </c>
      <c r="B28" s="9">
        <v>1.0</v>
      </c>
      <c r="C28" s="9">
        <v>5.0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5">
        <f t="shared" ref="J28:K28" si="33">B28+D28+F28+H28</f>
        <v>1</v>
      </c>
      <c r="K28" s="4">
        <f t="shared" si="33"/>
        <v>5</v>
      </c>
      <c r="L28" s="10">
        <f t="shared" si="3"/>
        <v>16.7</v>
      </c>
      <c r="M28" s="10">
        <f t="shared" si="4"/>
        <v>16.7</v>
      </c>
      <c r="N28" s="10">
        <f t="shared" si="5"/>
        <v>0</v>
      </c>
      <c r="O28" s="10">
        <f t="shared" si="6"/>
        <v>0</v>
      </c>
      <c r="P28" s="10">
        <f t="shared" si="7"/>
        <v>0</v>
      </c>
      <c r="Q28" s="11">
        <f t="shared" si="8"/>
        <v>27</v>
      </c>
      <c r="R28" s="9">
        <v>0.0</v>
      </c>
      <c r="S28" s="12">
        <v>45635.09583333333</v>
      </c>
      <c r="T28" s="5" t="s">
        <v>25</v>
      </c>
      <c r="U28" s="5">
        <v>1.0</v>
      </c>
      <c r="V28" s="4"/>
      <c r="W28" s="4"/>
      <c r="X28" s="4"/>
      <c r="Y28" s="4"/>
    </row>
    <row r="29">
      <c r="A29" s="5" t="s">
        <v>9614</v>
      </c>
      <c r="B29" s="9">
        <v>0.0</v>
      </c>
      <c r="C29" s="9">
        <v>0.0</v>
      </c>
      <c r="D29" s="9">
        <v>0.0</v>
      </c>
      <c r="E29" s="9">
        <v>0.0</v>
      </c>
      <c r="F29" s="9">
        <v>0.0</v>
      </c>
      <c r="G29" s="9">
        <v>1.0</v>
      </c>
      <c r="H29" s="9">
        <v>0.0</v>
      </c>
      <c r="I29" s="9">
        <v>1.0</v>
      </c>
      <c r="J29" s="5">
        <f t="shared" ref="J29:K29" si="34">B29+D29+F29+H29</f>
        <v>0</v>
      </c>
      <c r="K29" s="4">
        <f t="shared" si="34"/>
        <v>2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45624.72361111111</v>
      </c>
      <c r="T29" s="5" t="s">
        <v>25</v>
      </c>
      <c r="U29" s="9">
        <v>0.0</v>
      </c>
      <c r="V29" s="4"/>
      <c r="W29" s="4"/>
      <c r="X29" s="4"/>
      <c r="Y29" s="4"/>
    </row>
    <row r="30">
      <c r="A30" s="5" t="s">
        <v>9745</v>
      </c>
      <c r="B30" s="9">
        <v>0.0</v>
      </c>
      <c r="C30" s="9">
        <v>1.0</v>
      </c>
      <c r="D30" s="9">
        <v>0.0</v>
      </c>
      <c r="E30" s="9">
        <v>0.0</v>
      </c>
      <c r="F30" s="9">
        <v>0.0</v>
      </c>
      <c r="G30" s="9">
        <v>1.0</v>
      </c>
      <c r="H30" s="9">
        <v>0.0</v>
      </c>
      <c r="I30" s="9">
        <v>0.0</v>
      </c>
      <c r="J30" s="5">
        <f t="shared" ref="J30:K30" si="35">B30+D30+F30+H30</f>
        <v>0</v>
      </c>
      <c r="K30" s="4">
        <f t="shared" si="35"/>
        <v>2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>
        <f t="shared" si="8"/>
        <v>29</v>
      </c>
      <c r="R30" s="9">
        <v>0.0</v>
      </c>
      <c r="S30" s="12">
        <v>45625.19652777778</v>
      </c>
      <c r="T30" s="5" t="s">
        <v>25</v>
      </c>
      <c r="U30" s="9">
        <v>0.0</v>
      </c>
      <c r="V30" s="4"/>
      <c r="W30" s="4"/>
      <c r="X30" s="4"/>
      <c r="Y30" s="4"/>
    </row>
    <row r="31">
      <c r="A31" s="5" t="s">
        <v>9694</v>
      </c>
      <c r="B31" s="9">
        <v>0.0</v>
      </c>
      <c r="C31" s="9">
        <v>1.0</v>
      </c>
      <c r="D31" s="9">
        <v>0.0</v>
      </c>
      <c r="E31" s="9">
        <v>0.0</v>
      </c>
      <c r="F31" s="9">
        <v>0.0</v>
      </c>
      <c r="G31" s="9">
        <v>1.0</v>
      </c>
      <c r="H31" s="9">
        <v>0.0</v>
      </c>
      <c r="I31" s="9">
        <v>0.0</v>
      </c>
      <c r="J31" s="5">
        <f t="shared" ref="J31:K31" si="36">B31+D31+F31+H31</f>
        <v>0</v>
      </c>
      <c r="K31" s="4">
        <f t="shared" si="36"/>
        <v>2</v>
      </c>
      <c r="L31" s="10">
        <f t="shared" si="3"/>
        <v>0</v>
      </c>
      <c r="M31" s="10">
        <f t="shared" si="4"/>
        <v>0</v>
      </c>
      <c r="N31" s="10">
        <f t="shared" si="5"/>
        <v>0</v>
      </c>
      <c r="O31" s="10">
        <f t="shared" si="6"/>
        <v>0</v>
      </c>
      <c r="P31" s="10">
        <f t="shared" si="7"/>
        <v>0</v>
      </c>
      <c r="Q31" s="11">
        <f t="shared" si="8"/>
        <v>30</v>
      </c>
      <c r="R31" s="9">
        <v>0.0</v>
      </c>
      <c r="S31" s="12">
        <v>45626.94027777778</v>
      </c>
      <c r="T31" s="5" t="s">
        <v>25</v>
      </c>
      <c r="U31" s="9">
        <v>0.0</v>
      </c>
      <c r="V31" s="4"/>
      <c r="W31" s="4"/>
      <c r="X31" s="4"/>
      <c r="Y31" s="4"/>
    </row>
    <row r="32">
      <c r="A32" s="5" t="s">
        <v>45</v>
      </c>
      <c r="B32" s="9">
        <v>0.0</v>
      </c>
      <c r="C32" s="9">
        <v>0.0</v>
      </c>
      <c r="D32" s="9">
        <v>0.0</v>
      </c>
      <c r="E32" s="9">
        <v>0.0</v>
      </c>
      <c r="F32" s="9">
        <v>0.0</v>
      </c>
      <c r="G32" s="9">
        <v>1.0</v>
      </c>
      <c r="H32" s="9">
        <v>0.0</v>
      </c>
      <c r="I32" s="9">
        <v>0.0</v>
      </c>
      <c r="J32" s="5">
        <f t="shared" ref="J32:K32" si="37">B32+D32+F32+H32</f>
        <v>0</v>
      </c>
      <c r="K32" s="4">
        <f t="shared" si="37"/>
        <v>1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>
        <f t="shared" si="6"/>
        <v>0</v>
      </c>
      <c r="P32" s="10">
        <f t="shared" si="7"/>
        <v>0</v>
      </c>
      <c r="Q32" s="11">
        <f t="shared" si="8"/>
        <v>31</v>
      </c>
      <c r="R32" s="9">
        <v>0.0</v>
      </c>
      <c r="S32" s="12">
        <v>45631.15833333333</v>
      </c>
      <c r="T32" s="5" t="s">
        <v>25</v>
      </c>
      <c r="U32" s="9">
        <v>0.0</v>
      </c>
      <c r="V32" s="4"/>
      <c r="W32" s="4"/>
      <c r="X32" s="4"/>
      <c r="Y32" s="4"/>
    </row>
    <row r="33">
      <c r="A33" s="5" t="s">
        <v>46</v>
      </c>
      <c r="B33" s="9">
        <v>0.0</v>
      </c>
      <c r="C33" s="5">
        <v>0.0</v>
      </c>
      <c r="D33" s="9">
        <v>0.0</v>
      </c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5">
        <f t="shared" ref="J33:K33" si="38">B33+D33+F33+H33</f>
        <v>0</v>
      </c>
      <c r="K33" s="4">
        <f t="shared" si="38"/>
        <v>0</v>
      </c>
      <c r="L33" s="10">
        <f t="shared" si="3"/>
        <v>0</v>
      </c>
      <c r="M33" s="10">
        <f t="shared" si="4"/>
        <v>0</v>
      </c>
      <c r="N33" s="10">
        <f t="shared" si="5"/>
        <v>0</v>
      </c>
      <c r="O33" s="10">
        <f t="shared" si="6"/>
        <v>0</v>
      </c>
      <c r="P33" s="10">
        <f t="shared" si="7"/>
        <v>0</v>
      </c>
      <c r="Q33" s="11">
        <f t="shared" si="8"/>
        <v>32</v>
      </c>
      <c r="R33" s="9">
        <v>0.0</v>
      </c>
      <c r="S33" s="12">
        <v>45643.06527777778</v>
      </c>
      <c r="T33" s="5" t="s">
        <v>47</v>
      </c>
      <c r="U33" s="5">
        <v>0.0</v>
      </c>
      <c r="V33" s="4"/>
      <c r="W33" s="4"/>
      <c r="X33" s="4"/>
      <c r="Y33" s="4"/>
    </row>
    <row r="34">
      <c r="A34" s="5" t="s">
        <v>33</v>
      </c>
      <c r="B34" s="9">
        <v>0.0</v>
      </c>
      <c r="C34" s="9">
        <v>1.0</v>
      </c>
      <c r="D34" s="9">
        <v>0.0</v>
      </c>
      <c r="E34" s="9">
        <v>0.0</v>
      </c>
      <c r="F34" s="9">
        <v>0.0</v>
      </c>
      <c r="G34" s="9">
        <v>0.0</v>
      </c>
      <c r="H34" s="9">
        <v>0.0</v>
      </c>
      <c r="I34" s="9">
        <v>1.0</v>
      </c>
      <c r="J34" s="5">
        <f t="shared" ref="J34:K34" si="39">B34+D34+F34+H34</f>
        <v>0</v>
      </c>
      <c r="K34" s="4">
        <f t="shared" si="39"/>
        <v>2</v>
      </c>
      <c r="L34" s="10">
        <f t="shared" si="3"/>
        <v>0</v>
      </c>
      <c r="M34" s="10">
        <f t="shared" si="4"/>
        <v>0</v>
      </c>
      <c r="N34" s="10">
        <f t="shared" si="5"/>
        <v>0</v>
      </c>
      <c r="O34" s="10">
        <f t="shared" si="6"/>
        <v>0</v>
      </c>
      <c r="P34" s="10">
        <f t="shared" si="7"/>
        <v>0</v>
      </c>
      <c r="Q34" s="11">
        <f t="shared" si="8"/>
        <v>33</v>
      </c>
      <c r="R34" s="9">
        <v>0.0</v>
      </c>
      <c r="S34" s="12">
        <v>45646.95763888889</v>
      </c>
      <c r="T34" s="5" t="s">
        <v>25</v>
      </c>
      <c r="U34" s="9">
        <v>0.0</v>
      </c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4"/>
      <c r="W1" s="4"/>
      <c r="X1" s="4"/>
      <c r="Y1" s="4"/>
    </row>
    <row r="2">
      <c r="A2" s="5" t="s">
        <v>27</v>
      </c>
      <c r="B2" s="9">
        <v>16.0</v>
      </c>
      <c r="C2" s="9">
        <v>10.0</v>
      </c>
      <c r="D2" s="9">
        <v>22.0</v>
      </c>
      <c r="E2" s="9">
        <v>19.0</v>
      </c>
      <c r="F2" s="9">
        <v>15.0</v>
      </c>
      <c r="G2" s="9">
        <v>9.0</v>
      </c>
      <c r="H2" s="9">
        <v>0.0</v>
      </c>
      <c r="I2" s="9">
        <v>0.0</v>
      </c>
      <c r="J2" s="5">
        <f t="shared" ref="J2:K2" si="1">B2+D2+F2+H2</f>
        <v>53</v>
      </c>
      <c r="K2" s="4">
        <f t="shared" si="1"/>
        <v>38</v>
      </c>
      <c r="L2" s="10">
        <f t="shared" ref="L2:L30" si="3">ROUND(IFERROR(J2/(J2+K2),0)*100,1)</f>
        <v>58.2</v>
      </c>
      <c r="M2" s="10">
        <f t="shared" ref="M2:M30" si="4">ROUND(IFERROR(B2/(B2+C2),0)*100,1)</f>
        <v>61.5</v>
      </c>
      <c r="N2" s="10">
        <f t="shared" ref="N2:N30" si="5">ROUND(IFERROR(D2/(D2+E2),0)*100,1)</f>
        <v>53.7</v>
      </c>
      <c r="O2" s="10">
        <f t="shared" ref="O2:O30" si="6">ROUND(IFERROR(F2/(F2+G2),0)*100,1)</f>
        <v>62.5</v>
      </c>
      <c r="P2" s="10">
        <f t="shared" ref="P2:P30" si="7">ROUND(IFERROR(H2/(I2+H2),0)*100,1)</f>
        <v>0</v>
      </c>
      <c r="Q2" s="11">
        <f t="shared" ref="Q2:Q30" si="8">ROW()-1</f>
        <v>1</v>
      </c>
      <c r="R2" s="9">
        <v>1557.0</v>
      </c>
      <c r="S2" s="12">
        <v>45683.76180555556</v>
      </c>
      <c r="T2" s="5" t="s">
        <v>25</v>
      </c>
      <c r="U2" s="9">
        <v>0.0</v>
      </c>
      <c r="V2" s="4"/>
      <c r="W2" s="4"/>
      <c r="X2" s="4"/>
      <c r="Y2" s="4"/>
    </row>
    <row r="3">
      <c r="A3" s="5" t="s">
        <v>35</v>
      </c>
      <c r="B3" s="9">
        <v>7.0</v>
      </c>
      <c r="C3" s="9">
        <v>8.0</v>
      </c>
      <c r="D3" s="9">
        <v>25.0</v>
      </c>
      <c r="E3" s="9">
        <v>12.0</v>
      </c>
      <c r="F3" s="9">
        <v>17.0</v>
      </c>
      <c r="G3" s="9">
        <v>6.0</v>
      </c>
      <c r="H3" s="9">
        <v>0.0</v>
      </c>
      <c r="I3" s="9">
        <v>0.0</v>
      </c>
      <c r="J3" s="5">
        <f t="shared" ref="J3:K3" si="2">B3+D3+F3+H3</f>
        <v>49</v>
      </c>
      <c r="K3" s="4">
        <f t="shared" si="2"/>
        <v>26</v>
      </c>
      <c r="L3" s="10">
        <f t="shared" si="3"/>
        <v>65.3</v>
      </c>
      <c r="M3" s="10">
        <f t="shared" si="4"/>
        <v>46.7</v>
      </c>
      <c r="N3" s="10">
        <f t="shared" si="5"/>
        <v>67.6</v>
      </c>
      <c r="O3" s="10">
        <f t="shared" si="6"/>
        <v>73.9</v>
      </c>
      <c r="P3" s="10">
        <f t="shared" si="7"/>
        <v>0</v>
      </c>
      <c r="Q3" s="11">
        <f t="shared" si="8"/>
        <v>2</v>
      </c>
      <c r="R3" s="9">
        <v>1533.0</v>
      </c>
      <c r="S3" s="12">
        <v>45682.12291666667</v>
      </c>
      <c r="T3" s="5" t="s">
        <v>25</v>
      </c>
      <c r="U3" s="9">
        <v>0.0</v>
      </c>
      <c r="V3" s="4"/>
      <c r="W3" s="4"/>
      <c r="X3" s="4"/>
      <c r="Y3" s="4"/>
    </row>
    <row r="4">
      <c r="A4" s="5" t="s">
        <v>24</v>
      </c>
      <c r="B4" s="9">
        <v>8.0</v>
      </c>
      <c r="C4" s="9">
        <v>3.0</v>
      </c>
      <c r="D4" s="9">
        <v>11.0</v>
      </c>
      <c r="E4" s="9">
        <v>4.0</v>
      </c>
      <c r="F4" s="9">
        <v>8.0</v>
      </c>
      <c r="G4" s="9">
        <v>6.0</v>
      </c>
      <c r="H4" s="9">
        <v>15.0</v>
      </c>
      <c r="I4" s="9">
        <v>3.0</v>
      </c>
      <c r="J4" s="5">
        <f t="shared" ref="J4:K4" si="9">B4+D4+F4+H4</f>
        <v>42</v>
      </c>
      <c r="K4" s="4">
        <f t="shared" si="9"/>
        <v>16</v>
      </c>
      <c r="L4" s="10">
        <f t="shared" si="3"/>
        <v>72.4</v>
      </c>
      <c r="M4" s="10">
        <f t="shared" si="4"/>
        <v>72.7</v>
      </c>
      <c r="N4" s="10">
        <f t="shared" si="5"/>
        <v>73.3</v>
      </c>
      <c r="O4" s="10">
        <f t="shared" si="6"/>
        <v>57.1</v>
      </c>
      <c r="P4" s="10">
        <f t="shared" si="7"/>
        <v>83.3</v>
      </c>
      <c r="Q4" s="11">
        <f t="shared" si="8"/>
        <v>3</v>
      </c>
      <c r="R4" s="9">
        <v>1514.0</v>
      </c>
      <c r="S4" s="12">
        <v>45681.99097222222</v>
      </c>
      <c r="T4" s="5" t="s">
        <v>25</v>
      </c>
      <c r="U4" s="9">
        <v>13.0</v>
      </c>
      <c r="V4" s="4"/>
      <c r="W4" s="4"/>
      <c r="X4" s="4"/>
      <c r="Y4" s="4"/>
    </row>
    <row r="5">
      <c r="A5" s="5" t="s">
        <v>26</v>
      </c>
      <c r="B5" s="9">
        <v>16.0</v>
      </c>
      <c r="C5" s="9">
        <v>16.0</v>
      </c>
      <c r="D5" s="9">
        <v>10.0</v>
      </c>
      <c r="E5" s="9">
        <v>11.0</v>
      </c>
      <c r="F5" s="9">
        <v>15.0</v>
      </c>
      <c r="G5" s="9">
        <v>10.0</v>
      </c>
      <c r="H5" s="9">
        <v>13.0</v>
      </c>
      <c r="I5" s="9">
        <v>21.0</v>
      </c>
      <c r="J5" s="5">
        <f t="shared" ref="J5:K5" si="10">B5+D5+F5+H5</f>
        <v>54</v>
      </c>
      <c r="K5" s="4">
        <f t="shared" si="10"/>
        <v>58</v>
      </c>
      <c r="L5" s="10">
        <f t="shared" si="3"/>
        <v>48.2</v>
      </c>
      <c r="M5" s="10">
        <f t="shared" si="4"/>
        <v>50</v>
      </c>
      <c r="N5" s="10">
        <f t="shared" si="5"/>
        <v>47.6</v>
      </c>
      <c r="O5" s="10">
        <f t="shared" si="6"/>
        <v>60</v>
      </c>
      <c r="P5" s="10">
        <f t="shared" si="7"/>
        <v>38.2</v>
      </c>
      <c r="Q5" s="11">
        <f t="shared" si="8"/>
        <v>4</v>
      </c>
      <c r="R5" s="9">
        <v>1495.0</v>
      </c>
      <c r="S5" s="12">
        <v>45684.05972222222</v>
      </c>
      <c r="T5" s="5" t="s">
        <v>25</v>
      </c>
      <c r="U5" s="9">
        <v>7.0</v>
      </c>
      <c r="V5" s="4"/>
      <c r="W5" s="4"/>
      <c r="X5" s="4"/>
      <c r="Y5" s="4"/>
    </row>
    <row r="6">
      <c r="A6" s="5" t="s">
        <v>56</v>
      </c>
      <c r="B6" s="9">
        <v>8.0</v>
      </c>
      <c r="C6" s="9">
        <v>11.0</v>
      </c>
      <c r="D6" s="9">
        <v>11.0</v>
      </c>
      <c r="E6" s="9">
        <v>4.0</v>
      </c>
      <c r="F6" s="9">
        <v>7.0</v>
      </c>
      <c r="G6" s="9">
        <v>9.0</v>
      </c>
      <c r="H6" s="9">
        <v>8.0</v>
      </c>
      <c r="I6" s="9">
        <v>5.0</v>
      </c>
      <c r="J6" s="5">
        <f t="shared" ref="J6:K6" si="11">B6+D6+F6+H6</f>
        <v>34</v>
      </c>
      <c r="K6" s="4">
        <f t="shared" si="11"/>
        <v>29</v>
      </c>
      <c r="L6" s="10">
        <f t="shared" si="3"/>
        <v>54</v>
      </c>
      <c r="M6" s="10">
        <f t="shared" si="4"/>
        <v>42.1</v>
      </c>
      <c r="N6" s="10">
        <f t="shared" si="5"/>
        <v>73.3</v>
      </c>
      <c r="O6" s="10">
        <f t="shared" si="6"/>
        <v>43.8</v>
      </c>
      <c r="P6" s="10">
        <f t="shared" si="7"/>
        <v>61.5</v>
      </c>
      <c r="Q6" s="11">
        <f t="shared" si="8"/>
        <v>5</v>
      </c>
      <c r="R6" s="9">
        <v>1479.0</v>
      </c>
      <c r="S6" s="12">
        <v>45684.05972222222</v>
      </c>
      <c r="T6" s="5" t="s">
        <v>25</v>
      </c>
      <c r="U6" s="9">
        <v>13.0</v>
      </c>
      <c r="V6" s="4"/>
      <c r="W6" s="4"/>
      <c r="X6" s="4"/>
      <c r="Y6" s="4"/>
    </row>
    <row r="7">
      <c r="A7" s="5" t="s">
        <v>53</v>
      </c>
      <c r="B7" s="9">
        <v>16.0</v>
      </c>
      <c r="C7" s="9">
        <v>7.0</v>
      </c>
      <c r="D7" s="9">
        <v>4.0</v>
      </c>
      <c r="E7" s="9">
        <v>11.0</v>
      </c>
      <c r="F7" s="9">
        <v>0.0</v>
      </c>
      <c r="G7" s="9">
        <v>0.0</v>
      </c>
      <c r="H7" s="9">
        <v>15.0</v>
      </c>
      <c r="I7" s="9">
        <v>11.0</v>
      </c>
      <c r="J7" s="5">
        <f t="shared" ref="J7:K7" si="12">B7+D7+F7+H7</f>
        <v>35</v>
      </c>
      <c r="K7" s="4">
        <f t="shared" si="12"/>
        <v>29</v>
      </c>
      <c r="L7" s="10">
        <f t="shared" si="3"/>
        <v>54.7</v>
      </c>
      <c r="M7" s="10">
        <f t="shared" si="4"/>
        <v>69.6</v>
      </c>
      <c r="N7" s="10">
        <f t="shared" si="5"/>
        <v>26.7</v>
      </c>
      <c r="O7" s="10">
        <f t="shared" si="6"/>
        <v>0</v>
      </c>
      <c r="P7" s="10">
        <f t="shared" si="7"/>
        <v>57.7</v>
      </c>
      <c r="Q7" s="11">
        <f t="shared" si="8"/>
        <v>6</v>
      </c>
      <c r="R7" s="9">
        <v>1456.0</v>
      </c>
      <c r="S7" s="12">
        <v>45684.05972222222</v>
      </c>
      <c r="T7" s="5" t="s">
        <v>25</v>
      </c>
      <c r="U7" s="9">
        <v>0.0</v>
      </c>
      <c r="V7" s="4"/>
      <c r="W7" s="4"/>
      <c r="X7" s="4"/>
      <c r="Y7" s="4"/>
    </row>
    <row r="8">
      <c r="A8" s="5" t="s">
        <v>29</v>
      </c>
      <c r="B8" s="9">
        <v>5.0</v>
      </c>
      <c r="C8" s="9">
        <v>2.0</v>
      </c>
      <c r="D8" s="9">
        <v>2.0</v>
      </c>
      <c r="E8" s="9">
        <v>11.0</v>
      </c>
      <c r="F8" s="9">
        <v>5.0</v>
      </c>
      <c r="G8" s="9">
        <v>4.0</v>
      </c>
      <c r="H8" s="9">
        <v>7.0</v>
      </c>
      <c r="I8" s="9">
        <v>5.0</v>
      </c>
      <c r="J8" s="5">
        <f t="shared" ref="J8:K8" si="13">B8+D8+F8+H8</f>
        <v>19</v>
      </c>
      <c r="K8" s="4">
        <f t="shared" si="13"/>
        <v>22</v>
      </c>
      <c r="L8" s="10">
        <f t="shared" si="3"/>
        <v>46.3</v>
      </c>
      <c r="M8" s="10">
        <f t="shared" si="4"/>
        <v>71.4</v>
      </c>
      <c r="N8" s="10">
        <f t="shared" si="5"/>
        <v>15.4</v>
      </c>
      <c r="O8" s="10">
        <f t="shared" si="6"/>
        <v>55.6</v>
      </c>
      <c r="P8" s="10">
        <f t="shared" si="7"/>
        <v>58.3</v>
      </c>
      <c r="Q8" s="11">
        <f t="shared" si="8"/>
        <v>7</v>
      </c>
      <c r="R8" s="9">
        <v>1436.0</v>
      </c>
      <c r="S8" s="12">
        <v>45684.02777777778</v>
      </c>
      <c r="T8" s="5" t="s">
        <v>25</v>
      </c>
      <c r="U8" s="9">
        <v>7.0</v>
      </c>
      <c r="V8" s="4"/>
      <c r="W8" s="4"/>
      <c r="X8" s="4"/>
      <c r="Y8" s="4"/>
    </row>
    <row r="9">
      <c r="A9" s="5" t="s">
        <v>30</v>
      </c>
      <c r="B9" s="9">
        <v>13.0</v>
      </c>
      <c r="C9" s="9">
        <v>6.0</v>
      </c>
      <c r="D9" s="9">
        <v>13.0</v>
      </c>
      <c r="E9" s="9">
        <v>18.0</v>
      </c>
      <c r="F9" s="9">
        <v>10.0</v>
      </c>
      <c r="G9" s="9">
        <v>22.0</v>
      </c>
      <c r="H9" s="9">
        <v>14.0</v>
      </c>
      <c r="I9" s="9">
        <v>12.0</v>
      </c>
      <c r="J9" s="5">
        <f t="shared" ref="J9:K9" si="14">B9+D9+F9+H9</f>
        <v>50</v>
      </c>
      <c r="K9" s="4">
        <f t="shared" si="14"/>
        <v>58</v>
      </c>
      <c r="L9" s="10">
        <f t="shared" si="3"/>
        <v>46.3</v>
      </c>
      <c r="M9" s="10">
        <f t="shared" si="4"/>
        <v>68.4</v>
      </c>
      <c r="N9" s="10">
        <f t="shared" si="5"/>
        <v>41.9</v>
      </c>
      <c r="O9" s="10">
        <f t="shared" si="6"/>
        <v>31.3</v>
      </c>
      <c r="P9" s="10">
        <f t="shared" si="7"/>
        <v>53.8</v>
      </c>
      <c r="Q9" s="11">
        <f t="shared" si="8"/>
        <v>8</v>
      </c>
      <c r="R9" s="9">
        <v>1422.0</v>
      </c>
      <c r="S9" s="12">
        <v>45684.05972222222</v>
      </c>
      <c r="T9" s="5" t="s">
        <v>25</v>
      </c>
      <c r="U9" s="9">
        <v>10.0</v>
      </c>
      <c r="V9" s="4"/>
      <c r="W9" s="4"/>
      <c r="X9" s="4"/>
      <c r="Y9" s="4"/>
    </row>
    <row r="10">
      <c r="A10" s="5" t="s">
        <v>36</v>
      </c>
      <c r="B10" s="9">
        <v>7.0</v>
      </c>
      <c r="C10" s="9">
        <v>7.0</v>
      </c>
      <c r="D10" s="9">
        <v>0.0</v>
      </c>
      <c r="E10" s="9">
        <v>0.0</v>
      </c>
      <c r="F10" s="9">
        <v>12.0</v>
      </c>
      <c r="G10" s="9">
        <v>8.0</v>
      </c>
      <c r="H10" s="9">
        <v>12.0</v>
      </c>
      <c r="I10" s="9">
        <v>9.0</v>
      </c>
      <c r="J10" s="5">
        <f t="shared" ref="J10:K10" si="15">B10+D10+F10+H10</f>
        <v>31</v>
      </c>
      <c r="K10" s="4">
        <f t="shared" si="15"/>
        <v>24</v>
      </c>
      <c r="L10" s="10">
        <f t="shared" si="3"/>
        <v>56.4</v>
      </c>
      <c r="M10" s="10">
        <f t="shared" si="4"/>
        <v>50</v>
      </c>
      <c r="N10" s="10">
        <f t="shared" si="5"/>
        <v>0</v>
      </c>
      <c r="O10" s="10">
        <f t="shared" si="6"/>
        <v>60</v>
      </c>
      <c r="P10" s="10">
        <f t="shared" si="7"/>
        <v>57.1</v>
      </c>
      <c r="Q10" s="11">
        <f t="shared" si="8"/>
        <v>9</v>
      </c>
      <c r="R10" s="9">
        <v>1364.0</v>
      </c>
      <c r="S10" s="12">
        <v>45683.90694444445</v>
      </c>
      <c r="T10" s="5" t="s">
        <v>25</v>
      </c>
      <c r="U10" s="9">
        <v>0.0</v>
      </c>
      <c r="V10" s="4"/>
      <c r="W10" s="4"/>
      <c r="X10" s="4"/>
      <c r="Y10" s="4"/>
    </row>
    <row r="11">
      <c r="A11" s="5" t="s">
        <v>9678</v>
      </c>
      <c r="B11" s="9">
        <v>5.0</v>
      </c>
      <c r="C11" s="9">
        <v>7.0</v>
      </c>
      <c r="D11" s="9">
        <v>0.0</v>
      </c>
      <c r="E11" s="9">
        <v>0.0</v>
      </c>
      <c r="F11" s="9">
        <v>7.0</v>
      </c>
      <c r="G11" s="9">
        <v>7.0</v>
      </c>
      <c r="H11" s="9">
        <v>5.0</v>
      </c>
      <c r="I11" s="9">
        <v>9.0</v>
      </c>
      <c r="J11" s="5">
        <f t="shared" ref="J11:K11" si="16">B11+D11+F11+H11</f>
        <v>17</v>
      </c>
      <c r="K11" s="4">
        <f t="shared" si="16"/>
        <v>23</v>
      </c>
      <c r="L11" s="10">
        <f t="shared" si="3"/>
        <v>42.5</v>
      </c>
      <c r="M11" s="10">
        <f t="shared" si="4"/>
        <v>41.7</v>
      </c>
      <c r="N11" s="10">
        <f t="shared" si="5"/>
        <v>0</v>
      </c>
      <c r="O11" s="10">
        <f t="shared" si="6"/>
        <v>50</v>
      </c>
      <c r="P11" s="10">
        <f t="shared" si="7"/>
        <v>35.7</v>
      </c>
      <c r="Q11" s="11">
        <f t="shared" si="8"/>
        <v>10</v>
      </c>
      <c r="R11" s="9">
        <v>1348.0</v>
      </c>
      <c r="S11" s="12">
        <v>45684.05972222222</v>
      </c>
      <c r="T11" s="5" t="s">
        <v>25</v>
      </c>
      <c r="U11" s="9">
        <v>0.0</v>
      </c>
      <c r="V11" s="4"/>
      <c r="W11" s="4"/>
      <c r="X11" s="4"/>
      <c r="Y11" s="4"/>
    </row>
    <row r="12">
      <c r="A12" s="5" t="s">
        <v>9679</v>
      </c>
      <c r="B12" s="9">
        <v>0.0</v>
      </c>
      <c r="C12" s="9">
        <v>0.0</v>
      </c>
      <c r="D12" s="9">
        <v>4.0</v>
      </c>
      <c r="E12" s="9">
        <v>9.0</v>
      </c>
      <c r="F12" s="9">
        <v>7.0</v>
      </c>
      <c r="G12" s="9">
        <v>10.0</v>
      </c>
      <c r="H12" s="9">
        <v>8.0</v>
      </c>
      <c r="I12" s="9">
        <v>4.0</v>
      </c>
      <c r="J12" s="5">
        <f t="shared" ref="J12:K12" si="17">B12+D12+F12+H12</f>
        <v>19</v>
      </c>
      <c r="K12" s="4">
        <f t="shared" si="17"/>
        <v>23</v>
      </c>
      <c r="L12" s="10">
        <f t="shared" si="3"/>
        <v>45.2</v>
      </c>
      <c r="M12" s="10">
        <f t="shared" si="4"/>
        <v>0</v>
      </c>
      <c r="N12" s="10">
        <f t="shared" si="5"/>
        <v>30.8</v>
      </c>
      <c r="O12" s="10">
        <f t="shared" si="6"/>
        <v>41.2</v>
      </c>
      <c r="P12" s="10">
        <f t="shared" si="7"/>
        <v>66.7</v>
      </c>
      <c r="Q12" s="11">
        <f t="shared" si="8"/>
        <v>11</v>
      </c>
      <c r="R12" s="9">
        <v>1340.0</v>
      </c>
      <c r="S12" s="12">
        <v>45684.05972222222</v>
      </c>
      <c r="T12" s="5" t="s">
        <v>25</v>
      </c>
      <c r="U12" s="9">
        <v>0.0</v>
      </c>
      <c r="V12" s="4"/>
      <c r="W12" s="4"/>
      <c r="X12" s="4"/>
      <c r="Y12" s="4"/>
    </row>
    <row r="13">
      <c r="A13" s="5" t="s">
        <v>42</v>
      </c>
      <c r="B13" s="9">
        <v>9.0</v>
      </c>
      <c r="C13" s="9">
        <v>14.0</v>
      </c>
      <c r="D13" s="9">
        <v>14.0</v>
      </c>
      <c r="E13" s="9">
        <v>15.0</v>
      </c>
      <c r="F13" s="9">
        <v>5.0</v>
      </c>
      <c r="G13" s="9">
        <v>11.0</v>
      </c>
      <c r="H13" s="9">
        <v>4.0</v>
      </c>
      <c r="I13" s="9">
        <v>10.0</v>
      </c>
      <c r="J13" s="5">
        <f t="shared" ref="J13:K13" si="18">B13+D13+F13+H13</f>
        <v>32</v>
      </c>
      <c r="K13" s="4">
        <f t="shared" si="18"/>
        <v>50</v>
      </c>
      <c r="L13" s="10">
        <f t="shared" si="3"/>
        <v>39</v>
      </c>
      <c r="M13" s="10">
        <f t="shared" si="4"/>
        <v>39.1</v>
      </c>
      <c r="N13" s="10">
        <f t="shared" si="5"/>
        <v>48.3</v>
      </c>
      <c r="O13" s="10">
        <f t="shared" si="6"/>
        <v>31.3</v>
      </c>
      <c r="P13" s="10">
        <f t="shared" si="7"/>
        <v>28.6</v>
      </c>
      <c r="Q13" s="11">
        <f t="shared" si="8"/>
        <v>12</v>
      </c>
      <c r="R13" s="9">
        <v>1322.0</v>
      </c>
      <c r="S13" s="12">
        <v>45684.05972222222</v>
      </c>
      <c r="T13" s="5" t="s">
        <v>25</v>
      </c>
      <c r="U13" s="9">
        <v>10.0</v>
      </c>
      <c r="V13" s="4"/>
      <c r="W13" s="4"/>
      <c r="X13" s="4"/>
      <c r="Y13" s="4"/>
    </row>
    <row r="14">
      <c r="A14" s="5" t="s">
        <v>60</v>
      </c>
      <c r="B14" s="9">
        <v>3.0</v>
      </c>
      <c r="C14" s="9">
        <v>8.0</v>
      </c>
      <c r="D14" s="9">
        <v>0.0</v>
      </c>
      <c r="E14" s="9">
        <v>0.0</v>
      </c>
      <c r="F14" s="9">
        <v>4.0</v>
      </c>
      <c r="G14" s="9">
        <v>2.0</v>
      </c>
      <c r="H14" s="9">
        <v>5.0</v>
      </c>
      <c r="I14" s="9">
        <v>10.0</v>
      </c>
      <c r="J14" s="5">
        <f t="shared" ref="J14:K14" si="19">B14+D14+F14+H14</f>
        <v>12</v>
      </c>
      <c r="K14" s="4">
        <f t="shared" si="19"/>
        <v>20</v>
      </c>
      <c r="L14" s="10">
        <f t="shared" si="3"/>
        <v>37.5</v>
      </c>
      <c r="M14" s="10">
        <f t="shared" si="4"/>
        <v>27.3</v>
      </c>
      <c r="N14" s="10">
        <f t="shared" si="5"/>
        <v>0</v>
      </c>
      <c r="O14" s="10">
        <f t="shared" si="6"/>
        <v>66.7</v>
      </c>
      <c r="P14" s="10">
        <f t="shared" si="7"/>
        <v>33.3</v>
      </c>
      <c r="Q14" s="11">
        <f t="shared" si="8"/>
        <v>13</v>
      </c>
      <c r="R14" s="9">
        <v>1230.0</v>
      </c>
      <c r="S14" s="12">
        <v>45683.76180555556</v>
      </c>
      <c r="T14" s="5" t="s">
        <v>25</v>
      </c>
      <c r="U14" s="9">
        <v>0.0</v>
      </c>
      <c r="V14" s="4"/>
      <c r="W14" s="4"/>
      <c r="X14" s="4"/>
      <c r="Y14" s="4"/>
    </row>
    <row r="15">
      <c r="A15" s="5" t="s">
        <v>34</v>
      </c>
      <c r="B15" s="9">
        <v>2.0</v>
      </c>
      <c r="C15" s="9">
        <v>11.0</v>
      </c>
      <c r="D15" s="9">
        <v>0.0</v>
      </c>
      <c r="E15" s="9">
        <v>0.0</v>
      </c>
      <c r="F15" s="9">
        <v>2.0</v>
      </c>
      <c r="G15" s="9">
        <v>6.0</v>
      </c>
      <c r="H15" s="9">
        <v>5.0</v>
      </c>
      <c r="I15" s="9">
        <v>11.0</v>
      </c>
      <c r="J15" s="5">
        <f t="shared" ref="J15:K15" si="20">B15+D15+F15+H15</f>
        <v>9</v>
      </c>
      <c r="K15" s="4">
        <f t="shared" si="20"/>
        <v>28</v>
      </c>
      <c r="L15" s="10">
        <f t="shared" si="3"/>
        <v>24.3</v>
      </c>
      <c r="M15" s="10">
        <f t="shared" si="4"/>
        <v>15.4</v>
      </c>
      <c r="N15" s="10">
        <f t="shared" si="5"/>
        <v>0</v>
      </c>
      <c r="O15" s="10">
        <f t="shared" si="6"/>
        <v>25</v>
      </c>
      <c r="P15" s="10">
        <f t="shared" si="7"/>
        <v>31.3</v>
      </c>
      <c r="Q15" s="11">
        <f t="shared" si="8"/>
        <v>14</v>
      </c>
      <c r="R15" s="9">
        <v>1120.0</v>
      </c>
      <c r="S15" s="12">
        <v>45669.92569444444</v>
      </c>
      <c r="T15" s="5" t="s">
        <v>25</v>
      </c>
      <c r="U15" s="9">
        <v>0.0</v>
      </c>
      <c r="V15" s="4"/>
      <c r="W15" s="4"/>
      <c r="X15" s="4"/>
      <c r="Y15" s="4"/>
    </row>
    <row r="16">
      <c r="A16" s="5" t="s">
        <v>38</v>
      </c>
      <c r="B16" s="9">
        <v>0.0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6.0</v>
      </c>
      <c r="I16" s="9">
        <v>2.0</v>
      </c>
      <c r="J16" s="5">
        <f t="shared" ref="J16:K16" si="21">B16+D16+F16+H16</f>
        <v>6</v>
      </c>
      <c r="K16" s="4">
        <f t="shared" si="21"/>
        <v>2</v>
      </c>
      <c r="L16" s="10">
        <f t="shared" si="3"/>
        <v>75</v>
      </c>
      <c r="M16" s="10">
        <f t="shared" si="4"/>
        <v>0</v>
      </c>
      <c r="N16" s="10">
        <f t="shared" si="5"/>
        <v>0</v>
      </c>
      <c r="O16" s="10">
        <f t="shared" si="6"/>
        <v>0</v>
      </c>
      <c r="P16" s="10">
        <f t="shared" si="7"/>
        <v>75</v>
      </c>
      <c r="Q16" s="11">
        <f t="shared" si="8"/>
        <v>15</v>
      </c>
      <c r="R16" s="9">
        <v>0.0</v>
      </c>
      <c r="S16" s="12">
        <v>45682.12291666667</v>
      </c>
      <c r="T16" s="5" t="s">
        <v>25</v>
      </c>
      <c r="U16" s="9">
        <v>0.0</v>
      </c>
      <c r="V16" s="4"/>
      <c r="W16" s="4"/>
      <c r="X16" s="4"/>
      <c r="Y16" s="4"/>
    </row>
    <row r="17">
      <c r="A17" s="5" t="s">
        <v>59</v>
      </c>
      <c r="B17" s="9">
        <v>0.0</v>
      </c>
      <c r="C17" s="9">
        <v>0.0</v>
      </c>
      <c r="D17" s="9">
        <v>2.0</v>
      </c>
      <c r="E17" s="9">
        <v>2.0</v>
      </c>
      <c r="F17" s="9">
        <v>1.0</v>
      </c>
      <c r="G17" s="9">
        <v>2.0</v>
      </c>
      <c r="H17" s="9">
        <v>0.0</v>
      </c>
      <c r="I17" s="9">
        <v>0.0</v>
      </c>
      <c r="J17" s="5">
        <f t="shared" ref="J17:K17" si="22">B17+D17+F17+H17</f>
        <v>3</v>
      </c>
      <c r="K17" s="4">
        <f t="shared" si="22"/>
        <v>4</v>
      </c>
      <c r="L17" s="10">
        <f t="shared" si="3"/>
        <v>42.9</v>
      </c>
      <c r="M17" s="10">
        <f t="shared" si="4"/>
        <v>0</v>
      </c>
      <c r="N17" s="10">
        <f t="shared" si="5"/>
        <v>50</v>
      </c>
      <c r="O17" s="10">
        <f t="shared" si="6"/>
        <v>33.3</v>
      </c>
      <c r="P17" s="10">
        <f t="shared" si="7"/>
        <v>0</v>
      </c>
      <c r="Q17" s="11">
        <f t="shared" si="8"/>
        <v>16</v>
      </c>
      <c r="R17" s="9">
        <v>0.0</v>
      </c>
      <c r="S17" s="12">
        <v>45670.941666666666</v>
      </c>
      <c r="T17" s="5" t="s">
        <v>25</v>
      </c>
      <c r="U17" s="9">
        <v>0.0</v>
      </c>
      <c r="V17" s="4"/>
      <c r="W17" s="4"/>
      <c r="X17" s="4"/>
      <c r="Y17" s="4"/>
    </row>
    <row r="18">
      <c r="A18" s="5" t="s">
        <v>9736</v>
      </c>
      <c r="B18" s="9">
        <v>2.0</v>
      </c>
      <c r="C18" s="9">
        <v>3.0</v>
      </c>
      <c r="D18" s="9">
        <v>0.0</v>
      </c>
      <c r="E18" s="9">
        <v>0.0</v>
      </c>
      <c r="F18" s="9">
        <v>1.0</v>
      </c>
      <c r="G18" s="9">
        <v>2.0</v>
      </c>
      <c r="H18" s="9">
        <v>0.0</v>
      </c>
      <c r="I18" s="9">
        <v>0.0</v>
      </c>
      <c r="J18" s="5">
        <f t="shared" ref="J18:K18" si="23">B18+D18+F18+H18</f>
        <v>3</v>
      </c>
      <c r="K18" s="4">
        <f t="shared" si="23"/>
        <v>5</v>
      </c>
      <c r="L18" s="10">
        <f t="shared" si="3"/>
        <v>37.5</v>
      </c>
      <c r="M18" s="10">
        <f t="shared" si="4"/>
        <v>40</v>
      </c>
      <c r="N18" s="10">
        <f t="shared" si="5"/>
        <v>0</v>
      </c>
      <c r="O18" s="10">
        <f t="shared" si="6"/>
        <v>33.3</v>
      </c>
      <c r="P18" s="10">
        <f t="shared" si="7"/>
        <v>0</v>
      </c>
      <c r="Q18" s="11">
        <f t="shared" si="8"/>
        <v>17</v>
      </c>
      <c r="R18" s="9">
        <v>0.0</v>
      </c>
      <c r="S18" s="12">
        <v>45683.76180555556</v>
      </c>
      <c r="T18" s="5" t="s">
        <v>25</v>
      </c>
      <c r="U18" s="9">
        <v>0.0</v>
      </c>
      <c r="V18" s="4"/>
      <c r="W18" s="4"/>
      <c r="X18" s="4"/>
      <c r="Y18" s="4"/>
    </row>
    <row r="19">
      <c r="A19" s="5" t="s">
        <v>9711</v>
      </c>
      <c r="B19" s="9">
        <v>0.0</v>
      </c>
      <c r="C19" s="9">
        <v>0.0</v>
      </c>
      <c r="D19" s="9">
        <v>0.0</v>
      </c>
      <c r="E19" s="9">
        <v>2.0</v>
      </c>
      <c r="F19" s="9">
        <v>2.0</v>
      </c>
      <c r="G19" s="9">
        <v>3.0</v>
      </c>
      <c r="H19" s="9">
        <v>0.0</v>
      </c>
      <c r="I19" s="9">
        <v>1.0</v>
      </c>
      <c r="J19" s="5">
        <f t="shared" ref="J19:K19" si="24">B19+D19+F19+H19</f>
        <v>2</v>
      </c>
      <c r="K19" s="4">
        <f t="shared" si="24"/>
        <v>6</v>
      </c>
      <c r="L19" s="10">
        <f t="shared" si="3"/>
        <v>25</v>
      </c>
      <c r="M19" s="10">
        <f t="shared" si="4"/>
        <v>0</v>
      </c>
      <c r="N19" s="10">
        <f t="shared" si="5"/>
        <v>0</v>
      </c>
      <c r="O19" s="10">
        <f t="shared" si="6"/>
        <v>40</v>
      </c>
      <c r="P19" s="10">
        <f t="shared" si="7"/>
        <v>0</v>
      </c>
      <c r="Q19" s="11">
        <f t="shared" si="8"/>
        <v>18</v>
      </c>
      <c r="R19" s="9">
        <v>0.0</v>
      </c>
      <c r="S19" s="12">
        <v>45664.94930555556</v>
      </c>
      <c r="T19" s="5" t="s">
        <v>25</v>
      </c>
      <c r="U19" s="9">
        <v>0.0</v>
      </c>
      <c r="V19" s="4"/>
      <c r="W19" s="4"/>
      <c r="X19" s="4"/>
      <c r="Y19" s="4"/>
    </row>
    <row r="20">
      <c r="A20" s="5" t="s">
        <v>33</v>
      </c>
      <c r="B20" s="9">
        <v>2.0</v>
      </c>
      <c r="C20" s="9">
        <v>0.0</v>
      </c>
      <c r="D20" s="9">
        <v>0.0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5">
        <f t="shared" ref="J20:K20" si="25">B20+D20+F20+H20</f>
        <v>2</v>
      </c>
      <c r="K20" s="4">
        <f t="shared" si="25"/>
        <v>0</v>
      </c>
      <c r="L20" s="10">
        <f t="shared" si="3"/>
        <v>100</v>
      </c>
      <c r="M20" s="10">
        <f t="shared" si="4"/>
        <v>100</v>
      </c>
      <c r="N20" s="10">
        <f t="shared" si="5"/>
        <v>0</v>
      </c>
      <c r="O20" s="10">
        <f t="shared" si="6"/>
        <v>0</v>
      </c>
      <c r="P20" s="10">
        <f t="shared" si="7"/>
        <v>0</v>
      </c>
      <c r="Q20" s="11">
        <f t="shared" si="8"/>
        <v>19</v>
      </c>
      <c r="R20" s="9">
        <v>0.0</v>
      </c>
      <c r="S20" s="12">
        <v>45670.989583333336</v>
      </c>
      <c r="T20" s="5" t="s">
        <v>25</v>
      </c>
      <c r="U20" s="9">
        <v>0.0</v>
      </c>
      <c r="V20" s="4"/>
      <c r="W20" s="4"/>
      <c r="X20" s="4"/>
      <c r="Y20" s="4"/>
    </row>
    <row r="21">
      <c r="A21" s="5" t="s">
        <v>9722</v>
      </c>
      <c r="B21" s="9">
        <v>0.0</v>
      </c>
      <c r="C21" s="9">
        <v>0.0</v>
      </c>
      <c r="D21" s="9">
        <v>0.0</v>
      </c>
      <c r="E21" s="9">
        <v>0.0</v>
      </c>
      <c r="F21" s="9">
        <v>1.0</v>
      </c>
      <c r="G21" s="9">
        <v>0.0</v>
      </c>
      <c r="H21" s="9">
        <v>1.0</v>
      </c>
      <c r="I21" s="9">
        <v>2.0</v>
      </c>
      <c r="J21" s="5">
        <f t="shared" ref="J21:K21" si="26">B21+D21+F21+H21</f>
        <v>2</v>
      </c>
      <c r="K21" s="4">
        <f t="shared" si="26"/>
        <v>2</v>
      </c>
      <c r="L21" s="10">
        <f t="shared" si="3"/>
        <v>50</v>
      </c>
      <c r="M21" s="10">
        <f t="shared" si="4"/>
        <v>0</v>
      </c>
      <c r="N21" s="10">
        <f t="shared" si="5"/>
        <v>0</v>
      </c>
      <c r="O21" s="10">
        <f t="shared" si="6"/>
        <v>100</v>
      </c>
      <c r="P21" s="10">
        <f t="shared" si="7"/>
        <v>33.3</v>
      </c>
      <c r="Q21" s="11">
        <f t="shared" si="8"/>
        <v>20</v>
      </c>
      <c r="R21" s="9">
        <v>0.0</v>
      </c>
      <c r="S21" s="12">
        <v>45676.99097222222</v>
      </c>
      <c r="T21" s="5" t="s">
        <v>25</v>
      </c>
      <c r="U21" s="9">
        <v>1.0</v>
      </c>
      <c r="V21" s="4"/>
      <c r="W21" s="4"/>
      <c r="X21" s="4"/>
      <c r="Y21" s="4"/>
    </row>
    <row r="22">
      <c r="A22" s="5" t="s">
        <v>9614</v>
      </c>
      <c r="B22" s="9">
        <v>0.0</v>
      </c>
      <c r="C22" s="9">
        <v>0.0</v>
      </c>
      <c r="D22" s="9">
        <v>0.0</v>
      </c>
      <c r="E22" s="9">
        <v>0.0</v>
      </c>
      <c r="F22" s="9">
        <v>0.0</v>
      </c>
      <c r="G22" s="9">
        <v>0.0</v>
      </c>
      <c r="H22" s="9">
        <v>1.0</v>
      </c>
      <c r="I22" s="9">
        <v>1.0</v>
      </c>
      <c r="J22" s="5">
        <f t="shared" ref="J22:K22" si="27">B22+D22+F22+H22</f>
        <v>1</v>
      </c>
      <c r="K22" s="4">
        <f t="shared" si="27"/>
        <v>1</v>
      </c>
      <c r="L22" s="10">
        <f t="shared" si="3"/>
        <v>50</v>
      </c>
      <c r="M22" s="10">
        <f t="shared" si="4"/>
        <v>0</v>
      </c>
      <c r="N22" s="10">
        <f t="shared" si="5"/>
        <v>0</v>
      </c>
      <c r="O22" s="10">
        <f t="shared" si="6"/>
        <v>0</v>
      </c>
      <c r="P22" s="10">
        <f t="shared" si="7"/>
        <v>50</v>
      </c>
      <c r="Q22" s="11">
        <f t="shared" si="8"/>
        <v>21</v>
      </c>
      <c r="R22" s="9">
        <v>0.0</v>
      </c>
      <c r="S22" s="12">
        <v>45657.10625</v>
      </c>
      <c r="T22" s="5" t="s">
        <v>25</v>
      </c>
      <c r="U22" s="9">
        <v>0.0</v>
      </c>
      <c r="V22" s="4"/>
      <c r="W22" s="4"/>
      <c r="X22" s="4"/>
      <c r="Y22" s="4"/>
    </row>
    <row r="23">
      <c r="A23" s="5" t="s">
        <v>40</v>
      </c>
      <c r="B23" s="9">
        <v>0.0</v>
      </c>
      <c r="C23" s="9">
        <v>1.0</v>
      </c>
      <c r="D23" s="9">
        <v>0.0</v>
      </c>
      <c r="E23" s="9">
        <v>0.0</v>
      </c>
      <c r="F23" s="9">
        <v>1.0</v>
      </c>
      <c r="G23" s="9">
        <v>0.0</v>
      </c>
      <c r="H23" s="9">
        <v>0.0</v>
      </c>
      <c r="I23" s="9">
        <v>0.0</v>
      </c>
      <c r="J23" s="5">
        <f t="shared" ref="J23:K23" si="28">B23+D23+F23+H23</f>
        <v>1</v>
      </c>
      <c r="K23" s="4">
        <f t="shared" si="28"/>
        <v>1</v>
      </c>
      <c r="L23" s="10">
        <f t="shared" si="3"/>
        <v>50</v>
      </c>
      <c r="M23" s="10">
        <f t="shared" si="4"/>
        <v>0</v>
      </c>
      <c r="N23" s="10">
        <f t="shared" si="5"/>
        <v>0</v>
      </c>
      <c r="O23" s="10">
        <f t="shared" si="6"/>
        <v>100</v>
      </c>
      <c r="P23" s="10">
        <f t="shared" si="7"/>
        <v>0</v>
      </c>
      <c r="Q23" s="11">
        <f t="shared" si="8"/>
        <v>22</v>
      </c>
      <c r="R23" s="9">
        <v>0.0</v>
      </c>
      <c r="S23" s="12">
        <v>45668.089583333334</v>
      </c>
      <c r="T23" s="5" t="s">
        <v>25</v>
      </c>
      <c r="U23" s="9">
        <v>0.0</v>
      </c>
      <c r="V23" s="4"/>
      <c r="W23" s="4"/>
      <c r="X23" s="4"/>
      <c r="Y23" s="4"/>
    </row>
    <row r="24">
      <c r="A24" s="5" t="s">
        <v>9694</v>
      </c>
      <c r="B24" s="9">
        <v>0.0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  <c r="H24" s="9">
        <v>1.0</v>
      </c>
      <c r="I24" s="9">
        <v>1.0</v>
      </c>
      <c r="J24" s="5">
        <f t="shared" ref="J24:K24" si="29">B24+D24+F24+H24</f>
        <v>1</v>
      </c>
      <c r="K24" s="4">
        <f t="shared" si="29"/>
        <v>1</v>
      </c>
      <c r="L24" s="10">
        <f t="shared" si="3"/>
        <v>50</v>
      </c>
      <c r="M24" s="10">
        <f t="shared" si="4"/>
        <v>0</v>
      </c>
      <c r="N24" s="10">
        <f t="shared" si="5"/>
        <v>0</v>
      </c>
      <c r="O24" s="10">
        <f t="shared" si="6"/>
        <v>0</v>
      </c>
      <c r="P24" s="10">
        <f t="shared" si="7"/>
        <v>50</v>
      </c>
      <c r="Q24" s="11">
        <f t="shared" si="8"/>
        <v>23</v>
      </c>
      <c r="R24" s="9">
        <v>0.0</v>
      </c>
      <c r="S24" s="12">
        <v>45671.04236111111</v>
      </c>
      <c r="T24" s="5" t="s">
        <v>25</v>
      </c>
      <c r="U24" s="9">
        <v>0.0</v>
      </c>
      <c r="V24" s="4"/>
      <c r="W24" s="4"/>
      <c r="X24" s="4"/>
      <c r="Y24" s="4"/>
    </row>
    <row r="25">
      <c r="A25" s="5" t="s">
        <v>44</v>
      </c>
      <c r="B25" s="9">
        <v>0.0</v>
      </c>
      <c r="C25" s="9">
        <v>0.0</v>
      </c>
      <c r="D25" s="9">
        <v>1.0</v>
      </c>
      <c r="E25" s="9">
        <v>1.0</v>
      </c>
      <c r="F25" s="9">
        <v>0.0</v>
      </c>
      <c r="G25" s="9">
        <v>1.0</v>
      </c>
      <c r="H25" s="9">
        <v>0.0</v>
      </c>
      <c r="I25" s="9">
        <v>0.0</v>
      </c>
      <c r="J25" s="5">
        <f t="shared" ref="J25:K25" si="30">B25+D25+F25+H25</f>
        <v>1</v>
      </c>
      <c r="K25" s="4">
        <f t="shared" si="30"/>
        <v>2</v>
      </c>
      <c r="L25" s="10">
        <f t="shared" si="3"/>
        <v>33.3</v>
      </c>
      <c r="M25" s="10">
        <f t="shared" si="4"/>
        <v>0</v>
      </c>
      <c r="N25" s="10">
        <f t="shared" si="5"/>
        <v>50</v>
      </c>
      <c r="O25" s="10">
        <f t="shared" si="6"/>
        <v>0</v>
      </c>
      <c r="P25" s="10">
        <f t="shared" si="7"/>
        <v>0</v>
      </c>
      <c r="Q25" s="11">
        <f t="shared" si="8"/>
        <v>24</v>
      </c>
      <c r="R25" s="9">
        <v>0.0</v>
      </c>
      <c r="S25" s="12">
        <v>45673.89375</v>
      </c>
      <c r="T25" s="5" t="s">
        <v>25</v>
      </c>
      <c r="U25" s="9">
        <v>0.0</v>
      </c>
      <c r="V25" s="4"/>
      <c r="W25" s="4"/>
      <c r="X25" s="4"/>
      <c r="Y25" s="4"/>
    </row>
    <row r="26">
      <c r="A26" s="5" t="s">
        <v>9742</v>
      </c>
      <c r="B26" s="9">
        <v>0.0</v>
      </c>
      <c r="C26" s="9">
        <v>4.0</v>
      </c>
      <c r="D26" s="9">
        <v>1.0</v>
      </c>
      <c r="E26" s="9">
        <v>1.0</v>
      </c>
      <c r="F26" s="9">
        <v>0.0</v>
      </c>
      <c r="G26" s="9">
        <v>2.0</v>
      </c>
      <c r="H26" s="9">
        <v>0.0</v>
      </c>
      <c r="I26" s="9">
        <v>0.0</v>
      </c>
      <c r="J26" s="5">
        <f t="shared" ref="J26:K26" si="31">B26+D26+F26+H26</f>
        <v>1</v>
      </c>
      <c r="K26" s="4">
        <f t="shared" si="31"/>
        <v>7</v>
      </c>
      <c r="L26" s="10">
        <f t="shared" si="3"/>
        <v>12.5</v>
      </c>
      <c r="M26" s="10">
        <f t="shared" si="4"/>
        <v>0</v>
      </c>
      <c r="N26" s="10">
        <f t="shared" si="5"/>
        <v>50</v>
      </c>
      <c r="O26" s="10">
        <f t="shared" si="6"/>
        <v>0</v>
      </c>
      <c r="P26" s="10">
        <f t="shared" si="7"/>
        <v>0</v>
      </c>
      <c r="Q26" s="11">
        <f t="shared" si="8"/>
        <v>25</v>
      </c>
      <c r="R26" s="9">
        <v>0.0</v>
      </c>
      <c r="S26" s="12">
        <v>45683.76180555556</v>
      </c>
      <c r="T26" s="5" t="s">
        <v>25</v>
      </c>
      <c r="U26" s="9">
        <v>0.0</v>
      </c>
      <c r="V26" s="4"/>
      <c r="W26" s="4"/>
      <c r="X26" s="4"/>
      <c r="Y26" s="4"/>
    </row>
    <row r="27">
      <c r="A27" s="5" t="s">
        <v>28</v>
      </c>
      <c r="B27" s="9">
        <v>1.0</v>
      </c>
      <c r="C27" s="9">
        <v>0.0</v>
      </c>
      <c r="D27" s="9">
        <v>0.0</v>
      </c>
      <c r="E27" s="9">
        <v>0.0</v>
      </c>
      <c r="F27" s="9">
        <v>0.0</v>
      </c>
      <c r="G27" s="9">
        <v>0.0</v>
      </c>
      <c r="H27" s="9">
        <v>0.0</v>
      </c>
      <c r="I27" s="9">
        <v>0.0</v>
      </c>
      <c r="J27" s="5">
        <f t="shared" ref="J27:K27" si="32">B27+D27+F27+H27</f>
        <v>1</v>
      </c>
      <c r="K27" s="4">
        <f t="shared" si="32"/>
        <v>0</v>
      </c>
      <c r="L27" s="10">
        <f t="shared" si="3"/>
        <v>100</v>
      </c>
      <c r="M27" s="10">
        <f t="shared" si="4"/>
        <v>100</v>
      </c>
      <c r="N27" s="10">
        <f t="shared" si="5"/>
        <v>0</v>
      </c>
      <c r="O27" s="10">
        <f t="shared" si="6"/>
        <v>0</v>
      </c>
      <c r="P27" s="10">
        <f t="shared" si="7"/>
        <v>0</v>
      </c>
      <c r="Q27" s="11">
        <f t="shared" si="8"/>
        <v>26</v>
      </c>
      <c r="R27" s="9">
        <v>0.0</v>
      </c>
      <c r="S27" s="12">
        <v>45684.05972222222</v>
      </c>
      <c r="T27" s="5" t="s">
        <v>25</v>
      </c>
      <c r="U27" s="9">
        <v>1.0</v>
      </c>
      <c r="V27" s="4"/>
      <c r="W27" s="4"/>
      <c r="X27" s="4"/>
      <c r="Y27" s="4"/>
    </row>
    <row r="28">
      <c r="A28" s="5" t="s">
        <v>9771</v>
      </c>
      <c r="B28" s="9">
        <v>0.0</v>
      </c>
      <c r="C28" s="9">
        <v>1.0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1.0</v>
      </c>
      <c r="J28" s="5">
        <f t="shared" ref="J28:K28" si="33">B28+D28+F28+H28</f>
        <v>0</v>
      </c>
      <c r="K28" s="4">
        <f t="shared" si="33"/>
        <v>2</v>
      </c>
      <c r="L28" s="10">
        <f t="shared" si="3"/>
        <v>0</v>
      </c>
      <c r="M28" s="10">
        <f t="shared" si="4"/>
        <v>0</v>
      </c>
      <c r="N28" s="10">
        <f t="shared" si="5"/>
        <v>0</v>
      </c>
      <c r="O28" s="10">
        <f t="shared" si="6"/>
        <v>0</v>
      </c>
      <c r="P28" s="10">
        <f t="shared" si="7"/>
        <v>0</v>
      </c>
      <c r="Q28" s="11">
        <f t="shared" si="8"/>
        <v>27</v>
      </c>
      <c r="R28" s="9">
        <v>0.0</v>
      </c>
      <c r="S28" s="12">
        <v>45663.90833333333</v>
      </c>
      <c r="T28" s="5" t="s">
        <v>25</v>
      </c>
      <c r="U28" s="9">
        <v>0.0</v>
      </c>
      <c r="V28" s="4"/>
      <c r="W28" s="4"/>
      <c r="X28" s="4"/>
      <c r="Y28" s="4"/>
    </row>
    <row r="29">
      <c r="A29" s="5" t="s">
        <v>46</v>
      </c>
      <c r="B29" s="9">
        <v>0.0</v>
      </c>
      <c r="C29" s="5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5">
        <f t="shared" ref="J29:K29" si="34">B29+D29+F29+H29</f>
        <v>0</v>
      </c>
      <c r="K29" s="4">
        <f t="shared" si="34"/>
        <v>0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45666.05</v>
      </c>
      <c r="T29" s="5" t="s">
        <v>47</v>
      </c>
      <c r="U29" s="5">
        <v>0.0</v>
      </c>
      <c r="V29" s="4"/>
      <c r="W29" s="4"/>
      <c r="X29" s="4"/>
      <c r="Y29" s="4"/>
    </row>
    <row r="30">
      <c r="A30" s="5" t="s">
        <v>9776</v>
      </c>
      <c r="B30" s="9">
        <v>0.0</v>
      </c>
      <c r="C30" s="9">
        <v>1.0</v>
      </c>
      <c r="D30" s="9">
        <v>0.0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5">
        <f t="shared" ref="J30:K30" si="35">B30+D30+F30+H30</f>
        <v>0</v>
      </c>
      <c r="K30" s="4">
        <f t="shared" si="35"/>
        <v>1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>
        <f t="shared" si="8"/>
        <v>29</v>
      </c>
      <c r="R30" s="9">
        <v>0.0</v>
      </c>
      <c r="S30" s="12">
        <v>45667.95486111111</v>
      </c>
      <c r="T30" s="5" t="s">
        <v>25</v>
      </c>
      <c r="U30" s="9">
        <v>0.0</v>
      </c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4"/>
      <c r="X1" s="4"/>
      <c r="Y1" s="4"/>
    </row>
    <row r="2">
      <c r="A2" s="5" t="s">
        <v>24</v>
      </c>
      <c r="B2" s="9">
        <v>10.0</v>
      </c>
      <c r="C2" s="9">
        <v>7.0</v>
      </c>
      <c r="D2" s="9">
        <v>8.0</v>
      </c>
      <c r="E2" s="9">
        <v>6.0</v>
      </c>
      <c r="F2" s="9">
        <v>15.0</v>
      </c>
      <c r="G2" s="9">
        <v>5.0</v>
      </c>
      <c r="H2" s="9">
        <v>16.0</v>
      </c>
      <c r="I2" s="9">
        <v>4.0</v>
      </c>
      <c r="J2" s="5">
        <f t="shared" ref="J2:K2" si="1">B2+D2+F2+H2</f>
        <v>49</v>
      </c>
      <c r="K2" s="4">
        <f t="shared" si="1"/>
        <v>22</v>
      </c>
      <c r="L2" s="10">
        <f t="shared" ref="L2:L29" si="3">ROUND(IFERROR(J2/(J2+K2),0)*100,1)</f>
        <v>69</v>
      </c>
      <c r="M2" s="10">
        <f t="shared" ref="M2:M29" si="4">ROUND(IFERROR(B2/(B2+C2),0)*100,1)</f>
        <v>58.8</v>
      </c>
      <c r="N2" s="10">
        <f t="shared" ref="N2:N29" si="5">ROUND(IFERROR(D2/(D2+E2),0)*100,1)</f>
        <v>57.1</v>
      </c>
      <c r="O2" s="10">
        <f t="shared" ref="O2:O29" si="6">ROUND(IFERROR(F2/(F2+G2),0)*100,1)</f>
        <v>75</v>
      </c>
      <c r="P2" s="10">
        <f t="shared" ref="P2:P29" si="7">ROUND(IFERROR(H2/(I2+H2),0)*100,1)</f>
        <v>80</v>
      </c>
      <c r="Q2" s="11">
        <f t="shared" ref="Q2:Q29" si="8">ROW()-1</f>
        <v>1</v>
      </c>
      <c r="R2" s="9">
        <v>1694.0</v>
      </c>
      <c r="S2" s="12">
        <v>45720.94583333333</v>
      </c>
      <c r="T2" s="5" t="s">
        <v>25</v>
      </c>
      <c r="U2" s="9">
        <v>11.0</v>
      </c>
      <c r="V2" s="4"/>
      <c r="W2" s="4"/>
      <c r="X2" s="4"/>
      <c r="Y2" s="4"/>
    </row>
    <row r="3">
      <c r="A3" s="5" t="s">
        <v>27</v>
      </c>
      <c r="B3" s="9">
        <v>31.0</v>
      </c>
      <c r="C3" s="9">
        <v>20.0</v>
      </c>
      <c r="D3" s="9">
        <v>38.0</v>
      </c>
      <c r="E3" s="9">
        <v>16.0</v>
      </c>
      <c r="F3" s="9">
        <v>24.0</v>
      </c>
      <c r="G3" s="9">
        <v>13.0</v>
      </c>
      <c r="H3" s="9">
        <v>0.0</v>
      </c>
      <c r="I3" s="9">
        <v>0.0</v>
      </c>
      <c r="J3" s="5">
        <f t="shared" ref="J3:K3" si="2">B3+D3+F3+H3</f>
        <v>93</v>
      </c>
      <c r="K3" s="4">
        <f t="shared" si="2"/>
        <v>49</v>
      </c>
      <c r="L3" s="10">
        <f t="shared" si="3"/>
        <v>65.5</v>
      </c>
      <c r="M3" s="10">
        <f t="shared" si="4"/>
        <v>60.8</v>
      </c>
      <c r="N3" s="10">
        <f t="shared" si="5"/>
        <v>70.4</v>
      </c>
      <c r="O3" s="10">
        <f t="shared" si="6"/>
        <v>64.9</v>
      </c>
      <c r="P3" s="10">
        <f t="shared" si="7"/>
        <v>0</v>
      </c>
      <c r="Q3" s="11">
        <f t="shared" si="8"/>
        <v>2</v>
      </c>
      <c r="R3" s="9">
        <v>1660.0</v>
      </c>
      <c r="S3" s="12">
        <v>45721.00555555556</v>
      </c>
      <c r="T3" s="5" t="s">
        <v>25</v>
      </c>
      <c r="U3" s="9">
        <v>0.0</v>
      </c>
      <c r="V3" s="4"/>
      <c r="W3" s="4"/>
      <c r="X3" s="4"/>
      <c r="Y3" s="4"/>
    </row>
    <row r="4">
      <c r="A4" s="5" t="s">
        <v>53</v>
      </c>
      <c r="B4" s="9">
        <v>8.0</v>
      </c>
      <c r="C4" s="9">
        <v>9.0</v>
      </c>
      <c r="D4" s="9">
        <v>9.0</v>
      </c>
      <c r="E4" s="9">
        <v>7.0</v>
      </c>
      <c r="F4" s="9">
        <v>9.0</v>
      </c>
      <c r="G4" s="9">
        <v>8.0</v>
      </c>
      <c r="H4" s="9">
        <v>12.0</v>
      </c>
      <c r="I4" s="9">
        <v>4.0</v>
      </c>
      <c r="J4" s="5">
        <f t="shared" ref="J4:K4" si="9">B4+D4+F4+H4</f>
        <v>38</v>
      </c>
      <c r="K4" s="4">
        <f t="shared" si="9"/>
        <v>28</v>
      </c>
      <c r="L4" s="10">
        <f t="shared" si="3"/>
        <v>57.6</v>
      </c>
      <c r="M4" s="10">
        <f t="shared" si="4"/>
        <v>47.1</v>
      </c>
      <c r="N4" s="10">
        <f t="shared" si="5"/>
        <v>56.3</v>
      </c>
      <c r="O4" s="10">
        <f t="shared" si="6"/>
        <v>52.9</v>
      </c>
      <c r="P4" s="10">
        <f t="shared" si="7"/>
        <v>75</v>
      </c>
      <c r="Q4" s="11">
        <f t="shared" si="8"/>
        <v>3</v>
      </c>
      <c r="R4" s="9">
        <v>1655.0</v>
      </c>
      <c r="S4" s="12">
        <v>45720.98055555556</v>
      </c>
      <c r="T4" s="5" t="s">
        <v>25</v>
      </c>
      <c r="U4" s="9">
        <v>10.0</v>
      </c>
      <c r="V4" s="4"/>
      <c r="W4" s="4"/>
      <c r="X4" s="4"/>
      <c r="Y4" s="4"/>
    </row>
    <row r="5">
      <c r="A5" s="5" t="s">
        <v>42</v>
      </c>
      <c r="B5" s="9">
        <v>23.0</v>
      </c>
      <c r="C5" s="9">
        <v>8.0</v>
      </c>
      <c r="D5" s="9">
        <v>22.0</v>
      </c>
      <c r="E5" s="9">
        <v>32.0</v>
      </c>
      <c r="F5" s="9">
        <v>20.0</v>
      </c>
      <c r="G5" s="9">
        <v>8.0</v>
      </c>
      <c r="H5" s="9">
        <v>17.0</v>
      </c>
      <c r="I5" s="9">
        <v>14.0</v>
      </c>
      <c r="J5" s="5">
        <f t="shared" ref="J5:K5" si="10">B5+D5+F5+H5</f>
        <v>82</v>
      </c>
      <c r="K5" s="4">
        <f t="shared" si="10"/>
        <v>62</v>
      </c>
      <c r="L5" s="10">
        <f t="shared" si="3"/>
        <v>56.9</v>
      </c>
      <c r="M5" s="10">
        <f t="shared" si="4"/>
        <v>74.2</v>
      </c>
      <c r="N5" s="10">
        <f t="shared" si="5"/>
        <v>40.7</v>
      </c>
      <c r="O5" s="10">
        <f t="shared" si="6"/>
        <v>71.4</v>
      </c>
      <c r="P5" s="10">
        <f t="shared" si="7"/>
        <v>54.8</v>
      </c>
      <c r="Q5" s="11">
        <f t="shared" si="8"/>
        <v>4</v>
      </c>
      <c r="R5" s="9">
        <v>1653.0</v>
      </c>
      <c r="S5" s="12">
        <v>45721.00555555556</v>
      </c>
      <c r="T5" s="5" t="s">
        <v>25</v>
      </c>
      <c r="U5" s="9">
        <v>14.0</v>
      </c>
      <c r="V5" s="4"/>
      <c r="W5" s="4"/>
      <c r="X5" s="4"/>
      <c r="Y5" s="4"/>
    </row>
    <row r="6">
      <c r="A6" s="5" t="s">
        <v>30</v>
      </c>
      <c r="B6" s="9">
        <v>24.0</v>
      </c>
      <c r="C6" s="9">
        <v>20.0</v>
      </c>
      <c r="D6" s="9">
        <v>27.0</v>
      </c>
      <c r="E6" s="9">
        <v>22.0</v>
      </c>
      <c r="F6" s="9">
        <v>29.0</v>
      </c>
      <c r="G6" s="9">
        <v>26.0</v>
      </c>
      <c r="H6" s="9">
        <v>23.0</v>
      </c>
      <c r="I6" s="9">
        <v>19.0</v>
      </c>
      <c r="J6" s="5">
        <f t="shared" ref="J6:K6" si="11">B6+D6+F6+H6</f>
        <v>103</v>
      </c>
      <c r="K6" s="4">
        <f t="shared" si="11"/>
        <v>87</v>
      </c>
      <c r="L6" s="10">
        <f t="shared" si="3"/>
        <v>54.2</v>
      </c>
      <c r="M6" s="10">
        <f t="shared" si="4"/>
        <v>54.5</v>
      </c>
      <c r="N6" s="10">
        <f t="shared" si="5"/>
        <v>55.1</v>
      </c>
      <c r="O6" s="10">
        <f t="shared" si="6"/>
        <v>52.7</v>
      </c>
      <c r="P6" s="10">
        <f t="shared" si="7"/>
        <v>54.8</v>
      </c>
      <c r="Q6" s="11">
        <f t="shared" si="8"/>
        <v>5</v>
      </c>
      <c r="R6" s="9">
        <v>1652.0</v>
      </c>
      <c r="S6" s="12">
        <v>45721.00555555556</v>
      </c>
      <c r="T6" s="5" t="s">
        <v>25</v>
      </c>
      <c r="U6" s="9">
        <v>11.0</v>
      </c>
      <c r="V6" s="4"/>
      <c r="W6" s="4"/>
      <c r="X6" s="4"/>
      <c r="Y6" s="4"/>
    </row>
    <row r="7">
      <c r="A7" s="5" t="s">
        <v>31</v>
      </c>
      <c r="B7" s="9">
        <v>7.0</v>
      </c>
      <c r="C7" s="9">
        <v>3.0</v>
      </c>
      <c r="D7" s="9">
        <v>9.0</v>
      </c>
      <c r="E7" s="9">
        <v>8.0</v>
      </c>
      <c r="F7" s="9">
        <v>6.0</v>
      </c>
      <c r="G7" s="9">
        <v>4.0</v>
      </c>
      <c r="H7" s="9">
        <v>13.0</v>
      </c>
      <c r="I7" s="9">
        <v>10.0</v>
      </c>
      <c r="J7" s="5">
        <f t="shared" ref="J7:K7" si="12">B7+D7+F7+H7</f>
        <v>35</v>
      </c>
      <c r="K7" s="4">
        <f t="shared" si="12"/>
        <v>25</v>
      </c>
      <c r="L7" s="10">
        <f t="shared" si="3"/>
        <v>58.3</v>
      </c>
      <c r="M7" s="10">
        <f t="shared" si="4"/>
        <v>70</v>
      </c>
      <c r="N7" s="10">
        <f t="shared" si="5"/>
        <v>52.9</v>
      </c>
      <c r="O7" s="10">
        <f t="shared" si="6"/>
        <v>60</v>
      </c>
      <c r="P7" s="10">
        <f t="shared" si="7"/>
        <v>56.5</v>
      </c>
      <c r="Q7" s="11">
        <f t="shared" si="8"/>
        <v>6</v>
      </c>
      <c r="R7" s="9">
        <v>1613.0</v>
      </c>
      <c r="S7" s="12">
        <v>45721.00555555556</v>
      </c>
      <c r="T7" s="5" t="s">
        <v>25</v>
      </c>
      <c r="U7" s="9">
        <v>13.0</v>
      </c>
      <c r="V7" s="4"/>
      <c r="W7" s="4"/>
      <c r="X7" s="4"/>
      <c r="Y7" s="4"/>
    </row>
    <row r="8">
      <c r="A8" s="5" t="s">
        <v>9678</v>
      </c>
      <c r="B8" s="9">
        <v>8.0</v>
      </c>
      <c r="C8" s="9">
        <v>10.0</v>
      </c>
      <c r="D8" s="9">
        <v>0.0</v>
      </c>
      <c r="E8" s="9">
        <v>0.0</v>
      </c>
      <c r="F8" s="9">
        <v>5.0</v>
      </c>
      <c r="G8" s="9">
        <v>3.0</v>
      </c>
      <c r="H8" s="9">
        <v>24.0</v>
      </c>
      <c r="I8" s="9">
        <v>12.0</v>
      </c>
      <c r="J8" s="5">
        <f t="shared" ref="J8:K8" si="13">B8+D8+F8+H8</f>
        <v>37</v>
      </c>
      <c r="K8" s="4">
        <f t="shared" si="13"/>
        <v>25</v>
      </c>
      <c r="L8" s="10">
        <f t="shared" si="3"/>
        <v>59.7</v>
      </c>
      <c r="M8" s="10">
        <f t="shared" si="4"/>
        <v>44.4</v>
      </c>
      <c r="N8" s="10">
        <f t="shared" si="5"/>
        <v>0</v>
      </c>
      <c r="O8" s="10">
        <f t="shared" si="6"/>
        <v>62.5</v>
      </c>
      <c r="P8" s="10">
        <f t="shared" si="7"/>
        <v>66.7</v>
      </c>
      <c r="Q8" s="11">
        <f t="shared" si="8"/>
        <v>7</v>
      </c>
      <c r="R8" s="9">
        <v>1574.0</v>
      </c>
      <c r="S8" s="12">
        <v>45721.00555555556</v>
      </c>
      <c r="T8" s="5" t="s">
        <v>25</v>
      </c>
      <c r="U8" s="9">
        <v>0.0</v>
      </c>
      <c r="V8" s="4"/>
      <c r="W8" s="4"/>
      <c r="X8" s="4"/>
      <c r="Y8" s="4"/>
    </row>
    <row r="9">
      <c r="A9" s="5" t="s">
        <v>36</v>
      </c>
      <c r="B9" s="9">
        <v>15.0</v>
      </c>
      <c r="C9" s="9">
        <v>13.0</v>
      </c>
      <c r="D9" s="9">
        <v>1.0</v>
      </c>
      <c r="E9" s="9">
        <v>2.0</v>
      </c>
      <c r="F9" s="9">
        <v>11.0</v>
      </c>
      <c r="G9" s="9">
        <v>17.0</v>
      </c>
      <c r="H9" s="9">
        <v>20.0</v>
      </c>
      <c r="I9" s="9">
        <v>17.0</v>
      </c>
      <c r="J9" s="5">
        <f t="shared" ref="J9:K9" si="14">B9+D9+F9+H9</f>
        <v>47</v>
      </c>
      <c r="K9" s="4">
        <f t="shared" si="14"/>
        <v>49</v>
      </c>
      <c r="L9" s="10">
        <f t="shared" si="3"/>
        <v>49</v>
      </c>
      <c r="M9" s="10">
        <f t="shared" si="4"/>
        <v>53.6</v>
      </c>
      <c r="N9" s="10">
        <f t="shared" si="5"/>
        <v>33.3</v>
      </c>
      <c r="O9" s="10">
        <f t="shared" si="6"/>
        <v>39.3</v>
      </c>
      <c r="P9" s="10">
        <f t="shared" si="7"/>
        <v>54.1</v>
      </c>
      <c r="Q9" s="11">
        <f t="shared" si="8"/>
        <v>8</v>
      </c>
      <c r="R9" s="9">
        <v>1571.0</v>
      </c>
      <c r="S9" s="12">
        <v>45720.98055555556</v>
      </c>
      <c r="T9" s="5" t="s">
        <v>25</v>
      </c>
      <c r="U9" s="9">
        <v>6.0</v>
      </c>
      <c r="V9" s="4"/>
      <c r="W9" s="4"/>
      <c r="X9" s="4"/>
      <c r="Y9" s="4"/>
    </row>
    <row r="10">
      <c r="A10" s="5" t="s">
        <v>26</v>
      </c>
      <c r="B10" s="9">
        <v>14.0</v>
      </c>
      <c r="C10" s="9">
        <v>12.0</v>
      </c>
      <c r="D10" s="9">
        <v>22.0</v>
      </c>
      <c r="E10" s="9">
        <v>20.0</v>
      </c>
      <c r="F10" s="9">
        <v>13.0</v>
      </c>
      <c r="G10" s="9">
        <v>16.0</v>
      </c>
      <c r="H10" s="9">
        <v>14.0</v>
      </c>
      <c r="I10" s="9">
        <v>20.0</v>
      </c>
      <c r="J10" s="5">
        <f t="shared" ref="J10:K10" si="15">B10+D10+F10+H10</f>
        <v>63</v>
      </c>
      <c r="K10" s="4">
        <f t="shared" si="15"/>
        <v>68</v>
      </c>
      <c r="L10" s="10">
        <f t="shared" si="3"/>
        <v>48.1</v>
      </c>
      <c r="M10" s="10">
        <f t="shared" si="4"/>
        <v>53.8</v>
      </c>
      <c r="N10" s="10">
        <f t="shared" si="5"/>
        <v>52.4</v>
      </c>
      <c r="O10" s="10">
        <f t="shared" si="6"/>
        <v>44.8</v>
      </c>
      <c r="P10" s="10">
        <f t="shared" si="7"/>
        <v>41.2</v>
      </c>
      <c r="Q10" s="11">
        <f t="shared" si="8"/>
        <v>9</v>
      </c>
      <c r="R10" s="9">
        <v>1513.0</v>
      </c>
      <c r="S10" s="12">
        <v>45721.00555555556</v>
      </c>
      <c r="T10" s="5" t="s">
        <v>25</v>
      </c>
      <c r="U10" s="9">
        <v>9.0</v>
      </c>
      <c r="V10" s="4"/>
      <c r="W10" s="4"/>
      <c r="X10" s="4"/>
      <c r="Y10" s="4"/>
    </row>
    <row r="11">
      <c r="A11" s="5" t="s">
        <v>29</v>
      </c>
      <c r="B11" s="9">
        <v>8.0</v>
      </c>
      <c r="C11" s="9">
        <v>12.0</v>
      </c>
      <c r="D11" s="9">
        <v>8.0</v>
      </c>
      <c r="E11" s="9">
        <v>9.0</v>
      </c>
      <c r="F11" s="9">
        <v>6.0</v>
      </c>
      <c r="G11" s="9">
        <v>2.0</v>
      </c>
      <c r="H11" s="9">
        <v>5.0</v>
      </c>
      <c r="I11" s="9">
        <v>11.0</v>
      </c>
      <c r="J11" s="5">
        <f t="shared" ref="J11:K11" si="16">B11+D11+F11+H11</f>
        <v>27</v>
      </c>
      <c r="K11" s="4">
        <f t="shared" si="16"/>
        <v>34</v>
      </c>
      <c r="L11" s="10">
        <f t="shared" si="3"/>
        <v>44.3</v>
      </c>
      <c r="M11" s="10">
        <f t="shared" si="4"/>
        <v>40</v>
      </c>
      <c r="N11" s="10">
        <f t="shared" si="5"/>
        <v>47.1</v>
      </c>
      <c r="O11" s="10">
        <f t="shared" si="6"/>
        <v>75</v>
      </c>
      <c r="P11" s="10">
        <f t="shared" si="7"/>
        <v>31.3</v>
      </c>
      <c r="Q11" s="11">
        <f t="shared" si="8"/>
        <v>10</v>
      </c>
      <c r="R11" s="9">
        <v>1502.0</v>
      </c>
      <c r="S11" s="12">
        <v>45719.10972222222</v>
      </c>
      <c r="T11" s="5" t="s">
        <v>25</v>
      </c>
      <c r="U11" s="9">
        <v>10.0</v>
      </c>
      <c r="V11" s="4"/>
      <c r="W11" s="4"/>
      <c r="X11" s="4"/>
      <c r="Y11" s="4"/>
    </row>
    <row r="12">
      <c r="A12" s="5" t="s">
        <v>28</v>
      </c>
      <c r="B12" s="9">
        <v>2.0</v>
      </c>
      <c r="C12" s="9">
        <v>3.0</v>
      </c>
      <c r="D12" s="9">
        <v>6.0</v>
      </c>
      <c r="E12" s="9">
        <v>6.0</v>
      </c>
      <c r="F12" s="9">
        <v>6.0</v>
      </c>
      <c r="G12" s="9">
        <v>5.0</v>
      </c>
      <c r="H12" s="9">
        <v>7.0</v>
      </c>
      <c r="I12" s="9">
        <v>4.0</v>
      </c>
      <c r="J12" s="5">
        <f t="shared" ref="J12:K12" si="17">B12+D12+F12+H12</f>
        <v>21</v>
      </c>
      <c r="K12" s="4">
        <f t="shared" si="17"/>
        <v>18</v>
      </c>
      <c r="L12" s="10">
        <f t="shared" si="3"/>
        <v>53.8</v>
      </c>
      <c r="M12" s="10">
        <f t="shared" si="4"/>
        <v>40</v>
      </c>
      <c r="N12" s="10">
        <f t="shared" si="5"/>
        <v>50</v>
      </c>
      <c r="O12" s="10">
        <f t="shared" si="6"/>
        <v>54.5</v>
      </c>
      <c r="P12" s="10">
        <f t="shared" si="7"/>
        <v>63.6</v>
      </c>
      <c r="Q12" s="11">
        <f t="shared" si="8"/>
        <v>11</v>
      </c>
      <c r="R12" s="9">
        <v>1455.0</v>
      </c>
      <c r="S12" s="12">
        <v>45720.884722222225</v>
      </c>
      <c r="T12" s="5" t="s">
        <v>25</v>
      </c>
      <c r="U12" s="9">
        <v>10.0</v>
      </c>
      <c r="V12" s="4"/>
      <c r="W12" s="4"/>
      <c r="X12" s="4"/>
      <c r="Y12" s="4"/>
    </row>
    <row r="13">
      <c r="A13" s="5" t="s">
        <v>56</v>
      </c>
      <c r="B13" s="9">
        <v>8.0</v>
      </c>
      <c r="C13" s="9">
        <v>10.0</v>
      </c>
      <c r="D13" s="9">
        <v>18.0</v>
      </c>
      <c r="E13" s="9">
        <v>28.0</v>
      </c>
      <c r="F13" s="9">
        <v>18.0</v>
      </c>
      <c r="G13" s="9">
        <v>23.0</v>
      </c>
      <c r="H13" s="9">
        <v>8.0</v>
      </c>
      <c r="I13" s="9">
        <v>20.0</v>
      </c>
      <c r="J13" s="5">
        <f t="shared" ref="J13:K13" si="18">B13+D13+F13+H13</f>
        <v>52</v>
      </c>
      <c r="K13" s="4">
        <f t="shared" si="18"/>
        <v>81</v>
      </c>
      <c r="L13" s="10">
        <f t="shared" si="3"/>
        <v>39.1</v>
      </c>
      <c r="M13" s="10">
        <f t="shared" si="4"/>
        <v>44.4</v>
      </c>
      <c r="N13" s="10">
        <f t="shared" si="5"/>
        <v>39.1</v>
      </c>
      <c r="O13" s="10">
        <f t="shared" si="6"/>
        <v>43.9</v>
      </c>
      <c r="P13" s="10">
        <f t="shared" si="7"/>
        <v>28.6</v>
      </c>
      <c r="Q13" s="11">
        <f t="shared" si="8"/>
        <v>12</v>
      </c>
      <c r="R13" s="9">
        <v>1409.0</v>
      </c>
      <c r="S13" s="12">
        <v>45721.00555555556</v>
      </c>
      <c r="T13" s="5" t="s">
        <v>25</v>
      </c>
      <c r="U13" s="9">
        <v>11.0</v>
      </c>
      <c r="V13" s="4"/>
      <c r="W13" s="4"/>
      <c r="X13" s="4"/>
      <c r="Y13" s="4"/>
    </row>
    <row r="14">
      <c r="A14" s="5" t="s">
        <v>34</v>
      </c>
      <c r="B14" s="9">
        <v>17.0</v>
      </c>
      <c r="C14" s="9">
        <v>25.0</v>
      </c>
      <c r="D14" s="9">
        <v>14.0</v>
      </c>
      <c r="E14" s="9">
        <v>33.0</v>
      </c>
      <c r="F14" s="9">
        <v>13.0</v>
      </c>
      <c r="G14" s="9">
        <v>23.0</v>
      </c>
      <c r="H14" s="9">
        <v>4.0</v>
      </c>
      <c r="I14" s="9">
        <v>7.0</v>
      </c>
      <c r="J14" s="5">
        <f t="shared" ref="J14:K14" si="19">B14+D14+F14+H14</f>
        <v>48</v>
      </c>
      <c r="K14" s="4">
        <f t="shared" si="19"/>
        <v>88</v>
      </c>
      <c r="L14" s="10">
        <f t="shared" si="3"/>
        <v>35.3</v>
      </c>
      <c r="M14" s="10">
        <f t="shared" si="4"/>
        <v>40.5</v>
      </c>
      <c r="N14" s="10">
        <f t="shared" si="5"/>
        <v>29.8</v>
      </c>
      <c r="O14" s="10">
        <f t="shared" si="6"/>
        <v>36.1</v>
      </c>
      <c r="P14" s="10">
        <f t="shared" si="7"/>
        <v>36.4</v>
      </c>
      <c r="Q14" s="11">
        <f t="shared" si="8"/>
        <v>13</v>
      </c>
      <c r="R14" s="9">
        <v>1386.0</v>
      </c>
      <c r="S14" s="12">
        <v>45718.64513888889</v>
      </c>
      <c r="T14" s="5" t="s">
        <v>25</v>
      </c>
      <c r="U14" s="9">
        <v>8.0</v>
      </c>
      <c r="V14" s="4"/>
      <c r="W14" s="4"/>
      <c r="X14" s="4"/>
      <c r="Y14" s="4"/>
    </row>
    <row r="15">
      <c r="A15" s="5" t="s">
        <v>43</v>
      </c>
      <c r="B15" s="9">
        <v>4.0</v>
      </c>
      <c r="C15" s="9">
        <v>6.0</v>
      </c>
      <c r="D15" s="9">
        <v>1.0</v>
      </c>
      <c r="E15" s="9">
        <v>1.0</v>
      </c>
      <c r="F15" s="9">
        <v>6.0</v>
      </c>
      <c r="G15" s="9">
        <v>7.0</v>
      </c>
      <c r="H15" s="9">
        <v>7.0</v>
      </c>
      <c r="I15" s="9">
        <v>5.0</v>
      </c>
      <c r="J15" s="5">
        <f t="shared" ref="J15:K15" si="20">B15+D15+F15+H15</f>
        <v>18</v>
      </c>
      <c r="K15" s="4">
        <f t="shared" si="20"/>
        <v>19</v>
      </c>
      <c r="L15" s="10">
        <f t="shared" si="3"/>
        <v>48.6</v>
      </c>
      <c r="M15" s="10">
        <f t="shared" si="4"/>
        <v>40</v>
      </c>
      <c r="N15" s="10">
        <f t="shared" si="5"/>
        <v>50</v>
      </c>
      <c r="O15" s="10">
        <f t="shared" si="6"/>
        <v>46.2</v>
      </c>
      <c r="P15" s="10">
        <f t="shared" si="7"/>
        <v>58.3</v>
      </c>
      <c r="Q15" s="11">
        <f t="shared" si="8"/>
        <v>14</v>
      </c>
      <c r="R15" s="9">
        <v>1379.0</v>
      </c>
      <c r="S15" s="12">
        <v>45721.00555555556</v>
      </c>
      <c r="T15" s="5" t="s">
        <v>25</v>
      </c>
      <c r="U15" s="9">
        <v>3.0</v>
      </c>
      <c r="V15" s="4"/>
      <c r="W15" s="4"/>
      <c r="X15" s="4"/>
      <c r="Y15" s="4"/>
    </row>
    <row r="16">
      <c r="A16" s="5" t="s">
        <v>35</v>
      </c>
      <c r="B16" s="9">
        <v>2.0</v>
      </c>
      <c r="C16" s="9">
        <v>7.0</v>
      </c>
      <c r="D16" s="9">
        <v>11.0</v>
      </c>
      <c r="E16" s="9">
        <v>4.0</v>
      </c>
      <c r="F16" s="9">
        <v>7.0</v>
      </c>
      <c r="G16" s="9">
        <v>6.0</v>
      </c>
      <c r="H16" s="9">
        <v>0.0</v>
      </c>
      <c r="I16" s="9">
        <v>0.0</v>
      </c>
      <c r="J16" s="5">
        <f t="shared" ref="J16:K16" si="21">B16+D16+F16+H16</f>
        <v>20</v>
      </c>
      <c r="K16" s="4">
        <f t="shared" si="21"/>
        <v>17</v>
      </c>
      <c r="L16" s="10">
        <f t="shared" si="3"/>
        <v>54.1</v>
      </c>
      <c r="M16" s="10">
        <f t="shared" si="4"/>
        <v>22.2</v>
      </c>
      <c r="N16" s="10">
        <f t="shared" si="5"/>
        <v>73.3</v>
      </c>
      <c r="O16" s="10">
        <f t="shared" si="6"/>
        <v>53.8</v>
      </c>
      <c r="P16" s="10">
        <f t="shared" si="7"/>
        <v>0</v>
      </c>
      <c r="Q16" s="11">
        <f t="shared" si="8"/>
        <v>15</v>
      </c>
      <c r="R16" s="9">
        <v>1361.0</v>
      </c>
      <c r="S16" s="12">
        <v>45703.76666666667</v>
      </c>
      <c r="T16" s="5" t="s">
        <v>25</v>
      </c>
      <c r="U16" s="9">
        <v>0.0</v>
      </c>
      <c r="V16" s="4"/>
      <c r="W16" s="4"/>
      <c r="X16" s="4"/>
      <c r="Y16" s="4"/>
    </row>
    <row r="17">
      <c r="A17" s="5" t="s">
        <v>9736</v>
      </c>
      <c r="B17" s="9">
        <v>9.0</v>
      </c>
      <c r="C17" s="9">
        <v>18.0</v>
      </c>
      <c r="D17" s="9">
        <v>0.0</v>
      </c>
      <c r="E17" s="9">
        <v>0.0</v>
      </c>
      <c r="F17" s="9">
        <v>8.0</v>
      </c>
      <c r="G17" s="9">
        <v>13.0</v>
      </c>
      <c r="H17" s="9">
        <v>12.0</v>
      </c>
      <c r="I17" s="9">
        <v>27.0</v>
      </c>
      <c r="J17" s="5">
        <f t="shared" ref="J17:K17" si="22">B17+D17+F17+H17</f>
        <v>29</v>
      </c>
      <c r="K17" s="4">
        <f t="shared" si="22"/>
        <v>58</v>
      </c>
      <c r="L17" s="10">
        <f t="shared" si="3"/>
        <v>33.3</v>
      </c>
      <c r="M17" s="10">
        <f t="shared" si="4"/>
        <v>33.3</v>
      </c>
      <c r="N17" s="10">
        <f t="shared" si="5"/>
        <v>0</v>
      </c>
      <c r="O17" s="10">
        <f t="shared" si="6"/>
        <v>38.1</v>
      </c>
      <c r="P17" s="10">
        <f t="shared" si="7"/>
        <v>30.8</v>
      </c>
      <c r="Q17" s="11">
        <f t="shared" si="8"/>
        <v>16</v>
      </c>
      <c r="R17" s="9">
        <v>1343.0</v>
      </c>
      <c r="S17" s="12">
        <v>45718.975</v>
      </c>
      <c r="T17" s="5" t="s">
        <v>25</v>
      </c>
      <c r="U17" s="9">
        <v>0.0</v>
      </c>
      <c r="V17" s="4"/>
      <c r="W17" s="4"/>
      <c r="X17" s="4"/>
      <c r="Y17" s="4"/>
    </row>
    <row r="18">
      <c r="A18" s="5" t="s">
        <v>60</v>
      </c>
      <c r="B18" s="9">
        <v>11.0</v>
      </c>
      <c r="C18" s="9">
        <v>13.0</v>
      </c>
      <c r="D18" s="9">
        <v>0.0</v>
      </c>
      <c r="E18" s="9">
        <v>0.0</v>
      </c>
      <c r="F18" s="9">
        <v>5.0</v>
      </c>
      <c r="G18" s="9">
        <v>13.0</v>
      </c>
      <c r="H18" s="9">
        <v>6.0</v>
      </c>
      <c r="I18" s="9">
        <v>19.0</v>
      </c>
      <c r="J18" s="5">
        <f t="shared" ref="J18:K18" si="23">B18+D18+F18+H18</f>
        <v>22</v>
      </c>
      <c r="K18" s="4">
        <f t="shared" si="23"/>
        <v>45</v>
      </c>
      <c r="L18" s="10">
        <f t="shared" si="3"/>
        <v>32.8</v>
      </c>
      <c r="M18" s="10">
        <f t="shared" si="4"/>
        <v>45.8</v>
      </c>
      <c r="N18" s="10">
        <f t="shared" si="5"/>
        <v>0</v>
      </c>
      <c r="O18" s="10">
        <f t="shared" si="6"/>
        <v>27.8</v>
      </c>
      <c r="P18" s="10">
        <f t="shared" si="7"/>
        <v>24</v>
      </c>
      <c r="Q18" s="11">
        <f t="shared" si="8"/>
        <v>17</v>
      </c>
      <c r="R18" s="9">
        <v>1323.0</v>
      </c>
      <c r="S18" s="12">
        <v>45708.06875</v>
      </c>
      <c r="T18" s="5" t="s">
        <v>25</v>
      </c>
      <c r="U18" s="9">
        <v>0.0</v>
      </c>
      <c r="V18" s="4"/>
      <c r="W18" s="4"/>
      <c r="X18" s="4"/>
      <c r="Y18" s="4"/>
    </row>
    <row r="19">
      <c r="A19" s="5" t="s">
        <v>9679</v>
      </c>
      <c r="B19" s="9">
        <v>0.0</v>
      </c>
      <c r="C19" s="9">
        <v>0.0</v>
      </c>
      <c r="D19" s="9">
        <v>10.0</v>
      </c>
      <c r="E19" s="9">
        <v>9.0</v>
      </c>
      <c r="F19" s="9">
        <v>5.0</v>
      </c>
      <c r="G19" s="9">
        <v>7.0</v>
      </c>
      <c r="H19" s="9">
        <v>18.0</v>
      </c>
      <c r="I19" s="9">
        <v>9.0</v>
      </c>
      <c r="J19" s="5">
        <f t="shared" ref="J19:K19" si="24">B19+D19+F19+H19</f>
        <v>33</v>
      </c>
      <c r="K19" s="4">
        <f t="shared" si="24"/>
        <v>25</v>
      </c>
      <c r="L19" s="10">
        <f t="shared" si="3"/>
        <v>56.9</v>
      </c>
      <c r="M19" s="10">
        <f t="shared" si="4"/>
        <v>0</v>
      </c>
      <c r="N19" s="10">
        <f t="shared" si="5"/>
        <v>52.6</v>
      </c>
      <c r="O19" s="10">
        <f t="shared" si="6"/>
        <v>41.7</v>
      </c>
      <c r="P19" s="10">
        <f t="shared" si="7"/>
        <v>66.7</v>
      </c>
      <c r="Q19" s="11">
        <f t="shared" si="8"/>
        <v>18</v>
      </c>
      <c r="R19" s="9">
        <v>1295.0</v>
      </c>
      <c r="S19" s="12">
        <v>45704.736805555556</v>
      </c>
      <c r="T19" s="5" t="s">
        <v>25</v>
      </c>
      <c r="U19" s="9">
        <v>0.0</v>
      </c>
      <c r="V19" s="4"/>
      <c r="W19" s="4"/>
      <c r="X19" s="4"/>
      <c r="Y19" s="4"/>
    </row>
    <row r="20">
      <c r="A20" s="5" t="s">
        <v>39</v>
      </c>
      <c r="B20" s="9">
        <v>5.0</v>
      </c>
      <c r="C20" s="9">
        <v>3.0</v>
      </c>
      <c r="D20" s="9">
        <v>4.0</v>
      </c>
      <c r="E20" s="9">
        <v>3.0</v>
      </c>
      <c r="F20" s="9">
        <v>1.0</v>
      </c>
      <c r="G20" s="9">
        <v>1.0</v>
      </c>
      <c r="H20" s="9">
        <v>2.0</v>
      </c>
      <c r="I20" s="9">
        <v>3.0</v>
      </c>
      <c r="J20" s="5">
        <f t="shared" ref="J20:K20" si="25">B20+D20+F20+H20</f>
        <v>12</v>
      </c>
      <c r="K20" s="4">
        <f t="shared" si="25"/>
        <v>10</v>
      </c>
      <c r="L20" s="10">
        <f t="shared" si="3"/>
        <v>54.5</v>
      </c>
      <c r="M20" s="10">
        <f t="shared" si="4"/>
        <v>62.5</v>
      </c>
      <c r="N20" s="10">
        <f t="shared" si="5"/>
        <v>57.1</v>
      </c>
      <c r="O20" s="10">
        <f t="shared" si="6"/>
        <v>50</v>
      </c>
      <c r="P20" s="10">
        <f t="shared" si="7"/>
        <v>40</v>
      </c>
      <c r="Q20" s="11">
        <f t="shared" si="8"/>
        <v>19</v>
      </c>
      <c r="R20" s="9">
        <v>1275.0</v>
      </c>
      <c r="S20" s="12">
        <v>45719.10972222222</v>
      </c>
      <c r="T20" s="5" t="s">
        <v>25</v>
      </c>
      <c r="U20" s="9">
        <v>12.0</v>
      </c>
      <c r="V20" s="4"/>
      <c r="W20" s="4"/>
      <c r="X20" s="4"/>
      <c r="Y20" s="4"/>
    </row>
    <row r="21">
      <c r="A21" s="5" t="s">
        <v>9711</v>
      </c>
      <c r="B21" s="9">
        <v>3.0</v>
      </c>
      <c r="C21" s="9">
        <v>4.0</v>
      </c>
      <c r="D21" s="9">
        <v>1.0</v>
      </c>
      <c r="E21" s="9">
        <v>4.0</v>
      </c>
      <c r="F21" s="9">
        <v>3.0</v>
      </c>
      <c r="G21" s="9">
        <v>5.0</v>
      </c>
      <c r="H21" s="9">
        <v>5.0</v>
      </c>
      <c r="I21" s="9">
        <v>5.0</v>
      </c>
      <c r="J21" s="5">
        <f t="shared" ref="J21:K21" si="26">B21+D21+F21+H21</f>
        <v>12</v>
      </c>
      <c r="K21" s="4">
        <f t="shared" si="26"/>
        <v>18</v>
      </c>
      <c r="L21" s="10">
        <f t="shared" si="3"/>
        <v>40</v>
      </c>
      <c r="M21" s="10">
        <f t="shared" si="4"/>
        <v>42.9</v>
      </c>
      <c r="N21" s="10">
        <f t="shared" si="5"/>
        <v>20</v>
      </c>
      <c r="O21" s="10">
        <f t="shared" si="6"/>
        <v>37.5</v>
      </c>
      <c r="P21" s="10">
        <f t="shared" si="7"/>
        <v>50</v>
      </c>
      <c r="Q21" s="11">
        <f t="shared" si="8"/>
        <v>20</v>
      </c>
      <c r="R21" s="9">
        <v>1267.0</v>
      </c>
      <c r="S21" s="12">
        <v>45714.433333333334</v>
      </c>
      <c r="T21" s="5" t="s">
        <v>25</v>
      </c>
      <c r="U21" s="9">
        <v>4.0</v>
      </c>
      <c r="V21" s="4"/>
      <c r="W21" s="4"/>
      <c r="X21" s="4"/>
      <c r="Y21" s="4"/>
    </row>
    <row r="22">
      <c r="A22" s="5" t="s">
        <v>50</v>
      </c>
      <c r="B22" s="9">
        <v>2.0</v>
      </c>
      <c r="C22" s="9">
        <v>5.0</v>
      </c>
      <c r="D22" s="9">
        <v>4.0</v>
      </c>
      <c r="E22" s="9">
        <v>2.0</v>
      </c>
      <c r="F22" s="9">
        <v>1.0</v>
      </c>
      <c r="G22" s="9">
        <v>3.0</v>
      </c>
      <c r="H22" s="9">
        <v>0.0</v>
      </c>
      <c r="I22" s="9">
        <v>0.0</v>
      </c>
      <c r="J22" s="5">
        <f t="shared" ref="J22:K22" si="27">B22+D22+F22+H22</f>
        <v>7</v>
      </c>
      <c r="K22" s="4">
        <f t="shared" si="27"/>
        <v>10</v>
      </c>
      <c r="L22" s="10">
        <f t="shared" si="3"/>
        <v>41.2</v>
      </c>
      <c r="M22" s="10">
        <f t="shared" si="4"/>
        <v>28.6</v>
      </c>
      <c r="N22" s="10">
        <f t="shared" si="5"/>
        <v>66.7</v>
      </c>
      <c r="O22" s="10">
        <f t="shared" si="6"/>
        <v>25</v>
      </c>
      <c r="P22" s="10">
        <f t="shared" si="7"/>
        <v>0</v>
      </c>
      <c r="Q22" s="11">
        <f t="shared" si="8"/>
        <v>21</v>
      </c>
      <c r="R22" s="9">
        <v>0.0</v>
      </c>
      <c r="S22" s="12">
        <v>45718.64513888889</v>
      </c>
      <c r="T22" s="5" t="s">
        <v>25</v>
      </c>
      <c r="U22" s="9">
        <v>0.0</v>
      </c>
      <c r="V22" s="4"/>
      <c r="W22" s="4"/>
      <c r="X22" s="4"/>
      <c r="Y22" s="4"/>
    </row>
    <row r="23">
      <c r="A23" s="5" t="s">
        <v>59</v>
      </c>
      <c r="B23" s="9">
        <v>0.0</v>
      </c>
      <c r="C23" s="9">
        <v>0.0</v>
      </c>
      <c r="D23" s="9">
        <v>0.0</v>
      </c>
      <c r="E23" s="9">
        <v>1.0</v>
      </c>
      <c r="F23" s="9">
        <v>2.0</v>
      </c>
      <c r="G23" s="9">
        <v>1.0</v>
      </c>
      <c r="H23" s="9">
        <v>0.0</v>
      </c>
      <c r="I23" s="9">
        <v>0.0</v>
      </c>
      <c r="J23" s="5">
        <f t="shared" ref="J23:K23" si="28">B23+D23+F23+H23</f>
        <v>2</v>
      </c>
      <c r="K23" s="4">
        <f t="shared" si="28"/>
        <v>2</v>
      </c>
      <c r="L23" s="10">
        <f t="shared" si="3"/>
        <v>50</v>
      </c>
      <c r="M23" s="10">
        <f t="shared" si="4"/>
        <v>0</v>
      </c>
      <c r="N23" s="10">
        <f t="shared" si="5"/>
        <v>0</v>
      </c>
      <c r="O23" s="10">
        <f t="shared" si="6"/>
        <v>66.7</v>
      </c>
      <c r="P23" s="10">
        <f t="shared" si="7"/>
        <v>0</v>
      </c>
      <c r="Q23" s="11">
        <f t="shared" si="8"/>
        <v>22</v>
      </c>
      <c r="R23" s="9">
        <v>0.0</v>
      </c>
      <c r="S23" s="12">
        <v>45702.913194444445</v>
      </c>
      <c r="T23" s="5" t="s">
        <v>25</v>
      </c>
      <c r="U23" s="9">
        <v>0.0</v>
      </c>
      <c r="V23" s="4"/>
      <c r="W23" s="4"/>
      <c r="X23" s="4"/>
      <c r="Y23" s="4"/>
    </row>
    <row r="24">
      <c r="A24" s="5" t="s">
        <v>51</v>
      </c>
      <c r="B24" s="9">
        <v>1.0</v>
      </c>
      <c r="C24" s="9">
        <v>1.0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5">
        <f t="shared" ref="J24:K24" si="29">B24+D24+F24+H24</f>
        <v>1</v>
      </c>
      <c r="K24" s="4">
        <f t="shared" si="29"/>
        <v>1</v>
      </c>
      <c r="L24" s="10">
        <f t="shared" si="3"/>
        <v>50</v>
      </c>
      <c r="M24" s="10">
        <f t="shared" si="4"/>
        <v>50</v>
      </c>
      <c r="N24" s="10">
        <f t="shared" si="5"/>
        <v>0</v>
      </c>
      <c r="O24" s="10">
        <f t="shared" si="6"/>
        <v>0</v>
      </c>
      <c r="P24" s="10">
        <f t="shared" si="7"/>
        <v>0</v>
      </c>
      <c r="Q24" s="11">
        <f t="shared" si="8"/>
        <v>23</v>
      </c>
      <c r="R24" s="9">
        <v>0.0</v>
      </c>
      <c r="S24" s="12">
        <v>45695.77638888889</v>
      </c>
      <c r="T24" s="5" t="s">
        <v>25</v>
      </c>
      <c r="U24" s="9">
        <v>0.0</v>
      </c>
      <c r="V24" s="4"/>
      <c r="W24" s="4"/>
      <c r="X24" s="4"/>
      <c r="Y24" s="4"/>
    </row>
    <row r="25">
      <c r="A25" s="5" t="s">
        <v>48</v>
      </c>
      <c r="B25" s="9">
        <v>1.0</v>
      </c>
      <c r="C25" s="9">
        <v>4.0</v>
      </c>
      <c r="D25" s="9">
        <v>0.0</v>
      </c>
      <c r="E25" s="9">
        <v>0.0</v>
      </c>
      <c r="F25" s="9">
        <v>0.0</v>
      </c>
      <c r="G25" s="9">
        <v>3.0</v>
      </c>
      <c r="H25" s="9">
        <v>0.0</v>
      </c>
      <c r="I25" s="9">
        <v>0.0</v>
      </c>
      <c r="J25" s="5">
        <f t="shared" ref="J25:K25" si="30">B25+D25+F25+H25</f>
        <v>1</v>
      </c>
      <c r="K25" s="4">
        <f t="shared" si="30"/>
        <v>7</v>
      </c>
      <c r="L25" s="10">
        <f t="shared" si="3"/>
        <v>12.5</v>
      </c>
      <c r="M25" s="10">
        <f t="shared" si="4"/>
        <v>20</v>
      </c>
      <c r="N25" s="10">
        <f t="shared" si="5"/>
        <v>0</v>
      </c>
      <c r="O25" s="10">
        <f t="shared" si="6"/>
        <v>0</v>
      </c>
      <c r="P25" s="10">
        <f t="shared" si="7"/>
        <v>0</v>
      </c>
      <c r="Q25" s="11">
        <f t="shared" si="8"/>
        <v>24</v>
      </c>
      <c r="R25" s="9">
        <v>0.0</v>
      </c>
      <c r="S25" s="12">
        <v>45712.0</v>
      </c>
      <c r="T25" s="5" t="s">
        <v>25</v>
      </c>
      <c r="U25" s="9">
        <v>0.0</v>
      </c>
      <c r="V25" s="4"/>
      <c r="W25" s="4"/>
      <c r="X25" s="4"/>
      <c r="Y25" s="4"/>
    </row>
    <row r="26">
      <c r="A26" s="5" t="s">
        <v>46</v>
      </c>
      <c r="B26" s="9">
        <v>0.0</v>
      </c>
      <c r="C26" s="5">
        <v>0.0</v>
      </c>
      <c r="D26" s="9">
        <v>0.0</v>
      </c>
      <c r="E26" s="9">
        <v>0.0</v>
      </c>
      <c r="F26" s="9">
        <v>0.0</v>
      </c>
      <c r="G26" s="9">
        <v>0.0</v>
      </c>
      <c r="H26" s="9">
        <v>0.0</v>
      </c>
      <c r="I26" s="9">
        <v>0.0</v>
      </c>
      <c r="J26" s="5">
        <f t="shared" ref="J26:K26" si="31">B26+D26+F26+H26</f>
        <v>0</v>
      </c>
      <c r="K26" s="4">
        <f t="shared" si="31"/>
        <v>0</v>
      </c>
      <c r="L26" s="10">
        <f t="shared" si="3"/>
        <v>0</v>
      </c>
      <c r="M26" s="10">
        <f t="shared" si="4"/>
        <v>0</v>
      </c>
      <c r="N26" s="10">
        <f t="shared" si="5"/>
        <v>0</v>
      </c>
      <c r="O26" s="10">
        <f t="shared" si="6"/>
        <v>0</v>
      </c>
      <c r="P26" s="10">
        <f t="shared" si="7"/>
        <v>0</v>
      </c>
      <c r="Q26" s="11">
        <f t="shared" si="8"/>
        <v>25</v>
      </c>
      <c r="R26" s="9">
        <v>0.0</v>
      </c>
      <c r="S26" s="12">
        <v>45666.05</v>
      </c>
      <c r="T26" s="5" t="s">
        <v>47</v>
      </c>
      <c r="U26" s="5">
        <v>0.0</v>
      </c>
      <c r="V26" s="4"/>
      <c r="W26" s="4"/>
      <c r="X26" s="4"/>
      <c r="Y26" s="4"/>
    </row>
    <row r="27">
      <c r="A27" s="5" t="s">
        <v>9771</v>
      </c>
      <c r="B27" s="9">
        <v>0.0</v>
      </c>
      <c r="C27" s="9">
        <v>0.0</v>
      </c>
      <c r="D27" s="9">
        <v>0.0</v>
      </c>
      <c r="E27" s="9">
        <v>0.0</v>
      </c>
      <c r="F27" s="9">
        <v>0.0</v>
      </c>
      <c r="G27" s="9">
        <v>0.0</v>
      </c>
      <c r="H27" s="9">
        <v>0.0</v>
      </c>
      <c r="I27" s="9">
        <v>2.0</v>
      </c>
      <c r="J27" s="5">
        <f t="shared" ref="J27:K27" si="32">B27+D27+F27+H27</f>
        <v>0</v>
      </c>
      <c r="K27" s="4">
        <f t="shared" si="32"/>
        <v>2</v>
      </c>
      <c r="L27" s="10">
        <f t="shared" si="3"/>
        <v>0</v>
      </c>
      <c r="M27" s="10">
        <f t="shared" si="4"/>
        <v>0</v>
      </c>
      <c r="N27" s="10">
        <f t="shared" si="5"/>
        <v>0</v>
      </c>
      <c r="O27" s="10">
        <f t="shared" si="6"/>
        <v>0</v>
      </c>
      <c r="P27" s="10">
        <f t="shared" si="7"/>
        <v>0</v>
      </c>
      <c r="Q27" s="11">
        <f t="shared" si="8"/>
        <v>26</v>
      </c>
      <c r="R27" s="9">
        <v>0.0</v>
      </c>
      <c r="S27" s="12">
        <v>45694.14097222222</v>
      </c>
      <c r="T27" s="5" t="s">
        <v>25</v>
      </c>
      <c r="U27" s="9">
        <v>0.0</v>
      </c>
      <c r="V27" s="4"/>
      <c r="W27" s="4"/>
      <c r="X27" s="4"/>
      <c r="Y27" s="4"/>
    </row>
    <row r="28">
      <c r="A28" s="5" t="s">
        <v>38</v>
      </c>
      <c r="B28" s="9">
        <v>0.0</v>
      </c>
      <c r="C28" s="9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1.0</v>
      </c>
      <c r="J28" s="5">
        <f t="shared" ref="J28:K28" si="33">B28+D28+F28+H28</f>
        <v>0</v>
      </c>
      <c r="K28" s="4">
        <f t="shared" si="33"/>
        <v>1</v>
      </c>
      <c r="L28" s="10">
        <f t="shared" si="3"/>
        <v>0</v>
      </c>
      <c r="M28" s="10">
        <f t="shared" si="4"/>
        <v>0</v>
      </c>
      <c r="N28" s="10">
        <f t="shared" si="5"/>
        <v>0</v>
      </c>
      <c r="O28" s="10">
        <f t="shared" si="6"/>
        <v>0</v>
      </c>
      <c r="P28" s="10">
        <f t="shared" si="7"/>
        <v>0</v>
      </c>
      <c r="Q28" s="11">
        <f t="shared" si="8"/>
        <v>27</v>
      </c>
      <c r="R28" s="9">
        <v>0.0</v>
      </c>
      <c r="S28" s="12">
        <v>45695.11111111111</v>
      </c>
      <c r="T28" s="5" t="s">
        <v>25</v>
      </c>
      <c r="U28" s="9">
        <v>0.0</v>
      </c>
      <c r="V28" s="4"/>
      <c r="W28" s="4"/>
      <c r="X28" s="4"/>
      <c r="Y28" s="4"/>
    </row>
    <row r="29">
      <c r="A29" s="5" t="s">
        <v>45</v>
      </c>
      <c r="B29" s="9">
        <v>0.0</v>
      </c>
      <c r="C29" s="9">
        <v>0.0</v>
      </c>
      <c r="D29" s="9">
        <v>0.0</v>
      </c>
      <c r="E29" s="9">
        <v>0.0</v>
      </c>
      <c r="F29" s="9">
        <v>0.0</v>
      </c>
      <c r="G29" s="9">
        <v>1.0</v>
      </c>
      <c r="H29" s="9">
        <v>0.0</v>
      </c>
      <c r="I29" s="9">
        <v>0.0</v>
      </c>
      <c r="J29" s="5">
        <f t="shared" ref="J29:K29" si="34">B29+D29+F29+H29</f>
        <v>0</v>
      </c>
      <c r="K29" s="4">
        <f t="shared" si="34"/>
        <v>1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45702.95</v>
      </c>
      <c r="T29" s="5" t="s">
        <v>25</v>
      </c>
      <c r="U29" s="9">
        <v>0.0</v>
      </c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4.7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4"/>
      <c r="X1" s="4"/>
      <c r="Y1" s="4"/>
    </row>
    <row r="2">
      <c r="A2" s="5" t="s">
        <v>24</v>
      </c>
      <c r="B2" s="9">
        <v>8.0</v>
      </c>
      <c r="C2" s="9">
        <v>4.0</v>
      </c>
      <c r="D2" s="9">
        <v>7.0</v>
      </c>
      <c r="E2" s="9">
        <v>6.0</v>
      </c>
      <c r="F2" s="9">
        <v>7.0</v>
      </c>
      <c r="G2" s="9">
        <v>2.0</v>
      </c>
      <c r="H2" s="9">
        <v>15.0</v>
      </c>
      <c r="I2" s="9">
        <v>9.0</v>
      </c>
      <c r="J2" s="5">
        <f t="shared" ref="J2:K2" si="1">B2+D2+F2+H2</f>
        <v>37</v>
      </c>
      <c r="K2" s="4">
        <f t="shared" si="1"/>
        <v>21</v>
      </c>
      <c r="L2" s="10">
        <f t="shared" ref="L2:L30" si="3">ROUND(IFERROR(J2/(J2+K2),0)*100,1)</f>
        <v>63.8</v>
      </c>
      <c r="M2" s="10">
        <f t="shared" ref="M2:M30" si="4">ROUND(IFERROR(B2/(B2+C2),0)*100,1)</f>
        <v>66.7</v>
      </c>
      <c r="N2" s="10">
        <f t="shared" ref="N2:N30" si="5">ROUND(IFERROR(D2/(D2+E2),0)*100,1)</f>
        <v>53.8</v>
      </c>
      <c r="O2" s="10">
        <f t="shared" ref="O2:O30" si="6">ROUND(IFERROR(F2/(F2+G2),0)*100,1)</f>
        <v>77.8</v>
      </c>
      <c r="P2" s="10">
        <f t="shared" ref="P2:P30" si="7">ROUND(IFERROR(H2/(I2+H2),0)*100,1)</f>
        <v>62.5</v>
      </c>
      <c r="Q2" s="11">
        <f t="shared" ref="Q2:Q30" si="8">ROW()-1</f>
        <v>1</v>
      </c>
      <c r="R2" s="9">
        <v>1560.0</v>
      </c>
      <c r="S2" s="12">
        <v>45773.08888888889</v>
      </c>
      <c r="T2" s="5" t="s">
        <v>25</v>
      </c>
      <c r="U2" s="9">
        <v>8.0</v>
      </c>
      <c r="V2" s="4" t="str">
        <f t="array" ref="V2">IFERROR(INDEX('사용자목록'!O:O, MATCH(A2, '사용자목록'!A:A, 0)),"아이언")</f>
        <v>마스터</v>
      </c>
      <c r="W2" s="4"/>
      <c r="X2" s="4"/>
      <c r="Y2" s="4"/>
    </row>
    <row r="3">
      <c r="A3" s="5" t="s">
        <v>31</v>
      </c>
      <c r="B3" s="9">
        <v>13.0</v>
      </c>
      <c r="C3" s="9">
        <v>6.0</v>
      </c>
      <c r="D3" s="5">
        <v>12.0</v>
      </c>
      <c r="E3" s="9">
        <v>9.0</v>
      </c>
      <c r="F3" s="9">
        <v>6.0</v>
      </c>
      <c r="G3" s="9">
        <v>9.0</v>
      </c>
      <c r="H3" s="9">
        <v>16.0</v>
      </c>
      <c r="I3" s="9">
        <v>9.0</v>
      </c>
      <c r="J3" s="5">
        <f t="shared" ref="J3:K3" si="2">B3+D3+F3+H3</f>
        <v>47</v>
      </c>
      <c r="K3" s="4">
        <f t="shared" si="2"/>
        <v>33</v>
      </c>
      <c r="L3" s="10">
        <f t="shared" si="3"/>
        <v>58.8</v>
      </c>
      <c r="M3" s="10">
        <f t="shared" si="4"/>
        <v>68.4</v>
      </c>
      <c r="N3" s="10">
        <f t="shared" si="5"/>
        <v>57.1</v>
      </c>
      <c r="O3" s="10">
        <f t="shared" si="6"/>
        <v>40</v>
      </c>
      <c r="P3" s="10">
        <f t="shared" si="7"/>
        <v>64</v>
      </c>
      <c r="Q3" s="11">
        <f t="shared" si="8"/>
        <v>2</v>
      </c>
      <c r="R3" s="5">
        <v>1484.0</v>
      </c>
      <c r="S3" s="12">
        <v>45773.08888888889</v>
      </c>
      <c r="T3" s="5" t="s">
        <v>25</v>
      </c>
      <c r="U3" s="9">
        <v>14.0</v>
      </c>
      <c r="V3" s="4" t="str">
        <f t="array" ref="V3">IFERROR(INDEX('사용자목록'!O:O, MATCH(A3, '사용자목록'!A:A, 0)),"아이언")</f>
        <v>마스터</v>
      </c>
      <c r="W3" s="4"/>
      <c r="X3" s="4"/>
      <c r="Y3" s="4"/>
    </row>
    <row r="4">
      <c r="A4" s="5" t="s">
        <v>26</v>
      </c>
      <c r="B4" s="9">
        <v>3.0</v>
      </c>
      <c r="C4" s="9">
        <v>6.0</v>
      </c>
      <c r="D4" s="9">
        <v>15.0</v>
      </c>
      <c r="E4" s="9">
        <v>9.0</v>
      </c>
      <c r="F4" s="9">
        <v>7.0</v>
      </c>
      <c r="G4" s="9">
        <v>3.0</v>
      </c>
      <c r="H4" s="5">
        <v>12.0</v>
      </c>
      <c r="I4" s="9">
        <v>11.0</v>
      </c>
      <c r="J4" s="5">
        <f t="shared" ref="J4:K4" si="9">B4+D4+F4+H4</f>
        <v>37</v>
      </c>
      <c r="K4" s="4">
        <f t="shared" si="9"/>
        <v>29</v>
      </c>
      <c r="L4" s="10">
        <f t="shared" si="3"/>
        <v>56.1</v>
      </c>
      <c r="M4" s="10">
        <f t="shared" si="4"/>
        <v>33.3</v>
      </c>
      <c r="N4" s="10">
        <f t="shared" si="5"/>
        <v>62.5</v>
      </c>
      <c r="O4" s="10">
        <f t="shared" si="6"/>
        <v>70</v>
      </c>
      <c r="P4" s="10">
        <f t="shared" si="7"/>
        <v>52.2</v>
      </c>
      <c r="Q4" s="11">
        <f t="shared" si="8"/>
        <v>3</v>
      </c>
      <c r="R4" s="9">
        <v>1475.0</v>
      </c>
      <c r="S4" s="12">
        <v>45773.08888888889</v>
      </c>
      <c r="T4" s="5" t="s">
        <v>25</v>
      </c>
      <c r="U4" s="9">
        <v>9.0</v>
      </c>
      <c r="V4" s="4" t="str">
        <f t="array" ref="V4">IFERROR(INDEX('사용자목록'!O:O, MATCH(A4, '사용자목록'!A:A, 0)),"아이언")</f>
        <v>다이아</v>
      </c>
      <c r="W4" s="4"/>
      <c r="X4" s="4"/>
      <c r="Y4" s="4"/>
    </row>
    <row r="5">
      <c r="A5" s="5" t="s">
        <v>9678</v>
      </c>
      <c r="B5" s="9">
        <v>11.0</v>
      </c>
      <c r="C5" s="9">
        <v>6.0</v>
      </c>
      <c r="D5" s="9">
        <v>0.0</v>
      </c>
      <c r="E5" s="9">
        <v>0.0</v>
      </c>
      <c r="F5" s="9">
        <v>9.0</v>
      </c>
      <c r="G5" s="9">
        <v>5.0</v>
      </c>
      <c r="H5" s="9">
        <v>16.0</v>
      </c>
      <c r="I5" s="9">
        <v>11.0</v>
      </c>
      <c r="J5" s="5">
        <f t="shared" ref="J5:K5" si="10">B5+D5+F5+H5</f>
        <v>36</v>
      </c>
      <c r="K5" s="4">
        <f t="shared" si="10"/>
        <v>22</v>
      </c>
      <c r="L5" s="10">
        <f t="shared" si="3"/>
        <v>62.1</v>
      </c>
      <c r="M5" s="10">
        <f t="shared" si="4"/>
        <v>64.7</v>
      </c>
      <c r="N5" s="10">
        <f t="shared" si="5"/>
        <v>0</v>
      </c>
      <c r="O5" s="10">
        <f t="shared" si="6"/>
        <v>64.3</v>
      </c>
      <c r="P5" s="10">
        <f t="shared" si="7"/>
        <v>59.3</v>
      </c>
      <c r="Q5" s="11">
        <f t="shared" si="8"/>
        <v>4</v>
      </c>
      <c r="R5" s="5">
        <v>1447.0</v>
      </c>
      <c r="S5" s="12">
        <v>45773.08888888889</v>
      </c>
      <c r="T5" s="5" t="s">
        <v>25</v>
      </c>
      <c r="U5" s="9">
        <v>0.0</v>
      </c>
      <c r="V5" s="4" t="str">
        <f t="array" ref="V5">IFERROR(INDEX('사용자목록'!O:O, MATCH(A5, '사용자목록'!A:A, 0)),"아이언")</f>
        <v>아이언</v>
      </c>
      <c r="W5" s="4"/>
      <c r="X5" s="4"/>
      <c r="Y5" s="4"/>
    </row>
    <row r="6">
      <c r="A6" s="5" t="s">
        <v>35</v>
      </c>
      <c r="B6" s="9">
        <v>9.0</v>
      </c>
      <c r="C6" s="9">
        <v>14.0</v>
      </c>
      <c r="D6" s="9">
        <v>26.0</v>
      </c>
      <c r="E6" s="9">
        <v>11.0</v>
      </c>
      <c r="F6" s="9">
        <v>13.0</v>
      </c>
      <c r="G6" s="9">
        <v>11.0</v>
      </c>
      <c r="H6" s="9">
        <v>0.0</v>
      </c>
      <c r="I6" s="9">
        <v>0.0</v>
      </c>
      <c r="J6" s="5">
        <f t="shared" ref="J6:K6" si="11">B6+D6+F6+H6</f>
        <v>48</v>
      </c>
      <c r="K6" s="4">
        <f t="shared" si="11"/>
        <v>36</v>
      </c>
      <c r="L6" s="10">
        <f t="shared" si="3"/>
        <v>57.1</v>
      </c>
      <c r="M6" s="10">
        <f t="shared" si="4"/>
        <v>39.1</v>
      </c>
      <c r="N6" s="10">
        <f t="shared" si="5"/>
        <v>70.3</v>
      </c>
      <c r="O6" s="10">
        <f t="shared" si="6"/>
        <v>54.2</v>
      </c>
      <c r="P6" s="10">
        <f t="shared" si="7"/>
        <v>0</v>
      </c>
      <c r="Q6" s="11">
        <f t="shared" si="8"/>
        <v>5</v>
      </c>
      <c r="R6" s="9">
        <v>1435.0</v>
      </c>
      <c r="S6" s="12">
        <v>45769.02569444444</v>
      </c>
      <c r="T6" s="5" t="s">
        <v>25</v>
      </c>
      <c r="U6" s="9">
        <v>0.0</v>
      </c>
      <c r="V6" s="4" t="str">
        <f t="array" ref="V6">IFERROR(INDEX('사용자목록'!O:O, MATCH(A6, '사용자목록'!A:A, 0)),"아이언")</f>
        <v>골드</v>
      </c>
      <c r="W6" s="4"/>
      <c r="X6" s="4"/>
      <c r="Y6" s="4"/>
    </row>
    <row r="7">
      <c r="A7" s="5" t="s">
        <v>27</v>
      </c>
      <c r="B7" s="5">
        <v>14.0</v>
      </c>
      <c r="C7" s="9">
        <v>9.0</v>
      </c>
      <c r="D7" s="9">
        <v>19.0</v>
      </c>
      <c r="E7" s="9">
        <v>10.0</v>
      </c>
      <c r="F7" s="9">
        <v>11.0</v>
      </c>
      <c r="G7" s="9">
        <v>9.0</v>
      </c>
      <c r="H7" s="9">
        <v>0.0</v>
      </c>
      <c r="I7" s="9">
        <v>0.0</v>
      </c>
      <c r="J7" s="5">
        <f t="shared" ref="J7:K7" si="12">B7+D7+F7+H7</f>
        <v>44</v>
      </c>
      <c r="K7" s="4">
        <f t="shared" si="12"/>
        <v>28</v>
      </c>
      <c r="L7" s="10">
        <f t="shared" si="3"/>
        <v>61.1</v>
      </c>
      <c r="M7" s="10">
        <f t="shared" si="4"/>
        <v>60.9</v>
      </c>
      <c r="N7" s="10">
        <f t="shared" si="5"/>
        <v>65.5</v>
      </c>
      <c r="O7" s="10">
        <f t="shared" si="6"/>
        <v>55</v>
      </c>
      <c r="P7" s="10">
        <f t="shared" si="7"/>
        <v>0</v>
      </c>
      <c r="Q7" s="11">
        <f t="shared" si="8"/>
        <v>6</v>
      </c>
      <c r="R7" s="5">
        <v>1433.0</v>
      </c>
      <c r="S7" s="12">
        <v>45768.92916666667</v>
      </c>
      <c r="T7" s="5" t="s">
        <v>25</v>
      </c>
      <c r="U7" s="9">
        <v>1.0</v>
      </c>
      <c r="V7" s="4" t="str">
        <f t="array" ref="V7">IFERROR(INDEX('사용자목록'!O:O, MATCH(A7, '사용자목록'!A:A, 0)),"아이언")</f>
        <v>마스터</v>
      </c>
      <c r="W7" s="4"/>
      <c r="X7" s="4"/>
      <c r="Y7" s="4"/>
    </row>
    <row r="8">
      <c r="A8" s="5" t="s">
        <v>36</v>
      </c>
      <c r="B8" s="9">
        <v>8.0</v>
      </c>
      <c r="C8" s="9">
        <v>6.0</v>
      </c>
      <c r="D8" s="9">
        <v>0.0</v>
      </c>
      <c r="E8" s="9">
        <v>0.0</v>
      </c>
      <c r="F8" s="5">
        <v>10.0</v>
      </c>
      <c r="G8" s="9">
        <v>6.0</v>
      </c>
      <c r="H8" s="9">
        <v>12.0</v>
      </c>
      <c r="I8" s="9">
        <v>7.0</v>
      </c>
      <c r="J8" s="5">
        <f t="shared" ref="J8:K8" si="13">B8+D8+F8+H8</f>
        <v>30</v>
      </c>
      <c r="K8" s="4">
        <f t="shared" si="13"/>
        <v>19</v>
      </c>
      <c r="L8" s="10">
        <f t="shared" si="3"/>
        <v>61.2</v>
      </c>
      <c r="M8" s="10">
        <f t="shared" si="4"/>
        <v>57.1</v>
      </c>
      <c r="N8" s="10">
        <f t="shared" si="5"/>
        <v>0</v>
      </c>
      <c r="O8" s="10">
        <f t="shared" si="6"/>
        <v>62.5</v>
      </c>
      <c r="P8" s="10">
        <f t="shared" si="7"/>
        <v>63.2</v>
      </c>
      <c r="Q8" s="11">
        <f t="shared" si="8"/>
        <v>7</v>
      </c>
      <c r="R8" s="5">
        <v>1385.0</v>
      </c>
      <c r="S8" s="12">
        <v>45765.04027777778</v>
      </c>
      <c r="T8" s="5" t="s">
        <v>25</v>
      </c>
      <c r="U8" s="9">
        <v>0.0</v>
      </c>
      <c r="V8" s="4" t="str">
        <f t="array" ref="V8">IFERROR(INDEX('사용자목록'!O:O, MATCH(A8, '사용자목록'!A:A, 0)),"아이언")</f>
        <v>골드</v>
      </c>
      <c r="W8" s="4"/>
      <c r="X8" s="4"/>
      <c r="Y8" s="4"/>
    </row>
    <row r="9">
      <c r="A9" s="5" t="s">
        <v>29</v>
      </c>
      <c r="B9" s="9">
        <v>6.0</v>
      </c>
      <c r="C9" s="9">
        <v>6.0</v>
      </c>
      <c r="D9" s="9">
        <v>8.0</v>
      </c>
      <c r="E9" s="9">
        <v>11.0</v>
      </c>
      <c r="F9" s="9">
        <v>8.0</v>
      </c>
      <c r="G9" s="9">
        <v>7.0</v>
      </c>
      <c r="H9" s="9">
        <v>3.0</v>
      </c>
      <c r="I9" s="9">
        <v>4.0</v>
      </c>
      <c r="J9" s="5">
        <f t="shared" ref="J9:K9" si="14">B9+D9+F9+H9</f>
        <v>25</v>
      </c>
      <c r="K9" s="4">
        <f t="shared" si="14"/>
        <v>28</v>
      </c>
      <c r="L9" s="10">
        <f t="shared" si="3"/>
        <v>47.2</v>
      </c>
      <c r="M9" s="10">
        <f t="shared" si="4"/>
        <v>50</v>
      </c>
      <c r="N9" s="10">
        <f t="shared" si="5"/>
        <v>42.1</v>
      </c>
      <c r="O9" s="10">
        <f t="shared" si="6"/>
        <v>53.3</v>
      </c>
      <c r="P9" s="10">
        <f t="shared" si="7"/>
        <v>42.9</v>
      </c>
      <c r="Q9" s="11">
        <f t="shared" si="8"/>
        <v>8</v>
      </c>
      <c r="R9" s="9">
        <v>1341.0</v>
      </c>
      <c r="S9" s="12">
        <v>45773.08888888889</v>
      </c>
      <c r="T9" s="5" t="s">
        <v>25</v>
      </c>
      <c r="U9" s="9">
        <v>9.0</v>
      </c>
      <c r="V9" s="4" t="str">
        <f t="array" ref="V9">IFERROR(INDEX('사용자목록'!O:O, MATCH(A9, '사용자목록'!A:A, 0)),"아이언")</f>
        <v>아이언</v>
      </c>
      <c r="W9" s="4"/>
      <c r="X9" s="4"/>
      <c r="Y9" s="4"/>
    </row>
    <row r="10">
      <c r="A10" s="5" t="s">
        <v>42</v>
      </c>
      <c r="B10" s="5">
        <v>7.0</v>
      </c>
      <c r="C10" s="9">
        <v>5.0</v>
      </c>
      <c r="D10" s="5">
        <v>7.0</v>
      </c>
      <c r="E10" s="9">
        <v>7.0</v>
      </c>
      <c r="F10" s="9">
        <v>8.0</v>
      </c>
      <c r="G10" s="9">
        <v>8.0</v>
      </c>
      <c r="H10" s="9">
        <v>2.0</v>
      </c>
      <c r="I10" s="5">
        <v>3.0</v>
      </c>
      <c r="J10" s="5">
        <f t="shared" ref="J10:K10" si="15">B10+D10+F10+H10</f>
        <v>24</v>
      </c>
      <c r="K10" s="4">
        <f t="shared" si="15"/>
        <v>23</v>
      </c>
      <c r="L10" s="10">
        <f t="shared" si="3"/>
        <v>51.1</v>
      </c>
      <c r="M10" s="10">
        <f t="shared" si="4"/>
        <v>58.3</v>
      </c>
      <c r="N10" s="10">
        <f t="shared" si="5"/>
        <v>50</v>
      </c>
      <c r="O10" s="10">
        <f t="shared" si="6"/>
        <v>50</v>
      </c>
      <c r="P10" s="10">
        <f t="shared" si="7"/>
        <v>40</v>
      </c>
      <c r="Q10" s="11">
        <f t="shared" si="8"/>
        <v>9</v>
      </c>
      <c r="R10" s="9">
        <v>1326.0</v>
      </c>
      <c r="S10" s="12">
        <v>45760.99513888889</v>
      </c>
      <c r="T10" s="5" t="s">
        <v>25</v>
      </c>
      <c r="U10" s="9">
        <v>6.0</v>
      </c>
      <c r="V10" s="4" t="str">
        <f t="array" ref="V10">IFERROR(INDEX('사용자목록'!O:O, MATCH(A10, '사용자목록'!A:A, 0)),"아이언")</f>
        <v>다이아</v>
      </c>
      <c r="W10" s="4"/>
      <c r="X10" s="4"/>
      <c r="Y10" s="4"/>
    </row>
    <row r="11">
      <c r="A11" s="5" t="s">
        <v>30</v>
      </c>
      <c r="B11" s="9">
        <v>16.0</v>
      </c>
      <c r="C11" s="9">
        <v>18.0</v>
      </c>
      <c r="D11" s="9">
        <v>9.0</v>
      </c>
      <c r="E11" s="9">
        <v>14.0</v>
      </c>
      <c r="F11" s="9">
        <v>13.0</v>
      </c>
      <c r="G11" s="9">
        <v>10.0</v>
      </c>
      <c r="H11" s="5">
        <v>13.0</v>
      </c>
      <c r="I11" s="9">
        <v>23.0</v>
      </c>
      <c r="J11" s="5">
        <f t="shared" ref="J11:K11" si="16">B11+D11+F11+H11</f>
        <v>51</v>
      </c>
      <c r="K11" s="4">
        <f t="shared" si="16"/>
        <v>65</v>
      </c>
      <c r="L11" s="10">
        <f t="shared" si="3"/>
        <v>44</v>
      </c>
      <c r="M11" s="10">
        <f t="shared" si="4"/>
        <v>47.1</v>
      </c>
      <c r="N11" s="10">
        <f t="shared" si="5"/>
        <v>39.1</v>
      </c>
      <c r="O11" s="10">
        <f t="shared" si="6"/>
        <v>56.5</v>
      </c>
      <c r="P11" s="10">
        <f t="shared" si="7"/>
        <v>36.1</v>
      </c>
      <c r="Q11" s="11">
        <f t="shared" si="8"/>
        <v>10</v>
      </c>
      <c r="R11" s="9">
        <v>1303.0</v>
      </c>
      <c r="S11" s="12">
        <v>45773.08888888889</v>
      </c>
      <c r="T11" s="5" t="s">
        <v>25</v>
      </c>
      <c r="U11" s="9">
        <v>7.0</v>
      </c>
      <c r="V11" s="4" t="str">
        <f t="array" ref="V11">IFERROR(INDEX('사용자목록'!O:O, MATCH(A11, '사용자목록'!A:A, 0)),"아이언")</f>
        <v>골드</v>
      </c>
      <c r="W11" s="4"/>
      <c r="X11" s="4"/>
      <c r="Y11" s="4"/>
    </row>
    <row r="12">
      <c r="A12" s="5" t="s">
        <v>43</v>
      </c>
      <c r="B12" s="9">
        <v>14.0</v>
      </c>
      <c r="C12" s="9">
        <v>7.0</v>
      </c>
      <c r="D12" s="9">
        <v>0.0</v>
      </c>
      <c r="E12" s="9">
        <v>0.0</v>
      </c>
      <c r="F12" s="9">
        <v>3.0</v>
      </c>
      <c r="G12" s="9">
        <v>8.0</v>
      </c>
      <c r="H12" s="9">
        <v>13.0</v>
      </c>
      <c r="I12" s="9">
        <v>14.0</v>
      </c>
      <c r="J12" s="5">
        <f t="shared" ref="J12:K12" si="17">B12+D12+F12+H12</f>
        <v>30</v>
      </c>
      <c r="K12" s="4">
        <f t="shared" si="17"/>
        <v>29</v>
      </c>
      <c r="L12" s="10">
        <f t="shared" si="3"/>
        <v>50.8</v>
      </c>
      <c r="M12" s="10">
        <f t="shared" si="4"/>
        <v>66.7</v>
      </c>
      <c r="N12" s="10">
        <f t="shared" si="5"/>
        <v>0</v>
      </c>
      <c r="O12" s="10">
        <f t="shared" si="6"/>
        <v>27.3</v>
      </c>
      <c r="P12" s="10">
        <f t="shared" si="7"/>
        <v>48.1</v>
      </c>
      <c r="Q12" s="11">
        <f t="shared" si="8"/>
        <v>11</v>
      </c>
      <c r="R12" s="9">
        <v>1294.0</v>
      </c>
      <c r="S12" s="12">
        <v>45773.08888888889</v>
      </c>
      <c r="T12" s="5" t="s">
        <v>25</v>
      </c>
      <c r="U12" s="9">
        <v>0.0</v>
      </c>
      <c r="V12" s="4" t="str">
        <f t="array" ref="V12">IFERROR(INDEX('사용자목록'!O:O, MATCH(A12, '사용자목록'!A:A, 0)),"아이언")</f>
        <v>아이언</v>
      </c>
      <c r="W12" s="4"/>
      <c r="X12" s="4"/>
      <c r="Y12" s="4"/>
    </row>
    <row r="13">
      <c r="A13" s="5" t="s">
        <v>45</v>
      </c>
      <c r="B13" s="9">
        <v>0.0</v>
      </c>
      <c r="C13" s="9">
        <v>0.0</v>
      </c>
      <c r="D13" s="5">
        <v>8.0</v>
      </c>
      <c r="E13" s="9">
        <v>9.0</v>
      </c>
      <c r="F13" s="9">
        <v>9.0</v>
      </c>
      <c r="G13" s="9">
        <v>8.0</v>
      </c>
      <c r="H13" s="9">
        <v>10.0</v>
      </c>
      <c r="I13" s="9">
        <v>13.0</v>
      </c>
      <c r="J13" s="5">
        <f t="shared" ref="J13:K13" si="18">B13+D13+F13+H13</f>
        <v>27</v>
      </c>
      <c r="K13" s="4">
        <f t="shared" si="18"/>
        <v>30</v>
      </c>
      <c r="L13" s="10">
        <f t="shared" si="3"/>
        <v>47.4</v>
      </c>
      <c r="M13" s="10">
        <f t="shared" si="4"/>
        <v>0</v>
      </c>
      <c r="N13" s="10">
        <f t="shared" si="5"/>
        <v>47.1</v>
      </c>
      <c r="O13" s="10">
        <f t="shared" si="6"/>
        <v>52.9</v>
      </c>
      <c r="P13" s="10">
        <f t="shared" si="7"/>
        <v>43.5</v>
      </c>
      <c r="Q13" s="11">
        <f t="shared" si="8"/>
        <v>12</v>
      </c>
      <c r="R13" s="9">
        <v>1252.0</v>
      </c>
      <c r="S13" s="12">
        <v>45760.97222222222</v>
      </c>
      <c r="T13" s="5" t="s">
        <v>25</v>
      </c>
      <c r="U13" s="9">
        <v>0.0</v>
      </c>
      <c r="V13" s="4" t="str">
        <f t="array" ref="V13">IFERROR(INDEX('사용자목록'!O:O, MATCH(A13, '사용자목록'!A:A, 0)),"아이언")</f>
        <v>실버</v>
      </c>
      <c r="W13" s="4"/>
      <c r="X13" s="4"/>
      <c r="Y13" s="4"/>
    </row>
    <row r="14">
      <c r="A14" s="5" t="s">
        <v>9736</v>
      </c>
      <c r="B14" s="9">
        <v>3.0</v>
      </c>
      <c r="C14" s="9">
        <v>5.0</v>
      </c>
      <c r="D14" s="9">
        <v>0.0</v>
      </c>
      <c r="E14" s="9">
        <v>0.0</v>
      </c>
      <c r="F14" s="9">
        <v>3.0</v>
      </c>
      <c r="G14" s="9">
        <v>1.0</v>
      </c>
      <c r="H14" s="9">
        <v>3.0</v>
      </c>
      <c r="I14" s="9">
        <v>6.0</v>
      </c>
      <c r="J14" s="5">
        <f t="shared" ref="J14:K14" si="19">B14+D14+F14+H14</f>
        <v>9</v>
      </c>
      <c r="K14" s="4">
        <f t="shared" si="19"/>
        <v>12</v>
      </c>
      <c r="L14" s="10">
        <f t="shared" si="3"/>
        <v>42.9</v>
      </c>
      <c r="M14" s="10">
        <f t="shared" si="4"/>
        <v>37.5</v>
      </c>
      <c r="N14" s="10">
        <f t="shared" si="5"/>
        <v>0</v>
      </c>
      <c r="O14" s="10">
        <f t="shared" si="6"/>
        <v>75</v>
      </c>
      <c r="P14" s="10">
        <f t="shared" si="7"/>
        <v>33.3</v>
      </c>
      <c r="Q14" s="11">
        <f t="shared" si="8"/>
        <v>13</v>
      </c>
      <c r="R14" s="9">
        <v>1168.0</v>
      </c>
      <c r="S14" s="12">
        <v>45760.90277777778</v>
      </c>
      <c r="T14" s="5" t="s">
        <v>25</v>
      </c>
      <c r="U14" s="9">
        <v>0.0</v>
      </c>
      <c r="V14" s="4" t="str">
        <f t="array" ref="V14">IFERROR(INDEX('사용자목록'!O:O, MATCH(A14, '사용자목록'!A:A, 0)),"아이언")</f>
        <v>아이언</v>
      </c>
      <c r="W14" s="4"/>
      <c r="X14" s="4"/>
      <c r="Y14" s="4"/>
    </row>
    <row r="15">
      <c r="A15" s="5" t="s">
        <v>34</v>
      </c>
      <c r="B15" s="9">
        <v>9.0</v>
      </c>
      <c r="C15" s="9">
        <v>10.0</v>
      </c>
      <c r="D15" s="9">
        <v>8.0</v>
      </c>
      <c r="E15" s="9">
        <v>19.0</v>
      </c>
      <c r="F15" s="5">
        <v>11.0</v>
      </c>
      <c r="G15" s="9">
        <v>18.0</v>
      </c>
      <c r="H15" s="9">
        <v>0.0</v>
      </c>
      <c r="I15" s="9">
        <v>2.0</v>
      </c>
      <c r="J15" s="5">
        <f t="shared" ref="J15:K15" si="20">B15+D15+F15+H15</f>
        <v>28</v>
      </c>
      <c r="K15" s="4">
        <f t="shared" si="20"/>
        <v>49</v>
      </c>
      <c r="L15" s="10">
        <f t="shared" si="3"/>
        <v>36.4</v>
      </c>
      <c r="M15" s="10">
        <f t="shared" si="4"/>
        <v>47.4</v>
      </c>
      <c r="N15" s="10">
        <f t="shared" si="5"/>
        <v>29.6</v>
      </c>
      <c r="O15" s="10">
        <f t="shared" si="6"/>
        <v>37.9</v>
      </c>
      <c r="P15" s="10">
        <f t="shared" si="7"/>
        <v>0</v>
      </c>
      <c r="Q15" s="11">
        <f t="shared" si="8"/>
        <v>14</v>
      </c>
      <c r="R15" s="9">
        <v>1150.0</v>
      </c>
      <c r="S15" s="12">
        <v>45772.97638888889</v>
      </c>
      <c r="T15" s="5" t="s">
        <v>25</v>
      </c>
      <c r="U15" s="9">
        <v>0.0</v>
      </c>
      <c r="V15" s="4" t="str">
        <f t="array" ref="V15">IFERROR(INDEX('사용자목록'!O:O, MATCH(A15, '사용자목록'!A:A, 0)),"아이언")</f>
        <v>실버</v>
      </c>
      <c r="W15" s="4"/>
      <c r="X15" s="4"/>
      <c r="Y15" s="4"/>
    </row>
    <row r="16">
      <c r="A16" s="5" t="s">
        <v>39</v>
      </c>
      <c r="B16" s="9">
        <v>5.0</v>
      </c>
      <c r="C16" s="9">
        <v>10.0</v>
      </c>
      <c r="D16" s="9">
        <v>2.0</v>
      </c>
      <c r="E16" s="9">
        <v>7.0</v>
      </c>
      <c r="F16" s="9">
        <v>1.0</v>
      </c>
      <c r="G16" s="9">
        <v>8.0</v>
      </c>
      <c r="H16" s="9">
        <v>6.0</v>
      </c>
      <c r="I16" s="9">
        <v>5.0</v>
      </c>
      <c r="J16" s="5">
        <f t="shared" ref="J16:K16" si="21">B16+D16+F16+H16</f>
        <v>14</v>
      </c>
      <c r="K16" s="4">
        <f t="shared" si="21"/>
        <v>30</v>
      </c>
      <c r="L16" s="10">
        <f t="shared" si="3"/>
        <v>31.8</v>
      </c>
      <c r="M16" s="10">
        <f t="shared" si="4"/>
        <v>33.3</v>
      </c>
      <c r="N16" s="10">
        <f t="shared" si="5"/>
        <v>22.2</v>
      </c>
      <c r="O16" s="10">
        <f t="shared" si="6"/>
        <v>11.1</v>
      </c>
      <c r="P16" s="10">
        <f t="shared" si="7"/>
        <v>54.5</v>
      </c>
      <c r="Q16" s="11">
        <f t="shared" si="8"/>
        <v>15</v>
      </c>
      <c r="R16" s="9">
        <v>1144.0</v>
      </c>
      <c r="S16" s="12">
        <v>45773.08888888889</v>
      </c>
      <c r="T16" s="5" t="s">
        <v>25</v>
      </c>
      <c r="U16" s="9">
        <v>5.0</v>
      </c>
      <c r="V16" s="4" t="str">
        <f t="array" ref="V16">IFERROR(INDEX('사용자목록'!O:O, MATCH(A16, '사용자목록'!A:A, 0)),"아이언")</f>
        <v>다이아</v>
      </c>
      <c r="W16" s="4"/>
      <c r="X16" s="4"/>
      <c r="Y16" s="4"/>
    </row>
    <row r="17">
      <c r="A17" s="5" t="s">
        <v>51</v>
      </c>
      <c r="B17" s="9">
        <v>1.0</v>
      </c>
      <c r="C17" s="9">
        <v>2.0</v>
      </c>
      <c r="D17" s="9">
        <v>3.0</v>
      </c>
      <c r="E17" s="9">
        <v>5.0</v>
      </c>
      <c r="F17" s="9">
        <v>4.0</v>
      </c>
      <c r="G17" s="9">
        <v>2.0</v>
      </c>
      <c r="H17" s="9">
        <v>0.0</v>
      </c>
      <c r="I17" s="9">
        <v>0.0</v>
      </c>
      <c r="J17" s="5">
        <f t="shared" ref="J17:K17" si="22">B17+D17+F17+H17</f>
        <v>8</v>
      </c>
      <c r="K17" s="4">
        <f t="shared" si="22"/>
        <v>9</v>
      </c>
      <c r="L17" s="10">
        <f t="shared" si="3"/>
        <v>47.1</v>
      </c>
      <c r="M17" s="10">
        <f t="shared" si="4"/>
        <v>33.3</v>
      </c>
      <c r="N17" s="10">
        <f t="shared" si="5"/>
        <v>37.5</v>
      </c>
      <c r="O17" s="10">
        <f t="shared" si="6"/>
        <v>66.7</v>
      </c>
      <c r="P17" s="10">
        <f t="shared" si="7"/>
        <v>0</v>
      </c>
      <c r="Q17" s="11">
        <f t="shared" si="8"/>
        <v>16</v>
      </c>
      <c r="R17" s="9">
        <v>0.0</v>
      </c>
      <c r="S17" s="12">
        <v>45760.99513888889</v>
      </c>
      <c r="T17" s="5" t="s">
        <v>25</v>
      </c>
      <c r="U17" s="9">
        <v>1.0</v>
      </c>
      <c r="V17" s="4" t="str">
        <f t="array" ref="V17">IFERROR(INDEX('사용자목록'!O:O, MATCH(A17, '사용자목록'!A:A, 0)),"아이언")</f>
        <v>골드</v>
      </c>
      <c r="W17" s="4"/>
      <c r="X17" s="4"/>
      <c r="Y17" s="4"/>
    </row>
    <row r="18">
      <c r="A18" s="5" t="s">
        <v>40</v>
      </c>
      <c r="B18" s="9">
        <v>0.0</v>
      </c>
      <c r="C18" s="9">
        <v>4.0</v>
      </c>
      <c r="D18" s="9">
        <v>0.0</v>
      </c>
      <c r="E18" s="9">
        <v>0.0</v>
      </c>
      <c r="F18" s="9">
        <v>2.0</v>
      </c>
      <c r="G18" s="9">
        <v>5.0</v>
      </c>
      <c r="H18" s="9">
        <v>5.0</v>
      </c>
      <c r="I18" s="9">
        <v>3.0</v>
      </c>
      <c r="J18" s="5">
        <f t="shared" ref="J18:K18" si="23">B18+D18+F18+H18</f>
        <v>7</v>
      </c>
      <c r="K18" s="4">
        <f t="shared" si="23"/>
        <v>12</v>
      </c>
      <c r="L18" s="10">
        <f t="shared" si="3"/>
        <v>36.8</v>
      </c>
      <c r="M18" s="10">
        <f t="shared" si="4"/>
        <v>0</v>
      </c>
      <c r="N18" s="10">
        <f t="shared" si="5"/>
        <v>0</v>
      </c>
      <c r="O18" s="10">
        <f t="shared" si="6"/>
        <v>28.6</v>
      </c>
      <c r="P18" s="10">
        <f t="shared" si="7"/>
        <v>62.5</v>
      </c>
      <c r="Q18" s="11">
        <f t="shared" si="8"/>
        <v>17</v>
      </c>
      <c r="R18" s="9">
        <v>0.0</v>
      </c>
      <c r="S18" s="12">
        <v>45769.06736111111</v>
      </c>
      <c r="T18" s="5" t="s">
        <v>25</v>
      </c>
      <c r="U18" s="9">
        <v>0.0</v>
      </c>
      <c r="V18" s="4" t="str">
        <f t="array" ref="V18">IFERROR(INDEX('사용자목록'!O:O, MATCH(A18, '사용자목록'!A:A, 0)),"아이언")</f>
        <v>아이언</v>
      </c>
      <c r="W18" s="4"/>
      <c r="X18" s="4"/>
      <c r="Y18" s="4"/>
    </row>
    <row r="19">
      <c r="A19" s="5" t="s">
        <v>48</v>
      </c>
      <c r="B19" s="9">
        <v>2.0</v>
      </c>
      <c r="C19" s="9">
        <v>5.0</v>
      </c>
      <c r="D19" s="9">
        <v>2.0</v>
      </c>
      <c r="E19" s="9">
        <v>3.0</v>
      </c>
      <c r="F19" s="9">
        <v>1.0</v>
      </c>
      <c r="G19" s="9">
        <v>0.0</v>
      </c>
      <c r="H19" s="9">
        <v>0.0</v>
      </c>
      <c r="I19" s="9">
        <v>0.0</v>
      </c>
      <c r="J19" s="5">
        <f t="shared" ref="J19:K19" si="24">B19+D19+F19+H19</f>
        <v>5</v>
      </c>
      <c r="K19" s="4">
        <f t="shared" si="24"/>
        <v>8</v>
      </c>
      <c r="L19" s="10">
        <f t="shared" si="3"/>
        <v>38.5</v>
      </c>
      <c r="M19" s="10">
        <f t="shared" si="4"/>
        <v>28.6</v>
      </c>
      <c r="N19" s="10">
        <f t="shared" si="5"/>
        <v>40</v>
      </c>
      <c r="O19" s="10">
        <f t="shared" si="6"/>
        <v>100</v>
      </c>
      <c r="P19" s="10">
        <f t="shared" si="7"/>
        <v>0</v>
      </c>
      <c r="Q19" s="11">
        <f t="shared" si="8"/>
        <v>18</v>
      </c>
      <c r="R19" s="9">
        <v>0.0</v>
      </c>
      <c r="S19" s="12">
        <v>45760.950694444444</v>
      </c>
      <c r="T19" s="5" t="s">
        <v>25</v>
      </c>
      <c r="U19" s="9">
        <v>1.0</v>
      </c>
      <c r="V19" s="4" t="str">
        <f t="array" ref="V19">IFERROR(INDEX('사용자목록'!O:O, MATCH(A19, '사용자목록'!A:A, 0)),"아이언")</f>
        <v>아이언</v>
      </c>
      <c r="W19" s="4"/>
      <c r="X19" s="4"/>
      <c r="Y19" s="4"/>
    </row>
    <row r="20">
      <c r="A20" s="5" t="s">
        <v>50</v>
      </c>
      <c r="B20" s="9">
        <v>0.0</v>
      </c>
      <c r="C20" s="9">
        <v>2.0</v>
      </c>
      <c r="D20" s="9">
        <v>2.0</v>
      </c>
      <c r="E20" s="9">
        <v>2.0</v>
      </c>
      <c r="F20" s="9">
        <v>2.0</v>
      </c>
      <c r="G20" s="9">
        <v>1.0</v>
      </c>
      <c r="H20" s="9">
        <v>0.0</v>
      </c>
      <c r="I20" s="9">
        <v>0.0</v>
      </c>
      <c r="J20" s="5">
        <f t="shared" ref="J20:K20" si="25">B20+D20+F20+H20</f>
        <v>4</v>
      </c>
      <c r="K20" s="4">
        <f t="shared" si="25"/>
        <v>5</v>
      </c>
      <c r="L20" s="10">
        <f t="shared" si="3"/>
        <v>44.4</v>
      </c>
      <c r="M20" s="10">
        <f t="shared" si="4"/>
        <v>0</v>
      </c>
      <c r="N20" s="10">
        <f t="shared" si="5"/>
        <v>50</v>
      </c>
      <c r="O20" s="10">
        <f t="shared" si="6"/>
        <v>66.7</v>
      </c>
      <c r="P20" s="10">
        <f t="shared" si="7"/>
        <v>0</v>
      </c>
      <c r="Q20" s="11">
        <f t="shared" si="8"/>
        <v>19</v>
      </c>
      <c r="R20" s="9">
        <v>0.0</v>
      </c>
      <c r="S20" s="12">
        <v>45754.89791666667</v>
      </c>
      <c r="T20" s="5" t="s">
        <v>25</v>
      </c>
      <c r="U20" s="9">
        <v>0.0</v>
      </c>
      <c r="V20" s="4" t="str">
        <f t="array" ref="V20">IFERROR(INDEX('사용자목록'!O:O, MATCH(A20, '사용자목록'!A:A, 0)),"아이언")</f>
        <v>아이언</v>
      </c>
      <c r="W20" s="4"/>
      <c r="X20" s="4"/>
      <c r="Y20" s="4"/>
    </row>
    <row r="21">
      <c r="A21" s="5" t="s">
        <v>9614</v>
      </c>
      <c r="B21" s="9">
        <v>2.0</v>
      </c>
      <c r="C21" s="9">
        <v>1.0</v>
      </c>
      <c r="D21" s="9">
        <v>0.0</v>
      </c>
      <c r="E21" s="9">
        <v>1.0</v>
      </c>
      <c r="F21" s="9">
        <v>0.0</v>
      </c>
      <c r="G21" s="9">
        <v>2.0</v>
      </c>
      <c r="H21" s="9">
        <v>1.0</v>
      </c>
      <c r="I21" s="9">
        <v>0.0</v>
      </c>
      <c r="J21" s="5">
        <f t="shared" ref="J21:K21" si="26">B21+D21+F21+H21</f>
        <v>3</v>
      </c>
      <c r="K21" s="4">
        <f t="shared" si="26"/>
        <v>4</v>
      </c>
      <c r="L21" s="10">
        <f t="shared" si="3"/>
        <v>42.9</v>
      </c>
      <c r="M21" s="10">
        <f t="shared" si="4"/>
        <v>66.7</v>
      </c>
      <c r="N21" s="10">
        <f t="shared" si="5"/>
        <v>0</v>
      </c>
      <c r="O21" s="10">
        <f t="shared" si="6"/>
        <v>0</v>
      </c>
      <c r="P21" s="10">
        <f t="shared" si="7"/>
        <v>100</v>
      </c>
      <c r="Q21" s="11">
        <f t="shared" si="8"/>
        <v>20</v>
      </c>
      <c r="R21" s="9">
        <v>0.0</v>
      </c>
      <c r="S21" s="12">
        <v>45745.01944444444</v>
      </c>
      <c r="T21" s="5" t="s">
        <v>25</v>
      </c>
      <c r="U21" s="9">
        <v>3.0</v>
      </c>
      <c r="V21" s="4" t="str">
        <f t="array" ref="V21">IFERROR(INDEX('사용자목록'!O:O, MATCH(A21, '사용자목록'!A:A, 0)),"아이언")</f>
        <v>아이언</v>
      </c>
      <c r="W21" s="4"/>
      <c r="X21" s="4"/>
      <c r="Y21" s="4"/>
    </row>
    <row r="22">
      <c r="A22" s="5" t="s">
        <v>28</v>
      </c>
      <c r="B22" s="9">
        <v>0.0</v>
      </c>
      <c r="C22" s="9">
        <v>0.0</v>
      </c>
      <c r="D22" s="9">
        <v>2.0</v>
      </c>
      <c r="E22" s="9">
        <v>2.0</v>
      </c>
      <c r="F22" s="9">
        <v>1.0</v>
      </c>
      <c r="G22" s="9">
        <v>1.0</v>
      </c>
      <c r="H22" s="9">
        <v>0.0</v>
      </c>
      <c r="I22" s="9">
        <v>1.0</v>
      </c>
      <c r="J22" s="5">
        <f t="shared" ref="J22:K22" si="27">B22+D22+F22+H22</f>
        <v>3</v>
      </c>
      <c r="K22" s="4">
        <f t="shared" si="27"/>
        <v>4</v>
      </c>
      <c r="L22" s="10">
        <f t="shared" si="3"/>
        <v>42.9</v>
      </c>
      <c r="M22" s="10">
        <f t="shared" si="4"/>
        <v>0</v>
      </c>
      <c r="N22" s="10">
        <f t="shared" si="5"/>
        <v>50</v>
      </c>
      <c r="O22" s="10">
        <f t="shared" si="6"/>
        <v>50</v>
      </c>
      <c r="P22" s="10">
        <f t="shared" si="7"/>
        <v>0</v>
      </c>
      <c r="Q22" s="11">
        <f t="shared" si="8"/>
        <v>21</v>
      </c>
      <c r="R22" s="9">
        <v>0.0</v>
      </c>
      <c r="S22" s="12">
        <v>45769.06736111111</v>
      </c>
      <c r="T22" s="5" t="s">
        <v>25</v>
      </c>
      <c r="U22" s="9">
        <v>0.0</v>
      </c>
      <c r="V22" s="4" t="str">
        <f t="array" ref="V22">IFERROR(INDEX('사용자목록'!O:O, MATCH(A22, '사용자목록'!A:A, 0)),"아이언")</f>
        <v>마스터</v>
      </c>
      <c r="W22" s="4"/>
      <c r="X22" s="4"/>
      <c r="Y22" s="4"/>
    </row>
    <row r="23">
      <c r="A23" s="5" t="s">
        <v>56</v>
      </c>
      <c r="B23" s="9">
        <v>0.0</v>
      </c>
      <c r="C23" s="9">
        <v>0.0</v>
      </c>
      <c r="D23" s="9">
        <v>0.0</v>
      </c>
      <c r="E23" s="9">
        <v>1.0</v>
      </c>
      <c r="F23" s="9">
        <v>1.0</v>
      </c>
      <c r="G23" s="9">
        <v>4.0</v>
      </c>
      <c r="H23" s="9">
        <v>1.0</v>
      </c>
      <c r="I23" s="9">
        <v>1.0</v>
      </c>
      <c r="J23" s="5">
        <f t="shared" ref="J23:K23" si="28">B23+D23+F23+H23</f>
        <v>2</v>
      </c>
      <c r="K23" s="4">
        <f t="shared" si="28"/>
        <v>6</v>
      </c>
      <c r="L23" s="10">
        <f t="shared" si="3"/>
        <v>25</v>
      </c>
      <c r="M23" s="10">
        <f t="shared" si="4"/>
        <v>0</v>
      </c>
      <c r="N23" s="10">
        <f t="shared" si="5"/>
        <v>0</v>
      </c>
      <c r="O23" s="10">
        <f t="shared" si="6"/>
        <v>20</v>
      </c>
      <c r="P23" s="10">
        <f t="shared" si="7"/>
        <v>50</v>
      </c>
      <c r="Q23" s="11">
        <f t="shared" si="8"/>
        <v>22</v>
      </c>
      <c r="R23" s="9">
        <v>0.0</v>
      </c>
      <c r="S23" s="12">
        <v>45745.10555555556</v>
      </c>
      <c r="T23" s="5" t="s">
        <v>25</v>
      </c>
      <c r="U23" s="9">
        <v>1.0</v>
      </c>
      <c r="V23" s="4" t="str">
        <f t="array" ref="V23">IFERROR(INDEX('사용자목록'!O:O, MATCH(A23, '사용자목록'!A:A, 0)),"아이언")</f>
        <v>아이언</v>
      </c>
      <c r="W23" s="4"/>
      <c r="X23" s="4"/>
      <c r="Y23" s="4"/>
    </row>
    <row r="24">
      <c r="A24" s="5" t="s">
        <v>60</v>
      </c>
      <c r="B24" s="9">
        <v>0.0</v>
      </c>
      <c r="C24" s="9">
        <v>2.0</v>
      </c>
      <c r="D24" s="9">
        <v>0.0</v>
      </c>
      <c r="E24" s="9">
        <v>0.0</v>
      </c>
      <c r="F24" s="9">
        <v>0.0</v>
      </c>
      <c r="G24" s="9">
        <v>1.0</v>
      </c>
      <c r="H24" s="9">
        <v>2.0</v>
      </c>
      <c r="I24" s="9">
        <v>4.0</v>
      </c>
      <c r="J24" s="5">
        <f t="shared" ref="J24:K24" si="29">B24+D24+F24+H24</f>
        <v>2</v>
      </c>
      <c r="K24" s="4">
        <f t="shared" si="29"/>
        <v>7</v>
      </c>
      <c r="L24" s="10">
        <f t="shared" si="3"/>
        <v>22.2</v>
      </c>
      <c r="M24" s="10">
        <f t="shared" si="4"/>
        <v>0</v>
      </c>
      <c r="N24" s="10">
        <f t="shared" si="5"/>
        <v>0</v>
      </c>
      <c r="O24" s="10">
        <f t="shared" si="6"/>
        <v>0</v>
      </c>
      <c r="P24" s="10">
        <f t="shared" si="7"/>
        <v>33.3</v>
      </c>
      <c r="Q24" s="11">
        <f t="shared" si="8"/>
        <v>23</v>
      </c>
      <c r="R24" s="9">
        <v>0.0</v>
      </c>
      <c r="S24" s="12">
        <v>45756.958333333336</v>
      </c>
      <c r="T24" s="5" t="s">
        <v>25</v>
      </c>
      <c r="U24" s="9">
        <v>0.0</v>
      </c>
      <c r="V24" s="4" t="str">
        <f t="array" ref="V24">IFERROR(INDEX('사용자목록'!O:O, MATCH(A24, '사용자목록'!A:A, 0)),"아이언")</f>
        <v>아이언</v>
      </c>
      <c r="W24" s="4"/>
      <c r="X24" s="4"/>
      <c r="Y24" s="4"/>
    </row>
    <row r="25">
      <c r="A25" s="5" t="s">
        <v>9764</v>
      </c>
      <c r="B25" s="9">
        <v>0.0</v>
      </c>
      <c r="C25" s="9">
        <v>0.0</v>
      </c>
      <c r="D25" s="9">
        <v>0.0</v>
      </c>
      <c r="E25" s="9">
        <v>0.0</v>
      </c>
      <c r="F25" s="9">
        <v>0.0</v>
      </c>
      <c r="G25" s="9">
        <v>0.0</v>
      </c>
      <c r="H25" s="9">
        <v>1.0</v>
      </c>
      <c r="I25" s="9">
        <v>0.0</v>
      </c>
      <c r="J25" s="5">
        <f t="shared" ref="J25:K25" si="30">B25+D25+F25+H25</f>
        <v>1</v>
      </c>
      <c r="K25" s="4">
        <f t="shared" si="30"/>
        <v>0</v>
      </c>
      <c r="L25" s="10">
        <f t="shared" si="3"/>
        <v>100</v>
      </c>
      <c r="M25" s="10">
        <f t="shared" si="4"/>
        <v>0</v>
      </c>
      <c r="N25" s="10">
        <f t="shared" si="5"/>
        <v>0</v>
      </c>
      <c r="O25" s="10">
        <f t="shared" si="6"/>
        <v>0</v>
      </c>
      <c r="P25" s="10">
        <f t="shared" si="7"/>
        <v>100</v>
      </c>
      <c r="Q25" s="11">
        <f t="shared" si="8"/>
        <v>24</v>
      </c>
      <c r="R25" s="9">
        <v>0.0</v>
      </c>
      <c r="S25" s="12">
        <v>45733.87430555555</v>
      </c>
      <c r="T25" s="5" t="s">
        <v>25</v>
      </c>
      <c r="U25" s="9">
        <v>1.0</v>
      </c>
      <c r="V25" s="4" t="str">
        <f t="array" ref="V25">IFERROR(INDEX('사용자목록'!O:O, MATCH(A25, '사용자목록'!A:A, 0)),"아이언")</f>
        <v>아이언</v>
      </c>
      <c r="W25" s="4"/>
      <c r="X25" s="4"/>
      <c r="Y25" s="4"/>
    </row>
    <row r="26">
      <c r="A26" s="5" t="s">
        <v>9679</v>
      </c>
      <c r="B26" s="9">
        <v>0.0</v>
      </c>
      <c r="C26" s="9">
        <v>0.0</v>
      </c>
      <c r="D26" s="9">
        <v>0.0</v>
      </c>
      <c r="E26" s="9">
        <v>2.0</v>
      </c>
      <c r="F26" s="9">
        <v>1.0</v>
      </c>
      <c r="G26" s="9">
        <v>0.0</v>
      </c>
      <c r="H26" s="9">
        <v>0.0</v>
      </c>
      <c r="I26" s="9">
        <v>1.0</v>
      </c>
      <c r="J26" s="5">
        <f t="shared" ref="J26:K26" si="31">B26+D26+F26+H26</f>
        <v>1</v>
      </c>
      <c r="K26" s="4">
        <f t="shared" si="31"/>
        <v>3</v>
      </c>
      <c r="L26" s="10">
        <f t="shared" si="3"/>
        <v>25</v>
      </c>
      <c r="M26" s="10">
        <f t="shared" si="4"/>
        <v>0</v>
      </c>
      <c r="N26" s="10">
        <f t="shared" si="5"/>
        <v>0</v>
      </c>
      <c r="O26" s="10">
        <f t="shared" si="6"/>
        <v>100</v>
      </c>
      <c r="P26" s="10">
        <f t="shared" si="7"/>
        <v>0</v>
      </c>
      <c r="Q26" s="11">
        <f t="shared" si="8"/>
        <v>25</v>
      </c>
      <c r="R26" s="9">
        <v>0.0</v>
      </c>
      <c r="S26" s="12">
        <v>45743.71597222222</v>
      </c>
      <c r="T26" s="5" t="s">
        <v>25</v>
      </c>
      <c r="U26" s="9">
        <v>0.0</v>
      </c>
      <c r="V26" s="4" t="str">
        <f t="array" ref="V26">IFERROR(INDEX('사용자목록'!O:O, MATCH(A26, '사용자목록'!A:A, 0)),"아이언")</f>
        <v>아이언</v>
      </c>
      <c r="W26" s="4"/>
      <c r="X26" s="4"/>
      <c r="Y26" s="4"/>
    </row>
    <row r="27">
      <c r="A27" s="5" t="s">
        <v>9711</v>
      </c>
      <c r="B27" s="9">
        <v>0.0</v>
      </c>
      <c r="C27" s="9">
        <v>0.0</v>
      </c>
      <c r="D27" s="9">
        <v>1.0</v>
      </c>
      <c r="E27" s="9">
        <v>1.0</v>
      </c>
      <c r="F27" s="9">
        <v>0.0</v>
      </c>
      <c r="G27" s="9">
        <v>0.0</v>
      </c>
      <c r="H27" s="9">
        <v>0.0</v>
      </c>
      <c r="I27" s="9">
        <v>0.0</v>
      </c>
      <c r="J27" s="5">
        <f t="shared" ref="J27:K27" si="32">B27+D27+F27+H27</f>
        <v>1</v>
      </c>
      <c r="K27" s="4">
        <f t="shared" si="32"/>
        <v>1</v>
      </c>
      <c r="L27" s="10">
        <f t="shared" si="3"/>
        <v>50</v>
      </c>
      <c r="M27" s="10">
        <f t="shared" si="4"/>
        <v>0</v>
      </c>
      <c r="N27" s="10">
        <f t="shared" si="5"/>
        <v>50</v>
      </c>
      <c r="O27" s="10">
        <f t="shared" si="6"/>
        <v>0</v>
      </c>
      <c r="P27" s="10">
        <f t="shared" si="7"/>
        <v>0</v>
      </c>
      <c r="Q27" s="11">
        <f t="shared" si="8"/>
        <v>26</v>
      </c>
      <c r="R27" s="9">
        <v>0.0</v>
      </c>
      <c r="S27" s="12">
        <v>45760.87708333333</v>
      </c>
      <c r="T27" s="5" t="s">
        <v>25</v>
      </c>
      <c r="U27" s="9">
        <v>0.0</v>
      </c>
      <c r="V27" s="4" t="str">
        <f t="array" ref="V27">IFERROR(INDEX('사용자목록'!O:O, MATCH(A27, '사용자목록'!A:A, 0)),"아이언")</f>
        <v>아이언</v>
      </c>
      <c r="W27" s="4"/>
      <c r="X27" s="4"/>
      <c r="Y27" s="4"/>
    </row>
    <row r="28">
      <c r="A28" s="5" t="s">
        <v>46</v>
      </c>
      <c r="B28" s="9">
        <v>0.0</v>
      </c>
      <c r="C28" s="5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5">
        <f t="shared" ref="J28:K28" si="33">B28+D28+F28+H28</f>
        <v>0</v>
      </c>
      <c r="K28" s="4">
        <f t="shared" si="33"/>
        <v>0</v>
      </c>
      <c r="L28" s="10">
        <f t="shared" si="3"/>
        <v>0</v>
      </c>
      <c r="M28" s="10">
        <f t="shared" si="4"/>
        <v>0</v>
      </c>
      <c r="N28" s="10">
        <f t="shared" si="5"/>
        <v>0</v>
      </c>
      <c r="O28" s="10">
        <f t="shared" si="6"/>
        <v>0</v>
      </c>
      <c r="P28" s="10">
        <f t="shared" si="7"/>
        <v>0</v>
      </c>
      <c r="Q28" s="11">
        <f t="shared" si="8"/>
        <v>27</v>
      </c>
      <c r="R28" s="9">
        <v>0.0</v>
      </c>
      <c r="S28" s="12">
        <v>45666.05</v>
      </c>
      <c r="T28" s="5" t="s">
        <v>47</v>
      </c>
      <c r="U28" s="5">
        <v>0.0</v>
      </c>
      <c r="V28" s="4" t="str">
        <f t="array" ref="V28">IFERROR(INDEX('사용자목록'!O:O, MATCH(A28, '사용자목록'!A:A, 0)),"아이언")</f>
        <v>아이언</v>
      </c>
      <c r="W28" s="4"/>
      <c r="X28" s="4"/>
      <c r="Y28" s="4"/>
    </row>
    <row r="29">
      <c r="A29" s="5" t="s">
        <v>9705</v>
      </c>
      <c r="B29" s="9">
        <v>0.0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2.0</v>
      </c>
      <c r="J29" s="5">
        <f t="shared" ref="J29:K29" si="34">B29+D29+F29+H29</f>
        <v>0</v>
      </c>
      <c r="K29" s="4">
        <f t="shared" si="34"/>
        <v>2</v>
      </c>
      <c r="L29" s="10">
        <f t="shared" si="3"/>
        <v>0</v>
      </c>
      <c r="M29" s="10">
        <f t="shared" si="4"/>
        <v>0</v>
      </c>
      <c r="N29" s="10">
        <f t="shared" si="5"/>
        <v>0</v>
      </c>
      <c r="O29" s="10">
        <f t="shared" si="6"/>
        <v>0</v>
      </c>
      <c r="P29" s="10">
        <f t="shared" si="7"/>
        <v>0</v>
      </c>
      <c r="Q29" s="11">
        <f t="shared" si="8"/>
        <v>28</v>
      </c>
      <c r="R29" s="9">
        <v>0.0</v>
      </c>
      <c r="S29" s="12">
        <v>45740.92083333333</v>
      </c>
      <c r="T29" s="5" t="s">
        <v>25</v>
      </c>
      <c r="U29" s="9">
        <v>0.0</v>
      </c>
      <c r="V29" s="4" t="str">
        <f t="array" ref="V29">IFERROR(INDEX('사용자목록'!O:O, MATCH(A29, '사용자목록'!A:A, 0)),"아이언")</f>
        <v>아이언</v>
      </c>
      <c r="W29" s="4"/>
      <c r="X29" s="4"/>
      <c r="Y29" s="4"/>
    </row>
    <row r="30">
      <c r="A30" s="5" t="s">
        <v>33</v>
      </c>
      <c r="B30" s="9">
        <v>0.0</v>
      </c>
      <c r="C30" s="9">
        <v>1.0</v>
      </c>
      <c r="D30" s="9">
        <v>0.0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5">
        <f t="shared" ref="J30:K30" si="35">B30+D30+F30+H30</f>
        <v>0</v>
      </c>
      <c r="K30" s="4">
        <f t="shared" si="35"/>
        <v>1</v>
      </c>
      <c r="L30" s="10">
        <f t="shared" si="3"/>
        <v>0</v>
      </c>
      <c r="M30" s="10">
        <f t="shared" si="4"/>
        <v>0</v>
      </c>
      <c r="N30" s="10">
        <f t="shared" si="5"/>
        <v>0</v>
      </c>
      <c r="O30" s="10">
        <f t="shared" si="6"/>
        <v>0</v>
      </c>
      <c r="P30" s="10">
        <f t="shared" si="7"/>
        <v>0</v>
      </c>
      <c r="Q30" s="11">
        <f t="shared" si="8"/>
        <v>29</v>
      </c>
      <c r="R30" s="9">
        <v>0.0</v>
      </c>
      <c r="S30" s="12">
        <v>45743.8625</v>
      </c>
      <c r="T30" s="5" t="s">
        <v>25</v>
      </c>
      <c r="U30" s="9">
        <v>0.0</v>
      </c>
      <c r="V30" s="4" t="str">
        <f t="array" ref="V30">IFERROR(INDEX('사용자목록'!O:O, MATCH(A30, '사용자목록'!A:A, 0)),"아이언")</f>
        <v>플래티넘</v>
      </c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0" max="11" width="6.88"/>
    <col customWidth="1" min="12" max="16" width="8.63"/>
    <col customWidth="1" min="17" max="17" width="4.38"/>
    <col customWidth="1" min="18" max="18" width="16.5"/>
    <col customWidth="1" min="19" max="19" width="23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4"/>
      <c r="X1" s="4"/>
      <c r="Y1" s="4"/>
    </row>
    <row r="2">
      <c r="A2" s="5" t="s">
        <v>24</v>
      </c>
      <c r="B2" s="9">
        <v>9.0</v>
      </c>
      <c r="C2" s="9">
        <v>5.0</v>
      </c>
      <c r="D2" s="9">
        <v>16.0</v>
      </c>
      <c r="E2" s="9">
        <v>13.0</v>
      </c>
      <c r="F2" s="9">
        <v>10.0</v>
      </c>
      <c r="G2" s="9">
        <v>4.0</v>
      </c>
      <c r="H2" s="5">
        <v>26.0</v>
      </c>
      <c r="I2" s="9">
        <v>5.0</v>
      </c>
      <c r="J2" s="5">
        <f t="shared" ref="J2:K2" si="1">B2+D2+F2+H2</f>
        <v>61</v>
      </c>
      <c r="K2" s="4">
        <f t="shared" si="1"/>
        <v>27</v>
      </c>
      <c r="L2" s="10">
        <f t="shared" ref="L2:L24" si="3">ROUND(IFERROR(J2/(J2+K2),0)*100,1)</f>
        <v>69.3</v>
      </c>
      <c r="M2" s="10">
        <f t="shared" ref="M2:M24" si="4">ROUND(IFERROR(B2/(B2+C2),0)*100,1)</f>
        <v>64.3</v>
      </c>
      <c r="N2" s="10">
        <f t="shared" ref="N2:N24" si="5">ROUND(IFERROR(D2/(D2+E2),0)*100,1)</f>
        <v>55.2</v>
      </c>
      <c r="O2" s="10">
        <f t="shared" ref="O2:O24" si="6">ROUND(IFERROR(F2/(F2+G2),0)*100,1)</f>
        <v>71.4</v>
      </c>
      <c r="P2" s="10">
        <f t="shared" ref="P2:P24" si="7">ROUND(IFERROR(H2/(I2+H2),0)*100,1)</f>
        <v>83.9</v>
      </c>
      <c r="Q2" s="11">
        <f t="shared" ref="Q2:Q24" si="8">ROW()-1</f>
        <v>1</v>
      </c>
      <c r="R2" s="5">
        <v>1694.0</v>
      </c>
      <c r="S2" s="12">
        <v>45848.03472222222</v>
      </c>
      <c r="T2" s="5" t="s">
        <v>25</v>
      </c>
      <c r="U2" s="9">
        <v>16.0</v>
      </c>
      <c r="V2" s="4" t="str">
        <f t="array" ref="V2">IFERROR(INDEX('사용자목록'!O:O, MATCH(A2, '사용자목록'!A:A, 0)),"아이언")</f>
        <v>마스터</v>
      </c>
      <c r="W2" s="4"/>
      <c r="X2" s="4"/>
      <c r="Y2" s="4"/>
    </row>
    <row r="3">
      <c r="A3" s="5" t="s">
        <v>29</v>
      </c>
      <c r="B3" s="9">
        <v>9.0</v>
      </c>
      <c r="C3" s="9">
        <v>7.0</v>
      </c>
      <c r="D3" s="9">
        <v>15.0</v>
      </c>
      <c r="E3" s="9">
        <v>8.0</v>
      </c>
      <c r="F3" s="9">
        <v>8.0</v>
      </c>
      <c r="G3" s="5">
        <v>5.0</v>
      </c>
      <c r="H3" s="5">
        <v>12.0</v>
      </c>
      <c r="I3" s="5">
        <v>13.0</v>
      </c>
      <c r="J3" s="5">
        <f t="shared" ref="J3:K3" si="2">B3+D3+F3+H3</f>
        <v>44</v>
      </c>
      <c r="K3" s="4">
        <f t="shared" si="2"/>
        <v>33</v>
      </c>
      <c r="L3" s="10">
        <f t="shared" si="3"/>
        <v>57.1</v>
      </c>
      <c r="M3" s="10">
        <f t="shared" si="4"/>
        <v>56.3</v>
      </c>
      <c r="N3" s="10">
        <f t="shared" si="5"/>
        <v>65.2</v>
      </c>
      <c r="O3" s="10">
        <f t="shared" si="6"/>
        <v>61.5</v>
      </c>
      <c r="P3" s="10">
        <f t="shared" si="7"/>
        <v>48</v>
      </c>
      <c r="Q3" s="11">
        <f t="shared" si="8"/>
        <v>2</v>
      </c>
      <c r="R3" s="5">
        <v>1557.0</v>
      </c>
      <c r="S3" s="12">
        <v>45848.03472222222</v>
      </c>
      <c r="T3" s="5" t="s">
        <v>25</v>
      </c>
      <c r="U3" s="9">
        <v>14.0</v>
      </c>
      <c r="V3" s="4" t="str">
        <f t="array" ref="V3">IFERROR(INDEX('사용자목록'!O:O, MATCH(A3, '사용자목록'!A:A, 0)),"아이언")</f>
        <v>아이언</v>
      </c>
      <c r="W3" s="4"/>
      <c r="X3" s="4"/>
      <c r="Y3" s="4"/>
    </row>
    <row r="4">
      <c r="A4" s="5" t="s">
        <v>27</v>
      </c>
      <c r="B4" s="9">
        <v>18.0</v>
      </c>
      <c r="C4" s="9">
        <v>20.0</v>
      </c>
      <c r="D4" s="9">
        <v>27.0</v>
      </c>
      <c r="E4" s="9">
        <v>17.0</v>
      </c>
      <c r="F4" s="5">
        <v>14.0</v>
      </c>
      <c r="G4" s="5">
        <v>14.0</v>
      </c>
      <c r="H4" s="9">
        <v>0.0</v>
      </c>
      <c r="I4" s="9">
        <v>0.0</v>
      </c>
      <c r="J4" s="5">
        <f t="shared" ref="J4:K4" si="9">B4+D4+F4+H4</f>
        <v>59</v>
      </c>
      <c r="K4" s="4">
        <f t="shared" si="9"/>
        <v>51</v>
      </c>
      <c r="L4" s="10">
        <f t="shared" si="3"/>
        <v>53.6</v>
      </c>
      <c r="M4" s="10">
        <f t="shared" si="4"/>
        <v>47.4</v>
      </c>
      <c r="N4" s="10">
        <f t="shared" si="5"/>
        <v>61.4</v>
      </c>
      <c r="O4" s="10">
        <f t="shared" si="6"/>
        <v>50</v>
      </c>
      <c r="P4" s="10">
        <f t="shared" si="7"/>
        <v>0</v>
      </c>
      <c r="Q4" s="11">
        <f t="shared" si="8"/>
        <v>3</v>
      </c>
      <c r="R4" s="5">
        <v>1526.0</v>
      </c>
      <c r="S4" s="12">
        <v>45848.03472222222</v>
      </c>
      <c r="T4" s="5" t="s">
        <v>25</v>
      </c>
      <c r="U4" s="9">
        <v>0.0</v>
      </c>
      <c r="V4" s="4" t="str">
        <f t="array" ref="V4">IFERROR(INDEX('사용자목록'!O:O, MATCH(A4, '사용자목록'!A:A, 0)),"아이언")</f>
        <v>마스터</v>
      </c>
      <c r="W4" s="4"/>
      <c r="X4" s="4"/>
      <c r="Y4" s="4"/>
    </row>
    <row r="5">
      <c r="A5" s="5" t="s">
        <v>39</v>
      </c>
      <c r="B5" s="9">
        <v>7.0</v>
      </c>
      <c r="C5" s="9">
        <v>5.0</v>
      </c>
      <c r="D5" s="5">
        <v>3.0</v>
      </c>
      <c r="E5" s="9">
        <v>3.0</v>
      </c>
      <c r="F5" s="9">
        <v>7.0</v>
      </c>
      <c r="G5" s="9">
        <v>7.0</v>
      </c>
      <c r="H5" s="9">
        <v>12.0</v>
      </c>
      <c r="I5" s="9">
        <v>8.0</v>
      </c>
      <c r="J5" s="5">
        <f t="shared" ref="J5:K5" si="10">B5+D5+F5+H5</f>
        <v>29</v>
      </c>
      <c r="K5" s="4">
        <f t="shared" si="10"/>
        <v>23</v>
      </c>
      <c r="L5" s="10">
        <f t="shared" si="3"/>
        <v>55.8</v>
      </c>
      <c r="M5" s="10">
        <f t="shared" si="4"/>
        <v>58.3</v>
      </c>
      <c r="N5" s="10">
        <f t="shared" si="5"/>
        <v>50</v>
      </c>
      <c r="O5" s="10">
        <f t="shared" si="6"/>
        <v>50</v>
      </c>
      <c r="P5" s="10">
        <f t="shared" si="7"/>
        <v>60</v>
      </c>
      <c r="Q5" s="11">
        <f t="shared" si="8"/>
        <v>4</v>
      </c>
      <c r="R5" s="5">
        <v>1493.0</v>
      </c>
      <c r="S5" s="12">
        <v>45848.03472222222</v>
      </c>
      <c r="T5" s="5" t="s">
        <v>25</v>
      </c>
      <c r="U5" s="9">
        <v>0.0</v>
      </c>
      <c r="V5" s="4" t="str">
        <f t="array" ref="V5">IFERROR(INDEX('사용자목록'!O:O, MATCH(A5, '사용자목록'!A:A, 0)),"아이언")</f>
        <v>다이아</v>
      </c>
      <c r="W5" s="4"/>
      <c r="X5" s="4"/>
      <c r="Y5" s="4"/>
    </row>
    <row r="6">
      <c r="A6" s="5" t="s">
        <v>42</v>
      </c>
      <c r="B6" s="5">
        <v>17.0</v>
      </c>
      <c r="C6" s="9">
        <v>12.0</v>
      </c>
      <c r="D6" s="5">
        <v>12.0</v>
      </c>
      <c r="E6" s="5">
        <v>29.0</v>
      </c>
      <c r="F6" s="9">
        <v>24.0</v>
      </c>
      <c r="G6" s="9">
        <v>7.0</v>
      </c>
      <c r="H6" s="9">
        <v>0.0</v>
      </c>
      <c r="I6" s="9">
        <v>2.0</v>
      </c>
      <c r="J6" s="5">
        <f t="shared" ref="J6:K6" si="11">B6+D6+F6+H6</f>
        <v>53</v>
      </c>
      <c r="K6" s="4">
        <f t="shared" si="11"/>
        <v>50</v>
      </c>
      <c r="L6" s="10">
        <f t="shared" si="3"/>
        <v>51.5</v>
      </c>
      <c r="M6" s="10">
        <f t="shared" si="4"/>
        <v>58.6</v>
      </c>
      <c r="N6" s="10">
        <f t="shared" si="5"/>
        <v>29.3</v>
      </c>
      <c r="O6" s="10">
        <f t="shared" si="6"/>
        <v>77.4</v>
      </c>
      <c r="P6" s="10">
        <f t="shared" si="7"/>
        <v>0</v>
      </c>
      <c r="Q6" s="11">
        <f t="shared" si="8"/>
        <v>5</v>
      </c>
      <c r="R6" s="5">
        <v>1471.0</v>
      </c>
      <c r="S6" s="12">
        <v>45848.03472222222</v>
      </c>
      <c r="T6" s="5" t="s">
        <v>25</v>
      </c>
      <c r="U6" s="9">
        <v>2.0</v>
      </c>
      <c r="V6" s="4" t="str">
        <f t="array" ref="V6">IFERROR(INDEX('사용자목록'!O:O, MATCH(A6, '사용자목록'!A:A, 0)),"아이언")</f>
        <v>다이아</v>
      </c>
      <c r="W6" s="4"/>
      <c r="X6" s="4"/>
      <c r="Y6" s="4"/>
    </row>
    <row r="7">
      <c r="A7" s="5" t="s">
        <v>31</v>
      </c>
      <c r="B7" s="9">
        <v>7.0</v>
      </c>
      <c r="C7" s="9">
        <v>5.0</v>
      </c>
      <c r="D7" s="9">
        <v>7.0</v>
      </c>
      <c r="E7" s="9">
        <v>5.0</v>
      </c>
      <c r="F7" s="9">
        <v>9.0</v>
      </c>
      <c r="G7" s="9">
        <v>3.0</v>
      </c>
      <c r="H7" s="9">
        <v>2.0</v>
      </c>
      <c r="I7" s="9">
        <v>8.0</v>
      </c>
      <c r="J7" s="5">
        <f t="shared" ref="J7:K7" si="12">B7+D7+F7+H7</f>
        <v>25</v>
      </c>
      <c r="K7" s="4">
        <f t="shared" si="12"/>
        <v>21</v>
      </c>
      <c r="L7" s="10">
        <f t="shared" si="3"/>
        <v>54.3</v>
      </c>
      <c r="M7" s="10">
        <f t="shared" si="4"/>
        <v>58.3</v>
      </c>
      <c r="N7" s="10">
        <f t="shared" si="5"/>
        <v>58.3</v>
      </c>
      <c r="O7" s="10">
        <f t="shared" si="6"/>
        <v>75</v>
      </c>
      <c r="P7" s="10">
        <f t="shared" si="7"/>
        <v>20</v>
      </c>
      <c r="Q7" s="11">
        <f t="shared" si="8"/>
        <v>6</v>
      </c>
      <c r="R7" s="9">
        <v>1469.0</v>
      </c>
      <c r="S7" s="12">
        <v>45841.89097222222</v>
      </c>
      <c r="T7" s="5" t="s">
        <v>25</v>
      </c>
      <c r="U7" s="9">
        <v>8.0</v>
      </c>
      <c r="V7" s="4" t="str">
        <f t="array" ref="V7">IFERROR(INDEX('사용자목록'!O:O, MATCH(A7, '사용자목록'!A:A, 0)),"아이언")</f>
        <v>마스터</v>
      </c>
      <c r="W7" s="4"/>
      <c r="X7" s="4"/>
      <c r="Y7" s="4"/>
    </row>
    <row r="8">
      <c r="A8" s="5" t="s">
        <v>26</v>
      </c>
      <c r="B8" s="5">
        <v>6.0</v>
      </c>
      <c r="C8" s="5">
        <v>12.0</v>
      </c>
      <c r="D8" s="9">
        <v>10.0</v>
      </c>
      <c r="E8" s="5">
        <v>13.0</v>
      </c>
      <c r="F8" s="9">
        <v>12.0</v>
      </c>
      <c r="G8" s="9">
        <v>12.0</v>
      </c>
      <c r="H8" s="9">
        <v>19.0</v>
      </c>
      <c r="I8" s="9">
        <v>16.0</v>
      </c>
      <c r="J8" s="5">
        <f t="shared" ref="J8:K8" si="13">B8+D8+F8+H8</f>
        <v>47</v>
      </c>
      <c r="K8" s="4">
        <f t="shared" si="13"/>
        <v>53</v>
      </c>
      <c r="L8" s="10">
        <f t="shared" si="3"/>
        <v>47</v>
      </c>
      <c r="M8" s="10">
        <f t="shared" si="4"/>
        <v>33.3</v>
      </c>
      <c r="N8" s="10">
        <f t="shared" si="5"/>
        <v>43.5</v>
      </c>
      <c r="O8" s="10">
        <f t="shared" si="6"/>
        <v>50</v>
      </c>
      <c r="P8" s="10">
        <f t="shared" si="7"/>
        <v>54.3</v>
      </c>
      <c r="Q8" s="11">
        <f t="shared" si="8"/>
        <v>7</v>
      </c>
      <c r="R8" s="5">
        <v>1449.0</v>
      </c>
      <c r="S8" s="12">
        <v>45848.03472222222</v>
      </c>
      <c r="T8" s="5" t="s">
        <v>25</v>
      </c>
      <c r="U8" s="9">
        <v>10.0</v>
      </c>
      <c r="V8" s="4" t="str">
        <f t="array" ref="V8">IFERROR(INDEX('사용자목록'!O:O, MATCH(A8, '사용자목록'!A:A, 0)),"아이언")</f>
        <v>다이아</v>
      </c>
      <c r="W8" s="4"/>
      <c r="X8" s="4"/>
      <c r="Y8" s="4"/>
    </row>
    <row r="9">
      <c r="A9" s="5" t="s">
        <v>30</v>
      </c>
      <c r="B9" s="9">
        <v>21.0</v>
      </c>
      <c r="C9" s="9">
        <v>18.0</v>
      </c>
      <c r="D9" s="9">
        <v>4.0</v>
      </c>
      <c r="E9" s="9">
        <v>7.0</v>
      </c>
      <c r="F9" s="9">
        <v>13.0</v>
      </c>
      <c r="G9" s="9">
        <v>12.0</v>
      </c>
      <c r="H9" s="9">
        <v>15.0</v>
      </c>
      <c r="I9" s="5">
        <v>25.0</v>
      </c>
      <c r="J9" s="5">
        <f t="shared" ref="J9:K9" si="14">B9+D9+F9+H9</f>
        <v>53</v>
      </c>
      <c r="K9" s="4">
        <f t="shared" si="14"/>
        <v>62</v>
      </c>
      <c r="L9" s="10">
        <f t="shared" si="3"/>
        <v>46.1</v>
      </c>
      <c r="M9" s="10">
        <f t="shared" si="4"/>
        <v>53.8</v>
      </c>
      <c r="N9" s="10">
        <f t="shared" si="5"/>
        <v>36.4</v>
      </c>
      <c r="O9" s="10">
        <f t="shared" si="6"/>
        <v>52</v>
      </c>
      <c r="P9" s="10">
        <f t="shared" si="7"/>
        <v>37.5</v>
      </c>
      <c r="Q9" s="11">
        <f t="shared" si="8"/>
        <v>8</v>
      </c>
      <c r="R9" s="5">
        <v>1441.0</v>
      </c>
      <c r="S9" s="12">
        <v>45848.03472222222</v>
      </c>
      <c r="T9" s="5" t="s">
        <v>25</v>
      </c>
      <c r="U9" s="9">
        <v>0.0</v>
      </c>
      <c r="V9" s="4" t="str">
        <f t="array" ref="V9">IFERROR(INDEX('사용자목록'!O:O, MATCH(A9, '사용자목록'!A:A, 0)),"아이언")</f>
        <v>골드</v>
      </c>
      <c r="W9" s="4"/>
      <c r="X9" s="4"/>
      <c r="Y9" s="4"/>
    </row>
    <row r="10">
      <c r="A10" s="5" t="s">
        <v>35</v>
      </c>
      <c r="B10" s="9">
        <v>7.0</v>
      </c>
      <c r="C10" s="9">
        <v>8.0</v>
      </c>
      <c r="D10" s="9">
        <v>13.0</v>
      </c>
      <c r="E10" s="9">
        <v>9.0</v>
      </c>
      <c r="F10" s="9">
        <v>6.0</v>
      </c>
      <c r="G10" s="9">
        <v>13.0</v>
      </c>
      <c r="H10" s="9">
        <v>0.0</v>
      </c>
      <c r="I10" s="9">
        <v>0.0</v>
      </c>
      <c r="J10" s="5">
        <f t="shared" ref="J10:K10" si="15">B10+D10+F10+H10</f>
        <v>26</v>
      </c>
      <c r="K10" s="4">
        <f t="shared" si="15"/>
        <v>30</v>
      </c>
      <c r="L10" s="10">
        <f t="shared" si="3"/>
        <v>46.4</v>
      </c>
      <c r="M10" s="10">
        <f t="shared" si="4"/>
        <v>46.7</v>
      </c>
      <c r="N10" s="10">
        <f t="shared" si="5"/>
        <v>59.1</v>
      </c>
      <c r="O10" s="10">
        <f t="shared" si="6"/>
        <v>31.6</v>
      </c>
      <c r="P10" s="10">
        <f t="shared" si="7"/>
        <v>0</v>
      </c>
      <c r="Q10" s="11">
        <f t="shared" si="8"/>
        <v>9</v>
      </c>
      <c r="R10" s="9">
        <v>1341.0</v>
      </c>
      <c r="S10" s="12">
        <v>45841.89097222222</v>
      </c>
      <c r="T10" s="5" t="s">
        <v>25</v>
      </c>
      <c r="U10" s="9">
        <v>0.0</v>
      </c>
      <c r="V10" s="4" t="str">
        <f t="array" ref="V10">IFERROR(INDEX('사용자목록'!O:O, MATCH(A10, '사용자목록'!A:A, 0)),"아이언")</f>
        <v>골드</v>
      </c>
      <c r="W10" s="4"/>
      <c r="X10" s="4"/>
      <c r="Y10" s="4"/>
    </row>
    <row r="11">
      <c r="A11" s="5" t="s">
        <v>36</v>
      </c>
      <c r="B11" s="9">
        <v>10.0</v>
      </c>
      <c r="C11" s="5">
        <v>8.0</v>
      </c>
      <c r="D11" s="9">
        <v>0.0</v>
      </c>
      <c r="E11" s="9">
        <v>0.0</v>
      </c>
      <c r="F11" s="9">
        <v>10.0</v>
      </c>
      <c r="G11" s="9">
        <v>15.0</v>
      </c>
      <c r="H11" s="9">
        <v>18.0</v>
      </c>
      <c r="I11" s="9">
        <v>37.0</v>
      </c>
      <c r="J11" s="5">
        <f t="shared" ref="J11:K11" si="16">B11+D11+F11+H11</f>
        <v>38</v>
      </c>
      <c r="K11" s="4">
        <f t="shared" si="16"/>
        <v>60</v>
      </c>
      <c r="L11" s="10">
        <f t="shared" si="3"/>
        <v>38.8</v>
      </c>
      <c r="M11" s="10">
        <f t="shared" si="4"/>
        <v>55.6</v>
      </c>
      <c r="N11" s="10">
        <f t="shared" si="5"/>
        <v>0</v>
      </c>
      <c r="O11" s="10">
        <f t="shared" si="6"/>
        <v>40</v>
      </c>
      <c r="P11" s="10">
        <f t="shared" si="7"/>
        <v>32.7</v>
      </c>
      <c r="Q11" s="11">
        <f t="shared" si="8"/>
        <v>10</v>
      </c>
      <c r="R11" s="5">
        <v>1277.0</v>
      </c>
      <c r="S11" s="12">
        <v>45848.03472222222</v>
      </c>
      <c r="T11" s="5" t="s">
        <v>25</v>
      </c>
      <c r="U11" s="9">
        <v>0.0</v>
      </c>
      <c r="V11" s="4" t="str">
        <f t="array" ref="V11">IFERROR(INDEX('사용자목록'!O:O, MATCH(A11, '사용자목록'!A:A, 0)),"아이언")</f>
        <v>골드</v>
      </c>
      <c r="W11" s="4"/>
      <c r="X11" s="4"/>
      <c r="Y11" s="4"/>
    </row>
    <row r="12">
      <c r="A12" s="5" t="s">
        <v>34</v>
      </c>
      <c r="B12" s="9">
        <v>4.0</v>
      </c>
      <c r="C12" s="9">
        <v>7.0</v>
      </c>
      <c r="D12" s="9">
        <v>8.0</v>
      </c>
      <c r="E12" s="9">
        <v>14.0</v>
      </c>
      <c r="F12" s="9">
        <v>2.0</v>
      </c>
      <c r="G12" s="9">
        <v>15.0</v>
      </c>
      <c r="H12" s="9">
        <v>0.0</v>
      </c>
      <c r="I12" s="9">
        <v>0.0</v>
      </c>
      <c r="J12" s="5">
        <f t="shared" ref="J12:K12" si="17">B12+D12+F12+H12</f>
        <v>14</v>
      </c>
      <c r="K12" s="4">
        <f t="shared" si="17"/>
        <v>36</v>
      </c>
      <c r="L12" s="10">
        <f t="shared" si="3"/>
        <v>28</v>
      </c>
      <c r="M12" s="10">
        <f t="shared" si="4"/>
        <v>36.4</v>
      </c>
      <c r="N12" s="10">
        <f t="shared" si="5"/>
        <v>36.4</v>
      </c>
      <c r="O12" s="10">
        <f t="shared" si="6"/>
        <v>11.8</v>
      </c>
      <c r="P12" s="10">
        <f t="shared" si="7"/>
        <v>0</v>
      </c>
      <c r="Q12" s="11">
        <f t="shared" si="8"/>
        <v>11</v>
      </c>
      <c r="R12" s="5">
        <v>1039.0</v>
      </c>
      <c r="S12" s="12">
        <v>45829.1125</v>
      </c>
      <c r="T12" s="5" t="s">
        <v>25</v>
      </c>
      <c r="U12" s="9">
        <v>0.0</v>
      </c>
      <c r="V12" s="4" t="str">
        <f t="array" ref="V12">IFERROR(INDEX('사용자목록'!O:O, MATCH(A12, '사용자목록'!A:A, 0)),"아이언")</f>
        <v>실버</v>
      </c>
      <c r="W12" s="4"/>
      <c r="X12" s="4"/>
      <c r="Y12" s="4"/>
    </row>
    <row r="13">
      <c r="A13" s="5" t="s">
        <v>9609</v>
      </c>
      <c r="B13" s="9">
        <v>3.0</v>
      </c>
      <c r="C13" s="9">
        <v>2.0</v>
      </c>
      <c r="D13" s="9">
        <v>0.0</v>
      </c>
      <c r="E13" s="9">
        <v>0.0</v>
      </c>
      <c r="F13" s="9">
        <v>2.0</v>
      </c>
      <c r="G13" s="9">
        <v>2.0</v>
      </c>
      <c r="H13" s="9">
        <v>5.0</v>
      </c>
      <c r="I13" s="9">
        <v>2.0</v>
      </c>
      <c r="J13" s="5">
        <f t="shared" ref="J13:K13" si="18">B13+D13+F13+H13</f>
        <v>10</v>
      </c>
      <c r="K13" s="4">
        <f t="shared" si="18"/>
        <v>6</v>
      </c>
      <c r="L13" s="10">
        <f t="shared" si="3"/>
        <v>62.5</v>
      </c>
      <c r="M13" s="10">
        <f t="shared" si="4"/>
        <v>60</v>
      </c>
      <c r="N13" s="10">
        <f t="shared" si="5"/>
        <v>0</v>
      </c>
      <c r="O13" s="10">
        <f t="shared" si="6"/>
        <v>50</v>
      </c>
      <c r="P13" s="10">
        <f t="shared" si="7"/>
        <v>71.4</v>
      </c>
      <c r="Q13" s="11">
        <f t="shared" si="8"/>
        <v>12</v>
      </c>
      <c r="R13" s="9">
        <v>0.0</v>
      </c>
      <c r="S13" s="12">
        <v>45822.027083333334</v>
      </c>
      <c r="T13" s="5" t="s">
        <v>25</v>
      </c>
      <c r="U13" s="9">
        <v>0.0</v>
      </c>
      <c r="V13" s="4" t="str">
        <f t="array" ref="V13">IFERROR(INDEX('사용자목록'!O:O, MATCH(A13, '사용자목록'!A:A, 0)),"아이언")</f>
        <v>아이언</v>
      </c>
      <c r="W13" s="4"/>
      <c r="X13" s="4"/>
      <c r="Y13" s="4"/>
    </row>
    <row r="14">
      <c r="A14" s="5" t="s">
        <v>28</v>
      </c>
      <c r="B14" s="9">
        <v>0.0</v>
      </c>
      <c r="C14" s="9">
        <v>0.0</v>
      </c>
      <c r="D14" s="9">
        <v>3.0</v>
      </c>
      <c r="E14" s="9">
        <v>1.0</v>
      </c>
      <c r="F14" s="9">
        <v>1.0</v>
      </c>
      <c r="G14" s="9">
        <v>3.0</v>
      </c>
      <c r="H14" s="9">
        <v>4.0</v>
      </c>
      <c r="I14" s="9">
        <v>1.0</v>
      </c>
      <c r="J14" s="5">
        <f t="shared" ref="J14:K14" si="19">B14+D14+F14+H14</f>
        <v>8</v>
      </c>
      <c r="K14" s="4">
        <f t="shared" si="19"/>
        <v>5</v>
      </c>
      <c r="L14" s="10">
        <f t="shared" si="3"/>
        <v>61.5</v>
      </c>
      <c r="M14" s="10">
        <f t="shared" si="4"/>
        <v>0</v>
      </c>
      <c r="N14" s="10">
        <f t="shared" si="5"/>
        <v>75</v>
      </c>
      <c r="O14" s="10">
        <f t="shared" si="6"/>
        <v>25</v>
      </c>
      <c r="P14" s="10">
        <f t="shared" si="7"/>
        <v>80</v>
      </c>
      <c r="Q14" s="11">
        <f t="shared" si="8"/>
        <v>13</v>
      </c>
      <c r="R14" s="9">
        <v>0.0</v>
      </c>
      <c r="S14" s="12">
        <v>45840.91805555556</v>
      </c>
      <c r="T14" s="5" t="s">
        <v>25</v>
      </c>
      <c r="U14" s="9">
        <v>0.0</v>
      </c>
      <c r="V14" s="4" t="str">
        <f t="array" ref="V14">IFERROR(INDEX('사용자목록'!O:O, MATCH(A14, '사용자목록'!A:A, 0)),"아이언")</f>
        <v>마스터</v>
      </c>
      <c r="W14" s="4"/>
      <c r="X14" s="4"/>
      <c r="Y14" s="4"/>
    </row>
    <row r="15">
      <c r="A15" s="5" t="s">
        <v>40</v>
      </c>
      <c r="B15" s="9">
        <v>1.0</v>
      </c>
      <c r="C15" s="9">
        <v>1.0</v>
      </c>
      <c r="D15" s="9">
        <v>0.0</v>
      </c>
      <c r="E15" s="9">
        <v>1.0</v>
      </c>
      <c r="F15" s="9">
        <v>0.0</v>
      </c>
      <c r="G15" s="9">
        <v>0.0</v>
      </c>
      <c r="H15" s="9">
        <v>5.0</v>
      </c>
      <c r="I15" s="9">
        <v>3.0</v>
      </c>
      <c r="J15" s="5">
        <f t="shared" ref="J15:K15" si="20">B15+D15+F15+H15</f>
        <v>6</v>
      </c>
      <c r="K15" s="4">
        <f t="shared" si="20"/>
        <v>5</v>
      </c>
      <c r="L15" s="10">
        <f t="shared" si="3"/>
        <v>54.5</v>
      </c>
      <c r="M15" s="10">
        <f t="shared" si="4"/>
        <v>50</v>
      </c>
      <c r="N15" s="10">
        <f t="shared" si="5"/>
        <v>0</v>
      </c>
      <c r="O15" s="10">
        <f t="shared" si="6"/>
        <v>0</v>
      </c>
      <c r="P15" s="10">
        <f t="shared" si="7"/>
        <v>62.5</v>
      </c>
      <c r="Q15" s="11">
        <f t="shared" si="8"/>
        <v>14</v>
      </c>
      <c r="R15" s="9">
        <v>0.0</v>
      </c>
      <c r="S15" s="12">
        <v>45841.89097222222</v>
      </c>
      <c r="T15" s="5" t="s">
        <v>25</v>
      </c>
      <c r="U15" s="9">
        <v>2.0</v>
      </c>
      <c r="V15" s="4" t="str">
        <f t="array" ref="V15">IFERROR(INDEX('사용자목록'!O:O, MATCH(A15, '사용자목록'!A:A, 0)),"아이언")</f>
        <v>아이언</v>
      </c>
      <c r="W15" s="4"/>
      <c r="X15" s="4"/>
      <c r="Y15" s="4"/>
    </row>
    <row r="16">
      <c r="A16" s="5" t="s">
        <v>43</v>
      </c>
      <c r="B16" s="9">
        <v>2.0</v>
      </c>
      <c r="C16" s="9">
        <v>1.0</v>
      </c>
      <c r="D16" s="9">
        <v>0.0</v>
      </c>
      <c r="E16" s="9">
        <v>0.0</v>
      </c>
      <c r="F16" s="9">
        <v>0.0</v>
      </c>
      <c r="G16" s="9">
        <v>3.0</v>
      </c>
      <c r="H16" s="9">
        <v>2.0</v>
      </c>
      <c r="I16" s="9">
        <v>1.0</v>
      </c>
      <c r="J16" s="5">
        <f t="shared" ref="J16:K16" si="21">B16+D16+F16+H16</f>
        <v>4</v>
      </c>
      <c r="K16" s="4">
        <f t="shared" si="21"/>
        <v>5</v>
      </c>
      <c r="L16" s="10">
        <f t="shared" si="3"/>
        <v>44.4</v>
      </c>
      <c r="M16" s="10">
        <f t="shared" si="4"/>
        <v>66.7</v>
      </c>
      <c r="N16" s="10">
        <f t="shared" si="5"/>
        <v>0</v>
      </c>
      <c r="O16" s="10">
        <f t="shared" si="6"/>
        <v>0</v>
      </c>
      <c r="P16" s="10">
        <f t="shared" si="7"/>
        <v>66.7</v>
      </c>
      <c r="Q16" s="11">
        <f t="shared" si="8"/>
        <v>15</v>
      </c>
      <c r="R16" s="9">
        <v>0.0</v>
      </c>
      <c r="S16" s="12">
        <v>45822.027083333334</v>
      </c>
      <c r="T16" s="5" t="s">
        <v>25</v>
      </c>
      <c r="U16" s="9">
        <v>0.0</v>
      </c>
      <c r="V16" s="4" t="str">
        <f t="array" ref="V16">IFERROR(INDEX('사용자목록'!O:O, MATCH(A16, '사용자목록'!A:A, 0)),"아이언")</f>
        <v>아이언</v>
      </c>
      <c r="W16" s="4"/>
      <c r="X16" s="4"/>
      <c r="Y16" s="4"/>
    </row>
    <row r="17">
      <c r="A17" s="5" t="s">
        <v>50</v>
      </c>
      <c r="B17" s="9">
        <v>0.0</v>
      </c>
      <c r="C17" s="9">
        <v>1.0</v>
      </c>
      <c r="D17" s="9">
        <v>1.0</v>
      </c>
      <c r="E17" s="9">
        <v>0.0</v>
      </c>
      <c r="F17" s="9">
        <v>2.0</v>
      </c>
      <c r="G17" s="9">
        <v>4.0</v>
      </c>
      <c r="H17" s="9">
        <v>0.0</v>
      </c>
      <c r="I17" s="9">
        <v>0.0</v>
      </c>
      <c r="J17" s="5">
        <f t="shared" ref="J17:K17" si="22">B17+D17+F17+H17</f>
        <v>3</v>
      </c>
      <c r="K17" s="4">
        <f t="shared" si="22"/>
        <v>5</v>
      </c>
      <c r="L17" s="10">
        <f t="shared" si="3"/>
        <v>37.5</v>
      </c>
      <c r="M17" s="10">
        <f t="shared" si="4"/>
        <v>0</v>
      </c>
      <c r="N17" s="10">
        <f t="shared" si="5"/>
        <v>100</v>
      </c>
      <c r="O17" s="10">
        <f t="shared" si="6"/>
        <v>33.3</v>
      </c>
      <c r="P17" s="10">
        <f t="shared" si="7"/>
        <v>0</v>
      </c>
      <c r="Q17" s="11">
        <f t="shared" si="8"/>
        <v>16</v>
      </c>
      <c r="R17" s="9">
        <v>0.0</v>
      </c>
      <c r="S17" s="12">
        <v>45841.89097222222</v>
      </c>
      <c r="T17" s="5" t="s">
        <v>25</v>
      </c>
      <c r="U17" s="9">
        <v>0.0</v>
      </c>
      <c r="V17" s="4" t="str">
        <f t="array" ref="V17">IFERROR(INDEX('사용자목록'!O:O, MATCH(A17, '사용자목록'!A:A, 0)),"아이언")</f>
        <v>아이언</v>
      </c>
      <c r="W17" s="4"/>
      <c r="X17" s="4"/>
      <c r="Y17" s="4"/>
    </row>
    <row r="18">
      <c r="A18" s="5" t="s">
        <v>9711</v>
      </c>
      <c r="B18" s="9">
        <v>0.0</v>
      </c>
      <c r="C18" s="9">
        <v>1.0</v>
      </c>
      <c r="D18" s="9">
        <v>1.0</v>
      </c>
      <c r="E18" s="9">
        <v>1.0</v>
      </c>
      <c r="F18" s="9">
        <v>1.0</v>
      </c>
      <c r="G18" s="9">
        <v>0.0</v>
      </c>
      <c r="H18" s="9">
        <v>0.0</v>
      </c>
      <c r="I18" s="9">
        <v>0.0</v>
      </c>
      <c r="J18" s="5">
        <f t="shared" ref="J18:K18" si="23">B18+D18+F18+H18</f>
        <v>2</v>
      </c>
      <c r="K18" s="4">
        <f t="shared" si="23"/>
        <v>2</v>
      </c>
      <c r="L18" s="10">
        <f t="shared" si="3"/>
        <v>50</v>
      </c>
      <c r="M18" s="10">
        <f t="shared" si="4"/>
        <v>0</v>
      </c>
      <c r="N18" s="10">
        <f t="shared" si="5"/>
        <v>50</v>
      </c>
      <c r="O18" s="10">
        <f t="shared" si="6"/>
        <v>100</v>
      </c>
      <c r="P18" s="10">
        <f t="shared" si="7"/>
        <v>0</v>
      </c>
      <c r="Q18" s="11">
        <f t="shared" si="8"/>
        <v>17</v>
      </c>
      <c r="R18" s="9">
        <v>0.0</v>
      </c>
      <c r="S18" s="12">
        <v>45813.0125</v>
      </c>
      <c r="T18" s="5" t="s">
        <v>25</v>
      </c>
      <c r="U18" s="9">
        <v>0.0</v>
      </c>
      <c r="V18" s="4" t="str">
        <f t="array" ref="V18">IFERROR(INDEX('사용자목록'!O:O, MATCH(A18, '사용자목록'!A:A, 0)),"아이언")</f>
        <v>아이언</v>
      </c>
      <c r="W18" s="4"/>
      <c r="X18" s="4"/>
      <c r="Y18" s="4"/>
    </row>
    <row r="19">
      <c r="A19" s="5" t="s">
        <v>60</v>
      </c>
      <c r="B19" s="9">
        <v>0.0</v>
      </c>
      <c r="C19" s="9">
        <v>1.0</v>
      </c>
      <c r="D19" s="9">
        <v>0.0</v>
      </c>
      <c r="E19" s="9">
        <v>0.0</v>
      </c>
      <c r="F19" s="9">
        <v>1.0</v>
      </c>
      <c r="G19" s="9">
        <v>0.0</v>
      </c>
      <c r="H19" s="9">
        <v>1.0</v>
      </c>
      <c r="I19" s="9">
        <v>0.0</v>
      </c>
      <c r="J19" s="5">
        <f t="shared" ref="J19:K19" si="24">B19+D19+F19+H19</f>
        <v>2</v>
      </c>
      <c r="K19" s="4">
        <f t="shared" si="24"/>
        <v>1</v>
      </c>
      <c r="L19" s="10">
        <f t="shared" si="3"/>
        <v>66.7</v>
      </c>
      <c r="M19" s="10">
        <f t="shared" si="4"/>
        <v>0</v>
      </c>
      <c r="N19" s="10">
        <f t="shared" si="5"/>
        <v>0</v>
      </c>
      <c r="O19" s="10">
        <f t="shared" si="6"/>
        <v>100</v>
      </c>
      <c r="P19" s="10">
        <f t="shared" si="7"/>
        <v>100</v>
      </c>
      <c r="Q19" s="11">
        <f t="shared" si="8"/>
        <v>18</v>
      </c>
      <c r="R19" s="9">
        <v>0.0</v>
      </c>
      <c r="S19" s="12">
        <v>45841.85972222222</v>
      </c>
      <c r="T19" s="5" t="s">
        <v>25</v>
      </c>
      <c r="U19" s="9">
        <v>0.0</v>
      </c>
      <c r="V19" s="4" t="str">
        <f t="array" ref="V19">IFERROR(INDEX('사용자목록'!O:O, MATCH(A19, '사용자목록'!A:A, 0)),"아이언")</f>
        <v>아이언</v>
      </c>
      <c r="W19" s="4"/>
      <c r="X19" s="4"/>
      <c r="Y19" s="4"/>
    </row>
    <row r="20">
      <c r="A20" s="5" t="s">
        <v>9678</v>
      </c>
      <c r="B20" s="9">
        <v>0.0</v>
      </c>
      <c r="C20" s="9">
        <v>0.0</v>
      </c>
      <c r="D20" s="9">
        <v>0.0</v>
      </c>
      <c r="E20" s="9">
        <v>0.0</v>
      </c>
      <c r="F20" s="9">
        <v>0.0</v>
      </c>
      <c r="G20" s="9">
        <v>1.0</v>
      </c>
      <c r="H20" s="9">
        <v>0.0</v>
      </c>
      <c r="I20" s="9">
        <v>1.0</v>
      </c>
      <c r="J20" s="5">
        <f t="shared" ref="J20:K20" si="25">B20+D20+F20+H20</f>
        <v>0</v>
      </c>
      <c r="K20" s="4">
        <f t="shared" si="25"/>
        <v>2</v>
      </c>
      <c r="L20" s="10">
        <f t="shared" si="3"/>
        <v>0</v>
      </c>
      <c r="M20" s="10">
        <f t="shared" si="4"/>
        <v>0</v>
      </c>
      <c r="N20" s="10">
        <f t="shared" si="5"/>
        <v>0</v>
      </c>
      <c r="O20" s="10">
        <f t="shared" si="6"/>
        <v>0</v>
      </c>
      <c r="P20" s="10">
        <f t="shared" si="7"/>
        <v>0</v>
      </c>
      <c r="Q20" s="11">
        <f t="shared" si="8"/>
        <v>19</v>
      </c>
      <c r="R20" s="9">
        <v>0.0</v>
      </c>
      <c r="S20" s="12">
        <v>45793.02638888889</v>
      </c>
      <c r="T20" s="5" t="s">
        <v>25</v>
      </c>
      <c r="U20" s="9">
        <v>0.0</v>
      </c>
      <c r="V20" s="4" t="str">
        <f t="array" ref="V20">IFERROR(INDEX('사용자목록'!O:O, MATCH(A20, '사용자목록'!A:A, 0)),"아이언")</f>
        <v>아이언</v>
      </c>
      <c r="W20" s="4"/>
      <c r="X20" s="4"/>
      <c r="Y20" s="4"/>
    </row>
    <row r="21">
      <c r="A21" s="5" t="s">
        <v>9722</v>
      </c>
      <c r="B21" s="9">
        <v>0.0</v>
      </c>
      <c r="C21" s="9">
        <v>2.0</v>
      </c>
      <c r="D21" s="9">
        <v>0.0</v>
      </c>
      <c r="E21" s="9">
        <v>1.0</v>
      </c>
      <c r="F21" s="9">
        <v>0.0</v>
      </c>
      <c r="G21" s="9">
        <v>0.0</v>
      </c>
      <c r="H21" s="9">
        <v>0.0</v>
      </c>
      <c r="I21" s="9">
        <v>0.0</v>
      </c>
      <c r="J21" s="5">
        <f t="shared" ref="J21:K21" si="26">B21+D21+F21+H21</f>
        <v>0</v>
      </c>
      <c r="K21" s="4">
        <f t="shared" si="26"/>
        <v>3</v>
      </c>
      <c r="L21" s="10">
        <f t="shared" si="3"/>
        <v>0</v>
      </c>
      <c r="M21" s="10">
        <f t="shared" si="4"/>
        <v>0</v>
      </c>
      <c r="N21" s="10">
        <f t="shared" si="5"/>
        <v>0</v>
      </c>
      <c r="O21" s="10">
        <f t="shared" si="6"/>
        <v>0</v>
      </c>
      <c r="P21" s="10">
        <f t="shared" si="7"/>
        <v>0</v>
      </c>
      <c r="Q21" s="11">
        <f t="shared" si="8"/>
        <v>20</v>
      </c>
      <c r="R21" s="9">
        <v>0.0</v>
      </c>
      <c r="S21" s="12">
        <v>45811.01944444444</v>
      </c>
      <c r="T21" s="5" t="s">
        <v>25</v>
      </c>
      <c r="U21" s="9">
        <v>0.0</v>
      </c>
      <c r="V21" s="4" t="str">
        <f t="array" ref="V21">IFERROR(INDEX('사용자목록'!O:O, MATCH(A21, '사용자목록'!A:A, 0)),"아이언")</f>
        <v>아이언</v>
      </c>
      <c r="W21" s="4"/>
      <c r="X21" s="4"/>
      <c r="Y21" s="4"/>
    </row>
    <row r="22">
      <c r="A22" s="5" t="s">
        <v>9694</v>
      </c>
      <c r="B22" s="9">
        <v>0.0</v>
      </c>
      <c r="C22" s="9">
        <v>1.0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5">
        <f t="shared" ref="J22:K22" si="27">B22+D22+F22+H22</f>
        <v>0</v>
      </c>
      <c r="K22" s="4">
        <f t="shared" si="27"/>
        <v>1</v>
      </c>
      <c r="L22" s="10">
        <f t="shared" si="3"/>
        <v>0</v>
      </c>
      <c r="M22" s="10">
        <f t="shared" si="4"/>
        <v>0</v>
      </c>
      <c r="N22" s="10">
        <f t="shared" si="5"/>
        <v>0</v>
      </c>
      <c r="O22" s="10">
        <f t="shared" si="6"/>
        <v>0</v>
      </c>
      <c r="P22" s="10">
        <f t="shared" si="7"/>
        <v>0</v>
      </c>
      <c r="Q22" s="11">
        <f t="shared" si="8"/>
        <v>21</v>
      </c>
      <c r="R22" s="9">
        <v>0.0</v>
      </c>
      <c r="S22" s="12">
        <v>45816.92083333333</v>
      </c>
      <c r="T22" s="5" t="s">
        <v>25</v>
      </c>
      <c r="U22" s="9">
        <v>0.0</v>
      </c>
      <c r="V22" s="4" t="str">
        <f t="array" ref="V22">IFERROR(INDEX('사용자목록'!O:O, MATCH(A22, '사용자목록'!A:A, 0)),"아이언")</f>
        <v>아이언</v>
      </c>
      <c r="W22" s="4"/>
      <c r="X22" s="4"/>
      <c r="Y22" s="4"/>
    </row>
    <row r="23">
      <c r="A23" s="5" t="s">
        <v>46</v>
      </c>
      <c r="B23" s="9">
        <v>0.0</v>
      </c>
      <c r="C23" s="5">
        <v>0.0</v>
      </c>
      <c r="D23" s="9">
        <v>0.0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5">
        <f t="shared" ref="J23:K23" si="28">B23+D23+F23+H23</f>
        <v>0</v>
      </c>
      <c r="K23" s="4">
        <f t="shared" si="28"/>
        <v>0</v>
      </c>
      <c r="L23" s="10">
        <f t="shared" si="3"/>
        <v>0</v>
      </c>
      <c r="M23" s="10">
        <f t="shared" si="4"/>
        <v>0</v>
      </c>
      <c r="N23" s="10">
        <f t="shared" si="5"/>
        <v>0</v>
      </c>
      <c r="O23" s="10">
        <f t="shared" si="6"/>
        <v>0</v>
      </c>
      <c r="P23" s="10">
        <f t="shared" si="7"/>
        <v>0</v>
      </c>
      <c r="Q23" s="11">
        <f t="shared" si="8"/>
        <v>22</v>
      </c>
      <c r="R23" s="9">
        <v>0.0</v>
      </c>
      <c r="S23" s="12">
        <v>45829.01597222222</v>
      </c>
      <c r="T23" s="5" t="s">
        <v>47</v>
      </c>
      <c r="U23" s="5">
        <v>0.0</v>
      </c>
      <c r="V23" s="4" t="str">
        <f t="array" ref="V23">IFERROR(INDEX('사용자목록'!O:O, MATCH(A23, '사용자목록'!A:A, 0)),"아이언")</f>
        <v>아이언</v>
      </c>
      <c r="W23" s="4"/>
      <c r="X23" s="4"/>
      <c r="Y23" s="4"/>
    </row>
    <row r="24">
      <c r="A24" s="5" t="s">
        <v>9772</v>
      </c>
      <c r="B24" s="9">
        <v>0.0</v>
      </c>
      <c r="C24" s="9">
        <v>0.0</v>
      </c>
      <c r="D24" s="9">
        <v>0.0</v>
      </c>
      <c r="E24" s="9">
        <v>0.0</v>
      </c>
      <c r="F24" s="9">
        <v>0.0</v>
      </c>
      <c r="G24" s="9">
        <v>1.0</v>
      </c>
      <c r="H24" s="9">
        <v>0.0</v>
      </c>
      <c r="I24" s="9">
        <v>0.0</v>
      </c>
      <c r="J24" s="5">
        <f t="shared" ref="J24:K24" si="29">B24+D24+F24+H24</f>
        <v>0</v>
      </c>
      <c r="K24" s="4">
        <f t="shared" si="29"/>
        <v>1</v>
      </c>
      <c r="L24" s="10">
        <f t="shared" si="3"/>
        <v>0</v>
      </c>
      <c r="M24" s="10">
        <f t="shared" si="4"/>
        <v>0</v>
      </c>
      <c r="N24" s="10">
        <f t="shared" si="5"/>
        <v>0</v>
      </c>
      <c r="O24" s="10">
        <f t="shared" si="6"/>
        <v>0</v>
      </c>
      <c r="P24" s="10">
        <f t="shared" si="7"/>
        <v>0</v>
      </c>
      <c r="Q24" s="11">
        <f t="shared" si="8"/>
        <v>23</v>
      </c>
      <c r="R24" s="9">
        <v>0.0</v>
      </c>
      <c r="S24" s="12">
        <v>45841.89097222222</v>
      </c>
      <c r="T24" s="5" t="s">
        <v>25</v>
      </c>
      <c r="U24" s="9">
        <v>0.0</v>
      </c>
      <c r="V24" s="4" t="str">
        <f t="array" ref="V24">IFERROR(INDEX('사용자목록'!O:O, MATCH(A24, '사용자목록'!A:A, 0)),"아이언")</f>
        <v>아이언</v>
      </c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</sheetData>
  <drawing r:id="rId1"/>
</worksheet>
</file>